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pivotTables/pivotTable7.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6.xml" ContentType="application/vnd.openxmlformats-officedocument.drawingml.chartshapes+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7.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3.xml" ContentType="application/vnd.openxmlformats-officedocument.spreadsheetml.table+xml"/>
  <Override PartName="/xl/drawings/drawing8.xml" ContentType="application/vnd.openxmlformats-officedocument.drawing+xml"/>
  <Override PartName="/xl/tables/table4.xml" ContentType="application/vnd.openxmlformats-officedocument.spreadsheetml.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9.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ml.chartshapes+xml"/>
  <Override PartName="/xl/charts/chart9.xml" ContentType="application/vnd.openxmlformats-officedocument.drawingml.chart+xml"/>
  <Override PartName="/xl/drawings/drawing12.xml" ContentType="application/vnd.openxmlformats-officedocument.drawingml.chartshapes+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13.xml" ContentType="application/vnd.openxmlformats-officedocument.drawing+xml"/>
  <Override PartName="/xl/activeX/activeX4.xml" ContentType="application/vnd.ms-office.activeX+xml"/>
  <Override PartName="/xl/activeX/activeX4.bin" ContentType="application/vnd.ms-office.activeX"/>
  <Override PartName="/xl/tables/table5.xml" ContentType="application/vnd.openxmlformats-officedocument.spreadsheetml.table+xml"/>
  <Override PartName="/xl/charts/chart10.xml" ContentType="application/vnd.openxmlformats-officedocument.drawingml.chart+xml"/>
  <Override PartName="/xl/charts/chart11.xml" ContentType="application/vnd.openxmlformats-officedocument.drawingml.chart+xml"/>
  <Override PartName="/xl/drawings/drawing14.xml" ContentType="application/vnd.openxmlformats-officedocument.drawing+xml"/>
  <Override PartName="/xl/tables/table6.xml" ContentType="application/vnd.openxmlformats-officedocument.spreadsheetml.table+xml"/>
  <Override PartName="/xl/drawings/drawing15.xml" ContentType="application/vnd.openxmlformats-officedocument.drawing+xml"/>
  <Override PartName="/xl/tables/table7.xml" ContentType="application/vnd.openxmlformats-officedocument.spreadsheetml.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16.xml" ContentType="application/vnd.openxmlformats-officedocument.drawing+xml"/>
  <Override PartName="/xl/charts/chart12.xml" ContentType="application/vnd.openxmlformats-officedocument.drawingml.chart+xml"/>
  <Override PartName="/xl/pivotTables/pivotTable20.xml" ContentType="application/vnd.openxmlformats-officedocument.spreadsheetml.pivotTable+xml"/>
  <Override PartName="/xl/tables/table8.xml" ContentType="application/vnd.openxmlformats-officedocument.spreadsheetml.table+xml"/>
  <Override PartName="/xl/drawings/drawing1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lwint\Dropbox (Global Protection Cluster)\MYAYA_IMO\Kachin\Cluster_Report\2016\November\CAR_Nov_2016\"/>
    </mc:Choice>
  </mc:AlternateContent>
  <bookViews>
    <workbookView xWindow="0" yWindow="1365" windowWidth="10125" windowHeight="2775" tabRatio="777" activeTab="5"/>
  </bookViews>
  <sheets>
    <sheet name="Home" sheetId="35" r:id="rId1"/>
    <sheet name="Camp List" sheetId="14" r:id="rId2"/>
    <sheet name="DistanceToCamp" sheetId="90" state="hidden" r:id="rId3"/>
    <sheet name="Camp Analysis" sheetId="33" r:id="rId4"/>
    <sheet name="Camp List (printable)" sheetId="91" r:id="rId5"/>
    <sheet name="CCCM Dashboard" sheetId="40" r:id="rId6"/>
    <sheet name="ForGIS" sheetId="87" state="hidden" r:id="rId7"/>
    <sheet name="Shelter Cross Check" sheetId="88" state="hidden" r:id="rId8"/>
    <sheet name="Map" sheetId="66" state="hidden" r:id="rId9"/>
    <sheet name="Shelter Tracking" sheetId="19" r:id="rId10"/>
    <sheet name="Shelter Progress" sheetId="36" r:id="rId11"/>
    <sheet name="Shelter Summary (by Agency)" sheetId="45" r:id="rId12"/>
    <sheet name="Shelter Coverage Camp" sheetId="84" state="hidden" r:id="rId13"/>
    <sheet name="Shelter Coverage &amp; Gaps" sheetId="62" r:id="rId14"/>
    <sheet name="NFI Tracking" sheetId="20" r:id="rId15"/>
    <sheet name="NFI Pipeline" sheetId="30" r:id="rId16"/>
    <sheet name="Sheet2" sheetId="92" state="hidden" r:id="rId17"/>
    <sheet name="NFI Distribution (by Tship)" sheetId="37" r:id="rId18"/>
    <sheet name="Winter Item" sheetId="86" state="hidden" r:id="rId19"/>
    <sheet name="NFI Summary" sheetId="43" r:id="rId20"/>
    <sheet name="Define_TCL" sheetId="69" state="hidden" r:id="rId21"/>
    <sheet name="File_Details" sheetId="77" state="hidden" r:id="rId22"/>
    <sheet name="Definition" sheetId="49" state="hidden" r:id="rId23"/>
  </sheets>
  <externalReferences>
    <externalReference r:id="rId24"/>
  </externalReferences>
  <definedNames>
    <definedName name="_xlnm._FilterDatabase" localSheetId="1" hidden="1">'Camp List'!$A$1:$C$3</definedName>
    <definedName name="_xlnm._FilterDatabase" localSheetId="14" hidden="1">'NFI Tracking'!$A$5:$A$1339</definedName>
    <definedName name="_xlnm._FilterDatabase" localSheetId="9" hidden="1">'Shelter Tracking'!$A$2:$P$3</definedName>
    <definedName name="AllData_Camplist" localSheetId="8">CampList[#All]</definedName>
    <definedName name="AllData_Camplist" localSheetId="13">CampList[#All]</definedName>
    <definedName name="AllData_Camplist">CampList[#All]</definedName>
    <definedName name="Camp_Accessibility">Definition!$Q$2:$Q$4</definedName>
    <definedName name="Camp_List">CampList[#All]</definedName>
    <definedName name="Camp_Status">"Open, Close"</definedName>
    <definedName name="Camplist_HH">'Camp List'!$Q:$Q</definedName>
    <definedName name="Camplist_Popl">'Camp List'!$R:$R</definedName>
    <definedName name="CampList_Status">'Camp List'!$A:$A</definedName>
    <definedName name="Camplist_Township">'Camp List'!$F:$F</definedName>
    <definedName name="Camplist_Type_Of_Acc">'Camp List'!$V:$V</definedName>
    <definedName name="CL">Define_TCL!$G$4:$J$1000</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Kachin">Definition!$L$2:$L$24</definedName>
    <definedName name="Kashin">CampList[#All]</definedName>
    <definedName name="Kyauk_Phyu_G" localSheetId="8">Map!$P$44</definedName>
    <definedName name="Location">"Camp_G,Cluster_G"</definedName>
    <definedName name="NameTSPOP">Define_TCL!$M$4:$Q$2320</definedName>
    <definedName name="NFI">Definition!$A$2:$F$16</definedName>
    <definedName name="NFI_Blanket_Pipeline">'NFI Pipeline'!$V:$V</definedName>
    <definedName name="NFI_Blanket_Stock">'NFI Pipeline'!$U:$U</definedName>
    <definedName name="NFI_Blanket_Track">'NFI Tracking'!$AD:$AD</definedName>
    <definedName name="NFI_Clothes_Pipeline">'NFI Pipeline'!$AB:$AB</definedName>
    <definedName name="NFI_Clothes_Stock">'NFI Pipeline'!$AA:$AA</definedName>
    <definedName name="NFI_Clothes_Track">'NFI Tracking'!$AF:$AF</definedName>
    <definedName name="NFI_Core_Pipeline">'NFI Pipeline'!$J:$J</definedName>
    <definedName name="NFI_Core_Stock">'NFI Pipeline'!$I:$I</definedName>
    <definedName name="NFI_Core_Track">'NFI Tracking'!$Z:$Z</definedName>
    <definedName name="NFI_Expiration">'NFI Tracking'!$I$1</definedName>
    <definedName name="NFI_Hygiene_Pipeline">'NFI Pipeline'!$G:$G</definedName>
    <definedName name="NFI_Hygiene_Stock">'NFI Pipeline'!$F:$F</definedName>
    <definedName name="NFI_Hygiene_Track">'NFI Tracking'!$Y:$Y</definedName>
    <definedName name="NFI_Kitchen_Pipeline">'NFI Pipeline'!$Y:$Y</definedName>
    <definedName name="NFI_Kitchen_Stock">'NFI Pipeline'!$X:$X</definedName>
    <definedName name="NFI_Kitchen_Track">'NFI Tracking'!$AE:$AE</definedName>
    <definedName name="NFI_Monitor_Date">Definition!$B$24</definedName>
    <definedName name="NFI_Month">'NFI Tracking'!$A:$A</definedName>
    <definedName name="NFI_Mosquito_Pipeline">'NFI Pipeline'!$P:$P</definedName>
    <definedName name="NFI_Mosquito_Stock">'NFI Pipeline'!$O:$O</definedName>
    <definedName name="NFI_Mosquito_Track">'NFI Tracking'!$AB:$AB</definedName>
    <definedName name="NFI_Org">'NFI Tracking'!$C:$C</definedName>
    <definedName name="NFI_Pipeline_State">'NFI Pipeline'!$D:$D</definedName>
    <definedName name="NFI_Pipeline_Township">'NFI Pipeline'!$E:$E</definedName>
    <definedName name="NFI_Plastic_Bucket_Pipeline">'NFI Pipeline'!$AE:$AE</definedName>
    <definedName name="NFI_Plastic_Bucket_Stock">'NFI Pipeline'!$AD:$AD</definedName>
    <definedName name="NFI_Plastic_Bucket_Track">'NFI Tracking'!$AG:$AG</definedName>
    <definedName name="NFI_Plastic_Mat_Pipeline">'NFI Pipeline'!$AH:$AH</definedName>
    <definedName name="NFI_Plastic_Mat_Stock">'NFI Pipeline'!$AG:$AG</definedName>
    <definedName name="NFI_Plastic_Mat_Track">'NFI Tracking'!$AH:$AH</definedName>
    <definedName name="NFI_Sanitary_Pipeline">'NFI Pipeline'!$M:$M</definedName>
    <definedName name="NFI_Sanitary_Stock">'NFI Pipeline'!$L:$L</definedName>
    <definedName name="NFI_Sanitary_Track">'NFI Tracking'!$AA:$AA</definedName>
    <definedName name="NFI_State">'NFI Tracking'!$E:$E</definedName>
    <definedName name="NFI_Tarpaulin_Pipeline">'NFI Pipeline'!$S:$S</definedName>
    <definedName name="NFI_Tarpaulin_Stock">'NFI Pipeline'!$R:$R</definedName>
    <definedName name="NFI_Tarpaulin_Track">'NFI Tracking'!$AC:$AC</definedName>
    <definedName name="NFI_Township">'NFI Tracking'!$F:$F</definedName>
    <definedName name="NFI_Winter_Blanket_Pipeline">'NFI Pipeline'!$AW:$AW</definedName>
    <definedName name="NFI_Winter_Blanket_Stock">'NFI Pipeline'!$AV:$AV</definedName>
    <definedName name="NFI_Winter_Blanket_Track">'NFI Tracking'!$AL:$AL</definedName>
    <definedName name="NFI_Winter_Clothes_Adult_Pipeline">'NFI Pipeline'!$AN:$AN</definedName>
    <definedName name="NFI_Winter_Clothes_Adult_Stock">'NFI Pipeline'!$AM:$AM</definedName>
    <definedName name="NFI_Winter_Clothes_Adult_Track">'NFI Tracking'!$AI:$AI</definedName>
    <definedName name="NFI_Winter_Clothes_Children_Pipeline">'NFI Pipeline'!$AQ:$AQ</definedName>
    <definedName name="NFI_Winter_Clothes_Children_Stock">'NFI Pipeline'!$AP:$AP</definedName>
    <definedName name="NFI_Winter_Clothes_Children_Track">'NFI Tracking'!$AJ:$AJ</definedName>
    <definedName name="NFI_Winter_Items_Other_Pipeline">'NFI Pipeline'!$AT:$AT</definedName>
    <definedName name="NFI_Winter_Items_Other_Stock">'NFI Pipeline'!$AS:$AS</definedName>
    <definedName name="NFI_Winter_Items_Other_Track">'NFI Tracking'!$AK:$AK</definedName>
    <definedName name="Pcode_Priority">Table10[[Pcode]:[Priority]]</definedName>
    <definedName name="_xlnm.Print_Area" localSheetId="3">'Camp Analysis'!$A$2:$K$78</definedName>
    <definedName name="_xlnm.Print_Area" localSheetId="1">'Camp List'!$L$4:$R$103</definedName>
    <definedName name="_xlnm.Print_Area" localSheetId="5">'CCCM Dashboard'!$A$2:$S$52</definedName>
    <definedName name="_xlnm.Print_Area" localSheetId="8">Map!$A:$O</definedName>
    <definedName name="_xlnm.Print_Area" localSheetId="17">'NFI Distribution (by Tship)'!$A$2:$Z$29</definedName>
    <definedName name="_xlnm.Print_Area" localSheetId="15">'NFI Pipeline'!$A$5:$AI$6</definedName>
    <definedName name="_xlnm.Print_Area" localSheetId="19">'NFI Summary'!$B$2:$T$39</definedName>
    <definedName name="_xlnm.Print_Area" localSheetId="14">'NFI Tracking'!$A$5:$O$5</definedName>
    <definedName name="_xlnm.Print_Area" localSheetId="13">'Shelter Coverage &amp; Gaps'!$B$2:$O$50</definedName>
    <definedName name="_xlnm.Print_Area" localSheetId="10">'Shelter Progress'!$A$2:$O$99</definedName>
    <definedName name="_xlnm.Print_Area" localSheetId="11">'Shelter Summary (by Agency)'!$A$2:$F$55</definedName>
    <definedName name="_xlnm.Print_Titles" localSheetId="4">'Camp List (printable)'!$7:$7</definedName>
    <definedName name="_xlnm.Print_Titles" localSheetId="7">'Shelter Cross Check'!$3:$3</definedName>
    <definedName name="PriorityCampWin">Table10[[Pcode]:[Priority]]</definedName>
    <definedName name="Rakhine_DB" localSheetId="8">Map!$T$2:$AD$23</definedName>
    <definedName name="Report_Date">Definition!$B$23</definedName>
    <definedName name="Shan_North">Definition!$N$2:$N$7</definedName>
    <definedName name="Shelter_Draw_Ratio">'Shelter Coverage &amp; Gaps'!$CH$13</definedName>
    <definedName name="Shelter_HH_Covered">'Shelter Tracking'!$P:$P</definedName>
    <definedName name="Stat01">'Camp Analysis'!$A$56</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concurrentCalc="0"/>
  <pivotCaches>
    <pivotCache cacheId="0" r:id="rId25"/>
    <pivotCache cacheId="1" r:id="rId26"/>
    <pivotCache cacheId="10" r:id="rId27"/>
    <pivotCache cacheId="23" r:id="rId28"/>
  </pivotCaches>
</workbook>
</file>

<file path=xl/calcChain.xml><?xml version="1.0" encoding="utf-8"?>
<calcChain xmlns="http://schemas.openxmlformats.org/spreadsheetml/2006/main">
  <c r="N12" i="37" l="1"/>
  <c r="M12" i="37"/>
  <c r="L12" i="37"/>
  <c r="K12" i="37"/>
  <c r="J12" i="37"/>
  <c r="I12" i="37"/>
  <c r="H12" i="37"/>
  <c r="G12" i="37"/>
  <c r="F12" i="37"/>
  <c r="E12" i="37"/>
  <c r="D12" i="37"/>
  <c r="C12" i="37"/>
  <c r="B12" i="37"/>
  <c r="AS38" i="20"/>
  <c r="C7" i="36"/>
  <c r="C28" i="36"/>
  <c r="C8" i="36"/>
  <c r="C9" i="36"/>
  <c r="C10" i="36"/>
  <c r="C11" i="36"/>
  <c r="C12" i="36"/>
  <c r="C13" i="36"/>
  <c r="C14" i="36"/>
  <c r="C15" i="36"/>
  <c r="C16" i="36"/>
  <c r="C17" i="36"/>
  <c r="C18" i="36"/>
  <c r="C19" i="36"/>
  <c r="C20" i="36"/>
  <c r="C21" i="36"/>
  <c r="C22" i="36"/>
  <c r="C23" i="36"/>
  <c r="C24" i="36"/>
  <c r="C25" i="36"/>
  <c r="C26" i="36"/>
  <c r="C27" i="36"/>
  <c r="K11" i="36"/>
  <c r="L11" i="36"/>
  <c r="J11" i="36"/>
  <c r="I11" i="36"/>
  <c r="H11" i="36"/>
  <c r="G11" i="36"/>
  <c r="F11" i="36"/>
  <c r="E11" i="36"/>
  <c r="D11" i="36"/>
  <c r="B11" i="36"/>
  <c r="O11" i="36"/>
  <c r="M11" i="36"/>
  <c r="N11" i="36"/>
  <c r="C29" i="36"/>
  <c r="H7" i="36"/>
  <c r="G7" i="36"/>
  <c r="F7" i="36"/>
  <c r="E7" i="36"/>
  <c r="D7" i="36"/>
  <c r="H12" i="43"/>
  <c r="C39" i="40"/>
  <c r="D39" i="40"/>
  <c r="E39" i="40"/>
  <c r="C37" i="40"/>
  <c r="C16" i="40"/>
  <c r="S277" i="14"/>
  <c r="AI277" i="14"/>
  <c r="AJ277" i="14"/>
  <c r="AK277" i="14"/>
  <c r="S273" i="14"/>
  <c r="S274" i="14"/>
  <c r="S275" i="14"/>
  <c r="S276" i="14"/>
  <c r="S278" i="14"/>
  <c r="AI273" i="14"/>
  <c r="AI274" i="14"/>
  <c r="AI275" i="14"/>
  <c r="AI276" i="14"/>
  <c r="AI278" i="14"/>
  <c r="AJ273" i="14"/>
  <c r="AK273" i="14"/>
  <c r="AJ274" i="14"/>
  <c r="AK274" i="14"/>
  <c r="AJ275" i="14"/>
  <c r="AK275" i="14"/>
  <c r="AJ276" i="14"/>
  <c r="AK276" i="14"/>
  <c r="AJ278" i="14"/>
  <c r="AK278" i="14"/>
  <c r="S262" i="14"/>
  <c r="S263" i="14"/>
  <c r="S264" i="14"/>
  <c r="S265" i="14"/>
  <c r="S266" i="14"/>
  <c r="S267" i="14"/>
  <c r="S268" i="14"/>
  <c r="S269" i="14"/>
  <c r="S270" i="14"/>
  <c r="S271" i="14"/>
  <c r="S272" i="14"/>
  <c r="AI262" i="14"/>
  <c r="AI263" i="14"/>
  <c r="AI264" i="14"/>
  <c r="AI265" i="14"/>
  <c r="AI266" i="14"/>
  <c r="AI267" i="14"/>
  <c r="AI268" i="14"/>
  <c r="AI269" i="14"/>
  <c r="AI270" i="14"/>
  <c r="AI271" i="14"/>
  <c r="AI272" i="14"/>
  <c r="AJ262" i="14"/>
  <c r="AK262" i="14"/>
  <c r="AJ263" i="14"/>
  <c r="AK263" i="14"/>
  <c r="AJ264" i="14"/>
  <c r="AK264" i="14"/>
  <c r="AJ265" i="14"/>
  <c r="AK265" i="14"/>
  <c r="AJ266" i="14"/>
  <c r="AK266" i="14"/>
  <c r="AJ267" i="14"/>
  <c r="AK267" i="14"/>
  <c r="AJ268" i="14"/>
  <c r="AK268" i="14"/>
  <c r="AJ269" i="14"/>
  <c r="AK269" i="14"/>
  <c r="AJ270" i="14"/>
  <c r="AK270" i="14"/>
  <c r="AJ271" i="14"/>
  <c r="AK271" i="14"/>
  <c r="AJ272" i="14"/>
  <c r="AK272" i="14"/>
  <c r="C46" i="40"/>
  <c r="D46" i="40"/>
  <c r="E46" i="40"/>
  <c r="S18" i="19"/>
  <c r="T18" i="19"/>
  <c r="S17" i="19"/>
  <c r="T17" i="19"/>
  <c r="S16" i="19"/>
  <c r="T16" i="19"/>
  <c r="S15" i="19"/>
  <c r="T15" i="19"/>
  <c r="S14" i="19"/>
  <c r="T14" i="19"/>
  <c r="S13" i="19"/>
  <c r="T13" i="19"/>
  <c r="S12" i="19"/>
  <c r="T12" i="19"/>
  <c r="S11" i="19"/>
  <c r="T11" i="19"/>
  <c r="S10" i="19"/>
  <c r="T10" i="19"/>
  <c r="S9" i="19"/>
  <c r="T9" i="19"/>
  <c r="P18" i="19"/>
  <c r="U18" i="19"/>
  <c r="P17" i="19"/>
  <c r="U17" i="19"/>
  <c r="P16" i="19"/>
  <c r="U16" i="19"/>
  <c r="P15" i="19"/>
  <c r="U15" i="19"/>
  <c r="P14" i="19"/>
  <c r="U14" i="19"/>
  <c r="P13" i="19"/>
  <c r="U13" i="19"/>
  <c r="P12" i="19"/>
  <c r="U12" i="19"/>
  <c r="P11" i="19"/>
  <c r="U11" i="19"/>
  <c r="P10" i="19"/>
  <c r="U10" i="19"/>
  <c r="P9" i="19"/>
  <c r="U9" i="19"/>
  <c r="S8" i="19"/>
  <c r="T8" i="19"/>
  <c r="P8" i="19"/>
  <c r="U8" i="19"/>
  <c r="S7" i="19"/>
  <c r="T7" i="19"/>
  <c r="P7" i="19"/>
  <c r="U7" i="19"/>
  <c r="AJ52" i="40"/>
  <c r="AK52" i="40"/>
  <c r="AL52" i="40"/>
  <c r="AM52" i="40"/>
  <c r="AN52" i="40"/>
  <c r="AO52" i="40"/>
  <c r="AS1095" i="20"/>
  <c r="AS1096" i="20"/>
  <c r="AS1097" i="20"/>
  <c r="AS1098" i="20"/>
  <c r="AS1099" i="20"/>
  <c r="AS1100" i="20"/>
  <c r="AS1101" i="20"/>
  <c r="AS18" i="20"/>
  <c r="AS19" i="20"/>
  <c r="AU18" i="20"/>
  <c r="AU19" i="20"/>
  <c r="AQ18" i="20"/>
  <c r="AT18" i="20"/>
  <c r="AQ19" i="20"/>
  <c r="AT19" i="20"/>
  <c r="AQ20" i="20"/>
  <c r="AR20" i="20"/>
  <c r="CH4" i="62"/>
  <c r="S23" i="19"/>
  <c r="T23" i="19"/>
  <c r="P23" i="19"/>
  <c r="U23" i="19"/>
  <c r="S120" i="14"/>
  <c r="AQ17" i="20"/>
  <c r="AR17" i="20"/>
  <c r="AQ21" i="20"/>
  <c r="AR21" i="20"/>
  <c r="AQ22" i="20"/>
  <c r="AR22" i="20"/>
  <c r="AQ30" i="20"/>
  <c r="AR30" i="20"/>
  <c r="AS17" i="20"/>
  <c r="AS41" i="20"/>
  <c r="AS31" i="20"/>
  <c r="AS32" i="20"/>
  <c r="AS33" i="20"/>
  <c r="AS34" i="20"/>
  <c r="AS35" i="20"/>
  <c r="AS36" i="20"/>
  <c r="AS37" i="20"/>
  <c r="AS39" i="20"/>
  <c r="AS40" i="20"/>
  <c r="AS21" i="20"/>
  <c r="AS22" i="20"/>
  <c r="AS30" i="20"/>
  <c r="AS1080" i="20"/>
  <c r="AQ40" i="20"/>
  <c r="AR40" i="20"/>
  <c r="W4" i="43"/>
  <c r="CH7" i="62"/>
  <c r="CH9" i="62"/>
  <c r="AI56" i="14"/>
  <c r="AJ56" i="14"/>
  <c r="AK56" i="14"/>
  <c r="AI170" i="14"/>
  <c r="AJ170" i="14"/>
  <c r="AK170" i="14"/>
  <c r="AJ202" i="14"/>
  <c r="AK202" i="14"/>
  <c r="AJ203" i="14"/>
  <c r="AK203" i="14"/>
  <c r="AJ204" i="14"/>
  <c r="AK204" i="14"/>
  <c r="AJ215" i="14"/>
  <c r="AK215" i="14"/>
  <c r="AI215" i="14"/>
  <c r="AJ213" i="14"/>
  <c r="AK213" i="14"/>
  <c r="AI213" i="14"/>
  <c r="AJ212" i="14"/>
  <c r="AK212" i="14"/>
  <c r="AI212" i="14"/>
  <c r="AJ211" i="14"/>
  <c r="AK211" i="14"/>
  <c r="AI211" i="14"/>
  <c r="AJ210" i="14"/>
  <c r="AK210" i="14"/>
  <c r="AI210" i="14"/>
  <c r="AJ209" i="14"/>
  <c r="AK209" i="14"/>
  <c r="AI209" i="14"/>
  <c r="AJ208" i="14"/>
  <c r="AK208" i="14"/>
  <c r="AI208" i="14"/>
  <c r="AJ207" i="14"/>
  <c r="AK207" i="14"/>
  <c r="AI207" i="14"/>
  <c r="AJ206" i="14"/>
  <c r="AK206" i="14"/>
  <c r="AI206" i="14"/>
  <c r="AJ205" i="14"/>
  <c r="AK205" i="14"/>
  <c r="AI205" i="14"/>
  <c r="AI204" i="14"/>
  <c r="AF205" i="14"/>
  <c r="AF206" i="14"/>
  <c r="AI216" i="14"/>
  <c r="AI217" i="14"/>
  <c r="AI218" i="14"/>
  <c r="AI219" i="14"/>
  <c r="AI220" i="14"/>
  <c r="S216" i="14"/>
  <c r="S217" i="14"/>
  <c r="S218" i="14"/>
  <c r="S219" i="14"/>
  <c r="S220" i="14"/>
  <c r="AJ216" i="14"/>
  <c r="AK216" i="14"/>
  <c r="AJ217" i="14"/>
  <c r="AK217" i="14"/>
  <c r="AJ218" i="14"/>
  <c r="AK218" i="14"/>
  <c r="AJ219" i="14"/>
  <c r="AK219" i="14"/>
  <c r="AJ220" i="14"/>
  <c r="AK220" i="14"/>
  <c r="T20" i="19"/>
  <c r="P20" i="19"/>
  <c r="U20" i="19"/>
  <c r="S20" i="19"/>
  <c r="T19" i="19"/>
  <c r="P19" i="19"/>
  <c r="U19" i="19"/>
  <c r="S19" i="19"/>
  <c r="AI122" i="14"/>
  <c r="AI144" i="14"/>
  <c r="AI54" i="14"/>
  <c r="AI152" i="14"/>
  <c r="AI165" i="14"/>
  <c r="AI169" i="14"/>
  <c r="AI145" i="14"/>
  <c r="AI113" i="14"/>
  <c r="AI126" i="14"/>
  <c r="AI199" i="14"/>
  <c r="AI110" i="14"/>
  <c r="AI46" i="14"/>
  <c r="AI150" i="14"/>
  <c r="AI16" i="14"/>
  <c r="AI14" i="14"/>
  <c r="AI15" i="14"/>
  <c r="AI123" i="14"/>
  <c r="AI32" i="14"/>
  <c r="AI115" i="14"/>
  <c r="AI136" i="14"/>
  <c r="AI166" i="14"/>
  <c r="AI202" i="14"/>
  <c r="AI47" i="14"/>
  <c r="AI22" i="14"/>
  <c r="AI23" i="14"/>
  <c r="AI121" i="14"/>
  <c r="AI233" i="14"/>
  <c r="AI234" i="14"/>
  <c r="AI235" i="14"/>
  <c r="AI17" i="14"/>
  <c r="AI81" i="14"/>
  <c r="AI78" i="14"/>
  <c r="AI125" i="14"/>
  <c r="AI19" i="14"/>
  <c r="AI18" i="14"/>
  <c r="AI157" i="14"/>
  <c r="AI143" i="14"/>
  <c r="AI53" i="14"/>
  <c r="AI75" i="14"/>
  <c r="AI73" i="14"/>
  <c r="AI74" i="14"/>
  <c r="AI31" i="14"/>
  <c r="AI119" i="14"/>
  <c r="AI35" i="14"/>
  <c r="AI33" i="14"/>
  <c r="AI44" i="14"/>
  <c r="AI43" i="14"/>
  <c r="AI191" i="14"/>
  <c r="AI196" i="14"/>
  <c r="AI20" i="14"/>
  <c r="AI66" i="14"/>
  <c r="AI12" i="14"/>
  <c r="AI129" i="14"/>
  <c r="AI203" i="14"/>
  <c r="AI128" i="14"/>
  <c r="AI201" i="14"/>
  <c r="AI228" i="14"/>
  <c r="AI243" i="14"/>
  <c r="AI80" i="14"/>
  <c r="AI70" i="14"/>
  <c r="AI24" i="14"/>
  <c r="AI25" i="14"/>
  <c r="AI92" i="14"/>
  <c r="AI236" i="14"/>
  <c r="AI60" i="14"/>
  <c r="AI226" i="14"/>
  <c r="AI247" i="14"/>
  <c r="AI250" i="14"/>
  <c r="AI55" i="14"/>
  <c r="AI224" i="14"/>
  <c r="AI221" i="14"/>
  <c r="AI248" i="14"/>
  <c r="AI223" i="14"/>
  <c r="AI227" i="14"/>
  <c r="AI167" i="14"/>
  <c r="AI232" i="14"/>
  <c r="AI249" i="14"/>
  <c r="AI28" i="14"/>
  <c r="AI58" i="14"/>
  <c r="AI104" i="14"/>
  <c r="AI82" i="14"/>
  <c r="AI37" i="14"/>
  <c r="AI138" i="14"/>
  <c r="AI255" i="14"/>
  <c r="AI256" i="14"/>
  <c r="AI127" i="14"/>
  <c r="AI6" i="14"/>
  <c r="AI76" i="14"/>
  <c r="AI141" i="14"/>
  <c r="AI124" i="14"/>
  <c r="AI120" i="14"/>
  <c r="AI257" i="14"/>
  <c r="AI183" i="14"/>
  <c r="AI168" i="14"/>
  <c r="AI140" i="14"/>
  <c r="AI36" i="14"/>
  <c r="AI29" i="14"/>
  <c r="AI34" i="14"/>
  <c r="AI30" i="14"/>
  <c r="AI158" i="14"/>
  <c r="AI51" i="14"/>
  <c r="AI159" i="14"/>
  <c r="AI258" i="14"/>
  <c r="AI259" i="14"/>
  <c r="AI198" i="14"/>
  <c r="AI77" i="14"/>
  <c r="AI10" i="14"/>
  <c r="AI11" i="14"/>
  <c r="AI45" i="14"/>
  <c r="AI71" i="14"/>
  <c r="AI72" i="14"/>
  <c r="AI13" i="14"/>
  <c r="AI83" i="14"/>
  <c r="AI180" i="14"/>
  <c r="AI59" i="14"/>
  <c r="AI5" i="14"/>
  <c r="AI27" i="14"/>
  <c r="AI8" i="14"/>
  <c r="AI7" i="14"/>
  <c r="AI9" i="14"/>
  <c r="AI41" i="14"/>
  <c r="AI260" i="14"/>
  <c r="AI42" i="14"/>
  <c r="AI261" i="14"/>
  <c r="AI160" i="14"/>
  <c r="AI116" i="14"/>
  <c r="AI26" i="14"/>
  <c r="AI57" i="14"/>
  <c r="AI106" i="14"/>
  <c r="AI112" i="14"/>
  <c r="AI238" i="14"/>
  <c r="A16" i="20"/>
  <c r="AM16" i="20"/>
  <c r="AQ16" i="20"/>
  <c r="AR16" i="20"/>
  <c r="AS16" i="20"/>
  <c r="AU16" i="20"/>
  <c r="A57" i="20"/>
  <c r="AM57" i="20"/>
  <c r="AQ57" i="20"/>
  <c r="AS57" i="20"/>
  <c r="AU57" i="20"/>
  <c r="T26" i="19"/>
  <c r="T27" i="19"/>
  <c r="P27" i="19"/>
  <c r="U27" i="19"/>
  <c r="T25" i="19"/>
  <c r="P25" i="19"/>
  <c r="T24" i="19"/>
  <c r="P24" i="19"/>
  <c r="S25" i="19"/>
  <c r="S26" i="19"/>
  <c r="S27" i="19"/>
  <c r="S249" i="14"/>
  <c r="AT57" i="20"/>
  <c r="AR57" i="20"/>
  <c r="AT16" i="20"/>
  <c r="P26" i="19"/>
  <c r="U26" i="19"/>
  <c r="U25" i="19"/>
  <c r="A30" i="20"/>
  <c r="A21" i="20"/>
  <c r="A17" i="20"/>
  <c r="A18" i="20"/>
  <c r="A19" i="20"/>
  <c r="AJ32" i="40"/>
  <c r="AK32" i="40"/>
  <c r="AL32" i="40"/>
  <c r="AM32" i="40"/>
  <c r="AJ8" i="40"/>
  <c r="AM9" i="40"/>
  <c r="AM10" i="40"/>
  <c r="AM11" i="40"/>
  <c r="AM13" i="40"/>
  <c r="AM14" i="40"/>
  <c r="AM15" i="40"/>
  <c r="AM16" i="40"/>
  <c r="AM17" i="40"/>
  <c r="AM18" i="40"/>
  <c r="AM19" i="40"/>
  <c r="AM20" i="40"/>
  <c r="AM21" i="40"/>
  <c r="AM22" i="40"/>
  <c r="AM23" i="40"/>
  <c r="AM24" i="40"/>
  <c r="AM25" i="40"/>
  <c r="AM26" i="40"/>
  <c r="AM27" i="40"/>
  <c r="AM28" i="40"/>
  <c r="AM29" i="40"/>
  <c r="AM30" i="40"/>
  <c r="AM31" i="40"/>
  <c r="AM33" i="40"/>
  <c r="AM34" i="40"/>
  <c r="AM35" i="40"/>
  <c r="AM36" i="40"/>
  <c r="AM37" i="40"/>
  <c r="AM38" i="40"/>
  <c r="AM40" i="40"/>
  <c r="AL9" i="40"/>
  <c r="AL10" i="40"/>
  <c r="AL11" i="40"/>
  <c r="AL13" i="40"/>
  <c r="AL14" i="40"/>
  <c r="AL15" i="40"/>
  <c r="AL16" i="40"/>
  <c r="AL17" i="40"/>
  <c r="AL18" i="40"/>
  <c r="AL19" i="40"/>
  <c r="AL20" i="40"/>
  <c r="AL21" i="40"/>
  <c r="AL22" i="40"/>
  <c r="AL23" i="40"/>
  <c r="AL24" i="40"/>
  <c r="AL25" i="40"/>
  <c r="AL26" i="40"/>
  <c r="AL27" i="40"/>
  <c r="AL28" i="40"/>
  <c r="AL29" i="40"/>
  <c r="AL30" i="40"/>
  <c r="AL31" i="40"/>
  <c r="AL33" i="40"/>
  <c r="AL34" i="40"/>
  <c r="AL35" i="40"/>
  <c r="AL36" i="40"/>
  <c r="AL37" i="40"/>
  <c r="AL38" i="40"/>
  <c r="AL40" i="40"/>
  <c r="AK9" i="40"/>
  <c r="AK10" i="40"/>
  <c r="AK11" i="40"/>
  <c r="AK13" i="40"/>
  <c r="AK14" i="40"/>
  <c r="AK15" i="40"/>
  <c r="AK16" i="40"/>
  <c r="AK17" i="40"/>
  <c r="AK18" i="40"/>
  <c r="AK19" i="40"/>
  <c r="AK20" i="40"/>
  <c r="AK21" i="40"/>
  <c r="AK22" i="40"/>
  <c r="AK23" i="40"/>
  <c r="AK24" i="40"/>
  <c r="AK25" i="40"/>
  <c r="AK26" i="40"/>
  <c r="AK27" i="40"/>
  <c r="AK28" i="40"/>
  <c r="AK29" i="40"/>
  <c r="AK30" i="40"/>
  <c r="AK31" i="40"/>
  <c r="AK33" i="40"/>
  <c r="AK34" i="40"/>
  <c r="AK35" i="40"/>
  <c r="AK36" i="40"/>
  <c r="AK37" i="40"/>
  <c r="AK38" i="40"/>
  <c r="AK40" i="40"/>
  <c r="AJ9" i="40"/>
  <c r="AJ10" i="40"/>
  <c r="AJ11" i="40"/>
  <c r="AJ13" i="40"/>
  <c r="AJ14" i="40"/>
  <c r="AJ15" i="40"/>
  <c r="AJ16" i="40"/>
  <c r="AJ17" i="40"/>
  <c r="AJ18" i="40"/>
  <c r="AJ19" i="40"/>
  <c r="AJ20" i="40"/>
  <c r="AJ21" i="40"/>
  <c r="AJ22" i="40"/>
  <c r="AJ23" i="40"/>
  <c r="AJ24" i="40"/>
  <c r="AJ25" i="40"/>
  <c r="AJ26" i="40"/>
  <c r="AJ27" i="40"/>
  <c r="AJ28" i="40"/>
  <c r="AJ29" i="40"/>
  <c r="AJ30" i="40"/>
  <c r="AJ31" i="40"/>
  <c r="AJ33" i="40"/>
  <c r="AJ34" i="40"/>
  <c r="AJ35" i="40"/>
  <c r="AJ36" i="40"/>
  <c r="AJ37" i="40"/>
  <c r="AJ38" i="40"/>
  <c r="AJ40" i="40"/>
  <c r="D47" i="40"/>
  <c r="D48" i="40"/>
  <c r="C48" i="40"/>
  <c r="C47" i="40"/>
  <c r="E47" i="40"/>
  <c r="E48" i="40"/>
  <c r="AJ56" i="40"/>
  <c r="AK56" i="40"/>
  <c r="AL56" i="40"/>
  <c r="AM56" i="40"/>
  <c r="AN56" i="40"/>
  <c r="AJ53" i="40"/>
  <c r="AK53" i="40"/>
  <c r="AL53" i="40"/>
  <c r="AM53" i="40"/>
  <c r="AN53" i="40"/>
  <c r="AJ47" i="40"/>
  <c r="C30" i="40"/>
  <c r="D30" i="40"/>
  <c r="E30" i="40"/>
  <c r="C29" i="40"/>
  <c r="E16" i="40"/>
  <c r="AO53" i="40"/>
  <c r="AO56" i="40"/>
  <c r="E35" i="40"/>
  <c r="E36" i="40"/>
  <c r="E37" i="40"/>
  <c r="E38" i="40"/>
  <c r="E40" i="40"/>
  <c r="E34" i="40"/>
  <c r="D35" i="40"/>
  <c r="D36" i="40"/>
  <c r="D37" i="40"/>
  <c r="D38" i="40"/>
  <c r="D40" i="40"/>
  <c r="D34" i="40"/>
  <c r="C34" i="40"/>
  <c r="C35" i="40"/>
  <c r="C36" i="40"/>
  <c r="C38" i="40"/>
  <c r="C40" i="40"/>
  <c r="E17" i="40"/>
  <c r="E18" i="40"/>
  <c r="E19" i="40"/>
  <c r="E20" i="40"/>
  <c r="E21" i="40"/>
  <c r="E22" i="40"/>
  <c r="E23" i="40"/>
  <c r="E24" i="40"/>
  <c r="E25" i="40"/>
  <c r="E26" i="40"/>
  <c r="E27" i="40"/>
  <c r="E28" i="40"/>
  <c r="E29" i="40"/>
  <c r="E31" i="40"/>
  <c r="D17" i="40"/>
  <c r="D19" i="40"/>
  <c r="D20" i="40"/>
  <c r="D21" i="40"/>
  <c r="D22" i="40"/>
  <c r="D23" i="40"/>
  <c r="D24" i="40"/>
  <c r="D25" i="40"/>
  <c r="D26" i="40"/>
  <c r="D27" i="40"/>
  <c r="D28" i="40"/>
  <c r="D29" i="40"/>
  <c r="D31" i="40"/>
  <c r="C17" i="40"/>
  <c r="C18" i="40"/>
  <c r="C19" i="40"/>
  <c r="C20" i="40"/>
  <c r="C21" i="40"/>
  <c r="C22" i="40"/>
  <c r="C23" i="40"/>
  <c r="C24" i="40"/>
  <c r="C25" i="40"/>
  <c r="C26" i="40"/>
  <c r="C27" i="40"/>
  <c r="C28" i="40"/>
  <c r="C31" i="40"/>
  <c r="D16" i="40"/>
  <c r="AJ57" i="40"/>
  <c r="AK57" i="40"/>
  <c r="AL57" i="40"/>
  <c r="AM57" i="40"/>
  <c r="AN57" i="40"/>
  <c r="AJ58" i="40"/>
  <c r="AK58" i="40"/>
  <c r="AL58" i="40"/>
  <c r="AM58" i="40"/>
  <c r="AN58" i="40"/>
  <c r="AJ59" i="40"/>
  <c r="AK59" i="40"/>
  <c r="AL59" i="40"/>
  <c r="AM59" i="40"/>
  <c r="AN59" i="40"/>
  <c r="AJ60" i="40"/>
  <c r="AK60" i="40"/>
  <c r="AL60" i="40"/>
  <c r="AM60" i="40"/>
  <c r="AN60" i="40"/>
  <c r="AJ61" i="40"/>
  <c r="AK61" i="40"/>
  <c r="AL61" i="40"/>
  <c r="AM61" i="40"/>
  <c r="AN61" i="40"/>
  <c r="AJ62" i="40"/>
  <c r="AK62" i="40"/>
  <c r="AL62" i="40"/>
  <c r="AM62" i="40"/>
  <c r="AN62" i="40"/>
  <c r="AO59" i="40"/>
  <c r="AO62" i="40"/>
  <c r="AO58" i="40"/>
  <c r="AO61" i="40"/>
  <c r="AO57" i="40"/>
  <c r="AO60" i="40"/>
  <c r="E41" i="40"/>
  <c r="C41" i="40"/>
  <c r="D41" i="40"/>
  <c r="C32" i="40"/>
  <c r="E32" i="40"/>
  <c r="C42" i="40"/>
  <c r="E42" i="40"/>
  <c r="T28" i="19"/>
  <c r="T365" i="19"/>
  <c r="P365" i="19"/>
  <c r="U365" i="19"/>
  <c r="T366" i="19"/>
  <c r="P366" i="19"/>
  <c r="U366" i="19"/>
  <c r="T367" i="19"/>
  <c r="P367" i="19"/>
  <c r="U367" i="19"/>
  <c r="T29" i="19"/>
  <c r="P29" i="19"/>
  <c r="S29" i="19"/>
  <c r="S28" i="19"/>
  <c r="S24" i="19"/>
  <c r="U24" i="19"/>
  <c r="P28" i="19"/>
  <c r="U28" i="19"/>
  <c r="U29" i="19"/>
  <c r="W5" i="43"/>
  <c r="A168" i="20"/>
  <c r="A92" i="20"/>
  <c r="A35" i="20"/>
  <c r="AM168" i="20"/>
  <c r="AM92" i="20"/>
  <c r="AM35" i="20"/>
  <c r="AQ168" i="20"/>
  <c r="AQ92" i="20"/>
  <c r="AR92" i="20"/>
  <c r="AQ35" i="20"/>
  <c r="AR35" i="20"/>
  <c r="AS168" i="20"/>
  <c r="AS92" i="20"/>
  <c r="AU168" i="20"/>
  <c r="AU92" i="20"/>
  <c r="AU35" i="20"/>
  <c r="A161" i="20"/>
  <c r="A84" i="20"/>
  <c r="A52" i="20"/>
  <c r="AM161" i="20"/>
  <c r="AM84" i="20"/>
  <c r="AM52" i="20"/>
  <c r="AQ161" i="20"/>
  <c r="AQ84" i="20"/>
  <c r="AR84" i="20"/>
  <c r="AQ52" i="20"/>
  <c r="AR52" i="20"/>
  <c r="AS161" i="20"/>
  <c r="AS84" i="20"/>
  <c r="AS52" i="20"/>
  <c r="AU161" i="20"/>
  <c r="AU84" i="20"/>
  <c r="AU52" i="20"/>
  <c r="A40" i="20"/>
  <c r="AM40" i="20"/>
  <c r="AT40" i="20"/>
  <c r="AU40" i="20"/>
  <c r="A101" i="20"/>
  <c r="AM101" i="20"/>
  <c r="AQ101" i="20"/>
  <c r="AS101" i="20"/>
  <c r="AU101" i="20"/>
  <c r="A120" i="20"/>
  <c r="A99" i="20"/>
  <c r="AM120" i="20"/>
  <c r="AM99" i="20"/>
  <c r="AQ120" i="20"/>
  <c r="AR120" i="20"/>
  <c r="AQ99" i="20"/>
  <c r="AR99" i="20"/>
  <c r="AS120" i="20"/>
  <c r="AS99" i="20"/>
  <c r="AU120" i="20"/>
  <c r="AU99" i="20"/>
  <c r="A215" i="20"/>
  <c r="A131" i="20"/>
  <c r="A72" i="20"/>
  <c r="AM215" i="20"/>
  <c r="AM131" i="20"/>
  <c r="AM72" i="20"/>
  <c r="AQ215" i="20"/>
  <c r="AQ131" i="20"/>
  <c r="AQ72" i="20"/>
  <c r="AR72" i="20"/>
  <c r="AS215" i="20"/>
  <c r="AS131" i="20"/>
  <c r="AS72" i="20"/>
  <c r="AU215" i="20"/>
  <c r="AU131" i="20"/>
  <c r="AU72" i="20"/>
  <c r="A217" i="20"/>
  <c r="A141" i="20"/>
  <c r="A69" i="20"/>
  <c r="AM217" i="20"/>
  <c r="AM141" i="20"/>
  <c r="AM69" i="20"/>
  <c r="AQ217" i="20"/>
  <c r="AQ141" i="20"/>
  <c r="AR141" i="20"/>
  <c r="AQ69" i="20"/>
  <c r="AR69" i="20"/>
  <c r="AS217" i="20"/>
  <c r="AS141" i="20"/>
  <c r="AS69" i="20"/>
  <c r="AU217" i="20"/>
  <c r="AU141" i="20"/>
  <c r="AU69" i="20"/>
  <c r="A797" i="20"/>
  <c r="AM797" i="20"/>
  <c r="AQ797" i="20"/>
  <c r="AS797" i="20"/>
  <c r="AU797" i="20"/>
  <c r="AU1017" i="20"/>
  <c r="AU863" i="20"/>
  <c r="AU877" i="20"/>
  <c r="AU876" i="20"/>
  <c r="AS1017" i="20"/>
  <c r="AS863" i="20"/>
  <c r="AS877" i="20"/>
  <c r="AS876" i="20"/>
  <c r="AQ1017" i="20"/>
  <c r="AQ863" i="20"/>
  <c r="AQ877" i="20"/>
  <c r="AR877" i="20"/>
  <c r="AQ876" i="20"/>
  <c r="AM1017" i="20"/>
  <c r="AM863" i="20"/>
  <c r="AM877" i="20"/>
  <c r="AM876" i="20"/>
  <c r="A1017" i="20"/>
  <c r="A863" i="20"/>
  <c r="A877" i="20"/>
  <c r="A876" i="20"/>
  <c r="A953" i="20"/>
  <c r="A1027" i="20"/>
  <c r="A872" i="20"/>
  <c r="A875" i="20"/>
  <c r="AM953" i="20"/>
  <c r="AM1027" i="20"/>
  <c r="AM872" i="20"/>
  <c r="AM875" i="20"/>
  <c r="AQ953" i="20"/>
  <c r="AQ1027" i="20"/>
  <c r="AQ872" i="20"/>
  <c r="AR872" i="20"/>
  <c r="AQ875" i="20"/>
  <c r="AR875" i="20"/>
  <c r="AS953" i="20"/>
  <c r="AS1027" i="20"/>
  <c r="AS872" i="20"/>
  <c r="AS875" i="20"/>
  <c r="AU953" i="20"/>
  <c r="AU1027" i="20"/>
  <c r="AU872" i="20"/>
  <c r="AU875" i="20"/>
  <c r="A952" i="20"/>
  <c r="A1026" i="20"/>
  <c r="AM952" i="20"/>
  <c r="AM1026" i="20"/>
  <c r="AQ952" i="20"/>
  <c r="AR952" i="20"/>
  <c r="AQ1026" i="20"/>
  <c r="AR1026" i="20"/>
  <c r="AS952" i="20"/>
  <c r="AS1026" i="20"/>
  <c r="AU952" i="20"/>
  <c r="AU1026" i="20"/>
  <c r="A1038" i="20"/>
  <c r="AM1038" i="20"/>
  <c r="AQ1038" i="20"/>
  <c r="AS1038" i="20"/>
  <c r="AU1038" i="20"/>
  <c r="AT1038" i="20"/>
  <c r="AR1038" i="20"/>
  <c r="AT953" i="20"/>
  <c r="AR953" i="20"/>
  <c r="AT1017" i="20"/>
  <c r="AR1017" i="20"/>
  <c r="AT131" i="20"/>
  <c r="AR131" i="20"/>
  <c r="AT101" i="20"/>
  <c r="AR101" i="20"/>
  <c r="AT215" i="20"/>
  <c r="AR215" i="20"/>
  <c r="AT168" i="20"/>
  <c r="AR168" i="20"/>
  <c r="AT217" i="20"/>
  <c r="AR217" i="20"/>
  <c r="AT876" i="20"/>
  <c r="AR876" i="20"/>
  <c r="AT1027" i="20"/>
  <c r="AR1027" i="20"/>
  <c r="AT863" i="20"/>
  <c r="AR863" i="20"/>
  <c r="AT797" i="20"/>
  <c r="AR797" i="20"/>
  <c r="AT161" i="20"/>
  <c r="AR161" i="20"/>
  <c r="AT35" i="20"/>
  <c r="AT52" i="20"/>
  <c r="AT92" i="20"/>
  <c r="AT84" i="20"/>
  <c r="AT99" i="20"/>
  <c r="AT120" i="20"/>
  <c r="AT69" i="20"/>
  <c r="AT72" i="20"/>
  <c r="AT141" i="20"/>
  <c r="AT875" i="20"/>
  <c r="AT877" i="20"/>
  <c r="AT872" i="20"/>
  <c r="AT1026" i="20"/>
  <c r="AT952" i="20"/>
  <c r="S215" i="14"/>
  <c r="S255" i="14"/>
  <c r="AJ255" i="14"/>
  <c r="AK255" i="14"/>
  <c r="S256" i="14"/>
  <c r="S257" i="14"/>
  <c r="S258" i="14"/>
  <c r="AJ256" i="14"/>
  <c r="AK256" i="14"/>
  <c r="AJ257" i="14"/>
  <c r="AK257" i="14"/>
  <c r="AJ258" i="14"/>
  <c r="AK258" i="14"/>
  <c r="S259" i="14"/>
  <c r="S260" i="14"/>
  <c r="AJ259" i="14"/>
  <c r="AK259" i="14"/>
  <c r="AJ260" i="14"/>
  <c r="AK260" i="14"/>
  <c r="S261" i="14"/>
  <c r="AJ261" i="14"/>
  <c r="AK261" i="14"/>
  <c r="S30" i="19"/>
  <c r="T30" i="19"/>
  <c r="S21" i="19"/>
  <c r="T21" i="19"/>
  <c r="P21" i="19"/>
  <c r="U21" i="19"/>
  <c r="S22" i="19"/>
  <c r="T22" i="19"/>
  <c r="A151" i="20"/>
  <c r="A87" i="20"/>
  <c r="A59" i="20"/>
  <c r="A44" i="20"/>
  <c r="AM151" i="20"/>
  <c r="AM87" i="20"/>
  <c r="AM59" i="20"/>
  <c r="AM44" i="20"/>
  <c r="AQ151" i="20"/>
  <c r="AQ87" i="20"/>
  <c r="AQ59" i="20"/>
  <c r="AR59" i="20"/>
  <c r="AQ44" i="20"/>
  <c r="AR44" i="20"/>
  <c r="AS151" i="20"/>
  <c r="AS87" i="20"/>
  <c r="AS59" i="20"/>
  <c r="AS44" i="20"/>
  <c r="AU151" i="20"/>
  <c r="AU87" i="20"/>
  <c r="AU59" i="20"/>
  <c r="AU44" i="20"/>
  <c r="A172" i="20"/>
  <c r="A96" i="20"/>
  <c r="A38" i="20"/>
  <c r="AM172" i="20"/>
  <c r="AM96" i="20"/>
  <c r="AM38" i="20"/>
  <c r="AQ172" i="20"/>
  <c r="AQ96" i="20"/>
  <c r="AR96" i="20"/>
  <c r="AQ38" i="20"/>
  <c r="AR38" i="20"/>
  <c r="AS172" i="20"/>
  <c r="AS96" i="20"/>
  <c r="AU172" i="20"/>
  <c r="AU96" i="20"/>
  <c r="AU38" i="20"/>
  <c r="A176" i="20"/>
  <c r="A171" i="20"/>
  <c r="A89" i="20"/>
  <c r="A61" i="20"/>
  <c r="A43" i="20"/>
  <c r="AM176" i="20"/>
  <c r="AM171" i="20"/>
  <c r="AM89" i="20"/>
  <c r="AM61" i="20"/>
  <c r="AM43" i="20"/>
  <c r="AQ176" i="20"/>
  <c r="AQ171" i="20"/>
  <c r="AQ89" i="20"/>
  <c r="AQ61" i="20"/>
  <c r="AR61" i="20"/>
  <c r="AQ43" i="20"/>
  <c r="AR43" i="20"/>
  <c r="AS176" i="20"/>
  <c r="AS171" i="20"/>
  <c r="AS89" i="20"/>
  <c r="AS61" i="20"/>
  <c r="AS43" i="20"/>
  <c r="AU176" i="20"/>
  <c r="AU171" i="20"/>
  <c r="AU89" i="20"/>
  <c r="AU61" i="20"/>
  <c r="AU43" i="20"/>
  <c r="A170" i="20"/>
  <c r="A86" i="20"/>
  <c r="A60" i="20"/>
  <c r="A42" i="20"/>
  <c r="AM170" i="20"/>
  <c r="AM86" i="20"/>
  <c r="AM60" i="20"/>
  <c r="AM42" i="20"/>
  <c r="AQ170" i="20"/>
  <c r="AQ86" i="20"/>
  <c r="AR86" i="20"/>
  <c r="AQ60" i="20"/>
  <c r="AR60" i="20"/>
  <c r="AQ42" i="20"/>
  <c r="AS170" i="20"/>
  <c r="AS86" i="20"/>
  <c r="AS60" i="20"/>
  <c r="AS42" i="20"/>
  <c r="AU170" i="20"/>
  <c r="AU86" i="20"/>
  <c r="AU60" i="20"/>
  <c r="AU42" i="20"/>
  <c r="A173" i="20"/>
  <c r="A95" i="20"/>
  <c r="A37" i="20"/>
  <c r="AM173" i="20"/>
  <c r="AM95" i="20"/>
  <c r="AM37" i="20"/>
  <c r="AQ173" i="20"/>
  <c r="AR173" i="20"/>
  <c r="AQ95" i="20"/>
  <c r="AQ37" i="20"/>
  <c r="AR37" i="20"/>
  <c r="AS173" i="20"/>
  <c r="AS95" i="20"/>
  <c r="AU173" i="20"/>
  <c r="AU95" i="20"/>
  <c r="AU37" i="20"/>
  <c r="A85" i="20"/>
  <c r="AM85" i="20"/>
  <c r="AQ85" i="20"/>
  <c r="AS85" i="20"/>
  <c r="AU85" i="20"/>
  <c r="A163" i="20"/>
  <c r="A53" i="20"/>
  <c r="A41" i="20"/>
  <c r="AM163" i="20"/>
  <c r="AM53" i="20"/>
  <c r="AM41" i="20"/>
  <c r="AQ163" i="20"/>
  <c r="AQ53" i="20"/>
  <c r="AR53" i="20"/>
  <c r="AQ41" i="20"/>
  <c r="AR41" i="20"/>
  <c r="AS163" i="20"/>
  <c r="AS53" i="20"/>
  <c r="AU163" i="20"/>
  <c r="AU53" i="20"/>
  <c r="AU41" i="20"/>
  <c r="A167" i="20"/>
  <c r="A91" i="20"/>
  <c r="A34" i="20"/>
  <c r="AM167" i="20"/>
  <c r="AM91" i="20"/>
  <c r="AM34" i="20"/>
  <c r="AQ167" i="20"/>
  <c r="AQ91" i="20"/>
  <c r="AR91" i="20"/>
  <c r="AQ34" i="20"/>
  <c r="AR34" i="20"/>
  <c r="AS167" i="20"/>
  <c r="AS91" i="20"/>
  <c r="AU167" i="20"/>
  <c r="AU91" i="20"/>
  <c r="AU34" i="20"/>
  <c r="A169" i="20"/>
  <c r="A93" i="20"/>
  <c r="A36" i="20"/>
  <c r="AM169" i="20"/>
  <c r="AM93" i="20"/>
  <c r="AM36" i="20"/>
  <c r="AQ169" i="20"/>
  <c r="AR169" i="20"/>
  <c r="AQ93" i="20"/>
  <c r="AR93" i="20"/>
  <c r="AQ36" i="20"/>
  <c r="AS169" i="20"/>
  <c r="AS93" i="20"/>
  <c r="AU169" i="20"/>
  <c r="AU93" i="20"/>
  <c r="AU36" i="20"/>
  <c r="A166" i="20"/>
  <c r="A90" i="20"/>
  <c r="A33" i="20"/>
  <c r="AM166" i="20"/>
  <c r="AM90" i="20"/>
  <c r="AM33" i="20"/>
  <c r="AQ166" i="20"/>
  <c r="AR166" i="20"/>
  <c r="AQ90" i="20"/>
  <c r="AR90" i="20"/>
  <c r="AQ33" i="20"/>
  <c r="AR33" i="20"/>
  <c r="AS166" i="20"/>
  <c r="AS90" i="20"/>
  <c r="AU166" i="20"/>
  <c r="AU90" i="20"/>
  <c r="AU33" i="20"/>
  <c r="A62" i="20"/>
  <c r="AM62" i="20"/>
  <c r="AQ62" i="20"/>
  <c r="AS62" i="20"/>
  <c r="AU62" i="20"/>
  <c r="A175" i="20"/>
  <c r="A149" i="20"/>
  <c r="A88" i="20"/>
  <c r="A58" i="20"/>
  <c r="A39" i="20"/>
  <c r="AM175" i="20"/>
  <c r="AM149" i="20"/>
  <c r="AM88" i="20"/>
  <c r="AM58" i="20"/>
  <c r="AM39" i="20"/>
  <c r="AQ175" i="20"/>
  <c r="AQ149" i="20"/>
  <c r="AQ88" i="20"/>
  <c r="AR88" i="20"/>
  <c r="AQ58" i="20"/>
  <c r="AR58" i="20"/>
  <c r="AQ39" i="20"/>
  <c r="AR39" i="20"/>
  <c r="AS175" i="20"/>
  <c r="AS149" i="20"/>
  <c r="AS88" i="20"/>
  <c r="AS58" i="20"/>
  <c r="AU175" i="20"/>
  <c r="AU149" i="20"/>
  <c r="AU88" i="20"/>
  <c r="AU58" i="20"/>
  <c r="AU39" i="20"/>
  <c r="A139" i="20"/>
  <c r="A79" i="20"/>
  <c r="AM139" i="20"/>
  <c r="AM79" i="20"/>
  <c r="AQ139" i="20"/>
  <c r="AR139" i="20"/>
  <c r="AQ79" i="20"/>
  <c r="AR79" i="20"/>
  <c r="AS139" i="20"/>
  <c r="AS79" i="20"/>
  <c r="AU139" i="20"/>
  <c r="AU79" i="20"/>
  <c r="A140" i="20"/>
  <c r="A97" i="20"/>
  <c r="A80" i="20"/>
  <c r="A48" i="20"/>
  <c r="AM140" i="20"/>
  <c r="AM97" i="20"/>
  <c r="AM80" i="20"/>
  <c r="AM48" i="20"/>
  <c r="AQ140" i="20"/>
  <c r="AQ97" i="20"/>
  <c r="AQ80" i="20"/>
  <c r="AQ48" i="20"/>
  <c r="AR48" i="20"/>
  <c r="AS140" i="20"/>
  <c r="AS97" i="20"/>
  <c r="AS80" i="20"/>
  <c r="AS48" i="20"/>
  <c r="AU140" i="20"/>
  <c r="AU97" i="20"/>
  <c r="AU80" i="20"/>
  <c r="AU48" i="20"/>
  <c r="A138" i="20"/>
  <c r="A121" i="20"/>
  <c r="AM121" i="20"/>
  <c r="AQ121" i="20"/>
  <c r="AR121" i="20"/>
  <c r="AS121" i="20"/>
  <c r="AU121" i="20"/>
  <c r="A100" i="20"/>
  <c r="A81" i="20"/>
  <c r="A50" i="20"/>
  <c r="AM138" i="20"/>
  <c r="AM100" i="20"/>
  <c r="AM81" i="20"/>
  <c r="AM50" i="20"/>
  <c r="AQ138" i="20"/>
  <c r="AR138" i="20"/>
  <c r="AQ100" i="20"/>
  <c r="AR100" i="20"/>
  <c r="AQ81" i="20"/>
  <c r="AQ50" i="20"/>
  <c r="AR50" i="20"/>
  <c r="AS138" i="20"/>
  <c r="AS100" i="20"/>
  <c r="AS81" i="20"/>
  <c r="AS50" i="20"/>
  <c r="AU138" i="20"/>
  <c r="AU100" i="20"/>
  <c r="AU81" i="20"/>
  <c r="AU50" i="20"/>
  <c r="A49" i="20"/>
  <c r="AM49" i="20"/>
  <c r="AQ49" i="20"/>
  <c r="AS49" i="20"/>
  <c r="AU49" i="20"/>
  <c r="A136" i="20"/>
  <c r="A78" i="20"/>
  <c r="AM136" i="20"/>
  <c r="AM78" i="20"/>
  <c r="AQ136" i="20"/>
  <c r="AR136" i="20"/>
  <c r="AQ78" i="20"/>
  <c r="AR78" i="20"/>
  <c r="AS136" i="20"/>
  <c r="AS78" i="20"/>
  <c r="AU136" i="20"/>
  <c r="AU78" i="20"/>
  <c r="A135" i="20"/>
  <c r="A77" i="20"/>
  <c r="AM135" i="20"/>
  <c r="AM77" i="20"/>
  <c r="AQ135" i="20"/>
  <c r="AR135" i="20"/>
  <c r="AQ77" i="20"/>
  <c r="AR77" i="20"/>
  <c r="AS135" i="20"/>
  <c r="AS77" i="20"/>
  <c r="AU135" i="20"/>
  <c r="AU77" i="20"/>
  <c r="A118" i="20"/>
  <c r="AM118" i="20"/>
  <c r="AQ118" i="20"/>
  <c r="AR118" i="20"/>
  <c r="AS118" i="20"/>
  <c r="AU118" i="20"/>
  <c r="A143" i="20"/>
  <c r="AM143" i="20"/>
  <c r="AQ143" i="20"/>
  <c r="AS143" i="20"/>
  <c r="AU143" i="20"/>
  <c r="A220" i="20"/>
  <c r="A74" i="20"/>
  <c r="AM220" i="20"/>
  <c r="AM74" i="20"/>
  <c r="AQ220" i="20"/>
  <c r="AR220" i="20"/>
  <c r="AQ74" i="20"/>
  <c r="AR74" i="20"/>
  <c r="AS220" i="20"/>
  <c r="AS74" i="20"/>
  <c r="AU220" i="20"/>
  <c r="AU74" i="20"/>
  <c r="A213" i="20"/>
  <c r="A129" i="20"/>
  <c r="AM213" i="20"/>
  <c r="AM129" i="20"/>
  <c r="AQ213" i="20"/>
  <c r="AR213" i="20"/>
  <c r="AQ129" i="20"/>
  <c r="AR129" i="20"/>
  <c r="AS213" i="20"/>
  <c r="AS129" i="20"/>
  <c r="AU213" i="20"/>
  <c r="AU129" i="20"/>
  <c r="A67" i="20"/>
  <c r="AM67" i="20"/>
  <c r="AQ67" i="20"/>
  <c r="AS67" i="20"/>
  <c r="AU67" i="20"/>
  <c r="A222" i="20"/>
  <c r="AM222" i="20"/>
  <c r="AQ222" i="20"/>
  <c r="AS222" i="20"/>
  <c r="AU222" i="20"/>
  <c r="A134" i="20"/>
  <c r="A66" i="20"/>
  <c r="AM134" i="20"/>
  <c r="AM66" i="20"/>
  <c r="AQ134" i="20"/>
  <c r="AR134" i="20"/>
  <c r="AQ66" i="20"/>
  <c r="AR66" i="20"/>
  <c r="AS134" i="20"/>
  <c r="AS66" i="20"/>
  <c r="AU134" i="20"/>
  <c r="AU66" i="20"/>
  <c r="A219" i="20"/>
  <c r="A142" i="20"/>
  <c r="AM219" i="20"/>
  <c r="AM142" i="20"/>
  <c r="AQ219" i="20"/>
  <c r="AR219" i="20"/>
  <c r="AQ142" i="20"/>
  <c r="AR142" i="20"/>
  <c r="AS219" i="20"/>
  <c r="AS142" i="20"/>
  <c r="AU219" i="20"/>
  <c r="AU142" i="20"/>
  <c r="A76" i="20"/>
  <c r="AM76" i="20"/>
  <c r="AQ76" i="20"/>
  <c r="AR76" i="20"/>
  <c r="AS76" i="20"/>
  <c r="AU76" i="20"/>
  <c r="A212" i="20"/>
  <c r="A128" i="20"/>
  <c r="AM212" i="20"/>
  <c r="AM128" i="20"/>
  <c r="AQ212" i="20"/>
  <c r="AR212" i="20"/>
  <c r="AQ128" i="20"/>
  <c r="AR128" i="20"/>
  <c r="AS212" i="20"/>
  <c r="AS128" i="20"/>
  <c r="AU212" i="20"/>
  <c r="AU128" i="20"/>
  <c r="A65" i="20"/>
  <c r="AM65" i="20"/>
  <c r="AQ65" i="20"/>
  <c r="AS65" i="20"/>
  <c r="AU65" i="20"/>
  <c r="A218" i="20"/>
  <c r="AM218" i="20"/>
  <c r="AQ218" i="20"/>
  <c r="AR218" i="20"/>
  <c r="AS218" i="20"/>
  <c r="AU218" i="20"/>
  <c r="A137" i="20"/>
  <c r="A73" i="20"/>
  <c r="AM137" i="20"/>
  <c r="AM73" i="20"/>
  <c r="AQ137" i="20"/>
  <c r="AR137" i="20"/>
  <c r="AQ73" i="20"/>
  <c r="AR73" i="20"/>
  <c r="AS137" i="20"/>
  <c r="AS73" i="20"/>
  <c r="AU137" i="20"/>
  <c r="AU73" i="20"/>
  <c r="A214" i="20"/>
  <c r="A130" i="20"/>
  <c r="A71" i="20"/>
  <c r="AM214" i="20"/>
  <c r="AM130" i="20"/>
  <c r="AM71" i="20"/>
  <c r="AQ214" i="20"/>
  <c r="AQ130" i="20"/>
  <c r="AR130" i="20"/>
  <c r="AQ71" i="20"/>
  <c r="AR71" i="20"/>
  <c r="AS214" i="20"/>
  <c r="AS130" i="20"/>
  <c r="AS71" i="20"/>
  <c r="AU214" i="20"/>
  <c r="AU130" i="20"/>
  <c r="AU71" i="20"/>
  <c r="A216" i="20"/>
  <c r="A132" i="20"/>
  <c r="AM216" i="20"/>
  <c r="AM132" i="20"/>
  <c r="AQ216" i="20"/>
  <c r="AR216" i="20"/>
  <c r="AQ132" i="20"/>
  <c r="AR132" i="20"/>
  <c r="AS216" i="20"/>
  <c r="AS132" i="20"/>
  <c r="AU216" i="20"/>
  <c r="AU132" i="20"/>
  <c r="A68" i="20"/>
  <c r="AM68" i="20"/>
  <c r="AQ68" i="20"/>
  <c r="AR68" i="20"/>
  <c r="AS68" i="20"/>
  <c r="AU68" i="20"/>
  <c r="A124" i="20"/>
  <c r="AM124" i="20"/>
  <c r="AQ124" i="20"/>
  <c r="AS124" i="20"/>
  <c r="AU124" i="20"/>
  <c r="A850" i="20"/>
  <c r="A70" i="20"/>
  <c r="AM850" i="20"/>
  <c r="AM70" i="20"/>
  <c r="AQ850" i="20"/>
  <c r="AR850" i="20"/>
  <c r="AQ70" i="20"/>
  <c r="AR70" i="20"/>
  <c r="AS850" i="20"/>
  <c r="AS70" i="20"/>
  <c r="AU850" i="20"/>
  <c r="AU70" i="20"/>
  <c r="A119" i="20"/>
  <c r="AM119" i="20"/>
  <c r="AQ119" i="20"/>
  <c r="AR119" i="20"/>
  <c r="AS119" i="20"/>
  <c r="AU119" i="20"/>
  <c r="A122" i="20"/>
  <c r="AM122" i="20"/>
  <c r="AQ122" i="20"/>
  <c r="AS122" i="20"/>
  <c r="AU122" i="20"/>
  <c r="A63" i="20"/>
  <c r="AM63" i="20"/>
  <c r="AQ63" i="20"/>
  <c r="AS63" i="20"/>
  <c r="AU63" i="20"/>
  <c r="A144" i="20"/>
  <c r="AM144" i="20"/>
  <c r="AQ144" i="20"/>
  <c r="AS144" i="20"/>
  <c r="AU144" i="20"/>
  <c r="A221" i="20"/>
  <c r="A75" i="20"/>
  <c r="AM221" i="20"/>
  <c r="AM75" i="20"/>
  <c r="AQ221" i="20"/>
  <c r="AR221" i="20"/>
  <c r="AQ75" i="20"/>
  <c r="AR75" i="20"/>
  <c r="AS221" i="20"/>
  <c r="AS75" i="20"/>
  <c r="AU221" i="20"/>
  <c r="AU75" i="20"/>
  <c r="A845" i="20"/>
  <c r="AM845" i="20"/>
  <c r="AQ845" i="20"/>
  <c r="AS845" i="20"/>
  <c r="AU845" i="20"/>
  <c r="A862" i="20"/>
  <c r="AM862" i="20"/>
  <c r="AQ862" i="20"/>
  <c r="AS862" i="20"/>
  <c r="AU862" i="20"/>
  <c r="A1015" i="20"/>
  <c r="A874" i="20"/>
  <c r="AM1015" i="20"/>
  <c r="AM874" i="20"/>
  <c r="AQ1015" i="20"/>
  <c r="AR1015" i="20"/>
  <c r="AQ874" i="20"/>
  <c r="AR874" i="20"/>
  <c r="AS1015" i="20"/>
  <c r="AS874" i="20"/>
  <c r="AU1015" i="20"/>
  <c r="AU874" i="20"/>
  <c r="A1014" i="20"/>
  <c r="A873" i="20"/>
  <c r="AM1014" i="20"/>
  <c r="AM873" i="20"/>
  <c r="AQ1014" i="20"/>
  <c r="AR1014" i="20"/>
  <c r="AQ873" i="20"/>
  <c r="AR873" i="20"/>
  <c r="AS1014" i="20"/>
  <c r="AS873" i="20"/>
  <c r="AU1014" i="20"/>
  <c r="AU873" i="20"/>
  <c r="A1016" i="20"/>
  <c r="AM1016" i="20"/>
  <c r="AQ1016" i="20"/>
  <c r="AR1016" i="20"/>
  <c r="AS1016" i="20"/>
  <c r="AU1016" i="20"/>
  <c r="A951" i="20"/>
  <c r="A1025" i="20"/>
  <c r="AM951" i="20"/>
  <c r="AM1025" i="20"/>
  <c r="AQ951" i="20"/>
  <c r="AR951" i="20"/>
  <c r="AQ1025" i="20"/>
  <c r="AR1025" i="20"/>
  <c r="AS951" i="20"/>
  <c r="AS1025" i="20"/>
  <c r="AU951" i="20"/>
  <c r="AU1025" i="20"/>
  <c r="A965" i="20"/>
  <c r="AM965" i="20"/>
  <c r="AQ965" i="20"/>
  <c r="AS965" i="20"/>
  <c r="AU965" i="20"/>
  <c r="A1035" i="20"/>
  <c r="AM1035" i="20"/>
  <c r="AQ1035" i="20"/>
  <c r="AR1035" i="20"/>
  <c r="AS1035" i="20"/>
  <c r="AU1035" i="20"/>
  <c r="A1032" i="20"/>
  <c r="AM1032" i="20"/>
  <c r="AQ1032" i="20"/>
  <c r="AS1032" i="20"/>
  <c r="AU1032" i="20"/>
  <c r="A950" i="20"/>
  <c r="A1033" i="20"/>
  <c r="AM950" i="20"/>
  <c r="AM1033" i="20"/>
  <c r="AQ950" i="20"/>
  <c r="AR950" i="20"/>
  <c r="AQ1033" i="20"/>
  <c r="AR1033" i="20"/>
  <c r="AS950" i="20"/>
  <c r="AS1033" i="20"/>
  <c r="AU950" i="20"/>
  <c r="AU1033" i="20"/>
  <c r="A1030" i="20"/>
  <c r="AM1030" i="20"/>
  <c r="AQ1030" i="20"/>
  <c r="AR1030" i="20"/>
  <c r="AS1030" i="20"/>
  <c r="AU1030" i="20"/>
  <c r="A31" i="20"/>
  <c r="AM31" i="20"/>
  <c r="AQ31" i="20"/>
  <c r="AU31" i="20"/>
  <c r="A1024" i="20"/>
  <c r="AM1024" i="20"/>
  <c r="AQ1024" i="20"/>
  <c r="AR1024" i="20"/>
  <c r="AS1024" i="20"/>
  <c r="AU1024" i="20"/>
  <c r="A893" i="20"/>
  <c r="AM893" i="20"/>
  <c r="AQ893" i="20"/>
  <c r="AS893" i="20"/>
  <c r="AU893" i="20"/>
  <c r="A1023" i="20"/>
  <c r="AM1023" i="20"/>
  <c r="AQ1023" i="20"/>
  <c r="AR1023" i="20"/>
  <c r="AS1023" i="20"/>
  <c r="AU1023" i="20"/>
  <c r="A1040" i="20"/>
  <c r="AM1040" i="20"/>
  <c r="AQ1040" i="20"/>
  <c r="AS1040" i="20"/>
  <c r="AU1040" i="20"/>
  <c r="A861" i="20"/>
  <c r="A1013" i="20"/>
  <c r="AM861" i="20"/>
  <c r="AM1013" i="20"/>
  <c r="AQ861" i="20"/>
  <c r="AR861" i="20"/>
  <c r="AQ1013" i="20"/>
  <c r="AR1013" i="20"/>
  <c r="AS861" i="20"/>
  <c r="AS1013" i="20"/>
  <c r="AU861" i="20"/>
  <c r="AU1013" i="20"/>
  <c r="A1028" i="20"/>
  <c r="AM1028" i="20"/>
  <c r="AQ1028" i="20"/>
  <c r="AR1028" i="20"/>
  <c r="AS1028" i="20"/>
  <c r="AU1028" i="20"/>
  <c r="A964" i="20"/>
  <c r="AM964" i="20"/>
  <c r="AQ964" i="20"/>
  <c r="AS964" i="20"/>
  <c r="AU964" i="20"/>
  <c r="A1029" i="20"/>
  <c r="AM1029" i="20"/>
  <c r="AQ1029" i="20"/>
  <c r="AS1029" i="20"/>
  <c r="AU1029" i="20"/>
  <c r="A1031" i="20"/>
  <c r="AM1031" i="20"/>
  <c r="AQ1031" i="20"/>
  <c r="AS1031" i="20"/>
  <c r="AU1031" i="20"/>
  <c r="A913" i="20"/>
  <c r="AM913" i="20"/>
  <c r="AQ913" i="20"/>
  <c r="AR913" i="20"/>
  <c r="AS913" i="20"/>
  <c r="AU913" i="20"/>
  <c r="A1037" i="20"/>
  <c r="AM1037" i="20"/>
  <c r="AQ1037" i="20"/>
  <c r="AS1037" i="20"/>
  <c r="AU1037" i="20"/>
  <c r="A998" i="20"/>
  <c r="A991" i="20"/>
  <c r="AM998" i="20"/>
  <c r="AM991" i="20"/>
  <c r="AQ998" i="20"/>
  <c r="AR998" i="20"/>
  <c r="AQ991" i="20"/>
  <c r="AR991" i="20"/>
  <c r="AS998" i="20"/>
  <c r="AS991" i="20"/>
  <c r="AU998" i="20"/>
  <c r="AU991" i="20"/>
  <c r="S33" i="19"/>
  <c r="T33" i="19"/>
  <c r="P33" i="19"/>
  <c r="S36" i="19"/>
  <c r="T36" i="19"/>
  <c r="P36" i="19"/>
  <c r="U36" i="19"/>
  <c r="S254" i="14"/>
  <c r="AJ254" i="14"/>
  <c r="AK254" i="14"/>
  <c r="S5" i="19"/>
  <c r="T5" i="19"/>
  <c r="S37" i="19"/>
  <c r="T37" i="19"/>
  <c r="P37" i="19"/>
  <c r="A3" i="37"/>
  <c r="A3" i="30"/>
  <c r="A3" i="20"/>
  <c r="C5" i="62"/>
  <c r="A3" i="45"/>
  <c r="A3" i="36"/>
  <c r="A3" i="19"/>
  <c r="B6" i="40"/>
  <c r="A3" i="91"/>
  <c r="A3" i="33"/>
  <c r="A3" i="14"/>
  <c r="C5" i="35"/>
  <c r="C5" i="43"/>
  <c r="S24" i="14"/>
  <c r="AJ24" i="14"/>
  <c r="AK24" i="14"/>
  <c r="A45" i="20"/>
  <c r="AM45" i="20"/>
  <c r="AQ45" i="20"/>
  <c r="AR45" i="20"/>
  <c r="AS45" i="20"/>
  <c r="AU45" i="20"/>
  <c r="A54" i="20"/>
  <c r="AM54" i="20"/>
  <c r="AQ54" i="20"/>
  <c r="AR54" i="20"/>
  <c r="AS54" i="20"/>
  <c r="AU54" i="20"/>
  <c r="A82" i="20"/>
  <c r="AM82" i="20"/>
  <c r="AQ82" i="20"/>
  <c r="AS82" i="20"/>
  <c r="AU82" i="20"/>
  <c r="AQ1006" i="20"/>
  <c r="AR1006" i="20"/>
  <c r="T34" i="19"/>
  <c r="P34" i="19"/>
  <c r="U34" i="19"/>
  <c r="S34" i="19"/>
  <c r="AS51" i="20"/>
  <c r="AF213" i="14"/>
  <c r="AH213" i="14"/>
  <c r="B15" i="36"/>
  <c r="P15" i="36"/>
  <c r="A64" i="20"/>
  <c r="AM64" i="20"/>
  <c r="AQ64" i="20"/>
  <c r="AS64" i="20"/>
  <c r="AU64" i="20"/>
  <c r="AU83" i="20"/>
  <c r="AU46" i="20"/>
  <c r="AU32" i="20"/>
  <c r="AU51" i="20"/>
  <c r="AU55" i="20"/>
  <c r="AU56" i="20"/>
  <c r="A56" i="20"/>
  <c r="AM56" i="20"/>
  <c r="AQ56" i="20"/>
  <c r="AR56" i="20"/>
  <c r="AS56" i="20"/>
  <c r="A46" i="20"/>
  <c r="A47" i="20"/>
  <c r="A32" i="20"/>
  <c r="AM46" i="20"/>
  <c r="AM47" i="20"/>
  <c r="AM32" i="20"/>
  <c r="AQ46" i="20"/>
  <c r="AR46" i="20"/>
  <c r="AQ47" i="20"/>
  <c r="AQ32" i="20"/>
  <c r="AR32" i="20"/>
  <c r="AS46" i="20"/>
  <c r="AS47" i="20"/>
  <c r="AU47" i="20"/>
  <c r="S41" i="19"/>
  <c r="T41" i="19"/>
  <c r="P41" i="19"/>
  <c r="U41" i="19"/>
  <c r="S42" i="19"/>
  <c r="S40" i="19"/>
  <c r="S44" i="19"/>
  <c r="S45" i="19"/>
  <c r="S38" i="19"/>
  <c r="S43" i="19"/>
  <c r="S46" i="19"/>
  <c r="S31" i="19"/>
  <c r="S32" i="19"/>
  <c r="S35" i="19"/>
  <c r="S39" i="19"/>
  <c r="T42" i="19"/>
  <c r="P42" i="19"/>
  <c r="U42" i="19"/>
  <c r="T40" i="19"/>
  <c r="P40" i="19"/>
  <c r="U40" i="19"/>
  <c r="T44" i="19"/>
  <c r="P44" i="19"/>
  <c r="U44" i="19"/>
  <c r="T45" i="19"/>
  <c r="P45" i="19"/>
  <c r="U45" i="19"/>
  <c r="T38" i="19"/>
  <c r="P38" i="19"/>
  <c r="U38" i="19"/>
  <c r="T43" i="19"/>
  <c r="P43" i="19"/>
  <c r="T46" i="19"/>
  <c r="P46" i="19"/>
  <c r="U46" i="19"/>
  <c r="T31" i="19"/>
  <c r="P31" i="19"/>
  <c r="U31" i="19"/>
  <c r="T32" i="19"/>
  <c r="P32" i="19"/>
  <c r="U32" i="19"/>
  <c r="T35" i="19"/>
  <c r="P35" i="19"/>
  <c r="U35" i="19"/>
  <c r="T39" i="19"/>
  <c r="P39" i="19"/>
  <c r="U39" i="19"/>
  <c r="S47" i="19"/>
  <c r="S48" i="19"/>
  <c r="T47" i="19"/>
  <c r="T48" i="19"/>
  <c r="P48" i="19"/>
  <c r="U48" i="19"/>
  <c r="A1339" i="20"/>
  <c r="AM1339" i="20"/>
  <c r="AQ1339" i="20"/>
  <c r="AS1339" i="20"/>
  <c r="AU1339" i="20"/>
  <c r="A51" i="20"/>
  <c r="AM51" i="20"/>
  <c r="AQ51" i="20"/>
  <c r="AR51" i="20"/>
  <c r="AU1338" i="20"/>
  <c r="AU1337" i="20"/>
  <c r="AU1336" i="20"/>
  <c r="AU1335" i="20"/>
  <c r="AU1334" i="20"/>
  <c r="AU1333" i="20"/>
  <c r="AU1332" i="20"/>
  <c r="AU1331" i="20"/>
  <c r="AU1330" i="20"/>
  <c r="AU1329" i="20"/>
  <c r="AU1328" i="20"/>
  <c r="AU1327" i="20"/>
  <c r="AU1326" i="20"/>
  <c r="AU1325" i="20"/>
  <c r="AU1324" i="20"/>
  <c r="AU1323" i="20"/>
  <c r="AU1322" i="20"/>
  <c r="AU1321" i="20"/>
  <c r="AU1320" i="20"/>
  <c r="AU1319" i="20"/>
  <c r="AU1318" i="20"/>
  <c r="AU1317" i="20"/>
  <c r="AU1316" i="20"/>
  <c r="AU1315" i="20"/>
  <c r="AU1314" i="20"/>
  <c r="AU1313" i="20"/>
  <c r="AU1312" i="20"/>
  <c r="AU1311" i="20"/>
  <c r="AU1310" i="20"/>
  <c r="AU1309" i="20"/>
  <c r="AU1308" i="20"/>
  <c r="AU1307" i="20"/>
  <c r="AU1306" i="20"/>
  <c r="AU1305" i="20"/>
  <c r="AU1304" i="20"/>
  <c r="AU1303" i="20"/>
  <c r="AU1302" i="20"/>
  <c r="AU1301" i="20"/>
  <c r="AU1300" i="20"/>
  <c r="AU1299" i="20"/>
  <c r="AU1298" i="20"/>
  <c r="AU1297" i="20"/>
  <c r="AU1296" i="20"/>
  <c r="AU1295" i="20"/>
  <c r="AU1294" i="20"/>
  <c r="AU1293" i="20"/>
  <c r="AU1292" i="20"/>
  <c r="AU1291" i="20"/>
  <c r="AU1290" i="20"/>
  <c r="AU1289" i="20"/>
  <c r="AU1288" i="20"/>
  <c r="AU1287" i="20"/>
  <c r="AU1286" i="20"/>
  <c r="AU1285" i="20"/>
  <c r="AU1284" i="20"/>
  <c r="AU1283" i="20"/>
  <c r="AU1282" i="20"/>
  <c r="AU1281" i="20"/>
  <c r="AU1280" i="20"/>
  <c r="AU1279" i="20"/>
  <c r="AU1278" i="20"/>
  <c r="AU1277" i="20"/>
  <c r="AU1276" i="20"/>
  <c r="AU1275" i="20"/>
  <c r="AU1274" i="20"/>
  <c r="AU1273" i="20"/>
  <c r="AU1272" i="20"/>
  <c r="AU1271" i="20"/>
  <c r="AU1270" i="20"/>
  <c r="AU1269" i="20"/>
  <c r="AU1268" i="20"/>
  <c r="AU1267" i="20"/>
  <c r="AU1266" i="20"/>
  <c r="AU1265" i="20"/>
  <c r="AU1264" i="20"/>
  <c r="AU1263" i="20"/>
  <c r="AU1262" i="20"/>
  <c r="AU1261" i="20"/>
  <c r="AU1260" i="20"/>
  <c r="AU1259" i="20"/>
  <c r="AU1258" i="20"/>
  <c r="AU1257" i="20"/>
  <c r="AU1256" i="20"/>
  <c r="AU1255" i="20"/>
  <c r="AU1254" i="20"/>
  <c r="AU1253" i="20"/>
  <c r="AU1252" i="20"/>
  <c r="AU1251" i="20"/>
  <c r="AU1250" i="20"/>
  <c r="AU1249" i="20"/>
  <c r="AU1248" i="20"/>
  <c r="AU1247" i="20"/>
  <c r="AU1246" i="20"/>
  <c r="AU1245" i="20"/>
  <c r="AU1244" i="20"/>
  <c r="AU1243" i="20"/>
  <c r="AU1242" i="20"/>
  <c r="AU1241" i="20"/>
  <c r="AU1240" i="20"/>
  <c r="AU1239" i="20"/>
  <c r="AU1238" i="20"/>
  <c r="AU1237" i="20"/>
  <c r="AU1236" i="20"/>
  <c r="AU1235" i="20"/>
  <c r="AU1234" i="20"/>
  <c r="AU1233" i="20"/>
  <c r="AU1232" i="20"/>
  <c r="AU1231" i="20"/>
  <c r="AU1230" i="20"/>
  <c r="AU1229" i="20"/>
  <c r="AU1228" i="20"/>
  <c r="AU1227" i="20"/>
  <c r="AU1226" i="20"/>
  <c r="AU1225" i="20"/>
  <c r="AU1224" i="20"/>
  <c r="AU1223" i="20"/>
  <c r="AU1222" i="20"/>
  <c r="AU1221" i="20"/>
  <c r="AU1220" i="20"/>
  <c r="AU1219" i="20"/>
  <c r="AU1218" i="20"/>
  <c r="AU1217" i="20"/>
  <c r="AU1216" i="20"/>
  <c r="AU1215" i="20"/>
  <c r="AU1214" i="20"/>
  <c r="AU1213" i="20"/>
  <c r="AU1212" i="20"/>
  <c r="AU1211" i="20"/>
  <c r="AU1210" i="20"/>
  <c r="AU1209" i="20"/>
  <c r="AU1208" i="20"/>
  <c r="AU1207" i="20"/>
  <c r="AU1206" i="20"/>
  <c r="AU1205" i="20"/>
  <c r="AU1204" i="20"/>
  <c r="AU1203" i="20"/>
  <c r="AU1202" i="20"/>
  <c r="AU1201" i="20"/>
  <c r="AU1200" i="20"/>
  <c r="AU1199" i="20"/>
  <c r="AU1198" i="20"/>
  <c r="AU1197" i="20"/>
  <c r="AU1196" i="20"/>
  <c r="AU1195" i="20"/>
  <c r="AU1194" i="20"/>
  <c r="AU1193" i="20"/>
  <c r="AU1192" i="20"/>
  <c r="AU1191" i="20"/>
  <c r="AU1190" i="20"/>
  <c r="AU1189" i="20"/>
  <c r="AU1188" i="20"/>
  <c r="AU1187" i="20"/>
  <c r="AU1186" i="20"/>
  <c r="AU1185" i="20"/>
  <c r="AU1184" i="20"/>
  <c r="AU1183" i="20"/>
  <c r="AU1182" i="20"/>
  <c r="AU1181" i="20"/>
  <c r="AU1180" i="20"/>
  <c r="AU1179" i="20"/>
  <c r="AU1178" i="20"/>
  <c r="AU1177" i="20"/>
  <c r="AU1176" i="20"/>
  <c r="AU1175" i="20"/>
  <c r="AU1174" i="20"/>
  <c r="AU1173" i="20"/>
  <c r="AU1172" i="20"/>
  <c r="AU1171" i="20"/>
  <c r="AU1170" i="20"/>
  <c r="AU1169" i="20"/>
  <c r="AU1168" i="20"/>
  <c r="AU1167" i="20"/>
  <c r="AU1166" i="20"/>
  <c r="AU1165" i="20"/>
  <c r="AU1164" i="20"/>
  <c r="AU1163" i="20"/>
  <c r="AS1338" i="20"/>
  <c r="AS1337" i="20"/>
  <c r="AS1336" i="20"/>
  <c r="AS1335" i="20"/>
  <c r="AS1334" i="20"/>
  <c r="AS1333" i="20"/>
  <c r="AS1332" i="20"/>
  <c r="AS1331" i="20"/>
  <c r="AS1330" i="20"/>
  <c r="AS1329" i="20"/>
  <c r="AS1328" i="20"/>
  <c r="AS1327" i="20"/>
  <c r="AS1326" i="20"/>
  <c r="AS1325" i="20"/>
  <c r="AS1324" i="20"/>
  <c r="AS1323" i="20"/>
  <c r="AS1322" i="20"/>
  <c r="AS1321" i="20"/>
  <c r="AS1320" i="20"/>
  <c r="AS1319" i="20"/>
  <c r="AS1318" i="20"/>
  <c r="AS1317" i="20"/>
  <c r="AS1316" i="20"/>
  <c r="AS1315" i="20"/>
  <c r="AS1314" i="20"/>
  <c r="AS1313" i="20"/>
  <c r="AS1312" i="20"/>
  <c r="AS1311" i="20"/>
  <c r="AS1310" i="20"/>
  <c r="AS1309" i="20"/>
  <c r="AS1308" i="20"/>
  <c r="AS1307" i="20"/>
  <c r="AS1306" i="20"/>
  <c r="AS1305" i="20"/>
  <c r="AS1304" i="20"/>
  <c r="AS1303" i="20"/>
  <c r="AS1302" i="20"/>
  <c r="AS1301" i="20"/>
  <c r="AS1300" i="20"/>
  <c r="AS1299" i="20"/>
  <c r="AS1298" i="20"/>
  <c r="AS1297" i="20"/>
  <c r="AS1296" i="20"/>
  <c r="AS1295" i="20"/>
  <c r="AS1294" i="20"/>
  <c r="AS1293" i="20"/>
  <c r="AS1292" i="20"/>
  <c r="AS1291" i="20"/>
  <c r="AS1290" i="20"/>
  <c r="AS1289" i="20"/>
  <c r="AS1288" i="20"/>
  <c r="AS1287" i="20"/>
  <c r="AS1286" i="20"/>
  <c r="AS1285" i="20"/>
  <c r="AS1284" i="20"/>
  <c r="AS1283" i="20"/>
  <c r="AS1282" i="20"/>
  <c r="AS1281" i="20"/>
  <c r="AS1280" i="20"/>
  <c r="AS1279" i="20"/>
  <c r="AS1278" i="20"/>
  <c r="AS1277" i="20"/>
  <c r="AS1276" i="20"/>
  <c r="AS1275" i="20"/>
  <c r="AS1274" i="20"/>
  <c r="AS1273" i="20"/>
  <c r="AS1272" i="20"/>
  <c r="AS1271" i="20"/>
  <c r="AS1270" i="20"/>
  <c r="AS1269" i="20"/>
  <c r="AS1268" i="20"/>
  <c r="AS1267" i="20"/>
  <c r="AS1266" i="20"/>
  <c r="AS1265" i="20"/>
  <c r="AS1264" i="20"/>
  <c r="AS1263" i="20"/>
  <c r="AS1262" i="20"/>
  <c r="AS1261" i="20"/>
  <c r="AS1260" i="20"/>
  <c r="AS1259" i="20"/>
  <c r="AS1258" i="20"/>
  <c r="AS1257" i="20"/>
  <c r="AS1256" i="20"/>
  <c r="AS1255" i="20"/>
  <c r="AS1254" i="20"/>
  <c r="AS1253" i="20"/>
  <c r="AS1252" i="20"/>
  <c r="AS1251" i="20"/>
  <c r="AS1250" i="20"/>
  <c r="AS1249" i="20"/>
  <c r="AS1248" i="20"/>
  <c r="AS1247" i="20"/>
  <c r="AS1246" i="20"/>
  <c r="AS1245" i="20"/>
  <c r="AS1244" i="20"/>
  <c r="AS1243" i="20"/>
  <c r="AS1242" i="20"/>
  <c r="AS1241" i="20"/>
  <c r="AS1240" i="20"/>
  <c r="AS1239" i="20"/>
  <c r="AS1238" i="20"/>
  <c r="AS1237" i="20"/>
  <c r="AS1236" i="20"/>
  <c r="AS1235" i="20"/>
  <c r="AS1234" i="20"/>
  <c r="AS1233" i="20"/>
  <c r="AS1232" i="20"/>
  <c r="AS1231" i="20"/>
  <c r="AS1230" i="20"/>
  <c r="AS1229" i="20"/>
  <c r="AS1228" i="20"/>
  <c r="AS1227" i="20"/>
  <c r="AS1226" i="20"/>
  <c r="AS1225" i="20"/>
  <c r="AS1224" i="20"/>
  <c r="AS1223" i="20"/>
  <c r="AS1222" i="20"/>
  <c r="AS1221" i="20"/>
  <c r="AS1220" i="20"/>
  <c r="AS1219" i="20"/>
  <c r="AS1218" i="20"/>
  <c r="AS1217" i="20"/>
  <c r="AS1216" i="20"/>
  <c r="AS1215" i="20"/>
  <c r="AS1214" i="20"/>
  <c r="AS1213" i="20"/>
  <c r="AS1212" i="20"/>
  <c r="AS1211" i="20"/>
  <c r="AS1210" i="20"/>
  <c r="AS1209" i="20"/>
  <c r="AS1208" i="20"/>
  <c r="AS1207" i="20"/>
  <c r="AS1206" i="20"/>
  <c r="AS1205" i="20"/>
  <c r="AS1204" i="20"/>
  <c r="AS1203" i="20"/>
  <c r="AS1202" i="20"/>
  <c r="AS1201" i="20"/>
  <c r="AS1200" i="20"/>
  <c r="AS1199" i="20"/>
  <c r="AS1198" i="20"/>
  <c r="AS1197" i="20"/>
  <c r="AS1196" i="20"/>
  <c r="AS1195" i="20"/>
  <c r="AS1194" i="20"/>
  <c r="AS1193" i="20"/>
  <c r="AS1192" i="20"/>
  <c r="AS1191" i="20"/>
  <c r="AS1190" i="20"/>
  <c r="AS1189" i="20"/>
  <c r="AS1188" i="20"/>
  <c r="AS1187" i="20"/>
  <c r="AS1186" i="20"/>
  <c r="AS1185" i="20"/>
  <c r="AS1184" i="20"/>
  <c r="AS1183" i="20"/>
  <c r="AS1182" i="20"/>
  <c r="AS1181" i="20"/>
  <c r="AS1180" i="20"/>
  <c r="AS1179" i="20"/>
  <c r="AS1178" i="20"/>
  <c r="AS1177" i="20"/>
  <c r="AS1176" i="20"/>
  <c r="AS1175" i="20"/>
  <c r="AS1174" i="20"/>
  <c r="AS1173" i="20"/>
  <c r="AS1172" i="20"/>
  <c r="AS1171" i="20"/>
  <c r="AS1170" i="20"/>
  <c r="AS1169" i="20"/>
  <c r="AS1168" i="20"/>
  <c r="AS1167" i="20"/>
  <c r="AS1166" i="20"/>
  <c r="AS1165" i="20"/>
  <c r="AS1164" i="20"/>
  <c r="AS1163" i="20"/>
  <c r="AQ1338" i="20"/>
  <c r="AR1338" i="20"/>
  <c r="AQ1337" i="20"/>
  <c r="AQ1336" i="20"/>
  <c r="AR1336" i="20"/>
  <c r="AQ1335" i="20"/>
  <c r="AQ1334" i="20"/>
  <c r="AQ1333" i="20"/>
  <c r="AQ1332" i="20"/>
  <c r="AQ1331" i="20"/>
  <c r="AQ1330" i="20"/>
  <c r="AQ1329" i="20"/>
  <c r="AQ1328" i="20"/>
  <c r="AR1328" i="20"/>
  <c r="AQ1327" i="20"/>
  <c r="AQ1326" i="20"/>
  <c r="AR1326" i="20"/>
  <c r="AQ1325" i="20"/>
  <c r="AQ1324" i="20"/>
  <c r="AR1324" i="20"/>
  <c r="AQ1323" i="20"/>
  <c r="AR1323" i="20"/>
  <c r="AQ1322" i="20"/>
  <c r="AQ1321" i="20"/>
  <c r="AQ1320" i="20"/>
  <c r="AR1320" i="20"/>
  <c r="AQ1319" i="20"/>
  <c r="AR1319" i="20"/>
  <c r="AQ1318" i="20"/>
  <c r="AR1318" i="20"/>
  <c r="AQ1317" i="20"/>
  <c r="AQ1316" i="20"/>
  <c r="AR1316" i="20"/>
  <c r="AQ1315" i="20"/>
  <c r="AR1315" i="20"/>
  <c r="AQ1314" i="20"/>
  <c r="AQ1313" i="20"/>
  <c r="AQ1312" i="20"/>
  <c r="AQ1311" i="20"/>
  <c r="AR1311" i="20"/>
  <c r="AQ1310" i="20"/>
  <c r="AQ1309" i="20"/>
  <c r="AQ1308" i="20"/>
  <c r="AR1308" i="20"/>
  <c r="AQ1307" i="20"/>
  <c r="AR1307" i="20"/>
  <c r="AQ1306" i="20"/>
  <c r="AR1306" i="20"/>
  <c r="AQ1305" i="20"/>
  <c r="AQ1304" i="20"/>
  <c r="AQ1303" i="20"/>
  <c r="AR1303" i="20"/>
  <c r="AQ1302" i="20"/>
  <c r="AQ1301" i="20"/>
  <c r="AQ1300" i="20"/>
  <c r="AR1300" i="20"/>
  <c r="AQ1299" i="20"/>
  <c r="AR1299" i="20"/>
  <c r="AQ1298" i="20"/>
  <c r="AQ1297" i="20"/>
  <c r="AQ1296" i="20"/>
  <c r="AR1296" i="20"/>
  <c r="AQ1295" i="20"/>
  <c r="AQ1294" i="20"/>
  <c r="AQ1293" i="20"/>
  <c r="AQ1292" i="20"/>
  <c r="AQ1291" i="20"/>
  <c r="AR1291" i="20"/>
  <c r="AQ1290" i="20"/>
  <c r="AQ1289" i="20"/>
  <c r="AQ1288" i="20"/>
  <c r="AR1288" i="20"/>
  <c r="AQ1287" i="20"/>
  <c r="AQ1286" i="20"/>
  <c r="AQ1285" i="20"/>
  <c r="AQ1284" i="20"/>
  <c r="AR1284" i="20"/>
  <c r="AQ1283" i="20"/>
  <c r="AR1283" i="20"/>
  <c r="AQ1282" i="20"/>
  <c r="AQ1281" i="20"/>
  <c r="AQ1280" i="20"/>
  <c r="AR1280" i="20"/>
  <c r="AQ1279" i="20"/>
  <c r="AR1279" i="20"/>
  <c r="AQ1278" i="20"/>
  <c r="AQ1277" i="20"/>
  <c r="AQ1276" i="20"/>
  <c r="AR1276" i="20"/>
  <c r="AQ1275" i="20"/>
  <c r="AQ1274" i="20"/>
  <c r="AQ1273" i="20"/>
  <c r="AQ1272" i="20"/>
  <c r="AQ1271" i="20"/>
  <c r="AR1271" i="20"/>
  <c r="AQ1270" i="20"/>
  <c r="AQ1269" i="20"/>
  <c r="AQ1268" i="20"/>
  <c r="AQ1267" i="20"/>
  <c r="AQ1266" i="20"/>
  <c r="AQ1265" i="20"/>
  <c r="AQ1264" i="20"/>
  <c r="AR1264" i="20"/>
  <c r="AQ1263" i="20"/>
  <c r="AQ1262" i="20"/>
  <c r="AR1262" i="20"/>
  <c r="AQ1261" i="20"/>
  <c r="AQ1260" i="20"/>
  <c r="AQ1259" i="20"/>
  <c r="AR1259" i="20"/>
  <c r="AQ1258" i="20"/>
  <c r="AQ1257" i="20"/>
  <c r="AQ1256" i="20"/>
  <c r="AR1256" i="20"/>
  <c r="AQ1255" i="20"/>
  <c r="AR1255" i="20"/>
  <c r="AQ1254" i="20"/>
  <c r="AQ1253" i="20"/>
  <c r="AQ1252" i="20"/>
  <c r="AR1252" i="20"/>
  <c r="AQ1251" i="20"/>
  <c r="AQ1250" i="20"/>
  <c r="AR1250" i="20"/>
  <c r="AQ1249" i="20"/>
  <c r="AQ1248" i="20"/>
  <c r="AR1248" i="20"/>
  <c r="AQ1247" i="20"/>
  <c r="AR1247" i="20"/>
  <c r="AQ1246" i="20"/>
  <c r="AQ1245" i="20"/>
  <c r="AQ1244" i="20"/>
  <c r="AR1244" i="20"/>
  <c r="AQ1243" i="20"/>
  <c r="AR1243" i="20"/>
  <c r="AQ1242" i="20"/>
  <c r="AR1242" i="20"/>
  <c r="AQ1241" i="20"/>
  <c r="AQ1240" i="20"/>
  <c r="AQ1239" i="20"/>
  <c r="AR1239" i="20"/>
  <c r="AQ1238" i="20"/>
  <c r="AQ1237" i="20"/>
  <c r="AQ1236" i="20"/>
  <c r="AR1236" i="20"/>
  <c r="AQ1235" i="20"/>
  <c r="AR1235" i="20"/>
  <c r="AQ1234" i="20"/>
  <c r="AR1234" i="20"/>
  <c r="AQ1233" i="20"/>
  <c r="AQ1232" i="20"/>
  <c r="AR1232" i="20"/>
  <c r="AQ1231" i="20"/>
  <c r="AR1231" i="20"/>
  <c r="AQ1230" i="20"/>
  <c r="AQ1229" i="20"/>
  <c r="AQ1228" i="20"/>
  <c r="AR1228" i="20"/>
  <c r="AQ1227" i="20"/>
  <c r="AQ1226" i="20"/>
  <c r="AR1226" i="20"/>
  <c r="AQ1225" i="20"/>
  <c r="AR1225" i="20"/>
  <c r="AQ1224" i="20"/>
  <c r="AQ1223" i="20"/>
  <c r="AQ1222" i="20"/>
  <c r="AQ1221" i="20"/>
  <c r="AQ1220" i="20"/>
  <c r="AR1220" i="20"/>
  <c r="AQ1219" i="20"/>
  <c r="AR1219" i="20"/>
  <c r="AQ1218" i="20"/>
  <c r="AR1218" i="20"/>
  <c r="AQ1217" i="20"/>
  <c r="AR1217" i="20"/>
  <c r="AQ1216" i="20"/>
  <c r="AQ1215" i="20"/>
  <c r="AR1215" i="20"/>
  <c r="AQ1214" i="20"/>
  <c r="AR1214" i="20"/>
  <c r="AQ1213" i="20"/>
  <c r="AQ1212" i="20"/>
  <c r="AQ1211" i="20"/>
  <c r="AR1211" i="20"/>
  <c r="AQ1210" i="20"/>
  <c r="AR1210" i="20"/>
  <c r="AQ1209" i="20"/>
  <c r="AQ1208" i="20"/>
  <c r="AR1208" i="20"/>
  <c r="AQ1207" i="20"/>
  <c r="AR1207" i="20"/>
  <c r="AQ1206" i="20"/>
  <c r="AR1206" i="20"/>
  <c r="AQ1205" i="20"/>
  <c r="AR1205" i="20"/>
  <c r="AQ1204" i="20"/>
  <c r="AQ1203" i="20"/>
  <c r="AR1203" i="20"/>
  <c r="AQ1202" i="20"/>
  <c r="AR1202" i="20"/>
  <c r="AQ1201" i="20"/>
  <c r="AQ1200" i="20"/>
  <c r="AQ1199" i="20"/>
  <c r="AQ1198" i="20"/>
  <c r="AQ1197" i="20"/>
  <c r="AQ1196" i="20"/>
  <c r="AR1196" i="20"/>
  <c r="AQ1195" i="20"/>
  <c r="AQ1194" i="20"/>
  <c r="AR1194" i="20"/>
  <c r="AQ1193" i="20"/>
  <c r="AQ1192" i="20"/>
  <c r="AQ1191" i="20"/>
  <c r="AR1191" i="20"/>
  <c r="AQ1190" i="20"/>
  <c r="AQ1189" i="20"/>
  <c r="AR1189" i="20"/>
  <c r="AQ1188" i="20"/>
  <c r="AQ1187" i="20"/>
  <c r="AR1187" i="20"/>
  <c r="AQ1186" i="20"/>
  <c r="AR1186" i="20"/>
  <c r="AQ1185" i="20"/>
  <c r="AQ1184" i="20"/>
  <c r="AQ1183" i="20"/>
  <c r="AR1183" i="20"/>
  <c r="AQ1182" i="20"/>
  <c r="AQ1181" i="20"/>
  <c r="AQ1180" i="20"/>
  <c r="AQ1179" i="20"/>
  <c r="AR1179" i="20"/>
  <c r="AQ1178" i="20"/>
  <c r="AQ1177" i="20"/>
  <c r="AR1177" i="20"/>
  <c r="AQ1176" i="20"/>
  <c r="AQ1175" i="20"/>
  <c r="AQ1174" i="20"/>
  <c r="AQ1173" i="20"/>
  <c r="AR1173" i="20"/>
  <c r="AQ1172" i="20"/>
  <c r="AQ1171" i="20"/>
  <c r="AR1171" i="20"/>
  <c r="AQ1170" i="20"/>
  <c r="AR1170" i="20"/>
  <c r="AQ1169" i="20"/>
  <c r="AQ1168" i="20"/>
  <c r="AQ1167" i="20"/>
  <c r="AR1167" i="20"/>
  <c r="AQ1166" i="20"/>
  <c r="AQ1165" i="20"/>
  <c r="AR1165" i="20"/>
  <c r="AQ1164" i="20"/>
  <c r="AQ1163" i="20"/>
  <c r="AM1338" i="20"/>
  <c r="AM1337" i="20"/>
  <c r="AM1336" i="20"/>
  <c r="AM1335" i="20"/>
  <c r="AM1334" i="20"/>
  <c r="AM1333" i="20"/>
  <c r="AM1332" i="20"/>
  <c r="AM1331" i="20"/>
  <c r="AM1330" i="20"/>
  <c r="AM1329" i="20"/>
  <c r="AM1328" i="20"/>
  <c r="AM1327" i="20"/>
  <c r="AM1326" i="20"/>
  <c r="AM1325" i="20"/>
  <c r="AM1324" i="20"/>
  <c r="AM1323" i="20"/>
  <c r="AM1322" i="20"/>
  <c r="AM1321" i="20"/>
  <c r="AM1320" i="20"/>
  <c r="AM1319" i="20"/>
  <c r="AM1318" i="20"/>
  <c r="AM1317" i="20"/>
  <c r="AM1316" i="20"/>
  <c r="AM1315" i="20"/>
  <c r="AM1314" i="20"/>
  <c r="AM1313" i="20"/>
  <c r="AM1312" i="20"/>
  <c r="AM1311" i="20"/>
  <c r="AM1310" i="20"/>
  <c r="AM1309" i="20"/>
  <c r="AM1308" i="20"/>
  <c r="AM1307" i="20"/>
  <c r="AM1306" i="20"/>
  <c r="AM1305" i="20"/>
  <c r="AM1304" i="20"/>
  <c r="AM1303" i="20"/>
  <c r="AM1302" i="20"/>
  <c r="AM1301" i="20"/>
  <c r="AM1300" i="20"/>
  <c r="AM1299" i="20"/>
  <c r="AM1298" i="20"/>
  <c r="AM1297" i="20"/>
  <c r="AM1296" i="20"/>
  <c r="AM1295" i="20"/>
  <c r="AM1294" i="20"/>
  <c r="AM1293" i="20"/>
  <c r="AM1292" i="20"/>
  <c r="AM1291" i="20"/>
  <c r="AM1290" i="20"/>
  <c r="AM1289" i="20"/>
  <c r="AM1288" i="20"/>
  <c r="AM1287" i="20"/>
  <c r="AM1286" i="20"/>
  <c r="AM1285" i="20"/>
  <c r="AM1284" i="20"/>
  <c r="AM1283" i="20"/>
  <c r="AM1282" i="20"/>
  <c r="AM1281" i="20"/>
  <c r="AM1280" i="20"/>
  <c r="AM1279" i="20"/>
  <c r="AM1278" i="20"/>
  <c r="AM1277" i="20"/>
  <c r="AM1276" i="20"/>
  <c r="AM1275" i="20"/>
  <c r="AM1274" i="20"/>
  <c r="AM1273" i="20"/>
  <c r="AM1272" i="20"/>
  <c r="AM1271" i="20"/>
  <c r="AM1270" i="20"/>
  <c r="AM1269" i="20"/>
  <c r="AM1268" i="20"/>
  <c r="AM1267" i="20"/>
  <c r="AM1266" i="20"/>
  <c r="AM1265" i="20"/>
  <c r="AM1264" i="20"/>
  <c r="AM1263" i="20"/>
  <c r="AM1262" i="20"/>
  <c r="AM1261" i="20"/>
  <c r="AM1260" i="20"/>
  <c r="AM1259" i="20"/>
  <c r="AM1258" i="20"/>
  <c r="AM1257" i="20"/>
  <c r="AM1256" i="20"/>
  <c r="AM1255" i="20"/>
  <c r="AM1254" i="20"/>
  <c r="AM1253" i="20"/>
  <c r="AM1252" i="20"/>
  <c r="AM1251" i="20"/>
  <c r="AM1250" i="20"/>
  <c r="AM1249" i="20"/>
  <c r="AM1248" i="20"/>
  <c r="AM1247" i="20"/>
  <c r="AM1246" i="20"/>
  <c r="AM1245" i="20"/>
  <c r="AM1244" i="20"/>
  <c r="AM1243" i="20"/>
  <c r="AM1242" i="20"/>
  <c r="AM1241" i="20"/>
  <c r="AM1240" i="20"/>
  <c r="AM1239" i="20"/>
  <c r="AM1238" i="20"/>
  <c r="AM1237" i="20"/>
  <c r="AM1236" i="20"/>
  <c r="AM1235" i="20"/>
  <c r="AM1234" i="20"/>
  <c r="AM1233" i="20"/>
  <c r="AM1232" i="20"/>
  <c r="AM1231" i="20"/>
  <c r="AM1230" i="20"/>
  <c r="AM1229" i="20"/>
  <c r="AM1228" i="20"/>
  <c r="AM1227" i="20"/>
  <c r="AM1226" i="20"/>
  <c r="AM1225" i="20"/>
  <c r="AM1224" i="20"/>
  <c r="AM1223" i="20"/>
  <c r="AM1222" i="20"/>
  <c r="AM1221" i="20"/>
  <c r="AM1220" i="20"/>
  <c r="AM1219" i="20"/>
  <c r="AM1218" i="20"/>
  <c r="AM1217" i="20"/>
  <c r="AM1216" i="20"/>
  <c r="AM1215" i="20"/>
  <c r="AM1214" i="20"/>
  <c r="AM1213" i="20"/>
  <c r="AM1212" i="20"/>
  <c r="AM1211" i="20"/>
  <c r="AM1210" i="20"/>
  <c r="AM1209" i="20"/>
  <c r="AM1208" i="20"/>
  <c r="AM1207" i="20"/>
  <c r="AM1206" i="20"/>
  <c r="AM1205" i="20"/>
  <c r="AM1204" i="20"/>
  <c r="AM1203" i="20"/>
  <c r="AM1202" i="20"/>
  <c r="AM1201" i="20"/>
  <c r="AM1200" i="20"/>
  <c r="AM1199" i="20"/>
  <c r="AM1198" i="20"/>
  <c r="AM1197" i="20"/>
  <c r="AM1196" i="20"/>
  <c r="AM1195" i="20"/>
  <c r="AM1194" i="20"/>
  <c r="AM1193" i="20"/>
  <c r="AM1192" i="20"/>
  <c r="AM1191" i="20"/>
  <c r="AM1190" i="20"/>
  <c r="AM1189" i="20"/>
  <c r="AM1188" i="20"/>
  <c r="AM1187" i="20"/>
  <c r="AM1186" i="20"/>
  <c r="AM1185" i="20"/>
  <c r="AM1184" i="20"/>
  <c r="AM1183" i="20"/>
  <c r="AM1182" i="20"/>
  <c r="AM1181" i="20"/>
  <c r="AM1180" i="20"/>
  <c r="AM1179" i="20"/>
  <c r="AM1178" i="20"/>
  <c r="AM1177" i="20"/>
  <c r="AM1176" i="20"/>
  <c r="AM1175" i="20"/>
  <c r="AM1174" i="20"/>
  <c r="AM1173" i="20"/>
  <c r="AM1172" i="20"/>
  <c r="AM1171" i="20"/>
  <c r="AM1170" i="20"/>
  <c r="AM1169" i="20"/>
  <c r="AM1168" i="20"/>
  <c r="AM1167" i="20"/>
  <c r="AM1166" i="20"/>
  <c r="AM1165" i="20"/>
  <c r="AM1164" i="20"/>
  <c r="AM1163" i="20"/>
  <c r="A1338" i="20"/>
  <c r="A1337" i="20"/>
  <c r="A1336" i="20"/>
  <c r="A1335" i="20"/>
  <c r="A1334" i="20"/>
  <c r="A1333" i="20"/>
  <c r="A1332" i="20"/>
  <c r="A1331" i="20"/>
  <c r="A1330" i="20"/>
  <c r="A1329" i="20"/>
  <c r="A1328" i="20"/>
  <c r="A1327" i="20"/>
  <c r="A1326" i="20"/>
  <c r="A1325" i="20"/>
  <c r="A1324" i="20"/>
  <c r="A1323" i="20"/>
  <c r="A1322" i="20"/>
  <c r="A1321" i="20"/>
  <c r="A1320" i="20"/>
  <c r="A1319" i="20"/>
  <c r="A1318" i="20"/>
  <c r="A1317" i="20"/>
  <c r="A1316" i="20"/>
  <c r="A1315" i="20"/>
  <c r="A1314" i="20"/>
  <c r="A1313" i="20"/>
  <c r="A1312" i="20"/>
  <c r="A1311" i="20"/>
  <c r="A1310" i="20"/>
  <c r="A1309" i="20"/>
  <c r="A1308" i="20"/>
  <c r="A1307" i="20"/>
  <c r="A1306" i="20"/>
  <c r="A1305" i="20"/>
  <c r="A1304" i="20"/>
  <c r="A1303" i="20"/>
  <c r="A1302" i="20"/>
  <c r="A1301" i="20"/>
  <c r="A1300" i="20"/>
  <c r="A1299" i="20"/>
  <c r="A1298" i="20"/>
  <c r="A1297" i="20"/>
  <c r="A1296" i="20"/>
  <c r="A1295" i="20"/>
  <c r="A1294" i="20"/>
  <c r="A1293" i="20"/>
  <c r="A1292" i="20"/>
  <c r="A1291" i="20"/>
  <c r="A1290" i="20"/>
  <c r="A1289" i="20"/>
  <c r="A1288" i="20"/>
  <c r="A1287" i="20"/>
  <c r="A1286" i="20"/>
  <c r="A1285" i="20"/>
  <c r="A1284" i="20"/>
  <c r="A1283" i="20"/>
  <c r="A1282" i="20"/>
  <c r="A1281" i="20"/>
  <c r="A1280" i="20"/>
  <c r="A1279" i="20"/>
  <c r="A1278" i="20"/>
  <c r="A1277" i="20"/>
  <c r="A1276" i="20"/>
  <c r="A1275" i="20"/>
  <c r="A1274" i="20"/>
  <c r="A1273" i="20"/>
  <c r="A1272" i="20"/>
  <c r="A1271" i="20"/>
  <c r="A1270" i="20"/>
  <c r="A1269" i="20"/>
  <c r="A1268" i="20"/>
  <c r="A1267" i="20"/>
  <c r="A1266" i="20"/>
  <c r="A1265" i="20"/>
  <c r="A1264" i="20"/>
  <c r="A1263" i="20"/>
  <c r="A1262" i="20"/>
  <c r="A1261" i="20"/>
  <c r="A1260" i="20"/>
  <c r="A1259" i="20"/>
  <c r="A1258" i="20"/>
  <c r="A1257" i="20"/>
  <c r="A1256" i="20"/>
  <c r="A1255" i="20"/>
  <c r="A1254" i="20"/>
  <c r="A1253" i="20"/>
  <c r="A1252" i="20"/>
  <c r="A1251" i="20"/>
  <c r="A1250" i="20"/>
  <c r="A1249" i="20"/>
  <c r="A1248" i="20"/>
  <c r="A1247" i="20"/>
  <c r="A1246" i="20"/>
  <c r="A1245" i="20"/>
  <c r="A1244" i="20"/>
  <c r="A1243" i="20"/>
  <c r="A1242" i="20"/>
  <c r="A1241" i="20"/>
  <c r="A1240" i="20"/>
  <c r="A1239" i="20"/>
  <c r="A1238" i="20"/>
  <c r="A1237" i="20"/>
  <c r="A1236" i="20"/>
  <c r="A1235" i="20"/>
  <c r="A1234" i="20"/>
  <c r="A1233" i="20"/>
  <c r="A1232" i="20"/>
  <c r="A1231" i="20"/>
  <c r="A1230" i="20"/>
  <c r="A1229" i="20"/>
  <c r="A1228" i="20"/>
  <c r="A1227" i="20"/>
  <c r="A1226" i="20"/>
  <c r="A1225" i="20"/>
  <c r="A1224" i="20"/>
  <c r="A1223" i="20"/>
  <c r="A1222" i="20"/>
  <c r="A1221" i="20"/>
  <c r="A1220" i="20"/>
  <c r="A1219" i="20"/>
  <c r="A1218" i="20"/>
  <c r="A1217" i="20"/>
  <c r="A1216" i="20"/>
  <c r="A1215" i="20"/>
  <c r="A1214" i="20"/>
  <c r="A1213" i="20"/>
  <c r="A1212" i="20"/>
  <c r="A1211" i="20"/>
  <c r="A1210" i="20"/>
  <c r="A1209" i="20"/>
  <c r="A1208" i="20"/>
  <c r="A1207" i="20"/>
  <c r="A1206" i="20"/>
  <c r="A1205" i="20"/>
  <c r="A1204" i="20"/>
  <c r="A1203" i="20"/>
  <c r="A1202" i="20"/>
  <c r="A1201" i="20"/>
  <c r="A1200" i="20"/>
  <c r="A1199" i="20"/>
  <c r="A1198" i="20"/>
  <c r="A1197" i="20"/>
  <c r="A1196" i="20"/>
  <c r="A1195" i="20"/>
  <c r="A1194" i="20"/>
  <c r="A1193" i="20"/>
  <c r="A1192" i="20"/>
  <c r="A1191" i="20"/>
  <c r="A1190" i="20"/>
  <c r="A1189" i="20"/>
  <c r="A1188" i="20"/>
  <c r="A1187" i="20"/>
  <c r="A1186" i="20"/>
  <c r="A1185" i="20"/>
  <c r="A1184" i="20"/>
  <c r="A1183" i="20"/>
  <c r="A1182" i="20"/>
  <c r="A1181" i="20"/>
  <c r="A1180" i="20"/>
  <c r="A1179" i="20"/>
  <c r="A1178" i="20"/>
  <c r="A1177" i="20"/>
  <c r="A1176" i="20"/>
  <c r="A1175" i="20"/>
  <c r="A1174" i="20"/>
  <c r="A1173" i="20"/>
  <c r="A1172" i="20"/>
  <c r="A1171" i="20"/>
  <c r="A1170" i="20"/>
  <c r="A1169" i="20"/>
  <c r="A1168" i="20"/>
  <c r="A1167" i="20"/>
  <c r="A1166" i="20"/>
  <c r="A1165" i="20"/>
  <c r="A1164" i="20"/>
  <c r="A1163" i="20"/>
  <c r="A1146" i="20"/>
  <c r="A1147" i="20"/>
  <c r="A1148" i="20"/>
  <c r="A1149" i="20"/>
  <c r="A1150" i="20"/>
  <c r="A1151" i="20"/>
  <c r="A1152" i="20"/>
  <c r="A1153" i="20"/>
  <c r="A1154" i="20"/>
  <c r="A1155" i="20"/>
  <c r="A1156" i="20"/>
  <c r="A1157" i="20"/>
  <c r="A1158" i="20"/>
  <c r="A1159" i="20"/>
  <c r="A1160" i="20"/>
  <c r="A1161" i="20"/>
  <c r="A1162" i="20"/>
  <c r="AM1146" i="20"/>
  <c r="AM1147" i="20"/>
  <c r="AM1148" i="20"/>
  <c r="AM1149" i="20"/>
  <c r="AM1150" i="20"/>
  <c r="AM1151" i="20"/>
  <c r="AM1152" i="20"/>
  <c r="AM1153" i="20"/>
  <c r="AM1154" i="20"/>
  <c r="AM1155" i="20"/>
  <c r="AM1156" i="20"/>
  <c r="AM1157" i="20"/>
  <c r="AM1158" i="20"/>
  <c r="AM1159" i="20"/>
  <c r="AM1160" i="20"/>
  <c r="AM1161" i="20"/>
  <c r="AM1162" i="20"/>
  <c r="AQ1146" i="20"/>
  <c r="AQ1147" i="20"/>
  <c r="AQ1148" i="20"/>
  <c r="AR1148" i="20"/>
  <c r="AQ1149" i="20"/>
  <c r="AR1149" i="20"/>
  <c r="AQ1150" i="20"/>
  <c r="AQ1151" i="20"/>
  <c r="AQ1152" i="20"/>
  <c r="AR1152" i="20"/>
  <c r="AQ1153" i="20"/>
  <c r="AR1153" i="20"/>
  <c r="AQ1154" i="20"/>
  <c r="AR1154" i="20"/>
  <c r="AQ1155" i="20"/>
  <c r="AR1155" i="20"/>
  <c r="AQ1156" i="20"/>
  <c r="AR1156" i="20"/>
  <c r="AQ1157" i="20"/>
  <c r="AQ1158" i="20"/>
  <c r="AR1158" i="20"/>
  <c r="AQ1159" i="20"/>
  <c r="AR1159" i="20"/>
  <c r="AQ1160" i="20"/>
  <c r="AR1160" i="20"/>
  <c r="AQ1161" i="20"/>
  <c r="AR1161" i="20"/>
  <c r="AQ1162" i="20"/>
  <c r="AS1146" i="20"/>
  <c r="AS1147" i="20"/>
  <c r="AS1148" i="20"/>
  <c r="AS1149" i="20"/>
  <c r="AS1150" i="20"/>
  <c r="AS1151" i="20"/>
  <c r="AS1152" i="20"/>
  <c r="AS1153" i="20"/>
  <c r="AS1154" i="20"/>
  <c r="AS1155" i="20"/>
  <c r="AS1156" i="20"/>
  <c r="AS1157" i="20"/>
  <c r="AS1158" i="20"/>
  <c r="AS1159" i="20"/>
  <c r="AS1160" i="20"/>
  <c r="AS1161" i="20"/>
  <c r="AS1162" i="20"/>
  <c r="AU1146" i="20"/>
  <c r="AU1147" i="20"/>
  <c r="AU1148" i="20"/>
  <c r="AU1149" i="20"/>
  <c r="AU1150" i="20"/>
  <c r="AU1151" i="20"/>
  <c r="AU1152" i="20"/>
  <c r="AU1153" i="20"/>
  <c r="AU1154" i="20"/>
  <c r="AU1155" i="20"/>
  <c r="AU1156" i="20"/>
  <c r="AU1157" i="20"/>
  <c r="AU1158" i="20"/>
  <c r="AU1159" i="20"/>
  <c r="AU1160" i="20"/>
  <c r="AU1161" i="20"/>
  <c r="AU1162" i="20"/>
  <c r="A83" i="20"/>
  <c r="AM83" i="20"/>
  <c r="AQ83" i="20"/>
  <c r="AR83" i="20"/>
  <c r="AS83" i="20"/>
  <c r="A55" i="20"/>
  <c r="AU1096" i="20"/>
  <c r="AU1093" i="20"/>
  <c r="AU1095" i="20"/>
  <c r="AU1094" i="20"/>
  <c r="AU1092" i="20"/>
  <c r="AU1091" i="20"/>
  <c r="AU1090" i="20"/>
  <c r="AU1089" i="20"/>
  <c r="AU1088" i="20"/>
  <c r="AU1087" i="20"/>
  <c r="AU1086" i="20"/>
  <c r="AU1085" i="20"/>
  <c r="AU1083" i="20"/>
  <c r="AU1084" i="20"/>
  <c r="AU1082" i="20"/>
  <c r="AU1081" i="20"/>
  <c r="AU1080" i="20"/>
  <c r="AU1079" i="20"/>
  <c r="AU1078" i="20"/>
  <c r="AU1077" i="20"/>
  <c r="AU1076" i="20"/>
  <c r="AU1075" i="20"/>
  <c r="AU1073" i="20"/>
  <c r="AU1074" i="20"/>
  <c r="AU1072" i="20"/>
  <c r="AU1071" i="20"/>
  <c r="AU1070" i="20"/>
  <c r="AU1069" i="20"/>
  <c r="AU1068" i="20"/>
  <c r="AU1067" i="20"/>
  <c r="AU1066" i="20"/>
  <c r="AU1065" i="20"/>
  <c r="AU1064" i="20"/>
  <c r="AU1063" i="20"/>
  <c r="AU1062" i="20"/>
  <c r="AU1061" i="20"/>
  <c r="AU1060" i="20"/>
  <c r="AU1059" i="20"/>
  <c r="AU1058" i="20"/>
  <c r="AU1057" i="20"/>
  <c r="AU1056" i="20"/>
  <c r="AU1055" i="20"/>
  <c r="AU1054" i="20"/>
  <c r="AU1052" i="20"/>
  <c r="AU1051" i="20"/>
  <c r="AU1050" i="20"/>
  <c r="AU1046" i="20"/>
  <c r="AU1045" i="20"/>
  <c r="AU1044" i="20"/>
  <c r="AU1043" i="20"/>
  <c r="AU1042" i="20"/>
  <c r="AU1053" i="20"/>
  <c r="AU1049" i="20"/>
  <c r="AU1048" i="20"/>
  <c r="AU1047" i="20"/>
  <c r="AU1041" i="20"/>
  <c r="AU1039" i="20"/>
  <c r="AU1036" i="20"/>
  <c r="AU1034" i="20"/>
  <c r="AU1022" i="20"/>
  <c r="AU1021" i="20"/>
  <c r="AU1020" i="20"/>
  <c r="AU1019" i="20"/>
  <c r="AU1018" i="20"/>
  <c r="AU1012" i="20"/>
  <c r="AU1011" i="20"/>
  <c r="AU1010" i="20"/>
  <c r="AU1009" i="20"/>
  <c r="AU1007" i="20"/>
  <c r="AU1006" i="20"/>
  <c r="AU1008" i="20"/>
  <c r="AU1005" i="20"/>
  <c r="AU1004" i="20"/>
  <c r="AU1003" i="20"/>
  <c r="AU1002" i="20"/>
  <c r="AU1001" i="20"/>
  <c r="AU1000" i="20"/>
  <c r="AU999" i="20"/>
  <c r="AU997" i="20"/>
  <c r="AU996" i="20"/>
  <c r="AU995" i="20"/>
  <c r="AU994" i="20"/>
  <c r="AU993" i="20"/>
  <c r="AU992" i="20"/>
  <c r="AU990" i="20"/>
  <c r="AU989" i="20"/>
  <c r="AU988" i="20"/>
  <c r="AU987" i="20"/>
  <c r="AU986" i="20"/>
  <c r="AU985" i="20"/>
  <c r="AU984" i="20"/>
  <c r="AU982" i="20"/>
  <c r="AU981" i="20"/>
  <c r="AU983" i="20"/>
  <c r="AU980" i="20"/>
  <c r="AU979" i="20"/>
  <c r="AU978" i="20"/>
  <c r="AU977" i="20"/>
  <c r="AU976" i="20"/>
  <c r="AU975" i="20"/>
  <c r="AU974" i="20"/>
  <c r="AU973" i="20"/>
  <c r="AU972" i="20"/>
  <c r="AU971" i="20"/>
  <c r="AU970" i="20"/>
  <c r="AU969" i="20"/>
  <c r="AU968" i="20"/>
  <c r="AU967" i="20"/>
  <c r="AU966" i="20"/>
  <c r="AU963" i="20"/>
  <c r="AU962" i="20"/>
  <c r="AU961" i="20"/>
  <c r="AU960" i="20"/>
  <c r="AU959" i="20"/>
  <c r="AU958" i="20"/>
  <c r="AU957" i="20"/>
  <c r="AU956" i="20"/>
  <c r="AU955" i="20"/>
  <c r="AU954" i="20"/>
  <c r="AU949" i="20"/>
  <c r="AU948" i="20"/>
  <c r="AU947" i="20"/>
  <c r="AU946" i="20"/>
  <c r="AU945" i="20"/>
  <c r="AU944" i="20"/>
  <c r="AU943" i="20"/>
  <c r="AU942" i="20"/>
  <c r="AU941" i="20"/>
  <c r="AU940" i="20"/>
  <c r="AU939" i="20"/>
  <c r="AU938" i="20"/>
  <c r="AU937" i="20"/>
  <c r="AU936" i="20"/>
  <c r="AU935" i="20"/>
  <c r="AU934" i="20"/>
  <c r="AU933" i="20"/>
  <c r="AU932" i="20"/>
  <c r="AU931" i="20"/>
  <c r="AU930" i="20"/>
  <c r="AU929" i="20"/>
  <c r="AU928" i="20"/>
  <c r="AU927" i="20"/>
  <c r="AU926" i="20"/>
  <c r="AU925" i="20"/>
  <c r="AU924" i="20"/>
  <c r="AU923" i="20"/>
  <c r="AU922" i="20"/>
  <c r="AU921" i="20"/>
  <c r="AU920" i="20"/>
  <c r="AU919" i="20"/>
  <c r="AU918" i="20"/>
  <c r="AU917" i="20"/>
  <c r="AU916" i="20"/>
  <c r="AU915" i="20"/>
  <c r="AU914" i="20"/>
  <c r="AU912" i="20"/>
  <c r="AU911" i="20"/>
  <c r="AU910" i="20"/>
  <c r="AU909" i="20"/>
  <c r="AU908" i="20"/>
  <c r="AU907" i="20"/>
  <c r="AU906" i="20"/>
  <c r="AU905" i="20"/>
  <c r="AU904" i="20"/>
  <c r="AU903" i="20"/>
  <c r="AU902" i="20"/>
  <c r="AU901" i="20"/>
  <c r="AU900" i="20"/>
  <c r="AU899" i="20"/>
  <c r="AU898" i="20"/>
  <c r="AU897" i="20"/>
  <c r="AU896" i="20"/>
  <c r="AU895" i="20"/>
  <c r="AU894" i="20"/>
  <c r="AU892" i="20"/>
  <c r="AU891" i="20"/>
  <c r="AU890" i="20"/>
  <c r="AU889" i="20"/>
  <c r="AU888" i="20"/>
  <c r="AU887" i="20"/>
  <c r="AU886" i="20"/>
  <c r="AU885" i="20"/>
  <c r="AU884" i="20"/>
  <c r="AU883" i="20"/>
  <c r="AU882" i="20"/>
  <c r="AU881" i="20"/>
  <c r="AU880" i="20"/>
  <c r="AU879" i="20"/>
  <c r="AU878" i="20"/>
  <c r="AU871" i="20"/>
  <c r="AU870" i="20"/>
  <c r="AU869" i="20"/>
  <c r="AU868" i="20"/>
  <c r="AU867" i="20"/>
  <c r="AU866" i="20"/>
  <c r="AU865" i="20"/>
  <c r="AU864" i="20"/>
  <c r="AU860" i="20"/>
  <c r="AU859" i="20"/>
  <c r="AU858" i="20"/>
  <c r="AU853" i="20"/>
  <c r="AU851" i="20"/>
  <c r="AU849" i="20"/>
  <c r="AU848" i="20"/>
  <c r="AU847" i="20"/>
  <c r="AU846" i="20"/>
  <c r="AU843" i="20"/>
  <c r="AU842" i="20"/>
  <c r="AU841" i="20"/>
  <c r="AU844" i="20"/>
  <c r="AU773" i="20"/>
  <c r="AU766" i="20"/>
  <c r="AU764" i="20"/>
  <c r="AU762" i="20"/>
  <c r="AU757" i="20"/>
  <c r="AU756" i="20"/>
  <c r="AU755" i="20"/>
  <c r="AU754" i="20"/>
  <c r="AU753" i="20"/>
  <c r="AU752" i="20"/>
  <c r="AU751" i="20"/>
  <c r="AU750" i="20"/>
  <c r="AU749" i="20"/>
  <c r="AU748" i="20"/>
  <c r="AU747" i="20"/>
  <c r="AU746" i="20"/>
  <c r="AU745" i="20"/>
  <c r="AU744" i="20"/>
  <c r="AU743" i="20"/>
  <c r="AU742" i="20"/>
  <c r="AU741" i="20"/>
  <c r="AU740" i="20"/>
  <c r="AU739" i="20"/>
  <c r="AU738" i="20"/>
  <c r="AU737" i="20"/>
  <c r="AU736" i="20"/>
  <c r="AU735" i="20"/>
  <c r="AU734" i="20"/>
  <c r="AU733" i="20"/>
  <c r="AU732" i="20"/>
  <c r="AU731" i="20"/>
  <c r="AU730" i="20"/>
  <c r="AU729" i="20"/>
  <c r="AU728" i="20"/>
  <c r="AU727" i="20"/>
  <c r="AU726" i="20"/>
  <c r="AU725" i="20"/>
  <c r="AU724" i="20"/>
  <c r="AU722" i="20"/>
  <c r="AU721" i="20"/>
  <c r="AU720" i="20"/>
  <c r="AU718" i="20"/>
  <c r="AU717" i="20"/>
  <c r="AU713" i="20"/>
  <c r="AU708" i="20"/>
  <c r="AU707" i="20"/>
  <c r="AU706" i="20"/>
  <c r="AU705" i="20"/>
  <c r="AU704" i="20"/>
  <c r="AU703" i="20"/>
  <c r="AU702" i="20"/>
  <c r="AU701" i="20"/>
  <c r="AU700" i="20"/>
  <c r="AU699" i="20"/>
  <c r="AU698" i="20"/>
  <c r="AU697" i="20"/>
  <c r="AU696" i="20"/>
  <c r="AU695" i="20"/>
  <c r="AU694" i="20"/>
  <c r="AU692" i="20"/>
  <c r="AU691" i="20"/>
  <c r="AU681" i="20"/>
  <c r="AU680" i="20"/>
  <c r="AU679" i="20"/>
  <c r="AU678" i="20"/>
  <c r="AU677" i="20"/>
  <c r="AU675" i="20"/>
  <c r="AU673" i="20"/>
  <c r="AU672" i="20"/>
  <c r="AU671" i="20"/>
  <c r="AU670" i="20"/>
  <c r="AU669" i="20"/>
  <c r="AU668" i="20"/>
  <c r="AU667" i="20"/>
  <c r="AU666" i="20"/>
  <c r="AU665" i="20"/>
  <c r="AU664" i="20"/>
  <c r="AU663" i="20"/>
  <c r="AU662" i="20"/>
  <c r="AU661" i="20"/>
  <c r="AU660" i="20"/>
  <c r="AU659" i="20"/>
  <c r="AU658" i="20"/>
  <c r="AU657" i="20"/>
  <c r="AU656" i="20"/>
  <c r="AU655" i="20"/>
  <c r="AU654" i="20"/>
  <c r="AU653" i="20"/>
  <c r="AU652" i="20"/>
  <c r="AU651" i="20"/>
  <c r="AU650" i="20"/>
  <c r="AU649" i="20"/>
  <c r="AU648" i="20"/>
  <c r="AU647" i="20"/>
  <c r="AU646" i="20"/>
  <c r="AU645" i="20"/>
  <c r="AU644" i="20"/>
  <c r="AU643" i="20"/>
  <c r="AU641" i="20"/>
  <c r="AU640" i="20"/>
  <c r="AU639" i="20"/>
  <c r="AU638" i="20"/>
  <c r="AU637" i="20"/>
  <c r="AU636" i="20"/>
  <c r="AU635" i="20"/>
  <c r="AU642" i="20"/>
  <c r="AU634" i="20"/>
  <c r="AU633" i="20"/>
  <c r="AU632" i="20"/>
  <c r="AU631" i="20"/>
  <c r="AU630" i="20"/>
  <c r="AU629" i="20"/>
  <c r="AU628" i="20"/>
  <c r="AU627" i="20"/>
  <c r="AU626" i="20"/>
  <c r="AU625" i="20"/>
  <c r="AU624" i="20"/>
  <c r="AU621" i="20"/>
  <c r="AU620" i="20"/>
  <c r="AU618" i="20"/>
  <c r="AU616" i="20"/>
  <c r="AU614" i="20"/>
  <c r="AU612" i="20"/>
  <c r="AU610" i="20"/>
  <c r="AU606" i="20"/>
  <c r="AU600" i="20"/>
  <c r="AU599" i="20"/>
  <c r="AU596" i="20"/>
  <c r="AU595" i="20"/>
  <c r="AU593" i="20"/>
  <c r="AU590" i="20"/>
  <c r="AU589" i="20"/>
  <c r="AU587" i="20"/>
  <c r="AU585" i="20"/>
  <c r="AU584" i="20"/>
  <c r="AU583" i="20"/>
  <c r="AU574" i="20"/>
  <c r="AU573" i="20"/>
  <c r="AU571" i="20"/>
  <c r="AU570" i="20"/>
  <c r="AU568" i="20"/>
  <c r="AU552" i="20"/>
  <c r="AU543" i="20"/>
  <c r="AU514" i="20"/>
  <c r="AU503" i="20"/>
  <c r="AU501" i="20"/>
  <c r="AU496" i="20"/>
  <c r="AU493" i="20"/>
  <c r="AU491" i="20"/>
  <c r="AU489" i="20"/>
  <c r="AU488" i="20"/>
  <c r="AU487" i="20"/>
  <c r="AU472" i="20"/>
  <c r="AU463" i="20"/>
  <c r="AU458" i="20"/>
  <c r="AU456" i="20"/>
  <c r="AU453" i="20"/>
  <c r="AU449" i="20"/>
  <c r="AU442" i="20"/>
  <c r="AU437" i="20"/>
  <c r="AU434" i="20"/>
  <c r="AU433" i="20"/>
  <c r="AU423" i="20"/>
  <c r="AU410" i="20"/>
  <c r="AU409" i="20"/>
  <c r="AU408" i="20"/>
  <c r="AU407" i="20"/>
  <c r="AU404" i="20"/>
  <c r="AU403" i="20"/>
  <c r="AU402" i="20"/>
  <c r="AU401" i="20"/>
  <c r="AU406" i="20"/>
  <c r="AU405" i="20"/>
  <c r="AU398" i="20"/>
  <c r="AU397" i="20"/>
  <c r="AU395" i="20"/>
  <c r="AU394" i="20"/>
  <c r="AU391" i="20"/>
  <c r="AU390" i="20"/>
  <c r="AU389" i="20"/>
  <c r="AU387" i="20"/>
  <c r="AU388" i="20"/>
  <c r="AU386" i="20"/>
  <c r="AU384" i="20"/>
  <c r="AU365" i="20"/>
  <c r="AU364" i="20"/>
  <c r="AU363" i="20"/>
  <c r="AU362" i="20"/>
  <c r="AU361" i="20"/>
  <c r="AU360" i="20"/>
  <c r="AU355" i="20"/>
  <c r="AU352" i="20"/>
  <c r="AU347" i="20"/>
  <c r="AU337" i="20"/>
  <c r="AU336" i="20"/>
  <c r="AU335" i="20"/>
  <c r="AU333" i="20"/>
  <c r="AU332" i="20"/>
  <c r="AU331" i="20"/>
  <c r="AU330" i="20"/>
  <c r="AU329" i="20"/>
  <c r="AU328" i="20"/>
  <c r="AU327" i="20"/>
  <c r="AU325" i="20"/>
  <c r="AU324" i="20"/>
  <c r="AU323" i="20"/>
  <c r="AU326" i="20"/>
  <c r="AU322" i="20"/>
  <c r="AU321" i="20"/>
  <c r="AU320" i="20"/>
  <c r="AU319" i="20"/>
  <c r="AU312" i="20"/>
  <c r="AU311" i="20"/>
  <c r="AU310" i="20"/>
  <c r="AU309" i="20"/>
  <c r="AU308" i="20"/>
  <c r="AU307" i="20"/>
  <c r="AU306" i="20"/>
  <c r="AU305" i="20"/>
  <c r="AU304" i="20"/>
  <c r="AU303" i="20"/>
  <c r="AU302" i="20"/>
  <c r="AU301" i="20"/>
  <c r="AU300" i="20"/>
  <c r="AU299" i="20"/>
  <c r="AU298" i="20"/>
  <c r="AU297" i="20"/>
  <c r="AU296" i="20"/>
  <c r="AU295" i="20"/>
  <c r="AU294" i="20"/>
  <c r="AU293" i="20"/>
  <c r="AU292" i="20"/>
  <c r="AU291" i="20"/>
  <c r="AU290" i="20"/>
  <c r="AU289" i="20"/>
  <c r="AU288" i="20"/>
  <c r="AU287" i="20"/>
  <c r="AU286" i="20"/>
  <c r="AU285" i="20"/>
  <c r="AU284" i="20"/>
  <c r="AU283" i="20"/>
  <c r="AU282" i="20"/>
  <c r="AU281" i="20"/>
  <c r="AU280" i="20"/>
  <c r="AU279" i="20"/>
  <c r="AU278" i="20"/>
  <c r="AU277" i="20"/>
  <c r="AU276" i="20"/>
  <c r="AU275" i="20"/>
  <c r="AU274" i="20"/>
  <c r="AU273" i="20"/>
  <c r="AU272" i="20"/>
  <c r="AU271" i="20"/>
  <c r="AU270" i="20"/>
  <c r="AU269" i="20"/>
  <c r="AU252" i="20"/>
  <c r="AU251" i="20"/>
  <c r="AU250" i="20"/>
  <c r="AU249" i="20"/>
  <c r="AU248" i="20"/>
  <c r="AU247" i="20"/>
  <c r="AU246" i="20"/>
  <c r="AU245" i="20"/>
  <c r="AU242" i="20"/>
  <c r="AU241" i="20"/>
  <c r="AU240" i="20"/>
  <c r="AU239" i="20"/>
  <c r="AU238" i="20"/>
  <c r="AU237" i="20"/>
  <c r="AU236" i="20"/>
  <c r="AU235" i="20"/>
  <c r="AU234" i="20"/>
  <c r="AU233" i="20"/>
  <c r="AU232" i="20"/>
  <c r="AU231" i="20"/>
  <c r="AU226" i="20"/>
  <c r="AU225" i="20"/>
  <c r="AU224" i="20"/>
  <c r="AU223" i="20"/>
  <c r="AU211" i="20"/>
  <c r="AU210" i="20"/>
  <c r="AU209" i="20"/>
  <c r="AU208" i="20"/>
  <c r="AU207" i="20"/>
  <c r="AU206" i="20"/>
  <c r="AU205" i="20"/>
  <c r="AU202" i="20"/>
  <c r="AU190" i="20"/>
  <c r="AU191" i="20"/>
  <c r="AU189" i="20"/>
  <c r="AU188" i="20"/>
  <c r="AU186" i="20"/>
  <c r="AU185" i="20"/>
  <c r="AU187" i="20"/>
  <c r="AU183" i="20"/>
  <c r="AU184" i="20"/>
  <c r="AU182" i="20"/>
  <c r="AU181" i="20"/>
  <c r="AU180" i="20"/>
  <c r="AU179" i="20"/>
  <c r="AU177" i="20"/>
  <c r="AU178" i="20"/>
  <c r="AU174" i="20"/>
  <c r="AU165" i="20"/>
  <c r="AU164" i="20"/>
  <c r="AU159" i="20"/>
  <c r="AU162" i="20"/>
  <c r="AU160" i="20"/>
  <c r="AU158" i="20"/>
  <c r="AU157" i="20"/>
  <c r="AU152" i="20"/>
  <c r="AU154" i="20"/>
  <c r="AU156" i="20"/>
  <c r="AU155" i="20"/>
  <c r="AU153" i="20"/>
  <c r="AU150" i="20"/>
  <c r="AU148" i="20"/>
  <c r="AU147" i="20"/>
  <c r="AU146" i="20"/>
  <c r="AU145" i="20"/>
  <c r="AU133" i="20"/>
  <c r="AU126" i="20"/>
  <c r="AU123" i="20"/>
  <c r="AU127" i="20"/>
  <c r="AU125" i="20"/>
  <c r="AU117" i="20"/>
  <c r="AU116" i="20"/>
  <c r="AU115" i="20"/>
  <c r="AU114" i="20"/>
  <c r="AU113" i="20"/>
  <c r="AU112" i="20"/>
  <c r="AU111" i="20"/>
  <c r="AU109" i="20"/>
  <c r="AU110" i="20"/>
  <c r="AU108" i="20"/>
  <c r="AU107" i="20"/>
  <c r="AU106" i="20"/>
  <c r="AU105" i="20"/>
  <c r="AU104" i="20"/>
  <c r="AU103" i="20"/>
  <c r="AU102" i="20"/>
  <c r="AU98" i="20"/>
  <c r="AU94" i="20"/>
  <c r="AS1093" i="20"/>
  <c r="AS1094" i="20"/>
  <c r="AS1092" i="20"/>
  <c r="AS1091" i="20"/>
  <c r="AS1090" i="20"/>
  <c r="AS1089" i="20"/>
  <c r="AS1088" i="20"/>
  <c r="AS1087" i="20"/>
  <c r="AS1086" i="20"/>
  <c r="AS1085" i="20"/>
  <c r="AS1083" i="20"/>
  <c r="AS1084" i="20"/>
  <c r="AS1082" i="20"/>
  <c r="AS1081" i="20"/>
  <c r="AS1079" i="20"/>
  <c r="AS1078" i="20"/>
  <c r="AS1077" i="20"/>
  <c r="AS1076" i="20"/>
  <c r="AS1075" i="20"/>
  <c r="AS1073" i="20"/>
  <c r="AS1074" i="20"/>
  <c r="AS1072" i="20"/>
  <c r="AS1071" i="20"/>
  <c r="AS1070" i="20"/>
  <c r="AS1069" i="20"/>
  <c r="AS1068" i="20"/>
  <c r="AS1067" i="20"/>
  <c r="AS1066" i="20"/>
  <c r="AS1065" i="20"/>
  <c r="AS1064" i="20"/>
  <c r="AS1063" i="20"/>
  <c r="AS1062" i="20"/>
  <c r="AS1061" i="20"/>
  <c r="AS1060" i="20"/>
  <c r="AS1059" i="20"/>
  <c r="AS1058" i="20"/>
  <c r="AS1057" i="20"/>
  <c r="AS1056" i="20"/>
  <c r="AS1055" i="20"/>
  <c r="AS1054" i="20"/>
  <c r="AS1052" i="20"/>
  <c r="AS1051" i="20"/>
  <c r="AS1050" i="20"/>
  <c r="AS1046" i="20"/>
  <c r="AS1045" i="20"/>
  <c r="AS1044" i="20"/>
  <c r="AS1043" i="20"/>
  <c r="AS1042" i="20"/>
  <c r="AS1053" i="20"/>
  <c r="AS1049" i="20"/>
  <c r="AS1048" i="20"/>
  <c r="AS1047" i="20"/>
  <c r="AS1041" i="20"/>
  <c r="AS1039" i="20"/>
  <c r="AS1036" i="20"/>
  <c r="AS1034" i="20"/>
  <c r="AS1022" i="20"/>
  <c r="AS1021" i="20"/>
  <c r="AS1020" i="20"/>
  <c r="AS1019" i="20"/>
  <c r="AS1018" i="20"/>
  <c r="AS1012" i="20"/>
  <c r="AS1011" i="20"/>
  <c r="AS1010" i="20"/>
  <c r="AS1009" i="20"/>
  <c r="AS1007" i="20"/>
  <c r="AS1006" i="20"/>
  <c r="AS1008" i="20"/>
  <c r="AS1005" i="20"/>
  <c r="AS1004" i="20"/>
  <c r="AS1003" i="20"/>
  <c r="AS1002" i="20"/>
  <c r="AS1001" i="20"/>
  <c r="AS1000" i="20"/>
  <c r="AS999" i="20"/>
  <c r="AS997" i="20"/>
  <c r="AS996" i="20"/>
  <c r="AS995" i="20"/>
  <c r="AS994" i="20"/>
  <c r="AS993" i="20"/>
  <c r="AS992" i="20"/>
  <c r="AS990" i="20"/>
  <c r="AS989" i="20"/>
  <c r="AS988" i="20"/>
  <c r="AS987" i="20"/>
  <c r="AS986" i="20"/>
  <c r="AS985" i="20"/>
  <c r="AS984" i="20"/>
  <c r="AS982" i="20"/>
  <c r="AS981" i="20"/>
  <c r="AS983" i="20"/>
  <c r="AS980" i="20"/>
  <c r="AS979" i="20"/>
  <c r="AS978" i="20"/>
  <c r="AS977" i="20"/>
  <c r="AS976" i="20"/>
  <c r="AS975" i="20"/>
  <c r="AS974" i="20"/>
  <c r="AS973" i="20"/>
  <c r="AS972" i="20"/>
  <c r="AS971" i="20"/>
  <c r="AS970" i="20"/>
  <c r="AS969" i="20"/>
  <c r="AS968" i="20"/>
  <c r="AS967" i="20"/>
  <c r="AS966" i="20"/>
  <c r="AS963" i="20"/>
  <c r="AS962" i="20"/>
  <c r="AS961" i="20"/>
  <c r="AS960" i="20"/>
  <c r="AS959" i="20"/>
  <c r="AS958" i="20"/>
  <c r="AS957" i="20"/>
  <c r="AS956" i="20"/>
  <c r="AS955" i="20"/>
  <c r="AS954" i="20"/>
  <c r="AS949" i="20"/>
  <c r="AS948" i="20"/>
  <c r="AS947" i="20"/>
  <c r="AS946" i="20"/>
  <c r="AS945" i="20"/>
  <c r="AS944" i="20"/>
  <c r="AS943" i="20"/>
  <c r="AS942" i="20"/>
  <c r="AS941" i="20"/>
  <c r="AS940" i="20"/>
  <c r="AS939" i="20"/>
  <c r="AS938" i="20"/>
  <c r="AS937" i="20"/>
  <c r="AS936" i="20"/>
  <c r="AS935" i="20"/>
  <c r="AS934" i="20"/>
  <c r="AS933" i="20"/>
  <c r="AS932" i="20"/>
  <c r="AS931" i="20"/>
  <c r="AS930" i="20"/>
  <c r="AS929" i="20"/>
  <c r="AS928" i="20"/>
  <c r="AS927" i="20"/>
  <c r="AS926" i="20"/>
  <c r="AS925" i="20"/>
  <c r="AS924" i="20"/>
  <c r="AS923" i="20"/>
  <c r="AS922" i="20"/>
  <c r="AS921" i="20"/>
  <c r="AS920" i="20"/>
  <c r="AS919" i="20"/>
  <c r="AS918" i="20"/>
  <c r="AS917" i="20"/>
  <c r="AS916" i="20"/>
  <c r="AS915" i="20"/>
  <c r="AS914" i="20"/>
  <c r="AS912" i="20"/>
  <c r="AS911" i="20"/>
  <c r="AS910" i="20"/>
  <c r="AS909" i="20"/>
  <c r="AS908" i="20"/>
  <c r="AS907" i="20"/>
  <c r="AS906" i="20"/>
  <c r="AS905" i="20"/>
  <c r="AS904" i="20"/>
  <c r="AS903" i="20"/>
  <c r="AS902" i="20"/>
  <c r="AS901" i="20"/>
  <c r="AS900" i="20"/>
  <c r="AS899" i="20"/>
  <c r="AS898" i="20"/>
  <c r="AS897" i="20"/>
  <c r="AS896" i="20"/>
  <c r="AS895" i="20"/>
  <c r="AS894" i="20"/>
  <c r="AS892" i="20"/>
  <c r="AS891" i="20"/>
  <c r="AS890" i="20"/>
  <c r="AS889" i="20"/>
  <c r="AS888" i="20"/>
  <c r="AS887" i="20"/>
  <c r="AS886" i="20"/>
  <c r="AS885" i="20"/>
  <c r="AS884" i="20"/>
  <c r="AS883" i="20"/>
  <c r="AS882" i="20"/>
  <c r="AS881" i="20"/>
  <c r="AS880" i="20"/>
  <c r="AS879" i="20"/>
  <c r="AS878" i="20"/>
  <c r="AS871" i="20"/>
  <c r="AS870" i="20"/>
  <c r="AS869" i="20"/>
  <c r="AS868" i="20"/>
  <c r="AS867" i="20"/>
  <c r="AS866" i="20"/>
  <c r="AS865" i="20"/>
  <c r="AS864" i="20"/>
  <c r="AS860" i="20"/>
  <c r="AS859" i="20"/>
  <c r="AS858" i="20"/>
  <c r="AS853" i="20"/>
  <c r="AS851" i="20"/>
  <c r="AS849" i="20"/>
  <c r="AS848" i="20"/>
  <c r="AS847" i="20"/>
  <c r="AS846" i="20"/>
  <c r="AS843" i="20"/>
  <c r="AS842" i="20"/>
  <c r="AS841" i="20"/>
  <c r="AS844" i="20"/>
  <c r="AS773" i="20"/>
  <c r="AS766" i="20"/>
  <c r="AS764" i="20"/>
  <c r="AS762" i="20"/>
  <c r="AS757" i="20"/>
  <c r="AS756" i="20"/>
  <c r="AS755" i="20"/>
  <c r="AS754" i="20"/>
  <c r="AS753" i="20"/>
  <c r="AS752" i="20"/>
  <c r="AS751" i="20"/>
  <c r="AS750" i="20"/>
  <c r="AS749" i="20"/>
  <c r="AS748" i="20"/>
  <c r="AS747" i="20"/>
  <c r="AS746" i="20"/>
  <c r="AS745" i="20"/>
  <c r="AS744" i="20"/>
  <c r="AS743" i="20"/>
  <c r="AS742" i="20"/>
  <c r="AS741" i="20"/>
  <c r="AS740" i="20"/>
  <c r="AS739" i="20"/>
  <c r="AS738" i="20"/>
  <c r="AS737" i="20"/>
  <c r="AS736" i="20"/>
  <c r="AS735" i="20"/>
  <c r="AS734" i="20"/>
  <c r="AS733" i="20"/>
  <c r="AS732" i="20"/>
  <c r="AS731" i="20"/>
  <c r="AS730" i="20"/>
  <c r="AS729" i="20"/>
  <c r="AS728" i="20"/>
  <c r="AS727" i="20"/>
  <c r="AS726" i="20"/>
  <c r="AS725" i="20"/>
  <c r="AS724" i="20"/>
  <c r="AS722" i="20"/>
  <c r="AS721" i="20"/>
  <c r="AS720" i="20"/>
  <c r="AS718" i="20"/>
  <c r="AS717" i="20"/>
  <c r="AS713" i="20"/>
  <c r="AS708" i="20"/>
  <c r="AS707" i="20"/>
  <c r="AS706" i="20"/>
  <c r="AS705" i="20"/>
  <c r="AS704" i="20"/>
  <c r="AS703" i="20"/>
  <c r="AS702" i="20"/>
  <c r="AS701" i="20"/>
  <c r="AS700" i="20"/>
  <c r="AS699" i="20"/>
  <c r="AS698" i="20"/>
  <c r="AS697" i="20"/>
  <c r="AS696" i="20"/>
  <c r="AS695" i="20"/>
  <c r="AS694" i="20"/>
  <c r="AS692" i="20"/>
  <c r="AS691" i="20"/>
  <c r="AS681" i="20"/>
  <c r="AS680" i="20"/>
  <c r="AS679" i="20"/>
  <c r="AS678" i="20"/>
  <c r="AS677" i="20"/>
  <c r="AS675" i="20"/>
  <c r="AS673" i="20"/>
  <c r="AS672" i="20"/>
  <c r="AS671" i="20"/>
  <c r="AS670" i="20"/>
  <c r="AS669" i="20"/>
  <c r="AS668" i="20"/>
  <c r="AS667" i="20"/>
  <c r="AS666" i="20"/>
  <c r="AS665" i="20"/>
  <c r="AS664" i="20"/>
  <c r="AS663" i="20"/>
  <c r="AS662" i="20"/>
  <c r="AS661" i="20"/>
  <c r="AS660" i="20"/>
  <c r="AS659" i="20"/>
  <c r="AS658" i="20"/>
  <c r="AS657" i="20"/>
  <c r="AS656" i="20"/>
  <c r="AS655" i="20"/>
  <c r="AS654" i="20"/>
  <c r="AS653" i="20"/>
  <c r="AS652" i="20"/>
  <c r="AS651" i="20"/>
  <c r="AS650" i="20"/>
  <c r="AS649" i="20"/>
  <c r="AS648" i="20"/>
  <c r="AS647" i="20"/>
  <c r="AS646" i="20"/>
  <c r="AS645" i="20"/>
  <c r="AS644" i="20"/>
  <c r="AS643" i="20"/>
  <c r="AS641" i="20"/>
  <c r="AS640" i="20"/>
  <c r="AS639" i="20"/>
  <c r="AS638" i="20"/>
  <c r="AS637" i="20"/>
  <c r="AS636" i="20"/>
  <c r="AS635" i="20"/>
  <c r="AS642" i="20"/>
  <c r="AS634" i="20"/>
  <c r="AS633" i="20"/>
  <c r="AS632" i="20"/>
  <c r="AS631" i="20"/>
  <c r="AS630" i="20"/>
  <c r="AS629" i="20"/>
  <c r="AS628" i="20"/>
  <c r="AS627" i="20"/>
  <c r="AS626" i="20"/>
  <c r="AS625" i="20"/>
  <c r="AS624" i="20"/>
  <c r="AS621" i="20"/>
  <c r="AS620" i="20"/>
  <c r="AS618" i="20"/>
  <c r="AS616" i="20"/>
  <c r="AS614" i="20"/>
  <c r="AS612" i="20"/>
  <c r="AS610" i="20"/>
  <c r="AS606" i="20"/>
  <c r="AS600" i="20"/>
  <c r="AS599" i="20"/>
  <c r="AS596" i="20"/>
  <c r="AS595" i="20"/>
  <c r="AS593" i="20"/>
  <c r="AS590" i="20"/>
  <c r="AS589" i="20"/>
  <c r="AS587" i="20"/>
  <c r="AS585" i="20"/>
  <c r="AS584" i="20"/>
  <c r="AS583" i="20"/>
  <c r="AS574" i="20"/>
  <c r="AS573" i="20"/>
  <c r="AS571" i="20"/>
  <c r="AS570" i="20"/>
  <c r="AS568" i="20"/>
  <c r="AS552" i="20"/>
  <c r="AS543" i="20"/>
  <c r="AS514" i="20"/>
  <c r="AS503" i="20"/>
  <c r="AS501" i="20"/>
  <c r="AS496" i="20"/>
  <c r="AS493" i="20"/>
  <c r="AS491" i="20"/>
  <c r="AS489" i="20"/>
  <c r="AS488" i="20"/>
  <c r="AS487" i="20"/>
  <c r="AS472" i="20"/>
  <c r="AS463" i="20"/>
  <c r="AS458" i="20"/>
  <c r="AS456" i="20"/>
  <c r="AS453" i="20"/>
  <c r="AS449" i="20"/>
  <c r="AS442" i="20"/>
  <c r="AS437" i="20"/>
  <c r="AS434" i="20"/>
  <c r="AS433" i="20"/>
  <c r="AS423" i="20"/>
  <c r="AS410" i="20"/>
  <c r="AS409" i="20"/>
  <c r="AS408" i="20"/>
  <c r="AS407" i="20"/>
  <c r="AS404" i="20"/>
  <c r="AS403" i="20"/>
  <c r="AS402" i="20"/>
  <c r="AS401" i="20"/>
  <c r="AS406" i="20"/>
  <c r="AS405" i="20"/>
  <c r="AS398" i="20"/>
  <c r="AS397" i="20"/>
  <c r="AS395" i="20"/>
  <c r="AS394" i="20"/>
  <c r="AS391" i="20"/>
  <c r="AS390" i="20"/>
  <c r="AS389" i="20"/>
  <c r="AS387" i="20"/>
  <c r="AS388" i="20"/>
  <c r="AS386" i="20"/>
  <c r="AS384" i="20"/>
  <c r="AS365" i="20"/>
  <c r="AS364" i="20"/>
  <c r="AS363" i="20"/>
  <c r="AS362" i="20"/>
  <c r="AS361" i="20"/>
  <c r="AS360" i="20"/>
  <c r="AS355" i="20"/>
  <c r="AS352" i="20"/>
  <c r="AS347" i="20"/>
  <c r="AS337" i="20"/>
  <c r="AS336" i="20"/>
  <c r="AS335" i="20"/>
  <c r="AS333" i="20"/>
  <c r="AS332" i="20"/>
  <c r="AS331" i="20"/>
  <c r="AS330" i="20"/>
  <c r="AS329" i="20"/>
  <c r="AS328" i="20"/>
  <c r="AS327" i="20"/>
  <c r="AS325" i="20"/>
  <c r="AS324" i="20"/>
  <c r="AS323" i="20"/>
  <c r="AS326" i="20"/>
  <c r="AS322" i="20"/>
  <c r="AS321" i="20"/>
  <c r="AS320" i="20"/>
  <c r="AS319" i="20"/>
  <c r="AS312" i="20"/>
  <c r="AS311" i="20"/>
  <c r="AS310" i="20"/>
  <c r="AS309" i="20"/>
  <c r="AS308" i="20"/>
  <c r="AS307" i="20"/>
  <c r="AS306" i="20"/>
  <c r="AS305" i="20"/>
  <c r="AS304" i="20"/>
  <c r="AS303" i="20"/>
  <c r="AS302" i="20"/>
  <c r="AS301" i="20"/>
  <c r="AS300" i="20"/>
  <c r="AS299" i="20"/>
  <c r="AS298" i="20"/>
  <c r="AS297" i="20"/>
  <c r="AS296" i="20"/>
  <c r="AS295" i="20"/>
  <c r="AS294" i="20"/>
  <c r="AS293" i="20"/>
  <c r="AS292" i="20"/>
  <c r="AS291" i="20"/>
  <c r="AS290" i="20"/>
  <c r="AS289" i="20"/>
  <c r="AS288" i="20"/>
  <c r="AS287" i="20"/>
  <c r="AS286" i="20"/>
  <c r="AS285" i="20"/>
  <c r="AS284" i="20"/>
  <c r="AS283" i="20"/>
  <c r="AS282" i="20"/>
  <c r="AS281" i="20"/>
  <c r="AS280" i="20"/>
  <c r="AS279" i="20"/>
  <c r="AS278" i="20"/>
  <c r="AS277" i="20"/>
  <c r="AS276" i="20"/>
  <c r="AS275" i="20"/>
  <c r="AS274" i="20"/>
  <c r="AS273" i="20"/>
  <c r="AS272" i="20"/>
  <c r="AS271" i="20"/>
  <c r="AS270" i="20"/>
  <c r="AS269" i="20"/>
  <c r="AS252" i="20"/>
  <c r="AS251" i="20"/>
  <c r="AS250" i="20"/>
  <c r="AS249" i="20"/>
  <c r="AS248" i="20"/>
  <c r="AS247" i="20"/>
  <c r="AS246" i="20"/>
  <c r="AS245" i="20"/>
  <c r="AS242" i="20"/>
  <c r="AS241" i="20"/>
  <c r="AS240" i="20"/>
  <c r="AS239" i="20"/>
  <c r="AS238" i="20"/>
  <c r="AS237" i="20"/>
  <c r="AS236" i="20"/>
  <c r="AS235" i="20"/>
  <c r="AS234" i="20"/>
  <c r="AS233" i="20"/>
  <c r="AS232" i="20"/>
  <c r="AS231" i="20"/>
  <c r="AS226" i="20"/>
  <c r="AS225" i="20"/>
  <c r="AS224" i="20"/>
  <c r="AS223" i="20"/>
  <c r="AS211" i="20"/>
  <c r="AS210" i="20"/>
  <c r="AS209" i="20"/>
  <c r="AS208" i="20"/>
  <c r="AS207" i="20"/>
  <c r="AS206" i="20"/>
  <c r="AS205" i="20"/>
  <c r="AS202" i="20"/>
  <c r="AS190" i="20"/>
  <c r="AS191" i="20"/>
  <c r="AS189" i="20"/>
  <c r="AS188" i="20"/>
  <c r="AS186" i="20"/>
  <c r="AS185" i="20"/>
  <c r="AS187" i="20"/>
  <c r="AS183" i="20"/>
  <c r="AS184" i="20"/>
  <c r="AS182" i="20"/>
  <c r="AS181" i="20"/>
  <c r="AS180" i="20"/>
  <c r="AS179" i="20"/>
  <c r="AS177" i="20"/>
  <c r="AS178" i="20"/>
  <c r="AS174" i="20"/>
  <c r="AS165" i="20"/>
  <c r="AS164" i="20"/>
  <c r="AS159" i="20"/>
  <c r="AS162" i="20"/>
  <c r="AS160" i="20"/>
  <c r="AS158" i="20"/>
  <c r="AS157" i="20"/>
  <c r="AS152" i="20"/>
  <c r="AS154" i="20"/>
  <c r="AS156" i="20"/>
  <c r="AS155" i="20"/>
  <c r="AS153" i="20"/>
  <c r="AS150" i="20"/>
  <c r="AS148" i="20"/>
  <c r="AS147" i="20"/>
  <c r="AS146" i="20"/>
  <c r="AS145" i="20"/>
  <c r="AS133" i="20"/>
  <c r="AS126" i="20"/>
  <c r="AS123" i="20"/>
  <c r="AS127" i="20"/>
  <c r="AS125" i="20"/>
  <c r="AS117" i="20"/>
  <c r="AS116" i="20"/>
  <c r="AS115" i="20"/>
  <c r="AS114" i="20"/>
  <c r="AS113" i="20"/>
  <c r="AS112" i="20"/>
  <c r="AS111" i="20"/>
  <c r="AS109" i="20"/>
  <c r="AS110" i="20"/>
  <c r="AS108" i="20"/>
  <c r="AS107" i="20"/>
  <c r="AS106" i="20"/>
  <c r="AS105" i="20"/>
  <c r="AS104" i="20"/>
  <c r="AS103" i="20"/>
  <c r="AS102" i="20"/>
  <c r="AS98" i="20"/>
  <c r="AS94" i="20"/>
  <c r="A107" i="20"/>
  <c r="A112" i="20"/>
  <c r="A94" i="20"/>
  <c r="A98" i="20"/>
  <c r="A102" i="20"/>
  <c r="A103" i="20"/>
  <c r="A104" i="20"/>
  <c r="A105" i="20"/>
  <c r="A106" i="20"/>
  <c r="A108" i="20"/>
  <c r="A110" i="20"/>
  <c r="A109" i="20"/>
  <c r="A111" i="20"/>
  <c r="A113" i="20"/>
  <c r="A114" i="20"/>
  <c r="A115" i="20"/>
  <c r="A116" i="20"/>
  <c r="A117" i="20"/>
  <c r="A125" i="20"/>
  <c r="A127" i="20"/>
  <c r="A123" i="20"/>
  <c r="A126" i="20"/>
  <c r="A133" i="20"/>
  <c r="A145" i="20"/>
  <c r="A146" i="20"/>
  <c r="A147" i="20"/>
  <c r="A148" i="20"/>
  <c r="A150" i="20"/>
  <c r="A153" i="20"/>
  <c r="A155" i="20"/>
  <c r="A156" i="20"/>
  <c r="A154" i="20"/>
  <c r="A152" i="20"/>
  <c r="A157" i="20"/>
  <c r="A158" i="20"/>
  <c r="A160" i="20"/>
  <c r="A162" i="20"/>
  <c r="A159" i="20"/>
  <c r="A164" i="20"/>
  <c r="A165" i="20"/>
  <c r="A174" i="20"/>
  <c r="A178" i="20"/>
  <c r="A177" i="20"/>
  <c r="A179" i="20"/>
  <c r="A180" i="20"/>
  <c r="A181" i="20"/>
  <c r="A182" i="20"/>
  <c r="A184" i="20"/>
  <c r="A183" i="20"/>
  <c r="A187" i="20"/>
  <c r="A185" i="20"/>
  <c r="A186" i="20"/>
  <c r="A188" i="20"/>
  <c r="A189" i="20"/>
  <c r="A191" i="20"/>
  <c r="A190" i="20"/>
  <c r="A192" i="20"/>
  <c r="A193" i="20"/>
  <c r="A194" i="20"/>
  <c r="A195" i="20"/>
  <c r="A196" i="20"/>
  <c r="A197" i="20"/>
  <c r="A198" i="20"/>
  <c r="A199" i="20"/>
  <c r="A200" i="20"/>
  <c r="A201" i="20"/>
  <c r="A203" i="20"/>
  <c r="A204" i="20"/>
  <c r="A202" i="20"/>
  <c r="A205" i="20"/>
  <c r="A206" i="20"/>
  <c r="A207" i="20"/>
  <c r="A208" i="20"/>
  <c r="A209" i="20"/>
  <c r="A210" i="20"/>
  <c r="A211" i="20"/>
  <c r="A223" i="20"/>
  <c r="A224" i="20"/>
  <c r="A225" i="20"/>
  <c r="A226" i="20"/>
  <c r="A227" i="20"/>
  <c r="A228" i="20"/>
  <c r="A229" i="20"/>
  <c r="A230" i="20"/>
  <c r="A231" i="20"/>
  <c r="A232" i="20"/>
  <c r="A233" i="20"/>
  <c r="A234" i="20"/>
  <c r="A235" i="20"/>
  <c r="A236" i="20"/>
  <c r="A237" i="20"/>
  <c r="A238" i="20"/>
  <c r="A239" i="20"/>
  <c r="A240" i="20"/>
  <c r="A241" i="20"/>
  <c r="A242" i="20"/>
  <c r="A243" i="20"/>
  <c r="A244" i="20"/>
  <c r="A245" i="20"/>
  <c r="A246" i="20"/>
  <c r="A247" i="20"/>
  <c r="A248" i="20"/>
  <c r="A249" i="20"/>
  <c r="A250" i="20"/>
  <c r="A251" i="20"/>
  <c r="A252" i="20"/>
  <c r="A253" i="20"/>
  <c r="A254" i="20"/>
  <c r="A255" i="20"/>
  <c r="A256" i="20"/>
  <c r="A257" i="20"/>
  <c r="A258" i="20"/>
  <c r="A259" i="20"/>
  <c r="A260" i="20"/>
  <c r="A261" i="20"/>
  <c r="A262" i="20"/>
  <c r="A263" i="20"/>
  <c r="A264" i="20"/>
  <c r="A265" i="20"/>
  <c r="A266" i="20"/>
  <c r="A267" i="20"/>
  <c r="A268" i="20"/>
  <c r="A269" i="20"/>
  <c r="A270" i="20"/>
  <c r="A271" i="20"/>
  <c r="A272" i="20"/>
  <c r="A273" i="20"/>
  <c r="A274" i="20"/>
  <c r="A275" i="20"/>
  <c r="A276" i="20"/>
  <c r="A277" i="20"/>
  <c r="A278" i="20"/>
  <c r="A279" i="20"/>
  <c r="A280" i="20"/>
  <c r="A281" i="20"/>
  <c r="A282" i="20"/>
  <c r="A283" i="20"/>
  <c r="A284" i="20"/>
  <c r="A285" i="20"/>
  <c r="A286" i="20"/>
  <c r="A287" i="20"/>
  <c r="A288" i="20"/>
  <c r="A289" i="20"/>
  <c r="A290" i="20"/>
  <c r="A291" i="20"/>
  <c r="A292" i="20"/>
  <c r="A293" i="20"/>
  <c r="A294" i="20"/>
  <c r="A295" i="20"/>
  <c r="A296" i="20"/>
  <c r="A297" i="20"/>
  <c r="A298" i="20"/>
  <c r="A299" i="20"/>
  <c r="A300" i="20"/>
  <c r="A301" i="20"/>
  <c r="A302" i="20"/>
  <c r="A303" i="20"/>
  <c r="A304" i="20"/>
  <c r="A305" i="20"/>
  <c r="A306" i="20"/>
  <c r="A307" i="20"/>
  <c r="A308" i="20"/>
  <c r="A309" i="20"/>
  <c r="A310" i="20"/>
  <c r="A311" i="20"/>
  <c r="A312" i="20"/>
  <c r="A313" i="20"/>
  <c r="A314" i="20"/>
  <c r="A315" i="20"/>
  <c r="A316" i="20"/>
  <c r="A317" i="20"/>
  <c r="A318" i="20"/>
  <c r="A319" i="20"/>
  <c r="A320" i="20"/>
  <c r="A321" i="20"/>
  <c r="A322" i="20"/>
  <c r="A326" i="20"/>
  <c r="A323" i="20"/>
  <c r="A324" i="20"/>
  <c r="A325" i="20"/>
  <c r="A327" i="20"/>
  <c r="A328" i="20"/>
  <c r="A329" i="20"/>
  <c r="A330" i="20"/>
  <c r="A331" i="20"/>
  <c r="A332" i="20"/>
  <c r="A333" i="20"/>
  <c r="A334" i="20"/>
  <c r="A335" i="20"/>
  <c r="A336" i="20"/>
  <c r="A337" i="20"/>
  <c r="A338" i="20"/>
  <c r="A339" i="20"/>
  <c r="A340" i="20"/>
  <c r="A341" i="20"/>
  <c r="A342" i="20"/>
  <c r="A343" i="20"/>
  <c r="A344" i="20"/>
  <c r="A345" i="20"/>
  <c r="A346" i="20"/>
  <c r="A347" i="20"/>
  <c r="A348" i="20"/>
  <c r="A349" i="20"/>
  <c r="A350" i="20"/>
  <c r="A351" i="20"/>
  <c r="A352" i="20"/>
  <c r="A353" i="20"/>
  <c r="A354" i="20"/>
  <c r="A355" i="20"/>
  <c r="A356" i="20"/>
  <c r="A357" i="20"/>
  <c r="A358" i="20"/>
  <c r="A359" i="20"/>
  <c r="A360" i="20"/>
  <c r="A361" i="20"/>
  <c r="A362" i="20"/>
  <c r="A363" i="20"/>
  <c r="A364" i="20"/>
  <c r="A365" i="20"/>
  <c r="A366" i="20"/>
  <c r="A367" i="20"/>
  <c r="A368" i="20"/>
  <c r="A369" i="20"/>
  <c r="A370" i="20"/>
  <c r="A371" i="20"/>
  <c r="A372" i="20"/>
  <c r="A373" i="20"/>
  <c r="A374" i="20"/>
  <c r="A375" i="20"/>
  <c r="A376" i="20"/>
  <c r="A377" i="20"/>
  <c r="A378" i="20"/>
  <c r="A379" i="20"/>
  <c r="A380" i="20"/>
  <c r="A381" i="20"/>
  <c r="A382" i="20"/>
  <c r="A383" i="20"/>
  <c r="A384" i="20"/>
  <c r="A385" i="20"/>
  <c r="A386" i="20"/>
  <c r="A388" i="20"/>
  <c r="A387" i="20"/>
  <c r="A389" i="20"/>
  <c r="A390" i="20"/>
  <c r="A391" i="20"/>
  <c r="A392" i="20"/>
  <c r="A396" i="20"/>
  <c r="A394" i="20"/>
  <c r="A395" i="20"/>
  <c r="A393" i="20"/>
  <c r="A397" i="20"/>
  <c r="A398" i="20"/>
  <c r="A399" i="20"/>
  <c r="A400" i="20"/>
  <c r="A405" i="20"/>
  <c r="A406" i="20"/>
  <c r="A401" i="20"/>
  <c r="A402" i="20"/>
  <c r="A403" i="20"/>
  <c r="A404" i="20"/>
  <c r="A407" i="20"/>
  <c r="A408" i="20"/>
  <c r="A409" i="20"/>
  <c r="A410" i="20"/>
  <c r="A412" i="20"/>
  <c r="A411" i="20"/>
  <c r="A413" i="20"/>
  <c r="A414" i="20"/>
  <c r="A415" i="20"/>
  <c r="A416" i="20"/>
  <c r="A418" i="20"/>
  <c r="A419" i="20"/>
  <c r="A417" i="20"/>
  <c r="A420" i="20"/>
  <c r="A421" i="20"/>
  <c r="A422" i="20"/>
  <c r="A423" i="20"/>
  <c r="A424" i="20"/>
  <c r="A425" i="20"/>
  <c r="A426" i="20"/>
  <c r="A427" i="20"/>
  <c r="A428" i="20"/>
  <c r="A429" i="20"/>
  <c r="A430" i="20"/>
  <c r="A431" i="20"/>
  <c r="A432" i="20"/>
  <c r="A433" i="20"/>
  <c r="A434" i="20"/>
  <c r="A435" i="20"/>
  <c r="A436" i="20"/>
  <c r="A437" i="20"/>
  <c r="A438" i="20"/>
  <c r="A439" i="20"/>
  <c r="A440" i="20"/>
  <c r="A441" i="20"/>
  <c r="A442" i="20"/>
  <c r="A443" i="20"/>
  <c r="A444" i="20"/>
  <c r="A445" i="20"/>
  <c r="A446" i="20"/>
  <c r="A447" i="20"/>
  <c r="A448" i="20"/>
  <c r="A449" i="20"/>
  <c r="A450" i="20"/>
  <c r="A451" i="20"/>
  <c r="A452" i="20"/>
  <c r="A453" i="20"/>
  <c r="A454" i="20"/>
  <c r="A455" i="20"/>
  <c r="A456" i="20"/>
  <c r="A457" i="20"/>
  <c r="A458" i="20"/>
  <c r="A459" i="20"/>
  <c r="A460" i="20"/>
  <c r="A461" i="20"/>
  <c r="A462" i="20"/>
  <c r="A463" i="20"/>
  <c r="A464" i="20"/>
  <c r="A465" i="20"/>
  <c r="A466" i="20"/>
  <c r="A467" i="20"/>
  <c r="A468" i="20"/>
  <c r="A469" i="20"/>
  <c r="A470" i="20"/>
  <c r="A471" i="20"/>
  <c r="A472" i="20"/>
  <c r="A473" i="20"/>
  <c r="A474" i="20"/>
  <c r="A475" i="20"/>
  <c r="A476" i="20"/>
  <c r="A477" i="20"/>
  <c r="A478" i="20"/>
  <c r="A479" i="20"/>
  <c r="A480" i="20"/>
  <c r="A481" i="20"/>
  <c r="A482" i="20"/>
  <c r="A483" i="20"/>
  <c r="A484" i="20"/>
  <c r="A485" i="20"/>
  <c r="A486" i="20"/>
  <c r="A487" i="20"/>
  <c r="A488" i="20"/>
  <c r="A489" i="20"/>
  <c r="A490" i="20"/>
  <c r="A491" i="20"/>
  <c r="A492" i="20"/>
  <c r="A493" i="20"/>
  <c r="A555" i="20"/>
  <c r="A556" i="20"/>
  <c r="A557" i="20"/>
  <c r="A558" i="20"/>
  <c r="A494" i="20"/>
  <c r="A495" i="20"/>
  <c r="A496" i="20"/>
  <c r="A497" i="20"/>
  <c r="A498" i="20"/>
  <c r="A499" i="20"/>
  <c r="A500" i="20"/>
  <c r="A501" i="20"/>
  <c r="A502" i="20"/>
  <c r="A503" i="20"/>
  <c r="A504" i="20"/>
  <c r="A505" i="20"/>
  <c r="A506" i="20"/>
  <c r="A507" i="20"/>
  <c r="A508" i="20"/>
  <c r="A509" i="20"/>
  <c r="A510" i="20"/>
  <c r="A511" i="20"/>
  <c r="A512" i="20"/>
  <c r="A513" i="20"/>
  <c r="A514" i="20"/>
  <c r="A515" i="20"/>
  <c r="A516" i="20"/>
  <c r="A517" i="20"/>
  <c r="A518" i="20"/>
  <c r="A519" i="20"/>
  <c r="A520" i="20"/>
  <c r="A521" i="20"/>
  <c r="A522" i="20"/>
  <c r="A523" i="20"/>
  <c r="A524" i="20"/>
  <c r="A525" i="20"/>
  <c r="A526" i="20"/>
  <c r="A527" i="20"/>
  <c r="A528" i="20"/>
  <c r="A529" i="20"/>
  <c r="A530" i="20"/>
  <c r="A531" i="20"/>
  <c r="A532" i="20"/>
  <c r="A533" i="20"/>
  <c r="A534" i="20"/>
  <c r="A535" i="20"/>
  <c r="A536" i="20"/>
  <c r="A537" i="20"/>
  <c r="A538" i="20"/>
  <c r="A539" i="20"/>
  <c r="A540" i="20"/>
  <c r="A541" i="20"/>
  <c r="A542" i="20"/>
  <c r="A543" i="20"/>
  <c r="A544" i="20"/>
  <c r="A545" i="20"/>
  <c r="A546" i="20"/>
  <c r="A547" i="20"/>
  <c r="A548" i="20"/>
  <c r="A549" i="20"/>
  <c r="A550" i="20"/>
  <c r="A551" i="20"/>
  <c r="A552" i="20"/>
  <c r="A553" i="20"/>
  <c r="A554" i="20"/>
  <c r="A561" i="20"/>
  <c r="A562" i="20"/>
  <c r="A563" i="20"/>
  <c r="A564" i="20"/>
  <c r="A565" i="20"/>
  <c r="A566" i="20"/>
  <c r="A559" i="20"/>
  <c r="A560" i="20"/>
  <c r="A567" i="20"/>
  <c r="A568" i="20"/>
  <c r="A569" i="20"/>
  <c r="A570" i="20"/>
  <c r="A571" i="20"/>
  <c r="A572" i="20"/>
  <c r="A573" i="20"/>
  <c r="A574" i="20"/>
  <c r="A575" i="20"/>
  <c r="A576" i="20"/>
  <c r="A577" i="20"/>
  <c r="A578" i="20"/>
  <c r="A579" i="20"/>
  <c r="A580" i="20"/>
  <c r="A581" i="20"/>
  <c r="A582" i="20"/>
  <c r="A583" i="20"/>
  <c r="A584" i="20"/>
  <c r="A585" i="20"/>
  <c r="A586" i="20"/>
  <c r="A587" i="20"/>
  <c r="A588" i="20"/>
  <c r="A589" i="20"/>
  <c r="A590" i="20"/>
  <c r="A591" i="20"/>
  <c r="A592" i="20"/>
  <c r="A593" i="20"/>
  <c r="A594" i="20"/>
  <c r="A595" i="20"/>
  <c r="A596" i="20"/>
  <c r="A599" i="20"/>
  <c r="A597" i="20"/>
  <c r="A598" i="20"/>
  <c r="A600" i="20"/>
  <c r="A601" i="20"/>
  <c r="A602" i="20"/>
  <c r="A603" i="20"/>
  <c r="A604" i="20"/>
  <c r="A605" i="20"/>
  <c r="A606" i="20"/>
  <c r="A607" i="20"/>
  <c r="A608" i="20"/>
  <c r="A609" i="20"/>
  <c r="A610" i="20"/>
  <c r="A611" i="20"/>
  <c r="A612" i="20"/>
  <c r="A613" i="20"/>
  <c r="A614" i="20"/>
  <c r="A615" i="20"/>
  <c r="A616" i="20"/>
  <c r="A617" i="20"/>
  <c r="A618" i="20"/>
  <c r="A619" i="20"/>
  <c r="A620" i="20"/>
  <c r="A621" i="20"/>
  <c r="A622" i="20"/>
  <c r="A623" i="20"/>
  <c r="A624" i="20"/>
  <c r="A625" i="20"/>
  <c r="A626" i="20"/>
  <c r="A627" i="20"/>
  <c r="A628" i="20"/>
  <c r="A629" i="20"/>
  <c r="A630" i="20"/>
  <c r="A631" i="20"/>
  <c r="A632" i="20"/>
  <c r="A633" i="20"/>
  <c r="A634" i="20"/>
  <c r="A642" i="20"/>
  <c r="A635" i="20"/>
  <c r="A636" i="20"/>
  <c r="A637" i="20"/>
  <c r="A638" i="20"/>
  <c r="A639" i="20"/>
  <c r="A640" i="20"/>
  <c r="A641" i="20"/>
  <c r="A643" i="20"/>
  <c r="A644" i="20"/>
  <c r="A645" i="20"/>
  <c r="A646" i="20"/>
  <c r="A647" i="20"/>
  <c r="A648" i="20"/>
  <c r="A649" i="20"/>
  <c r="A650" i="20"/>
  <c r="A651" i="20"/>
  <c r="A652" i="20"/>
  <c r="A653" i="20"/>
  <c r="A654" i="20"/>
  <c r="A655" i="20"/>
  <c r="A656" i="20"/>
  <c r="A657" i="20"/>
  <c r="A658" i="20"/>
  <c r="A659" i="20"/>
  <c r="A660" i="20"/>
  <c r="A661" i="20"/>
  <c r="A662" i="20"/>
  <c r="A663" i="20"/>
  <c r="A664" i="20"/>
  <c r="A665" i="20"/>
  <c r="A666" i="20"/>
  <c r="A667" i="20"/>
  <c r="A668" i="20"/>
  <c r="A669" i="20"/>
  <c r="A670" i="20"/>
  <c r="A671" i="20"/>
  <c r="A672" i="20"/>
  <c r="A673" i="20"/>
  <c r="A674" i="20"/>
  <c r="A675" i="20"/>
  <c r="A676" i="20"/>
  <c r="A677" i="20"/>
  <c r="A678" i="20"/>
  <c r="A679" i="20"/>
  <c r="A680" i="20"/>
  <c r="A681" i="20"/>
  <c r="A682" i="20"/>
  <c r="A683" i="20"/>
  <c r="A684" i="20"/>
  <c r="A685" i="20"/>
  <c r="A686" i="20"/>
  <c r="A687" i="20"/>
  <c r="A688" i="20"/>
  <c r="A689" i="20"/>
  <c r="A690" i="20"/>
  <c r="A691" i="20"/>
  <c r="A692" i="20"/>
  <c r="A693" i="20"/>
  <c r="A694" i="20"/>
  <c r="A695" i="20"/>
  <c r="A696" i="20"/>
  <c r="A697" i="20"/>
  <c r="A698" i="20"/>
  <c r="A699" i="20"/>
  <c r="A700" i="20"/>
  <c r="A701" i="20"/>
  <c r="A702" i="20"/>
  <c r="A703" i="20"/>
  <c r="A704" i="20"/>
  <c r="A705" i="20"/>
  <c r="A706" i="20"/>
  <c r="A707" i="20"/>
  <c r="A708" i="20"/>
  <c r="A709" i="20"/>
  <c r="A710" i="20"/>
  <c r="A711" i="20"/>
  <c r="A712" i="20"/>
  <c r="A713" i="20"/>
  <c r="A714" i="20"/>
  <c r="A715" i="20"/>
  <c r="A716" i="20"/>
  <c r="A717" i="20"/>
  <c r="A718" i="20"/>
  <c r="A719" i="20"/>
  <c r="A720" i="20"/>
  <c r="A721" i="20"/>
  <c r="A722" i="20"/>
  <c r="A723" i="20"/>
  <c r="A724" i="20"/>
  <c r="A725" i="20"/>
  <c r="A726" i="20"/>
  <c r="A727" i="20"/>
  <c r="A728" i="20"/>
  <c r="A729" i="20"/>
  <c r="A730" i="20"/>
  <c r="A731" i="20"/>
  <c r="A732" i="20"/>
  <c r="A733" i="20"/>
  <c r="A734" i="20"/>
  <c r="A735" i="20"/>
  <c r="A736" i="20"/>
  <c r="A737" i="20"/>
  <c r="A738" i="20"/>
  <c r="A739" i="20"/>
  <c r="A740" i="20"/>
  <c r="A741" i="20"/>
  <c r="A742" i="20"/>
  <c r="A743" i="20"/>
  <c r="A744" i="20"/>
  <c r="A745" i="20"/>
  <c r="A746" i="20"/>
  <c r="A747" i="20"/>
  <c r="A748" i="20"/>
  <c r="A749" i="20"/>
  <c r="A750" i="20"/>
  <c r="A751" i="20"/>
  <c r="A752" i="20"/>
  <c r="A753" i="20"/>
  <c r="A754" i="20"/>
  <c r="A755" i="20"/>
  <c r="A756" i="20"/>
  <c r="A757" i="20"/>
  <c r="A758" i="20"/>
  <c r="A759" i="20"/>
  <c r="A760" i="20"/>
  <c r="A761" i="20"/>
  <c r="A762" i="20"/>
  <c r="A763" i="20"/>
  <c r="A764" i="20"/>
  <c r="A765" i="20"/>
  <c r="A766" i="20"/>
  <c r="A767" i="20"/>
  <c r="A768" i="20"/>
  <c r="A769" i="20"/>
  <c r="A770" i="20"/>
  <c r="A771" i="20"/>
  <c r="A772" i="20"/>
  <c r="A773" i="20"/>
  <c r="A774" i="20"/>
  <c r="A775" i="20"/>
  <c r="A776" i="20"/>
  <c r="A777" i="20"/>
  <c r="A778" i="20"/>
  <c r="A779" i="20"/>
  <c r="A780" i="20"/>
  <c r="A781" i="20"/>
  <c r="A782" i="20"/>
  <c r="A783" i="20"/>
  <c r="A784" i="20"/>
  <c r="A785" i="20"/>
  <c r="A786" i="20"/>
  <c r="A787" i="20"/>
  <c r="A788" i="20"/>
  <c r="A789" i="20"/>
  <c r="A790" i="20"/>
  <c r="A791" i="20"/>
  <c r="A792" i="20"/>
  <c r="A793" i="20"/>
  <c r="A794" i="20"/>
  <c r="A795" i="20"/>
  <c r="A796" i="20"/>
  <c r="A798" i="20"/>
  <c r="A799" i="20"/>
  <c r="A800" i="20"/>
  <c r="A801" i="20"/>
  <c r="A802" i="20"/>
  <c r="A803" i="20"/>
  <c r="A804" i="20"/>
  <c r="A805" i="20"/>
  <c r="A806" i="20"/>
  <c r="A807" i="20"/>
  <c r="A808" i="20"/>
  <c r="A809" i="20"/>
  <c r="A810" i="20"/>
  <c r="A811" i="20"/>
  <c r="A812" i="20"/>
  <c r="A813" i="20"/>
  <c r="A814" i="20"/>
  <c r="A815" i="20"/>
  <c r="A816" i="20"/>
  <c r="A817" i="20"/>
  <c r="A818" i="20"/>
  <c r="A819" i="20"/>
  <c r="A820" i="20"/>
  <c r="A821" i="20"/>
  <c r="A822" i="20"/>
  <c r="A823" i="20"/>
  <c r="A824" i="20"/>
  <c r="A825" i="20"/>
  <c r="A826" i="20"/>
  <c r="A827" i="20"/>
  <c r="A828" i="20"/>
  <c r="A829" i="20"/>
  <c r="A830" i="20"/>
  <c r="A831" i="20"/>
  <c r="A832" i="20"/>
  <c r="A833" i="20"/>
  <c r="A834" i="20"/>
  <c r="A835" i="20"/>
  <c r="A836" i="20"/>
  <c r="A837" i="20"/>
  <c r="A838" i="20"/>
  <c r="A839" i="20"/>
  <c r="A840" i="20"/>
  <c r="A844" i="20"/>
  <c r="A841" i="20"/>
  <c r="A842" i="20"/>
  <c r="A843" i="20"/>
  <c r="A846" i="20"/>
  <c r="A847" i="20"/>
  <c r="A848" i="20"/>
  <c r="A849" i="20"/>
  <c r="A851" i="20"/>
  <c r="A852" i="20"/>
  <c r="A853" i="20"/>
  <c r="A854" i="20"/>
  <c r="A855" i="20"/>
  <c r="A856" i="20"/>
  <c r="A857" i="20"/>
  <c r="A858" i="20"/>
  <c r="A859" i="20"/>
  <c r="A860" i="20"/>
  <c r="A864" i="20"/>
  <c r="A865" i="20"/>
  <c r="A866" i="20"/>
  <c r="A867" i="20"/>
  <c r="A868" i="20"/>
  <c r="A869" i="20"/>
  <c r="A870" i="20"/>
  <c r="A871" i="20"/>
  <c r="A878" i="20"/>
  <c r="A879" i="20"/>
  <c r="A880" i="20"/>
  <c r="A881" i="20"/>
  <c r="A882" i="20"/>
  <c r="A883" i="20"/>
  <c r="A884" i="20"/>
  <c r="A885" i="20"/>
  <c r="A886" i="20"/>
  <c r="A887" i="20"/>
  <c r="A888" i="20"/>
  <c r="A889" i="20"/>
  <c r="A890" i="20"/>
  <c r="A891" i="20"/>
  <c r="A892" i="20"/>
  <c r="A894" i="20"/>
  <c r="A895" i="20"/>
  <c r="A896" i="20"/>
  <c r="A897" i="20"/>
  <c r="A898" i="20"/>
  <c r="A899" i="20"/>
  <c r="A900" i="20"/>
  <c r="A901" i="20"/>
  <c r="A902" i="20"/>
  <c r="A903" i="20"/>
  <c r="A904" i="20"/>
  <c r="A905" i="20"/>
  <c r="A906" i="20"/>
  <c r="A907" i="20"/>
  <c r="A908" i="20"/>
  <c r="A909" i="20"/>
  <c r="A910" i="20"/>
  <c r="A911" i="20"/>
  <c r="A912" i="20"/>
  <c r="A914" i="20"/>
  <c r="A915" i="20"/>
  <c r="A916" i="20"/>
  <c r="A917" i="20"/>
  <c r="A918" i="20"/>
  <c r="A919" i="20"/>
  <c r="A920" i="20"/>
  <c r="A921" i="20"/>
  <c r="A922" i="20"/>
  <c r="A923" i="20"/>
  <c r="A924" i="20"/>
  <c r="A925" i="20"/>
  <c r="A926" i="20"/>
  <c r="A927" i="20"/>
  <c r="A928" i="20"/>
  <c r="A929" i="20"/>
  <c r="A930" i="20"/>
  <c r="A931" i="20"/>
  <c r="A932" i="20"/>
  <c r="A933" i="20"/>
  <c r="A934" i="20"/>
  <c r="A935" i="20"/>
  <c r="A936" i="20"/>
  <c r="A937" i="20"/>
  <c r="A938" i="20"/>
  <c r="A939" i="20"/>
  <c r="A940" i="20"/>
  <c r="A941" i="20"/>
  <c r="A942" i="20"/>
  <c r="A943" i="20"/>
  <c r="A944" i="20"/>
  <c r="A945" i="20"/>
  <c r="A946" i="20"/>
  <c r="A947" i="20"/>
  <c r="A948" i="20"/>
  <c r="A949" i="20"/>
  <c r="A954" i="20"/>
  <c r="A955" i="20"/>
  <c r="A956" i="20"/>
  <c r="A957" i="20"/>
  <c r="A958" i="20"/>
  <c r="A959" i="20"/>
  <c r="A960" i="20"/>
  <c r="A961" i="20"/>
  <c r="A962" i="20"/>
  <c r="A963" i="20"/>
  <c r="A966" i="20"/>
  <c r="A967" i="20"/>
  <c r="A968" i="20"/>
  <c r="A969" i="20"/>
  <c r="A970" i="20"/>
  <c r="A971" i="20"/>
  <c r="A972" i="20"/>
  <c r="A973" i="20"/>
  <c r="A974" i="20"/>
  <c r="A975" i="20"/>
  <c r="A976" i="20"/>
  <c r="A977" i="20"/>
  <c r="A978" i="20"/>
  <c r="A979" i="20"/>
  <c r="A980" i="20"/>
  <c r="A983" i="20"/>
  <c r="A981" i="20"/>
  <c r="A982" i="20"/>
  <c r="A984" i="20"/>
  <c r="A985" i="20"/>
  <c r="A986" i="20"/>
  <c r="A987" i="20"/>
  <c r="A988" i="20"/>
  <c r="A989" i="20"/>
  <c r="A990" i="20"/>
  <c r="A992" i="20"/>
  <c r="A993" i="20"/>
  <c r="A994" i="20"/>
  <c r="A995" i="20"/>
  <c r="A996" i="20"/>
  <c r="A997" i="20"/>
  <c r="A999" i="20"/>
  <c r="A1000" i="20"/>
  <c r="A1001" i="20"/>
  <c r="A1002" i="20"/>
  <c r="A1003" i="20"/>
  <c r="A1004" i="20"/>
  <c r="A1005" i="20"/>
  <c r="A1008" i="20"/>
  <c r="A1006" i="20"/>
  <c r="A1007" i="20"/>
  <c r="A1009" i="20"/>
  <c r="A1010" i="20"/>
  <c r="A1011" i="20"/>
  <c r="A1012" i="20"/>
  <c r="A1018" i="20"/>
  <c r="A1019" i="20"/>
  <c r="A1020" i="20"/>
  <c r="A1021" i="20"/>
  <c r="A1022" i="20"/>
  <c r="A1034" i="20"/>
  <c r="A1036" i="20"/>
  <c r="A1039" i="20"/>
  <c r="A1041" i="20"/>
  <c r="A1047" i="20"/>
  <c r="A1048" i="20"/>
  <c r="A1049" i="20"/>
  <c r="A1053" i="20"/>
  <c r="A1042" i="20"/>
  <c r="A1043" i="20"/>
  <c r="A1044" i="20"/>
  <c r="A1045" i="20"/>
  <c r="A1046" i="20"/>
  <c r="A1050" i="20"/>
  <c r="A1051" i="20"/>
  <c r="A1052" i="20"/>
  <c r="A1054" i="20"/>
  <c r="A1055" i="20"/>
  <c r="A1056" i="20"/>
  <c r="A1057" i="20"/>
  <c r="A1058" i="20"/>
  <c r="A1059" i="20"/>
  <c r="A1060" i="20"/>
  <c r="A1061" i="20"/>
  <c r="A1062" i="20"/>
  <c r="A1063" i="20"/>
  <c r="A1064" i="20"/>
  <c r="A1065" i="20"/>
  <c r="A1066" i="20"/>
  <c r="A1067" i="20"/>
  <c r="A1068" i="20"/>
  <c r="A1069" i="20"/>
  <c r="A1070" i="20"/>
  <c r="A1071" i="20"/>
  <c r="A1072" i="20"/>
  <c r="A1074" i="20"/>
  <c r="A1073" i="20"/>
  <c r="A1075" i="20"/>
  <c r="A1076" i="20"/>
  <c r="A1077" i="20"/>
  <c r="A1078" i="20"/>
  <c r="A1079" i="20"/>
  <c r="A1080" i="20"/>
  <c r="A1081" i="20"/>
  <c r="A1082" i="20"/>
  <c r="A1084" i="20"/>
  <c r="A1083" i="20"/>
  <c r="A1085" i="20"/>
  <c r="A1086" i="20"/>
  <c r="A1087" i="20"/>
  <c r="A1088" i="20"/>
  <c r="A1089" i="20"/>
  <c r="A1090" i="20"/>
  <c r="A1091" i="20"/>
  <c r="A1092" i="20"/>
  <c r="A1094" i="20"/>
  <c r="A1095" i="20"/>
  <c r="A1093" i="20"/>
  <c r="A1096" i="20"/>
  <c r="A1097" i="20"/>
  <c r="A1098" i="20"/>
  <c r="A1099" i="20"/>
  <c r="A1100" i="20"/>
  <c r="A1101" i="20"/>
  <c r="A22" i="20"/>
  <c r="A20" i="20"/>
  <c r="A23" i="20"/>
  <c r="A24" i="20"/>
  <c r="A25" i="20"/>
  <c r="A26" i="20"/>
  <c r="A27" i="20"/>
  <c r="A28" i="20"/>
  <c r="A29" i="20"/>
  <c r="A13" i="20"/>
  <c r="A14" i="20"/>
  <c r="A15" i="20"/>
  <c r="A11" i="20"/>
  <c r="A12" i="20"/>
  <c r="A9" i="20"/>
  <c r="A10" i="20"/>
  <c r="A6" i="20"/>
  <c r="A7" i="20"/>
  <c r="A8" i="20"/>
  <c r="A1102" i="20"/>
  <c r="A1103" i="20"/>
  <c r="A1104" i="20"/>
  <c r="A1105" i="20"/>
  <c r="A1106" i="20"/>
  <c r="A1107" i="20"/>
  <c r="A1108" i="20"/>
  <c r="A1109" i="20"/>
  <c r="A1110" i="20"/>
  <c r="A1111" i="20"/>
  <c r="A1112" i="20"/>
  <c r="A1113" i="20"/>
  <c r="A1114" i="20"/>
  <c r="A1115" i="20"/>
  <c r="A1116" i="20"/>
  <c r="A1117" i="20"/>
  <c r="A1118" i="20"/>
  <c r="A1119" i="20"/>
  <c r="A1120" i="20"/>
  <c r="A1121" i="20"/>
  <c r="A1122" i="20"/>
  <c r="A1123" i="20"/>
  <c r="A1124" i="20"/>
  <c r="A1125" i="20"/>
  <c r="A1126" i="20"/>
  <c r="A1127" i="20"/>
  <c r="A1128" i="20"/>
  <c r="A1129" i="20"/>
  <c r="A1130" i="20"/>
  <c r="A1131" i="20"/>
  <c r="A1132" i="20"/>
  <c r="A1133" i="20"/>
  <c r="A1134" i="20"/>
  <c r="A1135" i="20"/>
  <c r="A1136" i="20"/>
  <c r="A1137" i="20"/>
  <c r="A1138" i="20"/>
  <c r="A1139" i="20"/>
  <c r="A1140" i="20"/>
  <c r="A1141" i="20"/>
  <c r="A1142" i="20"/>
  <c r="A1143" i="20"/>
  <c r="A1144" i="20"/>
  <c r="A1145" i="20"/>
  <c r="AQ103" i="20"/>
  <c r="AR103" i="20"/>
  <c r="AQ102" i="20"/>
  <c r="AR102" i="20"/>
  <c r="AQ104" i="20"/>
  <c r="AR104" i="20"/>
  <c r="AQ106" i="20"/>
  <c r="AR106" i="20"/>
  <c r="AQ108" i="20"/>
  <c r="AQ150" i="20"/>
  <c r="AR150" i="20"/>
  <c r="AQ107" i="20"/>
  <c r="AQ146" i="20"/>
  <c r="AQ125" i="20"/>
  <c r="AR125" i="20"/>
  <c r="AQ160" i="20"/>
  <c r="AQ127" i="20"/>
  <c r="AQ145" i="20"/>
  <c r="AR145" i="20"/>
  <c r="AQ133" i="20"/>
  <c r="AQ123" i="20"/>
  <c r="AR123" i="20"/>
  <c r="AQ153" i="20"/>
  <c r="AQ162" i="20"/>
  <c r="AR162" i="20"/>
  <c r="AQ164" i="20"/>
  <c r="AQ155" i="20"/>
  <c r="AQ156" i="20"/>
  <c r="AQ159" i="20"/>
  <c r="AR159" i="20"/>
  <c r="AQ157" i="20"/>
  <c r="AQ158" i="20"/>
  <c r="AQ174" i="20"/>
  <c r="AQ178" i="20"/>
  <c r="AQ126" i="20"/>
  <c r="AR126" i="20"/>
  <c r="AQ147" i="20"/>
  <c r="AQ154" i="20"/>
  <c r="AQ152" i="20"/>
  <c r="AR152" i="20"/>
  <c r="AQ177" i="20"/>
  <c r="AQ184" i="20"/>
  <c r="AQ148" i="20"/>
  <c r="AQ187" i="20"/>
  <c r="AR187" i="20"/>
  <c r="AQ185" i="20"/>
  <c r="AR185" i="20"/>
  <c r="AQ186" i="20"/>
  <c r="AQ188" i="20"/>
  <c r="AQ191" i="20"/>
  <c r="AR191" i="20"/>
  <c r="AQ190" i="20"/>
  <c r="AQ205" i="20"/>
  <c r="AR205" i="20"/>
  <c r="AQ110" i="20"/>
  <c r="AQ115" i="20"/>
  <c r="AQ105" i="20"/>
  <c r="AQ112" i="20"/>
  <c r="AQ113" i="20"/>
  <c r="AQ1139" i="20"/>
  <c r="AR1139" i="20"/>
  <c r="AQ1140" i="20"/>
  <c r="AR1140" i="20"/>
  <c r="AQ1141" i="20"/>
  <c r="AR1141" i="20"/>
  <c r="AQ1142" i="20"/>
  <c r="AR1142" i="20"/>
  <c r="AQ1143" i="20"/>
  <c r="AR1143" i="20"/>
  <c r="AQ1144" i="20"/>
  <c r="AQ1145" i="20"/>
  <c r="AS1139" i="20"/>
  <c r="AS1140" i="20"/>
  <c r="AS1141" i="20"/>
  <c r="AS1142" i="20"/>
  <c r="AS1143" i="20"/>
  <c r="AS1144" i="20"/>
  <c r="AS1145" i="20"/>
  <c r="AU1139" i="20"/>
  <c r="AU1140" i="20"/>
  <c r="AU1141" i="20"/>
  <c r="AU1142" i="20"/>
  <c r="AU1143" i="20"/>
  <c r="AU1144" i="20"/>
  <c r="AU1145" i="20"/>
  <c r="AM1138" i="20"/>
  <c r="AM1139" i="20"/>
  <c r="AM1140" i="20"/>
  <c r="AM1141" i="20"/>
  <c r="AM1142" i="20"/>
  <c r="AM1143" i="20"/>
  <c r="AM1144" i="20"/>
  <c r="AM1145" i="20"/>
  <c r="AM103" i="20"/>
  <c r="AM102" i="20"/>
  <c r="AM104" i="20"/>
  <c r="AM106" i="20"/>
  <c r="AM108" i="20"/>
  <c r="AM150" i="20"/>
  <c r="AM107" i="20"/>
  <c r="AM146" i="20"/>
  <c r="AM125" i="20"/>
  <c r="AM160" i="20"/>
  <c r="AM127" i="20"/>
  <c r="AM145" i="20"/>
  <c r="AM133" i="20"/>
  <c r="AM123" i="20"/>
  <c r="AM153" i="20"/>
  <c r="AM162" i="20"/>
  <c r="AM164" i="20"/>
  <c r="AM155" i="20"/>
  <c r="AM156" i="20"/>
  <c r="AM159" i="20"/>
  <c r="AM157" i="20"/>
  <c r="AM158" i="20"/>
  <c r="AM174" i="20"/>
  <c r="AM178" i="20"/>
  <c r="AM126" i="20"/>
  <c r="AM147" i="20"/>
  <c r="AM154" i="20"/>
  <c r="AM152" i="20"/>
  <c r="AM177" i="20"/>
  <c r="AM184" i="20"/>
  <c r="AM148" i="20"/>
  <c r="AM187" i="20"/>
  <c r="AM185" i="20"/>
  <c r="AM186" i="20"/>
  <c r="AM188" i="20"/>
  <c r="AM191" i="20"/>
  <c r="AM190" i="20"/>
  <c r="AM205" i="20"/>
  <c r="AM110" i="20"/>
  <c r="AM115" i="20"/>
  <c r="AM105" i="20"/>
  <c r="AM112" i="20"/>
  <c r="AM113" i="20"/>
  <c r="AM117" i="20"/>
  <c r="AM109" i="20"/>
  <c r="AM114" i="20"/>
  <c r="AM111" i="20"/>
  <c r="AM94" i="20"/>
  <c r="AM183" i="20"/>
  <c r="AM165" i="20"/>
  <c r="AM179" i="20"/>
  <c r="AM180" i="20"/>
  <c r="AM181" i="20"/>
  <c r="AM182" i="20"/>
  <c r="AM98" i="20"/>
  <c r="AM116" i="20"/>
  <c r="AM202" i="20"/>
  <c r="AM189" i="20"/>
  <c r="AM206" i="20"/>
  <c r="AM30" i="20"/>
  <c r="AM21" i="20"/>
  <c r="AM22" i="20"/>
  <c r="AM19" i="20"/>
  <c r="AM20" i="20"/>
  <c r="AM23" i="20"/>
  <c r="AM24" i="20"/>
  <c r="AM25" i="20"/>
  <c r="AM26" i="20"/>
  <c r="AM27" i="20"/>
  <c r="AM28" i="20"/>
  <c r="AM29" i="20"/>
  <c r="AM13" i="20"/>
  <c r="AM14" i="20"/>
  <c r="AM15" i="20"/>
  <c r="AM11" i="20"/>
  <c r="AM12" i="20"/>
  <c r="AM9" i="20"/>
  <c r="AM10" i="20"/>
  <c r="AM6" i="20"/>
  <c r="AM7" i="20"/>
  <c r="AM8" i="20"/>
  <c r="AM1102" i="20"/>
  <c r="AM1103" i="20"/>
  <c r="AM1104" i="20"/>
  <c r="AM1105" i="20"/>
  <c r="AM1106" i="20"/>
  <c r="AM1107" i="20"/>
  <c r="AM1108" i="20"/>
  <c r="AM1109" i="20"/>
  <c r="AM1110" i="20"/>
  <c r="AM1111" i="20"/>
  <c r="AM1112" i="20"/>
  <c r="AM1113" i="20"/>
  <c r="AM1114" i="20"/>
  <c r="AM1115" i="20"/>
  <c r="AM1116" i="20"/>
  <c r="AM1117" i="20"/>
  <c r="AM1118" i="20"/>
  <c r="AM1119" i="20"/>
  <c r="AM1120" i="20"/>
  <c r="AM1121" i="20"/>
  <c r="AM1122" i="20"/>
  <c r="AM1123" i="20"/>
  <c r="AM1124" i="20"/>
  <c r="AM1125" i="20"/>
  <c r="AM1126" i="20"/>
  <c r="AM1127" i="20"/>
  <c r="AM1128" i="20"/>
  <c r="AM1129" i="20"/>
  <c r="AM1130" i="20"/>
  <c r="AM1131" i="20"/>
  <c r="AM1132" i="20"/>
  <c r="AM1133" i="20"/>
  <c r="AM1134" i="20"/>
  <c r="AM1135" i="20"/>
  <c r="AM1136" i="20"/>
  <c r="AM1137" i="20"/>
  <c r="AM1079" i="20"/>
  <c r="AM1080" i="20"/>
  <c r="AM1081" i="20"/>
  <c r="AM1082" i="20"/>
  <c r="AM1084" i="20"/>
  <c r="AM1083" i="20"/>
  <c r="AM1085" i="20"/>
  <c r="AM1086" i="20"/>
  <c r="AM1087" i="20"/>
  <c r="AM1088" i="20"/>
  <c r="AM1089" i="20"/>
  <c r="AM1090" i="20"/>
  <c r="AM1091" i="20"/>
  <c r="AM1092" i="20"/>
  <c r="AM1094" i="20"/>
  <c r="AM1095" i="20"/>
  <c r="AM1093" i="20"/>
  <c r="AM1096" i="20"/>
  <c r="AM1097" i="20"/>
  <c r="AM1098" i="20"/>
  <c r="AM1099" i="20"/>
  <c r="AM1100" i="20"/>
  <c r="AM1101" i="20"/>
  <c r="AQ25" i="20"/>
  <c r="AQ26" i="20"/>
  <c r="AR26" i="20"/>
  <c r="AQ27" i="20"/>
  <c r="AQ28" i="20"/>
  <c r="AR28" i="20"/>
  <c r="AQ29" i="20"/>
  <c r="AQ13" i="20"/>
  <c r="AQ14" i="20"/>
  <c r="AQ15" i="20"/>
  <c r="AQ11" i="20"/>
  <c r="AT11" i="20"/>
  <c r="AQ12" i="20"/>
  <c r="AQ9" i="20"/>
  <c r="AQ10" i="20"/>
  <c r="AQ6" i="20"/>
  <c r="AQ7" i="20"/>
  <c r="AQ8" i="20"/>
  <c r="AQ1102" i="20"/>
  <c r="AQ1103" i="20"/>
  <c r="AR1103" i="20"/>
  <c r="AQ1104" i="20"/>
  <c r="AR1104" i="20"/>
  <c r="AQ1105" i="20"/>
  <c r="AQ1106" i="20"/>
  <c r="AQ1107" i="20"/>
  <c r="AQ1108" i="20"/>
  <c r="AQ1109" i="20"/>
  <c r="AR1109" i="20"/>
  <c r="AQ1110" i="20"/>
  <c r="AR1110" i="20"/>
  <c r="AQ1111" i="20"/>
  <c r="AQ1112" i="20"/>
  <c r="AQ1113" i="20"/>
  <c r="AR1113" i="20"/>
  <c r="AQ1114" i="20"/>
  <c r="AR1114" i="20"/>
  <c r="AQ1115" i="20"/>
  <c r="AQ1116" i="20"/>
  <c r="AR1116" i="20"/>
  <c r="AQ1117" i="20"/>
  <c r="AR1117" i="20"/>
  <c r="AQ1118" i="20"/>
  <c r="AR1118" i="20"/>
  <c r="AQ1119" i="20"/>
  <c r="AQ1120" i="20"/>
  <c r="AR1120" i="20"/>
  <c r="AQ1121" i="20"/>
  <c r="AR1121" i="20"/>
  <c r="AQ1122" i="20"/>
  <c r="AR1122" i="20"/>
  <c r="AQ1123" i="20"/>
  <c r="AQ1124" i="20"/>
  <c r="AR1124" i="20"/>
  <c r="AQ1125" i="20"/>
  <c r="AR1125" i="20"/>
  <c r="AQ1126" i="20"/>
  <c r="AR1126" i="20"/>
  <c r="AQ1127" i="20"/>
  <c r="AQ1128" i="20"/>
  <c r="AR1128" i="20"/>
  <c r="AQ1129" i="20"/>
  <c r="AR1129" i="20"/>
  <c r="AQ1130" i="20"/>
  <c r="AR1130" i="20"/>
  <c r="AQ1131" i="20"/>
  <c r="AQ1132" i="20"/>
  <c r="AR1132" i="20"/>
  <c r="AQ1133" i="20"/>
  <c r="AR1133" i="20"/>
  <c r="AQ1134" i="20"/>
  <c r="AR1134" i="20"/>
  <c r="AQ1135" i="20"/>
  <c r="AQ1136" i="20"/>
  <c r="AR1136" i="20"/>
  <c r="AQ1137" i="20"/>
  <c r="AR1137" i="20"/>
  <c r="AQ1138" i="20"/>
  <c r="AR1138" i="20"/>
  <c r="AS25" i="20"/>
  <c r="AS26" i="20"/>
  <c r="AS27" i="20"/>
  <c r="AS28" i="20"/>
  <c r="AS29" i="20"/>
  <c r="AS13" i="20"/>
  <c r="AS14" i="20"/>
  <c r="AS15" i="20"/>
  <c r="AS11" i="20"/>
  <c r="AS12" i="20"/>
  <c r="AS9" i="20"/>
  <c r="AS10" i="20"/>
  <c r="AS6" i="20"/>
  <c r="AS7" i="20"/>
  <c r="AS8" i="20"/>
  <c r="AS1102" i="20"/>
  <c r="AS1103" i="20"/>
  <c r="AS1104" i="20"/>
  <c r="AS1105" i="20"/>
  <c r="AS1106" i="20"/>
  <c r="AS1107" i="20"/>
  <c r="AS1108" i="20"/>
  <c r="AS1109" i="20"/>
  <c r="AS1110" i="20"/>
  <c r="AS1111" i="20"/>
  <c r="AS1112" i="20"/>
  <c r="AS1113" i="20"/>
  <c r="AS1114" i="20"/>
  <c r="AS1115" i="20"/>
  <c r="AS1116" i="20"/>
  <c r="AS1117" i="20"/>
  <c r="AS1118" i="20"/>
  <c r="AS1119" i="20"/>
  <c r="AS1120" i="20"/>
  <c r="AS1121" i="20"/>
  <c r="AS1122" i="20"/>
  <c r="AS1123" i="20"/>
  <c r="AS1124" i="20"/>
  <c r="AS1125" i="20"/>
  <c r="AS1126" i="20"/>
  <c r="AS1127" i="20"/>
  <c r="AS1128" i="20"/>
  <c r="AS1129" i="20"/>
  <c r="AS1130" i="20"/>
  <c r="AS1131" i="20"/>
  <c r="AS1132" i="20"/>
  <c r="AS1133" i="20"/>
  <c r="AS1134" i="20"/>
  <c r="AS1135" i="20"/>
  <c r="AS1136" i="20"/>
  <c r="AS1137" i="20"/>
  <c r="AS1138" i="20"/>
  <c r="AU25" i="20"/>
  <c r="AU26" i="20"/>
  <c r="AU27" i="20"/>
  <c r="AU28" i="20"/>
  <c r="AU29" i="20"/>
  <c r="AU13" i="20"/>
  <c r="AU14" i="20"/>
  <c r="AU15" i="20"/>
  <c r="AU11" i="20"/>
  <c r="AU12" i="20"/>
  <c r="AU9" i="20"/>
  <c r="AU10" i="20"/>
  <c r="AU6" i="20"/>
  <c r="AU7" i="20"/>
  <c r="AU8" i="20"/>
  <c r="AU1102" i="20"/>
  <c r="AU1103" i="20"/>
  <c r="AU1104" i="20"/>
  <c r="AU1105" i="20"/>
  <c r="AU1106" i="20"/>
  <c r="AU1107" i="20"/>
  <c r="AU1108" i="20"/>
  <c r="AU1109" i="20"/>
  <c r="AU1110" i="20"/>
  <c r="AU1111" i="20"/>
  <c r="AU1112" i="20"/>
  <c r="AU1113" i="20"/>
  <c r="AU1114" i="20"/>
  <c r="AU1115" i="20"/>
  <c r="AU1116" i="20"/>
  <c r="AU1117" i="20"/>
  <c r="AU1118" i="20"/>
  <c r="AU1119" i="20"/>
  <c r="AU1120" i="20"/>
  <c r="AU1121" i="20"/>
  <c r="AU1122" i="20"/>
  <c r="AU1123" i="20"/>
  <c r="AU1124" i="20"/>
  <c r="AU1125" i="20"/>
  <c r="AU1126" i="20"/>
  <c r="AU1127" i="20"/>
  <c r="AU1128" i="20"/>
  <c r="AU1129" i="20"/>
  <c r="AU1130" i="20"/>
  <c r="AU1131" i="20"/>
  <c r="AU1132" i="20"/>
  <c r="AU1133" i="20"/>
  <c r="AU1134" i="20"/>
  <c r="AU1135" i="20"/>
  <c r="AU1136" i="20"/>
  <c r="AU1137" i="20"/>
  <c r="AU1138" i="20"/>
  <c r="AT22" i="20"/>
  <c r="AT20" i="20"/>
  <c r="AQ23" i="20"/>
  <c r="AR23" i="20"/>
  <c r="AQ24" i="20"/>
  <c r="AR24" i="20"/>
  <c r="AS20" i="20"/>
  <c r="AS23" i="20"/>
  <c r="AS24" i="20"/>
  <c r="AU30" i="20"/>
  <c r="AU21" i="20"/>
  <c r="AU22" i="20"/>
  <c r="AU20" i="20"/>
  <c r="AU23" i="20"/>
  <c r="AU24" i="20"/>
  <c r="AQ117" i="20"/>
  <c r="AR117" i="20"/>
  <c r="AQ109" i="20"/>
  <c r="AR109" i="20"/>
  <c r="AQ114" i="20"/>
  <c r="AQ111" i="20"/>
  <c r="AQ94" i="20"/>
  <c r="AR94" i="20"/>
  <c r="AQ183" i="20"/>
  <c r="AR183" i="20"/>
  <c r="AQ165" i="20"/>
  <c r="AQ179" i="20"/>
  <c r="AQ180" i="20"/>
  <c r="AR180" i="20"/>
  <c r="AQ181" i="20"/>
  <c r="AQ182" i="20"/>
  <c r="AQ98" i="20"/>
  <c r="AQ116" i="20"/>
  <c r="AR116" i="20"/>
  <c r="AQ202" i="20"/>
  <c r="AQ189" i="20"/>
  <c r="AR189" i="20"/>
  <c r="AQ206" i="20"/>
  <c r="S181" i="14"/>
  <c r="B13" i="36"/>
  <c r="AU204" i="20"/>
  <c r="AS204" i="20"/>
  <c r="AQ204" i="20"/>
  <c r="AR204" i="20"/>
  <c r="AM204" i="20"/>
  <c r="AU203" i="20"/>
  <c r="AS203" i="20"/>
  <c r="AQ203" i="20"/>
  <c r="AR203" i="20"/>
  <c r="AM203" i="20"/>
  <c r="AU201" i="20"/>
  <c r="AS201" i="20"/>
  <c r="AQ201" i="20"/>
  <c r="AM201" i="20"/>
  <c r="AU200" i="20"/>
  <c r="AS200" i="20"/>
  <c r="AQ200" i="20"/>
  <c r="AR200" i="20"/>
  <c r="AM200" i="20"/>
  <c r="AU199" i="20"/>
  <c r="AS199" i="20"/>
  <c r="AQ199" i="20"/>
  <c r="AR199" i="20"/>
  <c r="AM199" i="20"/>
  <c r="AU198" i="20"/>
  <c r="AS198" i="20"/>
  <c r="AQ198" i="20"/>
  <c r="AR198" i="20"/>
  <c r="AM198" i="20"/>
  <c r="AU197" i="20"/>
  <c r="AS197" i="20"/>
  <c r="AQ197" i="20"/>
  <c r="AM197" i="20"/>
  <c r="AU196" i="20"/>
  <c r="AS196" i="20"/>
  <c r="AQ196" i="20"/>
  <c r="AR196" i="20"/>
  <c r="AM196" i="20"/>
  <c r="AU195" i="20"/>
  <c r="AS195" i="20"/>
  <c r="AQ195" i="20"/>
  <c r="AR195" i="20"/>
  <c r="AM195" i="20"/>
  <c r="AU194" i="20"/>
  <c r="AS194" i="20"/>
  <c r="AQ194" i="20"/>
  <c r="AR194" i="20"/>
  <c r="AM194" i="20"/>
  <c r="AU193" i="20"/>
  <c r="AS193" i="20"/>
  <c r="AQ193" i="20"/>
  <c r="AM193" i="20"/>
  <c r="AU192" i="20"/>
  <c r="AS192" i="20"/>
  <c r="AQ192" i="20"/>
  <c r="AR192" i="20"/>
  <c r="AM192" i="20"/>
  <c r="AQ355" i="20"/>
  <c r="AR355" i="20"/>
  <c r="AM355" i="20"/>
  <c r="AM55" i="20"/>
  <c r="AQ55" i="20"/>
  <c r="AR55" i="20"/>
  <c r="AS55" i="20"/>
  <c r="T50" i="19"/>
  <c r="P50" i="19"/>
  <c r="U50" i="19"/>
  <c r="S50" i="19"/>
  <c r="T52" i="19"/>
  <c r="P52" i="19"/>
  <c r="U52" i="19"/>
  <c r="S52" i="19"/>
  <c r="T49" i="19"/>
  <c r="P49" i="19"/>
  <c r="U49" i="19"/>
  <c r="S49" i="19"/>
  <c r="T51" i="19"/>
  <c r="P51" i="19"/>
  <c r="U51" i="19"/>
  <c r="S51" i="19"/>
  <c r="T53" i="19"/>
  <c r="P53" i="19"/>
  <c r="U53" i="19"/>
  <c r="S53" i="19"/>
  <c r="S64" i="19"/>
  <c r="T64" i="19"/>
  <c r="P64" i="19"/>
  <c r="U64" i="19"/>
  <c r="S65" i="19"/>
  <c r="T65" i="19"/>
  <c r="P65" i="19"/>
  <c r="S74" i="19"/>
  <c r="T74" i="19"/>
  <c r="P74" i="19"/>
  <c r="U74" i="19"/>
  <c r="S63" i="19"/>
  <c r="T63" i="19"/>
  <c r="P63" i="19"/>
  <c r="U63" i="19"/>
  <c r="T66" i="19"/>
  <c r="P66" i="19"/>
  <c r="S66" i="19"/>
  <c r="T69" i="19"/>
  <c r="P69" i="19"/>
  <c r="U69" i="19"/>
  <c r="S69" i="19"/>
  <c r="T62" i="19"/>
  <c r="P62" i="19"/>
  <c r="S62" i="19"/>
  <c r="T58" i="19"/>
  <c r="P58" i="19"/>
  <c r="U58" i="19"/>
  <c r="S58" i="19"/>
  <c r="T59" i="19"/>
  <c r="P59" i="19"/>
  <c r="U59" i="19"/>
  <c r="S59" i="19"/>
  <c r="T67" i="19"/>
  <c r="P67" i="19"/>
  <c r="U67" i="19"/>
  <c r="S67" i="19"/>
  <c r="T54" i="19"/>
  <c r="P54" i="19"/>
  <c r="U54" i="19"/>
  <c r="S54" i="19"/>
  <c r="T57" i="19"/>
  <c r="P57" i="19"/>
  <c r="U57" i="19"/>
  <c r="S57" i="19"/>
  <c r="S73" i="19"/>
  <c r="T73" i="19"/>
  <c r="P73" i="19"/>
  <c r="U73" i="19"/>
  <c r="S71" i="19"/>
  <c r="T71" i="19"/>
  <c r="P71" i="19"/>
  <c r="U71" i="19"/>
  <c r="S68" i="19"/>
  <c r="T68" i="19"/>
  <c r="P68" i="19"/>
  <c r="U68" i="19"/>
  <c r="T70" i="19"/>
  <c r="P70" i="19"/>
  <c r="S70" i="19"/>
  <c r="S60" i="19"/>
  <c r="T60" i="19"/>
  <c r="P60" i="19"/>
  <c r="U60" i="19"/>
  <c r="S56" i="19"/>
  <c r="T56" i="19"/>
  <c r="P56" i="19"/>
  <c r="U56" i="19"/>
  <c r="T308" i="19"/>
  <c r="P308" i="19"/>
  <c r="U308" i="19"/>
  <c r="T309" i="19"/>
  <c r="P309" i="19"/>
  <c r="U309" i="19"/>
  <c r="T310" i="19"/>
  <c r="P310" i="19"/>
  <c r="U310" i="19"/>
  <c r="T311" i="19"/>
  <c r="P311" i="19"/>
  <c r="U311" i="19"/>
  <c r="T312" i="19"/>
  <c r="P312" i="19"/>
  <c r="U312" i="19"/>
  <c r="T113" i="19"/>
  <c r="P113" i="19"/>
  <c r="U113" i="19"/>
  <c r="T147" i="19"/>
  <c r="P147" i="19"/>
  <c r="T313" i="19"/>
  <c r="P313" i="19"/>
  <c r="U313" i="19"/>
  <c r="T314" i="19"/>
  <c r="P314" i="19"/>
  <c r="U314" i="19"/>
  <c r="T315" i="19"/>
  <c r="P315" i="19"/>
  <c r="U315" i="19"/>
  <c r="T148" i="19"/>
  <c r="P148" i="19"/>
  <c r="U148" i="19"/>
  <c r="T316" i="19"/>
  <c r="P316" i="19"/>
  <c r="U316" i="19"/>
  <c r="T149" i="19"/>
  <c r="P149" i="19"/>
  <c r="U149" i="19"/>
  <c r="T317" i="19"/>
  <c r="P317" i="19"/>
  <c r="U317" i="19"/>
  <c r="T318" i="19"/>
  <c r="P318" i="19"/>
  <c r="T319" i="19"/>
  <c r="P319" i="19"/>
  <c r="U319" i="19"/>
  <c r="T320" i="19"/>
  <c r="P320" i="19"/>
  <c r="U320" i="19"/>
  <c r="T150" i="19"/>
  <c r="P150" i="19"/>
  <c r="U150" i="19"/>
  <c r="T321" i="19"/>
  <c r="P321" i="19"/>
  <c r="T322" i="19"/>
  <c r="P322" i="19"/>
  <c r="U322" i="19"/>
  <c r="T323" i="19"/>
  <c r="P323" i="19"/>
  <c r="U323" i="19"/>
  <c r="T324" i="19"/>
  <c r="P324" i="19"/>
  <c r="U324" i="19"/>
  <c r="T325" i="19"/>
  <c r="P325" i="19"/>
  <c r="U325" i="19"/>
  <c r="T75" i="19"/>
  <c r="P75" i="19"/>
  <c r="U75" i="19"/>
  <c r="T151" i="19"/>
  <c r="P151" i="19"/>
  <c r="U151" i="19"/>
  <c r="T326" i="19"/>
  <c r="P326" i="19"/>
  <c r="U326" i="19"/>
  <c r="T327" i="19"/>
  <c r="P327" i="19"/>
  <c r="U327" i="19"/>
  <c r="T328" i="19"/>
  <c r="P328" i="19"/>
  <c r="T329" i="19"/>
  <c r="P329" i="19"/>
  <c r="U329" i="19"/>
  <c r="T330" i="19"/>
  <c r="P330" i="19"/>
  <c r="U330" i="19"/>
  <c r="T331" i="19"/>
  <c r="P331" i="19"/>
  <c r="U331" i="19"/>
  <c r="T152" i="19"/>
  <c r="P152" i="19"/>
  <c r="U152" i="19"/>
  <c r="T332" i="19"/>
  <c r="P332" i="19"/>
  <c r="U332" i="19"/>
  <c r="T333" i="19"/>
  <c r="P333" i="19"/>
  <c r="U333" i="19"/>
  <c r="T97" i="19"/>
  <c r="P97" i="19"/>
  <c r="U97" i="19"/>
  <c r="T114" i="19"/>
  <c r="P114" i="19"/>
  <c r="U114" i="19"/>
  <c r="T153" i="19"/>
  <c r="P153" i="19"/>
  <c r="U153" i="19"/>
  <c r="T334" i="19"/>
  <c r="P334" i="19"/>
  <c r="U334" i="19"/>
  <c r="T335" i="19"/>
  <c r="P335" i="19"/>
  <c r="U335" i="19"/>
  <c r="T336" i="19"/>
  <c r="P336" i="19"/>
  <c r="U336" i="19"/>
  <c r="T337" i="19"/>
  <c r="P337" i="19"/>
  <c r="U337" i="19"/>
  <c r="T338" i="19"/>
  <c r="P338" i="19"/>
  <c r="U338" i="19"/>
  <c r="T339" i="19"/>
  <c r="P339" i="19"/>
  <c r="U339" i="19"/>
  <c r="T340" i="19"/>
  <c r="P340" i="19"/>
  <c r="U340" i="19"/>
  <c r="T341" i="19"/>
  <c r="P341" i="19"/>
  <c r="U341" i="19"/>
  <c r="T342" i="19"/>
  <c r="P342" i="19"/>
  <c r="U342" i="19"/>
  <c r="T98" i="19"/>
  <c r="P98" i="19"/>
  <c r="U98" i="19"/>
  <c r="T154" i="19"/>
  <c r="P154" i="19"/>
  <c r="U154" i="19"/>
  <c r="T343" i="19"/>
  <c r="P343" i="19"/>
  <c r="U343" i="19"/>
  <c r="T344" i="19"/>
  <c r="P344" i="19"/>
  <c r="U344" i="19"/>
  <c r="T345" i="19"/>
  <c r="P345" i="19"/>
  <c r="U345" i="19"/>
  <c r="T346" i="19"/>
  <c r="P346" i="19"/>
  <c r="U346" i="19"/>
  <c r="T155" i="19"/>
  <c r="P155" i="19"/>
  <c r="U155" i="19"/>
  <c r="T347" i="19"/>
  <c r="P347" i="19"/>
  <c r="U347" i="19"/>
  <c r="T348" i="19"/>
  <c r="P348" i="19"/>
  <c r="U348" i="19"/>
  <c r="T349" i="19"/>
  <c r="P349" i="19"/>
  <c r="U349" i="19"/>
  <c r="T350" i="19"/>
  <c r="P350" i="19"/>
  <c r="U350" i="19"/>
  <c r="T351" i="19"/>
  <c r="P351" i="19"/>
  <c r="U351" i="19"/>
  <c r="T352" i="19"/>
  <c r="P352" i="19"/>
  <c r="U352" i="19"/>
  <c r="T156" i="19"/>
  <c r="P156" i="19"/>
  <c r="U156" i="19"/>
  <c r="T353" i="19"/>
  <c r="P353" i="19"/>
  <c r="U353" i="19"/>
  <c r="T354" i="19"/>
  <c r="P354" i="19"/>
  <c r="U354" i="19"/>
  <c r="T157" i="19"/>
  <c r="P157" i="19"/>
  <c r="U157" i="19"/>
  <c r="T355" i="19"/>
  <c r="P355" i="19"/>
  <c r="U355" i="19"/>
  <c r="T356" i="19"/>
  <c r="P356" i="19"/>
  <c r="U356" i="19"/>
  <c r="T158" i="19"/>
  <c r="P158" i="19"/>
  <c r="U158" i="19"/>
  <c r="T357" i="19"/>
  <c r="P357" i="19"/>
  <c r="U357" i="19"/>
  <c r="T358" i="19"/>
  <c r="P358" i="19"/>
  <c r="U358" i="19"/>
  <c r="T359" i="19"/>
  <c r="P359" i="19"/>
  <c r="U359" i="19"/>
  <c r="T360" i="19"/>
  <c r="P360" i="19"/>
  <c r="U360" i="19"/>
  <c r="T361" i="19"/>
  <c r="P361" i="19"/>
  <c r="U361" i="19"/>
  <c r="T159" i="19"/>
  <c r="P159" i="19"/>
  <c r="U159" i="19"/>
  <c r="T362" i="19"/>
  <c r="P362" i="19"/>
  <c r="U362" i="19"/>
  <c r="T363" i="19"/>
  <c r="P363" i="19"/>
  <c r="U363" i="19"/>
  <c r="T364" i="19"/>
  <c r="P364" i="19"/>
  <c r="U364" i="19"/>
  <c r="T61" i="19"/>
  <c r="P61" i="19"/>
  <c r="U61" i="19"/>
  <c r="S61" i="19"/>
  <c r="T55" i="19"/>
  <c r="P55" i="19"/>
  <c r="U55" i="19"/>
  <c r="S55" i="19"/>
  <c r="T72" i="19"/>
  <c r="P72" i="19"/>
  <c r="U72" i="19"/>
  <c r="S72" i="19"/>
  <c r="AJ110" i="14"/>
  <c r="AK110" i="14"/>
  <c r="CJ22" i="62"/>
  <c r="S35" i="14"/>
  <c r="AJ35" i="14"/>
  <c r="AK35" i="14"/>
  <c r="S253" i="14"/>
  <c r="AJ253" i="14"/>
  <c r="AK253" i="14"/>
  <c r="S162" i="19"/>
  <c r="K12" i="36"/>
  <c r="K13" i="36"/>
  <c r="K15" i="36"/>
  <c r="K27" i="36"/>
  <c r="E8" i="36"/>
  <c r="E9" i="36"/>
  <c r="E10" i="36"/>
  <c r="E12" i="36"/>
  <c r="E13" i="36"/>
  <c r="E14" i="36"/>
  <c r="E15" i="36"/>
  <c r="E16" i="36"/>
  <c r="E17" i="36"/>
  <c r="E18" i="36"/>
  <c r="E19" i="36"/>
  <c r="E20" i="36"/>
  <c r="E21" i="36"/>
  <c r="E22" i="36"/>
  <c r="E23" i="36"/>
  <c r="E24" i="36"/>
  <c r="E25" i="36"/>
  <c r="E26" i="36"/>
  <c r="E27" i="36"/>
  <c r="E28" i="36"/>
  <c r="D28" i="36"/>
  <c r="D23" i="36"/>
  <c r="D24" i="36"/>
  <c r="D25" i="36"/>
  <c r="D26" i="36"/>
  <c r="D27" i="36"/>
  <c r="D8" i="36"/>
  <c r="D9" i="36"/>
  <c r="D10" i="36"/>
  <c r="D12" i="36"/>
  <c r="D13" i="36"/>
  <c r="D14" i="36"/>
  <c r="D15" i="36"/>
  <c r="D16" i="36"/>
  <c r="D17" i="36"/>
  <c r="D18" i="36"/>
  <c r="D19" i="36"/>
  <c r="D20" i="36"/>
  <c r="D21" i="36"/>
  <c r="D22" i="36"/>
  <c r="B7" i="36"/>
  <c r="L35" i="40"/>
  <c r="AJ66" i="14"/>
  <c r="AK66" i="14"/>
  <c r="AJ20" i="14"/>
  <c r="AK20" i="14"/>
  <c r="AJ196" i="14"/>
  <c r="AK196" i="14"/>
  <c r="AJ191" i="14"/>
  <c r="AK191" i="14"/>
  <c r="AJ43" i="14"/>
  <c r="AK43" i="14"/>
  <c r="AJ44" i="14"/>
  <c r="AK44" i="14"/>
  <c r="AJ33" i="14"/>
  <c r="AK33" i="14"/>
  <c r="AJ68" i="14"/>
  <c r="AK68" i="14"/>
  <c r="AJ119" i="14"/>
  <c r="AK119" i="14"/>
  <c r="AJ31" i="14"/>
  <c r="AK31" i="14"/>
  <c r="AJ74" i="14"/>
  <c r="AK74" i="14"/>
  <c r="AJ73" i="14"/>
  <c r="AK73" i="14"/>
  <c r="AJ75" i="14"/>
  <c r="AK75" i="14"/>
  <c r="AJ53" i="14"/>
  <c r="AK53" i="14"/>
  <c r="AJ143" i="14"/>
  <c r="AK143" i="14"/>
  <c r="AJ157" i="14"/>
  <c r="AK157" i="14"/>
  <c r="AJ18" i="14"/>
  <c r="AK18" i="14"/>
  <c r="AJ19" i="14"/>
  <c r="AK19" i="14"/>
  <c r="AJ135" i="14"/>
  <c r="AK135" i="14"/>
  <c r="AJ125" i="14"/>
  <c r="AK125" i="14"/>
  <c r="AJ49" i="14"/>
  <c r="AK49" i="14"/>
  <c r="AJ137" i="14"/>
  <c r="AK137" i="14"/>
  <c r="AJ78" i="14"/>
  <c r="AK78" i="14"/>
  <c r="AJ81" i="14"/>
  <c r="AK81" i="14"/>
  <c r="AJ17" i="14"/>
  <c r="AK17" i="14"/>
  <c r="AJ235" i="14"/>
  <c r="AK235" i="14"/>
  <c r="AJ234" i="14"/>
  <c r="AK234" i="14"/>
  <c r="AJ233" i="14"/>
  <c r="AK233" i="14"/>
  <c r="AJ175" i="14"/>
  <c r="AK175" i="14"/>
  <c r="AJ121" i="14"/>
  <c r="AK121" i="14"/>
  <c r="AJ23" i="14"/>
  <c r="AK23" i="14"/>
  <c r="AJ22" i="14"/>
  <c r="AK22" i="14"/>
  <c r="AJ200" i="14"/>
  <c r="AK200" i="14"/>
  <c r="AJ181" i="14"/>
  <c r="AK181" i="14"/>
  <c r="AJ122" i="14"/>
  <c r="AK122" i="14"/>
  <c r="AJ47" i="14"/>
  <c r="AK47" i="14"/>
  <c r="AJ239" i="14"/>
  <c r="AK239" i="14"/>
  <c r="AJ229" i="14"/>
  <c r="AK229" i="14"/>
  <c r="AJ174" i="14"/>
  <c r="AK174" i="14"/>
  <c r="AJ172" i="14"/>
  <c r="AK172" i="14"/>
  <c r="AJ171" i="14"/>
  <c r="AK171" i="14"/>
  <c r="AJ142" i="14"/>
  <c r="AK142" i="14"/>
  <c r="AJ166" i="14"/>
  <c r="AK166" i="14"/>
  <c r="AJ136" i="14"/>
  <c r="AK136" i="14"/>
  <c r="AJ115" i="14"/>
  <c r="AK115" i="14"/>
  <c r="AJ32" i="14"/>
  <c r="AK32" i="14"/>
  <c r="AJ123" i="14"/>
  <c r="AK123" i="14"/>
  <c r="S40" i="14"/>
  <c r="S211" i="14"/>
  <c r="S212" i="14"/>
  <c r="S213" i="14"/>
  <c r="AN49" i="40"/>
  <c r="AN50" i="40"/>
  <c r="AN51" i="40"/>
  <c r="AN54" i="40"/>
  <c r="AN55" i="40"/>
  <c r="AN63" i="40"/>
  <c r="AN64" i="40"/>
  <c r="AN65" i="40"/>
  <c r="AN66" i="40"/>
  <c r="AM48" i="40"/>
  <c r="AM50" i="40"/>
  <c r="AM51" i="40"/>
  <c r="AM54" i="40"/>
  <c r="AM55" i="40"/>
  <c r="AM63" i="40"/>
  <c r="AM64" i="40"/>
  <c r="AM65" i="40"/>
  <c r="AM66" i="40"/>
  <c r="AL48" i="40"/>
  <c r="AL50" i="40"/>
  <c r="AL51" i="40"/>
  <c r="AL54" i="40"/>
  <c r="AL55" i="40"/>
  <c r="AL63" i="40"/>
  <c r="AL64" i="40"/>
  <c r="AL65" i="40"/>
  <c r="AL66" i="40"/>
  <c r="AK48" i="40"/>
  <c r="AK50" i="40"/>
  <c r="AK51" i="40"/>
  <c r="AK54" i="40"/>
  <c r="AK55" i="40"/>
  <c r="AK63" i="40"/>
  <c r="AK64" i="40"/>
  <c r="AK65" i="40"/>
  <c r="AK66" i="40"/>
  <c r="AJ63" i="40"/>
  <c r="AJ64" i="40"/>
  <c r="AJ65" i="40"/>
  <c r="AJ66" i="40"/>
  <c r="AJ48" i="40"/>
  <c r="AJ50" i="40"/>
  <c r="AJ51" i="40"/>
  <c r="AJ54" i="40"/>
  <c r="AJ55" i="40"/>
  <c r="AM252" i="20"/>
  <c r="AQ252" i="20"/>
  <c r="AR252" i="20"/>
  <c r="AM434" i="20"/>
  <c r="AQ434" i="20"/>
  <c r="AR434" i="20"/>
  <c r="AM456" i="20"/>
  <c r="AQ456" i="20"/>
  <c r="AR456" i="20"/>
  <c r="S268" i="19"/>
  <c r="T268" i="19"/>
  <c r="P268" i="19"/>
  <c r="U268" i="19"/>
  <c r="S285" i="19"/>
  <c r="T285" i="19"/>
  <c r="P285" i="19"/>
  <c r="U285" i="19"/>
  <c r="S217" i="19"/>
  <c r="T217" i="19"/>
  <c r="P217" i="19"/>
  <c r="U217" i="19"/>
  <c r="S177" i="19"/>
  <c r="T177" i="19"/>
  <c r="P177" i="19"/>
  <c r="U177" i="19"/>
  <c r="S166" i="19"/>
  <c r="T166" i="19"/>
  <c r="P166" i="19"/>
  <c r="U166" i="19"/>
  <c r="S175" i="19"/>
  <c r="T175" i="19"/>
  <c r="P175" i="19"/>
  <c r="U175" i="19"/>
  <c r="S309" i="19"/>
  <c r="S314" i="19"/>
  <c r="S336" i="19"/>
  <c r="S248" i="19"/>
  <c r="T248" i="19"/>
  <c r="P248" i="19"/>
  <c r="U248" i="19"/>
  <c r="S277" i="19"/>
  <c r="S198" i="19"/>
  <c r="T198" i="19"/>
  <c r="P198" i="19"/>
  <c r="U198" i="19"/>
  <c r="S291" i="19"/>
  <c r="T291" i="19"/>
  <c r="P291" i="19"/>
  <c r="U291" i="19"/>
  <c r="T277" i="19"/>
  <c r="P277" i="19"/>
  <c r="U277" i="19"/>
  <c r="S219" i="19"/>
  <c r="T219" i="19"/>
  <c r="P219" i="19"/>
  <c r="U219" i="19"/>
  <c r="S342" i="19"/>
  <c r="S54" i="14"/>
  <c r="S169" i="14"/>
  <c r="S142" i="14"/>
  <c r="S56" i="14"/>
  <c r="S53" i="14"/>
  <c r="S55" i="14"/>
  <c r="S58" i="14"/>
  <c r="S168" i="14"/>
  <c r="S51" i="14"/>
  <c r="S59" i="14"/>
  <c r="S57" i="14"/>
  <c r="S46" i="14"/>
  <c r="S47" i="14"/>
  <c r="S49" i="14"/>
  <c r="S170" i="14"/>
  <c r="S183" i="14"/>
  <c r="S198" i="14"/>
  <c r="S144" i="14"/>
  <c r="S152" i="14"/>
  <c r="S165" i="14"/>
  <c r="S145" i="14"/>
  <c r="S163" i="14"/>
  <c r="S110" i="14"/>
  <c r="S150" i="14"/>
  <c r="S136" i="14"/>
  <c r="S166" i="14"/>
  <c r="S202" i="14"/>
  <c r="S204" i="14"/>
  <c r="S157" i="14"/>
  <c r="S143" i="14"/>
  <c r="S92" i="14"/>
  <c r="S167" i="14"/>
  <c r="S104" i="14"/>
  <c r="S158" i="14"/>
  <c r="S159" i="14"/>
  <c r="S160" i="14"/>
  <c r="S106" i="14"/>
  <c r="S252" i="14"/>
  <c r="S242" i="14"/>
  <c r="S78" i="14"/>
  <c r="S233" i="14"/>
  <c r="S234" i="14"/>
  <c r="S235" i="14"/>
  <c r="S236" i="14"/>
  <c r="S226" i="14"/>
  <c r="S251" i="14"/>
  <c r="S227" i="14"/>
  <c r="S238" i="14"/>
  <c r="S126" i="14"/>
  <c r="S199" i="14"/>
  <c r="S171" i="14"/>
  <c r="S125" i="14"/>
  <c r="S131" i="14"/>
  <c r="S191" i="14"/>
  <c r="S196" i="14"/>
  <c r="S129" i="14"/>
  <c r="S203" i="14"/>
  <c r="S128" i="14"/>
  <c r="S201" i="14"/>
  <c r="S130" i="14"/>
  <c r="S70" i="14"/>
  <c r="S228" i="14"/>
  <c r="S243" i="14"/>
  <c r="S81" i="14"/>
  <c r="S210" i="14"/>
  <c r="S80" i="14"/>
  <c r="S82" i="14"/>
  <c r="S208" i="14"/>
  <c r="S209" i="14"/>
  <c r="S205" i="14"/>
  <c r="S206" i="14"/>
  <c r="S138" i="14"/>
  <c r="S83" i="14"/>
  <c r="S123" i="14"/>
  <c r="S172" i="14"/>
  <c r="S122" i="14"/>
  <c r="S121" i="14"/>
  <c r="S175" i="14"/>
  <c r="S75" i="14"/>
  <c r="S73" i="14"/>
  <c r="S74" i="14"/>
  <c r="S68" i="14"/>
  <c r="S66" i="14"/>
  <c r="S67" i="14"/>
  <c r="S173" i="14"/>
  <c r="S62" i="14"/>
  <c r="S60" i="14"/>
  <c r="S65" i="14"/>
  <c r="S127" i="14"/>
  <c r="S63" i="14"/>
  <c r="S76" i="14"/>
  <c r="S124" i="14"/>
  <c r="S69" i="14"/>
  <c r="S77" i="14"/>
  <c r="S64" i="14"/>
  <c r="S229" i="14"/>
  <c r="S239" i="14"/>
  <c r="S231" i="14"/>
  <c r="S225" i="14"/>
  <c r="S247" i="14"/>
  <c r="S250" i="14"/>
  <c r="S241" i="14"/>
  <c r="S230" i="14"/>
  <c r="S16" i="14"/>
  <c r="S14" i="14"/>
  <c r="S15" i="14"/>
  <c r="S22" i="14"/>
  <c r="S17" i="14"/>
  <c r="S19" i="14"/>
  <c r="S18" i="14"/>
  <c r="S20" i="14"/>
  <c r="S12" i="14"/>
  <c r="S25" i="14"/>
  <c r="S6" i="14"/>
  <c r="S141" i="14"/>
  <c r="S10" i="14"/>
  <c r="S11" i="14"/>
  <c r="S13" i="14"/>
  <c r="S5" i="14"/>
  <c r="S27" i="14"/>
  <c r="S8" i="14"/>
  <c r="S7" i="14"/>
  <c r="S9" i="14"/>
  <c r="S26" i="14"/>
  <c r="S224" i="14"/>
  <c r="S221" i="14"/>
  <c r="S248" i="14"/>
  <c r="S223" i="14"/>
  <c r="S232" i="14"/>
  <c r="S244" i="14"/>
  <c r="S200" i="14"/>
  <c r="S207" i="14"/>
  <c r="S79" i="14"/>
  <c r="S174" i="14"/>
  <c r="S135" i="14"/>
  <c r="S71" i="14"/>
  <c r="S72" i="14"/>
  <c r="S180" i="14"/>
  <c r="S113" i="14"/>
  <c r="S32" i="14"/>
  <c r="S115" i="14"/>
  <c r="S137" i="14"/>
  <c r="S31" i="14"/>
  <c r="S119" i="14"/>
  <c r="S33" i="14"/>
  <c r="S44" i="14"/>
  <c r="S43" i="14"/>
  <c r="S37" i="14"/>
  <c r="S140" i="14"/>
  <c r="S36" i="14"/>
  <c r="S29" i="14"/>
  <c r="S34" i="14"/>
  <c r="S30" i="14"/>
  <c r="S45" i="14"/>
  <c r="S41" i="14"/>
  <c r="S42" i="14"/>
  <c r="S116" i="14"/>
  <c r="S112" i="14"/>
  <c r="AJ58" i="14"/>
  <c r="AK58" i="14"/>
  <c r="AJ201" i="14"/>
  <c r="AK201" i="14"/>
  <c r="AJ127" i="14"/>
  <c r="AK127" i="14"/>
  <c r="AJ128" i="14"/>
  <c r="AK128" i="14"/>
  <c r="AJ124" i="14"/>
  <c r="AK124" i="14"/>
  <c r="AJ183" i="14"/>
  <c r="AK183" i="14"/>
  <c r="AJ116" i="14"/>
  <c r="AK116" i="14"/>
  <c r="AJ250" i="14"/>
  <c r="AK250" i="14"/>
  <c r="AJ223" i="14"/>
  <c r="AK223" i="14"/>
  <c r="AJ243" i="14"/>
  <c r="AK243" i="14"/>
  <c r="AJ251" i="14"/>
  <c r="AK251" i="14"/>
  <c r="AJ198" i="14"/>
  <c r="AK198" i="14"/>
  <c r="AJ140" i="14"/>
  <c r="AK140" i="14"/>
  <c r="AJ141" i="14"/>
  <c r="AK141" i="14"/>
  <c r="AJ113" i="14"/>
  <c r="AK113" i="14"/>
  <c r="AJ28" i="14"/>
  <c r="AK28" i="14"/>
  <c r="AJ54" i="14"/>
  <c r="AK54" i="14"/>
  <c r="AJ83" i="14"/>
  <c r="AK83" i="14"/>
  <c r="AJ72" i="14"/>
  <c r="AK72" i="14"/>
  <c r="AM314" i="20"/>
  <c r="AQ314" i="20"/>
  <c r="AR314" i="20"/>
  <c r="AS314" i="20"/>
  <c r="AU314" i="20"/>
  <c r="AM317" i="20"/>
  <c r="AQ317" i="20"/>
  <c r="AR317" i="20"/>
  <c r="AS317" i="20"/>
  <c r="AU317" i="20"/>
  <c r="AM316" i="20"/>
  <c r="AQ316" i="20"/>
  <c r="AS316" i="20"/>
  <c r="AU316" i="20"/>
  <c r="AM313" i="20"/>
  <c r="AQ313" i="20"/>
  <c r="AR313" i="20"/>
  <c r="AS313" i="20"/>
  <c r="AU313" i="20"/>
  <c r="AM315" i="20"/>
  <c r="AQ315" i="20"/>
  <c r="AR315" i="20"/>
  <c r="AS315" i="20"/>
  <c r="AU315" i="20"/>
  <c r="AM318" i="20"/>
  <c r="AQ318" i="20"/>
  <c r="AS318" i="20"/>
  <c r="AU318" i="20"/>
  <c r="F10" i="36"/>
  <c r="E13" i="37"/>
  <c r="E14" i="37"/>
  <c r="B9" i="36"/>
  <c r="B8" i="36"/>
  <c r="AF208" i="14"/>
  <c r="AH208" i="14"/>
  <c r="AJ252" i="14"/>
  <c r="AK252" i="14"/>
  <c r="S133" i="19"/>
  <c r="T133" i="19"/>
  <c r="P133" i="19"/>
  <c r="U133" i="19"/>
  <c r="S111" i="19"/>
  <c r="T111" i="19"/>
  <c r="P111" i="19"/>
  <c r="U111" i="19"/>
  <c r="S105" i="19"/>
  <c r="T105" i="19"/>
  <c r="P105" i="19"/>
  <c r="U105" i="19"/>
  <c r="S103" i="19"/>
  <c r="T103" i="19"/>
  <c r="P103" i="19"/>
  <c r="U103" i="19"/>
  <c r="S104" i="19"/>
  <c r="T104" i="19"/>
  <c r="P104" i="19"/>
  <c r="U104" i="19"/>
  <c r="S113" i="19"/>
  <c r="S114" i="19"/>
  <c r="S109" i="19"/>
  <c r="T109" i="19"/>
  <c r="P109" i="19"/>
  <c r="U109" i="19"/>
  <c r="S93" i="19"/>
  <c r="T93" i="19"/>
  <c r="P93" i="19"/>
  <c r="U93" i="19"/>
  <c r="S159" i="19"/>
  <c r="S158" i="19"/>
  <c r="S155" i="19"/>
  <c r="S98" i="19"/>
  <c r="S154" i="19"/>
  <c r="S153" i="19"/>
  <c r="S97" i="19"/>
  <c r="S151" i="19"/>
  <c r="S147" i="19"/>
  <c r="S96" i="19"/>
  <c r="T96" i="19"/>
  <c r="P96" i="19"/>
  <c r="U96" i="19"/>
  <c r="S146" i="19"/>
  <c r="T146" i="19"/>
  <c r="P146" i="19"/>
  <c r="U146" i="19"/>
  <c r="S112" i="19"/>
  <c r="T112" i="19"/>
  <c r="P112" i="19"/>
  <c r="U112" i="19"/>
  <c r="S144" i="19"/>
  <c r="T144" i="19"/>
  <c r="P144" i="19"/>
  <c r="U144" i="19"/>
  <c r="S142" i="19"/>
  <c r="T142" i="19"/>
  <c r="P142" i="19"/>
  <c r="U142" i="19"/>
  <c r="S94" i="19"/>
  <c r="T94" i="19"/>
  <c r="P94" i="19"/>
  <c r="U94" i="19"/>
  <c r="S110" i="19"/>
  <c r="T110" i="19"/>
  <c r="P110" i="19"/>
  <c r="U110" i="19"/>
  <c r="S136" i="19"/>
  <c r="T136" i="19"/>
  <c r="P136" i="19"/>
  <c r="U136" i="19"/>
  <c r="S135" i="19"/>
  <c r="T135" i="19"/>
  <c r="P135" i="19"/>
  <c r="U135" i="19"/>
  <c r="S108" i="19"/>
  <c r="T108" i="19"/>
  <c r="P108" i="19"/>
  <c r="U108" i="19"/>
  <c r="S132" i="19"/>
  <c r="T132" i="19"/>
  <c r="P132" i="19"/>
  <c r="U132" i="19"/>
  <c r="S131" i="19"/>
  <c r="T131" i="19"/>
  <c r="P131" i="19"/>
  <c r="U131" i="19"/>
  <c r="S130" i="19"/>
  <c r="T130" i="19"/>
  <c r="P130" i="19"/>
  <c r="U130" i="19"/>
  <c r="S88" i="19"/>
  <c r="T88" i="19"/>
  <c r="P88" i="19"/>
  <c r="U88" i="19"/>
  <c r="S87" i="19"/>
  <c r="T87" i="19"/>
  <c r="P87" i="19"/>
  <c r="U87" i="19"/>
  <c r="S125" i="19"/>
  <c r="T125" i="19"/>
  <c r="P125" i="19"/>
  <c r="U125" i="19"/>
  <c r="S81" i="19"/>
  <c r="T81" i="19"/>
  <c r="P81" i="19"/>
  <c r="U81" i="19"/>
  <c r="S123" i="19"/>
  <c r="T123" i="19"/>
  <c r="P123" i="19"/>
  <c r="U123" i="19"/>
  <c r="S78" i="19"/>
  <c r="T78" i="19"/>
  <c r="P78" i="19"/>
  <c r="U78" i="19"/>
  <c r="S77" i="19"/>
  <c r="T77" i="19"/>
  <c r="P77" i="19"/>
  <c r="U77" i="19"/>
  <c r="S76" i="19"/>
  <c r="T76" i="19"/>
  <c r="P76" i="19"/>
  <c r="U76" i="19"/>
  <c r="S126" i="19"/>
  <c r="T126" i="19"/>
  <c r="P126" i="19"/>
  <c r="U126" i="19"/>
  <c r="S138" i="19"/>
  <c r="T138" i="19"/>
  <c r="P138" i="19"/>
  <c r="U138" i="19"/>
  <c r="AM308" i="20"/>
  <c r="AQ308" i="20"/>
  <c r="AR308" i="20"/>
  <c r="AM284" i="20"/>
  <c r="AM274" i="20"/>
  <c r="AM279" i="20"/>
  <c r="AM282" i="20"/>
  <c r="AM303" i="20"/>
  <c r="AM277" i="20"/>
  <c r="AM285" i="20"/>
  <c r="AM276" i="20"/>
  <c r="AM292" i="20"/>
  <c r="AM286" i="20"/>
  <c r="AM275" i="20"/>
  <c r="AM294" i="20"/>
  <c r="AM307" i="20"/>
  <c r="AM293" i="20"/>
  <c r="AM305" i="20"/>
  <c r="AM291" i="20"/>
  <c r="AM290" i="20"/>
  <c r="AM310" i="20"/>
  <c r="AM281" i="20"/>
  <c r="AM300" i="20"/>
  <c r="AM288" i="20"/>
  <c r="AM302" i="20"/>
  <c r="AM297" i="20"/>
  <c r="AM301" i="20"/>
  <c r="AM309" i="20"/>
  <c r="AQ284" i="20"/>
  <c r="AR284" i="20"/>
  <c r="AQ274" i="20"/>
  <c r="AQ279" i="20"/>
  <c r="AQ282" i="20"/>
  <c r="AQ303" i="20"/>
  <c r="AR303" i="20"/>
  <c r="AQ277" i="20"/>
  <c r="AR277" i="20"/>
  <c r="AQ285" i="20"/>
  <c r="AR285" i="20"/>
  <c r="AQ276" i="20"/>
  <c r="AR276" i="20"/>
  <c r="AQ292" i="20"/>
  <c r="AR292" i="20"/>
  <c r="AQ286" i="20"/>
  <c r="AQ275" i="20"/>
  <c r="AQ294" i="20"/>
  <c r="AQ307" i="20"/>
  <c r="AR307" i="20"/>
  <c r="AQ293" i="20"/>
  <c r="AR293" i="20"/>
  <c r="AQ305" i="20"/>
  <c r="AR305" i="20"/>
  <c r="AQ291" i="20"/>
  <c r="AR291" i="20"/>
  <c r="AQ290" i="20"/>
  <c r="AR290" i="20"/>
  <c r="AQ310" i="20"/>
  <c r="AQ281" i="20"/>
  <c r="AQ300" i="20"/>
  <c r="AQ288" i="20"/>
  <c r="AR288" i="20"/>
  <c r="AQ302" i="20"/>
  <c r="AR302" i="20"/>
  <c r="AQ297" i="20"/>
  <c r="AR297" i="20"/>
  <c r="AQ301" i="20"/>
  <c r="AR301" i="20"/>
  <c r="AQ309" i="20"/>
  <c r="AR309" i="20"/>
  <c r="AM278" i="20"/>
  <c r="AQ278" i="20"/>
  <c r="AM289" i="20"/>
  <c r="AQ289" i="20"/>
  <c r="AR289" i="20"/>
  <c r="AM298" i="20"/>
  <c r="AQ298" i="20"/>
  <c r="AR298" i="20"/>
  <c r="AM295" i="20"/>
  <c r="AQ295" i="20"/>
  <c r="AR295" i="20"/>
  <c r="AM283" i="20"/>
  <c r="AQ283" i="20"/>
  <c r="AM306" i="20"/>
  <c r="AQ306" i="20"/>
  <c r="AR306" i="20"/>
  <c r="AM296" i="20"/>
  <c r="AQ296" i="20"/>
  <c r="AR296" i="20"/>
  <c r="AM273" i="20"/>
  <c r="AQ273" i="20"/>
  <c r="AR273" i="20"/>
  <c r="AM280" i="20"/>
  <c r="AQ280" i="20"/>
  <c r="AM304" i="20"/>
  <c r="AQ304" i="20"/>
  <c r="AM299" i="20"/>
  <c r="AQ299" i="20"/>
  <c r="AR299" i="20"/>
  <c r="AM287" i="20"/>
  <c r="AQ287" i="20"/>
  <c r="AR287" i="20"/>
  <c r="T20" i="40"/>
  <c r="G28" i="36"/>
  <c r="G26" i="36"/>
  <c r="G23" i="36"/>
  <c r="G20" i="36"/>
  <c r="G18" i="36"/>
  <c r="G17" i="36"/>
  <c r="G16" i="36"/>
  <c r="G14" i="36"/>
  <c r="G9" i="36"/>
  <c r="G8" i="36"/>
  <c r="AN47" i="40"/>
  <c r="AM47" i="40"/>
  <c r="AL47" i="40"/>
  <c r="AK47" i="40"/>
  <c r="AM8" i="40"/>
  <c r="AL8" i="40"/>
  <c r="AK8" i="40"/>
  <c r="AG23" i="66"/>
  <c r="Z23" i="66"/>
  <c r="Y23" i="66"/>
  <c r="X23" i="66"/>
  <c r="AG22" i="66"/>
  <c r="Z22" i="66"/>
  <c r="Y22" i="66"/>
  <c r="X22" i="66"/>
  <c r="AG21" i="66"/>
  <c r="Z21" i="66"/>
  <c r="Y21" i="66"/>
  <c r="X21" i="66"/>
  <c r="AG20" i="66"/>
  <c r="Z20" i="66"/>
  <c r="Y20" i="66"/>
  <c r="X20" i="66"/>
  <c r="AG19" i="66"/>
  <c r="Z19" i="66"/>
  <c r="Y19" i="66"/>
  <c r="X19" i="66"/>
  <c r="AG18" i="66"/>
  <c r="Z18" i="66"/>
  <c r="Y18" i="66"/>
  <c r="X18" i="66"/>
  <c r="AG17" i="66"/>
  <c r="Z17" i="66"/>
  <c r="X17" i="66"/>
  <c r="AG16" i="66"/>
  <c r="Z16" i="66"/>
  <c r="Y16" i="66"/>
  <c r="X16" i="66"/>
  <c r="AG15" i="66"/>
  <c r="Z15" i="66"/>
  <c r="Y15" i="66"/>
  <c r="X15" i="66"/>
  <c r="AG14" i="66"/>
  <c r="Z14" i="66"/>
  <c r="Y14" i="66"/>
  <c r="X14" i="66"/>
  <c r="AG13" i="66"/>
  <c r="Z13" i="66"/>
  <c r="Y13" i="66"/>
  <c r="X13" i="66"/>
  <c r="AG12" i="66"/>
  <c r="Z12" i="66"/>
  <c r="Y12" i="66"/>
  <c r="X12" i="66"/>
  <c r="AG11" i="66"/>
  <c r="Z11" i="66"/>
  <c r="Y11" i="66"/>
  <c r="X11" i="66"/>
  <c r="AG10" i="66"/>
  <c r="Y10" i="66"/>
  <c r="X10" i="66"/>
  <c r="AG9" i="66"/>
  <c r="Z9" i="66"/>
  <c r="Y9" i="66"/>
  <c r="X9" i="66"/>
  <c r="AG8" i="66"/>
  <c r="Z8" i="66"/>
  <c r="Y8" i="66"/>
  <c r="X8" i="66"/>
  <c r="AG7" i="66"/>
  <c r="Z7" i="66"/>
  <c r="Y7" i="66"/>
  <c r="X7" i="66"/>
  <c r="AG5" i="66"/>
  <c r="Z5" i="66"/>
  <c r="X5" i="66"/>
  <c r="AG4" i="66"/>
  <c r="Z4" i="66"/>
  <c r="Y4" i="66"/>
  <c r="X4" i="66"/>
  <c r="AM230" i="20"/>
  <c r="AM229" i="20"/>
  <c r="AM243" i="20"/>
  <c r="AM253" i="20"/>
  <c r="AM254" i="20"/>
  <c r="AM255" i="20"/>
  <c r="AM256" i="20"/>
  <c r="AM257" i="20"/>
  <c r="AM258" i="20"/>
  <c r="AM259" i="20"/>
  <c r="AM260" i="20"/>
  <c r="AM261" i="20"/>
  <c r="AM262" i="20"/>
  <c r="AM263" i="20"/>
  <c r="AM264" i="20"/>
  <c r="AM265" i="20"/>
  <c r="AM244" i="20"/>
  <c r="AM227" i="20"/>
  <c r="AM228" i="20"/>
  <c r="AM266" i="20"/>
  <c r="AM267" i="20"/>
  <c r="AM268" i="20"/>
  <c r="AQ230" i="20"/>
  <c r="AR230" i="20"/>
  <c r="AQ229" i="20"/>
  <c r="AQ243" i="20"/>
  <c r="AR243" i="20"/>
  <c r="AQ253" i="20"/>
  <c r="AR253" i="20"/>
  <c r="AQ254" i="20"/>
  <c r="AR254" i="20"/>
  <c r="AQ255" i="20"/>
  <c r="AQ256" i="20"/>
  <c r="AR256" i="20"/>
  <c r="AQ257" i="20"/>
  <c r="AQ258" i="20"/>
  <c r="AR258" i="20"/>
  <c r="AQ259" i="20"/>
  <c r="AR259" i="20"/>
  <c r="AQ260" i="20"/>
  <c r="AR260" i="20"/>
  <c r="AQ261" i="20"/>
  <c r="AR261" i="20"/>
  <c r="AQ262" i="20"/>
  <c r="AR262" i="20"/>
  <c r="AQ263" i="20"/>
  <c r="AR263" i="20"/>
  <c r="AQ264" i="20"/>
  <c r="AR264" i="20"/>
  <c r="AQ265" i="20"/>
  <c r="AR265" i="20"/>
  <c r="AQ244" i="20"/>
  <c r="AR244" i="20"/>
  <c r="AQ227" i="20"/>
  <c r="AQ228" i="20"/>
  <c r="AR228" i="20"/>
  <c r="AQ266" i="20"/>
  <c r="AR266" i="20"/>
  <c r="AQ267" i="20"/>
  <c r="AR267" i="20"/>
  <c r="AQ268" i="20"/>
  <c r="AS230" i="20"/>
  <c r="AS229" i="20"/>
  <c r="AS243" i="20"/>
  <c r="AS253" i="20"/>
  <c r="AS254" i="20"/>
  <c r="AS255" i="20"/>
  <c r="AS256" i="20"/>
  <c r="AS257" i="20"/>
  <c r="AS258" i="20"/>
  <c r="AS259" i="20"/>
  <c r="AS260" i="20"/>
  <c r="AS261" i="20"/>
  <c r="AS262" i="20"/>
  <c r="AS263" i="20"/>
  <c r="AS264" i="20"/>
  <c r="AS265" i="20"/>
  <c r="AS244" i="20"/>
  <c r="AS227" i="20"/>
  <c r="AS228" i="20"/>
  <c r="AS266" i="20"/>
  <c r="AS267" i="20"/>
  <c r="AS268" i="20"/>
  <c r="AU230" i="20"/>
  <c r="AU229" i="20"/>
  <c r="AU243" i="20"/>
  <c r="AU253" i="20"/>
  <c r="AU254" i="20"/>
  <c r="AU255" i="20"/>
  <c r="AU256" i="20"/>
  <c r="AU257" i="20"/>
  <c r="AU258" i="20"/>
  <c r="AU259" i="20"/>
  <c r="AU260" i="20"/>
  <c r="AU261" i="20"/>
  <c r="AU262" i="20"/>
  <c r="AU263" i="20"/>
  <c r="AU264" i="20"/>
  <c r="AU265" i="20"/>
  <c r="AU244" i="20"/>
  <c r="AU227" i="20"/>
  <c r="AU228" i="20"/>
  <c r="AU266" i="20"/>
  <c r="AU267" i="20"/>
  <c r="AU268" i="20"/>
  <c r="AT228" i="20"/>
  <c r="AQ394" i="20"/>
  <c r="AR394" i="20"/>
  <c r="AM394" i="20"/>
  <c r="AQ397" i="20"/>
  <c r="AR397" i="20"/>
  <c r="AM397" i="20"/>
  <c r="AQ405" i="20"/>
  <c r="AM405" i="20"/>
  <c r="F2" i="86"/>
  <c r="F3" i="86"/>
  <c r="F4" i="86"/>
  <c r="F5" i="86"/>
  <c r="F6" i="86"/>
  <c r="F7" i="86"/>
  <c r="F8" i="86"/>
  <c r="F9" i="86"/>
  <c r="F10" i="86"/>
  <c r="F11" i="86"/>
  <c r="F12" i="86"/>
  <c r="F13" i="86"/>
  <c r="F14" i="86"/>
  <c r="F15" i="86"/>
  <c r="F16" i="86"/>
  <c r="F17" i="86"/>
  <c r="F18" i="86"/>
  <c r="F19" i="86"/>
  <c r="F20" i="86"/>
  <c r="F21" i="86"/>
  <c r="F22" i="86"/>
  <c r="F23" i="86"/>
  <c r="F24" i="86"/>
  <c r="F25" i="86"/>
  <c r="F26" i="86"/>
  <c r="F27" i="86"/>
  <c r="F28" i="86"/>
  <c r="F29" i="86"/>
  <c r="F30" i="86"/>
  <c r="F31" i="86"/>
  <c r="F32" i="86"/>
  <c r="F33" i="86"/>
  <c r="F34" i="86"/>
  <c r="F35" i="86"/>
  <c r="F36" i="86"/>
  <c r="F37" i="86"/>
  <c r="F38" i="86"/>
  <c r="F39" i="86"/>
  <c r="F40" i="86"/>
  <c r="F41" i="86"/>
  <c r="F42" i="86"/>
  <c r="F43" i="86"/>
  <c r="F44" i="86"/>
  <c r="F45" i="86"/>
  <c r="F46" i="86"/>
  <c r="F47" i="86"/>
  <c r="F48" i="86"/>
  <c r="F49" i="86"/>
  <c r="F50" i="86"/>
  <c r="F51" i="86"/>
  <c r="F52" i="86"/>
  <c r="F53" i="86"/>
  <c r="F54" i="86"/>
  <c r="F56" i="86"/>
  <c r="F57" i="86"/>
  <c r="F58" i="86"/>
  <c r="F59" i="86"/>
  <c r="F60" i="86"/>
  <c r="F61" i="86"/>
  <c r="F62" i="86"/>
  <c r="F63" i="86"/>
  <c r="F64" i="86"/>
  <c r="F65" i="86"/>
  <c r="F66" i="86"/>
  <c r="F67" i="86"/>
  <c r="F68" i="86"/>
  <c r="F69" i="86"/>
  <c r="F70" i="86"/>
  <c r="F71" i="86"/>
  <c r="F72" i="86"/>
  <c r="F73" i="86"/>
  <c r="F74" i="86"/>
  <c r="F75" i="86"/>
  <c r="F76" i="86"/>
  <c r="F77" i="86"/>
  <c r="F78" i="86"/>
  <c r="F79" i="86"/>
  <c r="F81" i="86"/>
  <c r="F82" i="86"/>
  <c r="F83" i="86"/>
  <c r="F84" i="86"/>
  <c r="F85" i="86"/>
  <c r="F86" i="86"/>
  <c r="F87" i="86"/>
  <c r="F88" i="86"/>
  <c r="F89" i="86"/>
  <c r="F90" i="86"/>
  <c r="F91" i="86"/>
  <c r="F92" i="86"/>
  <c r="F93" i="86"/>
  <c r="F94" i="86"/>
  <c r="F95" i="86"/>
  <c r="F96" i="86"/>
  <c r="F97" i="86"/>
  <c r="F98" i="86"/>
  <c r="F99" i="86"/>
  <c r="F100" i="86"/>
  <c r="F101" i="86"/>
  <c r="F102" i="86"/>
  <c r="F103" i="86"/>
  <c r="F104" i="86"/>
  <c r="F105" i="86"/>
  <c r="F106" i="86"/>
  <c r="F107" i="86"/>
  <c r="F108" i="86"/>
  <c r="F109" i="86"/>
  <c r="F110" i="86"/>
  <c r="F111" i="86"/>
  <c r="F112" i="86"/>
  <c r="F113" i="86"/>
  <c r="F114" i="86"/>
  <c r="F115" i="86"/>
  <c r="F116" i="86"/>
  <c r="F117" i="86"/>
  <c r="F118" i="86"/>
  <c r="F119" i="86"/>
  <c r="F120" i="86"/>
  <c r="F121" i="86"/>
  <c r="F122" i="86"/>
  <c r="F123" i="86"/>
  <c r="F124" i="86"/>
  <c r="F125" i="86"/>
  <c r="F127" i="86"/>
  <c r="F128" i="86"/>
  <c r="F129" i="86"/>
  <c r="F130" i="86"/>
  <c r="F131" i="86"/>
  <c r="F132" i="86"/>
  <c r="F133" i="86"/>
  <c r="F134" i="86"/>
  <c r="F135" i="86"/>
  <c r="F136" i="86"/>
  <c r="F137" i="86"/>
  <c r="F138" i="86"/>
  <c r="F139" i="86"/>
  <c r="F140" i="86"/>
  <c r="F141" i="86"/>
  <c r="F142" i="86"/>
  <c r="F143" i="86"/>
  <c r="F144" i="86"/>
  <c r="F145" i="86"/>
  <c r="F146" i="86"/>
  <c r="F147" i="86"/>
  <c r="F148" i="86"/>
  <c r="F149" i="86"/>
  <c r="F150" i="86"/>
  <c r="F151" i="86"/>
  <c r="F152" i="86"/>
  <c r="F153" i="86"/>
  <c r="F154" i="86"/>
  <c r="F155" i="86"/>
  <c r="F156" i="86"/>
  <c r="F157" i="86"/>
  <c r="F158" i="86"/>
  <c r="F159" i="86"/>
  <c r="F160" i="86"/>
  <c r="F161" i="86"/>
  <c r="F162" i="86"/>
  <c r="F163" i="86"/>
  <c r="F164" i="86"/>
  <c r="F165" i="86"/>
  <c r="F166" i="86"/>
  <c r="F167" i="86"/>
  <c r="F168" i="86"/>
  <c r="E2" i="86"/>
  <c r="E3" i="86"/>
  <c r="E4" i="86"/>
  <c r="E5" i="86"/>
  <c r="E6" i="86"/>
  <c r="E7" i="86"/>
  <c r="E8" i="86"/>
  <c r="E9" i="86"/>
  <c r="E10" i="86"/>
  <c r="E11" i="86"/>
  <c r="E12" i="86"/>
  <c r="E13" i="86"/>
  <c r="E14" i="86"/>
  <c r="E15" i="86"/>
  <c r="E16" i="86"/>
  <c r="E17" i="86"/>
  <c r="E18" i="86"/>
  <c r="E19" i="86"/>
  <c r="E20" i="86"/>
  <c r="E21" i="86"/>
  <c r="E22" i="86"/>
  <c r="E23" i="86"/>
  <c r="E24" i="86"/>
  <c r="E25" i="86"/>
  <c r="E26" i="86"/>
  <c r="E27" i="86"/>
  <c r="E28" i="86"/>
  <c r="E29" i="86"/>
  <c r="E30" i="86"/>
  <c r="E31" i="86"/>
  <c r="E32" i="86"/>
  <c r="E33" i="86"/>
  <c r="E34" i="86"/>
  <c r="E35" i="86"/>
  <c r="E36" i="86"/>
  <c r="E37" i="86"/>
  <c r="E38" i="86"/>
  <c r="E39" i="86"/>
  <c r="E40" i="86"/>
  <c r="E41" i="86"/>
  <c r="E42" i="86"/>
  <c r="E43" i="86"/>
  <c r="E44" i="86"/>
  <c r="E45" i="86"/>
  <c r="E46" i="86"/>
  <c r="E47" i="86"/>
  <c r="E48" i="86"/>
  <c r="E49" i="86"/>
  <c r="E50" i="86"/>
  <c r="E51" i="86"/>
  <c r="E52" i="86"/>
  <c r="E53" i="86"/>
  <c r="E54" i="86"/>
  <c r="E55" i="86"/>
  <c r="E56" i="86"/>
  <c r="E57" i="86"/>
  <c r="E58" i="86"/>
  <c r="E59" i="86"/>
  <c r="E60" i="86"/>
  <c r="E61" i="86"/>
  <c r="E62" i="86"/>
  <c r="E63" i="86"/>
  <c r="E64" i="86"/>
  <c r="E65" i="86"/>
  <c r="E66" i="86"/>
  <c r="E67" i="86"/>
  <c r="E68" i="86"/>
  <c r="E69" i="86"/>
  <c r="E70" i="86"/>
  <c r="E71" i="86"/>
  <c r="E72" i="86"/>
  <c r="E73" i="86"/>
  <c r="E74" i="86"/>
  <c r="E75" i="86"/>
  <c r="E76" i="86"/>
  <c r="E77" i="86"/>
  <c r="E78" i="86"/>
  <c r="E79" i="86"/>
  <c r="E80" i="86"/>
  <c r="E81" i="86"/>
  <c r="E82" i="86"/>
  <c r="E83" i="86"/>
  <c r="E84" i="86"/>
  <c r="E85" i="86"/>
  <c r="E86" i="86"/>
  <c r="E87" i="86"/>
  <c r="E88" i="86"/>
  <c r="E89" i="86"/>
  <c r="E90" i="86"/>
  <c r="E91" i="86"/>
  <c r="E92" i="86"/>
  <c r="E93" i="86"/>
  <c r="E94" i="86"/>
  <c r="E95" i="86"/>
  <c r="E96" i="86"/>
  <c r="E97" i="86"/>
  <c r="E98" i="86"/>
  <c r="E99" i="86"/>
  <c r="E100" i="86"/>
  <c r="E101" i="86"/>
  <c r="E102" i="86"/>
  <c r="E103" i="86"/>
  <c r="E104" i="86"/>
  <c r="E105" i="86"/>
  <c r="E106" i="86"/>
  <c r="E107" i="86"/>
  <c r="E108" i="86"/>
  <c r="E109" i="86"/>
  <c r="E110" i="86"/>
  <c r="E111" i="86"/>
  <c r="E112" i="86"/>
  <c r="E113" i="86"/>
  <c r="E114" i="86"/>
  <c r="E115" i="86"/>
  <c r="E116" i="86"/>
  <c r="E117" i="86"/>
  <c r="E118" i="86"/>
  <c r="E119" i="86"/>
  <c r="E120" i="86"/>
  <c r="E121" i="86"/>
  <c r="E122" i="86"/>
  <c r="E123" i="86"/>
  <c r="E124" i="86"/>
  <c r="E125" i="86"/>
  <c r="E126" i="86"/>
  <c r="E127" i="86"/>
  <c r="E128" i="86"/>
  <c r="E129" i="86"/>
  <c r="E130" i="86"/>
  <c r="E131" i="86"/>
  <c r="E132" i="86"/>
  <c r="E133" i="86"/>
  <c r="E134" i="86"/>
  <c r="E135" i="86"/>
  <c r="E136" i="86"/>
  <c r="E137" i="86"/>
  <c r="E138" i="86"/>
  <c r="E139" i="86"/>
  <c r="E140" i="86"/>
  <c r="E141" i="86"/>
  <c r="E142" i="86"/>
  <c r="E143" i="86"/>
  <c r="E144" i="86"/>
  <c r="E145" i="86"/>
  <c r="E146" i="86"/>
  <c r="E147" i="86"/>
  <c r="E148" i="86"/>
  <c r="E149" i="86"/>
  <c r="E150" i="86"/>
  <c r="E151" i="86"/>
  <c r="E152" i="86"/>
  <c r="E153" i="86"/>
  <c r="E154" i="86"/>
  <c r="E155" i="86"/>
  <c r="E156" i="86"/>
  <c r="E157" i="86"/>
  <c r="E158" i="86"/>
  <c r="E159" i="86"/>
  <c r="E160" i="86"/>
  <c r="E161" i="86"/>
  <c r="E162" i="86"/>
  <c r="E163" i="86"/>
  <c r="E164" i="86"/>
  <c r="E165" i="86"/>
  <c r="E166" i="86"/>
  <c r="E167" i="86"/>
  <c r="E168" i="86"/>
  <c r="D3" i="86"/>
  <c r="D4" i="86"/>
  <c r="D5" i="86"/>
  <c r="D6" i="86"/>
  <c r="D7" i="86"/>
  <c r="D8" i="86"/>
  <c r="D9" i="86"/>
  <c r="D10" i="86"/>
  <c r="D11" i="86"/>
  <c r="D12" i="86"/>
  <c r="D13" i="86"/>
  <c r="D14" i="86"/>
  <c r="D15" i="86"/>
  <c r="D16" i="86"/>
  <c r="D17" i="86"/>
  <c r="D18" i="86"/>
  <c r="D19" i="86"/>
  <c r="D20" i="86"/>
  <c r="D21" i="86"/>
  <c r="D22" i="86"/>
  <c r="D23" i="86"/>
  <c r="D24" i="86"/>
  <c r="D25" i="86"/>
  <c r="D26" i="86"/>
  <c r="D27" i="86"/>
  <c r="D28" i="86"/>
  <c r="D29" i="86"/>
  <c r="D30" i="86"/>
  <c r="D31" i="86"/>
  <c r="D32" i="86"/>
  <c r="D33" i="86"/>
  <c r="D34" i="86"/>
  <c r="D35" i="86"/>
  <c r="D36" i="86"/>
  <c r="D37" i="86"/>
  <c r="D38" i="86"/>
  <c r="D39" i="86"/>
  <c r="D40" i="86"/>
  <c r="D41" i="86"/>
  <c r="D42" i="86"/>
  <c r="D43" i="86"/>
  <c r="D44" i="86"/>
  <c r="D45" i="86"/>
  <c r="D46" i="86"/>
  <c r="D47" i="86"/>
  <c r="D48" i="86"/>
  <c r="D49" i="86"/>
  <c r="D50" i="86"/>
  <c r="D51" i="86"/>
  <c r="D52" i="86"/>
  <c r="D53" i="86"/>
  <c r="D54" i="86"/>
  <c r="D55" i="86"/>
  <c r="D56" i="86"/>
  <c r="D57" i="86"/>
  <c r="D58" i="86"/>
  <c r="D59" i="86"/>
  <c r="D60" i="86"/>
  <c r="D61" i="86"/>
  <c r="D62" i="86"/>
  <c r="D63" i="86"/>
  <c r="D64" i="86"/>
  <c r="D65" i="86"/>
  <c r="D66" i="86"/>
  <c r="D67" i="86"/>
  <c r="D68" i="86"/>
  <c r="D69" i="86"/>
  <c r="D70" i="86"/>
  <c r="D71" i="86"/>
  <c r="D72" i="86"/>
  <c r="D73" i="86"/>
  <c r="D74" i="86"/>
  <c r="D75" i="86"/>
  <c r="D76" i="86"/>
  <c r="D77" i="86"/>
  <c r="D78" i="86"/>
  <c r="D79" i="86"/>
  <c r="D80" i="86"/>
  <c r="D81" i="86"/>
  <c r="D82" i="86"/>
  <c r="D83" i="86"/>
  <c r="D84" i="86"/>
  <c r="D85" i="86"/>
  <c r="D86" i="86"/>
  <c r="D87" i="86"/>
  <c r="D88" i="86"/>
  <c r="D89" i="86"/>
  <c r="D90" i="86"/>
  <c r="D91" i="86"/>
  <c r="D92" i="86"/>
  <c r="D93" i="86"/>
  <c r="D94" i="86"/>
  <c r="D95" i="86"/>
  <c r="D96" i="86"/>
  <c r="D97" i="86"/>
  <c r="D98" i="86"/>
  <c r="D99" i="86"/>
  <c r="D100" i="86"/>
  <c r="D101" i="86"/>
  <c r="D102" i="86"/>
  <c r="D103" i="86"/>
  <c r="D104" i="86"/>
  <c r="D105" i="86"/>
  <c r="D106" i="86"/>
  <c r="D107" i="86"/>
  <c r="D108" i="86"/>
  <c r="D109" i="86"/>
  <c r="D110" i="86"/>
  <c r="D111" i="86"/>
  <c r="D112" i="86"/>
  <c r="D113" i="86"/>
  <c r="D114" i="86"/>
  <c r="D115" i="86"/>
  <c r="D116" i="86"/>
  <c r="D117" i="86"/>
  <c r="D118" i="86"/>
  <c r="D119" i="86"/>
  <c r="D120" i="86"/>
  <c r="D121" i="86"/>
  <c r="D122" i="86"/>
  <c r="D123" i="86"/>
  <c r="D124" i="86"/>
  <c r="D125" i="86"/>
  <c r="D126" i="86"/>
  <c r="D127" i="86"/>
  <c r="D128" i="86"/>
  <c r="D129" i="86"/>
  <c r="D130" i="86"/>
  <c r="D131" i="86"/>
  <c r="D132" i="86"/>
  <c r="D133" i="86"/>
  <c r="D134" i="86"/>
  <c r="D135" i="86"/>
  <c r="D136" i="86"/>
  <c r="D137" i="86"/>
  <c r="D138" i="86"/>
  <c r="D139" i="86"/>
  <c r="D140" i="86"/>
  <c r="D141" i="86"/>
  <c r="D142" i="86"/>
  <c r="D143" i="86"/>
  <c r="D144" i="86"/>
  <c r="D145" i="86"/>
  <c r="D146" i="86"/>
  <c r="D147" i="86"/>
  <c r="D148" i="86"/>
  <c r="D149" i="86"/>
  <c r="D150" i="86"/>
  <c r="D151" i="86"/>
  <c r="D152" i="86"/>
  <c r="D153" i="86"/>
  <c r="D154" i="86"/>
  <c r="D155" i="86"/>
  <c r="D156" i="86"/>
  <c r="D157" i="86"/>
  <c r="D158" i="86"/>
  <c r="D159" i="86"/>
  <c r="D160" i="86"/>
  <c r="D161" i="86"/>
  <c r="D162" i="86"/>
  <c r="D163" i="86"/>
  <c r="D164" i="86"/>
  <c r="D165" i="86"/>
  <c r="D166" i="86"/>
  <c r="D167" i="86"/>
  <c r="D168" i="86"/>
  <c r="D2" i="86"/>
  <c r="C3" i="86"/>
  <c r="C4" i="86"/>
  <c r="C5" i="86"/>
  <c r="C6" i="86"/>
  <c r="C7" i="86"/>
  <c r="C8" i="86"/>
  <c r="C9" i="86"/>
  <c r="C10" i="86"/>
  <c r="C11" i="86"/>
  <c r="C12" i="86"/>
  <c r="C13" i="86"/>
  <c r="C14" i="86"/>
  <c r="C15" i="86"/>
  <c r="C16" i="86"/>
  <c r="C17" i="86"/>
  <c r="C18" i="86"/>
  <c r="C19" i="86"/>
  <c r="C20" i="86"/>
  <c r="C21" i="86"/>
  <c r="C22" i="86"/>
  <c r="C23" i="86"/>
  <c r="C24" i="86"/>
  <c r="C25" i="86"/>
  <c r="C26" i="86"/>
  <c r="C27" i="86"/>
  <c r="C28" i="86"/>
  <c r="C29" i="86"/>
  <c r="C30" i="86"/>
  <c r="C31" i="86"/>
  <c r="C32" i="86"/>
  <c r="C33" i="86"/>
  <c r="C34" i="86"/>
  <c r="C35" i="86"/>
  <c r="C36" i="86"/>
  <c r="C37" i="86"/>
  <c r="C38" i="86"/>
  <c r="C39" i="86"/>
  <c r="C40" i="86"/>
  <c r="C41" i="86"/>
  <c r="C42" i="86"/>
  <c r="C43" i="86"/>
  <c r="C44" i="86"/>
  <c r="C45" i="86"/>
  <c r="C46" i="86"/>
  <c r="C47" i="86"/>
  <c r="C48" i="86"/>
  <c r="C49" i="86"/>
  <c r="C50" i="86"/>
  <c r="C51" i="86"/>
  <c r="C52" i="86"/>
  <c r="C53" i="86"/>
  <c r="C54" i="86"/>
  <c r="C55" i="86"/>
  <c r="C56" i="86"/>
  <c r="C57" i="86"/>
  <c r="C58" i="86"/>
  <c r="C59" i="86"/>
  <c r="C60" i="86"/>
  <c r="C61" i="86"/>
  <c r="C62" i="86"/>
  <c r="C63" i="86"/>
  <c r="C64" i="86"/>
  <c r="C65" i="86"/>
  <c r="C66" i="86"/>
  <c r="C67" i="86"/>
  <c r="C68" i="86"/>
  <c r="C69" i="86"/>
  <c r="C70" i="86"/>
  <c r="C71" i="86"/>
  <c r="C72" i="86"/>
  <c r="C73" i="86"/>
  <c r="C74" i="86"/>
  <c r="C75" i="86"/>
  <c r="C76" i="86"/>
  <c r="C77" i="86"/>
  <c r="C78" i="86"/>
  <c r="C79" i="86"/>
  <c r="C80" i="86"/>
  <c r="C81" i="86"/>
  <c r="C82" i="86"/>
  <c r="C83" i="86"/>
  <c r="C84" i="86"/>
  <c r="C85" i="86"/>
  <c r="C86" i="86"/>
  <c r="C87" i="86"/>
  <c r="C88" i="86"/>
  <c r="C89" i="86"/>
  <c r="C90" i="86"/>
  <c r="C91" i="86"/>
  <c r="C92" i="86"/>
  <c r="C93" i="86"/>
  <c r="C94" i="86"/>
  <c r="C95" i="86"/>
  <c r="C96" i="86"/>
  <c r="C97" i="86"/>
  <c r="C98" i="86"/>
  <c r="C99" i="86"/>
  <c r="C100" i="86"/>
  <c r="C101" i="86"/>
  <c r="C102" i="86"/>
  <c r="C103" i="86"/>
  <c r="C104" i="86"/>
  <c r="C105" i="86"/>
  <c r="C106" i="86"/>
  <c r="C107" i="86"/>
  <c r="C108" i="86"/>
  <c r="C109" i="86"/>
  <c r="C110" i="86"/>
  <c r="C111" i="86"/>
  <c r="C112" i="86"/>
  <c r="C113" i="86"/>
  <c r="C114" i="86"/>
  <c r="C115" i="86"/>
  <c r="C116" i="86"/>
  <c r="C117" i="86"/>
  <c r="C118" i="86"/>
  <c r="C119" i="86"/>
  <c r="C120" i="86"/>
  <c r="C121" i="86"/>
  <c r="C122" i="86"/>
  <c r="C123" i="86"/>
  <c r="C124" i="86"/>
  <c r="C125" i="86"/>
  <c r="C126" i="86"/>
  <c r="C127" i="86"/>
  <c r="C128" i="86"/>
  <c r="C129" i="86"/>
  <c r="C130" i="86"/>
  <c r="C131" i="86"/>
  <c r="C132" i="86"/>
  <c r="C133" i="86"/>
  <c r="C134" i="86"/>
  <c r="C135" i="86"/>
  <c r="C136" i="86"/>
  <c r="C137" i="86"/>
  <c r="C138" i="86"/>
  <c r="C139" i="86"/>
  <c r="C140" i="86"/>
  <c r="C141" i="86"/>
  <c r="C142" i="86"/>
  <c r="C143" i="86"/>
  <c r="C144" i="86"/>
  <c r="C145" i="86"/>
  <c r="C146" i="86"/>
  <c r="C147" i="86"/>
  <c r="C148" i="86"/>
  <c r="C149" i="86"/>
  <c r="C150" i="86"/>
  <c r="C151" i="86"/>
  <c r="C152" i="86"/>
  <c r="C153" i="86"/>
  <c r="C154" i="86"/>
  <c r="C155" i="86"/>
  <c r="C156" i="86"/>
  <c r="C157" i="86"/>
  <c r="C158" i="86"/>
  <c r="C159" i="86"/>
  <c r="C160" i="86"/>
  <c r="C161" i="86"/>
  <c r="C162" i="86"/>
  <c r="C163" i="86"/>
  <c r="C164" i="86"/>
  <c r="C165" i="86"/>
  <c r="C166" i="86"/>
  <c r="C167" i="86"/>
  <c r="C168" i="86"/>
  <c r="C2" i="86"/>
  <c r="B2" i="86"/>
  <c r="B3" i="86"/>
  <c r="B4" i="86"/>
  <c r="B5" i="86"/>
  <c r="B6" i="86"/>
  <c r="B7" i="86"/>
  <c r="B8" i="86"/>
  <c r="B9" i="86"/>
  <c r="B10" i="86"/>
  <c r="B11" i="86"/>
  <c r="B12" i="86"/>
  <c r="B13" i="86"/>
  <c r="B14" i="86"/>
  <c r="B15" i="86"/>
  <c r="B16" i="86"/>
  <c r="B17" i="86"/>
  <c r="B18" i="86"/>
  <c r="B19" i="86"/>
  <c r="B20" i="86"/>
  <c r="B21" i="86"/>
  <c r="B22" i="86"/>
  <c r="B23" i="86"/>
  <c r="B24" i="86"/>
  <c r="B25" i="86"/>
  <c r="B26" i="86"/>
  <c r="B27" i="86"/>
  <c r="B28" i="86"/>
  <c r="B29" i="86"/>
  <c r="B30" i="86"/>
  <c r="B31" i="86"/>
  <c r="B32" i="86"/>
  <c r="B33" i="86"/>
  <c r="B34" i="86"/>
  <c r="B35" i="86"/>
  <c r="B36" i="86"/>
  <c r="B37" i="86"/>
  <c r="B38" i="86"/>
  <c r="B39" i="86"/>
  <c r="B40" i="86"/>
  <c r="B41" i="86"/>
  <c r="B42" i="86"/>
  <c r="B43" i="86"/>
  <c r="B44" i="86"/>
  <c r="B45" i="86"/>
  <c r="B46" i="86"/>
  <c r="B47" i="86"/>
  <c r="B48" i="86"/>
  <c r="B49" i="86"/>
  <c r="B50" i="86"/>
  <c r="B51" i="86"/>
  <c r="B52" i="86"/>
  <c r="B53" i="86"/>
  <c r="B54" i="86"/>
  <c r="B55" i="86"/>
  <c r="B56" i="86"/>
  <c r="B57" i="86"/>
  <c r="B58" i="86"/>
  <c r="B59" i="86"/>
  <c r="B60" i="86"/>
  <c r="B61" i="86"/>
  <c r="B62" i="86"/>
  <c r="B63" i="86"/>
  <c r="B64" i="86"/>
  <c r="B65" i="86"/>
  <c r="B66" i="86"/>
  <c r="B67" i="86"/>
  <c r="B68" i="86"/>
  <c r="B69" i="86"/>
  <c r="B70" i="86"/>
  <c r="B71" i="86"/>
  <c r="B72" i="86"/>
  <c r="B73" i="86"/>
  <c r="B74" i="86"/>
  <c r="B75" i="86"/>
  <c r="B76" i="86"/>
  <c r="B77" i="86"/>
  <c r="B78" i="86"/>
  <c r="B79" i="86"/>
  <c r="B80" i="86"/>
  <c r="B81" i="86"/>
  <c r="B82" i="86"/>
  <c r="B83" i="86"/>
  <c r="B84" i="86"/>
  <c r="B85" i="86"/>
  <c r="B86" i="86"/>
  <c r="B87" i="86"/>
  <c r="B88" i="86"/>
  <c r="B89" i="86"/>
  <c r="B90" i="86"/>
  <c r="B91" i="86"/>
  <c r="B92" i="86"/>
  <c r="B93" i="86"/>
  <c r="B94" i="86"/>
  <c r="B95" i="86"/>
  <c r="B96" i="86"/>
  <c r="B97" i="86"/>
  <c r="B98" i="86"/>
  <c r="B99" i="86"/>
  <c r="B100" i="86"/>
  <c r="B101" i="86"/>
  <c r="B102" i="86"/>
  <c r="B103" i="86"/>
  <c r="B104" i="86"/>
  <c r="B105" i="86"/>
  <c r="B106" i="86"/>
  <c r="B107" i="86"/>
  <c r="B108" i="86"/>
  <c r="B109" i="86"/>
  <c r="B110" i="86"/>
  <c r="B111" i="86"/>
  <c r="B112" i="86"/>
  <c r="B113" i="86"/>
  <c r="B114" i="86"/>
  <c r="B115" i="86"/>
  <c r="B116" i="86"/>
  <c r="B117" i="86"/>
  <c r="B118" i="86"/>
  <c r="B119" i="86"/>
  <c r="B120" i="86"/>
  <c r="B121" i="86"/>
  <c r="B122" i="86"/>
  <c r="B123" i="86"/>
  <c r="B124" i="86"/>
  <c r="B125" i="86"/>
  <c r="B126" i="86"/>
  <c r="B127" i="86"/>
  <c r="B128" i="86"/>
  <c r="B129" i="86"/>
  <c r="B130" i="86"/>
  <c r="B131" i="86"/>
  <c r="B132" i="86"/>
  <c r="B133" i="86"/>
  <c r="B134" i="86"/>
  <c r="B135" i="86"/>
  <c r="B136" i="86"/>
  <c r="B137" i="86"/>
  <c r="B138" i="86"/>
  <c r="B139" i="86"/>
  <c r="B140" i="86"/>
  <c r="B141" i="86"/>
  <c r="B142" i="86"/>
  <c r="B143" i="86"/>
  <c r="B144" i="86"/>
  <c r="B145" i="86"/>
  <c r="B146" i="86"/>
  <c r="B147" i="86"/>
  <c r="B148" i="86"/>
  <c r="B149" i="86"/>
  <c r="B150" i="86"/>
  <c r="B151" i="86"/>
  <c r="B152" i="86"/>
  <c r="B153" i="86"/>
  <c r="B154" i="86"/>
  <c r="B155" i="86"/>
  <c r="B156" i="86"/>
  <c r="B157" i="86"/>
  <c r="B158" i="86"/>
  <c r="B159" i="86"/>
  <c r="B160" i="86"/>
  <c r="B161" i="86"/>
  <c r="B162" i="86"/>
  <c r="B163" i="86"/>
  <c r="B164" i="86"/>
  <c r="B165" i="86"/>
  <c r="B166" i="86"/>
  <c r="B167" i="86"/>
  <c r="B168" i="86"/>
  <c r="AJ117" i="14"/>
  <c r="AK117" i="14"/>
  <c r="AJ60" i="14"/>
  <c r="AK60" i="14"/>
  <c r="AJ55" i="14"/>
  <c r="AK55" i="14"/>
  <c r="AJ221" i="14"/>
  <c r="AK221" i="14"/>
  <c r="AJ168" i="14"/>
  <c r="AK168" i="14"/>
  <c r="AJ34" i="14"/>
  <c r="AK34" i="14"/>
  <c r="AJ158" i="14"/>
  <c r="AK158" i="14"/>
  <c r="AJ51" i="14"/>
  <c r="AK51" i="14"/>
  <c r="AJ59" i="14"/>
  <c r="AK59" i="14"/>
  <c r="AJ57" i="14"/>
  <c r="AK57" i="14"/>
  <c r="AJ147" i="14"/>
  <c r="AK147" i="14"/>
  <c r="AJ149" i="14"/>
  <c r="AK149" i="14"/>
  <c r="AJ146" i="14"/>
  <c r="AK146" i="14"/>
  <c r="AJ93" i="14"/>
  <c r="AK93" i="14"/>
  <c r="AJ188" i="14"/>
  <c r="AK188" i="14"/>
  <c r="AJ189" i="14"/>
  <c r="AK189" i="14"/>
  <c r="AJ187" i="14"/>
  <c r="AK187" i="14"/>
  <c r="AJ148" i="14"/>
  <c r="AK148" i="14"/>
  <c r="AJ114" i="14"/>
  <c r="AK114" i="14"/>
  <c r="AJ89" i="14"/>
  <c r="AK89" i="14"/>
  <c r="AJ139" i="14"/>
  <c r="AK139" i="14"/>
  <c r="AJ156" i="14"/>
  <c r="AK156" i="14"/>
  <c r="AJ162" i="14"/>
  <c r="AK162" i="14"/>
  <c r="AJ245" i="14"/>
  <c r="AK245" i="14"/>
  <c r="AJ246" i="14"/>
  <c r="AK246" i="14"/>
  <c r="AJ164" i="14"/>
  <c r="AK164" i="14"/>
  <c r="AJ190" i="14"/>
  <c r="AK190" i="14"/>
  <c r="AJ52" i="14"/>
  <c r="AK52" i="14"/>
  <c r="AJ177" i="14"/>
  <c r="AK177" i="14"/>
  <c r="AJ134" i="14"/>
  <c r="AK134" i="14"/>
  <c r="AJ108" i="14"/>
  <c r="AK108" i="14"/>
  <c r="AJ185" i="14"/>
  <c r="AK185" i="14"/>
  <c r="AJ186" i="14"/>
  <c r="AK186" i="14"/>
  <c r="AJ118" i="14"/>
  <c r="AK118" i="14"/>
  <c r="AJ95" i="14"/>
  <c r="AK95" i="14"/>
  <c r="AJ94" i="14"/>
  <c r="AK94" i="14"/>
  <c r="AJ97" i="14"/>
  <c r="AK97" i="14"/>
  <c r="AJ99" i="14"/>
  <c r="AK99" i="14"/>
  <c r="AJ100" i="14"/>
  <c r="AK100" i="14"/>
  <c r="AJ96" i="14"/>
  <c r="AK96" i="14"/>
  <c r="AJ101" i="14"/>
  <c r="AK101" i="14"/>
  <c r="AJ98" i="14"/>
  <c r="AK98" i="14"/>
  <c r="AJ107" i="14"/>
  <c r="AK107" i="14"/>
  <c r="AJ91" i="14"/>
  <c r="AK91" i="14"/>
  <c r="AJ88" i="14"/>
  <c r="AK88" i="14"/>
  <c r="AJ87" i="14"/>
  <c r="AK87" i="14"/>
  <c r="AJ90" i="14"/>
  <c r="AK90" i="14"/>
  <c r="AJ154" i="14"/>
  <c r="AK154" i="14"/>
  <c r="AJ39" i="14"/>
  <c r="AK39" i="14"/>
  <c r="AJ61" i="14"/>
  <c r="AK61" i="14"/>
  <c r="AJ214" i="14"/>
  <c r="AK214" i="14"/>
  <c r="AJ178" i="14"/>
  <c r="AK178" i="14"/>
  <c r="AJ237" i="14"/>
  <c r="AK237" i="14"/>
  <c r="AJ153" i="14"/>
  <c r="AK153" i="14"/>
  <c r="AJ132" i="14"/>
  <c r="AK132" i="14"/>
  <c r="AJ240" i="14"/>
  <c r="AK240" i="14"/>
  <c r="AJ222" i="14"/>
  <c r="AK222" i="14"/>
  <c r="AJ179" i="14"/>
  <c r="AK179" i="14"/>
  <c r="AJ182" i="14"/>
  <c r="AK182" i="14"/>
  <c r="AJ133" i="14"/>
  <c r="AK133" i="14"/>
  <c r="AJ84" i="14"/>
  <c r="AK84" i="14"/>
  <c r="AJ38" i="14"/>
  <c r="AK38" i="14"/>
  <c r="AJ85" i="14"/>
  <c r="AK85" i="14"/>
  <c r="AJ86" i="14"/>
  <c r="AK86" i="14"/>
  <c r="AJ103" i="14"/>
  <c r="AK103" i="14"/>
  <c r="AJ109" i="14"/>
  <c r="AK109" i="14"/>
  <c r="AJ105" i="14"/>
  <c r="AK105" i="14"/>
  <c r="AJ192" i="14"/>
  <c r="AK192" i="14"/>
  <c r="AJ195" i="14"/>
  <c r="AK195" i="14"/>
  <c r="AJ111" i="14"/>
  <c r="AK111" i="14"/>
  <c r="AJ197" i="14"/>
  <c r="AK197" i="14"/>
  <c r="AJ102" i="14"/>
  <c r="AK102" i="14"/>
  <c r="AJ184" i="14"/>
  <c r="AK184" i="14"/>
  <c r="AJ161" i="14"/>
  <c r="AK161" i="14"/>
  <c r="AJ48" i="14"/>
  <c r="AK48" i="14"/>
  <c r="AJ151" i="14"/>
  <c r="AK151" i="14"/>
  <c r="AJ176" i="14"/>
  <c r="AK176" i="14"/>
  <c r="AJ155" i="14"/>
  <c r="AK155" i="14"/>
  <c r="AJ144" i="14"/>
  <c r="AK144" i="14"/>
  <c r="AJ152" i="14"/>
  <c r="AK152" i="14"/>
  <c r="AJ165" i="14"/>
  <c r="AK165" i="14"/>
  <c r="AJ169" i="14"/>
  <c r="AK169" i="14"/>
  <c r="AJ145" i="14"/>
  <c r="AK145" i="14"/>
  <c r="AJ163" i="14"/>
  <c r="AK163" i="14"/>
  <c r="AJ126" i="14"/>
  <c r="AK126" i="14"/>
  <c r="AJ199" i="14"/>
  <c r="AK199" i="14"/>
  <c r="AJ46" i="14"/>
  <c r="AK46" i="14"/>
  <c r="AJ150" i="14"/>
  <c r="AK150" i="14"/>
  <c r="AJ16" i="14"/>
  <c r="AK16" i="14"/>
  <c r="AJ14" i="14"/>
  <c r="AK14" i="14"/>
  <c r="AJ15" i="14"/>
  <c r="AK15" i="14"/>
  <c r="AJ50" i="14"/>
  <c r="AK50" i="14"/>
  <c r="AJ131" i="14"/>
  <c r="AK131" i="14"/>
  <c r="AJ194" i="14"/>
  <c r="AK194" i="14"/>
  <c r="AJ12" i="14"/>
  <c r="AK12" i="14"/>
  <c r="AJ67" i="14"/>
  <c r="AK67" i="14"/>
  <c r="AJ173" i="14"/>
  <c r="AK173" i="14"/>
  <c r="AJ129" i="14"/>
  <c r="AK129" i="14"/>
  <c r="AJ130" i="14"/>
  <c r="AK130" i="14"/>
  <c r="AJ228" i="14"/>
  <c r="AK228" i="14"/>
  <c r="AJ80" i="14"/>
  <c r="AK80" i="14"/>
  <c r="AJ70" i="14"/>
  <c r="AK70" i="14"/>
  <c r="AJ25" i="14"/>
  <c r="AK25" i="14"/>
  <c r="AJ92" i="14"/>
  <c r="AK92" i="14"/>
  <c r="AJ236" i="14"/>
  <c r="AK236" i="14"/>
  <c r="AJ231" i="14"/>
  <c r="AK231" i="14"/>
  <c r="AJ225" i="14"/>
  <c r="AK225" i="14"/>
  <c r="AJ226" i="14"/>
  <c r="AK226" i="14"/>
  <c r="AJ247" i="14"/>
  <c r="AK247" i="14"/>
  <c r="AJ21" i="14"/>
  <c r="AK21" i="14"/>
  <c r="AJ65" i="14"/>
  <c r="AK65" i="14"/>
  <c r="AJ224" i="14"/>
  <c r="AK224" i="14"/>
  <c r="AJ248" i="14"/>
  <c r="AK248" i="14"/>
  <c r="AJ241" i="14"/>
  <c r="AK241" i="14"/>
  <c r="AJ230" i="14"/>
  <c r="AK230" i="14"/>
  <c r="AJ227" i="14"/>
  <c r="AK227" i="14"/>
  <c r="AJ167" i="14"/>
  <c r="AK167" i="14"/>
  <c r="AJ232" i="14"/>
  <c r="AK232" i="14"/>
  <c r="AJ244" i="14"/>
  <c r="AK244" i="14"/>
  <c r="AJ249" i="14"/>
  <c r="AK249" i="14"/>
  <c r="AJ104" i="14"/>
  <c r="AK104" i="14"/>
  <c r="AJ242" i="14"/>
  <c r="AK242" i="14"/>
  <c r="AJ82" i="14"/>
  <c r="AK82" i="14"/>
  <c r="AJ193" i="14"/>
  <c r="AK193" i="14"/>
  <c r="AJ37" i="14"/>
  <c r="AK37" i="14"/>
  <c r="AJ138" i="14"/>
  <c r="AK138" i="14"/>
  <c r="AJ63" i="14"/>
  <c r="AK63" i="14"/>
  <c r="AJ6" i="14"/>
  <c r="AK6" i="14"/>
  <c r="AJ76" i="14"/>
  <c r="AK76" i="14"/>
  <c r="AJ120" i="14"/>
  <c r="AK120" i="14"/>
  <c r="AJ69" i="14"/>
  <c r="AK69" i="14"/>
  <c r="AJ36" i="14"/>
  <c r="AK36" i="14"/>
  <c r="AJ29" i="14"/>
  <c r="AK29" i="14"/>
  <c r="AJ30" i="14"/>
  <c r="AK30" i="14"/>
  <c r="AJ159" i="14"/>
  <c r="AK159" i="14"/>
  <c r="AJ77" i="14"/>
  <c r="AK77" i="14"/>
  <c r="AJ10" i="14"/>
  <c r="AK10" i="14"/>
  <c r="AJ11" i="14"/>
  <c r="AK11" i="14"/>
  <c r="AJ45" i="14"/>
  <c r="AK45" i="14"/>
  <c r="AJ71" i="14"/>
  <c r="AK71" i="14"/>
  <c r="AJ13" i="14"/>
  <c r="AK13" i="14"/>
  <c r="AJ180" i="14"/>
  <c r="AK180" i="14"/>
  <c r="AJ64" i="14"/>
  <c r="AK64" i="14"/>
  <c r="AJ5" i="14"/>
  <c r="AK5" i="14"/>
  <c r="AJ27" i="14"/>
  <c r="AK27" i="14"/>
  <c r="AJ8" i="14"/>
  <c r="AK8" i="14"/>
  <c r="AJ7" i="14"/>
  <c r="AK7" i="14"/>
  <c r="AJ9" i="14"/>
  <c r="AK9" i="14"/>
  <c r="AJ41" i="14"/>
  <c r="AK41" i="14"/>
  <c r="AJ79" i="14"/>
  <c r="AK79" i="14"/>
  <c r="AJ42" i="14"/>
  <c r="AK42" i="14"/>
  <c r="AJ40" i="14"/>
  <c r="AK40" i="14"/>
  <c r="AJ160" i="14"/>
  <c r="AK160" i="14"/>
  <c r="AJ26" i="14"/>
  <c r="AK26" i="14"/>
  <c r="AJ106" i="14"/>
  <c r="AK106" i="14"/>
  <c r="AJ112" i="14"/>
  <c r="AK112" i="14"/>
  <c r="AJ238" i="14"/>
  <c r="AK238" i="14"/>
  <c r="AI117" i="14"/>
  <c r="AI147" i="14"/>
  <c r="AI149" i="14"/>
  <c r="AI146" i="14"/>
  <c r="AI93" i="14"/>
  <c r="AI188" i="14"/>
  <c r="AI189" i="14"/>
  <c r="AI187" i="14"/>
  <c r="AI148" i="14"/>
  <c r="AI114" i="14"/>
  <c r="AI89" i="14"/>
  <c r="AI139" i="14"/>
  <c r="AI156" i="14"/>
  <c r="AI162" i="14"/>
  <c r="AI245" i="14"/>
  <c r="AI246" i="14"/>
  <c r="AI164" i="14"/>
  <c r="AI190" i="14"/>
  <c r="AI52" i="14"/>
  <c r="AI177" i="14"/>
  <c r="AI134" i="14"/>
  <c r="AI108" i="14"/>
  <c r="AI185" i="14"/>
  <c r="AI186" i="14"/>
  <c r="AI118" i="14"/>
  <c r="AI95" i="14"/>
  <c r="AI94" i="14"/>
  <c r="AI97" i="14"/>
  <c r="AI99" i="14"/>
  <c r="AI100" i="14"/>
  <c r="AI96" i="14"/>
  <c r="AI101" i="14"/>
  <c r="AI98" i="14"/>
  <c r="AI107" i="14"/>
  <c r="AI91" i="14"/>
  <c r="AI88" i="14"/>
  <c r="AI87" i="14"/>
  <c r="AI90" i="14"/>
  <c r="AI154" i="14"/>
  <c r="AI39" i="14"/>
  <c r="AI61" i="14"/>
  <c r="AI214" i="14"/>
  <c r="AI178" i="14"/>
  <c r="AI237" i="14"/>
  <c r="AI153" i="14"/>
  <c r="AI132" i="14"/>
  <c r="AI240" i="14"/>
  <c r="AI222" i="14"/>
  <c r="AI179" i="14"/>
  <c r="AI182" i="14"/>
  <c r="AI133" i="14"/>
  <c r="AI84" i="14"/>
  <c r="AI38" i="14"/>
  <c r="AI85" i="14"/>
  <c r="AI86" i="14"/>
  <c r="AI103" i="14"/>
  <c r="AI109" i="14"/>
  <c r="AI105" i="14"/>
  <c r="AI192" i="14"/>
  <c r="AI195" i="14"/>
  <c r="AI111" i="14"/>
  <c r="AI197" i="14"/>
  <c r="AI102" i="14"/>
  <c r="AI184" i="14"/>
  <c r="AI161" i="14"/>
  <c r="AI48" i="14"/>
  <c r="AI151" i="14"/>
  <c r="AI176" i="14"/>
  <c r="AI155" i="14"/>
  <c r="AI163" i="14"/>
  <c r="AI50" i="14"/>
  <c r="AI142" i="14"/>
  <c r="AI171" i="14"/>
  <c r="AI172" i="14"/>
  <c r="AI174" i="14"/>
  <c r="AI229" i="14"/>
  <c r="AI239" i="14"/>
  <c r="AI181" i="14"/>
  <c r="AI200" i="14"/>
  <c r="AI175" i="14"/>
  <c r="AI137" i="14"/>
  <c r="AI49" i="14"/>
  <c r="AI135" i="14"/>
  <c r="AI131" i="14"/>
  <c r="AI194" i="14"/>
  <c r="AI68" i="14"/>
  <c r="AI67" i="14"/>
  <c r="AI173" i="14"/>
  <c r="AI130" i="14"/>
  <c r="AI231" i="14"/>
  <c r="AI225" i="14"/>
  <c r="AI21" i="14"/>
  <c r="AI65" i="14"/>
  <c r="AI241" i="14"/>
  <c r="AI230" i="14"/>
  <c r="AI244" i="14"/>
  <c r="AI242" i="14"/>
  <c r="AI193" i="14"/>
  <c r="AI63" i="14"/>
  <c r="AI69" i="14"/>
  <c r="AI64" i="14"/>
  <c r="AI79" i="14"/>
  <c r="AI40" i="14"/>
  <c r="CJ23" i="62"/>
  <c r="CJ24" i="62"/>
  <c r="CJ25" i="62"/>
  <c r="CJ26" i="62"/>
  <c r="CJ27" i="62"/>
  <c r="CJ28" i="62"/>
  <c r="CJ29" i="62"/>
  <c r="CJ30" i="62"/>
  <c r="CJ31" i="62"/>
  <c r="CI22" i="62"/>
  <c r="CI23" i="62"/>
  <c r="CI24" i="62"/>
  <c r="CI25" i="62"/>
  <c r="CI26" i="62"/>
  <c r="CI27" i="62"/>
  <c r="CI28" i="62"/>
  <c r="CI29" i="62"/>
  <c r="CI30" i="62"/>
  <c r="CI31" i="62"/>
  <c r="CG31" i="62"/>
  <c r="CG23" i="62"/>
  <c r="CG24" i="62"/>
  <c r="CG25" i="62"/>
  <c r="CG26" i="62"/>
  <c r="CG27" i="62"/>
  <c r="CG28" i="62"/>
  <c r="CG29" i="62"/>
  <c r="CG30" i="62"/>
  <c r="CG22" i="62"/>
  <c r="S263" i="19"/>
  <c r="S261" i="19"/>
  <c r="S262" i="19"/>
  <c r="S137" i="19"/>
  <c r="S264" i="19"/>
  <c r="S265" i="19"/>
  <c r="S266" i="19"/>
  <c r="S115" i="19"/>
  <c r="S92" i="19"/>
  <c r="S267" i="19"/>
  <c r="S139" i="19"/>
  <c r="S269" i="19"/>
  <c r="S270" i="19"/>
  <c r="S271" i="19"/>
  <c r="S272" i="19"/>
  <c r="S273" i="19"/>
  <c r="S274" i="19"/>
  <c r="S275" i="19"/>
  <c r="S276" i="19"/>
  <c r="S140" i="19"/>
  <c r="S278" i="19"/>
  <c r="S279" i="19"/>
  <c r="S280" i="19"/>
  <c r="S281" i="19"/>
  <c r="S282" i="19"/>
  <c r="S283" i="19"/>
  <c r="S284" i="19"/>
  <c r="S286" i="19"/>
  <c r="S141" i="19"/>
  <c r="S287" i="19"/>
  <c r="S288" i="19"/>
  <c r="S289" i="19"/>
  <c r="S290" i="19"/>
  <c r="S292" i="19"/>
  <c r="S293" i="19"/>
  <c r="S294" i="19"/>
  <c r="S143" i="19"/>
  <c r="S295" i="19"/>
  <c r="S296" i="19"/>
  <c r="S297" i="19"/>
  <c r="S298" i="19"/>
  <c r="S299" i="19"/>
  <c r="S95" i="19"/>
  <c r="S300" i="19"/>
  <c r="S301" i="19"/>
  <c r="S302" i="19"/>
  <c r="S6" i="19"/>
  <c r="S303" i="19"/>
  <c r="S145" i="19"/>
  <c r="S304" i="19"/>
  <c r="S305" i="19"/>
  <c r="S306" i="19"/>
  <c r="S307" i="19"/>
  <c r="S308" i="19"/>
  <c r="S310" i="19"/>
  <c r="S311" i="19"/>
  <c r="S312" i="19"/>
  <c r="S313" i="19"/>
  <c r="S315" i="19"/>
  <c r="S316" i="19"/>
  <c r="S148" i="19"/>
  <c r="S317" i="19"/>
  <c r="S318" i="19"/>
  <c r="S149" i="19"/>
  <c r="S319" i="19"/>
  <c r="S320" i="19"/>
  <c r="S321" i="19"/>
  <c r="S150" i="19"/>
  <c r="S322" i="19"/>
  <c r="S323" i="19"/>
  <c r="S324" i="19"/>
  <c r="S325" i="19"/>
  <c r="S75" i="19"/>
  <c r="S326" i="19"/>
  <c r="S327" i="19"/>
  <c r="S328" i="19"/>
  <c r="S329" i="19"/>
  <c r="S330" i="19"/>
  <c r="S331" i="19"/>
  <c r="S152" i="19"/>
  <c r="S332" i="19"/>
  <c r="S333" i="19"/>
  <c r="S335" i="19"/>
  <c r="S334" i="19"/>
  <c r="S337" i="19"/>
  <c r="S338" i="19"/>
  <c r="S339" i="19"/>
  <c r="S340" i="19"/>
  <c r="S341" i="19"/>
  <c r="S343" i="19"/>
  <c r="S344" i="19"/>
  <c r="S345" i="19"/>
  <c r="S346" i="19"/>
  <c r="S347" i="19"/>
  <c r="S348" i="19"/>
  <c r="S349" i="19"/>
  <c r="S350" i="19"/>
  <c r="S351" i="19"/>
  <c r="S352" i="19"/>
  <c r="S353" i="19"/>
  <c r="S156" i="19"/>
  <c r="S354" i="19"/>
  <c r="S355" i="19"/>
  <c r="S157" i="19"/>
  <c r="S356" i="19"/>
  <c r="S357" i="19"/>
  <c r="S358" i="19"/>
  <c r="S359" i="19"/>
  <c r="S360" i="19"/>
  <c r="S361" i="19"/>
  <c r="S362" i="19"/>
  <c r="S363" i="19"/>
  <c r="S364" i="19"/>
  <c r="S366" i="19"/>
  <c r="S365" i="19"/>
  <c r="S367" i="19"/>
  <c r="T263" i="19"/>
  <c r="P263" i="19"/>
  <c r="U263" i="19"/>
  <c r="T261" i="19"/>
  <c r="P261" i="19"/>
  <c r="U261" i="19"/>
  <c r="T262" i="19"/>
  <c r="P262" i="19"/>
  <c r="U262" i="19"/>
  <c r="T137" i="19"/>
  <c r="P137" i="19"/>
  <c r="U137" i="19"/>
  <c r="T264" i="19"/>
  <c r="P264" i="19"/>
  <c r="U264" i="19"/>
  <c r="T265" i="19"/>
  <c r="P265" i="19"/>
  <c r="U265" i="19"/>
  <c r="T266" i="19"/>
  <c r="P266" i="19"/>
  <c r="U266" i="19"/>
  <c r="T115" i="19"/>
  <c r="P115" i="19"/>
  <c r="U115" i="19"/>
  <c r="T92" i="19"/>
  <c r="P92" i="19"/>
  <c r="T267" i="19"/>
  <c r="P267" i="19"/>
  <c r="U267" i="19"/>
  <c r="T139" i="19"/>
  <c r="P139" i="19"/>
  <c r="U139" i="19"/>
  <c r="T269" i="19"/>
  <c r="P269" i="19"/>
  <c r="U269" i="19"/>
  <c r="T270" i="19"/>
  <c r="P270" i="19"/>
  <c r="U270" i="19"/>
  <c r="T271" i="19"/>
  <c r="P271" i="19"/>
  <c r="U271" i="19"/>
  <c r="T272" i="19"/>
  <c r="P272" i="19"/>
  <c r="U272" i="19"/>
  <c r="T273" i="19"/>
  <c r="P273" i="19"/>
  <c r="U273" i="19"/>
  <c r="T274" i="19"/>
  <c r="P274" i="19"/>
  <c r="U274" i="19"/>
  <c r="T275" i="19"/>
  <c r="P275" i="19"/>
  <c r="U275" i="19"/>
  <c r="T276" i="19"/>
  <c r="P276" i="19"/>
  <c r="U276" i="19"/>
  <c r="T140" i="19"/>
  <c r="P140" i="19"/>
  <c r="U140" i="19"/>
  <c r="T278" i="19"/>
  <c r="P278" i="19"/>
  <c r="U278" i="19"/>
  <c r="T279" i="19"/>
  <c r="P279" i="19"/>
  <c r="U279" i="19"/>
  <c r="T280" i="19"/>
  <c r="P280" i="19"/>
  <c r="U280" i="19"/>
  <c r="T281" i="19"/>
  <c r="P281" i="19"/>
  <c r="U281" i="19"/>
  <c r="T282" i="19"/>
  <c r="P282" i="19"/>
  <c r="U282" i="19"/>
  <c r="T283" i="19"/>
  <c r="P283" i="19"/>
  <c r="U283" i="19"/>
  <c r="T284" i="19"/>
  <c r="P284" i="19"/>
  <c r="U284" i="19"/>
  <c r="T286" i="19"/>
  <c r="P286" i="19"/>
  <c r="U286" i="19"/>
  <c r="T141" i="19"/>
  <c r="P141" i="19"/>
  <c r="T287" i="19"/>
  <c r="P287" i="19"/>
  <c r="T288" i="19"/>
  <c r="P288" i="19"/>
  <c r="U288" i="19"/>
  <c r="T289" i="19"/>
  <c r="P289" i="19"/>
  <c r="U289" i="19"/>
  <c r="T290" i="19"/>
  <c r="P290" i="19"/>
  <c r="T292" i="19"/>
  <c r="P292" i="19"/>
  <c r="U292" i="19"/>
  <c r="T293" i="19"/>
  <c r="P293" i="19"/>
  <c r="U293" i="19"/>
  <c r="T294" i="19"/>
  <c r="P294" i="19"/>
  <c r="U294" i="19"/>
  <c r="T143" i="19"/>
  <c r="P143" i="19"/>
  <c r="U143" i="19"/>
  <c r="T295" i="19"/>
  <c r="P295" i="19"/>
  <c r="U295" i="19"/>
  <c r="T296" i="19"/>
  <c r="P296" i="19"/>
  <c r="U296" i="19"/>
  <c r="T297" i="19"/>
  <c r="P297" i="19"/>
  <c r="U297" i="19"/>
  <c r="T298" i="19"/>
  <c r="P298" i="19"/>
  <c r="U298" i="19"/>
  <c r="T299" i="19"/>
  <c r="P299" i="19"/>
  <c r="U299" i="19"/>
  <c r="T95" i="19"/>
  <c r="P95" i="19"/>
  <c r="U95" i="19"/>
  <c r="T300" i="19"/>
  <c r="P300" i="19"/>
  <c r="U300" i="19"/>
  <c r="T301" i="19"/>
  <c r="P301" i="19"/>
  <c r="U301" i="19"/>
  <c r="T302" i="19"/>
  <c r="P302" i="19"/>
  <c r="U302" i="19"/>
  <c r="T6" i="19"/>
  <c r="P6" i="19"/>
  <c r="U6" i="19"/>
  <c r="T303" i="19"/>
  <c r="P303" i="19"/>
  <c r="U303" i="19"/>
  <c r="T145" i="19"/>
  <c r="P145" i="19"/>
  <c r="U145" i="19"/>
  <c r="T304" i="19"/>
  <c r="P304" i="19"/>
  <c r="U304" i="19"/>
  <c r="T305" i="19"/>
  <c r="P305" i="19"/>
  <c r="U305" i="19"/>
  <c r="T306" i="19"/>
  <c r="P306" i="19"/>
  <c r="U306" i="19"/>
  <c r="T307" i="19"/>
  <c r="P307" i="19"/>
  <c r="U307" i="19"/>
  <c r="T118" i="19"/>
  <c r="P118" i="19"/>
  <c r="T161" i="19"/>
  <c r="P161" i="19"/>
  <c r="U161" i="19"/>
  <c r="T162" i="19"/>
  <c r="P162" i="19"/>
  <c r="T163" i="19"/>
  <c r="P163" i="19"/>
  <c r="U163" i="19"/>
  <c r="T164" i="19"/>
  <c r="P164" i="19"/>
  <c r="U164" i="19"/>
  <c r="T165" i="19"/>
  <c r="P165" i="19"/>
  <c r="U165" i="19"/>
  <c r="T119" i="19"/>
  <c r="P119" i="19"/>
  <c r="U119" i="19"/>
  <c r="T120" i="19"/>
  <c r="P120" i="19"/>
  <c r="U120" i="19"/>
  <c r="T167" i="19"/>
  <c r="P167" i="19"/>
  <c r="U167" i="19"/>
  <c r="T168" i="19"/>
  <c r="P168" i="19"/>
  <c r="U168" i="19"/>
  <c r="T169" i="19"/>
  <c r="P169" i="19"/>
  <c r="U169" i="19"/>
  <c r="T121" i="19"/>
  <c r="P121" i="19"/>
  <c r="U121" i="19"/>
  <c r="T122" i="19"/>
  <c r="P122" i="19"/>
  <c r="U122" i="19"/>
  <c r="T170" i="19"/>
  <c r="P170" i="19"/>
  <c r="U170" i="19"/>
  <c r="T171" i="19"/>
  <c r="P171" i="19"/>
  <c r="U171" i="19"/>
  <c r="T172" i="19"/>
  <c r="P172" i="19"/>
  <c r="U172" i="19"/>
  <c r="T79" i="19"/>
  <c r="P79" i="19"/>
  <c r="U79" i="19"/>
  <c r="T102" i="19"/>
  <c r="P102" i="19"/>
  <c r="U102" i="19"/>
  <c r="T173" i="19"/>
  <c r="P173" i="19"/>
  <c r="U173" i="19"/>
  <c r="T80" i="19"/>
  <c r="P80" i="19"/>
  <c r="U80" i="19"/>
  <c r="T124" i="19"/>
  <c r="P124" i="19"/>
  <c r="T174" i="19"/>
  <c r="P174" i="19"/>
  <c r="U174" i="19"/>
  <c r="T82" i="19"/>
  <c r="P82" i="19"/>
  <c r="T176" i="19"/>
  <c r="P176" i="19"/>
  <c r="U176" i="19"/>
  <c r="T83" i="19"/>
  <c r="P83" i="19"/>
  <c r="T178" i="19"/>
  <c r="P178" i="19"/>
  <c r="T179" i="19"/>
  <c r="P179" i="19"/>
  <c r="U179" i="19"/>
  <c r="T180" i="19"/>
  <c r="P180" i="19"/>
  <c r="U180" i="19"/>
  <c r="T181" i="19"/>
  <c r="P181" i="19"/>
  <c r="U181" i="19"/>
  <c r="T99" i="19"/>
  <c r="P99" i="19"/>
  <c r="U99" i="19"/>
  <c r="T182" i="19"/>
  <c r="P182" i="19"/>
  <c r="U182" i="19"/>
  <c r="T183" i="19"/>
  <c r="P183" i="19"/>
  <c r="U183" i="19"/>
  <c r="T184" i="19"/>
  <c r="P184" i="19"/>
  <c r="T185" i="19"/>
  <c r="P185" i="19"/>
  <c r="U185" i="19"/>
  <c r="T186" i="19"/>
  <c r="P186" i="19"/>
  <c r="U186" i="19"/>
  <c r="T84" i="19"/>
  <c r="P84" i="19"/>
  <c r="U84" i="19"/>
  <c r="T187" i="19"/>
  <c r="P187" i="19"/>
  <c r="U187" i="19"/>
  <c r="T188" i="19"/>
  <c r="P188" i="19"/>
  <c r="U188" i="19"/>
  <c r="T189" i="19"/>
  <c r="P189" i="19"/>
  <c r="U189" i="19"/>
  <c r="T190" i="19"/>
  <c r="P190" i="19"/>
  <c r="U190" i="19"/>
  <c r="T191" i="19"/>
  <c r="P191" i="19"/>
  <c r="U191" i="19"/>
  <c r="T127" i="19"/>
  <c r="P127" i="19"/>
  <c r="U127" i="19"/>
  <c r="T192" i="19"/>
  <c r="P192" i="19"/>
  <c r="U192" i="19"/>
  <c r="T193" i="19"/>
  <c r="P193" i="19"/>
  <c r="U193" i="19"/>
  <c r="T194" i="19"/>
  <c r="P194" i="19"/>
  <c r="U194" i="19"/>
  <c r="T85" i="19"/>
  <c r="P85" i="19"/>
  <c r="U85" i="19"/>
  <c r="T195" i="19"/>
  <c r="P195" i="19"/>
  <c r="U195" i="19"/>
  <c r="T196" i="19"/>
  <c r="P196" i="19"/>
  <c r="U196" i="19"/>
  <c r="T197" i="19"/>
  <c r="P197" i="19"/>
  <c r="T199" i="19"/>
  <c r="P199" i="19"/>
  <c r="T200" i="19"/>
  <c r="P200" i="19"/>
  <c r="U200" i="19"/>
  <c r="T201" i="19"/>
  <c r="P201" i="19"/>
  <c r="U201" i="19"/>
  <c r="T202" i="19"/>
  <c r="P202" i="19"/>
  <c r="T203" i="19"/>
  <c r="P203" i="19"/>
  <c r="U203" i="19"/>
  <c r="T128" i="19"/>
  <c r="P128" i="19"/>
  <c r="U128" i="19"/>
  <c r="T204" i="19"/>
  <c r="P204" i="19"/>
  <c r="U204" i="19"/>
  <c r="T86" i="19"/>
  <c r="P86" i="19"/>
  <c r="U86" i="19"/>
  <c r="T205" i="19"/>
  <c r="P205" i="19"/>
  <c r="U205" i="19"/>
  <c r="T206" i="19"/>
  <c r="P206" i="19"/>
  <c r="U206" i="19"/>
  <c r="T207" i="19"/>
  <c r="P207" i="19"/>
  <c r="U207" i="19"/>
  <c r="T208" i="19"/>
  <c r="P208" i="19"/>
  <c r="U208" i="19"/>
  <c r="T209" i="19"/>
  <c r="P209" i="19"/>
  <c r="U209" i="19"/>
  <c r="T210" i="19"/>
  <c r="P210" i="19"/>
  <c r="U210" i="19"/>
  <c r="T211" i="19"/>
  <c r="P211" i="19"/>
  <c r="U211" i="19"/>
  <c r="T212" i="19"/>
  <c r="P212" i="19"/>
  <c r="U212" i="19"/>
  <c r="T213" i="19"/>
  <c r="P213" i="19"/>
  <c r="U213" i="19"/>
  <c r="T129" i="19"/>
  <c r="P129" i="19"/>
  <c r="U129" i="19"/>
  <c r="T89" i="19"/>
  <c r="P89" i="19"/>
  <c r="U89" i="19"/>
  <c r="T214" i="19"/>
  <c r="P214" i="19"/>
  <c r="U214" i="19"/>
  <c r="T215" i="19"/>
  <c r="P215" i="19"/>
  <c r="U215" i="19"/>
  <c r="T90" i="19"/>
  <c r="P90" i="19"/>
  <c r="U90" i="19"/>
  <c r="T216" i="19"/>
  <c r="P216" i="19"/>
  <c r="U216" i="19"/>
  <c r="T218" i="19"/>
  <c r="P218" i="19"/>
  <c r="T220" i="19"/>
  <c r="P220" i="19"/>
  <c r="U220" i="19"/>
  <c r="T91" i="19"/>
  <c r="P91" i="19"/>
  <c r="U91" i="19"/>
  <c r="T221" i="19"/>
  <c r="P221" i="19"/>
  <c r="U221" i="19"/>
  <c r="T222" i="19"/>
  <c r="P222" i="19"/>
  <c r="U222" i="19"/>
  <c r="T106" i="19"/>
  <c r="P106" i="19"/>
  <c r="U106" i="19"/>
  <c r="T223" i="19"/>
  <c r="P223" i="19"/>
  <c r="T224" i="19"/>
  <c r="P224" i="19"/>
  <c r="U224" i="19"/>
  <c r="T225" i="19"/>
  <c r="P225" i="19"/>
  <c r="U225" i="19"/>
  <c r="T226" i="19"/>
  <c r="P226" i="19"/>
  <c r="U226" i="19"/>
  <c r="T227" i="19"/>
  <c r="P227" i="19"/>
  <c r="U227" i="19"/>
  <c r="T228" i="19"/>
  <c r="P228" i="19"/>
  <c r="U228" i="19"/>
  <c r="T229" i="19"/>
  <c r="P229" i="19"/>
  <c r="U229" i="19"/>
  <c r="T230" i="19"/>
  <c r="P230" i="19"/>
  <c r="U230" i="19"/>
  <c r="T231" i="19"/>
  <c r="P231" i="19"/>
  <c r="U231" i="19"/>
  <c r="T232" i="19"/>
  <c r="P232" i="19"/>
  <c r="U232" i="19"/>
  <c r="T233" i="19"/>
  <c r="P233" i="19"/>
  <c r="T234" i="19"/>
  <c r="P234" i="19"/>
  <c r="U234" i="19"/>
  <c r="T235" i="19"/>
  <c r="P235" i="19"/>
  <c r="U235" i="19"/>
  <c r="T236" i="19"/>
  <c r="P236" i="19"/>
  <c r="U236" i="19"/>
  <c r="T107" i="19"/>
  <c r="P107" i="19"/>
  <c r="T237" i="19"/>
  <c r="P237" i="19"/>
  <c r="U237" i="19"/>
  <c r="T238" i="19"/>
  <c r="P238" i="19"/>
  <c r="U238" i="19"/>
  <c r="T239" i="19"/>
  <c r="P239" i="19"/>
  <c r="U239" i="19"/>
  <c r="T240" i="19"/>
  <c r="P240" i="19"/>
  <c r="T241" i="19"/>
  <c r="P241" i="19"/>
  <c r="U241" i="19"/>
  <c r="T100" i="19"/>
  <c r="P100" i="19"/>
  <c r="U100" i="19"/>
  <c r="T242" i="19"/>
  <c r="P242" i="19"/>
  <c r="U242" i="19"/>
  <c r="T243" i="19"/>
  <c r="P243" i="19"/>
  <c r="U243" i="19"/>
  <c r="T244" i="19"/>
  <c r="P244" i="19"/>
  <c r="U244" i="19"/>
  <c r="T245" i="19"/>
  <c r="P245" i="19"/>
  <c r="T116" i="19"/>
  <c r="P116" i="19"/>
  <c r="U116" i="19"/>
  <c r="T246" i="19"/>
  <c r="P246" i="19"/>
  <c r="T247" i="19"/>
  <c r="P247" i="19"/>
  <c r="U247" i="19"/>
  <c r="T117" i="19"/>
  <c r="P117" i="19"/>
  <c r="U117" i="19"/>
  <c r="T249" i="19"/>
  <c r="P249" i="19"/>
  <c r="U249" i="19"/>
  <c r="T250" i="19"/>
  <c r="P250" i="19"/>
  <c r="U250" i="19"/>
  <c r="T251" i="19"/>
  <c r="P251" i="19"/>
  <c r="U251" i="19"/>
  <c r="T252" i="19"/>
  <c r="P252" i="19"/>
  <c r="T253" i="19"/>
  <c r="P253" i="19"/>
  <c r="U253" i="19"/>
  <c r="T101" i="19"/>
  <c r="P101" i="19"/>
  <c r="U101" i="19"/>
  <c r="T134" i="19"/>
  <c r="P134" i="19"/>
  <c r="U134" i="19"/>
  <c r="T254" i="19"/>
  <c r="P254" i="19"/>
  <c r="U254" i="19"/>
  <c r="T255" i="19"/>
  <c r="P255" i="19"/>
  <c r="U255" i="19"/>
  <c r="T256" i="19"/>
  <c r="P256" i="19"/>
  <c r="U256" i="19"/>
  <c r="T257" i="19"/>
  <c r="P257" i="19"/>
  <c r="U257" i="19"/>
  <c r="T258" i="19"/>
  <c r="P258" i="19"/>
  <c r="U258" i="19"/>
  <c r="T259" i="19"/>
  <c r="P259" i="19"/>
  <c r="U259" i="19"/>
  <c r="T260" i="19"/>
  <c r="P260" i="19"/>
  <c r="U260" i="19"/>
  <c r="T160" i="19"/>
  <c r="P160" i="19"/>
  <c r="U160" i="19"/>
  <c r="S118" i="19"/>
  <c r="S161" i="19"/>
  <c r="S163" i="19"/>
  <c r="S164" i="19"/>
  <c r="S165" i="19"/>
  <c r="S119" i="19"/>
  <c r="S120" i="19"/>
  <c r="S167" i="19"/>
  <c r="S168" i="19"/>
  <c r="S169" i="19"/>
  <c r="S121" i="19"/>
  <c r="S122" i="19"/>
  <c r="S170" i="19"/>
  <c r="S171" i="19"/>
  <c r="S172" i="19"/>
  <c r="S79" i="19"/>
  <c r="S102" i="19"/>
  <c r="S173" i="19"/>
  <c r="S80" i="19"/>
  <c r="S124" i="19"/>
  <c r="S174" i="19"/>
  <c r="S82" i="19"/>
  <c r="S176" i="19"/>
  <c r="S83" i="19"/>
  <c r="S178" i="19"/>
  <c r="S179" i="19"/>
  <c r="S180" i="19"/>
  <c r="S181" i="19"/>
  <c r="S99" i="19"/>
  <c r="S182" i="19"/>
  <c r="S183" i="19"/>
  <c r="S184" i="19"/>
  <c r="S185" i="19"/>
  <c r="S186" i="19"/>
  <c r="S84" i="19"/>
  <c r="S187" i="19"/>
  <c r="S188" i="19"/>
  <c r="S189" i="19"/>
  <c r="S190" i="19"/>
  <c r="S191" i="19"/>
  <c r="S127" i="19"/>
  <c r="S192" i="19"/>
  <c r="S193" i="19"/>
  <c r="S194" i="19"/>
  <c r="S85" i="19"/>
  <c r="S195" i="19"/>
  <c r="S196" i="19"/>
  <c r="S197" i="19"/>
  <c r="S199" i="19"/>
  <c r="S200" i="19"/>
  <c r="S201" i="19"/>
  <c r="S202" i="19"/>
  <c r="S203" i="19"/>
  <c r="S128" i="19"/>
  <c r="S204" i="19"/>
  <c r="S86" i="19"/>
  <c r="S205" i="19"/>
  <c r="S206" i="19"/>
  <c r="S207" i="19"/>
  <c r="S208" i="19"/>
  <c r="S209" i="19"/>
  <c r="S210" i="19"/>
  <c r="S211" i="19"/>
  <c r="S212" i="19"/>
  <c r="S213" i="19"/>
  <c r="S129" i="19"/>
  <c r="S89" i="19"/>
  <c r="S214" i="19"/>
  <c r="S215" i="19"/>
  <c r="S90" i="19"/>
  <c r="S216" i="19"/>
  <c r="S218" i="19"/>
  <c r="S220" i="19"/>
  <c r="S91" i="19"/>
  <c r="S221" i="19"/>
  <c r="S222" i="19"/>
  <c r="S106" i="19"/>
  <c r="S223" i="19"/>
  <c r="S224" i="19"/>
  <c r="S225" i="19"/>
  <c r="S226" i="19"/>
  <c r="S227" i="19"/>
  <c r="S228" i="19"/>
  <c r="S229" i="19"/>
  <c r="S230" i="19"/>
  <c r="S231" i="19"/>
  <c r="S232" i="19"/>
  <c r="S233" i="19"/>
  <c r="S234" i="19"/>
  <c r="S235" i="19"/>
  <c r="S236" i="19"/>
  <c r="S107" i="19"/>
  <c r="S237" i="19"/>
  <c r="S238" i="19"/>
  <c r="S239" i="19"/>
  <c r="S240" i="19"/>
  <c r="S241" i="19"/>
  <c r="S100" i="19"/>
  <c r="S242" i="19"/>
  <c r="S243" i="19"/>
  <c r="S244" i="19"/>
  <c r="S245" i="19"/>
  <c r="S116" i="19"/>
  <c r="S246" i="19"/>
  <c r="S247" i="19"/>
  <c r="S117" i="19"/>
  <c r="S249" i="19"/>
  <c r="S250" i="19"/>
  <c r="S251" i="19"/>
  <c r="S252" i="19"/>
  <c r="S253" i="19"/>
  <c r="S101" i="19"/>
  <c r="S134" i="19"/>
  <c r="S254" i="19"/>
  <c r="S255" i="19"/>
  <c r="S256" i="19"/>
  <c r="S257" i="19"/>
  <c r="S258" i="19"/>
  <c r="S259" i="19"/>
  <c r="S260" i="19"/>
  <c r="S160" i="19"/>
  <c r="AM210" i="20"/>
  <c r="AQ210" i="20"/>
  <c r="AR210" i="20"/>
  <c r="AM209" i="20"/>
  <c r="AQ209" i="20"/>
  <c r="AR209" i="20"/>
  <c r="AM224" i="20"/>
  <c r="AQ224" i="20"/>
  <c r="AR224" i="20"/>
  <c r="AM223" i="20"/>
  <c r="AQ223" i="20"/>
  <c r="AR223" i="20"/>
  <c r="AH206" i="14"/>
  <c r="AH205" i="14"/>
  <c r="AM459" i="20"/>
  <c r="AM461" i="20"/>
  <c r="AM460" i="20"/>
  <c r="AM462" i="20"/>
  <c r="AM420" i="20"/>
  <c r="AM380" i="20"/>
  <c r="AM383" i="20"/>
  <c r="AM416" i="20"/>
  <c r="AM399" i="20"/>
  <c r="AM427" i="20"/>
  <c r="AM422" i="20"/>
  <c r="AM412" i="20"/>
  <c r="AM429" i="20"/>
  <c r="AM378" i="20"/>
  <c r="AM369" i="20"/>
  <c r="AM411" i="20"/>
  <c r="AM425" i="20"/>
  <c r="AM424" i="20"/>
  <c r="AM356" i="20"/>
  <c r="AM358" i="20"/>
  <c r="AM426" i="20"/>
  <c r="AM368" i="20"/>
  <c r="AM428" i="20"/>
  <c r="AM373" i="20"/>
  <c r="AM375" i="20"/>
  <c r="AM385" i="20"/>
  <c r="AM381" i="20"/>
  <c r="AM413" i="20"/>
  <c r="AM334" i="20"/>
  <c r="AM339" i="20"/>
  <c r="AM340" i="20"/>
  <c r="AM372" i="20"/>
  <c r="AM414" i="20"/>
  <c r="AM415" i="20"/>
  <c r="AM342" i="20"/>
  <c r="AM346" i="20"/>
  <c r="AM379" i="20"/>
  <c r="AM400" i="20"/>
  <c r="AM348" i="20"/>
  <c r="AM349" i="20"/>
  <c r="AM350" i="20"/>
  <c r="AM351" i="20"/>
  <c r="AM359" i="20"/>
  <c r="AM370" i="20"/>
  <c r="AM393" i="20"/>
  <c r="AM396" i="20"/>
  <c r="AM338" i="20"/>
  <c r="AM344" i="20"/>
  <c r="AM345" i="20"/>
  <c r="AM343" i="20"/>
  <c r="AM357" i="20"/>
  <c r="AM367" i="20"/>
  <c r="AM371" i="20"/>
  <c r="AM377" i="20"/>
  <c r="AM382" i="20"/>
  <c r="AM392" i="20"/>
  <c r="AM376" i="20"/>
  <c r="AM341" i="20"/>
  <c r="AM353" i="20"/>
  <c r="AM354" i="20"/>
  <c r="AM366" i="20"/>
  <c r="AM374" i="20"/>
  <c r="AM417" i="20"/>
  <c r="AM418" i="20"/>
  <c r="AM419" i="20"/>
  <c r="AM421" i="20"/>
  <c r="AM432" i="20"/>
  <c r="AM430" i="20"/>
  <c r="AM431" i="20"/>
  <c r="AM682" i="20"/>
  <c r="AM683" i="20"/>
  <c r="AM689" i="20"/>
  <c r="AM684" i="20"/>
  <c r="AM674" i="20"/>
  <c r="AM690" i="20"/>
  <c r="AM676" i="20"/>
  <c r="AM688" i="20"/>
  <c r="AM685" i="20"/>
  <c r="AM686" i="20"/>
  <c r="AM687" i="20"/>
  <c r="AM828" i="20"/>
  <c r="AM816" i="20"/>
  <c r="AM814" i="20"/>
  <c r="AM804" i="20"/>
  <c r="AM808" i="20"/>
  <c r="AM809" i="20"/>
  <c r="AM810" i="20"/>
  <c r="AM805" i="20"/>
  <c r="AM825" i="20"/>
  <c r="AM803" i="20"/>
  <c r="AM806" i="20"/>
  <c r="AM827" i="20"/>
  <c r="AM812" i="20"/>
  <c r="AM594" i="20"/>
  <c r="AM607" i="20"/>
  <c r="AM823" i="20"/>
  <c r="AM840" i="20"/>
  <c r="AM813" i="20"/>
  <c r="AM815" i="20"/>
  <c r="AM591" i="20"/>
  <c r="AM839" i="20"/>
  <c r="AM834" i="20"/>
  <c r="AM604" i="20"/>
  <c r="AM832" i="20"/>
  <c r="AM833" i="20"/>
  <c r="AM446" i="20"/>
  <c r="AM447" i="20"/>
  <c r="AM451" i="20"/>
  <c r="AM452" i="20"/>
  <c r="AM485" i="20"/>
  <c r="AM582" i="20"/>
  <c r="AM592" i="20"/>
  <c r="AM837" i="20"/>
  <c r="AM441" i="20"/>
  <c r="AM826" i="20"/>
  <c r="AM819" i="20"/>
  <c r="AM820" i="20"/>
  <c r="AM454" i="20"/>
  <c r="AM455" i="20"/>
  <c r="AM835" i="20"/>
  <c r="AM830" i="20"/>
  <c r="AM444" i="20"/>
  <c r="AM450" i="20"/>
  <c r="AM811" i="20"/>
  <c r="AM831" i="20"/>
  <c r="AM603" i="20"/>
  <c r="AM836" i="20"/>
  <c r="AM829" i="20"/>
  <c r="AM822" i="20"/>
  <c r="AM807" i="20"/>
  <c r="AM818" i="20"/>
  <c r="AM817" i="20"/>
  <c r="AM821" i="20"/>
  <c r="AM838" i="20"/>
  <c r="AM824" i="20"/>
  <c r="AM510" i="20"/>
  <c r="AM538" i="20"/>
  <c r="AM545" i="20"/>
  <c r="AM533" i="20"/>
  <c r="AM564" i="20"/>
  <c r="AM559" i="20"/>
  <c r="AM528" i="20"/>
  <c r="AM507" i="20"/>
  <c r="AM494" i="20"/>
  <c r="AM530" i="20"/>
  <c r="AM499" i="20"/>
  <c r="AM555" i="20"/>
  <c r="AM557" i="20"/>
  <c r="AM516" i="20"/>
  <c r="AM443" i="20"/>
  <c r="AM445" i="20"/>
  <c r="AM448" i="20"/>
  <c r="AM622" i="20"/>
  <c r="AM765" i="20"/>
  <c r="AM623" i="20"/>
  <c r="AM770" i="20"/>
  <c r="AM771" i="20"/>
  <c r="AM772" i="20"/>
  <c r="AM769" i="20"/>
  <c r="AM723" i="20"/>
  <c r="AM758" i="20"/>
  <c r="AM767" i="20"/>
  <c r="AM619" i="20"/>
  <c r="AM617" i="20"/>
  <c r="AM761" i="20"/>
  <c r="AM768" i="20"/>
  <c r="AM716" i="20"/>
  <c r="AM760" i="20"/>
  <c r="AM763" i="20"/>
  <c r="AM715" i="20"/>
  <c r="AM719" i="20"/>
  <c r="AM693" i="20"/>
  <c r="AM759" i="20"/>
  <c r="AM436" i="20"/>
  <c r="AM435" i="20"/>
  <c r="AM440" i="20"/>
  <c r="AM438" i="20"/>
  <c r="AM439" i="20"/>
  <c r="AM482" i="20"/>
  <c r="AM484" i="20"/>
  <c r="AM483" i="20"/>
  <c r="AM481" i="20"/>
  <c r="AM479" i="20"/>
  <c r="AM480" i="20"/>
  <c r="AM478" i="20"/>
  <c r="AM532" i="20"/>
  <c r="AM802" i="20"/>
  <c r="AM467" i="20"/>
  <c r="AM524" i="20"/>
  <c r="AM511" i="20"/>
  <c r="AM572" i="20"/>
  <c r="AM601" i="20"/>
  <c r="AM546" i="20"/>
  <c r="AM613" i="20"/>
  <c r="AM565" i="20"/>
  <c r="AM541" i="20"/>
  <c r="AM553" i="20"/>
  <c r="AM521" i="20"/>
  <c r="AM597" i="20"/>
  <c r="AM709" i="20"/>
  <c r="AM801" i="20"/>
  <c r="AM470" i="20"/>
  <c r="AM525" i="20"/>
  <c r="AM509" i="20"/>
  <c r="AM854" i="20"/>
  <c r="AM473" i="20"/>
  <c r="AM522" i="20"/>
  <c r="AM560" i="20"/>
  <c r="AM527" i="20"/>
  <c r="AM615" i="20"/>
  <c r="AM792" i="20"/>
  <c r="AM520" i="20"/>
  <c r="AM542" i="20"/>
  <c r="AM539" i="20"/>
  <c r="AM598" i="20"/>
  <c r="AM609" i="20"/>
  <c r="AM711" i="20"/>
  <c r="AM469" i="20"/>
  <c r="AM550" i="20"/>
  <c r="AM529" i="20"/>
  <c r="AM515" i="20"/>
  <c r="AM576" i="20"/>
  <c r="AM577" i="20"/>
  <c r="AM608" i="20"/>
  <c r="AM714" i="20"/>
  <c r="AM468" i="20"/>
  <c r="AM526" i="20"/>
  <c r="AM508" i="20"/>
  <c r="AM505" i="20"/>
  <c r="AM567" i="20"/>
  <c r="AM798" i="20"/>
  <c r="AM477" i="20"/>
  <c r="AM490" i="20"/>
  <c r="AM492" i="20"/>
  <c r="AM562" i="20"/>
  <c r="AM495" i="20"/>
  <c r="AM537" i="20"/>
  <c r="AM519" i="20"/>
  <c r="AM566" i="20"/>
  <c r="AM498" i="20"/>
  <c r="AM531" i="20"/>
  <c r="AM547" i="20"/>
  <c r="AM569" i="20"/>
  <c r="AM578" i="20"/>
  <c r="AM605" i="20"/>
  <c r="AM712" i="20"/>
  <c r="AM795" i="20"/>
  <c r="AM800" i="20"/>
  <c r="AM540" i="20"/>
  <c r="AM513" i="20"/>
  <c r="AM500" i="20"/>
  <c r="AM602" i="20"/>
  <c r="AM791" i="20"/>
  <c r="AM852" i="20"/>
  <c r="AM497" i="20"/>
  <c r="AM611" i="20"/>
  <c r="AM486" i="20"/>
  <c r="AM535" i="20"/>
  <c r="AM502" i="20"/>
  <c r="AM793" i="20"/>
  <c r="AM465" i="20"/>
  <c r="AM551" i="20"/>
  <c r="AM556" i="20"/>
  <c r="AM558" i="20"/>
  <c r="AM544" i="20"/>
  <c r="AM575" i="20"/>
  <c r="AM586" i="20"/>
  <c r="AM789" i="20"/>
  <c r="AM790" i="20"/>
  <c r="AM794" i="20"/>
  <c r="AM471" i="20"/>
  <c r="AM474" i="20"/>
  <c r="AM475" i="20"/>
  <c r="AM548" i="20"/>
  <c r="AM504" i="20"/>
  <c r="AM549" i="20"/>
  <c r="AM517" i="20"/>
  <c r="AM534" i="20"/>
  <c r="AM563" i="20"/>
  <c r="AM512" i="20"/>
  <c r="AM523" i="20"/>
  <c r="AM506" i="20"/>
  <c r="AM588" i="20"/>
  <c r="AM796" i="20"/>
  <c r="AM799" i="20"/>
  <c r="AM855" i="20"/>
  <c r="AM856" i="20"/>
  <c r="AM857" i="20"/>
  <c r="AM457" i="20"/>
  <c r="AM464" i="20"/>
  <c r="AM466" i="20"/>
  <c r="AM476" i="20"/>
  <c r="AM561" i="20"/>
  <c r="AM554" i="20"/>
  <c r="AM518" i="20"/>
  <c r="AM536" i="20"/>
  <c r="AM581" i="20"/>
  <c r="AM580" i="20"/>
  <c r="AM579" i="20"/>
  <c r="AM710" i="20"/>
  <c r="AM326" i="20"/>
  <c r="AM599" i="20"/>
  <c r="AM642" i="20"/>
  <c r="AM994" i="20"/>
  <c r="AM1005" i="20"/>
  <c r="AM1008" i="20"/>
  <c r="AM1021" i="20"/>
  <c r="AM1022" i="20"/>
  <c r="AM1047" i="20"/>
  <c r="AM1048" i="20"/>
  <c r="AM1049" i="20"/>
  <c r="AM1053" i="20"/>
  <c r="AM1074" i="20"/>
  <c r="AM406" i="20"/>
  <c r="AM395" i="20"/>
  <c r="AM398" i="20"/>
  <c r="AM643" i="20"/>
  <c r="AM753" i="20"/>
  <c r="AM403" i="20"/>
  <c r="AM568" i="20"/>
  <c r="AM606" i="20"/>
  <c r="AM616" i="20"/>
  <c r="AM901" i="20"/>
  <c r="AM247" i="20"/>
  <c r="AM237" i="20"/>
  <c r="AM657" i="20"/>
  <c r="AM698" i="20"/>
  <c r="AM732" i="20"/>
  <c r="AM733" i="20"/>
  <c r="AM362" i="20"/>
  <c r="AM650" i="20"/>
  <c r="AM654" i="20"/>
  <c r="AM691" i="20"/>
  <c r="AM713" i="20"/>
  <c r="AM764" i="20"/>
  <c r="AM986" i="20"/>
  <c r="AM655" i="20"/>
  <c r="AM880" i="20"/>
  <c r="AM981" i="20"/>
  <c r="AM1057" i="20"/>
  <c r="AM1064" i="20"/>
  <c r="AM648" i="20"/>
  <c r="AM242" i="20"/>
  <c r="AM233" i="20"/>
  <c r="AM236" i="20"/>
  <c r="AM238" i="20"/>
  <c r="AM234" i="20"/>
  <c r="AM232" i="20"/>
  <c r="AM241" i="20"/>
  <c r="AM248" i="20"/>
  <c r="AM249" i="20"/>
  <c r="AM250" i="20"/>
  <c r="AM235" i="20"/>
  <c r="AM246" i="20"/>
  <c r="AM585" i="20"/>
  <c r="AM595" i="20"/>
  <c r="AM614" i="20"/>
  <c r="AM629" i="20"/>
  <c r="AM636" i="20"/>
  <c r="AM639" i="20"/>
  <c r="AM678" i="20"/>
  <c r="AM694" i="20"/>
  <c r="AM695" i="20"/>
  <c r="AM700" i="20"/>
  <c r="AM703" i="20"/>
  <c r="AM704" i="20"/>
  <c r="AM696" i="20"/>
  <c r="AM728" i="20"/>
  <c r="AM725" i="20"/>
  <c r="AM743" i="20"/>
  <c r="AM739" i="20"/>
  <c r="AM745" i="20"/>
  <c r="AM1045" i="20"/>
  <c r="AM1042" i="20"/>
  <c r="AM1043" i="20"/>
  <c r="AM1044" i="20"/>
  <c r="AM360" i="20"/>
  <c r="AM637" i="20"/>
  <c r="AM658" i="20"/>
  <c r="AM675" i="20"/>
  <c r="AM717" i="20"/>
  <c r="AM748" i="20"/>
  <c r="AM773" i="20"/>
  <c r="AM849" i="20"/>
  <c r="AM871" i="20"/>
  <c r="AM226" i="20"/>
  <c r="AM384" i="20"/>
  <c r="AM423" i="20"/>
  <c r="AM574" i="20"/>
  <c r="AM747" i="20"/>
  <c r="AM847" i="20"/>
  <c r="AM859" i="20"/>
  <c r="AM860" i="20"/>
  <c r="AM1046" i="20"/>
  <c r="AM245" i="20"/>
  <c r="AM251" i="20"/>
  <c r="AM239" i="20"/>
  <c r="AM272" i="20"/>
  <c r="AM679" i="20"/>
  <c r="AM681" i="20"/>
  <c r="AM702" i="20"/>
  <c r="AM734" i="20"/>
  <c r="AM736" i="20"/>
  <c r="AM846" i="20"/>
  <c r="AM864" i="20"/>
  <c r="AM886" i="20"/>
  <c r="AM887" i="20"/>
  <c r="AM924" i="20"/>
  <c r="AM1004" i="20"/>
  <c r="AM1054" i="20"/>
  <c r="AM751" i="20"/>
  <c r="AM914" i="20"/>
  <c r="AM327" i="20"/>
  <c r="AM631" i="20"/>
  <c r="AM707" i="20"/>
  <c r="AM960" i="20"/>
  <c r="AM982" i="20"/>
  <c r="AM1070" i="20"/>
  <c r="AM269" i="20"/>
  <c r="AM386" i="20"/>
  <c r="AM391" i="20"/>
  <c r="AM649" i="20"/>
  <c r="AM720" i="20"/>
  <c r="AM869" i="20"/>
  <c r="AM878" i="20"/>
  <c r="AM902" i="20"/>
  <c r="AM904" i="20"/>
  <c r="AM955" i="20"/>
  <c r="AM271" i="20"/>
  <c r="AM311" i="20"/>
  <c r="AM312" i="20"/>
  <c r="AM320" i="20"/>
  <c r="AM324" i="20"/>
  <c r="AM442" i="20"/>
  <c r="AM543" i="20"/>
  <c r="AM610" i="20"/>
  <c r="AM621" i="20"/>
  <c r="AM634" i="20"/>
  <c r="AM638" i="20"/>
  <c r="AM662" i="20"/>
  <c r="AM664" i="20"/>
  <c r="AM670" i="20"/>
  <c r="AM673" i="20"/>
  <c r="AM750" i="20"/>
  <c r="AM867" i="20"/>
  <c r="AM885" i="20"/>
  <c r="AM892" i="20"/>
  <c r="AM900" i="20"/>
  <c r="AM912" i="20"/>
  <c r="AM911" i="20"/>
  <c r="AM923" i="20"/>
  <c r="AM932" i="20"/>
  <c r="AM933" i="20"/>
  <c r="AM958" i="20"/>
  <c r="AM968" i="20"/>
  <c r="AM993" i="20"/>
  <c r="AM1003" i="20"/>
  <c r="AM1020" i="20"/>
  <c r="AM905" i="20"/>
  <c r="AM321" i="20"/>
  <c r="AM364" i="20"/>
  <c r="AM407" i="20"/>
  <c r="AM660" i="20"/>
  <c r="AM722" i="20"/>
  <c r="AM749" i="20"/>
  <c r="AM866" i="20"/>
  <c r="AM927" i="20"/>
  <c r="AM945" i="20"/>
  <c r="AM963" i="20"/>
  <c r="AM989" i="20"/>
  <c r="AM990" i="20"/>
  <c r="AM1036" i="20"/>
  <c r="AM1039" i="20"/>
  <c r="AM656" i="20"/>
  <c r="AM853" i="20"/>
  <c r="AM899" i="20"/>
  <c r="AM908" i="20"/>
  <c r="AM910" i="20"/>
  <c r="AM934" i="20"/>
  <c r="AM931" i="20"/>
  <c r="AM936" i="20"/>
  <c r="AM977" i="20"/>
  <c r="AM208" i="20"/>
  <c r="AM625" i="20"/>
  <c r="AM628" i="20"/>
  <c r="AM644" i="20"/>
  <c r="AM645" i="20"/>
  <c r="AM754" i="20"/>
  <c r="AM756" i="20"/>
  <c r="AM943" i="20"/>
  <c r="AM1050" i="20"/>
  <c r="AM1062" i="20"/>
  <c r="AM211" i="20"/>
  <c r="AM323" i="20"/>
  <c r="AM387" i="20"/>
  <c r="AM389" i="20"/>
  <c r="AM401" i="20"/>
  <c r="AM408" i="20"/>
  <c r="AM463" i="20"/>
  <c r="AM496" i="20"/>
  <c r="AM593" i="20"/>
  <c r="AM627" i="20"/>
  <c r="AM663" i="20"/>
  <c r="AM672" i="20"/>
  <c r="AM692" i="20"/>
  <c r="AM881" i="20"/>
  <c r="AM884" i="20"/>
  <c r="AM916" i="20"/>
  <c r="AM947" i="20"/>
  <c r="AM954" i="20"/>
  <c r="AM959" i="20"/>
  <c r="AM962" i="20"/>
  <c r="AM966" i="20"/>
  <c r="AM979" i="20"/>
  <c r="AM980" i="20"/>
  <c r="AM985" i="20"/>
  <c r="AM995" i="20"/>
  <c r="AM1006" i="20"/>
  <c r="AM1007" i="20"/>
  <c r="AM1009" i="20"/>
  <c r="AM1011" i="20"/>
  <c r="AM1061" i="20"/>
  <c r="AM1072" i="20"/>
  <c r="AM363" i="20"/>
  <c r="AM449" i="20"/>
  <c r="AM453" i="20"/>
  <c r="AM514" i="20"/>
  <c r="AM501" i="20"/>
  <c r="AM620" i="20"/>
  <c r="AM618" i="20"/>
  <c r="AM766" i="20"/>
  <c r="AM882" i="20"/>
  <c r="AM890" i="20"/>
  <c r="AM891" i="20"/>
  <c r="AM897" i="20"/>
  <c r="AM898" i="20"/>
  <c r="AM928" i="20"/>
  <c r="AM929" i="20"/>
  <c r="AM970" i="20"/>
  <c r="AM971" i="20"/>
  <c r="AM987" i="20"/>
  <c r="AM1000" i="20"/>
  <c r="AM1001" i="20"/>
  <c r="AM1002" i="20"/>
  <c r="AM1034" i="20"/>
  <c r="AM487" i="20"/>
  <c r="AM570" i="20"/>
  <c r="AM583" i="20"/>
  <c r="AM600" i="20"/>
  <c r="AM624" i="20"/>
  <c r="AM640" i="20"/>
  <c r="AM641" i="20"/>
  <c r="AM752" i="20"/>
  <c r="AM755" i="20"/>
  <c r="AM437" i="20"/>
  <c r="AM503" i="20"/>
  <c r="AM651" i="20"/>
  <c r="AM661" i="20"/>
  <c r="AM879" i="20"/>
  <c r="AM889" i="20"/>
  <c r="AM896" i="20"/>
  <c r="AM907" i="20"/>
  <c r="AM920" i="20"/>
  <c r="AM940" i="20"/>
  <c r="AM957" i="20"/>
  <c r="AM969" i="20"/>
  <c r="AM992" i="20"/>
  <c r="AM999" i="20"/>
  <c r="AM1012" i="20"/>
  <c r="AM1063" i="20"/>
  <c r="AM1075" i="20"/>
  <c r="AM225" i="20"/>
  <c r="AM322" i="20"/>
  <c r="AM458" i="20"/>
  <c r="AM488" i="20"/>
  <c r="AM489" i="20"/>
  <c r="AM493" i="20"/>
  <c r="AM552" i="20"/>
  <c r="AM589" i="20"/>
  <c r="AM596" i="20"/>
  <c r="AM626" i="20"/>
  <c r="AM680" i="20"/>
  <c r="AM708" i="20"/>
  <c r="AM762" i="20"/>
  <c r="AM842" i="20"/>
  <c r="AM843" i="20"/>
  <c r="AM844" i="20"/>
  <c r="AM848" i="20"/>
  <c r="AM851" i="20"/>
  <c r="AM858" i="20"/>
  <c r="AM888" i="20"/>
  <c r="AM894" i="20"/>
  <c r="AM895" i="20"/>
  <c r="AM906" i="20"/>
  <c r="AM935" i="20"/>
  <c r="AM922" i="20"/>
  <c r="AM944" i="20"/>
  <c r="AM949" i="20"/>
  <c r="AM972" i="20"/>
  <c r="AM975" i="20"/>
  <c r="AM976" i="20"/>
  <c r="AM983" i="20"/>
  <c r="AM984" i="20"/>
  <c r="AM996" i="20"/>
  <c r="AM997" i="20"/>
  <c r="AM1010" i="20"/>
  <c r="AM1018" i="20"/>
  <c r="AM1041" i="20"/>
  <c r="AM1056" i="20"/>
  <c r="AM1058" i="20"/>
  <c r="AM1065" i="20"/>
  <c r="AM1068" i="20"/>
  <c r="AM1073" i="20"/>
  <c r="AM1078" i="20"/>
  <c r="AM231" i="20"/>
  <c r="AM328" i="20"/>
  <c r="AM329" i="20"/>
  <c r="AM330" i="20"/>
  <c r="AM331" i="20"/>
  <c r="AM361" i="20"/>
  <c r="AM390" i="20"/>
  <c r="AM404" i="20"/>
  <c r="AM409" i="20"/>
  <c r="AM410" i="20"/>
  <c r="AM491" i="20"/>
  <c r="AM573" i="20"/>
  <c r="AM632" i="20"/>
  <c r="AM630" i="20"/>
  <c r="AM633" i="20"/>
  <c r="AM653" i="20"/>
  <c r="AM659" i="20"/>
  <c r="AM841" i="20"/>
  <c r="AM918" i="20"/>
  <c r="AM919" i="20"/>
  <c r="AM917" i="20"/>
  <c r="AM921" i="20"/>
  <c r="AM941" i="20"/>
  <c r="AM939" i="20"/>
  <c r="AM942" i="20"/>
  <c r="AM948" i="20"/>
  <c r="AM956" i="20"/>
  <c r="AM967" i="20"/>
  <c r="AM973" i="20"/>
  <c r="AM978" i="20"/>
  <c r="AM988" i="20"/>
  <c r="AM1066" i="20"/>
  <c r="AM1067" i="20"/>
  <c r="AM1071" i="20"/>
  <c r="AM1069" i="20"/>
  <c r="AM652" i="20"/>
  <c r="AM937" i="20"/>
  <c r="AM938" i="20"/>
  <c r="AM1077" i="20"/>
  <c r="AM207" i="20"/>
  <c r="AM240" i="20"/>
  <c r="AM270" i="20"/>
  <c r="AM319" i="20"/>
  <c r="AM325" i="20"/>
  <c r="AM332" i="20"/>
  <c r="AM333" i="20"/>
  <c r="AM335" i="20"/>
  <c r="AM336" i="20"/>
  <c r="AM337" i="20"/>
  <c r="AM347" i="20"/>
  <c r="AM352" i="20"/>
  <c r="AM365" i="20"/>
  <c r="AM388" i="20"/>
  <c r="AM402" i="20"/>
  <c r="AM433" i="20"/>
  <c r="AM472" i="20"/>
  <c r="AM571" i="20"/>
  <c r="AM584" i="20"/>
  <c r="AM587" i="20"/>
  <c r="AM590" i="20"/>
  <c r="AM612" i="20"/>
  <c r="AM635" i="20"/>
  <c r="AM646" i="20"/>
  <c r="AM647" i="20"/>
  <c r="AM665" i="20"/>
  <c r="AM666" i="20"/>
  <c r="AM667" i="20"/>
  <c r="AM668" i="20"/>
  <c r="AM669" i="20"/>
  <c r="AM671" i="20"/>
  <c r="AM677" i="20"/>
  <c r="AM701" i="20"/>
  <c r="AM699" i="20"/>
  <c r="AM697" i="20"/>
  <c r="AM705" i="20"/>
  <c r="AM706" i="20"/>
  <c r="AM724" i="20"/>
  <c r="AM721" i="20"/>
  <c r="AM718" i="20"/>
  <c r="AM735" i="20"/>
  <c r="AM731" i="20"/>
  <c r="AM727" i="20"/>
  <c r="AM726" i="20"/>
  <c r="AM730" i="20"/>
  <c r="AM729" i="20"/>
  <c r="AM737" i="20"/>
  <c r="AM742" i="20"/>
  <c r="AM738" i="20"/>
  <c r="AM740" i="20"/>
  <c r="AM741" i="20"/>
  <c r="AM746" i="20"/>
  <c r="AM744" i="20"/>
  <c r="AM757" i="20"/>
  <c r="AM865" i="20"/>
  <c r="AM868" i="20"/>
  <c r="AM870" i="20"/>
  <c r="AM883" i="20"/>
  <c r="AM903" i="20"/>
  <c r="AM909" i="20"/>
  <c r="AM915" i="20"/>
  <c r="AM930" i="20"/>
  <c r="AM925" i="20"/>
  <c r="AM926" i="20"/>
  <c r="AM946" i="20"/>
  <c r="AM961" i="20"/>
  <c r="AM974" i="20"/>
  <c r="AM1019" i="20"/>
  <c r="AM1052" i="20"/>
  <c r="AM1051" i="20"/>
  <c r="AM1055" i="20"/>
  <c r="AM1059" i="20"/>
  <c r="AM1060" i="20"/>
  <c r="AM1076" i="20"/>
  <c r="AM777" i="20"/>
  <c r="AM778" i="20"/>
  <c r="AM779" i="20"/>
  <c r="AM776" i="20"/>
  <c r="AM784" i="20"/>
  <c r="AM780" i="20"/>
  <c r="AM788" i="20"/>
  <c r="AM787" i="20"/>
  <c r="AM781" i="20"/>
  <c r="AM782" i="20"/>
  <c r="AM775" i="20"/>
  <c r="AM783" i="20"/>
  <c r="AM786" i="20"/>
  <c r="AM785" i="20"/>
  <c r="AM774" i="20"/>
  <c r="AQ326" i="20"/>
  <c r="AR326" i="20"/>
  <c r="AQ599" i="20"/>
  <c r="AR599" i="20"/>
  <c r="AQ642" i="20"/>
  <c r="AR642" i="20"/>
  <c r="AQ682" i="20"/>
  <c r="AR682" i="20"/>
  <c r="AQ994" i="20"/>
  <c r="AR994" i="20"/>
  <c r="AQ1005" i="20"/>
  <c r="AR1005" i="20"/>
  <c r="AQ1008" i="20"/>
  <c r="AR1008" i="20"/>
  <c r="AQ1021" i="20"/>
  <c r="AR1021" i="20"/>
  <c r="AQ1022" i="20"/>
  <c r="AR1022" i="20"/>
  <c r="AQ1047" i="20"/>
  <c r="AR1047" i="20"/>
  <c r="AQ1048" i="20"/>
  <c r="AQ1049" i="20"/>
  <c r="AR1049" i="20"/>
  <c r="AQ1053" i="20"/>
  <c r="AQ1074" i="20"/>
  <c r="AR1074" i="20"/>
  <c r="AQ1080" i="20"/>
  <c r="AR1080" i="20"/>
  <c r="AQ406" i="20"/>
  <c r="AR406" i="20"/>
  <c r="AQ395" i="20"/>
  <c r="AQ398" i="20"/>
  <c r="AR398" i="20"/>
  <c r="AQ643" i="20"/>
  <c r="AQ753" i="20"/>
  <c r="AR753" i="20"/>
  <c r="AQ403" i="20"/>
  <c r="AR403" i="20"/>
  <c r="AQ420" i="20"/>
  <c r="AR420" i="20"/>
  <c r="AQ478" i="20"/>
  <c r="AR478" i="20"/>
  <c r="AQ532" i="20"/>
  <c r="AR532" i="20"/>
  <c r="AQ568" i="20"/>
  <c r="AR568" i="20"/>
  <c r="AQ606" i="20"/>
  <c r="AR606" i="20"/>
  <c r="AQ616" i="20"/>
  <c r="AQ622" i="20"/>
  <c r="AR622" i="20"/>
  <c r="AQ802" i="20"/>
  <c r="AR802" i="20"/>
  <c r="AQ901" i="20"/>
  <c r="AR901" i="20"/>
  <c r="AQ443" i="20"/>
  <c r="AR443" i="20"/>
  <c r="AQ247" i="20"/>
  <c r="AR247" i="20"/>
  <c r="AQ237" i="20"/>
  <c r="AR237" i="20"/>
  <c r="AQ445" i="20"/>
  <c r="AR445" i="20"/>
  <c r="AQ657" i="20"/>
  <c r="AR657" i="20"/>
  <c r="AQ683" i="20"/>
  <c r="AR683" i="20"/>
  <c r="AQ698" i="20"/>
  <c r="AR698" i="20"/>
  <c r="AQ732" i="20"/>
  <c r="AR732" i="20"/>
  <c r="AQ733" i="20"/>
  <c r="AQ828" i="20"/>
  <c r="AR828" i="20"/>
  <c r="AQ362" i="20"/>
  <c r="AQ380" i="20"/>
  <c r="AR380" i="20"/>
  <c r="AQ467" i="20"/>
  <c r="AR467" i="20"/>
  <c r="AQ524" i="20"/>
  <c r="AR524" i="20"/>
  <c r="AQ650" i="20"/>
  <c r="AR650" i="20"/>
  <c r="AQ654" i="20"/>
  <c r="AR654" i="20"/>
  <c r="AQ691" i="20"/>
  <c r="AQ713" i="20"/>
  <c r="AR713" i="20"/>
  <c r="AQ764" i="20"/>
  <c r="AR764" i="20"/>
  <c r="AQ777" i="20"/>
  <c r="AR777" i="20"/>
  <c r="AQ816" i="20"/>
  <c r="AR816" i="20"/>
  <c r="AQ986" i="20"/>
  <c r="AR986" i="20"/>
  <c r="AQ383" i="20"/>
  <c r="AR383" i="20"/>
  <c r="AQ655" i="20"/>
  <c r="AQ689" i="20"/>
  <c r="AR689" i="20"/>
  <c r="AQ765" i="20"/>
  <c r="AR765" i="20"/>
  <c r="AQ778" i="20"/>
  <c r="AR778" i="20"/>
  <c r="AQ880" i="20"/>
  <c r="AR880" i="20"/>
  <c r="AQ981" i="20"/>
  <c r="AR981" i="20"/>
  <c r="AQ1057" i="20"/>
  <c r="AR1057" i="20"/>
  <c r="AQ1064" i="20"/>
  <c r="AR1064" i="20"/>
  <c r="AQ510" i="20"/>
  <c r="AR510" i="20"/>
  <c r="AQ511" i="20"/>
  <c r="AR511" i="20"/>
  <c r="AQ538" i="20"/>
  <c r="AR538" i="20"/>
  <c r="AQ572" i="20"/>
  <c r="AR572" i="20"/>
  <c r="AQ601" i="20"/>
  <c r="AR601" i="20"/>
  <c r="AQ648" i="20"/>
  <c r="AQ242" i="20"/>
  <c r="AR242" i="20"/>
  <c r="AQ233" i="20"/>
  <c r="AR233" i="20"/>
  <c r="AQ236" i="20"/>
  <c r="AQ238" i="20"/>
  <c r="AR238" i="20"/>
  <c r="AQ234" i="20"/>
  <c r="AR234" i="20"/>
  <c r="AQ232" i="20"/>
  <c r="AR232" i="20"/>
  <c r="AQ241" i="20"/>
  <c r="AR241" i="20"/>
  <c r="AQ248" i="20"/>
  <c r="AR248" i="20"/>
  <c r="AQ249" i="20"/>
  <c r="AR249" i="20"/>
  <c r="AQ250" i="20"/>
  <c r="AR250" i="20"/>
  <c r="AQ235" i="20"/>
  <c r="AR235" i="20"/>
  <c r="AQ246" i="20"/>
  <c r="AR246" i="20"/>
  <c r="AQ416" i="20"/>
  <c r="AR416" i="20"/>
  <c r="AQ545" i="20"/>
  <c r="AR545" i="20"/>
  <c r="AQ546" i="20"/>
  <c r="AR546" i="20"/>
  <c r="AQ533" i="20"/>
  <c r="AR533" i="20"/>
  <c r="AQ585" i="20"/>
  <c r="AR585" i="20"/>
  <c r="AQ595" i="20"/>
  <c r="AR595" i="20"/>
  <c r="AQ613" i="20"/>
  <c r="AR613" i="20"/>
  <c r="AQ614" i="20"/>
  <c r="AR614" i="20"/>
  <c r="AQ623" i="20"/>
  <c r="AR623" i="20"/>
  <c r="AQ629" i="20"/>
  <c r="AR629" i="20"/>
  <c r="AQ636" i="20"/>
  <c r="AR636" i="20"/>
  <c r="AQ639" i="20"/>
  <c r="AR639" i="20"/>
  <c r="AQ678" i="20"/>
  <c r="AR678" i="20"/>
  <c r="AQ684" i="20"/>
  <c r="AR684" i="20"/>
  <c r="AQ694" i="20"/>
  <c r="AR694" i="20"/>
  <c r="AQ695" i="20"/>
  <c r="AR695" i="20"/>
  <c r="AQ700" i="20"/>
  <c r="AR700" i="20"/>
  <c r="AQ703" i="20"/>
  <c r="AR703" i="20"/>
  <c r="AQ704" i="20"/>
  <c r="AR704" i="20"/>
  <c r="AQ696" i="20"/>
  <c r="AR696" i="20"/>
  <c r="AQ728" i="20"/>
  <c r="AR728" i="20"/>
  <c r="AQ725" i="20"/>
  <c r="AR725" i="20"/>
  <c r="AQ743" i="20"/>
  <c r="AR743" i="20"/>
  <c r="AQ739" i="20"/>
  <c r="AQ745" i="20"/>
  <c r="AQ770" i="20"/>
  <c r="AR770" i="20"/>
  <c r="AQ771" i="20"/>
  <c r="AR771" i="20"/>
  <c r="AQ772" i="20"/>
  <c r="AR772" i="20"/>
  <c r="AQ769" i="20"/>
  <c r="AR769" i="20"/>
  <c r="AQ814" i="20"/>
  <c r="AR814" i="20"/>
  <c r="AQ804" i="20"/>
  <c r="AR804" i="20"/>
  <c r="AQ808" i="20"/>
  <c r="AR808" i="20"/>
  <c r="AQ809" i="20"/>
  <c r="AR809" i="20"/>
  <c r="AQ810" i="20"/>
  <c r="AR810" i="20"/>
  <c r="AQ805" i="20"/>
  <c r="AR805" i="20"/>
  <c r="AQ825" i="20"/>
  <c r="AR825" i="20"/>
  <c r="AQ803" i="20"/>
  <c r="AR803" i="20"/>
  <c r="AQ806" i="20"/>
  <c r="AR806" i="20"/>
  <c r="AQ827" i="20"/>
  <c r="AR827" i="20"/>
  <c r="AQ1045" i="20"/>
  <c r="AR1045" i="20"/>
  <c r="AQ1042" i="20"/>
  <c r="AR1042" i="20"/>
  <c r="AQ1043" i="20"/>
  <c r="AR1043" i="20"/>
  <c r="AQ1044" i="20"/>
  <c r="AR1044" i="20"/>
  <c r="AQ360" i="20"/>
  <c r="AR360" i="20"/>
  <c r="AQ399" i="20"/>
  <c r="AR399" i="20"/>
  <c r="AQ427" i="20"/>
  <c r="AR427" i="20"/>
  <c r="AQ637" i="20"/>
  <c r="AR637" i="20"/>
  <c r="AQ658" i="20"/>
  <c r="AR658" i="20"/>
  <c r="AQ674" i="20"/>
  <c r="AR674" i="20"/>
  <c r="AQ675" i="20"/>
  <c r="AR675" i="20"/>
  <c r="AQ690" i="20"/>
  <c r="AR690" i="20"/>
  <c r="AQ717" i="20"/>
  <c r="AR717" i="20"/>
  <c r="AQ748" i="20"/>
  <c r="AR748" i="20"/>
  <c r="AQ773" i="20"/>
  <c r="AQ849" i="20"/>
  <c r="AR849" i="20"/>
  <c r="AQ871" i="20"/>
  <c r="AR871" i="20"/>
  <c r="AQ226" i="20"/>
  <c r="AR226" i="20"/>
  <c r="AQ384" i="20"/>
  <c r="AQ422" i="20"/>
  <c r="AR422" i="20"/>
  <c r="AQ423" i="20"/>
  <c r="AQ574" i="20"/>
  <c r="AR574" i="20"/>
  <c r="AQ747" i="20"/>
  <c r="AQ812" i="20"/>
  <c r="AR812" i="20"/>
  <c r="AQ847" i="20"/>
  <c r="AR847" i="20"/>
  <c r="AQ859" i="20"/>
  <c r="AQ860" i="20"/>
  <c r="AR860" i="20"/>
  <c r="AQ1046" i="20"/>
  <c r="AQ245" i="20"/>
  <c r="AQ251" i="20"/>
  <c r="AR251" i="20"/>
  <c r="AQ239" i="20"/>
  <c r="AQ272" i="20"/>
  <c r="AR272" i="20"/>
  <c r="AQ412" i="20"/>
  <c r="AR412" i="20"/>
  <c r="AQ429" i="20"/>
  <c r="AR429" i="20"/>
  <c r="AQ482" i="20"/>
  <c r="AR482" i="20"/>
  <c r="AQ564" i="20"/>
  <c r="AR564" i="20"/>
  <c r="AQ565" i="20"/>
  <c r="AR565" i="20"/>
  <c r="AQ541" i="20"/>
  <c r="AR541" i="20"/>
  <c r="AQ553" i="20"/>
  <c r="AR553" i="20"/>
  <c r="AQ521" i="20"/>
  <c r="AR521" i="20"/>
  <c r="AQ594" i="20"/>
  <c r="AR594" i="20"/>
  <c r="AQ597" i="20"/>
  <c r="AR597" i="20"/>
  <c r="AQ607" i="20"/>
  <c r="AR607" i="20"/>
  <c r="AQ679" i="20"/>
  <c r="AR679" i="20"/>
  <c r="AQ681" i="20"/>
  <c r="AR681" i="20"/>
  <c r="AQ702" i="20"/>
  <c r="AR702" i="20"/>
  <c r="AQ709" i="20"/>
  <c r="AR709" i="20"/>
  <c r="AQ734" i="20"/>
  <c r="AR734" i="20"/>
  <c r="AQ736" i="20"/>
  <c r="AR736" i="20"/>
  <c r="AQ801" i="20"/>
  <c r="AR801" i="20"/>
  <c r="AQ823" i="20"/>
  <c r="AR823" i="20"/>
  <c r="AQ840" i="20"/>
  <c r="AR840" i="20"/>
  <c r="AQ813" i="20"/>
  <c r="AR813" i="20"/>
  <c r="AQ846" i="20"/>
  <c r="AR846" i="20"/>
  <c r="AQ864" i="20"/>
  <c r="AR864" i="20"/>
  <c r="AQ886" i="20"/>
  <c r="AR886" i="20"/>
  <c r="AQ887" i="20"/>
  <c r="AR887" i="20"/>
  <c r="AQ924" i="20"/>
  <c r="AR924" i="20"/>
  <c r="AQ1004" i="20"/>
  <c r="AQ1054" i="20"/>
  <c r="AR1054" i="20"/>
  <c r="AQ751" i="20"/>
  <c r="AR751" i="20"/>
  <c r="AQ914" i="20"/>
  <c r="AR914" i="20"/>
  <c r="AQ327" i="20"/>
  <c r="AR327" i="20"/>
  <c r="AQ378" i="20"/>
  <c r="AR378" i="20"/>
  <c r="AQ470" i="20"/>
  <c r="AR470" i="20"/>
  <c r="AQ525" i="20"/>
  <c r="AR525" i="20"/>
  <c r="AQ509" i="20"/>
  <c r="AR509" i="20"/>
  <c r="AQ631" i="20"/>
  <c r="AR631" i="20"/>
  <c r="AQ707" i="20"/>
  <c r="AR707" i="20"/>
  <c r="AQ723" i="20"/>
  <c r="AR723" i="20"/>
  <c r="AQ779" i="20"/>
  <c r="AR779" i="20"/>
  <c r="AQ854" i="20"/>
  <c r="AR854" i="20"/>
  <c r="AQ960" i="20"/>
  <c r="AR960" i="20"/>
  <c r="AQ982" i="20"/>
  <c r="AR982" i="20"/>
  <c r="AQ1070" i="20"/>
  <c r="AR1070" i="20"/>
  <c r="AQ269" i="20"/>
  <c r="AR269" i="20"/>
  <c r="AQ369" i="20"/>
  <c r="AR369" i="20"/>
  <c r="AQ386" i="20"/>
  <c r="AR386" i="20"/>
  <c r="AQ391" i="20"/>
  <c r="AR391" i="20"/>
  <c r="AQ411" i="20"/>
  <c r="AR411" i="20"/>
  <c r="AQ425" i="20"/>
  <c r="AR425" i="20"/>
  <c r="AQ424" i="20"/>
  <c r="AR424" i="20"/>
  <c r="AQ436" i="20"/>
  <c r="AR436" i="20"/>
  <c r="AQ459" i="20"/>
  <c r="AR459" i="20"/>
  <c r="AQ473" i="20"/>
  <c r="AR473" i="20"/>
  <c r="AQ522" i="20"/>
  <c r="AR522" i="20"/>
  <c r="AQ559" i="20"/>
  <c r="AR559" i="20"/>
  <c r="AQ560" i="20"/>
  <c r="AR560" i="20"/>
  <c r="AQ527" i="20"/>
  <c r="AR527" i="20"/>
  <c r="AQ615" i="20"/>
  <c r="AR615" i="20"/>
  <c r="AQ649" i="20"/>
  <c r="AR649" i="20"/>
  <c r="AQ720" i="20"/>
  <c r="AR720" i="20"/>
  <c r="AQ776" i="20"/>
  <c r="AR776" i="20"/>
  <c r="AQ792" i="20"/>
  <c r="AR792" i="20"/>
  <c r="AQ815" i="20"/>
  <c r="AR815" i="20"/>
  <c r="AQ869" i="20"/>
  <c r="AR869" i="20"/>
  <c r="AQ878" i="20"/>
  <c r="AR878" i="20"/>
  <c r="AQ902" i="20"/>
  <c r="AR902" i="20"/>
  <c r="AQ904" i="20"/>
  <c r="AR904" i="20"/>
  <c r="AQ955" i="20"/>
  <c r="AR955" i="20"/>
  <c r="AQ271" i="20"/>
  <c r="AR271" i="20"/>
  <c r="AQ311" i="20"/>
  <c r="AR311" i="20"/>
  <c r="AQ312" i="20"/>
  <c r="AQ320" i="20"/>
  <c r="AR320" i="20"/>
  <c r="AQ324" i="20"/>
  <c r="AR324" i="20"/>
  <c r="AQ356" i="20"/>
  <c r="AR356" i="20"/>
  <c r="AQ358" i="20"/>
  <c r="AR358" i="20"/>
  <c r="AQ442" i="20"/>
  <c r="AQ484" i="20"/>
  <c r="AR484" i="20"/>
  <c r="AQ483" i="20"/>
  <c r="AR483" i="20"/>
  <c r="AQ520" i="20"/>
  <c r="AR520" i="20"/>
  <c r="AQ542" i="20"/>
  <c r="AR542" i="20"/>
  <c r="AQ543" i="20"/>
  <c r="AR543" i="20"/>
  <c r="AQ539" i="20"/>
  <c r="AR539" i="20"/>
  <c r="AQ591" i="20"/>
  <c r="AR591" i="20"/>
  <c r="AQ598" i="20"/>
  <c r="AR598" i="20"/>
  <c r="AQ609" i="20"/>
  <c r="AR609" i="20"/>
  <c r="AQ610" i="20"/>
  <c r="AR610" i="20"/>
  <c r="AQ621" i="20"/>
  <c r="AR621" i="20"/>
  <c r="AQ634" i="20"/>
  <c r="AR634" i="20"/>
  <c r="AQ638" i="20"/>
  <c r="AR638" i="20"/>
  <c r="AQ662" i="20"/>
  <c r="AR662" i="20"/>
  <c r="AQ664" i="20"/>
  <c r="AQ670" i="20"/>
  <c r="AR670" i="20"/>
  <c r="AQ673" i="20"/>
  <c r="AR673" i="20"/>
  <c r="AQ711" i="20"/>
  <c r="AR711" i="20"/>
  <c r="AQ750" i="20"/>
  <c r="AR750" i="20"/>
  <c r="AQ839" i="20"/>
  <c r="AR839" i="20"/>
  <c r="AQ834" i="20"/>
  <c r="AR834" i="20"/>
  <c r="AQ867" i="20"/>
  <c r="AR867" i="20"/>
  <c r="AQ885" i="20"/>
  <c r="AR885" i="20"/>
  <c r="AQ892" i="20"/>
  <c r="AQ900" i="20"/>
  <c r="AR900" i="20"/>
  <c r="AQ912" i="20"/>
  <c r="AR912" i="20"/>
  <c r="AQ911" i="20"/>
  <c r="AR911" i="20"/>
  <c r="AQ923" i="20"/>
  <c r="AR923" i="20"/>
  <c r="AQ932" i="20"/>
  <c r="AQ933" i="20"/>
  <c r="AR933" i="20"/>
  <c r="AQ958" i="20"/>
  <c r="AR958" i="20"/>
  <c r="AQ968" i="20"/>
  <c r="AQ993" i="20"/>
  <c r="AR993" i="20"/>
  <c r="AQ1003" i="20"/>
  <c r="AR1003" i="20"/>
  <c r="AQ1020" i="20"/>
  <c r="AR1020" i="20"/>
  <c r="AQ1081" i="20"/>
  <c r="AR1081" i="20"/>
  <c r="AQ426" i="20"/>
  <c r="AR426" i="20"/>
  <c r="AQ461" i="20"/>
  <c r="AR461" i="20"/>
  <c r="AQ460" i="20"/>
  <c r="AR460" i="20"/>
  <c r="AQ758" i="20"/>
  <c r="AR758" i="20"/>
  <c r="AQ905" i="20"/>
  <c r="AR905" i="20"/>
  <c r="AQ321" i="20"/>
  <c r="AR321" i="20"/>
  <c r="AQ364" i="20"/>
  <c r="AR364" i="20"/>
  <c r="AQ368" i="20"/>
  <c r="AR368" i="20"/>
  <c r="AQ407" i="20"/>
  <c r="AR407" i="20"/>
  <c r="AQ428" i="20"/>
  <c r="AR428" i="20"/>
  <c r="AQ469" i="20"/>
  <c r="AR469" i="20"/>
  <c r="AQ550" i="20"/>
  <c r="AR550" i="20"/>
  <c r="AQ528" i="20"/>
  <c r="AR528" i="20"/>
  <c r="AQ529" i="20"/>
  <c r="AR529" i="20"/>
  <c r="AQ515" i="20"/>
  <c r="AR515" i="20"/>
  <c r="AQ576" i="20"/>
  <c r="AR576" i="20"/>
  <c r="AQ577" i="20"/>
  <c r="AR577" i="20"/>
  <c r="AQ604" i="20"/>
  <c r="AR604" i="20"/>
  <c r="AQ608" i="20"/>
  <c r="AR608" i="20"/>
  <c r="AQ660" i="20"/>
  <c r="AR660" i="20"/>
  <c r="AQ676" i="20"/>
  <c r="AR676" i="20"/>
  <c r="AQ714" i="20"/>
  <c r="AR714" i="20"/>
  <c r="AQ722" i="20"/>
  <c r="AR722" i="20"/>
  <c r="AQ749" i="20"/>
  <c r="AR749" i="20"/>
  <c r="AQ767" i="20"/>
  <c r="AR767" i="20"/>
  <c r="AQ784" i="20"/>
  <c r="AR784" i="20"/>
  <c r="AQ832" i="20"/>
  <c r="AR832" i="20"/>
  <c r="AQ866" i="20"/>
  <c r="AR866" i="20"/>
  <c r="AQ927" i="20"/>
  <c r="AQ945" i="20"/>
  <c r="AR945" i="20"/>
  <c r="AQ963" i="20"/>
  <c r="AR963" i="20"/>
  <c r="AQ989" i="20"/>
  <c r="AR989" i="20"/>
  <c r="AQ990" i="20"/>
  <c r="AR990" i="20"/>
  <c r="AQ1036" i="20"/>
  <c r="AR1036" i="20"/>
  <c r="AQ1039" i="20"/>
  <c r="AR1039" i="20"/>
  <c r="AQ373" i="20"/>
  <c r="AR373" i="20"/>
  <c r="AQ375" i="20"/>
  <c r="AR375" i="20"/>
  <c r="AQ385" i="20"/>
  <c r="AR385" i="20"/>
  <c r="AQ656" i="20"/>
  <c r="AR656" i="20"/>
  <c r="AQ688" i="20"/>
  <c r="AR688" i="20"/>
  <c r="AQ833" i="20"/>
  <c r="AR833" i="20"/>
  <c r="AQ853" i="20"/>
  <c r="AR853" i="20"/>
  <c r="AQ899" i="20"/>
  <c r="AR899" i="20"/>
  <c r="AQ908" i="20"/>
  <c r="AQ910" i="20"/>
  <c r="AR910" i="20"/>
  <c r="AQ934" i="20"/>
  <c r="AQ931" i="20"/>
  <c r="AR931" i="20"/>
  <c r="AQ936" i="20"/>
  <c r="AR936" i="20"/>
  <c r="AQ977" i="20"/>
  <c r="AR977" i="20"/>
  <c r="AQ1086" i="20"/>
  <c r="AR1086" i="20"/>
  <c r="AQ1101" i="20"/>
  <c r="AR1101" i="20"/>
  <c r="AQ208" i="20"/>
  <c r="AQ381" i="20"/>
  <c r="AR381" i="20"/>
  <c r="AQ413" i="20"/>
  <c r="AR413" i="20"/>
  <c r="AQ435" i="20"/>
  <c r="AR435" i="20"/>
  <c r="AQ468" i="20"/>
  <c r="AR468" i="20"/>
  <c r="AQ526" i="20"/>
  <c r="AR526" i="20"/>
  <c r="AQ507" i="20"/>
  <c r="AR507" i="20"/>
  <c r="AQ508" i="20"/>
  <c r="AR508" i="20"/>
  <c r="AQ505" i="20"/>
  <c r="AR505" i="20"/>
  <c r="AQ567" i="20"/>
  <c r="AR567" i="20"/>
  <c r="AQ619" i="20"/>
  <c r="AR619" i="20"/>
  <c r="AQ625" i="20"/>
  <c r="AQ628" i="20"/>
  <c r="AR628" i="20"/>
  <c r="AQ644" i="20"/>
  <c r="AR644" i="20"/>
  <c r="AQ645" i="20"/>
  <c r="AQ754" i="20"/>
  <c r="AR754" i="20"/>
  <c r="AQ756" i="20"/>
  <c r="AR756" i="20"/>
  <c r="AQ780" i="20"/>
  <c r="AR780" i="20"/>
  <c r="AQ798" i="20"/>
  <c r="AR798" i="20"/>
  <c r="AQ943" i="20"/>
  <c r="AR943" i="20"/>
  <c r="AQ1050" i="20"/>
  <c r="AR1050" i="20"/>
  <c r="AQ1062" i="20"/>
  <c r="AQ211" i="20"/>
  <c r="AR211" i="20"/>
  <c r="AQ323" i="20"/>
  <c r="AR323" i="20"/>
  <c r="AQ334" i="20"/>
  <c r="AR334" i="20"/>
  <c r="AQ387" i="20"/>
  <c r="AR387" i="20"/>
  <c r="AQ389" i="20"/>
  <c r="AR389" i="20"/>
  <c r="AQ401" i="20"/>
  <c r="AR401" i="20"/>
  <c r="AQ408" i="20"/>
  <c r="AR408" i="20"/>
  <c r="AQ440" i="20"/>
  <c r="AR440" i="20"/>
  <c r="AQ446" i="20"/>
  <c r="AR446" i="20"/>
  <c r="AQ447" i="20"/>
  <c r="AR447" i="20"/>
  <c r="AQ451" i="20"/>
  <c r="AR451" i="20"/>
  <c r="AQ452" i="20"/>
  <c r="AR452" i="20"/>
  <c r="AQ463" i="20"/>
  <c r="AR463" i="20"/>
  <c r="AQ477" i="20"/>
  <c r="AR477" i="20"/>
  <c r="AQ485" i="20"/>
  <c r="AR485" i="20"/>
  <c r="AQ490" i="20"/>
  <c r="AR490" i="20"/>
  <c r="AQ492" i="20"/>
  <c r="AR492" i="20"/>
  <c r="AQ562" i="20"/>
  <c r="AR562" i="20"/>
  <c r="AQ494" i="20"/>
  <c r="AR494" i="20"/>
  <c r="AQ495" i="20"/>
  <c r="AR495" i="20"/>
  <c r="AQ496" i="20"/>
  <c r="AR496" i="20"/>
  <c r="AQ537" i="20"/>
  <c r="AR537" i="20"/>
  <c r="AQ519" i="20"/>
  <c r="AR519" i="20"/>
  <c r="AQ566" i="20"/>
  <c r="AR566" i="20"/>
  <c r="AQ498" i="20"/>
  <c r="AR498" i="20"/>
  <c r="AQ530" i="20"/>
  <c r="AR530" i="20"/>
  <c r="AQ531" i="20"/>
  <c r="AR531" i="20"/>
  <c r="AQ547" i="20"/>
  <c r="AR547" i="20"/>
  <c r="AQ569" i="20"/>
  <c r="AR569" i="20"/>
  <c r="AQ578" i="20"/>
  <c r="AR578" i="20"/>
  <c r="AQ582" i="20"/>
  <c r="AR582" i="20"/>
  <c r="AQ592" i="20"/>
  <c r="AR592" i="20"/>
  <c r="AQ593" i="20"/>
  <c r="AR593" i="20"/>
  <c r="AQ605" i="20"/>
  <c r="AR605" i="20"/>
  <c r="AQ617" i="20"/>
  <c r="AR617" i="20"/>
  <c r="AQ627" i="20"/>
  <c r="AR627" i="20"/>
  <c r="AQ663" i="20"/>
  <c r="AQ672" i="20"/>
  <c r="AR672" i="20"/>
  <c r="AQ685" i="20"/>
  <c r="AR685" i="20"/>
  <c r="AQ686" i="20"/>
  <c r="AR686" i="20"/>
  <c r="AQ692" i="20"/>
  <c r="AR692" i="20"/>
  <c r="AQ712" i="20"/>
  <c r="AR712" i="20"/>
  <c r="AQ788" i="20"/>
  <c r="AR788" i="20"/>
  <c r="AQ787" i="20"/>
  <c r="AR787" i="20"/>
  <c r="AQ795" i="20"/>
  <c r="AR795" i="20"/>
  <c r="AQ800" i="20"/>
  <c r="AR800" i="20"/>
  <c r="AQ837" i="20"/>
  <c r="AR837" i="20"/>
  <c r="AQ881" i="20"/>
  <c r="AR881" i="20"/>
  <c r="AQ884" i="20"/>
  <c r="AR884" i="20"/>
  <c r="AQ916" i="20"/>
  <c r="AR916" i="20"/>
  <c r="AQ947" i="20"/>
  <c r="AR947" i="20"/>
  <c r="AQ954" i="20"/>
  <c r="AR954" i="20"/>
  <c r="AQ959" i="20"/>
  <c r="AR959" i="20"/>
  <c r="AQ962" i="20"/>
  <c r="AR962" i="20"/>
  <c r="AQ966" i="20"/>
  <c r="AR966" i="20"/>
  <c r="AQ979" i="20"/>
  <c r="AR979" i="20"/>
  <c r="AQ980" i="20"/>
  <c r="AR980" i="20"/>
  <c r="AQ985" i="20"/>
  <c r="AR985" i="20"/>
  <c r="AQ995" i="20"/>
  <c r="AR995" i="20"/>
  <c r="AQ1007" i="20"/>
  <c r="AR1007" i="20"/>
  <c r="AQ1009" i="20"/>
  <c r="AR1009" i="20"/>
  <c r="AQ1011" i="20"/>
  <c r="AR1011" i="20"/>
  <c r="AQ1061" i="20"/>
  <c r="AR1061" i="20"/>
  <c r="AQ1072" i="20"/>
  <c r="AR1072" i="20"/>
  <c r="AQ339" i="20"/>
  <c r="AR339" i="20"/>
  <c r="AQ340" i="20"/>
  <c r="AR340" i="20"/>
  <c r="AQ363" i="20"/>
  <c r="AQ372" i="20"/>
  <c r="AR372" i="20"/>
  <c r="AQ414" i="20"/>
  <c r="AR414" i="20"/>
  <c r="AQ415" i="20"/>
  <c r="AR415" i="20"/>
  <c r="AQ441" i="20"/>
  <c r="AR441" i="20"/>
  <c r="AQ449" i="20"/>
  <c r="AR449" i="20"/>
  <c r="AQ453" i="20"/>
  <c r="AR453" i="20"/>
  <c r="AQ481" i="20"/>
  <c r="AR481" i="20"/>
  <c r="AQ479" i="20"/>
  <c r="AR479" i="20"/>
  <c r="AQ480" i="20"/>
  <c r="AR480" i="20"/>
  <c r="AQ540" i="20"/>
  <c r="AR540" i="20"/>
  <c r="AQ513" i="20"/>
  <c r="AR513" i="20"/>
  <c r="AQ514" i="20"/>
  <c r="AR514" i="20"/>
  <c r="AQ499" i="20"/>
  <c r="AR499" i="20"/>
  <c r="AQ500" i="20"/>
  <c r="AR500" i="20"/>
  <c r="AQ501" i="20"/>
  <c r="AR501" i="20"/>
  <c r="AQ602" i="20"/>
  <c r="AR602" i="20"/>
  <c r="AQ620" i="20"/>
  <c r="AR620" i="20"/>
  <c r="AQ618" i="20"/>
  <c r="AQ766" i="20"/>
  <c r="AR766" i="20"/>
  <c r="AQ791" i="20"/>
  <c r="AR791" i="20"/>
  <c r="AQ826" i="20"/>
  <c r="AR826" i="20"/>
  <c r="AQ819" i="20"/>
  <c r="AR819" i="20"/>
  <c r="AQ820" i="20"/>
  <c r="AR820" i="20"/>
  <c r="AQ852" i="20"/>
  <c r="AR852" i="20"/>
  <c r="AQ882" i="20"/>
  <c r="AR882" i="20"/>
  <c r="AQ890" i="20"/>
  <c r="AQ891" i="20"/>
  <c r="AR891" i="20"/>
  <c r="AQ897" i="20"/>
  <c r="AR897" i="20"/>
  <c r="AQ898" i="20"/>
  <c r="AR898" i="20"/>
  <c r="AQ928" i="20"/>
  <c r="AQ929" i="20"/>
  <c r="AR929" i="20"/>
  <c r="AQ970" i="20"/>
  <c r="AR970" i="20"/>
  <c r="AQ971" i="20"/>
  <c r="AR971" i="20"/>
  <c r="AQ987" i="20"/>
  <c r="AR987" i="20"/>
  <c r="AQ1000" i="20"/>
  <c r="AR1000" i="20"/>
  <c r="AQ1001" i="20"/>
  <c r="AQ1002" i="20"/>
  <c r="AR1002" i="20"/>
  <c r="AQ1034" i="20"/>
  <c r="AQ1090" i="20"/>
  <c r="AR1090" i="20"/>
  <c r="AQ487" i="20"/>
  <c r="AR487" i="20"/>
  <c r="AQ497" i="20"/>
  <c r="AR497" i="20"/>
  <c r="AQ570" i="20"/>
  <c r="AR570" i="20"/>
  <c r="AQ583" i="20"/>
  <c r="AR583" i="20"/>
  <c r="AQ600" i="20"/>
  <c r="AR600" i="20"/>
  <c r="AQ611" i="20"/>
  <c r="AR611" i="20"/>
  <c r="AQ624" i="20"/>
  <c r="AR624" i="20"/>
  <c r="AQ640" i="20"/>
  <c r="AR640" i="20"/>
  <c r="AQ641" i="20"/>
  <c r="AR641" i="20"/>
  <c r="AQ752" i="20"/>
  <c r="AR752" i="20"/>
  <c r="AQ755" i="20"/>
  <c r="AQ342" i="20"/>
  <c r="AR342" i="20"/>
  <c r="AQ346" i="20"/>
  <c r="AR346" i="20"/>
  <c r="AQ379" i="20"/>
  <c r="AR379" i="20"/>
  <c r="AQ400" i="20"/>
  <c r="AR400" i="20"/>
  <c r="AQ437" i="20"/>
  <c r="AQ454" i="20"/>
  <c r="AR454" i="20"/>
  <c r="AQ455" i="20"/>
  <c r="AR455" i="20"/>
  <c r="AQ486" i="20"/>
  <c r="AR486" i="20"/>
  <c r="AQ535" i="20"/>
  <c r="AR535" i="20"/>
  <c r="AQ502" i="20"/>
  <c r="AR502" i="20"/>
  <c r="AQ503" i="20"/>
  <c r="AR503" i="20"/>
  <c r="AQ651" i="20"/>
  <c r="AR651" i="20"/>
  <c r="AQ661" i="20"/>
  <c r="AR661" i="20"/>
  <c r="AQ761" i="20"/>
  <c r="AR761" i="20"/>
  <c r="AQ768" i="20"/>
  <c r="AR768" i="20"/>
  <c r="AQ793" i="20"/>
  <c r="AR793" i="20"/>
  <c r="AQ835" i="20"/>
  <c r="AR835" i="20"/>
  <c r="AQ879" i="20"/>
  <c r="AR879" i="20"/>
  <c r="AQ889" i="20"/>
  <c r="AR889" i="20"/>
  <c r="AQ896" i="20"/>
  <c r="AR896" i="20"/>
  <c r="AQ907" i="20"/>
  <c r="AR907" i="20"/>
  <c r="AQ920" i="20"/>
  <c r="AR920" i="20"/>
  <c r="AQ940" i="20"/>
  <c r="AR940" i="20"/>
  <c r="AQ957" i="20"/>
  <c r="AR957" i="20"/>
  <c r="AQ969" i="20"/>
  <c r="AR969" i="20"/>
  <c r="AQ992" i="20"/>
  <c r="AR992" i="20"/>
  <c r="AQ999" i="20"/>
  <c r="AR999" i="20"/>
  <c r="AQ1012" i="20"/>
  <c r="AR1012" i="20"/>
  <c r="AQ1063" i="20"/>
  <c r="AR1063" i="20"/>
  <c r="AQ1075" i="20"/>
  <c r="AR1075" i="20"/>
  <c r="AQ1088" i="20"/>
  <c r="AR1088" i="20"/>
  <c r="AQ1095" i="20"/>
  <c r="AR1095" i="20"/>
  <c r="AQ1100" i="20"/>
  <c r="AR1100" i="20"/>
  <c r="AQ225" i="20"/>
  <c r="AR225" i="20"/>
  <c r="AQ322" i="20"/>
  <c r="AR322" i="20"/>
  <c r="AQ348" i="20"/>
  <c r="AR348" i="20"/>
  <c r="AQ349" i="20"/>
  <c r="AR349" i="20"/>
  <c r="AQ350" i="20"/>
  <c r="AR350" i="20"/>
  <c r="AQ351" i="20"/>
  <c r="AR351" i="20"/>
  <c r="AQ359" i="20"/>
  <c r="AR359" i="20"/>
  <c r="AQ370" i="20"/>
  <c r="AR370" i="20"/>
  <c r="AQ393" i="20"/>
  <c r="AR393" i="20"/>
  <c r="AQ396" i="20"/>
  <c r="AR396" i="20"/>
  <c r="AQ438" i="20"/>
  <c r="AR438" i="20"/>
  <c r="AQ458" i="20"/>
  <c r="AR458" i="20"/>
  <c r="AQ465" i="20"/>
  <c r="AR465" i="20"/>
  <c r="AQ488" i="20"/>
  <c r="AR488" i="20"/>
  <c r="AQ489" i="20"/>
  <c r="AQ493" i="20"/>
  <c r="AR493" i="20"/>
  <c r="AQ551" i="20"/>
  <c r="AR551" i="20"/>
  <c r="AQ552" i="20"/>
  <c r="AR552" i="20"/>
  <c r="AQ555" i="20"/>
  <c r="AR555" i="20"/>
  <c r="AQ556" i="20"/>
  <c r="AR556" i="20"/>
  <c r="AQ557" i="20"/>
  <c r="AR557" i="20"/>
  <c r="AQ558" i="20"/>
  <c r="AR558" i="20"/>
  <c r="AQ544" i="20"/>
  <c r="AR544" i="20"/>
  <c r="AQ575" i="20"/>
  <c r="AR575" i="20"/>
  <c r="AQ586" i="20"/>
  <c r="AR586" i="20"/>
  <c r="AQ589" i="20"/>
  <c r="AR589" i="20"/>
  <c r="AQ596" i="20"/>
  <c r="AR596" i="20"/>
  <c r="AQ626" i="20"/>
  <c r="AR626" i="20"/>
  <c r="AQ680" i="20"/>
  <c r="AR680" i="20"/>
  <c r="AQ687" i="20"/>
  <c r="AR687" i="20"/>
  <c r="AQ708" i="20"/>
  <c r="AR708" i="20"/>
  <c r="AQ716" i="20"/>
  <c r="AR716" i="20"/>
  <c r="AQ760" i="20"/>
  <c r="AR760" i="20"/>
  <c r="AQ762" i="20"/>
  <c r="AR762" i="20"/>
  <c r="AQ763" i="20"/>
  <c r="AR763" i="20"/>
  <c r="AQ781" i="20"/>
  <c r="AR781" i="20"/>
  <c r="AQ789" i="20"/>
  <c r="AR789" i="20"/>
  <c r="AQ790" i="20"/>
  <c r="AR790" i="20"/>
  <c r="AQ794" i="20"/>
  <c r="AR794" i="20"/>
  <c r="AQ830" i="20"/>
  <c r="AR830" i="20"/>
  <c r="AQ842" i="20"/>
  <c r="AQ843" i="20"/>
  <c r="AQ844" i="20"/>
  <c r="AR844" i="20"/>
  <c r="AQ848" i="20"/>
  <c r="AQ851" i="20"/>
  <c r="AQ858" i="20"/>
  <c r="AR858" i="20"/>
  <c r="AQ888" i="20"/>
  <c r="AQ894" i="20"/>
  <c r="AR894" i="20"/>
  <c r="AQ895" i="20"/>
  <c r="AR895" i="20"/>
  <c r="AQ906" i="20"/>
  <c r="AR906" i="20"/>
  <c r="AQ935" i="20"/>
  <c r="AR935" i="20"/>
  <c r="AQ922" i="20"/>
  <c r="AR922" i="20"/>
  <c r="AQ944" i="20"/>
  <c r="AQ949" i="20"/>
  <c r="AR949" i="20"/>
  <c r="AQ972" i="20"/>
  <c r="AR972" i="20"/>
  <c r="AQ975" i="20"/>
  <c r="AR975" i="20"/>
  <c r="AQ976" i="20"/>
  <c r="AR976" i="20"/>
  <c r="AQ983" i="20"/>
  <c r="AR983" i="20"/>
  <c r="AQ984" i="20"/>
  <c r="AR984" i="20"/>
  <c r="AQ996" i="20"/>
  <c r="AR996" i="20"/>
  <c r="AQ997" i="20"/>
  <c r="AR997" i="20"/>
  <c r="AQ1010" i="20"/>
  <c r="AR1010" i="20"/>
  <c r="AQ1018" i="20"/>
  <c r="AR1018" i="20"/>
  <c r="AQ1041" i="20"/>
  <c r="AR1041" i="20"/>
  <c r="AQ1056" i="20"/>
  <c r="AR1056" i="20"/>
  <c r="AQ1058" i="20"/>
  <c r="AR1058" i="20"/>
  <c r="AQ1065" i="20"/>
  <c r="AR1065" i="20"/>
  <c r="AQ1068" i="20"/>
  <c r="AR1068" i="20"/>
  <c r="AQ1073" i="20"/>
  <c r="AQ1078" i="20"/>
  <c r="AR1078" i="20"/>
  <c r="AQ1079" i="20"/>
  <c r="AR1079" i="20"/>
  <c r="AQ1084" i="20"/>
  <c r="AR1084" i="20"/>
  <c r="AQ1083" i="20"/>
  <c r="AQ1089" i="20"/>
  <c r="AQ1093" i="20"/>
  <c r="AR1093" i="20"/>
  <c r="AQ1091" i="20"/>
  <c r="AR1091" i="20"/>
  <c r="AQ1099" i="20"/>
  <c r="AR1099" i="20"/>
  <c r="AQ231" i="20"/>
  <c r="AR231" i="20"/>
  <c r="AQ328" i="20"/>
  <c r="AR328" i="20"/>
  <c r="AQ329" i="20"/>
  <c r="AR329" i="20"/>
  <c r="AQ330" i="20"/>
  <c r="AR330" i="20"/>
  <c r="AQ331" i="20"/>
  <c r="AR331" i="20"/>
  <c r="AQ338" i="20"/>
  <c r="AR338" i="20"/>
  <c r="AQ344" i="20"/>
  <c r="AR344" i="20"/>
  <c r="AQ345" i="20"/>
  <c r="AR345" i="20"/>
  <c r="AQ343" i="20"/>
  <c r="AR343" i="20"/>
  <c r="AQ357" i="20"/>
  <c r="AR357" i="20"/>
  <c r="AQ361" i="20"/>
  <c r="AR361" i="20"/>
  <c r="AQ367" i="20"/>
  <c r="AR367" i="20"/>
  <c r="AQ371" i="20"/>
  <c r="AR371" i="20"/>
  <c r="AQ377" i="20"/>
  <c r="AR377" i="20"/>
  <c r="AQ382" i="20"/>
  <c r="AR382" i="20"/>
  <c r="AQ390" i="20"/>
  <c r="AQ392" i="20"/>
  <c r="AR392" i="20"/>
  <c r="AQ404" i="20"/>
  <c r="AR404" i="20"/>
  <c r="AQ409" i="20"/>
  <c r="AR409" i="20"/>
  <c r="AQ410" i="20"/>
  <c r="AR410" i="20"/>
  <c r="AQ444" i="20"/>
  <c r="AR444" i="20"/>
  <c r="AQ450" i="20"/>
  <c r="AR450" i="20"/>
  <c r="AQ471" i="20"/>
  <c r="AR471" i="20"/>
  <c r="AQ474" i="20"/>
  <c r="AR474" i="20"/>
  <c r="AQ475" i="20"/>
  <c r="AR475" i="20"/>
  <c r="AQ491" i="20"/>
  <c r="AR491" i="20"/>
  <c r="AQ548" i="20"/>
  <c r="AR548" i="20"/>
  <c r="AQ504" i="20"/>
  <c r="AR504" i="20"/>
  <c r="AQ549" i="20"/>
  <c r="AR549" i="20"/>
  <c r="AQ516" i="20"/>
  <c r="AR516" i="20"/>
  <c r="AQ517" i="20"/>
  <c r="AR517" i="20"/>
  <c r="AQ534" i="20"/>
  <c r="AR534" i="20"/>
  <c r="AQ563" i="20"/>
  <c r="AR563" i="20"/>
  <c r="AQ512" i="20"/>
  <c r="AR512" i="20"/>
  <c r="AQ523" i="20"/>
  <c r="AR523" i="20"/>
  <c r="AQ506" i="20"/>
  <c r="AR506" i="20"/>
  <c r="AQ573" i="20"/>
  <c r="AR573" i="20"/>
  <c r="AQ588" i="20"/>
  <c r="AR588" i="20"/>
  <c r="AQ632" i="20"/>
  <c r="AR632" i="20"/>
  <c r="AQ630" i="20"/>
  <c r="AR630" i="20"/>
  <c r="AQ633" i="20"/>
  <c r="AQ653" i="20"/>
  <c r="AR653" i="20"/>
  <c r="AQ659" i="20"/>
  <c r="AR659" i="20"/>
  <c r="AQ715" i="20"/>
  <c r="AR715" i="20"/>
  <c r="AQ719" i="20"/>
  <c r="AR719" i="20"/>
  <c r="AQ782" i="20"/>
  <c r="AR782" i="20"/>
  <c r="AQ775" i="20"/>
  <c r="AR775" i="20"/>
  <c r="AQ783" i="20"/>
  <c r="AR783" i="20"/>
  <c r="AQ796" i="20"/>
  <c r="AR796" i="20"/>
  <c r="AQ799" i="20"/>
  <c r="AR799" i="20"/>
  <c r="AQ811" i="20"/>
  <c r="AR811" i="20"/>
  <c r="AQ831" i="20"/>
  <c r="AR831" i="20"/>
  <c r="AQ841" i="20"/>
  <c r="AR841" i="20"/>
  <c r="AQ855" i="20"/>
  <c r="AR855" i="20"/>
  <c r="AQ856" i="20"/>
  <c r="AR856" i="20"/>
  <c r="AQ857" i="20"/>
  <c r="AR857" i="20"/>
  <c r="AQ918" i="20"/>
  <c r="AR918" i="20"/>
  <c r="AQ919" i="20"/>
  <c r="AR919" i="20"/>
  <c r="AQ917" i="20"/>
  <c r="AR917" i="20"/>
  <c r="AQ921" i="20"/>
  <c r="AR921" i="20"/>
  <c r="AQ941" i="20"/>
  <c r="AR941" i="20"/>
  <c r="AQ939" i="20"/>
  <c r="AQ942" i="20"/>
  <c r="AR942" i="20"/>
  <c r="AQ948" i="20"/>
  <c r="AR948" i="20"/>
  <c r="AQ956" i="20"/>
  <c r="AR956" i="20"/>
  <c r="AQ967" i="20"/>
  <c r="AR967" i="20"/>
  <c r="AQ973" i="20"/>
  <c r="AR973" i="20"/>
  <c r="AQ978" i="20"/>
  <c r="AR978" i="20"/>
  <c r="AQ988" i="20"/>
  <c r="AR988" i="20"/>
  <c r="AQ1066" i="20"/>
  <c r="AR1066" i="20"/>
  <c r="AQ1067" i="20"/>
  <c r="AR1067" i="20"/>
  <c r="AQ1071" i="20"/>
  <c r="AR1071" i="20"/>
  <c r="AQ1069" i="20"/>
  <c r="AR1069" i="20"/>
  <c r="AQ1082" i="20"/>
  <c r="AR1082" i="20"/>
  <c r="AQ1094" i="20"/>
  <c r="AR1094" i="20"/>
  <c r="AQ1092" i="20"/>
  <c r="AR1092" i="20"/>
  <c r="AQ1097" i="20"/>
  <c r="AR1097" i="20"/>
  <c r="AQ1098" i="20"/>
  <c r="AR1098" i="20"/>
  <c r="AQ1096" i="20"/>
  <c r="AR1096" i="20"/>
  <c r="AQ376" i="20"/>
  <c r="AR376" i="20"/>
  <c r="AQ652" i="20"/>
  <c r="AR652" i="20"/>
  <c r="AQ937" i="20"/>
  <c r="AR937" i="20"/>
  <c r="AQ938" i="20"/>
  <c r="AQ1077" i="20"/>
  <c r="AR1077" i="20"/>
  <c r="AQ1087" i="20"/>
  <c r="AR1087" i="20"/>
  <c r="AQ207" i="20"/>
  <c r="AQ240" i="20"/>
  <c r="AR240" i="20"/>
  <c r="AQ270" i="20"/>
  <c r="AR270" i="20"/>
  <c r="AQ319" i="20"/>
  <c r="AR319" i="20"/>
  <c r="AQ325" i="20"/>
  <c r="AR325" i="20"/>
  <c r="AQ332" i="20"/>
  <c r="AR332" i="20"/>
  <c r="AQ333" i="20"/>
  <c r="AR333" i="20"/>
  <c r="AQ335" i="20"/>
  <c r="AR335" i="20"/>
  <c r="AQ336" i="20"/>
  <c r="AQ337" i="20"/>
  <c r="AR337" i="20"/>
  <c r="AQ341" i="20"/>
  <c r="AR341" i="20"/>
  <c r="AQ347" i="20"/>
  <c r="AR347" i="20"/>
  <c r="AQ352" i="20"/>
  <c r="AR352" i="20"/>
  <c r="AQ353" i="20"/>
  <c r="AR353" i="20"/>
  <c r="AQ354" i="20"/>
  <c r="AR354" i="20"/>
  <c r="AQ365" i="20"/>
  <c r="AR365" i="20"/>
  <c r="AQ366" i="20"/>
  <c r="AR366" i="20"/>
  <c r="AQ374" i="20"/>
  <c r="AR374" i="20"/>
  <c r="AQ388" i="20"/>
  <c r="AR388" i="20"/>
  <c r="AQ402" i="20"/>
  <c r="AR402" i="20"/>
  <c r="AQ417" i="20"/>
  <c r="AR417" i="20"/>
  <c r="AQ418" i="20"/>
  <c r="AR418" i="20"/>
  <c r="AQ419" i="20"/>
  <c r="AR419" i="20"/>
  <c r="AQ421" i="20"/>
  <c r="AR421" i="20"/>
  <c r="AQ432" i="20"/>
  <c r="AR432" i="20"/>
  <c r="AQ430" i="20"/>
  <c r="AR430" i="20"/>
  <c r="AQ431" i="20"/>
  <c r="AR431" i="20"/>
  <c r="AQ433" i="20"/>
  <c r="AR433" i="20"/>
  <c r="AQ439" i="20"/>
  <c r="AR439" i="20"/>
  <c r="AQ448" i="20"/>
  <c r="AR448" i="20"/>
  <c r="AQ457" i="20"/>
  <c r="AR457" i="20"/>
  <c r="AQ462" i="20"/>
  <c r="AR462" i="20"/>
  <c r="AQ464" i="20"/>
  <c r="AR464" i="20"/>
  <c r="AQ466" i="20"/>
  <c r="AR466" i="20"/>
  <c r="AQ472" i="20"/>
  <c r="AR472" i="20"/>
  <c r="AQ476" i="20"/>
  <c r="AR476" i="20"/>
  <c r="AQ561" i="20"/>
  <c r="AR561" i="20"/>
  <c r="AQ554" i="20"/>
  <c r="AR554" i="20"/>
  <c r="AQ518" i="20"/>
  <c r="AR518" i="20"/>
  <c r="AQ536" i="20"/>
  <c r="AR536" i="20"/>
  <c r="AQ571" i="20"/>
  <c r="AQ581" i="20"/>
  <c r="AR581" i="20"/>
  <c r="AQ580" i="20"/>
  <c r="AR580" i="20"/>
  <c r="AQ579" i="20"/>
  <c r="AR579" i="20"/>
  <c r="AQ584" i="20"/>
  <c r="AR584" i="20"/>
  <c r="AQ587" i="20"/>
  <c r="AR587" i="20"/>
  <c r="AQ590" i="20"/>
  <c r="AR590" i="20"/>
  <c r="AQ603" i="20"/>
  <c r="AR603" i="20"/>
  <c r="AQ612" i="20"/>
  <c r="AQ635" i="20"/>
  <c r="AR635" i="20"/>
  <c r="AQ646" i="20"/>
  <c r="AR646" i="20"/>
  <c r="AQ647" i="20"/>
  <c r="AR647" i="20"/>
  <c r="AQ665" i="20"/>
  <c r="AR665" i="20"/>
  <c r="AQ666" i="20"/>
  <c r="AR666" i="20"/>
  <c r="AQ667" i="20"/>
  <c r="AR667" i="20"/>
  <c r="AQ668" i="20"/>
  <c r="AR668" i="20"/>
  <c r="AQ669" i="20"/>
  <c r="AR669" i="20"/>
  <c r="AQ671" i="20"/>
  <c r="AR671" i="20"/>
  <c r="AQ677" i="20"/>
  <c r="AR677" i="20"/>
  <c r="AQ693" i="20"/>
  <c r="AR693" i="20"/>
  <c r="AQ701" i="20"/>
  <c r="AR701" i="20"/>
  <c r="AQ699" i="20"/>
  <c r="AR699" i="20"/>
  <c r="AQ697" i="20"/>
  <c r="AR697" i="20"/>
  <c r="AQ705" i="20"/>
  <c r="AR705" i="20"/>
  <c r="AQ706" i="20"/>
  <c r="AR706" i="20"/>
  <c r="AQ710" i="20"/>
  <c r="AR710" i="20"/>
  <c r="AQ724" i="20"/>
  <c r="AR724" i="20"/>
  <c r="AQ721" i="20"/>
  <c r="AR721" i="20"/>
  <c r="AQ718" i="20"/>
  <c r="AR718" i="20"/>
  <c r="AQ735" i="20"/>
  <c r="AQ731" i="20"/>
  <c r="AQ727" i="20"/>
  <c r="AR727" i="20"/>
  <c r="AQ726" i="20"/>
  <c r="AQ730" i="20"/>
  <c r="AR730" i="20"/>
  <c r="AQ729" i="20"/>
  <c r="AR729" i="20"/>
  <c r="AQ737" i="20"/>
  <c r="AR737" i="20"/>
  <c r="AQ742" i="20"/>
  <c r="AR742" i="20"/>
  <c r="AQ738" i="20"/>
  <c r="AQ740" i="20"/>
  <c r="AR740" i="20"/>
  <c r="AQ741" i="20"/>
  <c r="AQ746" i="20"/>
  <c r="AR746" i="20"/>
  <c r="AQ744" i="20"/>
  <c r="AR744" i="20"/>
  <c r="AQ757" i="20"/>
  <c r="AR757" i="20"/>
  <c r="AQ759" i="20"/>
  <c r="AR759" i="20"/>
  <c r="AQ786" i="20"/>
  <c r="AR786" i="20"/>
  <c r="AQ785" i="20"/>
  <c r="AR785" i="20"/>
  <c r="AQ774" i="20"/>
  <c r="AR774" i="20"/>
  <c r="AQ836" i="20"/>
  <c r="AR836" i="20"/>
  <c r="AQ829" i="20"/>
  <c r="AR829" i="20"/>
  <c r="AQ822" i="20"/>
  <c r="AR822" i="20"/>
  <c r="AQ807" i="20"/>
  <c r="AR807" i="20"/>
  <c r="AQ818" i="20"/>
  <c r="AR818" i="20"/>
  <c r="AQ817" i="20"/>
  <c r="AR817" i="20"/>
  <c r="AQ821" i="20"/>
  <c r="AR821" i="20"/>
  <c r="AQ838" i="20"/>
  <c r="AR838" i="20"/>
  <c r="AQ824" i="20"/>
  <c r="AR824" i="20"/>
  <c r="AQ865" i="20"/>
  <c r="AR865" i="20"/>
  <c r="AQ868" i="20"/>
  <c r="AR868" i="20"/>
  <c r="AQ870" i="20"/>
  <c r="AR870" i="20"/>
  <c r="AQ883" i="20"/>
  <c r="AR883" i="20"/>
  <c r="AQ903" i="20"/>
  <c r="AQ909" i="20"/>
  <c r="AR909" i="20"/>
  <c r="AQ915" i="20"/>
  <c r="AR915" i="20"/>
  <c r="AQ930" i="20"/>
  <c r="AR930" i="20"/>
  <c r="AQ925" i="20"/>
  <c r="AR925" i="20"/>
  <c r="AQ926" i="20"/>
  <c r="AR926" i="20"/>
  <c r="AQ946" i="20"/>
  <c r="AR946" i="20"/>
  <c r="AQ961" i="20"/>
  <c r="AR961" i="20"/>
  <c r="AQ974" i="20"/>
  <c r="AR974" i="20"/>
  <c r="AQ1019" i="20"/>
  <c r="AQ1052" i="20"/>
  <c r="AR1052" i="20"/>
  <c r="AQ1051" i="20"/>
  <c r="AR1051" i="20"/>
  <c r="AQ1055" i="20"/>
  <c r="AR1055" i="20"/>
  <c r="AQ1059" i="20"/>
  <c r="AR1059" i="20"/>
  <c r="AQ1060" i="20"/>
  <c r="AR1060" i="20"/>
  <c r="AQ1076" i="20"/>
  <c r="AR1076" i="20"/>
  <c r="AQ1085" i="20"/>
  <c r="I1" i="20"/>
  <c r="AS459" i="20"/>
  <c r="AS461" i="20"/>
  <c r="AS460" i="20"/>
  <c r="AS462" i="20"/>
  <c r="AS420" i="20"/>
  <c r="AS380" i="20"/>
  <c r="AS383" i="20"/>
  <c r="AS416" i="20"/>
  <c r="AS399" i="20"/>
  <c r="AS427" i="20"/>
  <c r="AS422" i="20"/>
  <c r="AS412" i="20"/>
  <c r="AS429" i="20"/>
  <c r="AS378" i="20"/>
  <c r="AS369" i="20"/>
  <c r="AS411" i="20"/>
  <c r="AS425" i="20"/>
  <c r="AS424" i="20"/>
  <c r="AS356" i="20"/>
  <c r="AS358" i="20"/>
  <c r="AS426" i="20"/>
  <c r="AS368" i="20"/>
  <c r="AS428" i="20"/>
  <c r="AS373" i="20"/>
  <c r="AS375" i="20"/>
  <c r="AS385" i="20"/>
  <c r="AS381" i="20"/>
  <c r="AS413" i="20"/>
  <c r="AS334" i="20"/>
  <c r="AS339" i="20"/>
  <c r="AS340" i="20"/>
  <c r="AS372" i="20"/>
  <c r="AS415" i="20"/>
  <c r="AS342" i="20"/>
  <c r="AS346" i="20"/>
  <c r="AS379" i="20"/>
  <c r="AS400" i="20"/>
  <c r="AS348" i="20"/>
  <c r="AS349" i="20"/>
  <c r="AS350" i="20"/>
  <c r="AS351" i="20"/>
  <c r="AS359" i="20"/>
  <c r="AS370" i="20"/>
  <c r="AS393" i="20"/>
  <c r="AS396" i="20"/>
  <c r="AS338" i="20"/>
  <c r="AS344" i="20"/>
  <c r="AS345" i="20"/>
  <c r="AS343" i="20"/>
  <c r="AS357" i="20"/>
  <c r="AS367" i="20"/>
  <c r="AS371" i="20"/>
  <c r="AS377" i="20"/>
  <c r="AS382" i="20"/>
  <c r="AS392" i="20"/>
  <c r="AS376" i="20"/>
  <c r="AS341" i="20"/>
  <c r="AS353" i="20"/>
  <c r="AS354" i="20"/>
  <c r="AS366" i="20"/>
  <c r="AS374" i="20"/>
  <c r="AS417" i="20"/>
  <c r="AS418" i="20"/>
  <c r="AS419" i="20"/>
  <c r="AS421" i="20"/>
  <c r="AS432" i="20"/>
  <c r="AS430" i="20"/>
  <c r="AS431" i="20"/>
  <c r="AS682" i="20"/>
  <c r="AS683" i="20"/>
  <c r="AS689" i="20"/>
  <c r="AS684" i="20"/>
  <c r="AS674" i="20"/>
  <c r="AS690" i="20"/>
  <c r="AS676" i="20"/>
  <c r="AS688" i="20"/>
  <c r="AS685" i="20"/>
  <c r="AS686" i="20"/>
  <c r="AS687" i="20"/>
  <c r="AS828" i="20"/>
  <c r="AS816" i="20"/>
  <c r="AS814" i="20"/>
  <c r="AS804" i="20"/>
  <c r="AS808" i="20"/>
  <c r="AS809" i="20"/>
  <c r="AS810" i="20"/>
  <c r="AS805" i="20"/>
  <c r="AS825" i="20"/>
  <c r="AS803" i="20"/>
  <c r="AS806" i="20"/>
  <c r="AS827" i="20"/>
  <c r="AS812" i="20"/>
  <c r="AS594" i="20"/>
  <c r="AS607" i="20"/>
  <c r="AS823" i="20"/>
  <c r="AS840" i="20"/>
  <c r="AS813" i="20"/>
  <c r="AS815" i="20"/>
  <c r="AS591" i="20"/>
  <c r="AS839" i="20"/>
  <c r="AS834" i="20"/>
  <c r="AS604" i="20"/>
  <c r="AS832" i="20"/>
  <c r="AS833" i="20"/>
  <c r="AS446" i="20"/>
  <c r="AS447" i="20"/>
  <c r="AS451" i="20"/>
  <c r="AS452" i="20"/>
  <c r="AS485" i="20"/>
  <c r="AS582" i="20"/>
  <c r="AS592" i="20"/>
  <c r="AS837" i="20"/>
  <c r="AS441" i="20"/>
  <c r="AS826" i="20"/>
  <c r="AS819" i="20"/>
  <c r="AS820" i="20"/>
  <c r="AS454" i="20"/>
  <c r="AS455" i="20"/>
  <c r="AS835" i="20"/>
  <c r="AS830" i="20"/>
  <c r="AS444" i="20"/>
  <c r="AS450" i="20"/>
  <c r="AS811" i="20"/>
  <c r="AS831" i="20"/>
  <c r="AS603" i="20"/>
  <c r="AS836" i="20"/>
  <c r="AS829" i="20"/>
  <c r="AS822" i="20"/>
  <c r="AS807" i="20"/>
  <c r="AS818" i="20"/>
  <c r="AS817" i="20"/>
  <c r="AS821" i="20"/>
  <c r="AS838" i="20"/>
  <c r="AS824" i="20"/>
  <c r="AS510" i="20"/>
  <c r="AS538" i="20"/>
  <c r="AS545" i="20"/>
  <c r="AS533" i="20"/>
  <c r="AS564" i="20"/>
  <c r="AS559" i="20"/>
  <c r="AS528" i="20"/>
  <c r="AS507" i="20"/>
  <c r="AS494" i="20"/>
  <c r="AS530" i="20"/>
  <c r="AS499" i="20"/>
  <c r="AS555" i="20"/>
  <c r="AS557" i="20"/>
  <c r="AS516" i="20"/>
  <c r="AS443" i="20"/>
  <c r="AS445" i="20"/>
  <c r="AS448" i="20"/>
  <c r="AS622" i="20"/>
  <c r="AS765" i="20"/>
  <c r="AS623" i="20"/>
  <c r="AS770" i="20"/>
  <c r="AS771" i="20"/>
  <c r="AS772" i="20"/>
  <c r="AS769" i="20"/>
  <c r="AS723" i="20"/>
  <c r="AS758" i="20"/>
  <c r="AS767" i="20"/>
  <c r="AS619" i="20"/>
  <c r="AS617" i="20"/>
  <c r="AS761" i="20"/>
  <c r="AS768" i="20"/>
  <c r="AS716" i="20"/>
  <c r="AS760" i="20"/>
  <c r="AS763" i="20"/>
  <c r="AS715" i="20"/>
  <c r="AS719" i="20"/>
  <c r="AS693" i="20"/>
  <c r="AS759" i="20"/>
  <c r="AS436" i="20"/>
  <c r="AS435" i="20"/>
  <c r="AS440" i="20"/>
  <c r="AS438" i="20"/>
  <c r="AS439" i="20"/>
  <c r="AS482" i="20"/>
  <c r="AS484" i="20"/>
  <c r="AS483" i="20"/>
  <c r="AS481" i="20"/>
  <c r="AS479" i="20"/>
  <c r="AS480" i="20"/>
  <c r="AS478" i="20"/>
  <c r="AS532" i="20"/>
  <c r="AS802" i="20"/>
  <c r="AS467" i="20"/>
  <c r="AS524" i="20"/>
  <c r="AS511" i="20"/>
  <c r="AS572" i="20"/>
  <c r="AS601" i="20"/>
  <c r="AS546" i="20"/>
  <c r="AS613" i="20"/>
  <c r="AS565" i="20"/>
  <c r="AS541" i="20"/>
  <c r="AS553" i="20"/>
  <c r="AS521" i="20"/>
  <c r="AS597" i="20"/>
  <c r="AS709" i="20"/>
  <c r="AS801" i="20"/>
  <c r="AS470" i="20"/>
  <c r="AS525" i="20"/>
  <c r="AS509" i="20"/>
  <c r="AS854" i="20"/>
  <c r="AS473" i="20"/>
  <c r="AS522" i="20"/>
  <c r="AS560" i="20"/>
  <c r="AS527" i="20"/>
  <c r="AS615" i="20"/>
  <c r="AS792" i="20"/>
  <c r="AS520" i="20"/>
  <c r="AS542" i="20"/>
  <c r="AS539" i="20"/>
  <c r="AS598" i="20"/>
  <c r="AS609" i="20"/>
  <c r="AS711" i="20"/>
  <c r="AS469" i="20"/>
  <c r="AS550" i="20"/>
  <c r="AS529" i="20"/>
  <c r="AS515" i="20"/>
  <c r="AS576" i="20"/>
  <c r="AS577" i="20"/>
  <c r="AS608" i="20"/>
  <c r="AS714" i="20"/>
  <c r="AS468" i="20"/>
  <c r="AS526" i="20"/>
  <c r="AS508" i="20"/>
  <c r="AS505" i="20"/>
  <c r="AS567" i="20"/>
  <c r="AS798" i="20"/>
  <c r="AS477" i="20"/>
  <c r="AS490" i="20"/>
  <c r="AS492" i="20"/>
  <c r="AS562" i="20"/>
  <c r="AS495" i="20"/>
  <c r="AS537" i="20"/>
  <c r="AS519" i="20"/>
  <c r="AS566" i="20"/>
  <c r="AS498" i="20"/>
  <c r="AS531" i="20"/>
  <c r="AS547" i="20"/>
  <c r="AS569" i="20"/>
  <c r="AS578" i="20"/>
  <c r="AS605" i="20"/>
  <c r="AS712" i="20"/>
  <c r="AS795" i="20"/>
  <c r="AS800" i="20"/>
  <c r="AS540" i="20"/>
  <c r="AS513" i="20"/>
  <c r="AS500" i="20"/>
  <c r="AS602" i="20"/>
  <c r="AS791" i="20"/>
  <c r="AS852" i="20"/>
  <c r="AS486" i="20"/>
  <c r="AS535" i="20"/>
  <c r="AS502" i="20"/>
  <c r="AS793" i="20"/>
  <c r="AS465" i="20"/>
  <c r="AS551" i="20"/>
  <c r="AS556" i="20"/>
  <c r="AS558" i="20"/>
  <c r="AS544" i="20"/>
  <c r="AS575" i="20"/>
  <c r="AS586" i="20"/>
  <c r="AS789" i="20"/>
  <c r="AS790" i="20"/>
  <c r="AS794" i="20"/>
  <c r="AS471" i="20"/>
  <c r="AS474" i="20"/>
  <c r="AS475" i="20"/>
  <c r="AS548" i="20"/>
  <c r="AS504" i="20"/>
  <c r="AS549" i="20"/>
  <c r="AS517" i="20"/>
  <c r="AS534" i="20"/>
  <c r="AS563" i="20"/>
  <c r="AS512" i="20"/>
  <c r="AS523" i="20"/>
  <c r="AS506" i="20"/>
  <c r="AS588" i="20"/>
  <c r="AS796" i="20"/>
  <c r="AS799" i="20"/>
  <c r="AS855" i="20"/>
  <c r="AS856" i="20"/>
  <c r="AS857" i="20"/>
  <c r="AS457" i="20"/>
  <c r="AS464" i="20"/>
  <c r="AS466" i="20"/>
  <c r="AS476" i="20"/>
  <c r="AS561" i="20"/>
  <c r="AS554" i="20"/>
  <c r="AS518" i="20"/>
  <c r="AS536" i="20"/>
  <c r="AS581" i="20"/>
  <c r="AS580" i="20"/>
  <c r="AS579" i="20"/>
  <c r="AS710" i="20"/>
  <c r="AS777" i="20"/>
  <c r="AS778" i="20"/>
  <c r="AS779" i="20"/>
  <c r="AS776" i="20"/>
  <c r="AS784" i="20"/>
  <c r="AS780" i="20"/>
  <c r="AS788" i="20"/>
  <c r="AS787" i="20"/>
  <c r="AS781" i="20"/>
  <c r="AS782" i="20"/>
  <c r="AS775" i="20"/>
  <c r="AS783" i="20"/>
  <c r="AS786" i="20"/>
  <c r="AS785" i="20"/>
  <c r="AS774" i="20"/>
  <c r="M13" i="43"/>
  <c r="N13" i="43"/>
  <c r="M14" i="43"/>
  <c r="N14" i="43"/>
  <c r="M12" i="43"/>
  <c r="N12" i="43"/>
  <c r="AF139" i="14"/>
  <c r="AH139" i="14"/>
  <c r="AF190" i="14"/>
  <c r="AH190" i="14"/>
  <c r="AF40" i="14"/>
  <c r="AH40" i="14"/>
  <c r="AF49" i="14"/>
  <c r="AH49" i="14"/>
  <c r="AF142" i="14"/>
  <c r="AH142" i="14"/>
  <c r="AF172" i="14"/>
  <c r="AH172" i="14"/>
  <c r="AF69" i="14"/>
  <c r="AH69" i="14"/>
  <c r="AF79" i="14"/>
  <c r="AH79" i="14"/>
  <c r="AF67" i="14"/>
  <c r="AH67" i="14"/>
  <c r="AF65" i="14"/>
  <c r="AH65" i="14"/>
  <c r="AF64" i="14"/>
  <c r="AH64" i="14"/>
  <c r="AF175" i="14"/>
  <c r="AH175" i="14"/>
  <c r="AF130" i="14"/>
  <c r="AH130" i="14"/>
  <c r="AF135" i="14"/>
  <c r="AH135" i="14"/>
  <c r="AF137" i="14"/>
  <c r="AH137" i="14"/>
  <c r="AF171" i="14"/>
  <c r="AH171" i="14"/>
  <c r="AF68" i="14"/>
  <c r="AH68" i="14"/>
  <c r="AF174" i="14"/>
  <c r="AH174" i="14"/>
  <c r="AF173" i="14"/>
  <c r="AH173" i="14"/>
  <c r="AF181" i="14"/>
  <c r="AH181" i="14"/>
  <c r="AF189" i="14"/>
  <c r="AH189" i="14"/>
  <c r="AF200" i="14"/>
  <c r="AH200" i="14"/>
  <c r="AF225" i="14"/>
  <c r="AH225" i="14"/>
  <c r="AF229" i="14"/>
  <c r="AH229" i="14"/>
  <c r="AF230" i="14"/>
  <c r="AH230" i="14"/>
  <c r="AF239" i="14"/>
  <c r="AH239" i="14"/>
  <c r="AF242" i="14"/>
  <c r="AH242" i="14"/>
  <c r="AF244" i="14"/>
  <c r="AH244" i="14"/>
  <c r="N13" i="37"/>
  <c r="N14" i="37"/>
  <c r="AU400" i="20"/>
  <c r="AU399" i="20"/>
  <c r="AU396" i="20"/>
  <c r="AU393" i="20"/>
  <c r="AU350" i="20"/>
  <c r="AU351" i="20"/>
  <c r="AU385" i="20"/>
  <c r="AU379" i="20"/>
  <c r="AU376" i="20"/>
  <c r="AU375" i="20"/>
  <c r="AU377" i="20"/>
  <c r="AU373" i="20"/>
  <c r="AU372" i="20"/>
  <c r="AU339" i="20"/>
  <c r="AU340" i="20"/>
  <c r="AU359" i="20"/>
  <c r="AU357" i="20"/>
  <c r="AU356" i="20"/>
  <c r="AU392" i="20"/>
  <c r="AU346" i="20"/>
  <c r="AU344" i="20"/>
  <c r="AU345" i="20"/>
  <c r="AU343" i="20"/>
  <c r="AU341" i="20"/>
  <c r="AU358" i="20"/>
  <c r="AU383" i="20"/>
  <c r="AU381" i="20"/>
  <c r="AU382" i="20"/>
  <c r="AU380" i="20"/>
  <c r="AU378" i="20"/>
  <c r="AU374" i="20"/>
  <c r="AU370" i="20"/>
  <c r="AU369" i="20"/>
  <c r="AU371" i="20"/>
  <c r="AU368" i="20"/>
  <c r="AU367" i="20"/>
  <c r="AU366" i="20"/>
  <c r="AU334" i="20"/>
  <c r="AU349" i="20"/>
  <c r="AU348" i="20"/>
  <c r="AU424" i="20"/>
  <c r="AU425" i="20"/>
  <c r="AU426" i="20"/>
  <c r="AU354" i="20"/>
  <c r="AU353" i="20"/>
  <c r="AU414" i="20"/>
  <c r="AU415" i="20"/>
  <c r="AU342" i="20"/>
  <c r="AU338" i="20"/>
  <c r="AU420" i="20"/>
  <c r="AU417" i="20"/>
  <c r="AU419" i="20"/>
  <c r="AU418" i="20"/>
  <c r="AU416" i="20"/>
  <c r="AU413" i="20"/>
  <c r="AU412" i="20"/>
  <c r="AU411" i="20"/>
  <c r="AU427" i="20"/>
  <c r="AU428" i="20"/>
  <c r="AU430" i="20"/>
  <c r="AU431" i="20"/>
  <c r="AU429" i="20"/>
  <c r="AU432" i="20"/>
  <c r="AU421" i="20"/>
  <c r="AU422" i="20"/>
  <c r="AU443" i="20"/>
  <c r="AU448" i="20"/>
  <c r="AU445" i="20"/>
  <c r="N162" i="86"/>
  <c r="N163" i="86"/>
  <c r="N164" i="86"/>
  <c r="N165" i="86"/>
  <c r="N166" i="86"/>
  <c r="N167" i="86"/>
  <c r="N168" i="86"/>
  <c r="N148" i="86"/>
  <c r="N149" i="86"/>
  <c r="N150" i="86"/>
  <c r="N151" i="86"/>
  <c r="N152" i="86"/>
  <c r="N153" i="86"/>
  <c r="N154" i="86"/>
  <c r="N155" i="86"/>
  <c r="N156" i="86"/>
  <c r="N157" i="86"/>
  <c r="N158" i="86"/>
  <c r="N159" i="86"/>
  <c r="N160" i="86"/>
  <c r="N161" i="86"/>
  <c r="N146" i="86"/>
  <c r="N147" i="86"/>
  <c r="N139" i="86"/>
  <c r="N140" i="86"/>
  <c r="N141" i="86"/>
  <c r="N142" i="86"/>
  <c r="N143" i="86"/>
  <c r="N144" i="86"/>
  <c r="N145" i="86"/>
  <c r="N137" i="86"/>
  <c r="N138" i="86"/>
  <c r="N136" i="86"/>
  <c r="N134" i="86"/>
  <c r="N135" i="86"/>
  <c r="N132" i="86"/>
  <c r="N133" i="86"/>
  <c r="N125" i="86"/>
  <c r="N126" i="86"/>
  <c r="N127" i="86"/>
  <c r="N128" i="86"/>
  <c r="N129" i="86"/>
  <c r="N130" i="86"/>
  <c r="N131" i="86"/>
  <c r="N124" i="86"/>
  <c r="N123" i="86"/>
  <c r="N118" i="86"/>
  <c r="N119" i="86"/>
  <c r="N120" i="86"/>
  <c r="N121" i="86"/>
  <c r="N122" i="86"/>
  <c r="N116" i="86"/>
  <c r="N117" i="86"/>
  <c r="N111" i="86"/>
  <c r="N112" i="86"/>
  <c r="N113" i="86"/>
  <c r="N114" i="86"/>
  <c r="N115" i="86"/>
  <c r="N94" i="86"/>
  <c r="N95" i="86"/>
  <c r="N96" i="86"/>
  <c r="N97" i="86"/>
  <c r="N98" i="86"/>
  <c r="N99" i="86"/>
  <c r="N100" i="86"/>
  <c r="N101" i="86"/>
  <c r="N102" i="86"/>
  <c r="N103" i="86"/>
  <c r="N104" i="86"/>
  <c r="N105" i="86"/>
  <c r="N106" i="86"/>
  <c r="N107" i="86"/>
  <c r="N108" i="86"/>
  <c r="N109" i="86"/>
  <c r="N110" i="86"/>
  <c r="N93" i="86"/>
  <c r="N90" i="86"/>
  <c r="N91" i="86"/>
  <c r="N92" i="86"/>
  <c r="N87" i="86"/>
  <c r="N88" i="86"/>
  <c r="N89" i="86"/>
  <c r="N86" i="86"/>
  <c r="N82" i="86"/>
  <c r="N83" i="86"/>
  <c r="N84" i="86"/>
  <c r="N85" i="86"/>
  <c r="N81" i="86"/>
  <c r="N79" i="86"/>
  <c r="N80" i="86"/>
  <c r="N78" i="86"/>
  <c r="N76" i="86"/>
  <c r="N77" i="86"/>
  <c r="N70" i="86"/>
  <c r="N71" i="86"/>
  <c r="N72" i="86"/>
  <c r="N73" i="86"/>
  <c r="N74" i="86"/>
  <c r="N75" i="86"/>
  <c r="N69" i="86"/>
  <c r="N65" i="86"/>
  <c r="N66" i="86"/>
  <c r="N67" i="86"/>
  <c r="N68" i="86"/>
  <c r="N64" i="86"/>
  <c r="N55" i="86"/>
  <c r="N56" i="86"/>
  <c r="N57" i="86"/>
  <c r="N58" i="86"/>
  <c r="N59" i="86"/>
  <c r="N60" i="86"/>
  <c r="N61" i="86"/>
  <c r="N62" i="86"/>
  <c r="N63" i="86"/>
  <c r="AU475" i="20"/>
  <c r="AU469" i="20"/>
  <c r="AU473" i="20"/>
  <c r="AU471" i="20"/>
  <c r="AU474" i="20"/>
  <c r="AU467" i="20"/>
  <c r="AU465" i="20"/>
  <c r="AU466" i="20"/>
  <c r="AU477" i="20"/>
  <c r="AU468" i="20"/>
  <c r="AU470" i="20"/>
  <c r="AU476" i="20"/>
  <c r="AU586" i="20"/>
  <c r="AU615" i="20"/>
  <c r="AU478" i="20"/>
  <c r="AU569" i="20"/>
  <c r="AU490" i="20"/>
  <c r="AU567" i="20"/>
  <c r="AU588" i="20"/>
  <c r="AU575" i="20"/>
  <c r="AU486" i="20"/>
  <c r="AU609" i="20"/>
  <c r="AU602" i="20"/>
  <c r="AU598" i="20"/>
  <c r="AU605" i="20"/>
  <c r="AU578" i="20"/>
  <c r="AU608" i="20"/>
  <c r="AU577" i="20"/>
  <c r="AU597" i="20"/>
  <c r="AU581" i="20"/>
  <c r="AU492" i="20"/>
  <c r="AU613" i="20"/>
  <c r="AU611" i="20"/>
  <c r="AU601" i="20"/>
  <c r="AU572" i="20"/>
  <c r="AU464" i="20"/>
  <c r="AU580" i="20"/>
  <c r="AU579" i="20"/>
  <c r="AU457" i="20"/>
  <c r="AU576" i="20"/>
  <c r="R1" i="86"/>
  <c r="N2" i="86"/>
  <c r="N3" i="86"/>
  <c r="N4" i="86"/>
  <c r="N5" i="86"/>
  <c r="N6" i="86"/>
  <c r="N7" i="86"/>
  <c r="N8" i="86"/>
  <c r="N9" i="86"/>
  <c r="N10"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AU444" i="20"/>
  <c r="AU447" i="20"/>
  <c r="AU452" i="20"/>
  <c r="AU455" i="20"/>
  <c r="AU454" i="20"/>
  <c r="AU451" i="20"/>
  <c r="AU446" i="20"/>
  <c r="AU450" i="20"/>
  <c r="AU441" i="20"/>
  <c r="AU485" i="20"/>
  <c r="AU604" i="20"/>
  <c r="AU582" i="20"/>
  <c r="AU594" i="20"/>
  <c r="AU603" i="20"/>
  <c r="AU592" i="20"/>
  <c r="AU591" i="20"/>
  <c r="AU607" i="20"/>
  <c r="AU682" i="20"/>
  <c r="AU835" i="20"/>
  <c r="AU768" i="20"/>
  <c r="AU761" i="20"/>
  <c r="AU1100" i="20"/>
  <c r="AU833" i="20"/>
  <c r="AU1101" i="20"/>
  <c r="AU1099" i="20"/>
  <c r="AU1097" i="20"/>
  <c r="AU1098" i="20"/>
  <c r="AU826" i="20"/>
  <c r="AU763" i="20"/>
  <c r="AU760" i="20"/>
  <c r="AU716" i="20"/>
  <c r="AU687" i="20"/>
  <c r="AU819" i="20"/>
  <c r="AU820" i="20"/>
  <c r="AU839" i="20"/>
  <c r="AU834" i="20"/>
  <c r="AU688" i="20"/>
  <c r="AU832" i="20"/>
  <c r="AU767" i="20"/>
  <c r="AU550" i="20"/>
  <c r="AU522" i="20"/>
  <c r="AU815" i="20"/>
  <c r="AU719" i="20"/>
  <c r="AU811" i="20"/>
  <c r="AU504" i="20"/>
  <c r="AU715" i="20"/>
  <c r="AU765" i="20"/>
  <c r="AU689" i="20"/>
  <c r="AU831" i="20"/>
  <c r="AU816" i="20"/>
  <c r="AU830" i="20"/>
  <c r="AU836" i="20"/>
  <c r="AU561" i="20"/>
  <c r="AU837" i="20"/>
  <c r="AU562" i="20"/>
  <c r="AU723" i="20"/>
  <c r="AU554" i="20"/>
  <c r="AU439" i="20"/>
  <c r="AU674" i="20"/>
  <c r="AU436" i="20"/>
  <c r="AU794" i="20"/>
  <c r="AU551" i="20"/>
  <c r="AU799" i="20"/>
  <c r="AU517" i="20"/>
  <c r="AU495" i="20"/>
  <c r="AU617" i="20"/>
  <c r="AU798" i="20"/>
  <c r="AU508" i="20"/>
  <c r="AU619" i="20"/>
  <c r="AU801" i="20"/>
  <c r="AU565" i="20"/>
  <c r="AU795" i="20"/>
  <c r="AU537" i="20"/>
  <c r="AU560" i="20"/>
  <c r="AU796" i="20"/>
  <c r="AU534" i="20"/>
  <c r="AU793" i="20"/>
  <c r="AU535" i="20"/>
  <c r="AU791" i="20"/>
  <c r="AU540" i="20"/>
  <c r="AU792" i="20"/>
  <c r="AU527" i="20"/>
  <c r="AU802" i="20"/>
  <c r="AU532" i="20"/>
  <c r="AU622" i="20"/>
  <c r="AU789" i="20"/>
  <c r="AU556" i="20"/>
  <c r="AU790" i="20"/>
  <c r="AU558" i="20"/>
  <c r="AU800" i="20"/>
  <c r="AU519" i="20"/>
  <c r="AU711" i="20"/>
  <c r="AU520" i="20"/>
  <c r="AU710" i="20"/>
  <c r="AU518" i="20"/>
  <c r="AU541" i="20"/>
  <c r="AU709" i="20"/>
  <c r="AU553" i="20"/>
  <c r="AU459" i="20"/>
  <c r="AU461" i="20"/>
  <c r="AU759" i="20"/>
  <c r="AU460" i="20"/>
  <c r="AU758" i="20"/>
  <c r="AU829" i="20"/>
  <c r="AU822" i="20"/>
  <c r="AU823" i="20"/>
  <c r="AU807" i="20"/>
  <c r="AU818" i="20"/>
  <c r="AU817" i="20"/>
  <c r="AU828" i="20"/>
  <c r="AU683" i="20"/>
  <c r="AU840" i="20"/>
  <c r="AU821" i="20"/>
  <c r="AU566" i="20"/>
  <c r="AU440" i="20"/>
  <c r="AU685" i="20"/>
  <c r="AU498" i="20"/>
  <c r="AU505" i="20"/>
  <c r="AU435" i="20"/>
  <c r="AU856" i="20"/>
  <c r="AU563" i="20"/>
  <c r="AU857" i="20"/>
  <c r="AU512" i="20"/>
  <c r="AU523" i="20"/>
  <c r="AU438" i="20"/>
  <c r="AU854" i="20"/>
  <c r="AU509" i="20"/>
  <c r="AU855" i="20"/>
  <c r="AU506" i="20"/>
  <c r="AU502" i="20"/>
  <c r="AU542" i="20"/>
  <c r="AU484" i="20"/>
  <c r="AU481" i="20"/>
  <c r="AU513" i="20"/>
  <c r="AU852" i="20"/>
  <c r="AU479" i="20"/>
  <c r="AU480" i="20"/>
  <c r="AU500" i="20"/>
  <c r="AU539" i="20"/>
  <c r="AU483" i="20"/>
  <c r="AU712" i="20"/>
  <c r="AU531" i="20"/>
  <c r="AU714" i="20"/>
  <c r="AU529" i="20"/>
  <c r="AU521" i="20"/>
  <c r="AU482" i="20"/>
  <c r="AU536" i="20"/>
  <c r="AU812" i="20"/>
  <c r="AU686" i="20"/>
  <c r="AU690" i="20"/>
  <c r="AU814" i="20"/>
  <c r="AU804" i="20"/>
  <c r="AU770" i="20"/>
  <c r="AU808" i="20"/>
  <c r="AU771" i="20"/>
  <c r="AU809" i="20"/>
  <c r="AU810" i="20"/>
  <c r="AU772" i="20"/>
  <c r="AU838" i="20"/>
  <c r="AU805" i="20"/>
  <c r="AU825" i="20"/>
  <c r="AU824" i="20"/>
  <c r="AU803" i="20"/>
  <c r="AU769" i="20"/>
  <c r="AU684" i="20"/>
  <c r="AU806" i="20"/>
  <c r="AU813" i="20"/>
  <c r="AU827" i="20"/>
  <c r="AU546" i="20"/>
  <c r="AU623" i="20"/>
  <c r="AU497" i="20"/>
  <c r="AU676" i="20"/>
  <c r="AU515" i="20"/>
  <c r="AU511" i="20"/>
  <c r="AU693" i="20"/>
  <c r="AU462" i="20"/>
  <c r="AU494" i="20"/>
  <c r="AU507" i="20"/>
  <c r="AU516" i="20"/>
  <c r="AU545" i="20"/>
  <c r="AU559" i="20"/>
  <c r="AU564" i="20"/>
  <c r="AU774" i="20"/>
  <c r="AU538" i="20"/>
  <c r="AU533" i="20"/>
  <c r="AU510" i="20"/>
  <c r="AU528" i="20"/>
  <c r="AU530" i="20"/>
  <c r="AU499" i="20"/>
  <c r="AU555" i="20"/>
  <c r="AU557" i="20"/>
  <c r="AU775" i="20"/>
  <c r="AU776" i="20"/>
  <c r="AU777" i="20"/>
  <c r="AU778" i="20"/>
  <c r="AU779" i="20"/>
  <c r="AU780" i="20"/>
  <c r="AU781" i="20"/>
  <c r="AU782" i="20"/>
  <c r="AU783" i="20"/>
  <c r="AU784" i="20"/>
  <c r="AU785" i="20"/>
  <c r="AU786" i="20"/>
  <c r="AU787" i="20"/>
  <c r="AU788" i="20"/>
  <c r="AU524" i="20"/>
  <c r="AU525" i="20"/>
  <c r="AU526" i="20"/>
  <c r="AU544" i="20"/>
  <c r="AU547" i="20"/>
  <c r="AU548" i="20"/>
  <c r="AU549" i="20"/>
  <c r="S197" i="14"/>
  <c r="Z10" i="66"/>
  <c r="AF3" i="66"/>
  <c r="AF4" i="66"/>
  <c r="AF5" i="66"/>
  <c r="AF6" i="66"/>
  <c r="AF7" i="66"/>
  <c r="AF8" i="66"/>
  <c r="AF9" i="66"/>
  <c r="AF10" i="66"/>
  <c r="AF11" i="66"/>
  <c r="AF12" i="66"/>
  <c r="AF13" i="66"/>
  <c r="AF14" i="66"/>
  <c r="AF15" i="66"/>
  <c r="AF16" i="66"/>
  <c r="AF17" i="66"/>
  <c r="AF18" i="66"/>
  <c r="AF19" i="66"/>
  <c r="AF20" i="66"/>
  <c r="AF21" i="66"/>
  <c r="AF22" i="66"/>
  <c r="AF23" i="66"/>
  <c r="AE3" i="66"/>
  <c r="AE4" i="66"/>
  <c r="AE5" i="66"/>
  <c r="AE6" i="66"/>
  <c r="AE7" i="66"/>
  <c r="AE8" i="66"/>
  <c r="AE9" i="66"/>
  <c r="AE10" i="66"/>
  <c r="AE11" i="66"/>
  <c r="AE12" i="66"/>
  <c r="AE13" i="66"/>
  <c r="AE14" i="66"/>
  <c r="AE15" i="66"/>
  <c r="AE16" i="66"/>
  <c r="AE17" i="66"/>
  <c r="AE18" i="66"/>
  <c r="AE19" i="66"/>
  <c r="AE20" i="66"/>
  <c r="AE21" i="66"/>
  <c r="AE22" i="66"/>
  <c r="AE23" i="66"/>
  <c r="M13" i="37"/>
  <c r="M14" i="37"/>
  <c r="L13" i="37"/>
  <c r="L14" i="37"/>
  <c r="K13" i="37"/>
  <c r="K14" i="37"/>
  <c r="C3" i="77"/>
  <c r="C2" i="77"/>
  <c r="S246" i="14"/>
  <c r="S245" i="14"/>
  <c r="B16" i="37"/>
  <c r="C16" i="37"/>
  <c r="F15" i="36"/>
  <c r="G15" i="36"/>
  <c r="H15" i="36"/>
  <c r="I15" i="36"/>
  <c r="J15" i="36"/>
  <c r="S195" i="14"/>
  <c r="S194" i="14"/>
  <c r="S193" i="14"/>
  <c r="S192" i="14"/>
  <c r="S190" i="14"/>
  <c r="S189" i="14"/>
  <c r="S188" i="14"/>
  <c r="S187" i="14"/>
  <c r="S186" i="14"/>
  <c r="S185" i="14"/>
  <c r="S184" i="14"/>
  <c r="S61" i="14"/>
  <c r="S161" i="14"/>
  <c r="S148" i="14"/>
  <c r="S177" i="14"/>
  <c r="S178" i="14"/>
  <c r="S117" i="14"/>
  <c r="S52" i="14"/>
  <c r="S21" i="14"/>
  <c r="S222" i="14"/>
  <c r="S85" i="14"/>
  <c r="S84" i="14"/>
  <c r="S237" i="14"/>
  <c r="S179" i="14"/>
  <c r="S162" i="14"/>
  <c r="S50" i="14"/>
  <c r="S133" i="14"/>
  <c r="S132" i="14"/>
  <c r="S182" i="14"/>
  <c r="S38" i="14"/>
  <c r="S39" i="14"/>
  <c r="S48" i="14"/>
  <c r="S86" i="14"/>
  <c r="S87" i="14"/>
  <c r="S88" i="14"/>
  <c r="S89" i="14"/>
  <c r="S90" i="14"/>
  <c r="S91" i="14"/>
  <c r="S93" i="14"/>
  <c r="S94" i="14"/>
  <c r="S95" i="14"/>
  <c r="S96" i="14"/>
  <c r="S97" i="14"/>
  <c r="S98" i="14"/>
  <c r="S99" i="14"/>
  <c r="S100" i="14"/>
  <c r="S101" i="14"/>
  <c r="S102" i="14"/>
  <c r="S103" i="14"/>
  <c r="S105" i="14"/>
  <c r="S107" i="14"/>
  <c r="S108" i="14"/>
  <c r="S109" i="14"/>
  <c r="S111" i="14"/>
  <c r="S114" i="14"/>
  <c r="S118" i="14"/>
  <c r="S134" i="14"/>
  <c r="S139" i="14"/>
  <c r="S146" i="14"/>
  <c r="S147" i="14"/>
  <c r="S149" i="14"/>
  <c r="S151" i="14"/>
  <c r="S154" i="14"/>
  <c r="S164" i="14"/>
  <c r="S176" i="14"/>
  <c r="S214" i="14"/>
  <c r="S240" i="14"/>
  <c r="D16" i="43"/>
  <c r="D17" i="43"/>
  <c r="D18" i="43"/>
  <c r="E18" i="43"/>
  <c r="C9" i="37"/>
  <c r="C11" i="37"/>
  <c r="C13" i="37"/>
  <c r="C14" i="37"/>
  <c r="C15" i="37"/>
  <c r="C17" i="37"/>
  <c r="C18" i="37"/>
  <c r="C19" i="37"/>
  <c r="C20" i="37"/>
  <c r="C21" i="37"/>
  <c r="C22" i="37"/>
  <c r="C24" i="37"/>
  <c r="C25" i="37"/>
  <c r="C26" i="37"/>
  <c r="C27" i="37"/>
  <c r="C28" i="37"/>
  <c r="C29" i="37"/>
  <c r="C8" i="37"/>
  <c r="B9" i="37"/>
  <c r="B10" i="37"/>
  <c r="B11" i="37"/>
  <c r="B13" i="37"/>
  <c r="B14" i="37"/>
  <c r="B15" i="37"/>
  <c r="B17" i="37"/>
  <c r="B18" i="37"/>
  <c r="B19" i="37"/>
  <c r="B20" i="37"/>
  <c r="B21" i="37"/>
  <c r="B22" i="37"/>
  <c r="B23" i="37"/>
  <c r="B24" i="37"/>
  <c r="B25" i="37"/>
  <c r="B26" i="37"/>
  <c r="B27" i="37"/>
  <c r="B28" i="37"/>
  <c r="B29" i="37"/>
  <c r="B8" i="37"/>
  <c r="B10" i="36"/>
  <c r="B12" i="36"/>
  <c r="B14" i="36"/>
  <c r="B16" i="36"/>
  <c r="B17" i="36"/>
  <c r="B18" i="36"/>
  <c r="B19" i="36"/>
  <c r="B20" i="36"/>
  <c r="B21" i="36"/>
  <c r="B22" i="36"/>
  <c r="B23" i="36"/>
  <c r="B24" i="36"/>
  <c r="B25" i="36"/>
  <c r="B26" i="36"/>
  <c r="B27" i="36"/>
  <c r="B28" i="36"/>
  <c r="N54" i="37"/>
  <c r="M54" i="37"/>
  <c r="J54" i="37"/>
  <c r="I54" i="37"/>
  <c r="F54" i="37"/>
  <c r="E54" i="37"/>
  <c r="C54" i="37"/>
  <c r="B54" i="37"/>
  <c r="N53" i="37"/>
  <c r="M53" i="37"/>
  <c r="J53" i="37"/>
  <c r="I53" i="37"/>
  <c r="F53" i="37"/>
  <c r="E53" i="37"/>
  <c r="C53" i="37"/>
  <c r="B53" i="37"/>
  <c r="N52" i="37"/>
  <c r="M52" i="37"/>
  <c r="J52" i="37"/>
  <c r="I52" i="37"/>
  <c r="F52" i="37"/>
  <c r="E52" i="37"/>
  <c r="C52" i="37"/>
  <c r="B52" i="37"/>
  <c r="N51" i="37"/>
  <c r="M51" i="37"/>
  <c r="J51" i="37"/>
  <c r="I51" i="37"/>
  <c r="F51" i="37"/>
  <c r="E51" i="37"/>
  <c r="C51" i="37"/>
  <c r="B51" i="37"/>
  <c r="N50" i="37"/>
  <c r="M50" i="37"/>
  <c r="J50" i="37"/>
  <c r="I50" i="37"/>
  <c r="F50" i="37"/>
  <c r="E50" i="37"/>
  <c r="C50" i="37"/>
  <c r="B50" i="37"/>
  <c r="N49" i="37"/>
  <c r="M49" i="37"/>
  <c r="J49" i="37"/>
  <c r="I49" i="37"/>
  <c r="F49" i="37"/>
  <c r="E49" i="37"/>
  <c r="C49" i="37"/>
  <c r="B49" i="37"/>
  <c r="N48" i="37"/>
  <c r="M48" i="37"/>
  <c r="J48" i="37"/>
  <c r="I48" i="37"/>
  <c r="F48" i="37"/>
  <c r="E48" i="37"/>
  <c r="B48" i="37"/>
  <c r="N47" i="37"/>
  <c r="M47" i="37"/>
  <c r="J47" i="37"/>
  <c r="I47" i="37"/>
  <c r="F47" i="37"/>
  <c r="E47" i="37"/>
  <c r="C47" i="37"/>
  <c r="B47" i="37"/>
  <c r="N46" i="37"/>
  <c r="M46" i="37"/>
  <c r="J46" i="37"/>
  <c r="I46" i="37"/>
  <c r="F46" i="37"/>
  <c r="E46" i="37"/>
  <c r="C46" i="37"/>
  <c r="B46" i="37"/>
  <c r="N45" i="37"/>
  <c r="M45" i="37"/>
  <c r="J45" i="37"/>
  <c r="I45" i="37"/>
  <c r="F45" i="37"/>
  <c r="E45" i="37"/>
  <c r="C45" i="37"/>
  <c r="B45" i="37"/>
  <c r="N44" i="37"/>
  <c r="M44" i="37"/>
  <c r="J44" i="37"/>
  <c r="I44" i="37"/>
  <c r="F44" i="37"/>
  <c r="E44" i="37"/>
  <c r="C44" i="37"/>
  <c r="B44" i="37"/>
  <c r="N43" i="37"/>
  <c r="M43" i="37"/>
  <c r="J43" i="37"/>
  <c r="I43" i="37"/>
  <c r="F43" i="37"/>
  <c r="E43" i="37"/>
  <c r="C43" i="37"/>
  <c r="B43" i="37"/>
  <c r="N42" i="37"/>
  <c r="M42" i="37"/>
  <c r="J42" i="37"/>
  <c r="I42" i="37"/>
  <c r="F42" i="37"/>
  <c r="E42" i="37"/>
  <c r="C42" i="37"/>
  <c r="B42" i="37"/>
  <c r="N41" i="37"/>
  <c r="M41" i="37"/>
  <c r="J41" i="37"/>
  <c r="I41" i="37"/>
  <c r="F41" i="37"/>
  <c r="E41" i="37"/>
  <c r="C41" i="37"/>
  <c r="B41" i="37"/>
  <c r="N40" i="37"/>
  <c r="M40" i="37"/>
  <c r="L40" i="37"/>
  <c r="J40" i="37"/>
  <c r="I40" i="37"/>
  <c r="H40" i="37"/>
  <c r="F40" i="37"/>
  <c r="E40" i="37"/>
  <c r="D40" i="37"/>
  <c r="C40" i="37"/>
  <c r="B40" i="37"/>
  <c r="N39" i="37"/>
  <c r="M39" i="37"/>
  <c r="L39" i="37"/>
  <c r="J39" i="37"/>
  <c r="I39" i="37"/>
  <c r="H39" i="37"/>
  <c r="F39" i="37"/>
  <c r="E39" i="37"/>
  <c r="D39" i="37"/>
  <c r="C39" i="37"/>
  <c r="B39" i="37"/>
  <c r="N38" i="37"/>
  <c r="M38" i="37"/>
  <c r="J38" i="37"/>
  <c r="I38" i="37"/>
  <c r="F38" i="37"/>
  <c r="E38" i="37"/>
  <c r="C38" i="37"/>
  <c r="B38" i="37"/>
  <c r="N37" i="37"/>
  <c r="M37" i="37"/>
  <c r="J37" i="37"/>
  <c r="I37" i="37"/>
  <c r="F37" i="37"/>
  <c r="E37" i="37"/>
  <c r="B37" i="37"/>
  <c r="N36" i="37"/>
  <c r="M36" i="37"/>
  <c r="J36" i="37"/>
  <c r="I36" i="37"/>
  <c r="F36" i="37"/>
  <c r="E36" i="37"/>
  <c r="C36" i="37"/>
  <c r="B36" i="37"/>
  <c r="N35" i="37"/>
  <c r="M35" i="37"/>
  <c r="J35" i="37"/>
  <c r="I35" i="37"/>
  <c r="F35" i="37"/>
  <c r="E35" i="37"/>
  <c r="C35" i="37"/>
  <c r="B35" i="37"/>
  <c r="D13" i="37"/>
  <c r="F13" i="37"/>
  <c r="G13" i="37"/>
  <c r="H13" i="37"/>
  <c r="I13" i="37"/>
  <c r="J13" i="37"/>
  <c r="D14" i="37"/>
  <c r="F14" i="37"/>
  <c r="G14" i="37"/>
  <c r="H14" i="37"/>
  <c r="I14" i="37"/>
  <c r="J14" i="37"/>
  <c r="F8" i="36"/>
  <c r="H8" i="36"/>
  <c r="I8" i="36"/>
  <c r="J8" i="36"/>
  <c r="F9" i="36"/>
  <c r="H9" i="36"/>
  <c r="I9" i="36"/>
  <c r="J9" i="36"/>
  <c r="G10" i="36"/>
  <c r="H10" i="36"/>
  <c r="I10" i="36"/>
  <c r="J10" i="36"/>
  <c r="F12" i="36"/>
  <c r="G12" i="36"/>
  <c r="H12" i="36"/>
  <c r="I12" i="36"/>
  <c r="J12" i="36"/>
  <c r="F13" i="36"/>
  <c r="G13" i="36"/>
  <c r="H13" i="36"/>
  <c r="I13" i="36"/>
  <c r="J13" i="36"/>
  <c r="F14" i="36"/>
  <c r="H14" i="36"/>
  <c r="I14" i="36"/>
  <c r="J14" i="36"/>
  <c r="F16" i="36"/>
  <c r="H16" i="36"/>
  <c r="I16" i="36"/>
  <c r="J16" i="36"/>
  <c r="F17" i="36"/>
  <c r="H17" i="36"/>
  <c r="I17" i="36"/>
  <c r="J17" i="36"/>
  <c r="F18" i="36"/>
  <c r="H18" i="36"/>
  <c r="I18" i="36"/>
  <c r="J18" i="36"/>
  <c r="F19" i="36"/>
  <c r="G19" i="36"/>
  <c r="H19" i="36"/>
  <c r="I19" i="36"/>
  <c r="J19" i="36"/>
  <c r="F20" i="36"/>
  <c r="H20" i="36"/>
  <c r="I20" i="36"/>
  <c r="J20" i="36"/>
  <c r="F21" i="36"/>
  <c r="G21" i="36"/>
  <c r="H21" i="36"/>
  <c r="I21" i="36"/>
  <c r="J21" i="36"/>
  <c r="F22" i="36"/>
  <c r="G22" i="36"/>
  <c r="H22" i="36"/>
  <c r="I22" i="36"/>
  <c r="J22" i="36"/>
  <c r="F23" i="36"/>
  <c r="H23" i="36"/>
  <c r="I23" i="36"/>
  <c r="J23" i="36"/>
  <c r="F24" i="36"/>
  <c r="G24" i="36"/>
  <c r="H24" i="36"/>
  <c r="I24" i="36"/>
  <c r="J24" i="36"/>
  <c r="F25" i="36"/>
  <c r="G25" i="36"/>
  <c r="H25" i="36"/>
  <c r="I25" i="36"/>
  <c r="J25" i="36"/>
  <c r="F26" i="36"/>
  <c r="H26" i="36"/>
  <c r="I26" i="36"/>
  <c r="J26" i="36"/>
  <c r="F27" i="36"/>
  <c r="G27" i="36"/>
  <c r="H27" i="36"/>
  <c r="I27" i="36"/>
  <c r="J27" i="36"/>
  <c r="F28" i="36"/>
  <c r="H28" i="36"/>
  <c r="I28" i="36"/>
  <c r="J28" i="36"/>
  <c r="S153" i="14"/>
  <c r="AO43" i="40"/>
  <c r="AE24" i="66"/>
  <c r="AF24" i="66"/>
  <c r="D15" i="43"/>
  <c r="D14" i="43"/>
  <c r="E14" i="43"/>
  <c r="D13" i="43"/>
  <c r="D12" i="43"/>
  <c r="E12" i="43"/>
  <c r="J7" i="36"/>
  <c r="I7" i="36"/>
  <c r="E17" i="43"/>
  <c r="AO46" i="40"/>
  <c r="S156" i="14"/>
  <c r="F80" i="86"/>
  <c r="S23" i="14"/>
  <c r="F126" i="86"/>
  <c r="C23" i="37"/>
  <c r="C48" i="37"/>
  <c r="Y17" i="66"/>
  <c r="S28" i="14"/>
  <c r="CH8" i="62"/>
  <c r="CH5" i="62"/>
  <c r="CH10" i="62"/>
  <c r="AF262" i="14"/>
  <c r="AH262" i="14"/>
  <c r="AF271" i="14"/>
  <c r="AH271" i="14"/>
  <c r="AF268" i="14"/>
  <c r="AH268" i="14"/>
  <c r="AF265" i="14"/>
  <c r="AH265" i="14"/>
  <c r="AF270" i="14"/>
  <c r="AH270" i="14"/>
  <c r="AF275" i="14"/>
  <c r="AH275" i="14"/>
  <c r="AF277" i="14"/>
  <c r="AH277" i="14"/>
  <c r="AF272" i="14"/>
  <c r="AH272" i="14"/>
  <c r="AF269" i="14"/>
  <c r="AH269" i="14"/>
  <c r="AF263" i="14"/>
  <c r="AH263" i="14"/>
  <c r="AF276" i="14"/>
  <c r="AH276" i="14"/>
  <c r="AF273" i="14"/>
  <c r="AH273" i="14"/>
  <c r="AF274" i="14"/>
  <c r="AH274" i="14"/>
  <c r="AF267" i="14"/>
  <c r="AH267" i="14"/>
  <c r="AF264" i="14"/>
  <c r="AH264" i="14"/>
  <c r="AF278" i="14"/>
  <c r="AH278" i="14"/>
  <c r="AF266" i="14"/>
  <c r="AH266" i="14"/>
  <c r="CH22" i="62"/>
  <c r="AR15" i="20"/>
  <c r="AT15" i="20"/>
  <c r="AR12" i="20"/>
  <c r="AT12" i="20"/>
  <c r="AT390" i="20"/>
  <c r="AR390" i="20"/>
  <c r="AT1073" i="20"/>
  <c r="AR1073" i="20"/>
  <c r="AT908" i="20"/>
  <c r="AR908" i="20"/>
  <c r="AT1046" i="20"/>
  <c r="AR1046" i="20"/>
  <c r="AT236" i="20"/>
  <c r="AR236" i="20"/>
  <c r="AT655" i="20"/>
  <c r="AR655" i="20"/>
  <c r="AT280" i="20"/>
  <c r="AR280" i="20"/>
  <c r="AT283" i="20"/>
  <c r="AR283" i="20"/>
  <c r="AT278" i="20"/>
  <c r="AR278" i="20"/>
  <c r="AT281" i="20"/>
  <c r="AR281" i="20"/>
  <c r="AT275" i="20"/>
  <c r="AR275" i="20"/>
  <c r="AT279" i="20"/>
  <c r="AR279" i="20"/>
  <c r="AT318" i="20"/>
  <c r="AR318" i="20"/>
  <c r="AT316" i="20"/>
  <c r="AR316" i="20"/>
  <c r="AT193" i="20"/>
  <c r="AR193" i="20"/>
  <c r="AT197" i="20"/>
  <c r="AR197" i="20"/>
  <c r="AT201" i="20"/>
  <c r="AR201" i="20"/>
  <c r="AT202" i="20"/>
  <c r="AR202" i="20"/>
  <c r="AT181" i="20"/>
  <c r="AR181" i="20"/>
  <c r="AT1106" i="20"/>
  <c r="AR1106" i="20"/>
  <c r="AT1102" i="20"/>
  <c r="AR1102" i="20"/>
  <c r="AT10" i="20"/>
  <c r="AR10" i="20"/>
  <c r="AT115" i="20"/>
  <c r="AR115" i="20"/>
  <c r="AT178" i="20"/>
  <c r="AR178" i="20"/>
  <c r="AT146" i="20"/>
  <c r="AR146" i="20"/>
  <c r="AT1151" i="20"/>
  <c r="AR1151" i="20"/>
  <c r="AT1147" i="20"/>
  <c r="AR1147" i="20"/>
  <c r="AT1163" i="20"/>
  <c r="AR1163" i="20"/>
  <c r="AT1175" i="20"/>
  <c r="AR1175" i="20"/>
  <c r="AT1195" i="20"/>
  <c r="AR1195" i="20"/>
  <c r="AT1199" i="20"/>
  <c r="AR1199" i="20"/>
  <c r="AT1223" i="20"/>
  <c r="AR1223" i="20"/>
  <c r="AT1227" i="20"/>
  <c r="AR1227" i="20"/>
  <c r="AT1251" i="20"/>
  <c r="AR1251" i="20"/>
  <c r="AT1263" i="20"/>
  <c r="AR1263" i="20"/>
  <c r="AT1267" i="20"/>
  <c r="AR1267" i="20"/>
  <c r="AT1275" i="20"/>
  <c r="AR1275" i="20"/>
  <c r="AT1287" i="20"/>
  <c r="AR1287" i="20"/>
  <c r="AT1295" i="20"/>
  <c r="AR1295" i="20"/>
  <c r="AT1327" i="20"/>
  <c r="AR1327" i="20"/>
  <c r="AT1331" i="20"/>
  <c r="AR1331" i="20"/>
  <c r="AT1335" i="20"/>
  <c r="AR1335" i="20"/>
  <c r="AT47" i="20"/>
  <c r="AR47" i="20"/>
  <c r="AT64" i="20"/>
  <c r="AR64" i="20"/>
  <c r="AT1029" i="20"/>
  <c r="AR1029" i="20"/>
  <c r="AT31" i="20"/>
  <c r="AR31" i="20"/>
  <c r="AT1032" i="20"/>
  <c r="AR1032" i="20"/>
  <c r="AT122" i="20"/>
  <c r="AR122" i="20"/>
  <c r="AT124" i="20"/>
  <c r="AR124" i="20"/>
  <c r="AT143" i="20"/>
  <c r="AR143" i="20"/>
  <c r="AT97" i="20"/>
  <c r="AR97" i="20"/>
  <c r="AT149" i="20"/>
  <c r="AR149" i="20"/>
  <c r="AT36" i="20"/>
  <c r="AR36" i="20"/>
  <c r="AT167" i="20"/>
  <c r="AR167" i="20"/>
  <c r="AT95" i="20"/>
  <c r="AR95" i="20"/>
  <c r="AT42" i="20"/>
  <c r="AR42" i="20"/>
  <c r="AT89" i="20"/>
  <c r="AR89" i="20"/>
  <c r="AT172" i="20"/>
  <c r="AR172" i="20"/>
  <c r="AT731" i="20"/>
  <c r="AR731" i="20"/>
  <c r="AT1083" i="20"/>
  <c r="AR1083" i="20"/>
  <c r="AT944" i="20"/>
  <c r="AR944" i="20"/>
  <c r="AT851" i="20"/>
  <c r="AR851" i="20"/>
  <c r="AT892" i="20"/>
  <c r="AR892" i="20"/>
  <c r="AT1019" i="20"/>
  <c r="AR1019" i="20"/>
  <c r="AT738" i="20"/>
  <c r="AR738" i="20"/>
  <c r="AT735" i="20"/>
  <c r="AR735" i="20"/>
  <c r="AT938" i="20"/>
  <c r="AR938" i="20"/>
  <c r="AT848" i="20"/>
  <c r="AR848" i="20"/>
  <c r="AT437" i="20"/>
  <c r="AR437" i="20"/>
  <c r="AT625" i="20"/>
  <c r="AR625" i="20"/>
  <c r="AT664" i="20"/>
  <c r="AR664" i="20"/>
  <c r="AT312" i="20"/>
  <c r="AR312" i="20"/>
  <c r="AT1004" i="20"/>
  <c r="AR1004" i="20"/>
  <c r="AT239" i="20"/>
  <c r="AR239" i="20"/>
  <c r="AT747" i="20"/>
  <c r="AR747" i="20"/>
  <c r="AT384" i="20"/>
  <c r="AR384" i="20"/>
  <c r="AT773" i="20"/>
  <c r="AR773" i="20"/>
  <c r="AT362" i="20"/>
  <c r="AR362" i="20"/>
  <c r="AT395" i="20"/>
  <c r="AR395" i="20"/>
  <c r="AT1053" i="20"/>
  <c r="AR1053" i="20"/>
  <c r="AT405" i="20"/>
  <c r="AR405" i="20"/>
  <c r="AT257" i="20"/>
  <c r="AR257" i="20"/>
  <c r="AT310" i="20"/>
  <c r="AR310" i="20"/>
  <c r="AT286" i="20"/>
  <c r="AR286" i="20"/>
  <c r="AT274" i="20"/>
  <c r="AR274" i="20"/>
  <c r="AT1105" i="20"/>
  <c r="AR1105" i="20"/>
  <c r="AT8" i="20"/>
  <c r="AR8" i="20"/>
  <c r="AT9" i="20"/>
  <c r="AR9" i="20"/>
  <c r="AT14" i="20"/>
  <c r="AR14" i="20"/>
  <c r="AT27" i="20"/>
  <c r="AR27" i="20"/>
  <c r="AT113" i="20"/>
  <c r="AR113" i="20"/>
  <c r="AT110" i="20"/>
  <c r="AR110" i="20"/>
  <c r="AT188" i="20"/>
  <c r="AR188" i="20"/>
  <c r="AT148" i="20"/>
  <c r="AR148" i="20"/>
  <c r="AT154" i="20"/>
  <c r="AR154" i="20"/>
  <c r="AT174" i="20"/>
  <c r="AR174" i="20"/>
  <c r="AT156" i="20"/>
  <c r="AR156" i="20"/>
  <c r="AT153" i="20"/>
  <c r="AR153" i="20"/>
  <c r="AT127" i="20"/>
  <c r="AR127" i="20"/>
  <c r="AT107" i="20"/>
  <c r="AR107" i="20"/>
  <c r="AT1162" i="20"/>
  <c r="AR1162" i="20"/>
  <c r="AT1150" i="20"/>
  <c r="AR1150" i="20"/>
  <c r="AT1146" i="20"/>
  <c r="AR1146" i="20"/>
  <c r="AT1164" i="20"/>
  <c r="AR1164" i="20"/>
  <c r="AT1168" i="20"/>
  <c r="AR1168" i="20"/>
  <c r="AT1172" i="20"/>
  <c r="AR1172" i="20"/>
  <c r="AT1176" i="20"/>
  <c r="AR1176" i="20"/>
  <c r="AT1180" i="20"/>
  <c r="AR1180" i="20"/>
  <c r="AT1184" i="20"/>
  <c r="AR1184" i="20"/>
  <c r="AT1188" i="20"/>
  <c r="AR1188" i="20"/>
  <c r="AT1192" i="20"/>
  <c r="AR1192" i="20"/>
  <c r="AT1200" i="20"/>
  <c r="AR1200" i="20"/>
  <c r="AT1204" i="20"/>
  <c r="AR1204" i="20"/>
  <c r="AT1212" i="20"/>
  <c r="AR1212" i="20"/>
  <c r="AT1216" i="20"/>
  <c r="AR1216" i="20"/>
  <c r="AT1224" i="20"/>
  <c r="AR1224" i="20"/>
  <c r="AT1240" i="20"/>
  <c r="AR1240" i="20"/>
  <c r="AT1260" i="20"/>
  <c r="AR1260" i="20"/>
  <c r="AT1268" i="20"/>
  <c r="AR1268" i="20"/>
  <c r="AT1272" i="20"/>
  <c r="AR1272" i="20"/>
  <c r="AT1292" i="20"/>
  <c r="AR1292" i="20"/>
  <c r="AT1304" i="20"/>
  <c r="AR1304" i="20"/>
  <c r="AT1312" i="20"/>
  <c r="AR1312" i="20"/>
  <c r="AT1332" i="20"/>
  <c r="AR1332" i="20"/>
  <c r="AT1339" i="20"/>
  <c r="AR1339" i="20"/>
  <c r="AT1037" i="20"/>
  <c r="AR1037" i="20"/>
  <c r="AT964" i="20"/>
  <c r="AR964" i="20"/>
  <c r="AT1040" i="20"/>
  <c r="AR1040" i="20"/>
  <c r="AT140" i="20"/>
  <c r="AR140" i="20"/>
  <c r="AT175" i="20"/>
  <c r="AR175" i="20"/>
  <c r="AT171" i="20"/>
  <c r="AR171" i="20"/>
  <c r="AT87" i="20"/>
  <c r="AR87" i="20"/>
  <c r="AT842" i="20"/>
  <c r="AR842" i="20"/>
  <c r="AT1001" i="20"/>
  <c r="AR1001" i="20"/>
  <c r="AT363" i="20"/>
  <c r="AR363" i="20"/>
  <c r="AT208" i="20"/>
  <c r="AR208" i="20"/>
  <c r="AT968" i="20"/>
  <c r="AR968" i="20"/>
  <c r="AT442" i="20"/>
  <c r="AR442" i="20"/>
  <c r="AT1085" i="20"/>
  <c r="AR1085" i="20"/>
  <c r="AT903" i="20"/>
  <c r="AR903" i="20"/>
  <c r="AT726" i="20"/>
  <c r="AR726" i="20"/>
  <c r="AT612" i="20"/>
  <c r="AR612" i="20"/>
  <c r="AT571" i="20"/>
  <c r="AR571" i="20"/>
  <c r="AT336" i="20"/>
  <c r="AR336" i="20"/>
  <c r="AT207" i="20"/>
  <c r="AR207" i="20"/>
  <c r="AT939" i="20"/>
  <c r="AR939" i="20"/>
  <c r="AT888" i="20"/>
  <c r="AR888" i="20"/>
  <c r="AT489" i="20"/>
  <c r="AR489" i="20"/>
  <c r="AT755" i="20"/>
  <c r="AR755" i="20"/>
  <c r="AT1034" i="20"/>
  <c r="AR1034" i="20"/>
  <c r="AT928" i="20"/>
  <c r="AR928" i="20"/>
  <c r="AT890" i="20"/>
  <c r="AR890" i="20"/>
  <c r="AT618" i="20"/>
  <c r="AR618" i="20"/>
  <c r="AT663" i="20"/>
  <c r="AR663" i="20"/>
  <c r="AT645" i="20"/>
  <c r="AR645" i="20"/>
  <c r="AT934" i="20"/>
  <c r="AR934" i="20"/>
  <c r="AT859" i="20"/>
  <c r="AR859" i="20"/>
  <c r="AT745" i="20"/>
  <c r="AR745" i="20"/>
  <c r="AT304" i="20"/>
  <c r="AR304" i="20"/>
  <c r="AT206" i="20"/>
  <c r="AR206" i="20"/>
  <c r="AT98" i="20"/>
  <c r="AR98" i="20"/>
  <c r="AT179" i="20"/>
  <c r="AR179" i="20"/>
  <c r="AT111" i="20"/>
  <c r="AR111" i="20"/>
  <c r="AT1112" i="20"/>
  <c r="AR1112" i="20"/>
  <c r="AT1108" i="20"/>
  <c r="AR1108" i="20"/>
  <c r="AT7" i="20"/>
  <c r="AR7" i="20"/>
  <c r="AT13" i="20"/>
  <c r="AR13" i="20"/>
  <c r="AT1145" i="20"/>
  <c r="AR1145" i="20"/>
  <c r="AT112" i="20"/>
  <c r="AR112" i="20"/>
  <c r="AT186" i="20"/>
  <c r="AR186" i="20"/>
  <c r="AT184" i="20"/>
  <c r="AR184" i="20"/>
  <c r="AT147" i="20"/>
  <c r="AR147" i="20"/>
  <c r="AT158" i="20"/>
  <c r="AR158" i="20"/>
  <c r="AT155" i="20"/>
  <c r="AR155" i="20"/>
  <c r="AT160" i="20"/>
  <c r="AR160" i="20"/>
  <c r="AT1157" i="20"/>
  <c r="AR1157" i="20"/>
  <c r="AT1169" i="20"/>
  <c r="AR1169" i="20"/>
  <c r="AT1181" i="20"/>
  <c r="AR1181" i="20"/>
  <c r="AT1185" i="20"/>
  <c r="AR1185" i="20"/>
  <c r="AT1193" i="20"/>
  <c r="AR1193" i="20"/>
  <c r="AT1197" i="20"/>
  <c r="AR1197" i="20"/>
  <c r="AT1201" i="20"/>
  <c r="AR1201" i="20"/>
  <c r="AT1209" i="20"/>
  <c r="AR1209" i="20"/>
  <c r="AT1213" i="20"/>
  <c r="AR1213" i="20"/>
  <c r="AT1221" i="20"/>
  <c r="AR1221" i="20"/>
  <c r="AT1229" i="20"/>
  <c r="AR1229" i="20"/>
  <c r="AT1233" i="20"/>
  <c r="AR1233" i="20"/>
  <c r="AT1237" i="20"/>
  <c r="AR1237" i="20"/>
  <c r="AT1241" i="20"/>
  <c r="AR1241" i="20"/>
  <c r="AT1245" i="20"/>
  <c r="AR1245" i="20"/>
  <c r="AT1249" i="20"/>
  <c r="AR1249" i="20"/>
  <c r="AT1253" i="20"/>
  <c r="AR1253" i="20"/>
  <c r="AT1257" i="20"/>
  <c r="AR1257" i="20"/>
  <c r="AT1261" i="20"/>
  <c r="AR1261" i="20"/>
  <c r="AT1265" i="20"/>
  <c r="AR1265" i="20"/>
  <c r="AT1269" i="20"/>
  <c r="AR1269" i="20"/>
  <c r="AT1273" i="20"/>
  <c r="AR1273" i="20"/>
  <c r="AT1277" i="20"/>
  <c r="AR1277" i="20"/>
  <c r="AT1281" i="20"/>
  <c r="AR1281" i="20"/>
  <c r="AT1285" i="20"/>
  <c r="AR1285" i="20"/>
  <c r="AT1289" i="20"/>
  <c r="AR1289" i="20"/>
  <c r="AT1293" i="20"/>
  <c r="AR1293" i="20"/>
  <c r="AT1297" i="20"/>
  <c r="AR1297" i="20"/>
  <c r="AT1301" i="20"/>
  <c r="AR1301" i="20"/>
  <c r="AT1305" i="20"/>
  <c r="AR1305" i="20"/>
  <c r="AT1309" i="20"/>
  <c r="AR1309" i="20"/>
  <c r="AT1313" i="20"/>
  <c r="AR1313" i="20"/>
  <c r="AT1317" i="20"/>
  <c r="AR1317" i="20"/>
  <c r="AT1321" i="20"/>
  <c r="AR1321" i="20"/>
  <c r="AT1325" i="20"/>
  <c r="AR1325" i="20"/>
  <c r="AT1329" i="20"/>
  <c r="AR1329" i="20"/>
  <c r="AT1333" i="20"/>
  <c r="AR1333" i="20"/>
  <c r="AT1337" i="20"/>
  <c r="AR1337" i="20"/>
  <c r="AT965" i="20"/>
  <c r="AR965" i="20"/>
  <c r="AT862" i="20"/>
  <c r="AR862" i="20"/>
  <c r="AT144" i="20"/>
  <c r="AR144" i="20"/>
  <c r="AT214" i="20"/>
  <c r="AR214" i="20"/>
  <c r="AT65" i="20"/>
  <c r="AR65" i="20"/>
  <c r="AT222" i="20"/>
  <c r="AR222" i="20"/>
  <c r="AT49" i="20"/>
  <c r="AR49" i="20"/>
  <c r="AT81" i="20"/>
  <c r="AR81" i="20"/>
  <c r="AT62" i="20"/>
  <c r="AR62" i="20"/>
  <c r="AT163" i="20"/>
  <c r="AR163" i="20"/>
  <c r="AT176" i="20"/>
  <c r="AR176" i="20"/>
  <c r="AT151" i="20"/>
  <c r="AR151" i="20"/>
  <c r="AT741" i="20"/>
  <c r="AR741" i="20"/>
  <c r="AT633" i="20"/>
  <c r="AR633" i="20"/>
  <c r="AT1089" i="20"/>
  <c r="AR1089" i="20"/>
  <c r="AT843" i="20"/>
  <c r="AR843" i="20"/>
  <c r="AT1062" i="20"/>
  <c r="AR1062" i="20"/>
  <c r="AT927" i="20"/>
  <c r="AR927" i="20"/>
  <c r="AT932" i="20"/>
  <c r="AR932" i="20"/>
  <c r="AT245" i="20"/>
  <c r="AR245" i="20"/>
  <c r="AT423" i="20"/>
  <c r="AR423" i="20"/>
  <c r="AT739" i="20"/>
  <c r="AR739" i="20"/>
  <c r="AT648" i="20"/>
  <c r="AR648" i="20"/>
  <c r="AT691" i="20"/>
  <c r="AR691" i="20"/>
  <c r="AT733" i="20"/>
  <c r="AR733" i="20"/>
  <c r="AT616" i="20"/>
  <c r="AR616" i="20"/>
  <c r="AT643" i="20"/>
  <c r="AR643" i="20"/>
  <c r="AT1048" i="20"/>
  <c r="AR1048" i="20"/>
  <c r="AT268" i="20"/>
  <c r="AR268" i="20"/>
  <c r="AT227" i="20"/>
  <c r="AR227" i="20"/>
  <c r="AT255" i="20"/>
  <c r="AR255" i="20"/>
  <c r="AT229" i="20"/>
  <c r="AR229" i="20"/>
  <c r="AT300" i="20"/>
  <c r="AR300" i="20"/>
  <c r="AT294" i="20"/>
  <c r="AR294" i="20"/>
  <c r="AT282" i="20"/>
  <c r="AR282" i="20"/>
  <c r="AT182" i="20"/>
  <c r="AR182" i="20"/>
  <c r="AT165" i="20"/>
  <c r="AR165" i="20"/>
  <c r="AT114" i="20"/>
  <c r="AR114" i="20"/>
  <c r="AT1135" i="20"/>
  <c r="AR1135" i="20"/>
  <c r="AT1131" i="20"/>
  <c r="AR1131" i="20"/>
  <c r="AT1127" i="20"/>
  <c r="AR1127" i="20"/>
  <c r="AT1123" i="20"/>
  <c r="AR1123" i="20"/>
  <c r="AT1119" i="20"/>
  <c r="AR1119" i="20"/>
  <c r="AT1115" i="20"/>
  <c r="AR1115" i="20"/>
  <c r="AT1111" i="20"/>
  <c r="AR1111" i="20"/>
  <c r="AT1107" i="20"/>
  <c r="AR1107" i="20"/>
  <c r="AT6" i="20"/>
  <c r="AR6" i="20"/>
  <c r="AR11" i="20"/>
  <c r="AT29" i="20"/>
  <c r="AR29" i="20"/>
  <c r="AT25" i="20"/>
  <c r="AR25" i="20"/>
  <c r="AT1144" i="20"/>
  <c r="AR1144" i="20"/>
  <c r="AT105" i="20"/>
  <c r="AR105" i="20"/>
  <c r="AT190" i="20"/>
  <c r="AR190" i="20"/>
  <c r="AT177" i="20"/>
  <c r="AR177" i="20"/>
  <c r="AT157" i="20"/>
  <c r="AR157" i="20"/>
  <c r="AT164" i="20"/>
  <c r="AR164" i="20"/>
  <c r="AT133" i="20"/>
  <c r="AR133" i="20"/>
  <c r="AT108" i="20"/>
  <c r="AR108" i="20"/>
  <c r="AT1166" i="20"/>
  <c r="AR1166" i="20"/>
  <c r="AT1174" i="20"/>
  <c r="AR1174" i="20"/>
  <c r="AT1178" i="20"/>
  <c r="AR1178" i="20"/>
  <c r="AT1182" i="20"/>
  <c r="AR1182" i="20"/>
  <c r="AT1190" i="20"/>
  <c r="AR1190" i="20"/>
  <c r="AT1198" i="20"/>
  <c r="AR1198" i="20"/>
  <c r="AT1222" i="20"/>
  <c r="AR1222" i="20"/>
  <c r="AT1230" i="20"/>
  <c r="AR1230" i="20"/>
  <c r="AT1238" i="20"/>
  <c r="AR1238" i="20"/>
  <c r="AT1246" i="20"/>
  <c r="AR1246" i="20"/>
  <c r="AT1254" i="20"/>
  <c r="AR1254" i="20"/>
  <c r="AT1258" i="20"/>
  <c r="AR1258" i="20"/>
  <c r="AT1266" i="20"/>
  <c r="AR1266" i="20"/>
  <c r="AT1270" i="20"/>
  <c r="AR1270" i="20"/>
  <c r="AT1274" i="20"/>
  <c r="AR1274" i="20"/>
  <c r="AT1278" i="20"/>
  <c r="AR1278" i="20"/>
  <c r="AT1282" i="20"/>
  <c r="AR1282" i="20"/>
  <c r="AT1286" i="20"/>
  <c r="AR1286" i="20"/>
  <c r="AT1290" i="20"/>
  <c r="AR1290" i="20"/>
  <c r="AT1294" i="20"/>
  <c r="AR1294" i="20"/>
  <c r="AT1298" i="20"/>
  <c r="AR1298" i="20"/>
  <c r="AT1302" i="20"/>
  <c r="AR1302" i="20"/>
  <c r="AT1310" i="20"/>
  <c r="AR1310" i="20"/>
  <c r="AT1314" i="20"/>
  <c r="AR1314" i="20"/>
  <c r="AT1322" i="20"/>
  <c r="AR1322" i="20"/>
  <c r="AT1330" i="20"/>
  <c r="AR1330" i="20"/>
  <c r="AT1334" i="20"/>
  <c r="AR1334" i="20"/>
  <c r="AT82" i="20"/>
  <c r="AR82" i="20"/>
  <c r="AT1031" i="20"/>
  <c r="AR1031" i="20"/>
  <c r="AT893" i="20"/>
  <c r="AR893" i="20"/>
  <c r="AT845" i="20"/>
  <c r="AR845" i="20"/>
  <c r="AT63" i="20"/>
  <c r="AR63" i="20"/>
  <c r="AT67" i="20"/>
  <c r="AR67" i="20"/>
  <c r="AT80" i="20"/>
  <c r="AR80" i="20"/>
  <c r="AT85" i="20"/>
  <c r="AR85" i="20"/>
  <c r="AT170" i="20"/>
  <c r="AR170" i="20"/>
  <c r="AO51" i="40"/>
  <c r="AO54" i="40"/>
  <c r="AO55" i="40"/>
  <c r="E55" i="37"/>
  <c r="AT59" i="20"/>
  <c r="AP1142" i="20"/>
  <c r="AP1134" i="20"/>
  <c r="AP1122" i="20"/>
  <c r="AP1106" i="20"/>
  <c r="AP15" i="20"/>
  <c r="AP1101" i="20"/>
  <c r="AP1089" i="20"/>
  <c r="AP1077" i="20"/>
  <c r="AP1065" i="20"/>
  <c r="AP1052" i="20"/>
  <c r="AP1041" i="20"/>
  <c r="AP1005" i="20"/>
  <c r="AP992" i="20"/>
  <c r="AP979" i="20"/>
  <c r="AP957" i="20"/>
  <c r="AP858" i="20"/>
  <c r="AP57" i="20"/>
  <c r="AO16" i="20"/>
  <c r="AP16" i="20"/>
  <c r="AP18" i="20"/>
  <c r="AP30" i="20"/>
  <c r="AP19" i="20"/>
  <c r="AP17" i="20"/>
  <c r="AP21" i="20"/>
  <c r="AP875" i="20"/>
  <c r="AP953" i="20"/>
  <c r="AP84" i="20"/>
  <c r="AP1038" i="20"/>
  <c r="AP131" i="20"/>
  <c r="AP72" i="20"/>
  <c r="AP141" i="20"/>
  <c r="AP876" i="20"/>
  <c r="AP1017" i="20"/>
  <c r="AP120" i="20"/>
  <c r="AP872" i="20"/>
  <c r="AP101" i="20"/>
  <c r="AP1026" i="20"/>
  <c r="AP215" i="20"/>
  <c r="AP952" i="20"/>
  <c r="AP99" i="20"/>
  <c r="AP35" i="20"/>
  <c r="AP69" i="20"/>
  <c r="AP92" i="20"/>
  <c r="AP863" i="20"/>
  <c r="AP168" i="20"/>
  <c r="AP797" i="20"/>
  <c r="AP40" i="20"/>
  <c r="AP217" i="20"/>
  <c r="AP1027" i="20"/>
  <c r="AP161" i="20"/>
  <c r="AP877" i="20"/>
  <c r="AP52" i="20"/>
  <c r="AP1130" i="20"/>
  <c r="AP1114" i="20"/>
  <c r="AP1102" i="20"/>
  <c r="AP28" i="20"/>
  <c r="AP1097" i="20"/>
  <c r="AP1085" i="20"/>
  <c r="AP1074" i="20"/>
  <c r="AP1061" i="20"/>
  <c r="AP1053" i="20"/>
  <c r="AP1022" i="20"/>
  <c r="AP1009" i="20"/>
  <c r="AP996" i="20"/>
  <c r="AP982" i="20"/>
  <c r="AP975" i="20"/>
  <c r="AP967" i="20"/>
  <c r="AP949" i="20"/>
  <c r="AP941" i="20"/>
  <c r="AP937" i="20"/>
  <c r="AP933" i="20"/>
  <c r="AP929" i="20"/>
  <c r="AP925" i="20"/>
  <c r="AP921" i="20"/>
  <c r="AP917" i="20"/>
  <c r="AP912" i="20"/>
  <c r="AP908" i="20"/>
  <c r="AP904" i="20"/>
  <c r="AP900" i="20"/>
  <c r="AP896" i="20"/>
  <c r="AP891" i="20"/>
  <c r="AP887" i="20"/>
  <c r="AP883" i="20"/>
  <c r="AP879" i="20"/>
  <c r="AP869" i="20"/>
  <c r="AP854" i="20"/>
  <c r="AP1138" i="20"/>
  <c r="AP1126" i="20"/>
  <c r="AP1118" i="20"/>
  <c r="AP1110" i="20"/>
  <c r="AP10" i="20"/>
  <c r="AP24" i="20"/>
  <c r="AP1094" i="20"/>
  <c r="AP1081" i="20"/>
  <c r="AP1069" i="20"/>
  <c r="AP1057" i="20"/>
  <c r="AP1045" i="20"/>
  <c r="AP1018" i="20"/>
  <c r="AP1001" i="20"/>
  <c r="AP987" i="20"/>
  <c r="AP971" i="20"/>
  <c r="AP961" i="20"/>
  <c r="AP945" i="20"/>
  <c r="AP865" i="20"/>
  <c r="AP1143" i="20"/>
  <c r="AP1139" i="20"/>
  <c r="AP1135" i="20"/>
  <c r="AP1131" i="20"/>
  <c r="AP1127" i="20"/>
  <c r="AP1123" i="20"/>
  <c r="AP1119" i="20"/>
  <c r="AP1115" i="20"/>
  <c r="AP1111" i="20"/>
  <c r="AP1107" i="20"/>
  <c r="AP1103" i="20"/>
  <c r="AP6" i="20"/>
  <c r="AP11" i="20"/>
  <c r="AP29" i="20"/>
  <c r="AP25" i="20"/>
  <c r="AP22" i="20"/>
  <c r="AP1098" i="20"/>
  <c r="AP1095" i="20"/>
  <c r="AP1090" i="20"/>
  <c r="AP1086" i="20"/>
  <c r="AP1082" i="20"/>
  <c r="AP1078" i="20"/>
  <c r="AP1073" i="20"/>
  <c r="AP1070" i="20"/>
  <c r="AP1066" i="20"/>
  <c r="AP1062" i="20"/>
  <c r="AP1058" i="20"/>
  <c r="AP1054" i="20"/>
  <c r="AP1046" i="20"/>
  <c r="AP1042" i="20"/>
  <c r="AP1047" i="20"/>
  <c r="AP1034" i="20"/>
  <c r="AP1019" i="20"/>
  <c r="AP1010" i="20"/>
  <c r="AP1008" i="20"/>
  <c r="AP1002" i="20"/>
  <c r="AP997" i="20"/>
  <c r="AP993" i="20"/>
  <c r="AP988" i="20"/>
  <c r="AP984" i="20"/>
  <c r="AP980" i="20"/>
  <c r="AP976" i="20"/>
  <c r="AP972" i="20"/>
  <c r="AP968" i="20"/>
  <c r="AP962" i="20"/>
  <c r="AP958" i="20"/>
  <c r="AP954" i="20"/>
  <c r="AP946" i="20"/>
  <c r="AP942" i="20"/>
  <c r="AP938" i="20"/>
  <c r="AP934" i="20"/>
  <c r="AP930" i="20"/>
  <c r="AP926" i="20"/>
  <c r="AP922" i="20"/>
  <c r="AP918" i="20"/>
  <c r="AP914" i="20"/>
  <c r="AP909" i="20"/>
  <c r="AP905" i="20"/>
  <c r="AP901" i="20"/>
  <c r="AP897" i="20"/>
  <c r="AP892" i="20"/>
  <c r="AP888" i="20"/>
  <c r="AP884" i="20"/>
  <c r="AP880" i="20"/>
  <c r="AP870" i="20"/>
  <c r="AP866" i="20"/>
  <c r="AP859" i="20"/>
  <c r="AP855" i="20"/>
  <c r="AP851" i="20"/>
  <c r="AP846" i="20"/>
  <c r="AP844" i="20"/>
  <c r="AP837" i="20"/>
  <c r="AP833" i="20"/>
  <c r="AP829" i="20"/>
  <c r="AP849" i="20"/>
  <c r="AP840" i="20"/>
  <c r="AP832" i="20"/>
  <c r="AP824" i="20"/>
  <c r="AP816" i="20"/>
  <c r="AP808" i="20"/>
  <c r="AP800" i="20"/>
  <c r="AP791" i="20"/>
  <c r="AP783" i="20"/>
  <c r="AP775" i="20"/>
  <c r="AP763" i="20"/>
  <c r="AP755" i="20"/>
  <c r="AP751" i="20"/>
  <c r="AP739" i="20"/>
  <c r="AP731" i="20"/>
  <c r="AP723" i="20"/>
  <c r="AP719" i="20"/>
  <c r="AP711" i="20"/>
  <c r="AP699" i="20"/>
  <c r="AP691" i="20"/>
  <c r="AP683" i="20"/>
  <c r="AP675" i="20"/>
  <c r="AP667" i="20"/>
  <c r="AP659" i="20"/>
  <c r="AP651" i="20"/>
  <c r="AP643" i="20"/>
  <c r="AP642" i="20"/>
  <c r="AP631" i="20"/>
  <c r="AP623" i="20"/>
  <c r="AP615" i="20"/>
  <c r="AP607" i="20"/>
  <c r="AP595" i="20"/>
  <c r="AP587" i="20"/>
  <c r="AP579" i="20"/>
  <c r="AP571" i="20"/>
  <c r="AP565" i="20"/>
  <c r="AP551" i="20"/>
  <c r="AP543" i="20"/>
  <c r="AP531" i="20"/>
  <c r="AP523" i="20"/>
  <c r="AP515" i="20"/>
  <c r="AP507" i="20"/>
  <c r="AP503" i="20"/>
  <c r="AP556" i="20"/>
  <c r="AP487" i="20"/>
  <c r="AP479" i="20"/>
  <c r="AP471" i="20"/>
  <c r="AP463" i="20"/>
  <c r="AP459" i="20"/>
  <c r="AP451" i="20"/>
  <c r="AP443" i="20"/>
  <c r="AP435" i="20"/>
  <c r="AP427" i="20"/>
  <c r="AP417" i="20"/>
  <c r="AP412" i="20"/>
  <c r="AP401" i="20"/>
  <c r="AP395" i="20"/>
  <c r="AP388" i="20"/>
  <c r="AP379" i="20"/>
  <c r="AP371" i="20"/>
  <c r="AP363" i="20"/>
  <c r="AP355" i="20"/>
  <c r="AP347" i="20"/>
  <c r="AP339" i="20"/>
  <c r="AP331" i="20"/>
  <c r="AP327" i="20"/>
  <c r="AP315" i="20"/>
  <c r="AP311" i="20"/>
  <c r="AP303" i="20"/>
  <c r="AP295" i="20"/>
  <c r="AP287" i="20"/>
  <c r="AP279" i="20"/>
  <c r="AP267" i="20"/>
  <c r="AP259" i="20"/>
  <c r="AP251" i="20"/>
  <c r="AP243" i="20"/>
  <c r="AP231" i="20"/>
  <c r="AP223" i="20"/>
  <c r="AP202" i="20"/>
  <c r="AP196" i="20"/>
  <c r="AP188" i="20"/>
  <c r="AP180" i="20"/>
  <c r="AP162" i="20"/>
  <c r="AP153" i="20"/>
  <c r="AP106" i="20"/>
  <c r="AP843" i="20"/>
  <c r="AP836" i="20"/>
  <c r="AP828" i="20"/>
  <c r="AP820" i="20"/>
  <c r="AP812" i="20"/>
  <c r="AP804" i="20"/>
  <c r="AP795" i="20"/>
  <c r="AP787" i="20"/>
  <c r="AP779" i="20"/>
  <c r="AP771" i="20"/>
  <c r="AP767" i="20"/>
  <c r="AP759" i="20"/>
  <c r="AP747" i="20"/>
  <c r="AP743" i="20"/>
  <c r="AP735" i="20"/>
  <c r="AP727" i="20"/>
  <c r="AP715" i="20"/>
  <c r="AP707" i="20"/>
  <c r="AP703" i="20"/>
  <c r="AP695" i="20"/>
  <c r="AP687" i="20"/>
  <c r="AP679" i="20"/>
  <c r="AP671" i="20"/>
  <c r="AP663" i="20"/>
  <c r="AP655" i="20"/>
  <c r="AP647" i="20"/>
  <c r="AP638" i="20"/>
  <c r="AP627" i="20"/>
  <c r="AP619" i="20"/>
  <c r="AP611" i="20"/>
  <c r="AP603" i="20"/>
  <c r="AP598" i="20"/>
  <c r="AP591" i="20"/>
  <c r="AP583" i="20"/>
  <c r="AP575" i="20"/>
  <c r="AP567" i="20"/>
  <c r="AP561" i="20"/>
  <c r="AP547" i="20"/>
  <c r="AP539" i="20"/>
  <c r="AP535" i="20"/>
  <c r="AP527" i="20"/>
  <c r="AP519" i="20"/>
  <c r="AP511" i="20"/>
  <c r="AP499" i="20"/>
  <c r="AP495" i="20"/>
  <c r="AP491" i="20"/>
  <c r="AP483" i="20"/>
  <c r="AP475" i="20"/>
  <c r="AP467" i="20"/>
  <c r="AP455" i="20"/>
  <c r="AP447" i="20"/>
  <c r="AP439" i="20"/>
  <c r="AP431" i="20"/>
  <c r="AP423" i="20"/>
  <c r="AP415" i="20"/>
  <c r="AP407" i="20"/>
  <c r="AP399" i="20"/>
  <c r="AP391" i="20"/>
  <c r="AP383" i="20"/>
  <c r="AP375" i="20"/>
  <c r="AP367" i="20"/>
  <c r="AP359" i="20"/>
  <c r="AP351" i="20"/>
  <c r="AP343" i="20"/>
  <c r="AP335" i="20"/>
  <c r="AP326" i="20"/>
  <c r="AP319" i="20"/>
  <c r="AP307" i="20"/>
  <c r="AP299" i="20"/>
  <c r="AP291" i="20"/>
  <c r="AP283" i="20"/>
  <c r="AP275" i="20"/>
  <c r="AP271" i="20"/>
  <c r="AP263" i="20"/>
  <c r="AP255" i="20"/>
  <c r="AP247" i="20"/>
  <c r="AP239" i="20"/>
  <c r="AP235" i="20"/>
  <c r="AP227" i="20"/>
  <c r="AP208" i="20"/>
  <c r="AP200" i="20"/>
  <c r="AP192" i="20"/>
  <c r="AP183" i="20"/>
  <c r="AP174" i="20"/>
  <c r="AP152" i="20"/>
  <c r="AP146" i="20"/>
  <c r="AP123" i="20"/>
  <c r="AP116" i="20"/>
  <c r="AP111" i="20"/>
  <c r="AP102" i="20"/>
  <c r="AP107" i="20"/>
  <c r="AP825" i="20"/>
  <c r="AP821" i="20"/>
  <c r="AP817" i="20"/>
  <c r="AP813" i="20"/>
  <c r="AP809" i="20"/>
  <c r="AP805" i="20"/>
  <c r="AP801" i="20"/>
  <c r="AP796" i="20"/>
  <c r="AP792" i="20"/>
  <c r="AP788" i="20"/>
  <c r="AP784" i="20"/>
  <c r="AP780" i="20"/>
  <c r="AP776" i="20"/>
  <c r="AP772" i="20"/>
  <c r="AP768" i="20"/>
  <c r="AP764" i="20"/>
  <c r="AP760" i="20"/>
  <c r="AP756" i="20"/>
  <c r="AP752" i="20"/>
  <c r="AP748" i="20"/>
  <c r="AP744" i="20"/>
  <c r="AP740" i="20"/>
  <c r="AP736" i="20"/>
  <c r="AP732" i="20"/>
  <c r="AP728" i="20"/>
  <c r="AP724" i="20"/>
  <c r="AP720" i="20"/>
  <c r="AP716" i="20"/>
  <c r="AP712" i="20"/>
  <c r="AP708" i="20"/>
  <c r="AP704" i="20"/>
  <c r="AP700" i="20"/>
  <c r="AP696" i="20"/>
  <c r="AP692" i="20"/>
  <c r="AP688" i="20"/>
  <c r="AP684" i="20"/>
  <c r="AP680" i="20"/>
  <c r="AP676" i="20"/>
  <c r="AP672" i="20"/>
  <c r="AP668" i="20"/>
  <c r="AP664" i="20"/>
  <c r="AP660" i="20"/>
  <c r="AP656" i="20"/>
  <c r="AP652" i="20"/>
  <c r="AP648" i="20"/>
  <c r="AP644" i="20"/>
  <c r="AP639" i="20"/>
  <c r="AP635" i="20"/>
  <c r="AP632" i="20"/>
  <c r="AP628" i="20"/>
  <c r="AP624" i="20"/>
  <c r="AP620" i="20"/>
  <c r="AP616" i="20"/>
  <c r="AP612" i="20"/>
  <c r="AP608" i="20"/>
  <c r="AP604" i="20"/>
  <c r="AP600" i="20"/>
  <c r="AP596" i="20"/>
  <c r="AP592" i="20"/>
  <c r="AP588" i="20"/>
  <c r="AP584" i="20"/>
  <c r="AP580" i="20"/>
  <c r="AP576" i="20"/>
  <c r="AP572" i="20"/>
  <c r="AP568" i="20"/>
  <c r="AP566" i="20"/>
  <c r="AP562" i="20"/>
  <c r="AP552" i="20"/>
  <c r="AP548" i="20"/>
  <c r="AP544" i="20"/>
  <c r="AP540" i="20"/>
  <c r="AP536" i="20"/>
  <c r="AP532" i="20"/>
  <c r="AP528" i="20"/>
  <c r="AP524" i="20"/>
  <c r="AP520" i="20"/>
  <c r="AP516" i="20"/>
  <c r="AP512" i="20"/>
  <c r="AP508" i="20"/>
  <c r="AP504" i="20"/>
  <c r="AP500" i="20"/>
  <c r="AP496" i="20"/>
  <c r="AP557" i="20"/>
  <c r="AP492" i="20"/>
  <c r="AP488" i="20"/>
  <c r="AP484" i="20"/>
  <c r="AP480" i="20"/>
  <c r="AP476" i="20"/>
  <c r="AP472" i="20"/>
  <c r="AP468" i="20"/>
  <c r="AP464" i="20"/>
  <c r="AP460" i="20"/>
  <c r="AP456" i="20"/>
  <c r="AP452" i="20"/>
  <c r="AP448" i="20"/>
  <c r="AP444" i="20"/>
  <c r="AP440" i="20"/>
  <c r="AP436" i="20"/>
  <c r="AP432" i="20"/>
  <c r="AP428" i="20"/>
  <c r="AP424" i="20"/>
  <c r="AP420" i="20"/>
  <c r="AP416" i="20"/>
  <c r="AP411" i="20"/>
  <c r="AP408" i="20"/>
  <c r="AP402" i="20"/>
  <c r="AP400" i="20"/>
  <c r="AP393" i="20"/>
  <c r="AP392" i="20"/>
  <c r="AP387" i="20"/>
  <c r="AP384" i="20"/>
  <c r="AP380" i="20"/>
  <c r="AP376" i="20"/>
  <c r="AP372" i="20"/>
  <c r="AP368" i="20"/>
  <c r="AP364" i="20"/>
  <c r="AP360" i="20"/>
  <c r="AP356" i="20"/>
  <c r="AP352" i="20"/>
  <c r="AP348" i="20"/>
  <c r="AP344" i="20"/>
  <c r="AP340" i="20"/>
  <c r="AP336" i="20"/>
  <c r="AP332" i="20"/>
  <c r="AP328" i="20"/>
  <c r="AP323" i="20"/>
  <c r="AP320" i="20"/>
  <c r="AP316" i="20"/>
  <c r="AP312" i="20"/>
  <c r="AP308" i="20"/>
  <c r="AP304" i="20"/>
  <c r="AP300" i="20"/>
  <c r="AP296" i="20"/>
  <c r="AP292" i="20"/>
  <c r="AP288" i="20"/>
  <c r="AP284" i="20"/>
  <c r="AP280" i="20"/>
  <c r="AP276" i="20"/>
  <c r="AP272" i="20"/>
  <c r="AP268" i="20"/>
  <c r="AP264" i="20"/>
  <c r="AP260" i="20"/>
  <c r="AP256" i="20"/>
  <c r="AP252" i="20"/>
  <c r="AP248" i="20"/>
  <c r="AP244" i="20"/>
  <c r="AP240" i="20"/>
  <c r="AP236" i="20"/>
  <c r="AP232" i="20"/>
  <c r="AP228" i="20"/>
  <c r="AP224" i="20"/>
  <c r="AP209" i="20"/>
  <c r="AP205" i="20"/>
  <c r="AP201" i="20"/>
  <c r="AP197" i="20"/>
  <c r="AP193" i="20"/>
  <c r="AP189" i="20"/>
  <c r="AP187" i="20"/>
  <c r="AP181" i="20"/>
  <c r="AP178" i="20"/>
  <c r="AP159" i="20"/>
  <c r="AP157" i="20"/>
  <c r="AP155" i="20"/>
  <c r="AP147" i="20"/>
  <c r="AP126" i="20"/>
  <c r="AP117" i="20"/>
  <c r="AP113" i="20"/>
  <c r="AP108" i="20"/>
  <c r="AP103" i="20"/>
  <c r="AP112" i="20"/>
  <c r="AP1145" i="20"/>
  <c r="AP1141" i="20"/>
  <c r="AP1137" i="20"/>
  <c r="AP1133" i="20"/>
  <c r="AP1129" i="20"/>
  <c r="AP1125" i="20"/>
  <c r="AP1121" i="20"/>
  <c r="AP1117" i="20"/>
  <c r="AP1113" i="20"/>
  <c r="AP1109" i="20"/>
  <c r="AP1105" i="20"/>
  <c r="AP8" i="20"/>
  <c r="AP9" i="20"/>
  <c r="AP14" i="20"/>
  <c r="AP27" i="20"/>
  <c r="AP23" i="20"/>
  <c r="AP1100" i="20"/>
  <c r="AP1096" i="20"/>
  <c r="AP1092" i="20"/>
  <c r="AP1088" i="20"/>
  <c r="AP1083" i="20"/>
  <c r="AP1080" i="20"/>
  <c r="AP1076" i="20"/>
  <c r="AP1072" i="20"/>
  <c r="AP1068" i="20"/>
  <c r="AP1064" i="20"/>
  <c r="AP1060" i="20"/>
  <c r="AP1056" i="20"/>
  <c r="AP1051" i="20"/>
  <c r="AP1044" i="20"/>
  <c r="AP1049" i="20"/>
  <c r="AP1039" i="20"/>
  <c r="AP1021" i="20"/>
  <c r="AP1012" i="20"/>
  <c r="AP1007" i="20"/>
  <c r="AP1004" i="20"/>
  <c r="AP1000" i="20"/>
  <c r="AP995" i="20"/>
  <c r="AP990" i="20"/>
  <c r="AP986" i="20"/>
  <c r="AP981" i="20"/>
  <c r="AP978" i="20"/>
  <c r="AP974" i="20"/>
  <c r="AP970" i="20"/>
  <c r="AP966" i="20"/>
  <c r="AP960" i="20"/>
  <c r="AP956" i="20"/>
  <c r="AP948" i="20"/>
  <c r="AP944" i="20"/>
  <c r="AP940" i="20"/>
  <c r="AP936" i="20"/>
  <c r="AP932" i="20"/>
  <c r="AP928" i="20"/>
  <c r="AP924" i="20"/>
  <c r="AP920" i="20"/>
  <c r="AP916" i="20"/>
  <c r="AP911" i="20"/>
  <c r="AP907" i="20"/>
  <c r="AP903" i="20"/>
  <c r="AP899" i="20"/>
  <c r="AP895" i="20"/>
  <c r="AP890" i="20"/>
  <c r="AP886" i="20"/>
  <c r="AP882" i="20"/>
  <c r="AP878" i="20"/>
  <c r="AP868" i="20"/>
  <c r="AP864" i="20"/>
  <c r="AP857" i="20"/>
  <c r="AP853" i="20"/>
  <c r="AP848" i="20"/>
  <c r="AP842" i="20"/>
  <c r="AP839" i="20"/>
  <c r="AP835" i="20"/>
  <c r="AP831" i="20"/>
  <c r="AP827" i="20"/>
  <c r="AP823" i="20"/>
  <c r="AP819" i="20"/>
  <c r="AP815" i="20"/>
  <c r="AP811" i="20"/>
  <c r="AP807" i="20"/>
  <c r="AP803" i="20"/>
  <c r="AP799" i="20"/>
  <c r="AP794" i="20"/>
  <c r="AP790" i="20"/>
  <c r="AP786" i="20"/>
  <c r="AP782" i="20"/>
  <c r="AP778" i="20"/>
  <c r="AP774" i="20"/>
  <c r="AP770" i="20"/>
  <c r="AP766" i="20"/>
  <c r="AP762" i="20"/>
  <c r="AP758" i="20"/>
  <c r="AP754" i="20"/>
  <c r="AP750" i="20"/>
  <c r="AP746" i="20"/>
  <c r="AP742" i="20"/>
  <c r="AP738" i="20"/>
  <c r="AP734" i="20"/>
  <c r="AP730" i="20"/>
  <c r="AP726" i="20"/>
  <c r="AP722" i="20"/>
  <c r="AP718" i="20"/>
  <c r="AP714" i="20"/>
  <c r="AP710" i="20"/>
  <c r="AP706" i="20"/>
  <c r="AP702" i="20"/>
  <c r="AP698" i="20"/>
  <c r="AP694" i="20"/>
  <c r="AP690" i="20"/>
  <c r="AP686" i="20"/>
  <c r="AP682" i="20"/>
  <c r="AP678" i="20"/>
  <c r="AP674" i="20"/>
  <c r="AP670" i="20"/>
  <c r="AP666" i="20"/>
  <c r="AP662" i="20"/>
  <c r="AP658" i="20"/>
  <c r="AP654" i="20"/>
  <c r="AP650" i="20"/>
  <c r="AP646" i="20"/>
  <c r="AP641" i="20"/>
  <c r="AP637" i="20"/>
  <c r="AP634" i="20"/>
  <c r="AP630" i="20"/>
  <c r="AP626" i="20"/>
  <c r="AP622" i="20"/>
  <c r="AP618" i="20"/>
  <c r="AP614" i="20"/>
  <c r="AP610" i="20"/>
  <c r="AP606" i="20"/>
  <c r="AP602" i="20"/>
  <c r="AP597" i="20"/>
  <c r="AP594" i="20"/>
  <c r="AP590" i="20"/>
  <c r="AP586" i="20"/>
  <c r="AP582" i="20"/>
  <c r="AP578" i="20"/>
  <c r="AP574" i="20"/>
  <c r="AP570" i="20"/>
  <c r="AP560" i="20"/>
  <c r="AP564" i="20"/>
  <c r="AP554" i="20"/>
  <c r="AP550" i="20"/>
  <c r="AP546" i="20"/>
  <c r="AP542" i="20"/>
  <c r="AP538" i="20"/>
  <c r="AP534" i="20"/>
  <c r="AP530" i="20"/>
  <c r="AP526" i="20"/>
  <c r="AP522" i="20"/>
  <c r="AP518" i="20"/>
  <c r="AP514" i="20"/>
  <c r="AP510" i="20"/>
  <c r="AP506" i="20"/>
  <c r="AP502" i="20"/>
  <c r="AP498" i="20"/>
  <c r="AP494" i="20"/>
  <c r="AP555" i="20"/>
  <c r="AP490" i="20"/>
  <c r="AP486" i="20"/>
  <c r="AP482" i="20"/>
  <c r="AP478" i="20"/>
  <c r="AP474" i="20"/>
  <c r="AP470" i="20"/>
  <c r="AP466" i="20"/>
  <c r="AP462" i="20"/>
  <c r="AP458" i="20"/>
  <c r="AP454" i="20"/>
  <c r="AP450" i="20"/>
  <c r="AP446" i="20"/>
  <c r="AP442" i="20"/>
  <c r="AP438" i="20"/>
  <c r="AP434" i="20"/>
  <c r="AP430" i="20"/>
  <c r="AP426" i="20"/>
  <c r="AP422" i="20"/>
  <c r="AP419" i="20"/>
  <c r="AP414" i="20"/>
  <c r="AP410" i="20"/>
  <c r="AP404" i="20"/>
  <c r="AP406" i="20"/>
  <c r="AP398" i="20"/>
  <c r="AP394" i="20"/>
  <c r="AP390" i="20"/>
  <c r="AP386" i="20"/>
  <c r="AP382" i="20"/>
  <c r="AP378" i="20"/>
  <c r="AP374" i="20"/>
  <c r="AP370" i="20"/>
  <c r="AP366" i="20"/>
  <c r="AP362" i="20"/>
  <c r="AP358" i="20"/>
  <c r="AP354" i="20"/>
  <c r="AP350" i="20"/>
  <c r="AP346" i="20"/>
  <c r="AP342" i="20"/>
  <c r="AP338" i="20"/>
  <c r="AP334" i="20"/>
  <c r="AP330" i="20"/>
  <c r="AP325" i="20"/>
  <c r="AP1144" i="20"/>
  <c r="AP1140" i="20"/>
  <c r="AP1136" i="20"/>
  <c r="AP1132" i="20"/>
  <c r="AP1128" i="20"/>
  <c r="AP1124" i="20"/>
  <c r="AP1120" i="20"/>
  <c r="AP1116" i="20"/>
  <c r="AP1112" i="20"/>
  <c r="AP1108" i="20"/>
  <c r="AP1104" i="20"/>
  <c r="AP7" i="20"/>
  <c r="AP12" i="20"/>
  <c r="AP13" i="20"/>
  <c r="AP26" i="20"/>
  <c r="AP20" i="20"/>
  <c r="AP1099" i="20"/>
  <c r="AP1093" i="20"/>
  <c r="AP1091" i="20"/>
  <c r="AP1087" i="20"/>
  <c r="AP1084" i="20"/>
  <c r="AP1079" i="20"/>
  <c r="AP1075" i="20"/>
  <c r="AP1071" i="20"/>
  <c r="AP1067" i="20"/>
  <c r="AP1063" i="20"/>
  <c r="AP1059" i="20"/>
  <c r="AP1055" i="20"/>
  <c r="AP1050" i="20"/>
  <c r="AP1043" i="20"/>
  <c r="AP1048" i="20"/>
  <c r="AP1036" i="20"/>
  <c r="AP1020" i="20"/>
  <c r="AP1011" i="20"/>
  <c r="AP1006" i="20"/>
  <c r="AP1003" i="20"/>
  <c r="AP999" i="20"/>
  <c r="AP994" i="20"/>
  <c r="AP989" i="20"/>
  <c r="AP985" i="20"/>
  <c r="AP983" i="20"/>
  <c r="AP977" i="20"/>
  <c r="AP973" i="20"/>
  <c r="AP969" i="20"/>
  <c r="AP963" i="20"/>
  <c r="AP959" i="20"/>
  <c r="AP955" i="20"/>
  <c r="AP947" i="20"/>
  <c r="AP943" i="20"/>
  <c r="AP939" i="20"/>
  <c r="AP935" i="20"/>
  <c r="AP931" i="20"/>
  <c r="AP927" i="20"/>
  <c r="AP923" i="20"/>
  <c r="AP919" i="20"/>
  <c r="AP915" i="20"/>
  <c r="AP910" i="20"/>
  <c r="AP906" i="20"/>
  <c r="AP902" i="20"/>
  <c r="AP898" i="20"/>
  <c r="AP894" i="20"/>
  <c r="AP889" i="20"/>
  <c r="AP885" i="20"/>
  <c r="AP881" i="20"/>
  <c r="AP871" i="20"/>
  <c r="AP867" i="20"/>
  <c r="AP860" i="20"/>
  <c r="AP856" i="20"/>
  <c r="AP852" i="20"/>
  <c r="AP847" i="20"/>
  <c r="AP841" i="20"/>
  <c r="AP838" i="20"/>
  <c r="AP834" i="20"/>
  <c r="AP830" i="20"/>
  <c r="AP826" i="20"/>
  <c r="AP822" i="20"/>
  <c r="AP818" i="20"/>
  <c r="AP814" i="20"/>
  <c r="AP810" i="20"/>
  <c r="AP806" i="20"/>
  <c r="AP802" i="20"/>
  <c r="AP798" i="20"/>
  <c r="AP793" i="20"/>
  <c r="AP789" i="20"/>
  <c r="AP785" i="20"/>
  <c r="AP781" i="20"/>
  <c r="AP777" i="20"/>
  <c r="AP773" i="20"/>
  <c r="AP769" i="20"/>
  <c r="AP765" i="20"/>
  <c r="AP761" i="20"/>
  <c r="AP757" i="20"/>
  <c r="AP753" i="20"/>
  <c r="AP749" i="20"/>
  <c r="AP745" i="20"/>
  <c r="AP741" i="20"/>
  <c r="AP737" i="20"/>
  <c r="AP733" i="20"/>
  <c r="AP729" i="20"/>
  <c r="AP725" i="20"/>
  <c r="AP721" i="20"/>
  <c r="AP717" i="20"/>
  <c r="AP713" i="20"/>
  <c r="AP709" i="20"/>
  <c r="AP705" i="20"/>
  <c r="AP701" i="20"/>
  <c r="AP697" i="20"/>
  <c r="AP693" i="20"/>
  <c r="AP689" i="20"/>
  <c r="AP685" i="20"/>
  <c r="AP681" i="20"/>
  <c r="AP677" i="20"/>
  <c r="AP673" i="20"/>
  <c r="AP669" i="20"/>
  <c r="AP665" i="20"/>
  <c r="AP661" i="20"/>
  <c r="AP657" i="20"/>
  <c r="AP653" i="20"/>
  <c r="AP649" i="20"/>
  <c r="AP645" i="20"/>
  <c r="AP640" i="20"/>
  <c r="AP636" i="20"/>
  <c r="AP633" i="20"/>
  <c r="AP629" i="20"/>
  <c r="AP625" i="20"/>
  <c r="AP621" i="20"/>
  <c r="AP617" i="20"/>
  <c r="AP613" i="20"/>
  <c r="AP609" i="20"/>
  <c r="AP605" i="20"/>
  <c r="AP601" i="20"/>
  <c r="AP599" i="20"/>
  <c r="AP593" i="20"/>
  <c r="AP589" i="20"/>
  <c r="AP585" i="20"/>
  <c r="AP581" i="20"/>
  <c r="AP577" i="20"/>
  <c r="AP573" i="20"/>
  <c r="AP569" i="20"/>
  <c r="AP559" i="20"/>
  <c r="AP563" i="20"/>
  <c r="AP553" i="20"/>
  <c r="AP549" i="20"/>
  <c r="AP545" i="20"/>
  <c r="AP541" i="20"/>
  <c r="AP537" i="20"/>
  <c r="AP533" i="20"/>
  <c r="AP529" i="20"/>
  <c r="AP525" i="20"/>
  <c r="AP521" i="20"/>
  <c r="AP517" i="20"/>
  <c r="AP513" i="20"/>
  <c r="AP509" i="20"/>
  <c r="AP505" i="20"/>
  <c r="AP501" i="20"/>
  <c r="AP497" i="20"/>
  <c r="AP558" i="20"/>
  <c r="AP493" i="20"/>
  <c r="AP489" i="20"/>
  <c r="AP485" i="20"/>
  <c r="AP481" i="20"/>
  <c r="AP477" i="20"/>
  <c r="AP473" i="20"/>
  <c r="AP469" i="20"/>
  <c r="AP465" i="20"/>
  <c r="AP461" i="20"/>
  <c r="AP457" i="20"/>
  <c r="AP453" i="20"/>
  <c r="AP449" i="20"/>
  <c r="AP445" i="20"/>
  <c r="AP441" i="20"/>
  <c r="AP437" i="20"/>
  <c r="AP433" i="20"/>
  <c r="AP429" i="20"/>
  <c r="AP425" i="20"/>
  <c r="AP421" i="20"/>
  <c r="AP418" i="20"/>
  <c r="AP413" i="20"/>
  <c r="AP409" i="20"/>
  <c r="AP403" i="20"/>
  <c r="AP405" i="20"/>
  <c r="AP397" i="20"/>
  <c r="AP396" i="20"/>
  <c r="AP389" i="20"/>
  <c r="AP385" i="20"/>
  <c r="AP381" i="20"/>
  <c r="AP377" i="20"/>
  <c r="AP373" i="20"/>
  <c r="AP369" i="20"/>
  <c r="AP365" i="20"/>
  <c r="AP361" i="20"/>
  <c r="AP55" i="20"/>
  <c r="AP83" i="20"/>
  <c r="AP1159" i="20"/>
  <c r="AP1155" i="20"/>
  <c r="AP1151" i="20"/>
  <c r="AP1147" i="20"/>
  <c r="AP1165" i="20"/>
  <c r="AP1169" i="20"/>
  <c r="AP357" i="20"/>
  <c r="AP353" i="20"/>
  <c r="AP349" i="20"/>
  <c r="AP345" i="20"/>
  <c r="AP341" i="20"/>
  <c r="AP337" i="20"/>
  <c r="AP333" i="20"/>
  <c r="AP329" i="20"/>
  <c r="AP324" i="20"/>
  <c r="AP321" i="20"/>
  <c r="AP317" i="20"/>
  <c r="AP313" i="20"/>
  <c r="AP309" i="20"/>
  <c r="AP305" i="20"/>
  <c r="AP301" i="20"/>
  <c r="AP297" i="20"/>
  <c r="AP293" i="20"/>
  <c r="AP289" i="20"/>
  <c r="AP285" i="20"/>
  <c r="AP281" i="20"/>
  <c r="AP277" i="20"/>
  <c r="AP273" i="20"/>
  <c r="AP269" i="20"/>
  <c r="AP265" i="20"/>
  <c r="AP261" i="20"/>
  <c r="AP257" i="20"/>
  <c r="AP253" i="20"/>
  <c r="AP249" i="20"/>
  <c r="AP245" i="20"/>
  <c r="AP241" i="20"/>
  <c r="AP237" i="20"/>
  <c r="AP233" i="20"/>
  <c r="AP229" i="20"/>
  <c r="AP225" i="20"/>
  <c r="AP210" i="20"/>
  <c r="AP206" i="20"/>
  <c r="AP203" i="20"/>
  <c r="AP198" i="20"/>
  <c r="AP194" i="20"/>
  <c r="AP191" i="20"/>
  <c r="AP185" i="20"/>
  <c r="AP182" i="20"/>
  <c r="AP177" i="20"/>
  <c r="AP164" i="20"/>
  <c r="AP158" i="20"/>
  <c r="AP156" i="20"/>
  <c r="AP148" i="20"/>
  <c r="AP133" i="20"/>
  <c r="AP125" i="20"/>
  <c r="AP114" i="20"/>
  <c r="AP110" i="20"/>
  <c r="AP104" i="20"/>
  <c r="AP94" i="20"/>
  <c r="AP1160" i="20"/>
  <c r="AP1156" i="20"/>
  <c r="AP1152" i="20"/>
  <c r="AP1148" i="20"/>
  <c r="AP1164" i="20"/>
  <c r="AP1168" i="20"/>
  <c r="AP1172" i="20"/>
  <c r="AP1176" i="20"/>
  <c r="AP1180" i="20"/>
  <c r="AP1184" i="20"/>
  <c r="AP1188" i="20"/>
  <c r="AP1192" i="20"/>
  <c r="AP1196" i="20"/>
  <c r="AP1200" i="20"/>
  <c r="AP1204" i="20"/>
  <c r="AP1208" i="20"/>
  <c r="AP1162" i="20"/>
  <c r="AP1158" i="20"/>
  <c r="AP1154" i="20"/>
  <c r="AP1150" i="20"/>
  <c r="AP1146" i="20"/>
  <c r="AP1166" i="20"/>
  <c r="AP1170" i="20"/>
  <c r="AP1174" i="20"/>
  <c r="AP1178" i="20"/>
  <c r="AP1182" i="20"/>
  <c r="AP1186" i="20"/>
  <c r="AP1190" i="20"/>
  <c r="AP1194" i="20"/>
  <c r="AP1198" i="20"/>
  <c r="AP1202" i="20"/>
  <c r="AP1206" i="20"/>
  <c r="AP1210" i="20"/>
  <c r="AP1214" i="20"/>
  <c r="AP1218" i="20"/>
  <c r="AP1222" i="20"/>
  <c r="AP1226" i="20"/>
  <c r="AP1230" i="20"/>
  <c r="AP1234" i="20"/>
  <c r="AP1238" i="20"/>
  <c r="AP1242" i="20"/>
  <c r="AP1246" i="20"/>
  <c r="AP1250" i="20"/>
  <c r="AP1254" i="20"/>
  <c r="AP1258" i="20"/>
  <c r="AP1262" i="20"/>
  <c r="AP1266" i="20"/>
  <c r="AP1270" i="20"/>
  <c r="AP1274" i="20"/>
  <c r="AP1278" i="20"/>
  <c r="AP1282" i="20"/>
  <c r="AP1286" i="20"/>
  <c r="AP1290" i="20"/>
  <c r="AP1294" i="20"/>
  <c r="AP1298" i="20"/>
  <c r="AP1302" i="20"/>
  <c r="AP1306" i="20"/>
  <c r="AP1310" i="20"/>
  <c r="AP1314" i="20"/>
  <c r="AP1318" i="20"/>
  <c r="AP1322" i="20"/>
  <c r="AP1326" i="20"/>
  <c r="AP1330" i="20"/>
  <c r="AP1334" i="20"/>
  <c r="AP1338" i="20"/>
  <c r="AP1339" i="20"/>
  <c r="AP46" i="20"/>
  <c r="AP56" i="20"/>
  <c r="AP45" i="20"/>
  <c r="AP1037" i="20"/>
  <c r="AP964" i="20"/>
  <c r="AP1040" i="20"/>
  <c r="AP1030" i="20"/>
  <c r="AP1035" i="20"/>
  <c r="AP1016" i="20"/>
  <c r="AP1015" i="20"/>
  <c r="AP221" i="20"/>
  <c r="AP119" i="20"/>
  <c r="AP68" i="20"/>
  <c r="AP130" i="20"/>
  <c r="AP218" i="20"/>
  <c r="AP76" i="20"/>
  <c r="AP134" i="20"/>
  <c r="AP213" i="20"/>
  <c r="AP118" i="20"/>
  <c r="AP136" i="20"/>
  <c r="AP100" i="20"/>
  <c r="AP80" i="20"/>
  <c r="AP139" i="20"/>
  <c r="AP88" i="20"/>
  <c r="AP90" i="20"/>
  <c r="AP91" i="20"/>
  <c r="AP85" i="20"/>
  <c r="AP37" i="20"/>
  <c r="AP60" i="20"/>
  <c r="AP61" i="20"/>
  <c r="AP96" i="20"/>
  <c r="AP87" i="20"/>
  <c r="AP322" i="20"/>
  <c r="AP318" i="20"/>
  <c r="AP314" i="20"/>
  <c r="AP310" i="20"/>
  <c r="AP306" i="20"/>
  <c r="AP302" i="20"/>
  <c r="AP298" i="20"/>
  <c r="AP294" i="20"/>
  <c r="AP290" i="20"/>
  <c r="AP286" i="20"/>
  <c r="AP282" i="20"/>
  <c r="AP278" i="20"/>
  <c r="AP274" i="20"/>
  <c r="AP270" i="20"/>
  <c r="AP266" i="20"/>
  <c r="AP262" i="20"/>
  <c r="AP258" i="20"/>
  <c r="AP254" i="20"/>
  <c r="AP250" i="20"/>
  <c r="AP246" i="20"/>
  <c r="AP242" i="20"/>
  <c r="AP238" i="20"/>
  <c r="AP234" i="20"/>
  <c r="AP230" i="20"/>
  <c r="AP226" i="20"/>
  <c r="AP211" i="20"/>
  <c r="AP207" i="20"/>
  <c r="AP204" i="20"/>
  <c r="AP199" i="20"/>
  <c r="AP195" i="20"/>
  <c r="AP190" i="20"/>
  <c r="AP186" i="20"/>
  <c r="AP184" i="20"/>
  <c r="AP179" i="20"/>
  <c r="AP165" i="20"/>
  <c r="AP160" i="20"/>
  <c r="AP154" i="20"/>
  <c r="AP150" i="20"/>
  <c r="AP145" i="20"/>
  <c r="AP127" i="20"/>
  <c r="AP115" i="20"/>
  <c r="AP109" i="20"/>
  <c r="AP105" i="20"/>
  <c r="AP98" i="20"/>
  <c r="AP1161" i="20"/>
  <c r="AP1157" i="20"/>
  <c r="AP1153" i="20"/>
  <c r="AP1149" i="20"/>
  <c r="AP1163" i="20"/>
  <c r="AP1167" i="20"/>
  <c r="AP1171" i="20"/>
  <c r="AP1175" i="20"/>
  <c r="AP1179" i="20"/>
  <c r="AP1183" i="20"/>
  <c r="AP1187" i="20"/>
  <c r="AP1191" i="20"/>
  <c r="AP1195" i="20"/>
  <c r="AP1199" i="20"/>
  <c r="AP1203" i="20"/>
  <c r="AP1207" i="20"/>
  <c r="AP1211" i="20"/>
  <c r="AP1215" i="20"/>
  <c r="AP1219" i="20"/>
  <c r="AP1223" i="20"/>
  <c r="AP1227" i="20"/>
  <c r="AP1231" i="20"/>
  <c r="AP1235" i="20"/>
  <c r="AP1239" i="20"/>
  <c r="AP1243" i="20"/>
  <c r="AP1247" i="20"/>
  <c r="AP1251" i="20"/>
  <c r="AP1255" i="20"/>
  <c r="AP1259" i="20"/>
  <c r="AP1263" i="20"/>
  <c r="AP1267" i="20"/>
  <c r="AP1271" i="20"/>
  <c r="AP1275" i="20"/>
  <c r="AP1279" i="20"/>
  <c r="AP1283" i="20"/>
  <c r="AP1287" i="20"/>
  <c r="AP1291" i="20"/>
  <c r="AP1295" i="20"/>
  <c r="AP1299" i="20"/>
  <c r="AP1173" i="20"/>
  <c r="AP1177" i="20"/>
  <c r="AP1181" i="20"/>
  <c r="AP1185" i="20"/>
  <c r="AP1189" i="20"/>
  <c r="AP1193" i="20"/>
  <c r="AP1197" i="20"/>
  <c r="AP1201" i="20"/>
  <c r="AP1205" i="20"/>
  <c r="AP1209" i="20"/>
  <c r="AP1213" i="20"/>
  <c r="AP1217" i="20"/>
  <c r="AP1221" i="20"/>
  <c r="AP1225" i="20"/>
  <c r="AP1229" i="20"/>
  <c r="AP1233" i="20"/>
  <c r="AP1237" i="20"/>
  <c r="AP1241" i="20"/>
  <c r="AP1245" i="20"/>
  <c r="AP1249" i="20"/>
  <c r="AP1253" i="20"/>
  <c r="AP1257" i="20"/>
  <c r="AP1261" i="20"/>
  <c r="AP1265" i="20"/>
  <c r="AP1269" i="20"/>
  <c r="AP1273" i="20"/>
  <c r="AP1277" i="20"/>
  <c r="AP1281" i="20"/>
  <c r="AP1285" i="20"/>
  <c r="AP1289" i="20"/>
  <c r="AP1293" i="20"/>
  <c r="AP1297" i="20"/>
  <c r="AP1301" i="20"/>
  <c r="AP1305" i="20"/>
  <c r="AP1309" i="20"/>
  <c r="AP1313" i="20"/>
  <c r="AP1317" i="20"/>
  <c r="AP1321" i="20"/>
  <c r="AP1325" i="20"/>
  <c r="AP1329" i="20"/>
  <c r="AP1333" i="20"/>
  <c r="AP1337" i="20"/>
  <c r="AP51" i="20"/>
  <c r="AP47" i="20"/>
  <c r="AP64" i="20"/>
  <c r="AP54" i="20"/>
  <c r="AP998" i="20"/>
  <c r="AP1029" i="20"/>
  <c r="AP861" i="20"/>
  <c r="AP1024" i="20"/>
  <c r="AP31" i="20"/>
  <c r="AP1032" i="20"/>
  <c r="AP951" i="20"/>
  <c r="AP874" i="20"/>
  <c r="AP75" i="20"/>
  <c r="AP122" i="20"/>
  <c r="AP124" i="20"/>
  <c r="AP71" i="20"/>
  <c r="AP137" i="20"/>
  <c r="AP212" i="20"/>
  <c r="AP66" i="20"/>
  <c r="AP129" i="20"/>
  <c r="AP143" i="20"/>
  <c r="AP78" i="20"/>
  <c r="AP81" i="20"/>
  <c r="AP48" i="20"/>
  <c r="AP79" i="20"/>
  <c r="AP58" i="20"/>
  <c r="AP62" i="20"/>
  <c r="AP33" i="20"/>
  <c r="AP169" i="20"/>
  <c r="AP34" i="20"/>
  <c r="AP163" i="20"/>
  <c r="AP42" i="20"/>
  <c r="AP43" i="20"/>
  <c r="AP176" i="20"/>
  <c r="AP38" i="20"/>
  <c r="AP59" i="20"/>
  <c r="AP1303" i="20"/>
  <c r="AP1307" i="20"/>
  <c r="AP1311" i="20"/>
  <c r="AP1315" i="20"/>
  <c r="AP1319" i="20"/>
  <c r="AP1323" i="20"/>
  <c r="AP1327" i="20"/>
  <c r="AP1331" i="20"/>
  <c r="AP1335" i="20"/>
  <c r="AP913" i="20"/>
  <c r="AP1028" i="20"/>
  <c r="AP1023" i="20"/>
  <c r="AP1033" i="20"/>
  <c r="AP965" i="20"/>
  <c r="AP873" i="20"/>
  <c r="AP862" i="20"/>
  <c r="AP144" i="20"/>
  <c r="AP70" i="20"/>
  <c r="AP132" i="20"/>
  <c r="AP214" i="20"/>
  <c r="AP65" i="20"/>
  <c r="AP142" i="20"/>
  <c r="AP222" i="20"/>
  <c r="AP74" i="20"/>
  <c r="AP77" i="20"/>
  <c r="AP49" i="20"/>
  <c r="AP121" i="20"/>
  <c r="AP97" i="20"/>
  <c r="AP149" i="20"/>
  <c r="AP166" i="20"/>
  <c r="AP36" i="20"/>
  <c r="AP167" i="20"/>
  <c r="AP41" i="20"/>
  <c r="AP95" i="20"/>
  <c r="AP86" i="20"/>
  <c r="AP89" i="20"/>
  <c r="AP172" i="20"/>
  <c r="AP151" i="20"/>
  <c r="AP1212" i="20"/>
  <c r="AP1216" i="20"/>
  <c r="AP1220" i="20"/>
  <c r="AP1224" i="20"/>
  <c r="AP1228" i="20"/>
  <c r="AP1232" i="20"/>
  <c r="AP1236" i="20"/>
  <c r="AP1240" i="20"/>
  <c r="AP1244" i="20"/>
  <c r="AP1248" i="20"/>
  <c r="AP1252" i="20"/>
  <c r="AP1256" i="20"/>
  <c r="AP1260" i="20"/>
  <c r="AP1264" i="20"/>
  <c r="AP1268" i="20"/>
  <c r="AP1272" i="20"/>
  <c r="AP1276" i="20"/>
  <c r="AP1280" i="20"/>
  <c r="AP1284" i="20"/>
  <c r="AP1288" i="20"/>
  <c r="AP1292" i="20"/>
  <c r="AP1296" i="20"/>
  <c r="AP1300" i="20"/>
  <c r="AP1304" i="20"/>
  <c r="AP1308" i="20"/>
  <c r="AP1312" i="20"/>
  <c r="AP1316" i="20"/>
  <c r="AP1320" i="20"/>
  <c r="AP1324" i="20"/>
  <c r="AP1328" i="20"/>
  <c r="AP1332" i="20"/>
  <c r="AP1336" i="20"/>
  <c r="AP32" i="20"/>
  <c r="AP82" i="20"/>
  <c r="AP991" i="20"/>
  <c r="AP1031" i="20"/>
  <c r="AP1013" i="20"/>
  <c r="AP893" i="20"/>
  <c r="AP950" i="20"/>
  <c r="AP1025" i="20"/>
  <c r="AP1014" i="20"/>
  <c r="AP845" i="20"/>
  <c r="AP63" i="20"/>
  <c r="AP850" i="20"/>
  <c r="AP216" i="20"/>
  <c r="AP73" i="20"/>
  <c r="AP128" i="20"/>
  <c r="AP219" i="20"/>
  <c r="AP67" i="20"/>
  <c r="AP220" i="20"/>
  <c r="AP135" i="20"/>
  <c r="AP50" i="20"/>
  <c r="AP138" i="20"/>
  <c r="AP140" i="20"/>
  <c r="AP39" i="20"/>
  <c r="AP175" i="20"/>
  <c r="AP93" i="20"/>
  <c r="AP53" i="20"/>
  <c r="AP173" i="20"/>
  <c r="AP170" i="20"/>
  <c r="AP171" i="20"/>
  <c r="AP44" i="20"/>
  <c r="AO30" i="20"/>
  <c r="AO34" i="20"/>
  <c r="AO38" i="20"/>
  <c r="AO42" i="20"/>
  <c r="AO17" i="20"/>
  <c r="AO31" i="20"/>
  <c r="AO35" i="20"/>
  <c r="AO39" i="20"/>
  <c r="AO22" i="20"/>
  <c r="AO33" i="20"/>
  <c r="AO37" i="20"/>
  <c r="AO41" i="20"/>
  <c r="AO45" i="20"/>
  <c r="AO49" i="20"/>
  <c r="AO53" i="20"/>
  <c r="AO57" i="20"/>
  <c r="AO61" i="20"/>
  <c r="AO65" i="20"/>
  <c r="AO69" i="20"/>
  <c r="AO73" i="20"/>
  <c r="AO77" i="20"/>
  <c r="AO81" i="20"/>
  <c r="AO85" i="20"/>
  <c r="AO89" i="20"/>
  <c r="AO93" i="20"/>
  <c r="AO97" i="20"/>
  <c r="AO101" i="20"/>
  <c r="AO105" i="20"/>
  <c r="AO109" i="20"/>
  <c r="AO113" i="20"/>
  <c r="AO117" i="20"/>
  <c r="AO121" i="20"/>
  <c r="AO125" i="20"/>
  <c r="AO129" i="20"/>
  <c r="AO133" i="20"/>
  <c r="AO137" i="20"/>
  <c r="AO141" i="20"/>
  <c r="AO145" i="20"/>
  <c r="AO149" i="20"/>
  <c r="AO153" i="20"/>
  <c r="AO157" i="20"/>
  <c r="AO161" i="20"/>
  <c r="AO165" i="20"/>
  <c r="AO169" i="20"/>
  <c r="AO173" i="20"/>
  <c r="AO177" i="20"/>
  <c r="AO181" i="20"/>
  <c r="AO185" i="20"/>
  <c r="AO189" i="20"/>
  <c r="AO193" i="20"/>
  <c r="AO197" i="20"/>
  <c r="AO201" i="20"/>
  <c r="AO205" i="20"/>
  <c r="AO209" i="20"/>
  <c r="AO213" i="20"/>
  <c r="AO217" i="20"/>
  <c r="AO221" i="20"/>
  <c r="AO225" i="20"/>
  <c r="AO229" i="20"/>
  <c r="AO233" i="20"/>
  <c r="AO237" i="20"/>
  <c r="AO241" i="20"/>
  <c r="AO245" i="20"/>
  <c r="AO249" i="20"/>
  <c r="AO253" i="20"/>
  <c r="AO257" i="20"/>
  <c r="AO261" i="20"/>
  <c r="AO265" i="20"/>
  <c r="AO269" i="20"/>
  <c r="AO273" i="20"/>
  <c r="AO277" i="20"/>
  <c r="AO281" i="20"/>
  <c r="AO285" i="20"/>
  <c r="AO289" i="20"/>
  <c r="AO293" i="20"/>
  <c r="AO297" i="20"/>
  <c r="AO301" i="20"/>
  <c r="AO305" i="20"/>
  <c r="AO309" i="20"/>
  <c r="AO313" i="20"/>
  <c r="AO317" i="20"/>
  <c r="AO321" i="20"/>
  <c r="AO325" i="20"/>
  <c r="AO329" i="20"/>
  <c r="AO333" i="20"/>
  <c r="AO337" i="20"/>
  <c r="AO341" i="20"/>
  <c r="AO345" i="20"/>
  <c r="AO349" i="20"/>
  <c r="AO353" i="20"/>
  <c r="AO357" i="20"/>
  <c r="AO361" i="20"/>
  <c r="AO365" i="20"/>
  <c r="AO21" i="20"/>
  <c r="AO43" i="20"/>
  <c r="AO48" i="20"/>
  <c r="AO54" i="20"/>
  <c r="AO59" i="20"/>
  <c r="AO64" i="20"/>
  <c r="AO70" i="20"/>
  <c r="AO75" i="20"/>
  <c r="AO80" i="20"/>
  <c r="AO86" i="20"/>
  <c r="AO91" i="20"/>
  <c r="AO96" i="20"/>
  <c r="AO102" i="20"/>
  <c r="AO107" i="20"/>
  <c r="AO112" i="20"/>
  <c r="AO118" i="20"/>
  <c r="AO123" i="20"/>
  <c r="AO128" i="20"/>
  <c r="AO134" i="20"/>
  <c r="AO139" i="20"/>
  <c r="AO144" i="20"/>
  <c r="AO150" i="20"/>
  <c r="AO155" i="20"/>
  <c r="AO160" i="20"/>
  <c r="AO32" i="20"/>
  <c r="AO44" i="20"/>
  <c r="AO50" i="20"/>
  <c r="AO55" i="20"/>
  <c r="AO60" i="20"/>
  <c r="AO66" i="20"/>
  <c r="AO71" i="20"/>
  <c r="AO76" i="20"/>
  <c r="AO82" i="20"/>
  <c r="AO87" i="20"/>
  <c r="AO92" i="20"/>
  <c r="AO98" i="20"/>
  <c r="AO103" i="20"/>
  <c r="AO108" i="20"/>
  <c r="AO114" i="20"/>
  <c r="AO119" i="20"/>
  <c r="AO124" i="20"/>
  <c r="AO130" i="20"/>
  <c r="AO135" i="20"/>
  <c r="AO140" i="20"/>
  <c r="AO146" i="20"/>
  <c r="AO151" i="20"/>
  <c r="AO156" i="20"/>
  <c r="AO162" i="20"/>
  <c r="AO167" i="20"/>
  <c r="AO172" i="20"/>
  <c r="AO178" i="20"/>
  <c r="AO183" i="20"/>
  <c r="AO188" i="20"/>
  <c r="AO194" i="20"/>
  <c r="AO199" i="20"/>
  <c r="AO204" i="20"/>
  <c r="AO210" i="20"/>
  <c r="AO215" i="20"/>
  <c r="AO220" i="20"/>
  <c r="AO226" i="20"/>
  <c r="AO231" i="20"/>
  <c r="AO236" i="20"/>
  <c r="AO242" i="20"/>
  <c r="AO247" i="20"/>
  <c r="AO252" i="20"/>
  <c r="AO258" i="20"/>
  <c r="AO263" i="20"/>
  <c r="AO268" i="20"/>
  <c r="AO274" i="20"/>
  <c r="AO279" i="20"/>
  <c r="AO284" i="20"/>
  <c r="AO290" i="20"/>
  <c r="AO295" i="20"/>
  <c r="AO300" i="20"/>
  <c r="AO306" i="20"/>
  <c r="AO311" i="20"/>
  <c r="AO316" i="20"/>
  <c r="AO322" i="20"/>
  <c r="AO327" i="20"/>
  <c r="AO332" i="20"/>
  <c r="AO338" i="20"/>
  <c r="AO343" i="20"/>
  <c r="AO348" i="20"/>
  <c r="AO354" i="20"/>
  <c r="AO359" i="20"/>
  <c r="AO364" i="20"/>
  <c r="AO369" i="20"/>
  <c r="AO373" i="20"/>
  <c r="AO377" i="20"/>
  <c r="AO381" i="20"/>
  <c r="AO385" i="20"/>
  <c r="AO389" i="20"/>
  <c r="AO393" i="20"/>
  <c r="AO397" i="20"/>
  <c r="AO401" i="20"/>
  <c r="AO405" i="20"/>
  <c r="AO409" i="20"/>
  <c r="AO413" i="20"/>
  <c r="AO417" i="20"/>
  <c r="AO421" i="20"/>
  <c r="AO425" i="20"/>
  <c r="AO429" i="20"/>
  <c r="AO433" i="20"/>
  <c r="AO437" i="20"/>
  <c r="AO441" i="20"/>
  <c r="AO445" i="20"/>
  <c r="AO449" i="20"/>
  <c r="AO453" i="20"/>
  <c r="AO457" i="20"/>
  <c r="AO40" i="20"/>
  <c r="AO47" i="20"/>
  <c r="AO52" i="20"/>
  <c r="AO58" i="20"/>
  <c r="AO63" i="20"/>
  <c r="AO68" i="20"/>
  <c r="AO74" i="20"/>
  <c r="AO79" i="20"/>
  <c r="AO36" i="20"/>
  <c r="AO62" i="20"/>
  <c r="AO83" i="20"/>
  <c r="AO94" i="20"/>
  <c r="AO104" i="20"/>
  <c r="AO115" i="20"/>
  <c r="AO126" i="20"/>
  <c r="AO136" i="20"/>
  <c r="AO147" i="20"/>
  <c r="AO158" i="20"/>
  <c r="AO166" i="20"/>
  <c r="AO174" i="20"/>
  <c r="AO180" i="20"/>
  <c r="AO187" i="20"/>
  <c r="AO195" i="20"/>
  <c r="AO202" i="20"/>
  <c r="AO208" i="20"/>
  <c r="AO216" i="20"/>
  <c r="AO223" i="20"/>
  <c r="AO230" i="20"/>
  <c r="AO238" i="20"/>
  <c r="AO244" i="20"/>
  <c r="AO251" i="20"/>
  <c r="AO259" i="20"/>
  <c r="AO266" i="20"/>
  <c r="AO272" i="20"/>
  <c r="AO280" i="20"/>
  <c r="AO287" i="20"/>
  <c r="AO294" i="20"/>
  <c r="AO302" i="20"/>
  <c r="AO308" i="20"/>
  <c r="AO315" i="20"/>
  <c r="AO323" i="20"/>
  <c r="AO330" i="20"/>
  <c r="AO336" i="20"/>
  <c r="AO344" i="20"/>
  <c r="AO351" i="20"/>
  <c r="AO358" i="20"/>
  <c r="AO366" i="20"/>
  <c r="AO371" i="20"/>
  <c r="AO376" i="20"/>
  <c r="AO382" i="20"/>
  <c r="AO387" i="20"/>
  <c r="AO392" i="20"/>
  <c r="AO398" i="20"/>
  <c r="AO403" i="20"/>
  <c r="AO408" i="20"/>
  <c r="AO414" i="20"/>
  <c r="AO419" i="20"/>
  <c r="AO424" i="20"/>
  <c r="AO430" i="20"/>
  <c r="AO435" i="20"/>
  <c r="AO440" i="20"/>
  <c r="AO446" i="20"/>
  <c r="AO451" i="20"/>
  <c r="AO456" i="20"/>
  <c r="AO461" i="20"/>
  <c r="AO465" i="20"/>
  <c r="AO469" i="20"/>
  <c r="AO473" i="20"/>
  <c r="AO477" i="20"/>
  <c r="AO481" i="20"/>
  <c r="AO485" i="20"/>
  <c r="AO489" i="20"/>
  <c r="AO493" i="20"/>
  <c r="AO497" i="20"/>
  <c r="AO501" i="20"/>
  <c r="AO505" i="20"/>
  <c r="AO509" i="20"/>
  <c r="AO513" i="20"/>
  <c r="AO517" i="20"/>
  <c r="AO521" i="20"/>
  <c r="AO525" i="20"/>
  <c r="AO529" i="20"/>
  <c r="AO533" i="20"/>
  <c r="AO537" i="20"/>
  <c r="AO541" i="20"/>
  <c r="AO545" i="20"/>
  <c r="AO549" i="20"/>
  <c r="AO553" i="20"/>
  <c r="AO557" i="20"/>
  <c r="AO561" i="20"/>
  <c r="AO46" i="20"/>
  <c r="AO67" i="20"/>
  <c r="AO84" i="20"/>
  <c r="AO95" i="20"/>
  <c r="AO106" i="20"/>
  <c r="AO116" i="20"/>
  <c r="AO127" i="20"/>
  <c r="AO138" i="20"/>
  <c r="AO148" i="20"/>
  <c r="AO159" i="20"/>
  <c r="AO168" i="20"/>
  <c r="AO175" i="20"/>
  <c r="AO182" i="20"/>
  <c r="AO190" i="20"/>
  <c r="AO196" i="20"/>
  <c r="AO203" i="20"/>
  <c r="AO211" i="20"/>
  <c r="AO218" i="20"/>
  <c r="AO224" i="20"/>
  <c r="AO232" i="20"/>
  <c r="AO239" i="20"/>
  <c r="AO246" i="20"/>
  <c r="AO254" i="20"/>
  <c r="AO260" i="20"/>
  <c r="AO267" i="20"/>
  <c r="AO275" i="20"/>
  <c r="AO282" i="20"/>
  <c r="AO288" i="20"/>
  <c r="AO296" i="20"/>
  <c r="AO303" i="20"/>
  <c r="AO310" i="20"/>
  <c r="AO318" i="20"/>
  <c r="AO324" i="20"/>
  <c r="AO331" i="20"/>
  <c r="AO339" i="20"/>
  <c r="AO346" i="20"/>
  <c r="AO352" i="20"/>
  <c r="AO360" i="20"/>
  <c r="AO367" i="20"/>
  <c r="AO372" i="20"/>
  <c r="AO378" i="20"/>
  <c r="AO383" i="20"/>
  <c r="AO388" i="20"/>
  <c r="AO394" i="20"/>
  <c r="AO399" i="20"/>
  <c r="AO404" i="20"/>
  <c r="AO410" i="20"/>
  <c r="AO415" i="20"/>
  <c r="AO420" i="20"/>
  <c r="AO426" i="20"/>
  <c r="AO431" i="20"/>
  <c r="AO436" i="20"/>
  <c r="AO442" i="20"/>
  <c r="AO447" i="20"/>
  <c r="AO452" i="20"/>
  <c r="AO458" i="20"/>
  <c r="AO462" i="20"/>
  <c r="AO466" i="20"/>
  <c r="AO470" i="20"/>
  <c r="AO474" i="20"/>
  <c r="AO478" i="20"/>
  <c r="AO482" i="20"/>
  <c r="AO486" i="20"/>
  <c r="AO490" i="20"/>
  <c r="AO494" i="20"/>
  <c r="AO498" i="20"/>
  <c r="AO502" i="20"/>
  <c r="AO506" i="20"/>
  <c r="AO510" i="20"/>
  <c r="AO514" i="20"/>
  <c r="AO518" i="20"/>
  <c r="AO522" i="20"/>
  <c r="AO526" i="20"/>
  <c r="AO530" i="20"/>
  <c r="AO534" i="20"/>
  <c r="AO538" i="20"/>
  <c r="AO542" i="20"/>
  <c r="AO546" i="20"/>
  <c r="AO550" i="20"/>
  <c r="AO554" i="20"/>
  <c r="AO558" i="20"/>
  <c r="AO562" i="20"/>
  <c r="AO566" i="20"/>
  <c r="AO570" i="20"/>
  <c r="AO51" i="20"/>
  <c r="AO72" i="20"/>
  <c r="AO88" i="20"/>
  <c r="AO99" i="20"/>
  <c r="AO110" i="20"/>
  <c r="AO120" i="20"/>
  <c r="AO131" i="20"/>
  <c r="AO142" i="20"/>
  <c r="AO152" i="20"/>
  <c r="AO163" i="20"/>
  <c r="AO170" i="20"/>
  <c r="AO176" i="20"/>
  <c r="AO184" i="20"/>
  <c r="AO191" i="20"/>
  <c r="AO198" i="20"/>
  <c r="AO206" i="20"/>
  <c r="AO212" i="20"/>
  <c r="AO219" i="20"/>
  <c r="AO227" i="20"/>
  <c r="AO234" i="20"/>
  <c r="AO240" i="20"/>
  <c r="AO248" i="20"/>
  <c r="AO255" i="20"/>
  <c r="AO262" i="20"/>
  <c r="AO270" i="20"/>
  <c r="AO276" i="20"/>
  <c r="AO283" i="20"/>
  <c r="AO291" i="20"/>
  <c r="AO298" i="20"/>
  <c r="AO304" i="20"/>
  <c r="AO312" i="20"/>
  <c r="AO319" i="20"/>
  <c r="AO326" i="20"/>
  <c r="AO334" i="20"/>
  <c r="AO340" i="20"/>
  <c r="AO347" i="20"/>
  <c r="AO355" i="20"/>
  <c r="AO362" i="20"/>
  <c r="AO368" i="20"/>
  <c r="AO374" i="20"/>
  <c r="AO379" i="20"/>
  <c r="AO384" i="20"/>
  <c r="AO390" i="20"/>
  <c r="AO395" i="20"/>
  <c r="AO400" i="20"/>
  <c r="AO406" i="20"/>
  <c r="AO411" i="20"/>
  <c r="AO416" i="20"/>
  <c r="AO422" i="20"/>
  <c r="AO427" i="20"/>
  <c r="AO432" i="20"/>
  <c r="AO438" i="20"/>
  <c r="AO443" i="20"/>
  <c r="AO448" i="20"/>
  <c r="AO454" i="20"/>
  <c r="AO459" i="20"/>
  <c r="AO463" i="20"/>
  <c r="AO467" i="20"/>
  <c r="AO471" i="20"/>
  <c r="AO475" i="20"/>
  <c r="AO479" i="20"/>
  <c r="AO483" i="20"/>
  <c r="AO487" i="20"/>
  <c r="AO491" i="20"/>
  <c r="AO495" i="20"/>
  <c r="AO499" i="20"/>
  <c r="AO503" i="20"/>
  <c r="AO507" i="20"/>
  <c r="AO511" i="20"/>
  <c r="AO515" i="20"/>
  <c r="AO519" i="20"/>
  <c r="AO523" i="20"/>
  <c r="AO527" i="20"/>
  <c r="AO531" i="20"/>
  <c r="AO535" i="20"/>
  <c r="AO539" i="20"/>
  <c r="AO543" i="20"/>
  <c r="AO547" i="20"/>
  <c r="AO551" i="20"/>
  <c r="AO555" i="20"/>
  <c r="AO559" i="20"/>
  <c r="AO563" i="20"/>
  <c r="AO567" i="20"/>
  <c r="AO571" i="20"/>
  <c r="AO575" i="20"/>
  <c r="AO56" i="20"/>
  <c r="AO111" i="20"/>
  <c r="AO154" i="20"/>
  <c r="AO186" i="20"/>
  <c r="AO214" i="20"/>
  <c r="AO243" i="20"/>
  <c r="AO271" i="20"/>
  <c r="AO299" i="20"/>
  <c r="AO328" i="20"/>
  <c r="AO356" i="20"/>
  <c r="AO380" i="20"/>
  <c r="AO402" i="20"/>
  <c r="AO423" i="20"/>
  <c r="AO444" i="20"/>
  <c r="AO464" i="20"/>
  <c r="AO480" i="20"/>
  <c r="AO496" i="20"/>
  <c r="AO512" i="20"/>
  <c r="AO528" i="20"/>
  <c r="AO544" i="20"/>
  <c r="AO560" i="20"/>
  <c r="AO569" i="20"/>
  <c r="AO576" i="20"/>
  <c r="AO580" i="20"/>
  <c r="AO584" i="20"/>
  <c r="AO588" i="20"/>
  <c r="AO592" i="20"/>
  <c r="AO596" i="20"/>
  <c r="AO600" i="20"/>
  <c r="AO604" i="20"/>
  <c r="AO608" i="20"/>
  <c r="AO612" i="20"/>
  <c r="AO616" i="20"/>
  <c r="AO620" i="20"/>
  <c r="AO624" i="20"/>
  <c r="AO628" i="20"/>
  <c r="AO632" i="20"/>
  <c r="AO636" i="20"/>
  <c r="AO640" i="20"/>
  <c r="AO644" i="20"/>
  <c r="AO648" i="20"/>
  <c r="AO652" i="20"/>
  <c r="AO656" i="20"/>
  <c r="AO660" i="20"/>
  <c r="AO664" i="20"/>
  <c r="AO668" i="20"/>
  <c r="AO672" i="20"/>
  <c r="AO676" i="20"/>
  <c r="AO680" i="20"/>
  <c r="AO684" i="20"/>
  <c r="AO688" i="20"/>
  <c r="AO692" i="20"/>
  <c r="AO696" i="20"/>
  <c r="AO700" i="20"/>
  <c r="AO704" i="20"/>
  <c r="AO708" i="20"/>
  <c r="AO712" i="20"/>
  <c r="AO716" i="20"/>
  <c r="AO720" i="20"/>
  <c r="AO724" i="20"/>
  <c r="AO728" i="20"/>
  <c r="AO732" i="20"/>
  <c r="AO736" i="20"/>
  <c r="AO740" i="20"/>
  <c r="AO744" i="20"/>
  <c r="AO748" i="20"/>
  <c r="AO752" i="20"/>
  <c r="AO756" i="20"/>
  <c r="AO760" i="20"/>
  <c r="AO764" i="20"/>
  <c r="AO768" i="20"/>
  <c r="AO772" i="20"/>
  <c r="AO776" i="20"/>
  <c r="AO780" i="20"/>
  <c r="AO784" i="20"/>
  <c r="AO788" i="20"/>
  <c r="AO792" i="20"/>
  <c r="AO796" i="20"/>
  <c r="AO800" i="20"/>
  <c r="AO804" i="20"/>
  <c r="AO808" i="20"/>
  <c r="AO812" i="20"/>
  <c r="AO816" i="20"/>
  <c r="AO820" i="20"/>
  <c r="AO824" i="20"/>
  <c r="AO78" i="20"/>
  <c r="AO122" i="20"/>
  <c r="AO164" i="20"/>
  <c r="AO192" i="20"/>
  <c r="AO222" i="20"/>
  <c r="AO250" i="20"/>
  <c r="AO278" i="20"/>
  <c r="AO307" i="20"/>
  <c r="AO335" i="20"/>
  <c r="AO363" i="20"/>
  <c r="AO386" i="20"/>
  <c r="AO407" i="20"/>
  <c r="AO428" i="20"/>
  <c r="AO450" i="20"/>
  <c r="AO468" i="20"/>
  <c r="AO484" i="20"/>
  <c r="AO500" i="20"/>
  <c r="AO516" i="20"/>
  <c r="AO532" i="20"/>
  <c r="AO548" i="20"/>
  <c r="AO564" i="20"/>
  <c r="AO572" i="20"/>
  <c r="AO577" i="20"/>
  <c r="AO581" i="20"/>
  <c r="AO585" i="20"/>
  <c r="AO589" i="20"/>
  <c r="AO593" i="20"/>
  <c r="AO597" i="20"/>
  <c r="AO601" i="20"/>
  <c r="AO605" i="20"/>
  <c r="AO609" i="20"/>
  <c r="AO613" i="20"/>
  <c r="AO617" i="20"/>
  <c r="AO621" i="20"/>
  <c r="AO625" i="20"/>
  <c r="AO629" i="20"/>
  <c r="AO633" i="20"/>
  <c r="AO637" i="20"/>
  <c r="AO641" i="20"/>
  <c r="AO645" i="20"/>
  <c r="AO649" i="20"/>
  <c r="AO653" i="20"/>
  <c r="AO657" i="20"/>
  <c r="AO661" i="20"/>
  <c r="AO665" i="20"/>
  <c r="AO669" i="20"/>
  <c r="AO673" i="20"/>
  <c r="AO677" i="20"/>
  <c r="AO681" i="20"/>
  <c r="AO685" i="20"/>
  <c r="AO689" i="20"/>
  <c r="AO693" i="20"/>
  <c r="AO697" i="20"/>
  <c r="AO701" i="20"/>
  <c r="AO705" i="20"/>
  <c r="AO709" i="20"/>
  <c r="AO713" i="20"/>
  <c r="AO717" i="20"/>
  <c r="AO721" i="20"/>
  <c r="AO725" i="20"/>
  <c r="AO729" i="20"/>
  <c r="AO733" i="20"/>
  <c r="AO737" i="20"/>
  <c r="AO741" i="20"/>
  <c r="AO745" i="20"/>
  <c r="AO749" i="20"/>
  <c r="AO753" i="20"/>
  <c r="AO757" i="20"/>
  <c r="AO761" i="20"/>
  <c r="AO765" i="20"/>
  <c r="AO769" i="20"/>
  <c r="AO773" i="20"/>
  <c r="AO777" i="20"/>
  <c r="AO781" i="20"/>
  <c r="AO785" i="20"/>
  <c r="AO789" i="20"/>
  <c r="AO793" i="20"/>
  <c r="AO797" i="20"/>
  <c r="AO801" i="20"/>
  <c r="AO805" i="20"/>
  <c r="AO90" i="20"/>
  <c r="AO132" i="20"/>
  <c r="AO171" i="20"/>
  <c r="AO200" i="20"/>
  <c r="AO228" i="20"/>
  <c r="AO256" i="20"/>
  <c r="AO286" i="20"/>
  <c r="AO314" i="20"/>
  <c r="AO342" i="20"/>
  <c r="AO370" i="20"/>
  <c r="AO391" i="20"/>
  <c r="AO412" i="20"/>
  <c r="AO434" i="20"/>
  <c r="AO455" i="20"/>
  <c r="AO472" i="20"/>
  <c r="AO488" i="20"/>
  <c r="AO504" i="20"/>
  <c r="AO520" i="20"/>
  <c r="AO536" i="20"/>
  <c r="AO552" i="20"/>
  <c r="AO565" i="20"/>
  <c r="AO573" i="20"/>
  <c r="AO578" i="20"/>
  <c r="AO582" i="20"/>
  <c r="AO586" i="20"/>
  <c r="AO590" i="20"/>
  <c r="AO594" i="20"/>
  <c r="AO598" i="20"/>
  <c r="AO602" i="20"/>
  <c r="AO606" i="20"/>
  <c r="AO610" i="20"/>
  <c r="AO614" i="20"/>
  <c r="AO618" i="20"/>
  <c r="AO622" i="20"/>
  <c r="AO626" i="20"/>
  <c r="AO630" i="20"/>
  <c r="AO634" i="20"/>
  <c r="AO638" i="20"/>
  <c r="AO642" i="20"/>
  <c r="AO646" i="20"/>
  <c r="AO650" i="20"/>
  <c r="AO654" i="20"/>
  <c r="AO658" i="20"/>
  <c r="AO662" i="20"/>
  <c r="AO666" i="20"/>
  <c r="AO670" i="20"/>
  <c r="AO674" i="20"/>
  <c r="AO678" i="20"/>
  <c r="AO682" i="20"/>
  <c r="AO686" i="20"/>
  <c r="AO690" i="20"/>
  <c r="AO694" i="20"/>
  <c r="AO698" i="20"/>
  <c r="AO702" i="20"/>
  <c r="AO706" i="20"/>
  <c r="AO710" i="20"/>
  <c r="AO714" i="20"/>
  <c r="AO718" i="20"/>
  <c r="AO722" i="20"/>
  <c r="AO726" i="20"/>
  <c r="AO730" i="20"/>
  <c r="AO734" i="20"/>
  <c r="AO738" i="20"/>
  <c r="AO742" i="20"/>
  <c r="AO746" i="20"/>
  <c r="AO750" i="20"/>
  <c r="AO754" i="20"/>
  <c r="AO758" i="20"/>
  <c r="AO762" i="20"/>
  <c r="AO766" i="20"/>
  <c r="AO770" i="20"/>
  <c r="AO774" i="20"/>
  <c r="AO778" i="20"/>
  <c r="AO782" i="20"/>
  <c r="AO786" i="20"/>
  <c r="AO790" i="20"/>
  <c r="AO794" i="20"/>
  <c r="AO798" i="20"/>
  <c r="AO802" i="20"/>
  <c r="AO806" i="20"/>
  <c r="AO810" i="20"/>
  <c r="AO814" i="20"/>
  <c r="AO818" i="20"/>
  <c r="AO822" i="20"/>
  <c r="AO826" i="20"/>
  <c r="AO830" i="20"/>
  <c r="AO834" i="20"/>
  <c r="AO100" i="20"/>
  <c r="AO235" i="20"/>
  <c r="AO350" i="20"/>
  <c r="AO439" i="20"/>
  <c r="AO508" i="20"/>
  <c r="AO568" i="20"/>
  <c r="AO587" i="20"/>
  <c r="AO603" i="20"/>
  <c r="AO619" i="20"/>
  <c r="AO635" i="20"/>
  <c r="AO651" i="20"/>
  <c r="AO667" i="20"/>
  <c r="AO683" i="20"/>
  <c r="AO699" i="20"/>
  <c r="AO715" i="20"/>
  <c r="AO731" i="20"/>
  <c r="AO747" i="20"/>
  <c r="AO763" i="20"/>
  <c r="AO779" i="20"/>
  <c r="AO795" i="20"/>
  <c r="AO809" i="20"/>
  <c r="AO817" i="20"/>
  <c r="AO825" i="20"/>
  <c r="AO831" i="20"/>
  <c r="AO836" i="20"/>
  <c r="AO840" i="20"/>
  <c r="AO844" i="20"/>
  <c r="AO848" i="20"/>
  <c r="AO852" i="20"/>
  <c r="AO856" i="20"/>
  <c r="AO860" i="20"/>
  <c r="AO864" i="20"/>
  <c r="AO868" i="20"/>
  <c r="AO872" i="20"/>
  <c r="AO876" i="20"/>
  <c r="AO880" i="20"/>
  <c r="AO884" i="20"/>
  <c r="AO888" i="20"/>
  <c r="AO892" i="20"/>
  <c r="AO896" i="20"/>
  <c r="AO900" i="20"/>
  <c r="AO904" i="20"/>
  <c r="AO908" i="20"/>
  <c r="AO912" i="20"/>
  <c r="AO916" i="20"/>
  <c r="AO920" i="20"/>
  <c r="AO924" i="20"/>
  <c r="AO928" i="20"/>
  <c r="AO932" i="20"/>
  <c r="AO936" i="20"/>
  <c r="AO940" i="20"/>
  <c r="AO944" i="20"/>
  <c r="AO948" i="20"/>
  <c r="AO952" i="20"/>
  <c r="AO956" i="20"/>
  <c r="AO960" i="20"/>
  <c r="AO964" i="20"/>
  <c r="AO968" i="20"/>
  <c r="AO972" i="20"/>
  <c r="AO976" i="20"/>
  <c r="AO980" i="20"/>
  <c r="AO984" i="20"/>
  <c r="AO988" i="20"/>
  <c r="AO992" i="20"/>
  <c r="AO996" i="20"/>
  <c r="AO1000" i="20"/>
  <c r="AO1004" i="20"/>
  <c r="AO1008" i="20"/>
  <c r="AO1012" i="20"/>
  <c r="AO1016" i="20"/>
  <c r="AO1020" i="20"/>
  <c r="AO1024" i="20"/>
  <c r="AO1028" i="20"/>
  <c r="AO1032" i="20"/>
  <c r="AO1036" i="20"/>
  <c r="AO1040" i="20"/>
  <c r="AO1044" i="20"/>
  <c r="AO1048" i="20"/>
  <c r="AO1052" i="20"/>
  <c r="AO1056" i="20"/>
  <c r="AO1060" i="20"/>
  <c r="AO1064" i="20"/>
  <c r="AO1068" i="20"/>
  <c r="AO1072" i="20"/>
  <c r="AO1076" i="20"/>
  <c r="AO1080" i="20"/>
  <c r="AO1084" i="20"/>
  <c r="AO1088" i="20"/>
  <c r="AO1092" i="20"/>
  <c r="AO1096" i="20"/>
  <c r="AO1100" i="20"/>
  <c r="AO20" i="20"/>
  <c r="AO26" i="20"/>
  <c r="AO13" i="20"/>
  <c r="AO12" i="20"/>
  <c r="AO7" i="20"/>
  <c r="AO1104" i="20"/>
  <c r="AO1108" i="20"/>
  <c r="AO1112" i="20"/>
  <c r="AO1116" i="20"/>
  <c r="AO1120" i="20"/>
  <c r="AO1124" i="20"/>
  <c r="AO1128" i="20"/>
  <c r="AO1132" i="20"/>
  <c r="AO1136" i="20"/>
  <c r="AO1140" i="20"/>
  <c r="AO1144" i="20"/>
  <c r="AO1148" i="20"/>
  <c r="AO1152" i="20"/>
  <c r="AO1156" i="20"/>
  <c r="AO1160" i="20"/>
  <c r="AO1164" i="20"/>
  <c r="AO1168" i="20"/>
  <c r="AO1172" i="20"/>
  <c r="AO1176" i="20"/>
  <c r="AO1180" i="20"/>
  <c r="AO1184" i="20"/>
  <c r="AO1188" i="20"/>
  <c r="AO1192" i="20"/>
  <c r="AO1196" i="20"/>
  <c r="AO1200" i="20"/>
  <c r="AO1204" i="20"/>
  <c r="AO1208" i="20"/>
  <c r="AO1212" i="20"/>
  <c r="AO1216" i="20"/>
  <c r="AO1220" i="20"/>
  <c r="AO1224" i="20"/>
  <c r="AO1228" i="20"/>
  <c r="AO1232" i="20"/>
  <c r="AO1236" i="20"/>
  <c r="AO1240" i="20"/>
  <c r="AO1244" i="20"/>
  <c r="AO1248" i="20"/>
  <c r="AO1252" i="20"/>
  <c r="AO1256" i="20"/>
  <c r="AO1260" i="20"/>
  <c r="AO1264" i="20"/>
  <c r="AO1268" i="20"/>
  <c r="AO1272" i="20"/>
  <c r="AO1276" i="20"/>
  <c r="AO1280" i="20"/>
  <c r="AO1284" i="20"/>
  <c r="AO1288" i="20"/>
  <c r="AO1292" i="20"/>
  <c r="AO1296" i="20"/>
  <c r="AO1300" i="20"/>
  <c r="AO1304" i="20"/>
  <c r="AO1308" i="20"/>
  <c r="AO1312" i="20"/>
  <c r="AO1316" i="20"/>
  <c r="AO1320" i="20"/>
  <c r="AO1324" i="20"/>
  <c r="AO1328" i="20"/>
  <c r="AO1332" i="20"/>
  <c r="AO1336" i="20"/>
  <c r="AN16" i="20"/>
  <c r="AO1329" i="20"/>
  <c r="AO1337" i="20"/>
  <c r="AO320" i="20"/>
  <c r="AO647" i="20"/>
  <c r="AO679" i="20"/>
  <c r="AO711" i="20"/>
  <c r="AO743" i="20"/>
  <c r="AO775" i="20"/>
  <c r="AO807" i="20"/>
  <c r="AO823" i="20"/>
  <c r="AO143" i="20"/>
  <c r="AO264" i="20"/>
  <c r="AO375" i="20"/>
  <c r="AO460" i="20"/>
  <c r="AO524" i="20"/>
  <c r="AO574" i="20"/>
  <c r="AO591" i="20"/>
  <c r="AO607" i="20"/>
  <c r="AO623" i="20"/>
  <c r="AO639" i="20"/>
  <c r="AO655" i="20"/>
  <c r="AO671" i="20"/>
  <c r="AO687" i="20"/>
  <c r="AO703" i="20"/>
  <c r="AO719" i="20"/>
  <c r="AO735" i="20"/>
  <c r="AO751" i="20"/>
  <c r="AO767" i="20"/>
  <c r="AO783" i="20"/>
  <c r="AO799" i="20"/>
  <c r="AO811" i="20"/>
  <c r="AO819" i="20"/>
  <c r="AO827" i="20"/>
  <c r="AO832" i="20"/>
  <c r="AO837" i="20"/>
  <c r="AO841" i="20"/>
  <c r="AO845" i="20"/>
  <c r="AO849" i="20"/>
  <c r="AO853" i="20"/>
  <c r="AO857" i="20"/>
  <c r="AO861" i="20"/>
  <c r="AO865" i="20"/>
  <c r="AO869" i="20"/>
  <c r="AO873" i="20"/>
  <c r="AO877" i="20"/>
  <c r="AO881" i="20"/>
  <c r="AO885" i="20"/>
  <c r="AO889" i="20"/>
  <c r="AO893" i="20"/>
  <c r="AO897" i="20"/>
  <c r="AO901" i="20"/>
  <c r="AO905" i="20"/>
  <c r="AO909" i="20"/>
  <c r="AO913" i="20"/>
  <c r="AO917" i="20"/>
  <c r="AO921" i="20"/>
  <c r="AO925" i="20"/>
  <c r="AO929" i="20"/>
  <c r="AO933" i="20"/>
  <c r="AO937" i="20"/>
  <c r="AO941" i="20"/>
  <c r="AO945" i="20"/>
  <c r="AO949" i="20"/>
  <c r="AO953" i="20"/>
  <c r="AO957" i="20"/>
  <c r="AO961" i="20"/>
  <c r="AO965" i="20"/>
  <c r="AO969" i="20"/>
  <c r="AO973" i="20"/>
  <c r="AO977" i="20"/>
  <c r="AO981" i="20"/>
  <c r="AO985" i="20"/>
  <c r="AO989" i="20"/>
  <c r="AO993" i="20"/>
  <c r="AO997" i="20"/>
  <c r="AO1001" i="20"/>
  <c r="AO1005" i="20"/>
  <c r="AO1009" i="20"/>
  <c r="AO1013" i="20"/>
  <c r="AO1017" i="20"/>
  <c r="AO1021" i="20"/>
  <c r="AO1025" i="20"/>
  <c r="AO1029" i="20"/>
  <c r="AO1033" i="20"/>
  <c r="AO1037" i="20"/>
  <c r="AO1041" i="20"/>
  <c r="AO1045" i="20"/>
  <c r="AO1049" i="20"/>
  <c r="AO1053" i="20"/>
  <c r="AO1057" i="20"/>
  <c r="AO1061" i="20"/>
  <c r="AO1065" i="20"/>
  <c r="AO1069" i="20"/>
  <c r="AO1073" i="20"/>
  <c r="AO1077" i="20"/>
  <c r="AO1081" i="20"/>
  <c r="AO1085" i="20"/>
  <c r="AO1089" i="20"/>
  <c r="AO1093" i="20"/>
  <c r="AO1097" i="20"/>
  <c r="AO1101" i="20"/>
  <c r="AO23" i="20"/>
  <c r="AO27" i="20"/>
  <c r="AO14" i="20"/>
  <c r="AO9" i="20"/>
  <c r="AO8" i="20"/>
  <c r="AO1105" i="20"/>
  <c r="AO1109" i="20"/>
  <c r="AO1113" i="20"/>
  <c r="AO1117" i="20"/>
  <c r="AO1121" i="20"/>
  <c r="AO1125" i="20"/>
  <c r="AO1129" i="20"/>
  <c r="AO1133" i="20"/>
  <c r="AO1137" i="20"/>
  <c r="AO1141" i="20"/>
  <c r="AO1145" i="20"/>
  <c r="AO1149" i="20"/>
  <c r="AO1153" i="20"/>
  <c r="AO1157" i="20"/>
  <c r="AO1161" i="20"/>
  <c r="AO1165" i="20"/>
  <c r="AO1169" i="20"/>
  <c r="AO1173" i="20"/>
  <c r="AO1177" i="20"/>
  <c r="AO1181" i="20"/>
  <c r="AO1185" i="20"/>
  <c r="AO1189" i="20"/>
  <c r="AO1193" i="20"/>
  <c r="AO1197" i="20"/>
  <c r="AO1201" i="20"/>
  <c r="AO1205" i="20"/>
  <c r="AO1209" i="20"/>
  <c r="AO1213" i="20"/>
  <c r="AO1217" i="20"/>
  <c r="AO1221" i="20"/>
  <c r="AO1225" i="20"/>
  <c r="AO1229" i="20"/>
  <c r="AO1233" i="20"/>
  <c r="AO1237" i="20"/>
  <c r="AO1241" i="20"/>
  <c r="AO1245" i="20"/>
  <c r="AO1249" i="20"/>
  <c r="AO1253" i="20"/>
  <c r="AO1257" i="20"/>
  <c r="AO1261" i="20"/>
  <c r="AO1265" i="20"/>
  <c r="AO1269" i="20"/>
  <c r="AO1273" i="20"/>
  <c r="AO1277" i="20"/>
  <c r="AO1281" i="20"/>
  <c r="AO1285" i="20"/>
  <c r="AO1289" i="20"/>
  <c r="AO1293" i="20"/>
  <c r="AO1297" i="20"/>
  <c r="AO1301" i="20"/>
  <c r="AO1305" i="20"/>
  <c r="AO1309" i="20"/>
  <c r="AO1313" i="20"/>
  <c r="AO1317" i="20"/>
  <c r="AO1321" i="20"/>
  <c r="AO1325" i="20"/>
  <c r="AO1333" i="20"/>
  <c r="AO179" i="20"/>
  <c r="AO292" i="20"/>
  <c r="AO396" i="20"/>
  <c r="AO476" i="20"/>
  <c r="AO540" i="20"/>
  <c r="AO579" i="20"/>
  <c r="AO595" i="20"/>
  <c r="AO611" i="20"/>
  <c r="AO627" i="20"/>
  <c r="AO643" i="20"/>
  <c r="AO659" i="20"/>
  <c r="AO675" i="20"/>
  <c r="AO691" i="20"/>
  <c r="AO707" i="20"/>
  <c r="AO723" i="20"/>
  <c r="AO739" i="20"/>
  <c r="AO755" i="20"/>
  <c r="AO771" i="20"/>
  <c r="AO787" i="20"/>
  <c r="AO803" i="20"/>
  <c r="AO813" i="20"/>
  <c r="AO821" i="20"/>
  <c r="AO828" i="20"/>
  <c r="AO833" i="20"/>
  <c r="AO838" i="20"/>
  <c r="AO842" i="20"/>
  <c r="AO846" i="20"/>
  <c r="AO850" i="20"/>
  <c r="AO854" i="20"/>
  <c r="AO858" i="20"/>
  <c r="AO862" i="20"/>
  <c r="AO866" i="20"/>
  <c r="AO870" i="20"/>
  <c r="AO874" i="20"/>
  <c r="AO878" i="20"/>
  <c r="AO882" i="20"/>
  <c r="AO886" i="20"/>
  <c r="AO890" i="20"/>
  <c r="AO894" i="20"/>
  <c r="AO898" i="20"/>
  <c r="AO902" i="20"/>
  <c r="AO906" i="20"/>
  <c r="AO910" i="20"/>
  <c r="AO914" i="20"/>
  <c r="AO918" i="20"/>
  <c r="AO922" i="20"/>
  <c r="AO926" i="20"/>
  <c r="AO930" i="20"/>
  <c r="AO934" i="20"/>
  <c r="AO938" i="20"/>
  <c r="AO942" i="20"/>
  <c r="AO946" i="20"/>
  <c r="AO950" i="20"/>
  <c r="AO954" i="20"/>
  <c r="AO958" i="20"/>
  <c r="AO962" i="20"/>
  <c r="AO966" i="20"/>
  <c r="AO970" i="20"/>
  <c r="AO974" i="20"/>
  <c r="AO978" i="20"/>
  <c r="AO982" i="20"/>
  <c r="AO986" i="20"/>
  <c r="AO990" i="20"/>
  <c r="AO994" i="20"/>
  <c r="AO998" i="20"/>
  <c r="AO1002" i="20"/>
  <c r="AO1006" i="20"/>
  <c r="AO1010" i="20"/>
  <c r="AO1014" i="20"/>
  <c r="AO1018" i="20"/>
  <c r="AO1022" i="20"/>
  <c r="AO1026" i="20"/>
  <c r="AO1030" i="20"/>
  <c r="AO1034" i="20"/>
  <c r="AO1038" i="20"/>
  <c r="AO1042" i="20"/>
  <c r="AO1046" i="20"/>
  <c r="AO1050" i="20"/>
  <c r="AO1054" i="20"/>
  <c r="AO1058" i="20"/>
  <c r="AO1062" i="20"/>
  <c r="AO1066" i="20"/>
  <c r="AO1070" i="20"/>
  <c r="AO1074" i="20"/>
  <c r="AO1078" i="20"/>
  <c r="AO1082" i="20"/>
  <c r="AO1086" i="20"/>
  <c r="AO1090" i="20"/>
  <c r="AO1094" i="20"/>
  <c r="AO1098" i="20"/>
  <c r="AO18" i="20"/>
  <c r="AO24" i="20"/>
  <c r="AO28" i="20"/>
  <c r="AO15" i="20"/>
  <c r="AO10" i="20"/>
  <c r="AO1102" i="20"/>
  <c r="AO1106" i="20"/>
  <c r="AO1110" i="20"/>
  <c r="AO1114" i="20"/>
  <c r="AO1118" i="20"/>
  <c r="AO1122" i="20"/>
  <c r="AO1126" i="20"/>
  <c r="AO1130" i="20"/>
  <c r="AO1134" i="20"/>
  <c r="AO1138" i="20"/>
  <c r="AO1142" i="20"/>
  <c r="AO1146" i="20"/>
  <c r="AO1150" i="20"/>
  <c r="AO1154" i="20"/>
  <c r="AO1158" i="20"/>
  <c r="AO1162" i="20"/>
  <c r="AO1166" i="20"/>
  <c r="AO1170" i="20"/>
  <c r="AO1174" i="20"/>
  <c r="AO1178" i="20"/>
  <c r="AO1182" i="20"/>
  <c r="AO1186" i="20"/>
  <c r="AO1190" i="20"/>
  <c r="AO1194" i="20"/>
  <c r="AO1198" i="20"/>
  <c r="AO1202" i="20"/>
  <c r="AO1206" i="20"/>
  <c r="AO1210" i="20"/>
  <c r="AO1214" i="20"/>
  <c r="AO1218" i="20"/>
  <c r="AO1222" i="20"/>
  <c r="AO1226" i="20"/>
  <c r="AO1230" i="20"/>
  <c r="AO1234" i="20"/>
  <c r="AO1238" i="20"/>
  <c r="AO1242" i="20"/>
  <c r="AO1246" i="20"/>
  <c r="AO1250" i="20"/>
  <c r="AO1254" i="20"/>
  <c r="AO1258" i="20"/>
  <c r="AO1262" i="20"/>
  <c r="AO1266" i="20"/>
  <c r="AO1270" i="20"/>
  <c r="AO1274" i="20"/>
  <c r="AO1278" i="20"/>
  <c r="AO1282" i="20"/>
  <c r="AO1286" i="20"/>
  <c r="AO1290" i="20"/>
  <c r="AO1294" i="20"/>
  <c r="AO1298" i="20"/>
  <c r="AO1302" i="20"/>
  <c r="AO1306" i="20"/>
  <c r="AO1310" i="20"/>
  <c r="AO1314" i="20"/>
  <c r="AO1318" i="20"/>
  <c r="AO1322" i="20"/>
  <c r="AO1326" i="20"/>
  <c r="AO1330" i="20"/>
  <c r="AO1334" i="20"/>
  <c r="AO1338" i="20"/>
  <c r="AO207" i="20"/>
  <c r="AO418" i="20"/>
  <c r="AO492" i="20"/>
  <c r="AO556" i="20"/>
  <c r="AO583" i="20"/>
  <c r="AO599" i="20"/>
  <c r="AO615" i="20"/>
  <c r="AO631" i="20"/>
  <c r="AO663" i="20"/>
  <c r="AO695" i="20"/>
  <c r="AO727" i="20"/>
  <c r="AO759" i="20"/>
  <c r="AO791" i="20"/>
  <c r="AO815" i="20"/>
  <c r="AO829" i="20"/>
  <c r="AO835" i="20"/>
  <c r="AO851" i="20"/>
  <c r="AO867" i="20"/>
  <c r="AO883" i="20"/>
  <c r="AO899" i="20"/>
  <c r="AO915" i="20"/>
  <c r="AO931" i="20"/>
  <c r="AO947" i="20"/>
  <c r="AO963" i="20"/>
  <c r="AO979" i="20"/>
  <c r="AO995" i="20"/>
  <c r="AO1011" i="20"/>
  <c r="AO1027" i="20"/>
  <c r="AO1043" i="20"/>
  <c r="AO1059" i="20"/>
  <c r="AO1075" i="20"/>
  <c r="AO1091" i="20"/>
  <c r="AO25" i="20"/>
  <c r="AO1103" i="20"/>
  <c r="AO1119" i="20"/>
  <c r="AO1135" i="20"/>
  <c r="AO1151" i="20"/>
  <c r="AO1167" i="20"/>
  <c r="AO1183" i="20"/>
  <c r="AO1199" i="20"/>
  <c r="AO1215" i="20"/>
  <c r="AO1231" i="20"/>
  <c r="AO1247" i="20"/>
  <c r="AO1263" i="20"/>
  <c r="AO1279" i="20"/>
  <c r="AO1295" i="20"/>
  <c r="AO871" i="20"/>
  <c r="AO919" i="20"/>
  <c r="AO967" i="20"/>
  <c r="AO1015" i="20"/>
  <c r="AO1063" i="20"/>
  <c r="AO1107" i="20"/>
  <c r="AO1155" i="20"/>
  <c r="AO1203" i="20"/>
  <c r="AO1251" i="20"/>
  <c r="AO1299" i="20"/>
  <c r="AO843" i="20"/>
  <c r="AO859" i="20"/>
  <c r="AO875" i="20"/>
  <c r="AO891" i="20"/>
  <c r="AO907" i="20"/>
  <c r="AO923" i="20"/>
  <c r="AO939" i="20"/>
  <c r="AO955" i="20"/>
  <c r="AO971" i="20"/>
  <c r="AO987" i="20"/>
  <c r="AO1003" i="20"/>
  <c r="AO1019" i="20"/>
  <c r="AO1035" i="20"/>
  <c r="AO1051" i="20"/>
  <c r="AO1067" i="20"/>
  <c r="AO1083" i="20"/>
  <c r="AO1099" i="20"/>
  <c r="AO11" i="20"/>
  <c r="AO1111" i="20"/>
  <c r="AO1127" i="20"/>
  <c r="AO1143" i="20"/>
  <c r="AO1159" i="20"/>
  <c r="AO1175" i="20"/>
  <c r="AO1191" i="20"/>
  <c r="AO1207" i="20"/>
  <c r="AO1223" i="20"/>
  <c r="AO1239" i="20"/>
  <c r="AO1255" i="20"/>
  <c r="AO1271" i="20"/>
  <c r="AO1287" i="20"/>
  <c r="AO1303" i="20"/>
  <c r="AO1319" i="20"/>
  <c r="AO1335" i="20"/>
  <c r="AO1311" i="20"/>
  <c r="AO839" i="20"/>
  <c r="AO887" i="20"/>
  <c r="AO935" i="20"/>
  <c r="AO983" i="20"/>
  <c r="AO1031" i="20"/>
  <c r="AO1079" i="20"/>
  <c r="AO29" i="20"/>
  <c r="AO1139" i="20"/>
  <c r="AO1187" i="20"/>
  <c r="AO1235" i="20"/>
  <c r="AO1283" i="20"/>
  <c r="AO1331" i="20"/>
  <c r="AO847" i="20"/>
  <c r="AO863" i="20"/>
  <c r="AO879" i="20"/>
  <c r="AO895" i="20"/>
  <c r="AO911" i="20"/>
  <c r="AO927" i="20"/>
  <c r="AO943" i="20"/>
  <c r="AO959" i="20"/>
  <c r="AO975" i="20"/>
  <c r="AO991" i="20"/>
  <c r="AO1007" i="20"/>
  <c r="AO1023" i="20"/>
  <c r="AO1039" i="20"/>
  <c r="AO1055" i="20"/>
  <c r="AO1071" i="20"/>
  <c r="AO1087" i="20"/>
  <c r="AO19" i="20"/>
  <c r="AO6" i="20"/>
  <c r="AO1115" i="20"/>
  <c r="AO1131" i="20"/>
  <c r="AO1147" i="20"/>
  <c r="AO1163" i="20"/>
  <c r="AO1179" i="20"/>
  <c r="AO1195" i="20"/>
  <c r="AO1211" i="20"/>
  <c r="AO1227" i="20"/>
  <c r="AO1243" i="20"/>
  <c r="AO1259" i="20"/>
  <c r="AO1275" i="20"/>
  <c r="AO1291" i="20"/>
  <c r="AO1307" i="20"/>
  <c r="AO1323" i="20"/>
  <c r="AO1339" i="20"/>
  <c r="AO1327" i="20"/>
  <c r="AO855" i="20"/>
  <c r="AO903" i="20"/>
  <c r="AO951" i="20"/>
  <c r="AO999" i="20"/>
  <c r="AO1047" i="20"/>
  <c r="AO1095" i="20"/>
  <c r="AO1123" i="20"/>
  <c r="AO1171" i="20"/>
  <c r="AO1219" i="20"/>
  <c r="AO1267" i="20"/>
  <c r="AO1315" i="20"/>
  <c r="U37" i="19"/>
  <c r="P47" i="19"/>
  <c r="U47" i="19"/>
  <c r="P5" i="19"/>
  <c r="U5" i="19"/>
  <c r="J55" i="37"/>
  <c r="Q1" i="86"/>
  <c r="AF16" i="20"/>
  <c r="Z16" i="20"/>
  <c r="AK16" i="20"/>
  <c r="Y16" i="20"/>
  <c r="AJ16" i="20"/>
  <c r="AE16" i="20"/>
  <c r="AH16" i="20"/>
  <c r="AC16" i="20"/>
  <c r="AI16" i="20"/>
  <c r="AL16" i="20"/>
  <c r="AB16" i="20"/>
  <c r="AG16" i="20"/>
  <c r="AA16" i="20"/>
  <c r="AD16" i="20"/>
  <c r="F55" i="37"/>
  <c r="N55" i="37"/>
  <c r="AF204" i="14"/>
  <c r="AF218" i="14"/>
  <c r="AH218" i="14"/>
  <c r="AF219" i="14"/>
  <c r="AH219" i="14"/>
  <c r="AF216" i="14"/>
  <c r="AH216" i="14"/>
  <c r="AF220" i="14"/>
  <c r="AH220" i="14"/>
  <c r="AF217" i="14"/>
  <c r="AH217" i="14"/>
  <c r="AO66" i="40"/>
  <c r="AB57" i="20"/>
  <c r="AF57" i="20"/>
  <c r="AJ57" i="20"/>
  <c r="AN57" i="20"/>
  <c r="Z57" i="20"/>
  <c r="AD57" i="20"/>
  <c r="AH57" i="20"/>
  <c r="AL57" i="20"/>
  <c r="Y57" i="20"/>
  <c r="AC57" i="20"/>
  <c r="AG57" i="20"/>
  <c r="AK57" i="20"/>
  <c r="AA57" i="20"/>
  <c r="AE57" i="20"/>
  <c r="AI57" i="20"/>
  <c r="AO50" i="40"/>
  <c r="AO63" i="40"/>
  <c r="AO64" i="40"/>
  <c r="AO65" i="40"/>
  <c r="I41" i="40"/>
  <c r="I48" i="40"/>
  <c r="I47" i="40"/>
  <c r="I46" i="40"/>
  <c r="I45" i="40"/>
  <c r="I44" i="40"/>
  <c r="I43" i="40"/>
  <c r="I42" i="40"/>
  <c r="H41" i="40"/>
  <c r="H48" i="40"/>
  <c r="H47" i="40"/>
  <c r="H46" i="40"/>
  <c r="H45" i="40"/>
  <c r="H44" i="40"/>
  <c r="H43" i="40"/>
  <c r="N12" i="36"/>
  <c r="AA7" i="66"/>
  <c r="D49" i="40"/>
  <c r="AB13" i="43"/>
  <c r="H17" i="43"/>
  <c r="H15" i="43"/>
  <c r="AB20" i="43"/>
  <c r="H14" i="43"/>
  <c r="AB17" i="43"/>
  <c r="Q12" i="43"/>
  <c r="H16" i="43"/>
  <c r="H18" i="43"/>
  <c r="Q13" i="43"/>
  <c r="AB21" i="43"/>
  <c r="AB18" i="43"/>
  <c r="AB15" i="43"/>
  <c r="AB12" i="43"/>
  <c r="AB19" i="43"/>
  <c r="H13" i="43"/>
  <c r="AB14" i="43"/>
  <c r="Q14" i="43"/>
  <c r="AB16" i="43"/>
  <c r="I49" i="40"/>
  <c r="C49" i="40"/>
  <c r="Y6" i="66"/>
  <c r="AG6" i="66"/>
  <c r="Z6" i="66"/>
  <c r="X6" i="66"/>
  <c r="X3" i="66"/>
  <c r="AG3" i="66"/>
  <c r="Z3" i="66"/>
  <c r="Y3" i="66"/>
  <c r="P30" i="19"/>
  <c r="U30" i="19"/>
  <c r="AF98" i="14"/>
  <c r="AH98" i="14"/>
  <c r="J29" i="36"/>
  <c r="AF132" i="14"/>
  <c r="AH132" i="14"/>
  <c r="AF47" i="14"/>
  <c r="AH47" i="14"/>
  <c r="F29" i="36"/>
  <c r="AF193" i="14"/>
  <c r="AH193" i="14"/>
  <c r="AF88" i="14"/>
  <c r="AH88" i="14"/>
  <c r="AF151" i="14"/>
  <c r="AH151" i="14"/>
  <c r="AF41" i="14"/>
  <c r="AH41" i="14"/>
  <c r="H29" i="36"/>
  <c r="I29" i="36"/>
  <c r="G29" i="36"/>
  <c r="E29" i="36"/>
  <c r="N27" i="36"/>
  <c r="AA22" i="66"/>
  <c r="D29" i="36"/>
  <c r="AF169" i="14"/>
  <c r="AH169" i="14"/>
  <c r="AF100" i="14"/>
  <c r="AH100" i="14"/>
  <c r="AF180" i="14"/>
  <c r="AH180" i="14"/>
  <c r="AF95" i="14"/>
  <c r="AH95" i="14"/>
  <c r="AF99" i="14"/>
  <c r="AH99" i="14"/>
  <c r="AF107" i="14"/>
  <c r="AH107" i="14"/>
  <c r="AF42" i="14"/>
  <c r="AH42" i="14"/>
  <c r="AF84" i="14"/>
  <c r="AH84" i="14"/>
  <c r="AF118" i="14"/>
  <c r="AH118" i="14"/>
  <c r="AF185" i="14"/>
  <c r="AH185" i="14"/>
  <c r="AF248" i="14"/>
  <c r="AH248" i="14"/>
  <c r="AF195" i="14"/>
  <c r="AH195" i="14"/>
  <c r="AF186" i="14"/>
  <c r="AH186" i="14"/>
  <c r="AF165" i="14"/>
  <c r="AH165" i="14"/>
  <c r="U33" i="19"/>
  <c r="AF120" i="14"/>
  <c r="AH120" i="14"/>
  <c r="U82" i="19"/>
  <c r="AF30" i="14"/>
  <c r="AH30" i="14"/>
  <c r="AF62" i="14"/>
  <c r="AH62" i="14"/>
  <c r="AF136" i="14"/>
  <c r="AH136" i="14"/>
  <c r="AF96" i="14"/>
  <c r="AH96" i="14"/>
  <c r="AF14" i="14"/>
  <c r="AH14" i="14"/>
  <c r="AF94" i="14"/>
  <c r="AH94" i="14"/>
  <c r="AF199" i="14"/>
  <c r="AH199" i="14"/>
  <c r="AF117" i="14"/>
  <c r="AH117" i="14"/>
  <c r="AF93" i="14"/>
  <c r="AH93" i="14"/>
  <c r="AF238" i="14"/>
  <c r="AH238" i="14"/>
  <c r="AF178" i="14"/>
  <c r="AH178" i="14"/>
  <c r="AF55" i="14"/>
  <c r="AH55" i="14"/>
  <c r="AF31" i="14"/>
  <c r="AH31" i="14"/>
  <c r="AF8" i="14"/>
  <c r="AH8" i="14"/>
  <c r="CH30" i="62"/>
  <c r="M13" i="36"/>
  <c r="M15" i="36"/>
  <c r="U83" i="19"/>
  <c r="AF150" i="14"/>
  <c r="AH150" i="14"/>
  <c r="U290" i="19"/>
  <c r="AF85" i="14"/>
  <c r="AH85" i="14"/>
  <c r="U141" i="19"/>
  <c r="AF37" i="14"/>
  <c r="AH37" i="14"/>
  <c r="U321" i="19"/>
  <c r="AF159" i="14"/>
  <c r="AH159" i="14"/>
  <c r="U92" i="19"/>
  <c r="AF247" i="14"/>
  <c r="AH247" i="14"/>
  <c r="U318" i="19"/>
  <c r="AF51" i="14"/>
  <c r="AH51" i="14"/>
  <c r="U70" i="19"/>
  <c r="AF13" i="14"/>
  <c r="AH13" i="14"/>
  <c r="U62" i="19"/>
  <c r="K25" i="36"/>
  <c r="M25" i="36"/>
  <c r="U66" i="19"/>
  <c r="AF249" i="14"/>
  <c r="AH249" i="14"/>
  <c r="AF5" i="14"/>
  <c r="AH5" i="14"/>
  <c r="U43" i="19"/>
  <c r="AF25" i="14"/>
  <c r="AH25" i="14"/>
  <c r="U197" i="19"/>
  <c r="AF233" i="14"/>
  <c r="AH233" i="14"/>
  <c r="U184" i="19"/>
  <c r="AF166" i="14"/>
  <c r="AH166" i="14"/>
  <c r="AF34" i="14"/>
  <c r="AH34" i="14"/>
  <c r="U147" i="19"/>
  <c r="AF101" i="14"/>
  <c r="AH101" i="14"/>
  <c r="AF162" i="14"/>
  <c r="AH162" i="14"/>
  <c r="AF146" i="14"/>
  <c r="AH146" i="14"/>
  <c r="AF237" i="14"/>
  <c r="AH237" i="14"/>
  <c r="AF156" i="14"/>
  <c r="AH156" i="14"/>
  <c r="AF226" i="14"/>
  <c r="AH226" i="14"/>
  <c r="AF11" i="14"/>
  <c r="AH11" i="14"/>
  <c r="AF102" i="14"/>
  <c r="AH102" i="14"/>
  <c r="AF182" i="14"/>
  <c r="AH182" i="14"/>
  <c r="AF16" i="14"/>
  <c r="AH16" i="14"/>
  <c r="AF90" i="14"/>
  <c r="AH90" i="14"/>
  <c r="AH204" i="14"/>
  <c r="AF224" i="14"/>
  <c r="AH224" i="14"/>
  <c r="AF60" i="14"/>
  <c r="AH60" i="14"/>
  <c r="AF194" i="14"/>
  <c r="AH194" i="14"/>
  <c r="AF15" i="14"/>
  <c r="AH15" i="14"/>
  <c r="AF39" i="14"/>
  <c r="AH39" i="14"/>
  <c r="AF104" i="14"/>
  <c r="AH104" i="14"/>
  <c r="AF236" i="14"/>
  <c r="AH236" i="14"/>
  <c r="AF17" i="14"/>
  <c r="AH17" i="14"/>
  <c r="L15" i="36"/>
  <c r="O15" i="36"/>
  <c r="AF256" i="14"/>
  <c r="AH256" i="14"/>
  <c r="AF81" i="14"/>
  <c r="AH81" i="14"/>
  <c r="CH31" i="62"/>
  <c r="CH27" i="62"/>
  <c r="CH23" i="62"/>
  <c r="CH29" i="62"/>
  <c r="AF228" i="14"/>
  <c r="AH228" i="14"/>
  <c r="CH28" i="62"/>
  <c r="CH24" i="62"/>
  <c r="AF71" i="14"/>
  <c r="AH71" i="14"/>
  <c r="AF106" i="14"/>
  <c r="AH106" i="14"/>
  <c r="AF167" i="14"/>
  <c r="AH167" i="14"/>
  <c r="AF61" i="14"/>
  <c r="AH61" i="14"/>
  <c r="AF245" i="14"/>
  <c r="AH245" i="14"/>
  <c r="M55" i="37"/>
  <c r="I55" i="37"/>
  <c r="U246" i="19"/>
  <c r="AF129" i="14"/>
  <c r="AH129" i="14"/>
  <c r="U218" i="19"/>
  <c r="AF75" i="14"/>
  <c r="AH75" i="14"/>
  <c r="U240" i="19"/>
  <c r="AF196" i="14"/>
  <c r="AH196" i="14"/>
  <c r="U107" i="19"/>
  <c r="AF191" i="14"/>
  <c r="AH191" i="14"/>
  <c r="U223" i="19"/>
  <c r="AF131" i="14"/>
  <c r="AH131" i="14"/>
  <c r="U245" i="19"/>
  <c r="AF12" i="14"/>
  <c r="AH12" i="14"/>
  <c r="U233" i="19"/>
  <c r="AF44" i="14"/>
  <c r="AH44" i="14"/>
  <c r="U124" i="19"/>
  <c r="AF110" i="14"/>
  <c r="AH110" i="14"/>
  <c r="U328" i="19"/>
  <c r="K26" i="36"/>
  <c r="M26" i="36"/>
  <c r="AF91" i="14"/>
  <c r="AH91" i="14"/>
  <c r="AF231" i="14"/>
  <c r="AH231" i="14"/>
  <c r="AF89" i="14"/>
  <c r="AH89" i="14"/>
  <c r="AF161" i="14"/>
  <c r="AH161" i="14"/>
  <c r="AF108" i="14"/>
  <c r="AH108" i="14"/>
  <c r="AF241" i="14"/>
  <c r="AH241" i="14"/>
  <c r="AF246" i="14"/>
  <c r="AH246" i="14"/>
  <c r="AF184" i="14"/>
  <c r="AH184" i="14"/>
  <c r="AF176" i="14"/>
  <c r="AH176" i="14"/>
  <c r="AF20" i="14"/>
  <c r="AH20" i="14"/>
  <c r="AF221" i="14"/>
  <c r="AH221" i="14"/>
  <c r="AF105" i="14"/>
  <c r="AH105" i="14"/>
  <c r="AF126" i="14"/>
  <c r="AH126" i="14"/>
  <c r="AF145" i="14"/>
  <c r="AH145" i="14"/>
  <c r="AF32" i="14"/>
  <c r="AH32" i="14"/>
  <c r="AF63" i="14"/>
  <c r="AH63" i="14"/>
  <c r="AF26" i="14"/>
  <c r="AH26" i="14"/>
  <c r="AF74" i="14"/>
  <c r="AH74" i="14"/>
  <c r="AF57" i="14"/>
  <c r="AH57" i="14"/>
  <c r="AF43" i="14"/>
  <c r="AH43" i="14"/>
  <c r="AF227" i="14"/>
  <c r="AH227" i="14"/>
  <c r="AF27" i="14"/>
  <c r="AH27" i="14"/>
  <c r="AF160" i="14"/>
  <c r="AH160" i="14"/>
  <c r="AF22" i="14"/>
  <c r="AH22" i="14"/>
  <c r="AF163" i="14"/>
  <c r="AH163" i="14"/>
  <c r="AF250" i="14"/>
  <c r="AH250" i="14"/>
  <c r="AF35" i="14"/>
  <c r="AH35" i="14"/>
  <c r="AF128" i="14"/>
  <c r="AH128" i="14"/>
  <c r="AF124" i="14"/>
  <c r="AH124" i="14"/>
  <c r="K24" i="36"/>
  <c r="N24" i="36"/>
  <c r="AA19" i="66"/>
  <c r="AF21" i="14"/>
  <c r="AH21" i="14"/>
  <c r="AF6" i="14"/>
  <c r="AF134" i="14"/>
  <c r="AH134" i="14"/>
  <c r="AF147" i="14"/>
  <c r="AH147" i="14"/>
  <c r="AF148" i="14"/>
  <c r="AH148" i="14"/>
  <c r="AF187" i="14"/>
  <c r="AH187" i="14"/>
  <c r="AF197" i="14"/>
  <c r="AH197" i="14"/>
  <c r="AF177" i="14"/>
  <c r="AH177" i="14"/>
  <c r="AF143" i="14"/>
  <c r="AH143" i="14"/>
  <c r="AF168" i="14"/>
  <c r="AH168" i="14"/>
  <c r="AF114" i="14"/>
  <c r="AH114" i="14"/>
  <c r="AF164" i="14"/>
  <c r="AH164" i="14"/>
  <c r="AF192" i="14"/>
  <c r="AH192" i="14"/>
  <c r="AF19" i="14"/>
  <c r="AH19" i="14"/>
  <c r="AF138" i="14"/>
  <c r="AH138" i="14"/>
  <c r="AF152" i="14"/>
  <c r="AH152" i="14"/>
  <c r="AF179" i="14"/>
  <c r="AH179" i="14"/>
  <c r="AF222" i="14"/>
  <c r="AH222" i="14"/>
  <c r="AF214" i="14"/>
  <c r="AH214" i="14"/>
  <c r="AF133" i="14"/>
  <c r="AH133" i="14"/>
  <c r="AF232" i="14"/>
  <c r="AH232" i="14"/>
  <c r="AF154" i="14"/>
  <c r="AH154" i="14"/>
  <c r="AF153" i="14"/>
  <c r="AH153" i="14"/>
  <c r="AF97" i="14"/>
  <c r="AH97" i="14"/>
  <c r="AF202" i="14"/>
  <c r="AH202" i="14"/>
  <c r="AF87" i="14"/>
  <c r="AH87" i="14"/>
  <c r="AF92" i="14"/>
  <c r="AH92" i="14"/>
  <c r="AF48" i="14"/>
  <c r="AH48" i="14"/>
  <c r="AF103" i="14"/>
  <c r="AH103" i="14"/>
  <c r="AF111" i="14"/>
  <c r="AH111" i="14"/>
  <c r="AF203" i="14"/>
  <c r="AH203" i="14"/>
  <c r="AF52" i="14"/>
  <c r="AH52" i="14"/>
  <c r="AF50" i="14"/>
  <c r="AH50" i="14"/>
  <c r="AF188" i="14"/>
  <c r="AH188" i="14"/>
  <c r="AF86" i="14"/>
  <c r="AH86" i="14"/>
  <c r="AF29" i="14"/>
  <c r="AH29" i="14"/>
  <c r="AF36" i="14"/>
  <c r="AH36" i="14"/>
  <c r="AF9" i="14"/>
  <c r="AH9" i="14"/>
  <c r="AF240" i="14"/>
  <c r="AH240" i="14"/>
  <c r="AF149" i="14"/>
  <c r="AH149" i="14"/>
  <c r="AF78" i="14"/>
  <c r="AH78" i="14"/>
  <c r="AF70" i="14"/>
  <c r="AH70" i="14"/>
  <c r="AF18" i="14"/>
  <c r="AH18" i="14"/>
  <c r="AF77" i="14"/>
  <c r="AH77" i="14"/>
  <c r="AF38" i="14"/>
  <c r="AH38" i="14"/>
  <c r="AF80" i="14"/>
  <c r="AH80" i="14"/>
  <c r="AF112" i="14"/>
  <c r="AH112" i="14"/>
  <c r="AF45" i="14"/>
  <c r="AH45" i="14"/>
  <c r="AF109" i="14"/>
  <c r="AH109" i="14"/>
  <c r="AF10" i="14"/>
  <c r="AH10" i="14"/>
  <c r="AF7" i="14"/>
  <c r="AH7" i="14"/>
  <c r="AF82" i="14"/>
  <c r="AH82" i="14"/>
  <c r="AF234" i="14"/>
  <c r="AH234" i="14"/>
  <c r="AF158" i="14"/>
  <c r="AH158" i="14"/>
  <c r="AF59" i="14"/>
  <c r="AH59" i="14"/>
  <c r="AF157" i="14"/>
  <c r="AH157" i="14"/>
  <c r="AF76" i="14"/>
  <c r="AH76" i="14"/>
  <c r="AF53" i="14"/>
  <c r="AH53" i="14"/>
  <c r="AF115" i="14"/>
  <c r="AH115" i="14"/>
  <c r="AF56" i="14"/>
  <c r="AH56" i="14"/>
  <c r="AF28" i="14"/>
  <c r="AH28" i="14"/>
  <c r="AF212" i="14"/>
  <c r="AH212" i="14"/>
  <c r="K19" i="36"/>
  <c r="N19" i="36"/>
  <c r="AA14" i="66"/>
  <c r="P22" i="19"/>
  <c r="U22" i="19"/>
  <c r="CH25" i="62"/>
  <c r="CH26" i="62"/>
  <c r="E16" i="43"/>
  <c r="AC16" i="43"/>
  <c r="E15" i="43"/>
  <c r="I15" i="43"/>
  <c r="E13" i="43"/>
  <c r="AC13" i="43"/>
  <c r="Y92" i="20"/>
  <c r="Z35" i="20"/>
  <c r="AB168" i="20"/>
  <c r="AC92" i="20"/>
  <c r="AD35" i="20"/>
  <c r="AF168" i="20"/>
  <c r="AG92" i="20"/>
  <c r="AH35" i="20"/>
  <c r="AJ168" i="20"/>
  <c r="AK92" i="20"/>
  <c r="AL35" i="20"/>
  <c r="AN168" i="20"/>
  <c r="Y35" i="20"/>
  <c r="AA168" i="20"/>
  <c r="AB92" i="20"/>
  <c r="AC35" i="20"/>
  <c r="AE168" i="20"/>
  <c r="AF92" i="20"/>
  <c r="AG35" i="20"/>
  <c r="AI168" i="20"/>
  <c r="AJ92" i="20"/>
  <c r="AK35" i="20"/>
  <c r="AN92" i="20"/>
  <c r="Y168" i="20"/>
  <c r="AA35" i="20"/>
  <c r="AE35" i="20"/>
  <c r="AH92" i="20"/>
  <c r="AK168" i="20"/>
  <c r="Z168" i="20"/>
  <c r="AA92" i="20"/>
  <c r="AB35" i="20"/>
  <c r="AD168" i="20"/>
  <c r="AE92" i="20"/>
  <c r="AF35" i="20"/>
  <c r="AH168" i="20"/>
  <c r="AI92" i="20"/>
  <c r="AJ35" i="20"/>
  <c r="AL168" i="20"/>
  <c r="AN35" i="20"/>
  <c r="Z92" i="20"/>
  <c r="AC168" i="20"/>
  <c r="AD92" i="20"/>
  <c r="AG168" i="20"/>
  <c r="AI35" i="20"/>
  <c r="AL92" i="20"/>
  <c r="Y84" i="20"/>
  <c r="Z52" i="20"/>
  <c r="AB161" i="20"/>
  <c r="AC84" i="20"/>
  <c r="AD52" i="20"/>
  <c r="AF161" i="20"/>
  <c r="AG84" i="20"/>
  <c r="AH52" i="20"/>
  <c r="AJ161" i="20"/>
  <c r="AK84" i="20"/>
  <c r="AL52" i="20"/>
  <c r="AN161" i="20"/>
  <c r="Y52" i="20"/>
  <c r="AA161" i="20"/>
  <c r="AB84" i="20"/>
  <c r="AC52" i="20"/>
  <c r="AE161" i="20"/>
  <c r="AF84" i="20"/>
  <c r="AG52" i="20"/>
  <c r="AI161" i="20"/>
  <c r="AJ84" i="20"/>
  <c r="AK52" i="20"/>
  <c r="AN84" i="20"/>
  <c r="AN52" i="20"/>
  <c r="Y161" i="20"/>
  <c r="AA52" i="20"/>
  <c r="AC161" i="20"/>
  <c r="AD84" i="20"/>
  <c r="AG161" i="20"/>
  <c r="AI52" i="20"/>
  <c r="AL84" i="20"/>
  <c r="Z161" i="20"/>
  <c r="AA84" i="20"/>
  <c r="AB52" i="20"/>
  <c r="AD161" i="20"/>
  <c r="AE84" i="20"/>
  <c r="AF52" i="20"/>
  <c r="AH161" i="20"/>
  <c r="AI84" i="20"/>
  <c r="AJ52" i="20"/>
  <c r="AL161" i="20"/>
  <c r="Z84" i="20"/>
  <c r="AE52" i="20"/>
  <c r="AH84" i="20"/>
  <c r="AK161" i="20"/>
  <c r="AB40" i="20"/>
  <c r="AF40" i="20"/>
  <c r="AJ40" i="20"/>
  <c r="AN40" i="20"/>
  <c r="AG40" i="20"/>
  <c r="AA40" i="20"/>
  <c r="AE40" i="20"/>
  <c r="AI40" i="20"/>
  <c r="Z40" i="20"/>
  <c r="AD40" i="20"/>
  <c r="AH40" i="20"/>
  <c r="AL40" i="20"/>
  <c r="Y40" i="20"/>
  <c r="AC40" i="20"/>
  <c r="AK40" i="20"/>
  <c r="AB101" i="20"/>
  <c r="AF101" i="20"/>
  <c r="AJ101" i="20"/>
  <c r="AN101" i="20"/>
  <c r="AD101" i="20"/>
  <c r="AE101" i="20"/>
  <c r="Y101" i="20"/>
  <c r="AC101" i="20"/>
  <c r="AG101" i="20"/>
  <c r="AK101" i="20"/>
  <c r="Z101" i="20"/>
  <c r="AH101" i="20"/>
  <c r="AL101" i="20"/>
  <c r="AA101" i="20"/>
  <c r="AI101" i="20"/>
  <c r="Z120" i="20"/>
  <c r="AB120" i="20"/>
  <c r="AD120" i="20"/>
  <c r="AF120" i="20"/>
  <c r="AH120" i="20"/>
  <c r="AJ120" i="20"/>
  <c r="AL120" i="20"/>
  <c r="AN120" i="20"/>
  <c r="Y99" i="20"/>
  <c r="AA99" i="20"/>
  <c r="AC99" i="20"/>
  <c r="AE99" i="20"/>
  <c r="AI99" i="20"/>
  <c r="AK99" i="20"/>
  <c r="Z99" i="20"/>
  <c r="AB99" i="20"/>
  <c r="AD99" i="20"/>
  <c r="AF99" i="20"/>
  <c r="AH99" i="20"/>
  <c r="AJ99" i="20"/>
  <c r="AL99" i="20"/>
  <c r="AN99" i="20"/>
  <c r="Y120" i="20"/>
  <c r="AA120" i="20"/>
  <c r="AC120" i="20"/>
  <c r="AE120" i="20"/>
  <c r="AG120" i="20"/>
  <c r="AI120" i="20"/>
  <c r="AK120" i="20"/>
  <c r="AG99" i="20"/>
  <c r="Y131" i="20"/>
  <c r="Z72" i="20"/>
  <c r="AB215" i="20"/>
  <c r="AC131" i="20"/>
  <c r="AD72" i="20"/>
  <c r="AF215" i="20"/>
  <c r="AG131" i="20"/>
  <c r="AH72" i="20"/>
  <c r="AJ215" i="20"/>
  <c r="AK131" i="20"/>
  <c r="AL72" i="20"/>
  <c r="AN215" i="20"/>
  <c r="Y72" i="20"/>
  <c r="AA215" i="20"/>
  <c r="AB131" i="20"/>
  <c r="AC72" i="20"/>
  <c r="AE215" i="20"/>
  <c r="AF131" i="20"/>
  <c r="AG72" i="20"/>
  <c r="AI215" i="20"/>
  <c r="AJ131" i="20"/>
  <c r="AK72" i="20"/>
  <c r="AN131" i="20"/>
  <c r="Z215" i="20"/>
  <c r="AA131" i="20"/>
  <c r="AB72" i="20"/>
  <c r="AD215" i="20"/>
  <c r="AE131" i="20"/>
  <c r="AF72" i="20"/>
  <c r="AH215" i="20"/>
  <c r="AI131" i="20"/>
  <c r="AJ72" i="20"/>
  <c r="AL215" i="20"/>
  <c r="AN72" i="20"/>
  <c r="Y215" i="20"/>
  <c r="Z131" i="20"/>
  <c r="AA72" i="20"/>
  <c r="AC215" i="20"/>
  <c r="AD131" i="20"/>
  <c r="AE72" i="20"/>
  <c r="AG215" i="20"/>
  <c r="AH131" i="20"/>
  <c r="AI72" i="20"/>
  <c r="AK215" i="20"/>
  <c r="AL131" i="20"/>
  <c r="Y141" i="20"/>
  <c r="Z69" i="20"/>
  <c r="AB217" i="20"/>
  <c r="AC141" i="20"/>
  <c r="AD69" i="20"/>
  <c r="AF217" i="20"/>
  <c r="AG141" i="20"/>
  <c r="AH69" i="20"/>
  <c r="AJ217" i="20"/>
  <c r="AK141" i="20"/>
  <c r="AL69" i="20"/>
  <c r="AN217" i="20"/>
  <c r="Y69" i="20"/>
  <c r="AA217" i="20"/>
  <c r="AB141" i="20"/>
  <c r="AC69" i="20"/>
  <c r="AE217" i="20"/>
  <c r="AF141" i="20"/>
  <c r="AG69" i="20"/>
  <c r="AI217" i="20"/>
  <c r="AJ141" i="20"/>
  <c r="AK69" i="20"/>
  <c r="AN141" i="20"/>
  <c r="Z217" i="20"/>
  <c r="AA141" i="20"/>
  <c r="AB69" i="20"/>
  <c r="AD217" i="20"/>
  <c r="AE141" i="20"/>
  <c r="AF69" i="20"/>
  <c r="AH217" i="20"/>
  <c r="AI141" i="20"/>
  <c r="AJ69" i="20"/>
  <c r="AL217" i="20"/>
  <c r="AN69" i="20"/>
  <c r="Y217" i="20"/>
  <c r="Z141" i="20"/>
  <c r="AA69" i="20"/>
  <c r="AC217" i="20"/>
  <c r="AD141" i="20"/>
  <c r="AE69" i="20"/>
  <c r="AG217" i="20"/>
  <c r="AH141" i="20"/>
  <c r="AI69" i="20"/>
  <c r="AK217" i="20"/>
  <c r="AL141" i="20"/>
  <c r="Y797" i="20"/>
  <c r="AC797" i="20"/>
  <c r="AG797" i="20"/>
  <c r="AK797" i="20"/>
  <c r="Z797" i="20"/>
  <c r="AD797" i="20"/>
  <c r="AH797" i="20"/>
  <c r="AL797" i="20"/>
  <c r="AA797" i="20"/>
  <c r="AE797" i="20"/>
  <c r="AI797" i="20"/>
  <c r="AB797" i="20"/>
  <c r="AF797" i="20"/>
  <c r="AJ797" i="20"/>
  <c r="AN797" i="20"/>
  <c r="AI473" i="20"/>
  <c r="AN64" i="20"/>
  <c r="AT878" i="20"/>
  <c r="AT1006" i="20"/>
  <c r="AI1306" i="20"/>
  <c r="AN1017" i="20"/>
  <c r="AL1017" i="20"/>
  <c r="AK1017" i="20"/>
  <c r="AJ1017" i="20"/>
  <c r="AI1017" i="20"/>
  <c r="AH1017" i="20"/>
  <c r="AG1017" i="20"/>
  <c r="AF1017" i="20"/>
  <c r="AE1017" i="20"/>
  <c r="AD1017" i="20"/>
  <c r="AC1017" i="20"/>
  <c r="AB1017" i="20"/>
  <c r="AA1017" i="20"/>
  <c r="Z1017" i="20"/>
  <c r="Y1017" i="20"/>
  <c r="AN876" i="20"/>
  <c r="AL876" i="20"/>
  <c r="AK876" i="20"/>
  <c r="AJ876" i="20"/>
  <c r="AI876" i="20"/>
  <c r="AH876" i="20"/>
  <c r="AG876" i="20"/>
  <c r="AF876" i="20"/>
  <c r="AE876" i="20"/>
  <c r="AD876" i="20"/>
  <c r="AC876" i="20"/>
  <c r="AB876" i="20"/>
  <c r="AA876" i="20"/>
  <c r="Z876" i="20"/>
  <c r="Y876" i="20"/>
  <c r="AN863" i="20"/>
  <c r="AL863" i="20"/>
  <c r="AK863" i="20"/>
  <c r="AJ863" i="20"/>
  <c r="AI863" i="20"/>
  <c r="AH863" i="20"/>
  <c r="AG863" i="20"/>
  <c r="AF863" i="20"/>
  <c r="AE863" i="20"/>
  <c r="AD863" i="20"/>
  <c r="AC863" i="20"/>
  <c r="AB863" i="20"/>
  <c r="AA863" i="20"/>
  <c r="Z863" i="20"/>
  <c r="Y863" i="20"/>
  <c r="AN877" i="20"/>
  <c r="AL877" i="20"/>
  <c r="AK877" i="20"/>
  <c r="AJ877" i="20"/>
  <c r="AI877" i="20"/>
  <c r="AH877" i="20"/>
  <c r="AG877" i="20"/>
  <c r="AF877" i="20"/>
  <c r="AE877" i="20"/>
  <c r="AD877" i="20"/>
  <c r="AC877" i="20"/>
  <c r="AB877" i="20"/>
  <c r="AA877" i="20"/>
  <c r="Z877" i="20"/>
  <c r="Y877" i="20"/>
  <c r="AC130" i="20"/>
  <c r="AB136" i="20"/>
  <c r="AT547" i="20"/>
  <c r="AT767" i="20"/>
  <c r="AN1222" i="20"/>
  <c r="AA173" i="20"/>
  <c r="AH438" i="20"/>
  <c r="AI55" i="20"/>
  <c r="AE1186" i="20"/>
  <c r="Y36" i="20"/>
  <c r="AL606" i="20"/>
  <c r="AI1339" i="20"/>
  <c r="AN1016" i="20"/>
  <c r="AH172" i="20"/>
  <c r="AK1334" i="20"/>
  <c r="Y1246" i="20"/>
  <c r="AD54" i="20"/>
  <c r="AH119" i="20"/>
  <c r="AI726" i="20"/>
  <c r="AH234" i="20"/>
  <c r="AB1011" i="20"/>
  <c r="AL297" i="20"/>
  <c r="AB55" i="20"/>
  <c r="Z55" i="20"/>
  <c r="AH1194" i="20"/>
  <c r="AK1318" i="20"/>
  <c r="AJ1282" i="20"/>
  <c r="AN1339" i="20"/>
  <c r="AG1028" i="20"/>
  <c r="AK221" i="20"/>
  <c r="AJ128" i="20"/>
  <c r="AD80" i="20"/>
  <c r="AN41" i="20"/>
  <c r="AJ59" i="20"/>
  <c r="AJ942" i="20"/>
  <c r="AH333" i="20"/>
  <c r="Y681" i="20"/>
  <c r="AI1190" i="20"/>
  <c r="AF1174" i="20"/>
  <c r="AK47" i="20"/>
  <c r="AL1024" i="20"/>
  <c r="AN134" i="20"/>
  <c r="Z149" i="20"/>
  <c r="AJ938" i="20"/>
  <c r="AH821" i="20"/>
  <c r="AD403" i="20"/>
  <c r="Y1286" i="20"/>
  <c r="AA1174" i="20"/>
  <c r="AJ1198" i="20"/>
  <c r="AB1182" i="20"/>
  <c r="AI64" i="20"/>
  <c r="AL1035" i="20"/>
  <c r="Y68" i="20"/>
  <c r="AE118" i="20"/>
  <c r="Y62" i="20"/>
  <c r="AE170" i="20"/>
  <c r="AD151" i="20"/>
  <c r="Y59" i="20"/>
  <c r="AL59" i="20"/>
  <c r="AK59" i="20"/>
  <c r="Z38" i="20"/>
  <c r="AJ172" i="20"/>
  <c r="AG172" i="20"/>
  <c r="AG38" i="20"/>
  <c r="AB38" i="20"/>
  <c r="AL172" i="20"/>
  <c r="AE171" i="20"/>
  <c r="AG171" i="20"/>
  <c r="AF171" i="20"/>
  <c r="Z171" i="20"/>
  <c r="AL171" i="20"/>
  <c r="AB170" i="20"/>
  <c r="AF170" i="20"/>
  <c r="AJ170" i="20"/>
  <c r="AA60" i="20"/>
  <c r="AK60" i="20"/>
  <c r="AD37" i="20"/>
  <c r="AN173" i="20"/>
  <c r="AF37" i="20"/>
  <c r="Y37" i="20"/>
  <c r="AG37" i="20"/>
  <c r="AC173" i="20"/>
  <c r="AB163" i="20"/>
  <c r="AN163" i="20"/>
  <c r="AG41" i="20"/>
  <c r="AB41" i="20"/>
  <c r="AL163" i="20"/>
  <c r="AG163" i="20"/>
  <c r="AC91" i="20"/>
  <c r="AF91" i="20"/>
  <c r="AE91" i="20"/>
  <c r="AH91" i="20"/>
  <c r="AD36" i="20"/>
  <c r="AF36" i="20"/>
  <c r="AG36" i="20"/>
  <c r="AL169" i="20"/>
  <c r="AE36" i="20"/>
  <c r="AG90" i="20"/>
  <c r="AN90" i="20"/>
  <c r="AL90" i="20"/>
  <c r="AN62" i="20"/>
  <c r="AG62" i="20"/>
  <c r="AE62" i="20"/>
  <c r="Y58" i="20"/>
  <c r="AK58" i="20"/>
  <c r="AH149" i="20"/>
  <c r="AJ149" i="20"/>
  <c r="AC149" i="20"/>
  <c r="AD149" i="20"/>
  <c r="Z139" i="20"/>
  <c r="AH139" i="20"/>
  <c r="Y139" i="20"/>
  <c r="AG139" i="20"/>
  <c r="AC140" i="20"/>
  <c r="AB80" i="20"/>
  <c r="AF80" i="20"/>
  <c r="AJ80" i="20"/>
  <c r="AE138" i="20"/>
  <c r="AA100" i="20"/>
  <c r="AE100" i="20"/>
  <c r="AI100" i="20"/>
  <c r="AN100" i="20"/>
  <c r="AD136" i="20"/>
  <c r="AL136" i="20"/>
  <c r="AC136" i="20"/>
  <c r="AK136" i="20"/>
  <c r="AJ118" i="20"/>
  <c r="AG118" i="20"/>
  <c r="AH118" i="20"/>
  <c r="AI118" i="20"/>
  <c r="AB213" i="20"/>
  <c r="AJ213" i="20"/>
  <c r="AA213" i="20"/>
  <c r="AI213" i="20"/>
  <c r="Z134" i="20"/>
  <c r="AH134" i="20"/>
  <c r="Y134" i="20"/>
  <c r="AG134" i="20"/>
  <c r="AJ219" i="20"/>
  <c r="AJ76" i="20"/>
  <c r="AG76" i="20"/>
  <c r="AG151" i="20"/>
  <c r="AD59" i="20"/>
  <c r="AH59" i="20"/>
  <c r="AD38" i="20"/>
  <c r="Y172" i="20"/>
  <c r="AE172" i="20"/>
  <c r="AD172" i="20"/>
  <c r="Y61" i="20"/>
  <c r="AC171" i="20"/>
  <c r="AH61" i="20"/>
  <c r="AF61" i="20"/>
  <c r="AA170" i="20"/>
  <c r="AG170" i="20"/>
  <c r="AL170" i="20"/>
  <c r="AJ60" i="20"/>
  <c r="AF173" i="20"/>
  <c r="AB37" i="20"/>
  <c r="AL173" i="20"/>
  <c r="AI173" i="20"/>
  <c r="AI37" i="20"/>
  <c r="AJ163" i="20"/>
  <c r="AI163" i="20"/>
  <c r="AF41" i="20"/>
  <c r="AC163" i="20"/>
  <c r="AG91" i="20"/>
  <c r="AN91" i="20"/>
  <c r="AD91" i="20"/>
  <c r="AH36" i="20"/>
  <c r="AC36" i="20"/>
  <c r="AB36" i="20"/>
  <c r="AI36" i="20"/>
  <c r="AB90" i="20"/>
  <c r="Z90" i="20"/>
  <c r="AD62" i="20"/>
  <c r="AH62" i="20"/>
  <c r="AL62" i="20"/>
  <c r="AA58" i="20"/>
  <c r="AD58" i="20"/>
  <c r="Y149" i="20"/>
  <c r="AF58" i="20"/>
  <c r="AD139" i="20"/>
  <c r="AN139" i="20"/>
  <c r="AI139" i="20"/>
  <c r="Z80" i="20"/>
  <c r="AE80" i="20"/>
  <c r="AK80" i="20"/>
  <c r="Y100" i="20"/>
  <c r="AD100" i="20"/>
  <c r="AJ100" i="20"/>
  <c r="Z136" i="20"/>
  <c r="AJ136" i="20"/>
  <c r="AE136" i="20"/>
  <c r="AB118" i="20"/>
  <c r="AC118" i="20"/>
  <c r="AL118" i="20"/>
  <c r="AI220" i="20"/>
  <c r="AH213" i="20"/>
  <c r="AC213" i="20"/>
  <c r="Z67" i="20"/>
  <c r="AF134" i="20"/>
  <c r="AA134" i="20"/>
  <c r="AK134" i="20"/>
  <c r="AF76" i="20"/>
  <c r="AK76" i="20"/>
  <c r="AL76" i="20"/>
  <c r="AF128" i="20"/>
  <c r="AF218" i="20"/>
  <c r="AC218" i="20"/>
  <c r="Z218" i="20"/>
  <c r="AA218" i="20"/>
  <c r="AI73" i="20"/>
  <c r="AK130" i="20"/>
  <c r="AN130" i="20"/>
  <c r="Z130" i="20"/>
  <c r="AH216" i="20"/>
  <c r="AF68" i="20"/>
  <c r="AC68" i="20"/>
  <c r="AD68" i="20"/>
  <c r="AE68" i="20"/>
  <c r="AA850" i="20"/>
  <c r="AN119" i="20"/>
  <c r="AD119" i="20"/>
  <c r="AI119" i="20"/>
  <c r="Z221" i="20"/>
  <c r="AH221" i="20"/>
  <c r="Y221" i="20"/>
  <c r="AG221" i="20"/>
  <c r="AD845" i="20"/>
  <c r="AF1015" i="20"/>
  <c r="AA1015" i="20"/>
  <c r="AG1015" i="20"/>
  <c r="AB1016" i="20"/>
  <c r="Y1016" i="20"/>
  <c r="Z1016" i="20"/>
  <c r="AA1016" i="20"/>
  <c r="AE1025" i="20"/>
  <c r="Y1035" i="20"/>
  <c r="AH1035" i="20"/>
  <c r="AB950" i="20"/>
  <c r="AB1030" i="20"/>
  <c r="AG1030" i="20"/>
  <c r="AL1030" i="20"/>
  <c r="AC1024" i="20"/>
  <c r="AF1023" i="20"/>
  <c r="AC1023" i="20"/>
  <c r="AD1023" i="20"/>
  <c r="AE1023" i="20"/>
  <c r="AN1028" i="20"/>
  <c r="AK1028" i="20"/>
  <c r="AL1028" i="20"/>
  <c r="AN913" i="20"/>
  <c r="Z913" i="20"/>
  <c r="AI913" i="20"/>
  <c r="AB54" i="20"/>
  <c r="AE54" i="20"/>
  <c r="Z54" i="20"/>
  <c r="AB64" i="20"/>
  <c r="Y64" i="20"/>
  <c r="Z64" i="20"/>
  <c r="AA64" i="20"/>
  <c r="AC47" i="20"/>
  <c r="AE55" i="20"/>
  <c r="AG47" i="20"/>
  <c r="AE47" i="20"/>
  <c r="AB1339" i="20"/>
  <c r="Y1339" i="20"/>
  <c r="Z1339" i="20"/>
  <c r="AA1339" i="20"/>
  <c r="AB1212" i="20"/>
  <c r="AC1182" i="20"/>
  <c r="AH1178" i="20"/>
  <c r="AK1158" i="20"/>
  <c r="AN1282" i="20"/>
  <c r="AA1278" i="20"/>
  <c r="AC1266" i="20"/>
  <c r="AH1174" i="20"/>
  <c r="AJ1170" i="20"/>
  <c r="AG1250" i="20"/>
  <c r="Z1218" i="20"/>
  <c r="AK1182" i="20"/>
  <c r="Y1330" i="20"/>
  <c r="AK1230" i="20"/>
  <c r="AK1306" i="20"/>
  <c r="AB1226" i="20"/>
  <c r="Y1266" i="20"/>
  <c r="AN1238" i="20"/>
  <c r="AD1310" i="20"/>
  <c r="AD1334" i="20"/>
  <c r="AK1244" i="20"/>
  <c r="AK1238" i="20"/>
  <c r="AD1306" i="20"/>
  <c r="AK1166" i="20"/>
  <c r="AB1302" i="20"/>
  <c r="AK1234" i="20"/>
  <c r="AC1310" i="20"/>
  <c r="AB1322" i="20"/>
  <c r="AD1302" i="20"/>
  <c r="AH1322" i="20"/>
  <c r="AC1202" i="20"/>
  <c r="AH1326" i="20"/>
  <c r="AL1238" i="20"/>
  <c r="AD1166" i="20"/>
  <c r="AF1306" i="20"/>
  <c r="AA1242" i="20"/>
  <c r="AC1240" i="20"/>
  <c r="AL1178" i="20"/>
  <c r="AG1214" i="20"/>
  <c r="AI151" i="20"/>
  <c r="Z59" i="20"/>
  <c r="AI59" i="20"/>
  <c r="AA38" i="20"/>
  <c r="AE38" i="20"/>
  <c r="AN38" i="20"/>
  <c r="AK171" i="20"/>
  <c r="AN171" i="20"/>
  <c r="Z170" i="20"/>
  <c r="AH170" i="20"/>
  <c r="AD60" i="20"/>
  <c r="AB173" i="20"/>
  <c r="AD173" i="20"/>
  <c r="AC37" i="20"/>
  <c r="AG173" i="20"/>
  <c r="Y41" i="20"/>
  <c r="Z163" i="20"/>
  <c r="Y163" i="20"/>
  <c r="AK91" i="20"/>
  <c r="AI91" i="20"/>
  <c r="AB169" i="20"/>
  <c r="AE169" i="20"/>
  <c r="AA36" i="20"/>
  <c r="AK90" i="20"/>
  <c r="AB62" i="20"/>
  <c r="AC62" i="20"/>
  <c r="Z62" i="20"/>
  <c r="AE58" i="20"/>
  <c r="AL58" i="20"/>
  <c r="AB58" i="20"/>
  <c r="AF139" i="20"/>
  <c r="AC139" i="20"/>
  <c r="Y80" i="20"/>
  <c r="AG80" i="20"/>
  <c r="AN80" i="20"/>
  <c r="AC100" i="20"/>
  <c r="AK100" i="20"/>
  <c r="AF136" i="20"/>
  <c r="AA136" i="20"/>
  <c r="AF118" i="20"/>
  <c r="Z118" i="20"/>
  <c r="AH220" i="20"/>
  <c r="AL213" i="20"/>
  <c r="AG213" i="20"/>
  <c r="AD134" i="20"/>
  <c r="AC134" i="20"/>
  <c r="AI219" i="20"/>
  <c r="AC76" i="20"/>
  <c r="AA76" i="20"/>
  <c r="AE128" i="20"/>
  <c r="Y218" i="20"/>
  <c r="AD218" i="20"/>
  <c r="AD73" i="20"/>
  <c r="AG130" i="20"/>
  <c r="AA130" i="20"/>
  <c r="AH130" i="20"/>
  <c r="AB68" i="20"/>
  <c r="AG68" i="20"/>
  <c r="AL68" i="20"/>
  <c r="AD850" i="20"/>
  <c r="AC119" i="20"/>
  <c r="AL119" i="20"/>
  <c r="AE63" i="20"/>
  <c r="AJ221" i="20"/>
  <c r="AC221" i="20"/>
  <c r="AC845" i="20"/>
  <c r="AH1015" i="20"/>
  <c r="Y1015" i="20"/>
  <c r="AA1014" i="20"/>
  <c r="AC1016" i="20"/>
  <c r="AH1016" i="20"/>
  <c r="AD1025" i="20"/>
  <c r="AG1035" i="20"/>
  <c r="AA1035" i="20"/>
  <c r="AI950" i="20"/>
  <c r="AK1030" i="20"/>
  <c r="AI1030" i="20"/>
  <c r="AB1023" i="20"/>
  <c r="AG1023" i="20"/>
  <c r="AL1023" i="20"/>
  <c r="AJ1028" i="20"/>
  <c r="AI1028" i="20"/>
  <c r="AB913" i="20"/>
  <c r="AK913" i="20"/>
  <c r="AF54" i="20"/>
  <c r="AC54" i="20"/>
  <c r="AC64" i="20"/>
  <c r="AH64" i="20"/>
  <c r="Y47" i="20"/>
  <c r="AH47" i="20"/>
  <c r="Z47" i="20"/>
  <c r="AN47" i="20"/>
  <c r="AC1339" i="20"/>
  <c r="AH1339" i="20"/>
  <c r="AF1226" i="20"/>
  <c r="Z1158" i="20"/>
  <c r="AG1158" i="20"/>
  <c r="AG1242" i="20"/>
  <c r="Z1154" i="20"/>
  <c r="Y1318" i="20"/>
  <c r="AF1166" i="20"/>
  <c r="AI1290" i="20"/>
  <c r="Z1318" i="20"/>
  <c r="Z1182" i="20"/>
  <c r="AK1246" i="20"/>
  <c r="AN1338" i="20"/>
  <c r="AH1190" i="20"/>
  <c r="AJ1242" i="20"/>
  <c r="Y1290" i="20"/>
  <c r="AK1258" i="20"/>
  <c r="AN1306" i="20"/>
  <c r="AI1202" i="20"/>
  <c r="AH1274" i="20"/>
  <c r="AD1262" i="20"/>
  <c r="Y1274" i="20"/>
  <c r="AD1210" i="20"/>
  <c r="AA1310" i="20"/>
  <c r="AH1250" i="20"/>
  <c r="AF1170" i="20"/>
  <c r="AH1330" i="20"/>
  <c r="AK1274" i="20"/>
  <c r="AJ1330" i="20"/>
  <c r="AL1206" i="20"/>
  <c r="AC1242" i="20"/>
  <c r="Y55" i="20"/>
  <c r="AC55" i="20"/>
  <c r="AJ55" i="20"/>
  <c r="AH55" i="20"/>
  <c r="Y297" i="20"/>
  <c r="AG325" i="20"/>
  <c r="AC817" i="20"/>
  <c r="AG969" i="20"/>
  <c r="Z766" i="20"/>
  <c r="AA1047" i="20"/>
  <c r="AK910" i="20"/>
  <c r="Y502" i="20"/>
  <c r="AH709" i="20"/>
  <c r="AH885" i="20"/>
  <c r="AH714" i="20"/>
  <c r="AH988" i="20"/>
  <c r="AL226" i="20"/>
  <c r="AL481" i="20"/>
  <c r="AL1006" i="20"/>
  <c r="AJ1073" i="20"/>
  <c r="AJ1047" i="20"/>
  <c r="AJ409" i="20"/>
  <c r="AI674" i="20"/>
  <c r="AJ641" i="20"/>
  <c r="AI801" i="20"/>
  <c r="AI589" i="20"/>
  <c r="AL550" i="20"/>
  <c r="AI785" i="20"/>
  <c r="AJ333" i="20"/>
  <c r="AL681" i="20"/>
  <c r="AK151" i="20"/>
  <c r="AB59" i="20"/>
  <c r="AF172" i="20"/>
  <c r="Y38" i="20"/>
  <c r="AI38" i="20"/>
  <c r="AA171" i="20"/>
  <c r="AB171" i="20"/>
  <c r="AD171" i="20"/>
  <c r="AC170" i="20"/>
  <c r="AI170" i="20"/>
  <c r="AE60" i="20"/>
  <c r="AJ173" i="20"/>
  <c r="AH173" i="20"/>
  <c r="AE173" i="20"/>
  <c r="AK173" i="20"/>
  <c r="AA163" i="20"/>
  <c r="AD163" i="20"/>
  <c r="AI41" i="20"/>
  <c r="AB91" i="20"/>
  <c r="Z91" i="20"/>
  <c r="AL36" i="20"/>
  <c r="AI169" i="20"/>
  <c r="AC169" i="20"/>
  <c r="AF90" i="20"/>
  <c r="AF62" i="20"/>
  <c r="AK62" i="20"/>
  <c r="AC58" i="20"/>
  <c r="AI58" i="20"/>
  <c r="AN149" i="20"/>
  <c r="AJ58" i="20"/>
  <c r="AJ139" i="20"/>
  <c r="AE139" i="20"/>
  <c r="AA80" i="20"/>
  <c r="AH80" i="20"/>
  <c r="AJ138" i="20"/>
  <c r="AF100" i="20"/>
  <c r="AL100" i="20"/>
  <c r="AH136" i="20"/>
  <c r="AG136" i="20"/>
  <c r="AN118" i="20"/>
  <c r="AD118" i="20"/>
  <c r="Z213" i="20"/>
  <c r="AK213" i="20"/>
  <c r="AJ134" i="20"/>
  <c r="AE134" i="20"/>
  <c r="AB76" i="20"/>
  <c r="Z76" i="20"/>
  <c r="AE76" i="20"/>
  <c r="AB218" i="20"/>
  <c r="AG218" i="20"/>
  <c r="AH218" i="20"/>
  <c r="Y73" i="20"/>
  <c r="AB130" i="20"/>
  <c r="AE130" i="20"/>
  <c r="AL130" i="20"/>
  <c r="AJ68" i="20"/>
  <c r="AK68" i="20"/>
  <c r="AA68" i="20"/>
  <c r="AK850" i="20"/>
  <c r="AE119" i="20"/>
  <c r="AB221" i="20"/>
  <c r="AL221" i="20"/>
  <c r="AE221" i="20"/>
  <c r="AL1015" i="20"/>
  <c r="AF1016" i="20"/>
  <c r="AL1016" i="20"/>
  <c r="AB1035" i="20"/>
  <c r="AI1035" i="20"/>
  <c r="Z1030" i="20"/>
  <c r="AJ1023" i="20"/>
  <c r="AA1023" i="20"/>
  <c r="AE1028" i="20"/>
  <c r="AJ913" i="20"/>
  <c r="AN54" i="20"/>
  <c r="AF64" i="20"/>
  <c r="AL64" i="20"/>
  <c r="AL47" i="20"/>
  <c r="AF1339" i="20"/>
  <c r="AL1339" i="20"/>
  <c r="AE1150" i="20"/>
  <c r="AK1154" i="20"/>
  <c r="AI1218" i="20"/>
  <c r="AJ1206" i="20"/>
  <c r="AL1170" i="20"/>
  <c r="AK1266" i="20"/>
  <c r="AD1282" i="20"/>
  <c r="Z1178" i="20"/>
  <c r="AF1310" i="20"/>
  <c r="AL1166" i="20"/>
  <c r="AB1258" i="20"/>
  <c r="AN1178" i="20"/>
  <c r="AJ1310" i="20"/>
  <c r="AI1302" i="20"/>
  <c r="Y1194" i="20"/>
  <c r="AE1322" i="20"/>
  <c r="AA55" i="20"/>
  <c r="AN55" i="20"/>
  <c r="AL55" i="20"/>
  <c r="Y293" i="20"/>
  <c r="AF389" i="20"/>
  <c r="AG846" i="20"/>
  <c r="Y573" i="20"/>
  <c r="AC785" i="20"/>
  <c r="Y617" i="20"/>
  <c r="Z726" i="20"/>
  <c r="AF446" i="20"/>
  <c r="AH529" i="20"/>
  <c r="AH377" i="20"/>
  <c r="AH997" i="20"/>
  <c r="AH270" i="20"/>
  <c r="AL381" i="20"/>
  <c r="AH502" i="20"/>
  <c r="AJ578" i="20"/>
  <c r="AJ549" i="20"/>
  <c r="AJ629" i="20"/>
  <c r="AJ973" i="20"/>
  <c r="AJ781" i="20"/>
  <c r="AI425" i="20"/>
  <c r="AI1010" i="20"/>
  <c r="AL922" i="20"/>
  <c r="AI661" i="20"/>
  <c r="AJ1034" i="20"/>
  <c r="AN213" i="20"/>
  <c r="AG119" i="20"/>
  <c r="AA845" i="20"/>
  <c r="AC1015" i="20"/>
  <c r="AG1016" i="20"/>
  <c r="AK1035" i="20"/>
  <c r="AJ1030" i="20"/>
  <c r="AF1024" i="20"/>
  <c r="AK1023" i="20"/>
  <c r="Z1028" i="20"/>
  <c r="AH913" i="20"/>
  <c r="AG54" i="20"/>
  <c r="AG64" i="20"/>
  <c r="AI47" i="20"/>
  <c r="AD47" i="20"/>
  <c r="AG1339" i="20"/>
  <c r="AB1162" i="20"/>
  <c r="Z1298" i="20"/>
  <c r="AL1322" i="20"/>
  <c r="AG1294" i="20"/>
  <c r="Y1310" i="20"/>
  <c r="Z1194" i="20"/>
  <c r="AN1278" i="20"/>
  <c r="AG1210" i="20"/>
  <c r="AJ1338" i="20"/>
  <c r="AJ1270" i="20"/>
  <c r="AF1206" i="20"/>
  <c r="AN1314" i="20"/>
  <c r="AB1290" i="20"/>
  <c r="AE1190" i="20"/>
  <c r="AI546" i="20"/>
  <c r="Z151" i="20"/>
  <c r="AA59" i="20"/>
  <c r="AN59" i="20"/>
  <c r="AH38" i="20"/>
  <c r="AA172" i="20"/>
  <c r="AF38" i="20"/>
  <c r="AI171" i="20"/>
  <c r="AD61" i="20"/>
  <c r="AH171" i="20"/>
  <c r="AD170" i="20"/>
  <c r="AK170" i="20"/>
  <c r="AN60" i="20"/>
  <c r="AL37" i="20"/>
  <c r="AJ37" i="20"/>
  <c r="AN37" i="20"/>
  <c r="AD41" i="20"/>
  <c r="AE163" i="20"/>
  <c r="AH163" i="20"/>
  <c r="AK163" i="20"/>
  <c r="AJ91" i="20"/>
  <c r="AL91" i="20"/>
  <c r="AN169" i="20"/>
  <c r="AK36" i="20"/>
  <c r="AK169" i="20"/>
  <c r="AE90" i="20"/>
  <c r="AJ62" i="20"/>
  <c r="AA62" i="20"/>
  <c r="AE149" i="20"/>
  <c r="Z58" i="20"/>
  <c r="AG149" i="20"/>
  <c r="AN58" i="20"/>
  <c r="AL139" i="20"/>
  <c r="AK139" i="20"/>
  <c r="AC80" i="20"/>
  <c r="AI80" i="20"/>
  <c r="Z100" i="20"/>
  <c r="AG100" i="20"/>
  <c r="AC50" i="20"/>
  <c r="AN136" i="20"/>
  <c r="AI136" i="20"/>
  <c r="Y118" i="20"/>
  <c r="AA118" i="20"/>
  <c r="AD213" i="20"/>
  <c r="Y213" i="20"/>
  <c r="AD67" i="20"/>
  <c r="AL134" i="20"/>
  <c r="AI134" i="20"/>
  <c r="AN76" i="20"/>
  <c r="AD76" i="20"/>
  <c r="AI76" i="20"/>
  <c r="AJ218" i="20"/>
  <c r="AK218" i="20"/>
  <c r="AL218" i="20"/>
  <c r="Y130" i="20"/>
  <c r="AF130" i="20"/>
  <c r="AI130" i="20"/>
  <c r="AJ216" i="20"/>
  <c r="AN68" i="20"/>
  <c r="Z68" i="20"/>
  <c r="AI68" i="20"/>
  <c r="AF119" i="20"/>
  <c r="AK119" i="20"/>
  <c r="AG63" i="20"/>
  <c r="AD221" i="20"/>
  <c r="AN221" i="20"/>
  <c r="AI221" i="20"/>
  <c r="Z1015" i="20"/>
  <c r="AN1015" i="20"/>
  <c r="AD1014" i="20"/>
  <c r="AJ1016" i="20"/>
  <c r="AK1016" i="20"/>
  <c r="AE1016" i="20"/>
  <c r="AJ1035" i="20"/>
  <c r="Z1035" i="20"/>
  <c r="AL950" i="20"/>
  <c r="AN1030" i="20"/>
  <c r="AH1030" i="20"/>
  <c r="AH1024" i="20"/>
  <c r="AN1023" i="20"/>
  <c r="Z1023" i="20"/>
  <c r="AI1023" i="20"/>
  <c r="AC1028" i="20"/>
  <c r="AD1028" i="20"/>
  <c r="Y913" i="20"/>
  <c r="AL913" i="20"/>
  <c r="AL418" i="20"/>
  <c r="AI334" i="20"/>
  <c r="AJ954" i="20"/>
  <c r="AJ593" i="20"/>
  <c r="AJ225" i="20"/>
  <c r="AL837" i="20"/>
  <c r="AH918" i="20"/>
  <c r="AH750" i="20"/>
  <c r="AC1073" i="20"/>
  <c r="AE930" i="20"/>
  <c r="Y636" i="20"/>
  <c r="AJ529" i="20"/>
  <c r="AE293" i="20"/>
  <c r="AK55" i="20"/>
  <c r="AH1286" i="20"/>
  <c r="AF1178" i="20"/>
  <c r="AE1318" i="20"/>
  <c r="AC1318" i="20"/>
  <c r="AF1242" i="20"/>
  <c r="AH1298" i="20"/>
  <c r="AK1214" i="20"/>
  <c r="AB1238" i="20"/>
  <c r="AD1278" i="20"/>
  <c r="AC1194" i="20"/>
  <c r="AI1170" i="20"/>
  <c r="AA1206" i="20"/>
  <c r="Z1270" i="20"/>
  <c r="AD1322" i="20"/>
  <c r="AG1202" i="20"/>
  <c r="AE1339" i="20"/>
  <c r="AJ1339" i="20"/>
  <c r="AA47" i="20"/>
  <c r="AE64" i="20"/>
  <c r="AJ64" i="20"/>
  <c r="Y54" i="20"/>
  <c r="AA913" i="20"/>
  <c r="AB1028" i="20"/>
  <c r="AA1030" i="20"/>
  <c r="AN1035" i="20"/>
  <c r="AF1014" i="20"/>
  <c r="AA221" i="20"/>
  <c r="AJ119" i="20"/>
  <c r="AC216" i="20"/>
  <c r="AI218" i="20"/>
  <c r="AH76" i="20"/>
  <c r="AB134" i="20"/>
  <c r="AK118" i="20"/>
  <c r="AH100" i="20"/>
  <c r="AB140" i="20"/>
  <c r="AH58" i="20"/>
  <c r="AI90" i="20"/>
  <c r="Z36" i="20"/>
  <c r="AK41" i="20"/>
  <c r="Z173" i="20"/>
  <c r="Y170" i="20"/>
  <c r="AK38" i="20"/>
  <c r="AA151" i="20"/>
  <c r="AI749" i="20"/>
  <c r="AH1073" i="20"/>
  <c r="AD1294" i="20"/>
  <c r="AH1226" i="20"/>
  <c r="AF1298" i="20"/>
  <c r="AJ1182" i="20"/>
  <c r="AH1318" i="20"/>
  <c r="AI1226" i="20"/>
  <c r="AG1186" i="20"/>
  <c r="AJ1254" i="20"/>
  <c r="AH1198" i="20"/>
  <c r="AL1318" i="20"/>
  <c r="AG1154" i="20"/>
  <c r="AK1250" i="20"/>
  <c r="AA1270" i="20"/>
  <c r="AB1222" i="20"/>
  <c r="AE1338" i="20"/>
  <c r="AD1339" i="20"/>
  <c r="AJ47" i="20"/>
  <c r="AD55" i="20"/>
  <c r="AD64" i="20"/>
  <c r="AA54" i="20"/>
  <c r="AG913" i="20"/>
  <c r="AH1023" i="20"/>
  <c r="Y1030" i="20"/>
  <c r="AI1016" i="20"/>
  <c r="AI1015" i="20"/>
  <c r="AF221" i="20"/>
  <c r="Z850" i="20"/>
  <c r="AD130" i="20"/>
  <c r="AE218" i="20"/>
  <c r="Y76" i="20"/>
  <c r="AE213" i="20"/>
  <c r="AH135" i="20"/>
  <c r="AB100" i="20"/>
  <c r="AA139" i="20"/>
  <c r="AG58" i="20"/>
  <c r="AJ36" i="20"/>
  <c r="AA91" i="20"/>
  <c r="AF163" i="20"/>
  <c r="Z37" i="20"/>
  <c r="AJ171" i="20"/>
  <c r="AN172" i="20"/>
  <c r="AJ769" i="20"/>
  <c r="AJ385" i="20"/>
  <c r="AL918" i="20"/>
  <c r="AL693" i="20"/>
  <c r="AJ381" i="20"/>
  <c r="AJ1002" i="20"/>
  <c r="AL1062" i="20"/>
  <c r="AH474" i="20"/>
  <c r="AK1019" i="20"/>
  <c r="Y717" i="20"/>
  <c r="AC693" i="20"/>
  <c r="AJ745" i="20"/>
  <c r="AG55" i="20"/>
  <c r="AJ729" i="20"/>
  <c r="AL1047" i="20"/>
  <c r="AI233" i="20"/>
  <c r="AJ421" i="20"/>
  <c r="AL870" i="20"/>
  <c r="AL884" i="20"/>
  <c r="AH782" i="20"/>
  <c r="AH542" i="20"/>
  <c r="AH545" i="20"/>
  <c r="AB897" i="20"/>
  <c r="AD919" i="20"/>
  <c r="Z413" i="20"/>
  <c r="AF55" i="20"/>
  <c r="AL1234" i="20"/>
  <c r="AC1178" i="20"/>
  <c r="AE1286" i="20"/>
  <c r="AD1198" i="20"/>
  <c r="AF1338" i="20"/>
  <c r="AI1186" i="20"/>
  <c r="AC1254" i="20"/>
  <c r="AE1258" i="20"/>
  <c r="AD1182" i="20"/>
  <c r="AF1278" i="20"/>
  <c r="AI1206" i="20"/>
  <c r="AE1214" i="20"/>
  <c r="AF1222" i="20"/>
  <c r="AD1190" i="20"/>
  <c r="AN1146" i="20"/>
  <c r="AK1339" i="20"/>
  <c r="AF47" i="20"/>
  <c r="AB47" i="20"/>
  <c r="AK64" i="20"/>
  <c r="AH54" i="20"/>
  <c r="AG1029" i="20"/>
  <c r="Y1023" i="20"/>
  <c r="AG950" i="20"/>
  <c r="AD1016" i="20"/>
  <c r="AD1015" i="20"/>
  <c r="AA63" i="20"/>
  <c r="AH68" i="20"/>
  <c r="AJ130" i="20"/>
  <c r="AN218" i="20"/>
  <c r="AD219" i="20"/>
  <c r="AF213" i="20"/>
  <c r="Y136" i="20"/>
  <c r="AL80" i="20"/>
  <c r="AB139" i="20"/>
  <c r="AI62" i="20"/>
  <c r="AN36" i="20"/>
  <c r="Y91" i="20"/>
  <c r="Y173" i="20"/>
  <c r="AN170" i="20"/>
  <c r="AA61" i="20"/>
  <c r="AC59" i="20"/>
  <c r="AB1138" i="20"/>
  <c r="AK1106" i="20"/>
  <c r="AB28" i="20"/>
  <c r="Y1075" i="20"/>
  <c r="AG1071" i="20"/>
  <c r="AG1063" i="20"/>
  <c r="AA1055" i="20"/>
  <c r="Y1050" i="20"/>
  <c r="AF1043" i="20"/>
  <c r="AL1048" i="20"/>
  <c r="AI1036" i="20"/>
  <c r="AF1020" i="20"/>
  <c r="AH1011" i="20"/>
  <c r="AC1003" i="20"/>
  <c r="AH999" i="20"/>
  <c r="AJ994" i="20"/>
  <c r="AG989" i="20"/>
  <c r="Z985" i="20"/>
  <c r="AD983" i="20"/>
  <c r="AK977" i="20"/>
  <c r="AC969" i="20"/>
  <c r="AJ963" i="20"/>
  <c r="AC959" i="20"/>
  <c r="AJ955" i="20"/>
  <c r="AL947" i="20"/>
  <c r="AJ939" i="20"/>
  <c r="AB935" i="20"/>
  <c r="AH931" i="20"/>
  <c r="AK927" i="20"/>
  <c r="AB923" i="20"/>
  <c r="AA919" i="20"/>
  <c r="AD915" i="20"/>
  <c r="AA910" i="20"/>
  <c r="AL906" i="20"/>
  <c r="AD898" i="20"/>
  <c r="AJ894" i="20"/>
  <c r="AH889" i="20"/>
  <c r="AB881" i="20"/>
  <c r="AL871" i="20"/>
  <c r="AH867" i="20"/>
  <c r="AA860" i="20"/>
  <c r="AH856" i="20"/>
  <c r="AG852" i="20"/>
  <c r="AA838" i="20"/>
  <c r="AA834" i="20"/>
  <c r="AK830" i="20"/>
  <c r="AH822" i="20"/>
  <c r="AD818" i="20"/>
  <c r="AA814" i="20"/>
  <c r="AL806" i="20"/>
  <c r="AH802" i="20"/>
  <c r="AJ798" i="20"/>
  <c r="AL794" i="20"/>
  <c r="AH786" i="20"/>
  <c r="AK782" i="20"/>
  <c r="AH778" i="20"/>
  <c r="AG774" i="20"/>
  <c r="AL762" i="20"/>
  <c r="AE758" i="20"/>
  <c r="AB754" i="20"/>
  <c r="AA746" i="20"/>
  <c r="Z742" i="20"/>
  <c r="AL738" i="20"/>
  <c r="Y730" i="20"/>
  <c r="AL726" i="20"/>
  <c r="AH722" i="20"/>
  <c r="AD718" i="20"/>
  <c r="AH706" i="20"/>
  <c r="AH702" i="20"/>
  <c r="AC698" i="20"/>
  <c r="Z694" i="20"/>
  <c r="AG686" i="20"/>
  <c r="AH682" i="20"/>
  <c r="AB674" i="20"/>
  <c r="Z670" i="20"/>
  <c r="AL666" i="20"/>
  <c r="AE658" i="20"/>
  <c r="AH641" i="20"/>
  <c r="AB637" i="20"/>
  <c r="AA634" i="20"/>
  <c r="AF630" i="20"/>
  <c r="AJ626" i="20"/>
  <c r="AE622" i="20"/>
  <c r="AF618" i="20"/>
  <c r="AL597" i="20"/>
  <c r="AH594" i="20"/>
  <c r="Y590" i="20"/>
  <c r="AL586" i="20"/>
  <c r="AI582" i="20"/>
  <c r="AH574" i="20"/>
  <c r="AB570" i="20"/>
  <c r="AH564" i="20"/>
  <c r="AH554" i="20"/>
  <c r="AI550" i="20"/>
  <c r="AG546" i="20"/>
  <c r="AL542" i="20"/>
  <c r="AB538" i="20"/>
  <c r="AG530" i="20"/>
  <c r="AA526" i="20"/>
  <c r="AL522" i="20"/>
  <c r="AB518" i="20"/>
  <c r="AG514" i="20"/>
  <c r="AG510" i="20"/>
  <c r="AK506" i="20"/>
  <c r="AH498" i="20"/>
  <c r="AH490" i="20"/>
  <c r="AH486" i="20"/>
  <c r="AH470" i="20"/>
  <c r="Z466" i="20"/>
  <c r="AC462" i="20"/>
  <c r="Y458" i="20"/>
  <c r="AL446" i="20"/>
  <c r="AJ442" i="20"/>
  <c r="AA419" i="20"/>
  <c r="AL414" i="20"/>
  <c r="AH410" i="20"/>
  <c r="AN404" i="20"/>
  <c r="AD406" i="20"/>
  <c r="AD398" i="20"/>
  <c r="AA386" i="20"/>
  <c r="AH378" i="20"/>
  <c r="AH374" i="20"/>
  <c r="AK366" i="20"/>
  <c r="AH358" i="20"/>
  <c r="AH354" i="20"/>
  <c r="AK346" i="20"/>
  <c r="AL342" i="20"/>
  <c r="AG338" i="20"/>
  <c r="AH330" i="20"/>
  <c r="AH318" i="20"/>
  <c r="AH266" i="20"/>
  <c r="AH238" i="20"/>
  <c r="AI226" i="20"/>
  <c r="AH211" i="20"/>
  <c r="AH127" i="20"/>
  <c r="Y875" i="20"/>
  <c r="Z872" i="20"/>
  <c r="AA1027" i="20"/>
  <c r="AB953" i="20"/>
  <c r="AC875" i="20"/>
  <c r="AD872" i="20"/>
  <c r="AE1027" i="20"/>
  <c r="AF953" i="20"/>
  <c r="AG875" i="20"/>
  <c r="AH872" i="20"/>
  <c r="AI1027" i="20"/>
  <c r="AJ953" i="20"/>
  <c r="AK875" i="20"/>
  <c r="AL872" i="20"/>
  <c r="AN953" i="20"/>
  <c r="Y953" i="20"/>
  <c r="Z875" i="20"/>
  <c r="AA872" i="20"/>
  <c r="AB1027" i="20"/>
  <c r="AC953" i="20"/>
  <c r="AD875" i="20"/>
  <c r="AE872" i="20"/>
  <c r="AF1027" i="20"/>
  <c r="AG953" i="20"/>
  <c r="AH875" i="20"/>
  <c r="AI872" i="20"/>
  <c r="AJ1027" i="20"/>
  <c r="AK953" i="20"/>
  <c r="AL875" i="20"/>
  <c r="AN1027" i="20"/>
  <c r="Y1027" i="20"/>
  <c r="Z953" i="20"/>
  <c r="AA875" i="20"/>
  <c r="AB872" i="20"/>
  <c r="AC1027" i="20"/>
  <c r="AD953" i="20"/>
  <c r="AE875" i="20"/>
  <c r="AF872" i="20"/>
  <c r="AG1027" i="20"/>
  <c r="AH953" i="20"/>
  <c r="AI875" i="20"/>
  <c r="AJ872" i="20"/>
  <c r="AK1027" i="20"/>
  <c r="AL953" i="20"/>
  <c r="AN872" i="20"/>
  <c r="Y872" i="20"/>
  <c r="Z1027" i="20"/>
  <c r="AA953" i="20"/>
  <c r="AB875" i="20"/>
  <c r="AC872" i="20"/>
  <c r="AD1027" i="20"/>
  <c r="AE953" i="20"/>
  <c r="AF875" i="20"/>
  <c r="AG872" i="20"/>
  <c r="AH1027" i="20"/>
  <c r="AI953" i="20"/>
  <c r="AJ875" i="20"/>
  <c r="AK872" i="20"/>
  <c r="AL1027" i="20"/>
  <c r="AN875" i="20"/>
  <c r="AE619" i="20"/>
  <c r="AC527" i="20"/>
  <c r="AI1153" i="20"/>
  <c r="AF1149" i="20"/>
  <c r="Y1167" i="20"/>
  <c r="AK1171" i="20"/>
  <c r="AC1179" i="20"/>
  <c r="AJ1183" i="20"/>
  <c r="AG1199" i="20"/>
  <c r="AE1203" i="20"/>
  <c r="AL1207" i="20"/>
  <c r="AK1211" i="20"/>
  <c r="AH1215" i="20"/>
  <c r="Y1219" i="20"/>
  <c r="AD1243" i="20"/>
  <c r="AA1263" i="20"/>
  <c r="AH1267" i="20"/>
  <c r="AA1271" i="20"/>
  <c r="AD1275" i="20"/>
  <c r="AJ1279" i="20"/>
  <c r="AG1283" i="20"/>
  <c r="AC1287" i="20"/>
  <c r="Z1291" i="20"/>
  <c r="AB1299" i="20"/>
  <c r="AB1311" i="20"/>
  <c r="Y1315" i="20"/>
  <c r="Z1319" i="20"/>
  <c r="AG1323" i="20"/>
  <c r="AG1335" i="20"/>
  <c r="AN46" i="20"/>
  <c r="Y56" i="20"/>
  <c r="AL82" i="20"/>
  <c r="AL1037" i="20"/>
  <c r="AC964" i="20"/>
  <c r="AN1040" i="20"/>
  <c r="AE1032" i="20"/>
  <c r="AJ951" i="20"/>
  <c r="AB874" i="20"/>
  <c r="AF75" i="20"/>
  <c r="AL66" i="20"/>
  <c r="AB143" i="20"/>
  <c r="AH78" i="20"/>
  <c r="AF48" i="20"/>
  <c r="AC39" i="20"/>
  <c r="AI175" i="20"/>
  <c r="AH166" i="20"/>
  <c r="AJ34" i="20"/>
  <c r="AJ95" i="20"/>
  <c r="AH86" i="20"/>
  <c r="AL96" i="20"/>
  <c r="AA87" i="20"/>
  <c r="AT594" i="20"/>
  <c r="AT719" i="20"/>
  <c r="AJ486" i="20"/>
  <c r="AL923" i="20"/>
  <c r="AJ856" i="20"/>
  <c r="AL718" i="20"/>
  <c r="AH506" i="20"/>
  <c r="AG498" i="20"/>
  <c r="Z698" i="20"/>
  <c r="AA630" i="20"/>
  <c r="AN486" i="20"/>
  <c r="AT558" i="20"/>
  <c r="AJ969" i="20"/>
  <c r="AI1020" i="20"/>
  <c r="AI985" i="20"/>
  <c r="AL698" i="20"/>
  <c r="AH762" i="20"/>
  <c r="AA542" i="20"/>
  <c r="Z634" i="20"/>
  <c r="AE947" i="20"/>
  <c r="AE1267" i="20"/>
  <c r="AI56" i="20"/>
  <c r="AI1037" i="20"/>
  <c r="AL874" i="20"/>
  <c r="AN82" i="20"/>
  <c r="AN1263" i="20"/>
  <c r="AL959" i="20"/>
  <c r="AJ526" i="20"/>
  <c r="AI983" i="20"/>
  <c r="AL564" i="20"/>
  <c r="AJ935" i="20"/>
  <c r="AJ989" i="20"/>
  <c r="AH894" i="20"/>
  <c r="AJ586" i="20"/>
  <c r="AH1055" i="20"/>
  <c r="AH838" i="20"/>
  <c r="Z526" i="20"/>
  <c r="Z806" i="20"/>
  <c r="AA546" i="20"/>
  <c r="AD856" i="20"/>
  <c r="AG860" i="20"/>
  <c r="AF881" i="20"/>
  <c r="AN818" i="20"/>
  <c r="AT723" i="20"/>
  <c r="AI1063" i="20"/>
  <c r="AC406" i="20"/>
  <c r="AJ386" i="20"/>
  <c r="AI867" i="20"/>
  <c r="AJ414" i="20"/>
  <c r="AL830" i="20"/>
  <c r="AL852" i="20"/>
  <c r="AL910" i="20"/>
  <c r="AH818" i="20"/>
  <c r="AH462" i="20"/>
  <c r="Z814" i="20"/>
  <c r="AD590" i="20"/>
  <c r="Y686" i="20"/>
  <c r="AC931" i="20"/>
  <c r="AK342" i="20"/>
  <c r="AN1215" i="20"/>
  <c r="AE46" i="20"/>
  <c r="AH46" i="20"/>
  <c r="AD56" i="20"/>
  <c r="AE964" i="20"/>
  <c r="Y1040" i="20"/>
  <c r="AI66" i="20"/>
  <c r="AB39" i="20"/>
  <c r="AI87" i="20"/>
  <c r="AH1211" i="20"/>
  <c r="AG1183" i="20"/>
  <c r="AB1149" i="20"/>
  <c r="AH175" i="20"/>
  <c r="AK46" i="20"/>
  <c r="AD46" i="20"/>
  <c r="AJ46" i="20"/>
  <c r="AN56" i="20"/>
  <c r="AK56" i="20"/>
  <c r="AL56" i="20"/>
  <c r="AF56" i="20"/>
  <c r="AJ82" i="20"/>
  <c r="AG82" i="20"/>
  <c r="AH82" i="20"/>
  <c r="AI82" i="20"/>
  <c r="G53" i="86"/>
  <c r="AB82" i="20"/>
  <c r="Y82" i="20"/>
  <c r="Z82" i="20"/>
  <c r="AA82" i="20"/>
  <c r="AN1037" i="20"/>
  <c r="Y1037" i="20"/>
  <c r="Z1037" i="20"/>
  <c r="AF1037" i="20"/>
  <c r="AE1037" i="20"/>
  <c r="AG1037" i="20"/>
  <c r="AH1037" i="20"/>
  <c r="AF951" i="20"/>
  <c r="AN951" i="20"/>
  <c r="AC951" i="20"/>
  <c r="AK951" i="20"/>
  <c r="AB951" i="20"/>
  <c r="AL951" i="20"/>
  <c r="AE951" i="20"/>
  <c r="AD951" i="20"/>
  <c r="AG951" i="20"/>
  <c r="AH951" i="20"/>
  <c r="Y951" i="20"/>
  <c r="AI951" i="20"/>
  <c r="AF122" i="20"/>
  <c r="AK122" i="20"/>
  <c r="AA122" i="20"/>
  <c r="Y122" i="20"/>
  <c r="AL122" i="20"/>
  <c r="AC122" i="20"/>
  <c r="AE122" i="20"/>
  <c r="AB122" i="20"/>
  <c r="Z122" i="20"/>
  <c r="Y124" i="20"/>
  <c r="Z124" i="20"/>
  <c r="AN124" i="20"/>
  <c r="AH124" i="20"/>
  <c r="AC124" i="20"/>
  <c r="AL124" i="20"/>
  <c r="AB124" i="20"/>
  <c r="AK124" i="20"/>
  <c r="AA124" i="20"/>
  <c r="AB137" i="20"/>
  <c r="AN137" i="20"/>
  <c r="AE137" i="20"/>
  <c r="AJ137" i="20"/>
  <c r="AG137" i="20"/>
  <c r="Z137" i="20"/>
  <c r="AI137" i="20"/>
  <c r="AF137" i="20"/>
  <c r="Y137" i="20"/>
  <c r="AF66" i="20"/>
  <c r="AA66" i="20"/>
  <c r="Z66" i="20"/>
  <c r="AN66" i="20"/>
  <c r="Y66" i="20"/>
  <c r="AD66" i="20"/>
  <c r="AE66" i="20"/>
  <c r="AH66" i="20"/>
  <c r="AG66" i="20"/>
  <c r="AA143" i="20"/>
  <c r="AG143" i="20"/>
  <c r="AF143" i="20"/>
  <c r="AC143" i="20"/>
  <c r="AN143" i="20"/>
  <c r="Z143" i="20"/>
  <c r="AE143" i="20"/>
  <c r="AD143" i="20"/>
  <c r="AH79" i="20"/>
  <c r="AE79" i="20"/>
  <c r="AF79" i="20"/>
  <c r="AG79" i="20"/>
  <c r="AL79" i="20"/>
  <c r="AI79" i="20"/>
  <c r="Z79" i="20"/>
  <c r="AN79" i="20"/>
  <c r="Y79" i="20"/>
  <c r="AB166" i="20"/>
  <c r="AE166" i="20"/>
  <c r="Z166" i="20"/>
  <c r="AC166" i="20"/>
  <c r="AA166" i="20"/>
  <c r="AG166" i="20"/>
  <c r="AD166" i="20"/>
  <c r="AJ166" i="20"/>
  <c r="AL166" i="20"/>
  <c r="AK166" i="20"/>
  <c r="Y166" i="20"/>
  <c r="AN34" i="20"/>
  <c r="AF34" i="20"/>
  <c r="AA34" i="20"/>
  <c r="AI34" i="20"/>
  <c r="Z34" i="20"/>
  <c r="AH34" i="20"/>
  <c r="AB34" i="20"/>
  <c r="AC34" i="20"/>
  <c r="AK34" i="20"/>
  <c r="AD34" i="20"/>
  <c r="AL34" i="20"/>
  <c r="AE34" i="20"/>
  <c r="AA89" i="20"/>
  <c r="AK89" i="20"/>
  <c r="AJ89" i="20"/>
  <c r="AL89" i="20"/>
  <c r="AE89" i="20"/>
  <c r="AC89" i="20"/>
  <c r="AN89" i="20"/>
  <c r="Y89" i="20"/>
  <c r="AB89" i="20"/>
  <c r="AD1267" i="20"/>
  <c r="AA46" i="20"/>
  <c r="Z56" i="20"/>
  <c r="AF82" i="20"/>
  <c r="AF166" i="20"/>
  <c r="Y34" i="20"/>
  <c r="AG89" i="20"/>
  <c r="AJ1255" i="20"/>
  <c r="AA1255" i="20"/>
  <c r="AF31" i="20"/>
  <c r="AC31" i="20"/>
  <c r="AD31" i="20"/>
  <c r="AE31" i="20"/>
  <c r="AN31" i="20"/>
  <c r="Z31" i="20"/>
  <c r="AI31" i="20"/>
  <c r="Y31" i="20"/>
  <c r="AH31" i="20"/>
  <c r="AB31" i="20"/>
  <c r="AG31" i="20"/>
  <c r="AL31" i="20"/>
  <c r="AN1032" i="20"/>
  <c r="Y1032" i="20"/>
  <c r="Z1032" i="20"/>
  <c r="AF1032" i="20"/>
  <c r="AI1032" i="20"/>
  <c r="AD1032" i="20"/>
  <c r="AJ1032" i="20"/>
  <c r="AC1032" i="20"/>
  <c r="AH1032" i="20"/>
  <c r="AA1032" i="20"/>
  <c r="AG1032" i="20"/>
  <c r="AL1032" i="20"/>
  <c r="AH75" i="20"/>
  <c r="AA75" i="20"/>
  <c r="AI75" i="20"/>
  <c r="AJ75" i="20"/>
  <c r="AE75" i="20"/>
  <c r="Z75" i="20"/>
  <c r="AL75" i="20"/>
  <c r="AG75" i="20"/>
  <c r="AD75" i="20"/>
  <c r="AN75" i="20"/>
  <c r="Y75" i="20"/>
  <c r="AK75" i="20"/>
  <c r="AF212" i="20"/>
  <c r="AE212" i="20"/>
  <c r="AH212" i="20"/>
  <c r="AK212" i="20"/>
  <c r="AJ212" i="20"/>
  <c r="Y212" i="20"/>
  <c r="Z212" i="20"/>
  <c r="AN212" i="20"/>
  <c r="AC212" i="20"/>
  <c r="AD78" i="20"/>
  <c r="AN78" i="20"/>
  <c r="Y78" i="20"/>
  <c r="AI78" i="20"/>
  <c r="AL78" i="20"/>
  <c r="AA78" i="20"/>
  <c r="Z78" i="20"/>
  <c r="AE78" i="20"/>
  <c r="AF78" i="20"/>
  <c r="AG78" i="20"/>
  <c r="AA81" i="20"/>
  <c r="AF81" i="20"/>
  <c r="AL81" i="20"/>
  <c r="Z81" i="20"/>
  <c r="AH81" i="20"/>
  <c r="AB81" i="20"/>
  <c r="AI81" i="20"/>
  <c r="AD81" i="20"/>
  <c r="AJ81" i="20"/>
  <c r="AJ39" i="20"/>
  <c r="AI39" i="20"/>
  <c r="AG39" i="20"/>
  <c r="AK39" i="20"/>
  <c r="Z39" i="20"/>
  <c r="AH39" i="20"/>
  <c r="Y39" i="20"/>
  <c r="AL39" i="20"/>
  <c r="AF39" i="20"/>
  <c r="AE39" i="20"/>
  <c r="AD39" i="20"/>
  <c r="AC95" i="20"/>
  <c r="AE95" i="20"/>
  <c r="AB95" i="20"/>
  <c r="AD95" i="20"/>
  <c r="AK95" i="20"/>
  <c r="AA95" i="20"/>
  <c r="AF95" i="20"/>
  <c r="AN95" i="20"/>
  <c r="Y95" i="20"/>
  <c r="AI95" i="20"/>
  <c r="AL95" i="20"/>
  <c r="AG95" i="20"/>
  <c r="AH95" i="20"/>
  <c r="AB86" i="20"/>
  <c r="AF86" i="20"/>
  <c r="AJ86" i="20"/>
  <c r="Y86" i="20"/>
  <c r="AD86" i="20"/>
  <c r="AI86" i="20"/>
  <c r="Z86" i="20"/>
  <c r="AE86" i="20"/>
  <c r="AK86" i="20"/>
  <c r="AA86" i="20"/>
  <c r="AG86" i="20"/>
  <c r="AL86" i="20"/>
  <c r="AI46" i="20"/>
  <c r="AC46" i="20"/>
  <c r="AJ56" i="20"/>
  <c r="AD1037" i="20"/>
  <c r="AD964" i="20"/>
  <c r="AA31" i="20"/>
  <c r="AB1032" i="20"/>
  <c r="Z951" i="20"/>
  <c r="AD122" i="20"/>
  <c r="AH137" i="20"/>
  <c r="AB212" i="20"/>
  <c r="AC86" i="20"/>
  <c r="AG1219" i="20"/>
  <c r="AA1315" i="20"/>
  <c r="AN1179" i="20"/>
  <c r="AG1179" i="20"/>
  <c r="Z46" i="20"/>
  <c r="AL46" i="20"/>
  <c r="AB46" i="20"/>
  <c r="AA56" i="20"/>
  <c r="AG56" i="20"/>
  <c r="AB56" i="20"/>
  <c r="AK82" i="20"/>
  <c r="I53" i="86"/>
  <c r="L53" i="86"/>
  <c r="AK1037" i="20"/>
  <c r="AJ1037" i="20"/>
  <c r="AK31" i="20"/>
  <c r="AA951" i="20"/>
  <c r="AN122" i="20"/>
  <c r="AE124" i="20"/>
  <c r="AG212" i="20"/>
  <c r="AH143" i="20"/>
  <c r="AN81" i="20"/>
  <c r="AA39" i="20"/>
  <c r="AN166" i="20"/>
  <c r="AG34" i="20"/>
  <c r="Z95" i="20"/>
  <c r="AF89" i="20"/>
  <c r="Z1323" i="20"/>
  <c r="AH1323" i="20"/>
  <c r="AJ964" i="20"/>
  <c r="AG964" i="20"/>
  <c r="AH964" i="20"/>
  <c r="AI964" i="20"/>
  <c r="AN964" i="20"/>
  <c r="AK964" i="20"/>
  <c r="AL964" i="20"/>
  <c r="AB964" i="20"/>
  <c r="Y964" i="20"/>
  <c r="Z964" i="20"/>
  <c r="AA964" i="20"/>
  <c r="AB1040" i="20"/>
  <c r="AA1040" i="20"/>
  <c r="AC1040" i="20"/>
  <c r="AD1040" i="20"/>
  <c r="AF1040" i="20"/>
  <c r="AE1040" i="20"/>
  <c r="AG1040" i="20"/>
  <c r="AH1040" i="20"/>
  <c r="AJ1040" i="20"/>
  <c r="AI1040" i="20"/>
  <c r="AK1040" i="20"/>
  <c r="AL1040" i="20"/>
  <c r="AF874" i="20"/>
  <c r="AN874" i="20"/>
  <c r="AE874" i="20"/>
  <c r="AD874" i="20"/>
  <c r="Y874" i="20"/>
  <c r="AI874" i="20"/>
  <c r="AH874" i="20"/>
  <c r="AA874" i="20"/>
  <c r="AK874" i="20"/>
  <c r="Z874" i="20"/>
  <c r="AJ874" i="20"/>
  <c r="AC874" i="20"/>
  <c r="AB71" i="20"/>
  <c r="AN71" i="20"/>
  <c r="AH71" i="20"/>
  <c r="AC71" i="20"/>
  <c r="AK71" i="20"/>
  <c r="AE71" i="20"/>
  <c r="AJ71" i="20"/>
  <c r="Z71" i="20"/>
  <c r="AL71" i="20"/>
  <c r="AG71" i="20"/>
  <c r="AI71" i="20"/>
  <c r="AF129" i="20"/>
  <c r="AA129" i="20"/>
  <c r="AH129" i="20"/>
  <c r="AG129" i="20"/>
  <c r="AL129" i="20"/>
  <c r="AI129" i="20"/>
  <c r="Z129" i="20"/>
  <c r="AN129" i="20"/>
  <c r="Y129" i="20"/>
  <c r="AE48" i="20"/>
  <c r="AJ48" i="20"/>
  <c r="AA48" i="20"/>
  <c r="Z48" i="20"/>
  <c r="AG48" i="20"/>
  <c r="AB48" i="20"/>
  <c r="AI48" i="20"/>
  <c r="AC48" i="20"/>
  <c r="AK48" i="20"/>
  <c r="AB175" i="20"/>
  <c r="AF175" i="20"/>
  <c r="AC175" i="20"/>
  <c r="Z175" i="20"/>
  <c r="AA175" i="20"/>
  <c r="AE175" i="20"/>
  <c r="AJ175" i="20"/>
  <c r="Y175" i="20"/>
  <c r="AK175" i="20"/>
  <c r="AL175" i="20"/>
  <c r="AD175" i="20"/>
  <c r="AG175" i="20"/>
  <c r="AN175" i="20"/>
  <c r="AC53" i="20"/>
  <c r="AN53" i="20"/>
  <c r="AI53" i="20"/>
  <c r="Z53" i="20"/>
  <c r="AH53" i="20"/>
  <c r="AK53" i="20"/>
  <c r="AB53" i="20"/>
  <c r="AA53" i="20"/>
  <c r="AJ53" i="20"/>
  <c r="Y53" i="20"/>
  <c r="AG53" i="20"/>
  <c r="AF53" i="20"/>
  <c r="AD53" i="20"/>
  <c r="AL53" i="20"/>
  <c r="Y96" i="20"/>
  <c r="AB96" i="20"/>
  <c r="AJ96" i="20"/>
  <c r="AN96" i="20"/>
  <c r="AA96" i="20"/>
  <c r="AH96" i="20"/>
  <c r="AF96" i="20"/>
  <c r="AI96" i="20"/>
  <c r="AC96" i="20"/>
  <c r="AB87" i="20"/>
  <c r="AG87" i="20"/>
  <c r="AN87" i="20"/>
  <c r="AC87" i="20"/>
  <c r="AJ87" i="20"/>
  <c r="AE87" i="20"/>
  <c r="AK87" i="20"/>
  <c r="Y87" i="20"/>
  <c r="AF87" i="20"/>
  <c r="AG46" i="20"/>
  <c r="AE56" i="20"/>
  <c r="AD82" i="20"/>
  <c r="AA1037" i="20"/>
  <c r="AC75" i="20"/>
  <c r="Z1275" i="20"/>
  <c r="AL1153" i="20"/>
  <c r="AK1275" i="20"/>
  <c r="AK1153" i="20"/>
  <c r="Y46" i="20"/>
  <c r="AF46" i="20"/>
  <c r="AH56" i="20"/>
  <c r="AC56" i="20"/>
  <c r="AE82" i="20"/>
  <c r="AC82" i="20"/>
  <c r="AC1037" i="20"/>
  <c r="AB1037" i="20"/>
  <c r="AF964" i="20"/>
  <c r="Z1040" i="20"/>
  <c r="AJ31" i="20"/>
  <c r="AK1032" i="20"/>
  <c r="AG874" i="20"/>
  <c r="AF124" i="20"/>
  <c r="AA137" i="20"/>
  <c r="AE129" i="20"/>
  <c r="AD129" i="20"/>
  <c r="Y143" i="20"/>
  <c r="AE81" i="20"/>
  <c r="AA79" i="20"/>
  <c r="AD79" i="20"/>
  <c r="AN39" i="20"/>
  <c r="AI166" i="20"/>
  <c r="AE53" i="20"/>
  <c r="AN86" i="20"/>
  <c r="AI89" i="20"/>
  <c r="AD96" i="20"/>
  <c r="AK96" i="20"/>
  <c r="AJ1157" i="20"/>
  <c r="Y1157" i="20"/>
  <c r="Z1157" i="20"/>
  <c r="AI1157" i="20"/>
  <c r="AC1157" i="20"/>
  <c r="AD1157" i="20"/>
  <c r="AK1157" i="20"/>
  <c r="AF1157" i="20"/>
  <c r="AG1157" i="20"/>
  <c r="AA1157" i="20"/>
  <c r="AE1157" i="20"/>
  <c r="AL1157" i="20"/>
  <c r="AN1157" i="20"/>
  <c r="AH1157" i="20"/>
  <c r="AD1163" i="20"/>
  <c r="AG1163" i="20"/>
  <c r="AF1163" i="20"/>
  <c r="AH1163" i="20"/>
  <c r="AE1163" i="20"/>
  <c r="AB1163" i="20"/>
  <c r="AA1163" i="20"/>
  <c r="AI1163" i="20"/>
  <c r="AJ1163" i="20"/>
  <c r="AC1163" i="20"/>
  <c r="AL1163" i="20"/>
  <c r="Z1163" i="20"/>
  <c r="AK1163" i="20"/>
  <c r="Y1163" i="20"/>
  <c r="AD1175" i="20"/>
  <c r="AK1175" i="20"/>
  <c r="AG1175" i="20"/>
  <c r="AJ1175" i="20"/>
  <c r="AA1175" i="20"/>
  <c r="AN1175" i="20"/>
  <c r="Z1175" i="20"/>
  <c r="AB1175" i="20"/>
  <c r="AL1175" i="20"/>
  <c r="AI1175" i="20"/>
  <c r="AF1175" i="20"/>
  <c r="AE1175" i="20"/>
  <c r="Y1175" i="20"/>
  <c r="AC1175" i="20"/>
  <c r="AD1187" i="20"/>
  <c r="AJ1187" i="20"/>
  <c r="AB1187" i="20"/>
  <c r="AE1187" i="20"/>
  <c r="AI1187" i="20"/>
  <c r="AH1187" i="20"/>
  <c r="AG1187" i="20"/>
  <c r="Y1187" i="20"/>
  <c r="Z1187" i="20"/>
  <c r="AL1187" i="20"/>
  <c r="AA1187" i="20"/>
  <c r="AF1187" i="20"/>
  <c r="AK1187" i="20"/>
  <c r="AF1195" i="20"/>
  <c r="AE1195" i="20"/>
  <c r="AD1195" i="20"/>
  <c r="AH1195" i="20"/>
  <c r="AK1195" i="20"/>
  <c r="AC1195" i="20"/>
  <c r="AG1195" i="20"/>
  <c r="AN1195" i="20"/>
  <c r="AL1195" i="20"/>
  <c r="Y1195" i="20"/>
  <c r="AA1195" i="20"/>
  <c r="AJ1195" i="20"/>
  <c r="Z1195" i="20"/>
  <c r="AG1207" i="20"/>
  <c r="AE1207" i="20"/>
  <c r="AF1207" i="20"/>
  <c r="Z1207" i="20"/>
  <c r="AC1207" i="20"/>
  <c r="AJ1207" i="20"/>
  <c r="AD1207" i="20"/>
  <c r="AB1207" i="20"/>
  <c r="AK1207" i="20"/>
  <c r="AN1207" i="20"/>
  <c r="Y1207" i="20"/>
  <c r="AH1207" i="20"/>
  <c r="AE1215" i="20"/>
  <c r="Y1215" i="20"/>
  <c r="AC1215" i="20"/>
  <c r="AI1215" i="20"/>
  <c r="Z1215" i="20"/>
  <c r="AA1215" i="20"/>
  <c r="AB1215" i="20"/>
  <c r="AG1215" i="20"/>
  <c r="AL1215" i="20"/>
  <c r="AF1215" i="20"/>
  <c r="AD1215" i="20"/>
  <c r="AK1215" i="20"/>
  <c r="AJ1215" i="20"/>
  <c r="AD1227" i="20"/>
  <c r="AE1227" i="20"/>
  <c r="AG1227" i="20"/>
  <c r="AL1227" i="20"/>
  <c r="AH1227" i="20"/>
  <c r="Z1227" i="20"/>
  <c r="AK1227" i="20"/>
  <c r="AJ1227" i="20"/>
  <c r="AI1227" i="20"/>
  <c r="AC1227" i="20"/>
  <c r="AB1227" i="20"/>
  <c r="Y1227" i="20"/>
  <c r="AA1227" i="20"/>
  <c r="AN1227" i="20"/>
  <c r="AG1235" i="20"/>
  <c r="AA1235" i="20"/>
  <c r="AL1235" i="20"/>
  <c r="AH1235" i="20"/>
  <c r="AB1235" i="20"/>
  <c r="AC1235" i="20"/>
  <c r="AE1235" i="20"/>
  <c r="AK1235" i="20"/>
  <c r="AJ1235" i="20"/>
  <c r="AN1235" i="20"/>
  <c r="AI1235" i="20"/>
  <c r="Y1235" i="20"/>
  <c r="Z1235" i="20"/>
  <c r="AF1235" i="20"/>
  <c r="AE1247" i="20"/>
  <c r="AJ1247" i="20"/>
  <c r="AH1247" i="20"/>
  <c r="AA1247" i="20"/>
  <c r="AG1247" i="20"/>
  <c r="AI1247" i="20"/>
  <c r="AD1247" i="20"/>
  <c r="AF1247" i="20"/>
  <c r="Z1247" i="20"/>
  <c r="AL1247" i="20"/>
  <c r="AK1247" i="20"/>
  <c r="AB1247" i="20"/>
  <c r="Y1247" i="20"/>
  <c r="AC1247" i="20"/>
  <c r="AG1263" i="20"/>
  <c r="AL1263" i="20"/>
  <c r="AB1263" i="20"/>
  <c r="AC1263" i="20"/>
  <c r="AI1263" i="20"/>
  <c r="Z1263" i="20"/>
  <c r="AE1263" i="20"/>
  <c r="AD1263" i="20"/>
  <c r="AH1263" i="20"/>
  <c r="Y1263" i="20"/>
  <c r="AF1263" i="20"/>
  <c r="AJ1263" i="20"/>
  <c r="AH1275" i="20"/>
  <c r="AC1275" i="20"/>
  <c r="AJ1275" i="20"/>
  <c r="AL1275" i="20"/>
  <c r="AF1275" i="20"/>
  <c r="Y1275" i="20"/>
  <c r="AA1275" i="20"/>
  <c r="AE1275" i="20"/>
  <c r="AI1275" i="20"/>
  <c r="AF1287" i="20"/>
  <c r="AK1287" i="20"/>
  <c r="AA1287" i="20"/>
  <c r="AL1287" i="20"/>
  <c r="AI1287" i="20"/>
  <c r="AJ1287" i="20"/>
  <c r="Z1287" i="20"/>
  <c r="AE1287" i="20"/>
  <c r="AN1287" i="20"/>
  <c r="AB1287" i="20"/>
  <c r="AG1287" i="20"/>
  <c r="Z1295" i="20"/>
  <c r="AL1295" i="20"/>
  <c r="AJ1295" i="20"/>
  <c r="AG1295" i="20"/>
  <c r="AA1295" i="20"/>
  <c r="AB1295" i="20"/>
  <c r="AI1295" i="20"/>
  <c r="AN1295" i="20"/>
  <c r="Y1295" i="20"/>
  <c r="AH1295" i="20"/>
  <c r="AD1295" i="20"/>
  <c r="AE1295" i="20"/>
  <c r="AH1307" i="20"/>
  <c r="AI1307" i="20"/>
  <c r="AC1307" i="20"/>
  <c r="AE1307" i="20"/>
  <c r="AA1307" i="20"/>
  <c r="AF1307" i="20"/>
  <c r="AD1307" i="20"/>
  <c r="AK1307" i="20"/>
  <c r="AG1307" i="20"/>
  <c r="AN1307" i="20"/>
  <c r="AJ1307" i="20"/>
  <c r="AL1307" i="20"/>
  <c r="Y1307" i="20"/>
  <c r="Z1307" i="20"/>
  <c r="AB1307" i="20"/>
  <c r="AD1319" i="20"/>
  <c r="AE1319" i="20"/>
  <c r="AG1319" i="20"/>
  <c r="AL1319" i="20"/>
  <c r="AF1319" i="20"/>
  <c r="AJ1319" i="20"/>
  <c r="AH1319" i="20"/>
  <c r="AN1319" i="20"/>
  <c r="AK1319" i="20"/>
  <c r="AB1319" i="20"/>
  <c r="AI1319" i="20"/>
  <c r="AC1319" i="20"/>
  <c r="AC1335" i="20"/>
  <c r="AJ1335" i="20"/>
  <c r="Z1335" i="20"/>
  <c r="AD1335" i="20"/>
  <c r="AI1335" i="20"/>
  <c r="AB1335" i="20"/>
  <c r="AA1335" i="20"/>
  <c r="AF1335" i="20"/>
  <c r="AK1335" i="20"/>
  <c r="AE1335" i="20"/>
  <c r="AL1335" i="20"/>
  <c r="Y1335" i="20"/>
  <c r="AK1263" i="20"/>
  <c r="AD1219" i="20"/>
  <c r="Y1319" i="20"/>
  <c r="AC1187" i="20"/>
  <c r="AD1287" i="20"/>
  <c r="AC1295" i="20"/>
  <c r="Y1161" i="20"/>
  <c r="AJ1161" i="20"/>
  <c r="AB1161" i="20"/>
  <c r="AH1161" i="20"/>
  <c r="AK1161" i="20"/>
  <c r="AE1161" i="20"/>
  <c r="AD1161" i="20"/>
  <c r="AN1161" i="20"/>
  <c r="Z1161" i="20"/>
  <c r="AI1161" i="20"/>
  <c r="AC1161" i="20"/>
  <c r="AL1161" i="20"/>
  <c r="AN1149" i="20"/>
  <c r="AK1149" i="20"/>
  <c r="Y1149" i="20"/>
  <c r="AE1149" i="20"/>
  <c r="AJ1149" i="20"/>
  <c r="AG1149" i="20"/>
  <c r="AI1149" i="20"/>
  <c r="AH1149" i="20"/>
  <c r="AA1149" i="20"/>
  <c r="Z1149" i="20"/>
  <c r="AL1149" i="20"/>
  <c r="AA1171" i="20"/>
  <c r="AE1171" i="20"/>
  <c r="AH1171" i="20"/>
  <c r="AL1171" i="20"/>
  <c r="Y1171" i="20"/>
  <c r="Z1171" i="20"/>
  <c r="AN1171" i="20"/>
  <c r="AD1171" i="20"/>
  <c r="AJ1171" i="20"/>
  <c r="AC1171" i="20"/>
  <c r="AB1171" i="20"/>
  <c r="AG1171" i="20"/>
  <c r="AJ1179" i="20"/>
  <c r="AL1179" i="20"/>
  <c r="Y1179" i="20"/>
  <c r="AI1179" i="20"/>
  <c r="AD1179" i="20"/>
  <c r="Z1179" i="20"/>
  <c r="AB1179" i="20"/>
  <c r="AK1179" i="20"/>
  <c r="AH1179" i="20"/>
  <c r="AE1179" i="20"/>
  <c r="AF1179" i="20"/>
  <c r="AA1179" i="20"/>
  <c r="AL1191" i="20"/>
  <c r="AD1191" i="20"/>
  <c r="AF1191" i="20"/>
  <c r="AC1191" i="20"/>
  <c r="Z1191" i="20"/>
  <c r="Y1191" i="20"/>
  <c r="AA1191" i="20"/>
  <c r="AB1191" i="20"/>
  <c r="AI1191" i="20"/>
  <c r="AE1191" i="20"/>
  <c r="AK1191" i="20"/>
  <c r="AG1191" i="20"/>
  <c r="AN1191" i="20"/>
  <c r="AH1191" i="20"/>
  <c r="AJ1191" i="20"/>
  <c r="AK1203" i="20"/>
  <c r="Y1203" i="20"/>
  <c r="AC1203" i="20"/>
  <c r="AH1203" i="20"/>
  <c r="AN1203" i="20"/>
  <c r="AI1203" i="20"/>
  <c r="AJ1203" i="20"/>
  <c r="AG1203" i="20"/>
  <c r="AD1203" i="20"/>
  <c r="AF1203" i="20"/>
  <c r="AI1219" i="20"/>
  <c r="Z1219" i="20"/>
  <c r="AE1219" i="20"/>
  <c r="AF1219" i="20"/>
  <c r="AH1219" i="20"/>
  <c r="AA1219" i="20"/>
  <c r="AB1219" i="20"/>
  <c r="AC1219" i="20"/>
  <c r="AK1219" i="20"/>
  <c r="AJ1219" i="20"/>
  <c r="AL1219" i="20"/>
  <c r="AG1231" i="20"/>
  <c r="Z1231" i="20"/>
  <c r="Y1231" i="20"/>
  <c r="AL1231" i="20"/>
  <c r="AE1231" i="20"/>
  <c r="AD1231" i="20"/>
  <c r="AH1231" i="20"/>
  <c r="AI1231" i="20"/>
  <c r="AB1231" i="20"/>
  <c r="AN1231" i="20"/>
  <c r="AC1231" i="20"/>
  <c r="AG1239" i="20"/>
  <c r="AI1239" i="20"/>
  <c r="AD1239" i="20"/>
  <c r="AL1239" i="20"/>
  <c r="AB1239" i="20"/>
  <c r="AF1239" i="20"/>
  <c r="AE1239" i="20"/>
  <c r="Z1239" i="20"/>
  <c r="AK1239" i="20"/>
  <c r="AJ1239" i="20"/>
  <c r="Y1239" i="20"/>
  <c r="AC1239" i="20"/>
  <c r="AN1251" i="20"/>
  <c r="AD1251" i="20"/>
  <c r="AB1251" i="20"/>
  <c r="AI1251" i="20"/>
  <c r="Y1251" i="20"/>
  <c r="Z1251" i="20"/>
  <c r="AA1251" i="20"/>
  <c r="AH1251" i="20"/>
  <c r="AK1251" i="20"/>
  <c r="AF1251" i="20"/>
  <c r="AC1251" i="20"/>
  <c r="AG1251" i="20"/>
  <c r="AE1251" i="20"/>
  <c r="AJ1251" i="20"/>
  <c r="AL1251" i="20"/>
  <c r="Y1259" i="20"/>
  <c r="AN1259" i="20"/>
  <c r="Z1259" i="20"/>
  <c r="AJ1259" i="20"/>
  <c r="AC1259" i="20"/>
  <c r="AK1259" i="20"/>
  <c r="AH1259" i="20"/>
  <c r="AE1259" i="20"/>
  <c r="AB1259" i="20"/>
  <c r="AF1259" i="20"/>
  <c r="AD1259" i="20"/>
  <c r="AA1259" i="20"/>
  <c r="AC1271" i="20"/>
  <c r="AK1271" i="20"/>
  <c r="AF1271" i="20"/>
  <c r="AJ1271" i="20"/>
  <c r="Y1271" i="20"/>
  <c r="AE1271" i="20"/>
  <c r="AI1271" i="20"/>
  <c r="AD1271" i="20"/>
  <c r="AG1271" i="20"/>
  <c r="Z1271" i="20"/>
  <c r="AB1271" i="20"/>
  <c r="AN1271" i="20"/>
  <c r="AI1283" i="20"/>
  <c r="Z1283" i="20"/>
  <c r="AK1283" i="20"/>
  <c r="AJ1283" i="20"/>
  <c r="AD1283" i="20"/>
  <c r="AL1283" i="20"/>
  <c r="AN1283" i="20"/>
  <c r="AF1283" i="20"/>
  <c r="AE1283" i="20"/>
  <c r="Y1283" i="20"/>
  <c r="AA1283" i="20"/>
  <c r="AB1283" i="20"/>
  <c r="AH1283" i="20"/>
  <c r="AC1283" i="20"/>
  <c r="AH1291" i="20"/>
  <c r="AK1291" i="20"/>
  <c r="AG1291" i="20"/>
  <c r="AA1291" i="20"/>
  <c r="AN1291" i="20"/>
  <c r="AC1291" i="20"/>
  <c r="AF1291" i="20"/>
  <c r="AJ1291" i="20"/>
  <c r="AL1291" i="20"/>
  <c r="AD1291" i="20"/>
  <c r="AB1291" i="20"/>
  <c r="Y1291" i="20"/>
  <c r="AG1303" i="20"/>
  <c r="AJ1303" i="20"/>
  <c r="AD1303" i="20"/>
  <c r="AF1303" i="20"/>
  <c r="AC1303" i="20"/>
  <c r="AL1303" i="20"/>
  <c r="AH1303" i="20"/>
  <c r="AK1303" i="20"/>
  <c r="AA1303" i="20"/>
  <c r="AE1303" i="20"/>
  <c r="Y1303" i="20"/>
  <c r="AI1303" i="20"/>
  <c r="Z1303" i="20"/>
  <c r="AB1303" i="20"/>
  <c r="AL1315" i="20"/>
  <c r="AH1315" i="20"/>
  <c r="AB1315" i="20"/>
  <c r="AC1315" i="20"/>
  <c r="AK1315" i="20"/>
  <c r="AE1315" i="20"/>
  <c r="AF1315" i="20"/>
  <c r="AD1315" i="20"/>
  <c r="AJ1315" i="20"/>
  <c r="AG1315" i="20"/>
  <c r="AN1315" i="20"/>
  <c r="AG1327" i="20"/>
  <c r="AB1327" i="20"/>
  <c r="AD1327" i="20"/>
  <c r="AK1327" i="20"/>
  <c r="AC1327" i="20"/>
  <c r="AH1327" i="20"/>
  <c r="AN1327" i="20"/>
  <c r="AJ1327" i="20"/>
  <c r="Y1327" i="20"/>
  <c r="AA1327" i="20"/>
  <c r="AI1327" i="20"/>
  <c r="AL1327" i="20"/>
  <c r="AE1327" i="20"/>
  <c r="AF1327" i="20"/>
  <c r="Z1327" i="20"/>
  <c r="AB1195" i="20"/>
  <c r="AA1203" i="20"/>
  <c r="AA1231" i="20"/>
  <c r="AH1239" i="20"/>
  <c r="AH1287" i="20"/>
  <c r="AT623" i="20"/>
  <c r="AA1067" i="20"/>
  <c r="Z1067" i="20"/>
  <c r="AE1059" i="20"/>
  <c r="AD1059" i="20"/>
  <c r="AA1006" i="20"/>
  <c r="AG1006" i="20"/>
  <c r="AH1006" i="20"/>
  <c r="AJ999" i="20"/>
  <c r="AG999" i="20"/>
  <c r="Z989" i="20"/>
  <c r="AK989" i="20"/>
  <c r="AG963" i="20"/>
  <c r="AC963" i="20"/>
  <c r="AD963" i="20"/>
  <c r="AE955" i="20"/>
  <c r="AI955" i="20"/>
  <c r="Z955" i="20"/>
  <c r="AD902" i="20"/>
  <c r="AK902" i="20"/>
  <c r="AC902" i="20"/>
  <c r="AE902" i="20"/>
  <c r="Z885" i="20"/>
  <c r="AC885" i="20"/>
  <c r="AF885" i="20"/>
  <c r="AA841" i="20"/>
  <c r="AK841" i="20"/>
  <c r="Z841" i="20"/>
  <c r="Y841" i="20"/>
  <c r="AD766" i="20"/>
  <c r="AL766" i="20"/>
  <c r="AF766" i="20"/>
  <c r="AB762" i="20"/>
  <c r="Y762" i="20"/>
  <c r="AG750" i="20"/>
  <c r="AK750" i="20"/>
  <c r="Y750" i="20"/>
  <c r="AI738" i="20"/>
  <c r="AD738" i="20"/>
  <c r="AL734" i="20"/>
  <c r="AE734" i="20"/>
  <c r="Z714" i="20"/>
  <c r="AK714" i="20"/>
  <c r="AF690" i="20"/>
  <c r="AA690" i="20"/>
  <c r="AH678" i="20"/>
  <c r="AB678" i="20"/>
  <c r="AK678" i="20"/>
  <c r="AJ662" i="20"/>
  <c r="AA662" i="20"/>
  <c r="Y662" i="20"/>
  <c r="AD662" i="20"/>
  <c r="AI658" i="20"/>
  <c r="AC658" i="20"/>
  <c r="Y658" i="20"/>
  <c r="AI650" i="20"/>
  <c r="AG650" i="20"/>
  <c r="AC650" i="20"/>
  <c r="AL646" i="20"/>
  <c r="AG646" i="20"/>
  <c r="AL614" i="20"/>
  <c r="AK614" i="20"/>
  <c r="AH610" i="20"/>
  <c r="AL610" i="20"/>
  <c r="AJ610" i="20"/>
  <c r="AD610" i="20"/>
  <c r="AD574" i="20"/>
  <c r="AG574" i="20"/>
  <c r="AF546" i="20"/>
  <c r="Z546" i="20"/>
  <c r="AA534" i="20"/>
  <c r="AF534" i="20"/>
  <c r="AD522" i="20"/>
  <c r="AG522" i="20"/>
  <c r="Z522" i="20"/>
  <c r="AL490" i="20"/>
  <c r="AA490" i="20"/>
  <c r="AJ474" i="20"/>
  <c r="AB474" i="20"/>
  <c r="AD470" i="20"/>
  <c r="AE470" i="20"/>
  <c r="AI470" i="20"/>
  <c r="AA458" i="20"/>
  <c r="AI458" i="20"/>
  <c r="AE458" i="20"/>
  <c r="AI454" i="20"/>
  <c r="AJ454" i="20"/>
  <c r="AL450" i="20"/>
  <c r="AI450" i="20"/>
  <c r="AL430" i="20"/>
  <c r="AN430" i="20"/>
  <c r="AF398" i="20"/>
  <c r="AJ398" i="20"/>
  <c r="AG382" i="20"/>
  <c r="AD382" i="20"/>
  <c r="AK250" i="20"/>
  <c r="AL250" i="20"/>
  <c r="AJ582" i="20"/>
  <c r="AJ915" i="20"/>
  <c r="AI841" i="20"/>
  <c r="AL814" i="20"/>
  <c r="AI706" i="20"/>
  <c r="AI1050" i="20"/>
  <c r="AI442" i="20"/>
  <c r="AJ338" i="20"/>
  <c r="AJ806" i="20"/>
  <c r="AL534" i="20"/>
  <c r="AI610" i="20"/>
  <c r="AJ818" i="20"/>
  <c r="AJ860" i="20"/>
  <c r="AB406" i="20"/>
  <c r="AJ750" i="20"/>
  <c r="AL782" i="20"/>
  <c r="AL999" i="20"/>
  <c r="AH742" i="20"/>
  <c r="AL406" i="20"/>
  <c r="AH915" i="20"/>
  <c r="AH969" i="20"/>
  <c r="AH754" i="20"/>
  <c r="AH959" i="20"/>
  <c r="AH386" i="20"/>
  <c r="AH698" i="20"/>
  <c r="AF742" i="20"/>
  <c r="AG923" i="20"/>
  <c r="AG690" i="20"/>
  <c r="AF902" i="20"/>
  <c r="AK690" i="20"/>
  <c r="Z1071" i="20"/>
  <c r="AE1055" i="20"/>
  <c r="Y454" i="20"/>
  <c r="Y570" i="20"/>
  <c r="AK211" i="20"/>
  <c r="AG1161" i="20"/>
  <c r="AL1267" i="20"/>
  <c r="AB1275" i="20"/>
  <c r="AI1315" i="20"/>
  <c r="Y1211" i="20"/>
  <c r="AI1171" i="20"/>
  <c r="AC1267" i="20"/>
  <c r="Y1287" i="20"/>
  <c r="Z1315" i="20"/>
  <c r="AN1335" i="20"/>
  <c r="AN1219" i="20"/>
  <c r="Z1199" i="20"/>
  <c r="AL1259" i="20"/>
  <c r="AI1291" i="20"/>
  <c r="AH1175" i="20"/>
  <c r="AI1195" i="20"/>
  <c r="AI1259" i="20"/>
  <c r="AE1291" i="20"/>
  <c r="AH1271" i="20"/>
  <c r="AF1161" i="20"/>
  <c r="AB1157" i="20"/>
  <c r="AJ1153" i="20"/>
  <c r="AN1153" i="20"/>
  <c r="AF1153" i="20"/>
  <c r="AA1153" i="20"/>
  <c r="AE1153" i="20"/>
  <c r="Z1153" i="20"/>
  <c r="Y1153" i="20"/>
  <c r="AG1153" i="20"/>
  <c r="AD1153" i="20"/>
  <c r="AC1153" i="20"/>
  <c r="AH1167" i="20"/>
  <c r="AF1167" i="20"/>
  <c r="Z1167" i="20"/>
  <c r="AK1167" i="20"/>
  <c r="AE1167" i="20"/>
  <c r="AJ1167" i="20"/>
  <c r="AI1167" i="20"/>
  <c r="AA1167" i="20"/>
  <c r="AC1167" i="20"/>
  <c r="AL1167" i="20"/>
  <c r="AD1167" i="20"/>
  <c r="AG1167" i="20"/>
  <c r="AB1167" i="20"/>
  <c r="AN1167" i="20"/>
  <c r="AH1183" i="20"/>
  <c r="AD1183" i="20"/>
  <c r="AE1183" i="20"/>
  <c r="AI1183" i="20"/>
  <c r="AA1183" i="20"/>
  <c r="AK1183" i="20"/>
  <c r="Y1183" i="20"/>
  <c r="AC1183" i="20"/>
  <c r="AL1183" i="20"/>
  <c r="AN1183" i="20"/>
  <c r="AF1183" i="20"/>
  <c r="AB1183" i="20"/>
  <c r="AH1199" i="20"/>
  <c r="AB1199" i="20"/>
  <c r="AF1199" i="20"/>
  <c r="AL1199" i="20"/>
  <c r="AC1199" i="20"/>
  <c r="AI1199" i="20"/>
  <c r="AN1199" i="20"/>
  <c r="AE1199" i="20"/>
  <c r="AJ1199" i="20"/>
  <c r="Y1199" i="20"/>
  <c r="AA1199" i="20"/>
  <c r="AK1199" i="20"/>
  <c r="AD1199" i="20"/>
  <c r="AG1211" i="20"/>
  <c r="AE1211" i="20"/>
  <c r="AI1211" i="20"/>
  <c r="AJ1211" i="20"/>
  <c r="Z1211" i="20"/>
  <c r="AC1211" i="20"/>
  <c r="AA1211" i="20"/>
  <c r="AF1211" i="20"/>
  <c r="AD1211" i="20"/>
  <c r="AB1211" i="20"/>
  <c r="AN1211" i="20"/>
  <c r="AL1211" i="20"/>
  <c r="AL1223" i="20"/>
  <c r="AG1223" i="20"/>
  <c r="AE1223" i="20"/>
  <c r="AI1223" i="20"/>
  <c r="AJ1223" i="20"/>
  <c r="AD1223" i="20"/>
  <c r="AF1223" i="20"/>
  <c r="AN1223" i="20"/>
  <c r="AB1223" i="20"/>
  <c r="Z1223" i="20"/>
  <c r="AA1223" i="20"/>
  <c r="Y1223" i="20"/>
  <c r="AC1223" i="20"/>
  <c r="AK1223" i="20"/>
  <c r="AH1223" i="20"/>
  <c r="AF1243" i="20"/>
  <c r="AJ1243" i="20"/>
  <c r="AE1243" i="20"/>
  <c r="AH1243" i="20"/>
  <c r="AL1243" i="20"/>
  <c r="AK1243" i="20"/>
  <c r="AC1243" i="20"/>
  <c r="AN1243" i="20"/>
  <c r="AB1243" i="20"/>
  <c r="AI1243" i="20"/>
  <c r="AA1243" i="20"/>
  <c r="Y1243" i="20"/>
  <c r="Z1243" i="20"/>
  <c r="AC1255" i="20"/>
  <c r="AH1255" i="20"/>
  <c r="AL1255" i="20"/>
  <c r="Y1255" i="20"/>
  <c r="AD1255" i="20"/>
  <c r="AK1255" i="20"/>
  <c r="AG1255" i="20"/>
  <c r="Z1255" i="20"/>
  <c r="AB1255" i="20"/>
  <c r="AE1255" i="20"/>
  <c r="AF1255" i="20"/>
  <c r="AJ1267" i="20"/>
  <c r="AN1267" i="20"/>
  <c r="Y1267" i="20"/>
  <c r="AG1267" i="20"/>
  <c r="AK1267" i="20"/>
  <c r="AI1267" i="20"/>
  <c r="Z1267" i="20"/>
  <c r="AA1267" i="20"/>
  <c r="AB1267" i="20"/>
  <c r="AF1267" i="20"/>
  <c r="AF1279" i="20"/>
  <c r="AD1279" i="20"/>
  <c r="Y1279" i="20"/>
  <c r="AG1279" i="20"/>
  <c r="AE1279" i="20"/>
  <c r="AH1279" i="20"/>
  <c r="AA1279" i="20"/>
  <c r="AN1279" i="20"/>
  <c r="AK1279" i="20"/>
  <c r="AI1279" i="20"/>
  <c r="AC1279" i="20"/>
  <c r="Z1279" i="20"/>
  <c r="AA1299" i="20"/>
  <c r="AF1299" i="20"/>
  <c r="AC1299" i="20"/>
  <c r="AN1299" i="20"/>
  <c r="AE1299" i="20"/>
  <c r="AL1299" i="20"/>
  <c r="AD1299" i="20"/>
  <c r="AI1299" i="20"/>
  <c r="AH1299" i="20"/>
  <c r="AK1299" i="20"/>
  <c r="AG1299" i="20"/>
  <c r="Y1299" i="20"/>
  <c r="Z1299" i="20"/>
  <c r="AF1311" i="20"/>
  <c r="AA1311" i="20"/>
  <c r="AJ1311" i="20"/>
  <c r="Y1311" i="20"/>
  <c r="Z1311" i="20"/>
  <c r="AN1311" i="20"/>
  <c r="AC1311" i="20"/>
  <c r="AH1311" i="20"/>
  <c r="AI1311" i="20"/>
  <c r="AG1311" i="20"/>
  <c r="AD1311" i="20"/>
  <c r="AK1311" i="20"/>
  <c r="AL1311" i="20"/>
  <c r="AE1311" i="20"/>
  <c r="AJ1323" i="20"/>
  <c r="AD1323" i="20"/>
  <c r="AB1323" i="20"/>
  <c r="AI1323" i="20"/>
  <c r="AE1323" i="20"/>
  <c r="AF1323" i="20"/>
  <c r="AN1323" i="20"/>
  <c r="AC1323" i="20"/>
  <c r="AK1323" i="20"/>
  <c r="AI1331" i="20"/>
  <c r="AN1331" i="20"/>
  <c r="AE1331" i="20"/>
  <c r="AL1331" i="20"/>
  <c r="Y1331" i="20"/>
  <c r="AG1331" i="20"/>
  <c r="AJ1331" i="20"/>
  <c r="Z1331" i="20"/>
  <c r="AA1331" i="20"/>
  <c r="AB1331" i="20"/>
  <c r="AD1331" i="20"/>
  <c r="AH1331" i="20"/>
  <c r="AK1331" i="20"/>
  <c r="AC1331" i="20"/>
  <c r="AA1207" i="20"/>
  <c r="AD1235" i="20"/>
  <c r="Y1323" i="20"/>
  <c r="AN1163" i="20"/>
  <c r="AG1243" i="20"/>
  <c r="AN1239" i="20"/>
  <c r="AL1323" i="20"/>
  <c r="AG1259" i="20"/>
  <c r="AK1295" i="20"/>
  <c r="AT462" i="20"/>
  <c r="AF1036" i="20"/>
  <c r="AB1036" i="20"/>
  <c r="AN1003" i="20"/>
  <c r="AK1003" i="20"/>
  <c r="AK994" i="20"/>
  <c r="AB994" i="20"/>
  <c r="Y985" i="20"/>
  <c r="AJ985" i="20"/>
  <c r="AB985" i="20"/>
  <c r="AF985" i="20"/>
  <c r="AD973" i="20"/>
  <c r="AB973" i="20"/>
  <c r="AD943" i="20"/>
  <c r="AJ943" i="20"/>
  <c r="AB889" i="20"/>
  <c r="AL889" i="20"/>
  <c r="Y889" i="20"/>
  <c r="Z889" i="20"/>
  <c r="AK889" i="20"/>
  <c r="AK871" i="20"/>
  <c r="Y871" i="20"/>
  <c r="AE847" i="20"/>
  <c r="AD847" i="20"/>
  <c r="AJ838" i="20"/>
  <c r="Y838" i="20"/>
  <c r="AH826" i="20"/>
  <c r="AG826" i="20"/>
  <c r="Z822" i="20"/>
  <c r="AB822" i="20"/>
  <c r="AC814" i="20"/>
  <c r="AG814" i="20"/>
  <c r="AN806" i="20"/>
  <c r="AB806" i="20"/>
  <c r="Y802" i="20"/>
  <c r="AC802" i="20"/>
  <c r="AJ794" i="20"/>
  <c r="AA794" i="20"/>
  <c r="AC794" i="20"/>
  <c r="AB794" i="20"/>
  <c r="AF790" i="20"/>
  <c r="Y790" i="20"/>
  <c r="AI790" i="20"/>
  <c r="AH770" i="20"/>
  <c r="Y770" i="20"/>
  <c r="AE710" i="20"/>
  <c r="AA710" i="20"/>
  <c r="AL710" i="20"/>
  <c r="Z654" i="20"/>
  <c r="AB654" i="20"/>
  <c r="AC654" i="20"/>
  <c r="AC626" i="20"/>
  <c r="AH626" i="20"/>
  <c r="Y560" i="20"/>
  <c r="AB560" i="20"/>
  <c r="AA564" i="20"/>
  <c r="AE564" i="20"/>
  <c r="AK550" i="20"/>
  <c r="AN550" i="20"/>
  <c r="Y550" i="20"/>
  <c r="AF510" i="20"/>
  <c r="AA510" i="20"/>
  <c r="AL510" i="20"/>
  <c r="Y494" i="20"/>
  <c r="AG494" i="20"/>
  <c r="AL426" i="20"/>
  <c r="AJ426" i="20"/>
  <c r="AI410" i="20"/>
  <c r="AJ410" i="20"/>
  <c r="AH390" i="20"/>
  <c r="AD390" i="20"/>
  <c r="AE362" i="20"/>
  <c r="AL362" i="20"/>
  <c r="AE350" i="20"/>
  <c r="AB350" i="20"/>
  <c r="AH350" i="20"/>
  <c r="AB322" i="20"/>
  <c r="Z322" i="20"/>
  <c r="AD322" i="20"/>
  <c r="AL322" i="20"/>
  <c r="AH246" i="20"/>
  <c r="AJ246" i="20"/>
  <c r="Z226" i="20"/>
  <c r="AJ226" i="20"/>
  <c r="AT683" i="20"/>
  <c r="AL955" i="20"/>
  <c r="AJ594" i="20"/>
  <c r="AJ506" i="20"/>
  <c r="AI378" i="20"/>
  <c r="AI498" i="20"/>
  <c r="AI462" i="20"/>
  <c r="AI404" i="20"/>
  <c r="AI618" i="20"/>
  <c r="AI989" i="20"/>
  <c r="AJ730" i="20"/>
  <c r="AL915" i="20"/>
  <c r="AL330" i="20"/>
  <c r="AI522" i="20"/>
  <c r="AJ211" i="20"/>
  <c r="AJ1043" i="20"/>
  <c r="AL963" i="20"/>
  <c r="AH630" i="20"/>
  <c r="AJ898" i="20"/>
  <c r="AJ690" i="20"/>
  <c r="AL338" i="20"/>
  <c r="AL898" i="20"/>
  <c r="AL714" i="20"/>
  <c r="AL802" i="20"/>
  <c r="AH910" i="20"/>
  <c r="AG398" i="20"/>
  <c r="AH1003" i="20"/>
  <c r="AH790" i="20"/>
  <c r="AH834" i="20"/>
  <c r="AH927" i="20"/>
  <c r="AH994" i="20"/>
  <c r="AH560" i="20"/>
  <c r="AH382" i="20"/>
  <c r="AB750" i="20"/>
  <c r="AE510" i="20"/>
  <c r="AE834" i="20"/>
  <c r="AG662" i="20"/>
  <c r="AG806" i="20"/>
  <c r="AF637" i="20"/>
  <c r="AF678" i="20"/>
  <c r="AC637" i="20"/>
  <c r="AK1036" i="20"/>
  <c r="AK730" i="20"/>
  <c r="AK514" i="20"/>
  <c r="Z354" i="20"/>
  <c r="AA1161" i="20"/>
  <c r="AN1303" i="20"/>
  <c r="AJ1231" i="20"/>
  <c r="AN1247" i="20"/>
  <c r="AD1149" i="20"/>
  <c r="AA1323" i="20"/>
  <c r="AN1275" i="20"/>
  <c r="AF1331" i="20"/>
  <c r="AL1203" i="20"/>
  <c r="AA1239" i="20"/>
  <c r="AH1153" i="20"/>
  <c r="AA1319" i="20"/>
  <c r="AL1271" i="20"/>
  <c r="AF1171" i="20"/>
  <c r="AB1203" i="20"/>
  <c r="Z1203" i="20"/>
  <c r="AJ1299" i="20"/>
  <c r="AN1187" i="20"/>
  <c r="AC1149" i="20"/>
  <c r="AI1207" i="20"/>
  <c r="AB1279" i="20"/>
  <c r="Z1183" i="20"/>
  <c r="AN1255" i="20"/>
  <c r="AF1231" i="20"/>
  <c r="AB1153" i="20"/>
  <c r="AG1275" i="20"/>
  <c r="AL1279" i="20"/>
  <c r="AF1295" i="20"/>
  <c r="AI1255" i="20"/>
  <c r="AK1231" i="20"/>
  <c r="AH1335" i="20"/>
  <c r="AF1227" i="20"/>
  <c r="AF1076" i="20"/>
  <c r="AJ1072" i="20"/>
  <c r="AA1060" i="20"/>
  <c r="AH1056" i="20"/>
  <c r="AG1051" i="20"/>
  <c r="AB1044" i="20"/>
  <c r="AF1039" i="20"/>
  <c r="AJ1012" i="20"/>
  <c r="AL1007" i="20"/>
  <c r="AA990" i="20"/>
  <c r="AD981" i="20"/>
  <c r="AA970" i="20"/>
  <c r="Z966" i="20"/>
  <c r="AB960" i="20"/>
  <c r="AL948" i="20"/>
  <c r="AI944" i="20"/>
  <c r="AH940" i="20"/>
  <c r="AD936" i="20"/>
  <c r="AL928" i="20"/>
  <c r="AJ911" i="20"/>
  <c r="AA903" i="20"/>
  <c r="AB895" i="20"/>
  <c r="AB890" i="20"/>
  <c r="AB886" i="20"/>
  <c r="AG882" i="20"/>
  <c r="AL878" i="20"/>
  <c r="Y868" i="20"/>
  <c r="AH864" i="20"/>
  <c r="AL848" i="20"/>
  <c r="AL842" i="20"/>
  <c r="AA835" i="20"/>
  <c r="AK831" i="20"/>
  <c r="AI827" i="20"/>
  <c r="AI823" i="20"/>
  <c r="AK811" i="20"/>
  <c r="AJ803" i="20"/>
  <c r="AC791" i="20"/>
  <c r="AJ787" i="20"/>
  <c r="AJ779" i="20"/>
  <c r="Y759" i="20"/>
  <c r="AI755" i="20"/>
  <c r="G31" i="86"/>
  <c r="AJ747" i="20"/>
  <c r="AI743" i="20"/>
  <c r="AD719" i="20"/>
  <c r="AL699" i="20"/>
  <c r="AC691" i="20"/>
  <c r="AL687" i="20"/>
  <c r="AJ683" i="20"/>
  <c r="AE679" i="20"/>
  <c r="AG671" i="20"/>
  <c r="AH667" i="20"/>
  <c r="AB659" i="20"/>
  <c r="AJ655" i="20"/>
  <c r="AB647" i="20"/>
  <c r="AH638" i="20"/>
  <c r="AI642" i="20"/>
  <c r="AH627" i="20"/>
  <c r="AA623" i="20"/>
  <c r="AT1323" i="20"/>
  <c r="AK1048" i="20"/>
  <c r="AI963" i="20"/>
  <c r="AK722" i="20"/>
  <c r="AF682" i="20"/>
  <c r="AB506" i="20"/>
  <c r="AA470" i="20"/>
  <c r="Z458" i="20"/>
  <c r="AE262" i="20"/>
  <c r="AG258" i="20"/>
  <c r="AD230" i="20"/>
  <c r="Y151" i="20"/>
  <c r="Z952" i="20"/>
  <c r="AB952" i="20"/>
  <c r="AD952" i="20"/>
  <c r="AF952" i="20"/>
  <c r="AH952" i="20"/>
  <c r="AJ952" i="20"/>
  <c r="AL952" i="20"/>
  <c r="AN952" i="20"/>
  <c r="Y1026" i="20"/>
  <c r="AA1026" i="20"/>
  <c r="AC1026" i="20"/>
  <c r="AE1026" i="20"/>
  <c r="AG1026" i="20"/>
  <c r="AK1026" i="20"/>
  <c r="Z1026" i="20"/>
  <c r="AB1026" i="20"/>
  <c r="AD1026" i="20"/>
  <c r="AF1026" i="20"/>
  <c r="AH1026" i="20"/>
  <c r="AJ1026" i="20"/>
  <c r="AL1026" i="20"/>
  <c r="AN1026" i="20"/>
  <c r="AI1026" i="20"/>
  <c r="Y952" i="20"/>
  <c r="AA952" i="20"/>
  <c r="AC952" i="20"/>
  <c r="AE952" i="20"/>
  <c r="AG952" i="20"/>
  <c r="AI952" i="20"/>
  <c r="AK952" i="20"/>
  <c r="AE1112" i="20"/>
  <c r="AF1077" i="20"/>
  <c r="Y1065" i="20"/>
  <c r="AH1061" i="20"/>
  <c r="AK1052" i="20"/>
  <c r="AB1053" i="20"/>
  <c r="AH1018" i="20"/>
  <c r="AK1009" i="20"/>
  <c r="AI1005" i="20"/>
  <c r="AK996" i="20"/>
  <c r="Z992" i="20"/>
  <c r="Y987" i="20"/>
  <c r="AG982" i="20"/>
  <c r="AK979" i="20"/>
  <c r="AB975" i="20"/>
  <c r="AG971" i="20"/>
  <c r="AA967" i="20"/>
  <c r="AH957" i="20"/>
  <c r="AF945" i="20"/>
  <c r="Z937" i="20"/>
  <c r="AC933" i="20"/>
  <c r="AL925" i="20"/>
  <c r="AG917" i="20"/>
  <c r="AF912" i="20"/>
  <c r="Y908" i="20"/>
  <c r="AH904" i="20"/>
  <c r="AG900" i="20"/>
  <c r="AH891" i="20"/>
  <c r="AJ879" i="20"/>
  <c r="AH869" i="20"/>
  <c r="AI858" i="20"/>
  <c r="AJ849" i="20"/>
  <c r="AB843" i="20"/>
  <c r="AK836" i="20"/>
  <c r="AL832" i="20"/>
  <c r="AI828" i="20"/>
  <c r="AE824" i="20"/>
  <c r="AH820" i="20"/>
  <c r="AJ816" i="20"/>
  <c r="AK812" i="20"/>
  <c r="AC808" i="20"/>
  <c r="AF800" i="20"/>
  <c r="AJ796" i="20"/>
  <c r="AA792" i="20"/>
  <c r="AD788" i="20"/>
  <c r="AK784" i="20"/>
  <c r="AK780" i="20"/>
  <c r="AJ776" i="20"/>
  <c r="AL772" i="20"/>
  <c r="AH768" i="20"/>
  <c r="AA764" i="20"/>
  <c r="AD760" i="20"/>
  <c r="AE752" i="20"/>
  <c r="AJ740" i="20"/>
  <c r="Y736" i="20"/>
  <c r="AJ732" i="20"/>
  <c r="AJ724" i="20"/>
  <c r="Y720" i="20"/>
  <c r="AC716" i="20"/>
  <c r="AE712" i="20"/>
  <c r="AJ700" i="20"/>
  <c r="AL688" i="20"/>
  <c r="AD672" i="20"/>
  <c r="AH664" i="20"/>
  <c r="AH656" i="20"/>
  <c r="AC648" i="20"/>
  <c r="AC639" i="20"/>
  <c r="AH635" i="20"/>
  <c r="AG620" i="20"/>
  <c r="AN612" i="20"/>
  <c r="Z584" i="20"/>
  <c r="AG580" i="20"/>
  <c r="AK572" i="20"/>
  <c r="AK568" i="20"/>
  <c r="Z552" i="20"/>
  <c r="Z548" i="20"/>
  <c r="AG544" i="20"/>
  <c r="Z540" i="20"/>
  <c r="AF536" i="20"/>
  <c r="Y532" i="20"/>
  <c r="AC524" i="20"/>
  <c r="AJ516" i="20"/>
  <c r="AI512" i="20"/>
  <c r="AL508" i="20"/>
  <c r="AD500" i="20"/>
  <c r="AI557" i="20"/>
  <c r="AL492" i="20"/>
  <c r="AB488" i="20"/>
  <c r="AH480" i="20"/>
  <c r="AI476" i="20"/>
  <c r="AL472" i="20"/>
  <c r="AJ468" i="20"/>
  <c r="AL460" i="20"/>
  <c r="AG456" i="20"/>
  <c r="AJ452" i="20"/>
  <c r="AF436" i="20"/>
  <c r="AH416" i="20"/>
  <c r="AL411" i="20"/>
  <c r="AH400" i="20"/>
  <c r="AD393" i="20"/>
  <c r="AL392" i="20"/>
  <c r="AI387" i="20"/>
  <c r="AI384" i="20"/>
  <c r="AI376" i="20"/>
  <c r="AD372" i="20"/>
  <c r="AA364" i="20"/>
  <c r="AH356" i="20"/>
  <c r="AI352" i="20"/>
  <c r="AA340" i="20"/>
  <c r="AJ336" i="20"/>
  <c r="AH332" i="20"/>
  <c r="AL328" i="20"/>
  <c r="Y320" i="20"/>
  <c r="AD312" i="20"/>
  <c r="AI288" i="20"/>
  <c r="AG276" i="20"/>
  <c r="AA268" i="20"/>
  <c r="AL264" i="20"/>
  <c r="Y244" i="20"/>
  <c r="AH236" i="20"/>
  <c r="AL209" i="20"/>
  <c r="AD205" i="20"/>
  <c r="AH193" i="20"/>
  <c r="AG159" i="20"/>
  <c r="AI1066" i="20"/>
  <c r="AG1058" i="20"/>
  <c r="AH1046" i="20"/>
  <c r="AA1019" i="20"/>
  <c r="AJ934" i="20"/>
  <c r="AE918" i="20"/>
  <c r="AE855" i="20"/>
  <c r="AE813" i="20"/>
  <c r="AL709" i="20"/>
  <c r="AH681" i="20"/>
  <c r="AJ665" i="20"/>
  <c r="AC657" i="20"/>
  <c r="AE621" i="20"/>
  <c r="AE505" i="20"/>
  <c r="Y453" i="20"/>
  <c r="Z445" i="20"/>
  <c r="AL437" i="20"/>
  <c r="AC429" i="20"/>
  <c r="AA403" i="20"/>
  <c r="AF397" i="20"/>
  <c r="AH381" i="20"/>
  <c r="AJ353" i="20"/>
  <c r="H133" i="86"/>
  <c r="K133" i="86"/>
  <c r="AF345" i="20"/>
  <c r="AI245" i="20"/>
  <c r="AJ54" i="20"/>
  <c r="AF913" i="20"/>
  <c r="AF1028" i="20"/>
  <c r="AF1030" i="20"/>
  <c r="AF1035" i="20"/>
  <c r="AB1015" i="20"/>
  <c r="AB119" i="20"/>
  <c r="AN1155" i="20"/>
  <c r="AB1169" i="20"/>
  <c r="AB1173" i="20"/>
  <c r="AI1189" i="20"/>
  <c r="AA1201" i="20"/>
  <c r="AH1209" i="20"/>
  <c r="AB1217" i="20"/>
  <c r="AJ1221" i="20"/>
  <c r="AA1241" i="20"/>
  <c r="Y1249" i="20"/>
  <c r="AL1253" i="20"/>
  <c r="Z1257" i="20"/>
  <c r="AI1261" i="20"/>
  <c r="AE1277" i="20"/>
  <c r="AL1281" i="20"/>
  <c r="AN1289" i="20"/>
  <c r="AK1297" i="20"/>
  <c r="AG1305" i="20"/>
  <c r="AI1313" i="20"/>
  <c r="AG1321" i="20"/>
  <c r="AG1325" i="20"/>
  <c r="Y1329" i="20"/>
  <c r="AG1333" i="20"/>
  <c r="AN51" i="20"/>
  <c r="AD991" i="20"/>
  <c r="AK1031" i="20"/>
  <c r="AJ893" i="20"/>
  <c r="AL965" i="20"/>
  <c r="AN873" i="20"/>
  <c r="AH862" i="20"/>
  <c r="AN144" i="20"/>
  <c r="AC132" i="20"/>
  <c r="AB142" i="20"/>
  <c r="AH222" i="20"/>
  <c r="AC74" i="20"/>
  <c r="Y77" i="20"/>
  <c r="AL49" i="20"/>
  <c r="AG121" i="20"/>
  <c r="AL176" i="20"/>
  <c r="AA619" i="20"/>
  <c r="AJ611" i="20"/>
  <c r="AJ607" i="20"/>
  <c r="AJ598" i="20"/>
  <c r="AC595" i="20"/>
  <c r="AJ587" i="20"/>
  <c r="AJ579" i="20"/>
  <c r="Y567" i="20"/>
  <c r="AE561" i="20"/>
  <c r="AE551" i="20"/>
  <c r="AL539" i="20"/>
  <c r="AL523" i="20"/>
  <c r="AJ503" i="20"/>
  <c r="AF499" i="20"/>
  <c r="AH556" i="20"/>
  <c r="AD491" i="20"/>
  <c r="AH487" i="20"/>
  <c r="AH483" i="20"/>
  <c r="AL475" i="20"/>
  <c r="AH471" i="20"/>
  <c r="AJ467" i="20"/>
  <c r="AJ463" i="20"/>
  <c r="AL447" i="20"/>
  <c r="AJ443" i="20"/>
  <c r="AI439" i="20"/>
  <c r="Z435" i="20"/>
  <c r="AH431" i="20"/>
  <c r="AD427" i="20"/>
  <c r="AB423" i="20"/>
  <c r="AJ407" i="20"/>
  <c r="AE395" i="20"/>
  <c r="AL391" i="20"/>
  <c r="AD388" i="20"/>
  <c r="AG371" i="20"/>
  <c r="AH367" i="20"/>
  <c r="AH359" i="20"/>
  <c r="AL319" i="20"/>
  <c r="AH275" i="20"/>
  <c r="AH247" i="20"/>
  <c r="AH239" i="20"/>
  <c r="AL231" i="20"/>
  <c r="AF223" i="20"/>
  <c r="AN1158" i="20"/>
  <c r="AF1150" i="20"/>
  <c r="AH1166" i="20"/>
  <c r="Z1174" i="20"/>
  <c r="AA1182" i="20"/>
  <c r="Z1190" i="20"/>
  <c r="AK1198" i="20"/>
  <c r="AL1214" i="20"/>
  <c r="AD1222" i="20"/>
  <c r="AD1230" i="20"/>
  <c r="AB1246" i="20"/>
  <c r="AF1262" i="20"/>
  <c r="AC1270" i="20"/>
  <c r="AL1278" i="20"/>
  <c r="AI1286" i="20"/>
  <c r="AN1294" i="20"/>
  <c r="AE1302" i="20"/>
  <c r="AG1310" i="20"/>
  <c r="AF1318" i="20"/>
  <c r="AI1326" i="20"/>
  <c r="AA1338" i="20"/>
  <c r="Z998" i="20"/>
  <c r="AC1029" i="20"/>
  <c r="AB861" i="20"/>
  <c r="AG1024" i="20"/>
  <c r="AJ950" i="20"/>
  <c r="AH1025" i="20"/>
  <c r="AC1014" i="20"/>
  <c r="AN845" i="20"/>
  <c r="Y63" i="20"/>
  <c r="Y850" i="20"/>
  <c r="AI216" i="20"/>
  <c r="AF73" i="20"/>
  <c r="Y128" i="20"/>
  <c r="AK219" i="20"/>
  <c r="AF67" i="20"/>
  <c r="AJ220" i="20"/>
  <c r="AJ135" i="20"/>
  <c r="AF50" i="20"/>
  <c r="AL138" i="20"/>
  <c r="AH140" i="20"/>
  <c r="Z60" i="20"/>
  <c r="AB61" i="20"/>
  <c r="AF916" i="20"/>
  <c r="AJ916" i="20"/>
  <c r="AC1162" i="20"/>
  <c r="AL1162" i="20"/>
  <c r="AI1162" i="20"/>
  <c r="Y1162" i="20"/>
  <c r="AN1162" i="20"/>
  <c r="AG1162" i="20"/>
  <c r="AF1162" i="20"/>
  <c r="AK1162" i="20"/>
  <c r="AD1162" i="20"/>
  <c r="AJ1162" i="20"/>
  <c r="AA1162" i="20"/>
  <c r="AN1154" i="20"/>
  <c r="AB1154" i="20"/>
  <c r="AF1154" i="20"/>
  <c r="AH1154" i="20"/>
  <c r="AA1154" i="20"/>
  <c r="AD1154" i="20"/>
  <c r="Y1154" i="20"/>
  <c r="AL1154" i="20"/>
  <c r="AI1154" i="20"/>
  <c r="AJ1154" i="20"/>
  <c r="AE1154" i="20"/>
  <c r="AC1154" i="20"/>
  <c r="AK1146" i="20"/>
  <c r="AH1146" i="20"/>
  <c r="AA1146" i="20"/>
  <c r="AE1146" i="20"/>
  <c r="Z1146" i="20"/>
  <c r="AD1146" i="20"/>
  <c r="AC1146" i="20"/>
  <c r="Y1146" i="20"/>
  <c r="AG1146" i="20"/>
  <c r="AJ1146" i="20"/>
  <c r="AF1146" i="20"/>
  <c r="AL1146" i="20"/>
  <c r="AB1146" i="20"/>
  <c r="AI1146" i="20"/>
  <c r="AA1170" i="20"/>
  <c r="AG1170" i="20"/>
  <c r="AB1170" i="20"/>
  <c r="AH1170" i="20"/>
  <c r="Z1170" i="20"/>
  <c r="AE1170" i="20"/>
  <c r="AD1170" i="20"/>
  <c r="AK1170" i="20"/>
  <c r="AG1178" i="20"/>
  <c r="AJ1178" i="20"/>
  <c r="AI1178" i="20"/>
  <c r="AA1178" i="20"/>
  <c r="AB1178" i="20"/>
  <c r="AK1178" i="20"/>
  <c r="Y1178" i="20"/>
  <c r="Z1186" i="20"/>
  <c r="AF1186" i="20"/>
  <c r="Y1186" i="20"/>
  <c r="AD1186" i="20"/>
  <c r="AJ1186" i="20"/>
  <c r="AH1186" i="20"/>
  <c r="AC1186" i="20"/>
  <c r="AB1186" i="20"/>
  <c r="AK1186" i="20"/>
  <c r="AL1186" i="20"/>
  <c r="AE1194" i="20"/>
  <c r="AD1194" i="20"/>
  <c r="AJ1194" i="20"/>
  <c r="AL1194" i="20"/>
  <c r="AK1194" i="20"/>
  <c r="AB1194" i="20"/>
  <c r="AA1194" i="20"/>
  <c r="Z1202" i="20"/>
  <c r="AB1202" i="20"/>
  <c r="AK1202" i="20"/>
  <c r="Y1202" i="20"/>
  <c r="AF1202" i="20"/>
  <c r="AJ1202" i="20"/>
  <c r="AA1202" i="20"/>
  <c r="AH1202" i="20"/>
  <c r="AL1210" i="20"/>
  <c r="AE1210" i="20"/>
  <c r="AJ1210" i="20"/>
  <c r="AN1210" i="20"/>
  <c r="AA1210" i="20"/>
  <c r="AC1210" i="20"/>
  <c r="AK1210" i="20"/>
  <c r="AI1210" i="20"/>
  <c r="Y1218" i="20"/>
  <c r="AA1218" i="20"/>
  <c r="AF1218" i="20"/>
  <c r="AL1218" i="20"/>
  <c r="AE1218" i="20"/>
  <c r="AN1218" i="20"/>
  <c r="AC1218" i="20"/>
  <c r="AK1226" i="20"/>
  <c r="AJ1226" i="20"/>
  <c r="AD1226" i="20"/>
  <c r="AC1226" i="20"/>
  <c r="AE1226" i="20"/>
  <c r="AN1226" i="20"/>
  <c r="Y1226" i="20"/>
  <c r="Y1234" i="20"/>
  <c r="AG1234" i="20"/>
  <c r="AC1234" i="20"/>
  <c r="AH1234" i="20"/>
  <c r="AB1234" i="20"/>
  <c r="AD1234" i="20"/>
  <c r="AJ1234" i="20"/>
  <c r="AA1234" i="20"/>
  <c r="AF1234" i="20"/>
  <c r="AE1234" i="20"/>
  <c r="AI1234" i="20"/>
  <c r="AN1234" i="20"/>
  <c r="AK1242" i="20"/>
  <c r="AL1242" i="20"/>
  <c r="AN1242" i="20"/>
  <c r="Z1242" i="20"/>
  <c r="AB1242" i="20"/>
  <c r="AH1242" i="20"/>
  <c r="Y1242" i="20"/>
  <c r="AF1250" i="20"/>
  <c r="AD1250" i="20"/>
  <c r="AB1250" i="20"/>
  <c r="AN1250" i="20"/>
  <c r="Z1250" i="20"/>
  <c r="Y1250" i="20"/>
  <c r="AC1250" i="20"/>
  <c r="AJ1250" i="20"/>
  <c r="AI1250" i="20"/>
  <c r="AD1258" i="20"/>
  <c r="AC1258" i="20"/>
  <c r="AN1258" i="20"/>
  <c r="AF1258" i="20"/>
  <c r="Y1258" i="20"/>
  <c r="AH1258" i="20"/>
  <c r="AG1258" i="20"/>
  <c r="AJ1258" i="20"/>
  <c r="AA1266" i="20"/>
  <c r="AH1266" i="20"/>
  <c r="AN1266" i="20"/>
  <c r="AE1266" i="20"/>
  <c r="AB1266" i="20"/>
  <c r="Z1266" i="20"/>
  <c r="AF1266" i="20"/>
  <c r="AC1274" i="20"/>
  <c r="AN1274" i="20"/>
  <c r="AB1274" i="20"/>
  <c r="AL1274" i="20"/>
  <c r="AG1274" i="20"/>
  <c r="AI1274" i="20"/>
  <c r="AA1274" i="20"/>
  <c r="AA1282" i="20"/>
  <c r="AB1282" i="20"/>
  <c r="AG1282" i="20"/>
  <c r="AE1282" i="20"/>
  <c r="Z1282" i="20"/>
  <c r="AK1282" i="20"/>
  <c r="AF1282" i="20"/>
  <c r="AL1282" i="20"/>
  <c r="AH1282" i="20"/>
  <c r="AG1290" i="20"/>
  <c r="AF1290" i="20"/>
  <c r="AD1290" i="20"/>
  <c r="AN1290" i="20"/>
  <c r="Z1290" i="20"/>
  <c r="AK1290" i="20"/>
  <c r="AC1290" i="20"/>
  <c r="AH1290" i="20"/>
  <c r="AA1290" i="20"/>
  <c r="Y1298" i="20"/>
  <c r="AB1298" i="20"/>
  <c r="AL1298" i="20"/>
  <c r="AJ1298" i="20"/>
  <c r="AC1298" i="20"/>
  <c r="AG1298" i="20"/>
  <c r="AE1298" i="20"/>
  <c r="AA1298" i="20"/>
  <c r="AK1298" i="20"/>
  <c r="AH1306" i="20"/>
  <c r="Y1306" i="20"/>
  <c r="AE1306" i="20"/>
  <c r="AC1306" i="20"/>
  <c r="AB1306" i="20"/>
  <c r="Z1306" i="20"/>
  <c r="AL1306" i="20"/>
  <c r="AJ1306" i="20"/>
  <c r="AK1314" i="20"/>
  <c r="AF1314" i="20"/>
  <c r="AC1314" i="20"/>
  <c r="Y1314" i="20"/>
  <c r="Z1314" i="20"/>
  <c r="AD1314" i="20"/>
  <c r="AB1314" i="20"/>
  <c r="AJ1314" i="20"/>
  <c r="AG1314" i="20"/>
  <c r="AA1314" i="20"/>
  <c r="AE1314" i="20"/>
  <c r="AI1314" i="20"/>
  <c r="AL1314" i="20"/>
  <c r="AC1322" i="20"/>
  <c r="AJ1322" i="20"/>
  <c r="AA1322" i="20"/>
  <c r="Y1322" i="20"/>
  <c r="Z1322" i="20"/>
  <c r="AK1322" i="20"/>
  <c r="AG1322" i="20"/>
  <c r="AF1322" i="20"/>
  <c r="AC1330" i="20"/>
  <c r="AB1330" i="20"/>
  <c r="AK1330" i="20"/>
  <c r="Z1330" i="20"/>
  <c r="AE1330" i="20"/>
  <c r="AA1330" i="20"/>
  <c r="AE1334" i="20"/>
  <c r="Z1334" i="20"/>
  <c r="AN1334" i="20"/>
  <c r="AF1334" i="20"/>
  <c r="AI1334" i="20"/>
  <c r="AH1334" i="20"/>
  <c r="AA1334" i="20"/>
  <c r="AL1334" i="20"/>
  <c r="Y1334" i="20"/>
  <c r="AC1334" i="20"/>
  <c r="AG1222" i="20"/>
  <c r="Y1210" i="20"/>
  <c r="AI1318" i="20"/>
  <c r="AH1222" i="20"/>
  <c r="AD1274" i="20"/>
  <c r="AF1274" i="20"/>
  <c r="AE1326" i="20"/>
  <c r="AL1258" i="20"/>
  <c r="AA1230" i="20"/>
  <c r="AL1338" i="20"/>
  <c r="AG1226" i="20"/>
  <c r="Z1274" i="20"/>
  <c r="AD1266" i="20"/>
  <c r="AA1226" i="20"/>
  <c r="AL1246" i="20"/>
  <c r="AF1194" i="20"/>
  <c r="AN1262" i="20"/>
  <c r="AG1306" i="20"/>
  <c r="AE1290" i="20"/>
  <c r="AK1338" i="20"/>
  <c r="AF1210" i="20"/>
  <c r="AA1306" i="20"/>
  <c r="AI1258" i="20"/>
  <c r="AI1246" i="20"/>
  <c r="AL1250" i="20"/>
  <c r="Y1282" i="20"/>
  <c r="AD1330" i="20"/>
  <c r="Z1210" i="20"/>
  <c r="AK1278" i="20"/>
  <c r="AH1182" i="20"/>
  <c r="AG1218" i="20"/>
  <c r="AB1210" i="20"/>
  <c r="AI1330" i="20"/>
  <c r="AN1298" i="20"/>
  <c r="AE1262" i="20"/>
  <c r="AH1218" i="20"/>
  <c r="Z1278" i="20"/>
  <c r="AH1210" i="20"/>
  <c r="AC1170" i="20"/>
  <c r="AE1250" i="20"/>
  <c r="AL1330" i="20"/>
  <c r="AN1302" i="20"/>
  <c r="AJ1218" i="20"/>
  <c r="AE1274" i="20"/>
  <c r="AB1270" i="20"/>
  <c r="AN1194" i="20"/>
  <c r="AB1334" i="20"/>
  <c r="Z1234" i="20"/>
  <c r="AH1162" i="20"/>
  <c r="AE1162" i="20"/>
  <c r="AB1218" i="20"/>
  <c r="Y1170" i="20"/>
  <c r="AB1158" i="20"/>
  <c r="AI1158" i="20"/>
  <c r="AE1158" i="20"/>
  <c r="AL1158" i="20"/>
  <c r="AC1158" i="20"/>
  <c r="Y1158" i="20"/>
  <c r="AD1158" i="20"/>
  <c r="AH1158" i="20"/>
  <c r="AF1158" i="20"/>
  <c r="AI1150" i="20"/>
  <c r="AB1150" i="20"/>
  <c r="AH1150" i="20"/>
  <c r="Y1150" i="20"/>
  <c r="AG1150" i="20"/>
  <c r="AC1150" i="20"/>
  <c r="AN1150" i="20"/>
  <c r="AA1150" i="20"/>
  <c r="AK1150" i="20"/>
  <c r="Z1150" i="20"/>
  <c r="AL1150" i="20"/>
  <c r="AD1150" i="20"/>
  <c r="AJ1150" i="20"/>
  <c r="AC1166" i="20"/>
  <c r="AA1166" i="20"/>
  <c r="AJ1166" i="20"/>
  <c r="AN1166" i="20"/>
  <c r="AB1166" i="20"/>
  <c r="AG1166" i="20"/>
  <c r="Z1166" i="20"/>
  <c r="AI1166" i="20"/>
  <c r="AE1166" i="20"/>
  <c r="AI1174" i="20"/>
  <c r="AN1174" i="20"/>
  <c r="AG1174" i="20"/>
  <c r="AJ1174" i="20"/>
  <c r="AD1174" i="20"/>
  <c r="AK1174" i="20"/>
  <c r="AL1174" i="20"/>
  <c r="AE1174" i="20"/>
  <c r="AC1174" i="20"/>
  <c r="Y1174" i="20"/>
  <c r="Y1182" i="20"/>
  <c r="AL1182" i="20"/>
  <c r="AE1182" i="20"/>
  <c r="AF1182" i="20"/>
  <c r="AG1182" i="20"/>
  <c r="AN1182" i="20"/>
  <c r="AC1190" i="20"/>
  <c r="AL1190" i="20"/>
  <c r="Y1190" i="20"/>
  <c r="AK1190" i="20"/>
  <c r="AJ1190" i="20"/>
  <c r="AA1190" i="20"/>
  <c r="AF1190" i="20"/>
  <c r="AN1190" i="20"/>
  <c r="AG1190" i="20"/>
  <c r="AA1198" i="20"/>
  <c r="AB1198" i="20"/>
  <c r="Y1198" i="20"/>
  <c r="AI1198" i="20"/>
  <c r="AC1198" i="20"/>
  <c r="AN1198" i="20"/>
  <c r="AL1198" i="20"/>
  <c r="Z1198" i="20"/>
  <c r="AG1198" i="20"/>
  <c r="AF1198" i="20"/>
  <c r="Y1206" i="20"/>
  <c r="AG1206" i="20"/>
  <c r="AH1206" i="20"/>
  <c r="AE1206" i="20"/>
  <c r="AC1206" i="20"/>
  <c r="AD1206" i="20"/>
  <c r="AK1206" i="20"/>
  <c r="AB1206" i="20"/>
  <c r="Z1206" i="20"/>
  <c r="AN1206" i="20"/>
  <c r="AI1214" i="20"/>
  <c r="Y1214" i="20"/>
  <c r="AB1214" i="20"/>
  <c r="AC1214" i="20"/>
  <c r="AH1214" i="20"/>
  <c r="AJ1214" i="20"/>
  <c r="Z1214" i="20"/>
  <c r="AD1214" i="20"/>
  <c r="AF1214" i="20"/>
  <c r="AI1222" i="20"/>
  <c r="Y1222" i="20"/>
  <c r="AJ1222" i="20"/>
  <c r="AK1222" i="20"/>
  <c r="AE1222" i="20"/>
  <c r="Z1222" i="20"/>
  <c r="AA1222" i="20"/>
  <c r="AL1222" i="20"/>
  <c r="AL1230" i="20"/>
  <c r="AJ1230" i="20"/>
  <c r="AG1230" i="20"/>
  <c r="AB1230" i="20"/>
  <c r="AC1230" i="20"/>
  <c r="Y1230" i="20"/>
  <c r="AF1230" i="20"/>
  <c r="Z1230" i="20"/>
  <c r="AE1230" i="20"/>
  <c r="AI1230" i="20"/>
  <c r="Y1238" i="20"/>
  <c r="Z1238" i="20"/>
  <c r="AH1238" i="20"/>
  <c r="AD1238" i="20"/>
  <c r="AI1238" i="20"/>
  <c r="AE1238" i="20"/>
  <c r="AJ1238" i="20"/>
  <c r="AF1238" i="20"/>
  <c r="AA1238" i="20"/>
  <c r="AC1238" i="20"/>
  <c r="AG1238" i="20"/>
  <c r="AA1246" i="20"/>
  <c r="AE1246" i="20"/>
  <c r="AJ1246" i="20"/>
  <c r="AH1246" i="20"/>
  <c r="AC1246" i="20"/>
  <c r="AD1246" i="20"/>
  <c r="AG1246" i="20"/>
  <c r="AN1246" i="20"/>
  <c r="AD1254" i="20"/>
  <c r="Y1254" i="20"/>
  <c r="Z1254" i="20"/>
  <c r="AB1254" i="20"/>
  <c r="AF1254" i="20"/>
  <c r="AA1254" i="20"/>
  <c r="AK1254" i="20"/>
  <c r="AE1254" i="20"/>
  <c r="AI1254" i="20"/>
  <c r="AG1254" i="20"/>
  <c r="AH1254" i="20"/>
  <c r="AL1254" i="20"/>
  <c r="AL1262" i="20"/>
  <c r="Z1262" i="20"/>
  <c r="AK1262" i="20"/>
  <c r="AH1262" i="20"/>
  <c r="AI1262" i="20"/>
  <c r="AG1262" i="20"/>
  <c r="AA1262" i="20"/>
  <c r="AB1262" i="20"/>
  <c r="AC1262" i="20"/>
  <c r="AH1270" i="20"/>
  <c r="AL1270" i="20"/>
  <c r="AE1270" i="20"/>
  <c r="AN1270" i="20"/>
  <c r="AF1270" i="20"/>
  <c r="Y1270" i="20"/>
  <c r="AD1270" i="20"/>
  <c r="AK1270" i="20"/>
  <c r="AB1278" i="20"/>
  <c r="AE1278" i="20"/>
  <c r="Y1278" i="20"/>
  <c r="AH1278" i="20"/>
  <c r="AG1278" i="20"/>
  <c r="AI1278" i="20"/>
  <c r="AJ1278" i="20"/>
  <c r="AG1286" i="20"/>
  <c r="AD1286" i="20"/>
  <c r="AN1286" i="20"/>
  <c r="AC1286" i="20"/>
  <c r="AL1286" i="20"/>
  <c r="Z1286" i="20"/>
  <c r="AA1286" i="20"/>
  <c r="AF1286" i="20"/>
  <c r="AJ1294" i="20"/>
  <c r="Y1294" i="20"/>
  <c r="Z1294" i="20"/>
  <c r="AL1294" i="20"/>
  <c r="AH1294" i="20"/>
  <c r="AC1294" i="20"/>
  <c r="AK1294" i="20"/>
  <c r="AA1294" i="20"/>
  <c r="AF1294" i="20"/>
  <c r="AI1294" i="20"/>
  <c r="AC1302" i="20"/>
  <c r="AL1302" i="20"/>
  <c r="AF1302" i="20"/>
  <c r="AJ1302" i="20"/>
  <c r="AK1302" i="20"/>
  <c r="AG1302" i="20"/>
  <c r="AA1302" i="20"/>
  <c r="Y1302" i="20"/>
  <c r="AB1310" i="20"/>
  <c r="AE1310" i="20"/>
  <c r="Z1310" i="20"/>
  <c r="AK1310" i="20"/>
  <c r="AI1310" i="20"/>
  <c r="AL1310" i="20"/>
  <c r="AN1310" i="20"/>
  <c r="AH1310" i="20"/>
  <c r="AD1318" i="20"/>
  <c r="AG1318" i="20"/>
  <c r="AJ1318" i="20"/>
  <c r="AB1318" i="20"/>
  <c r="Y1326" i="20"/>
  <c r="AA1326" i="20"/>
  <c r="AB1326" i="20"/>
  <c r="AK1326" i="20"/>
  <c r="AF1326" i="20"/>
  <c r="AG1326" i="20"/>
  <c r="AL1326" i="20"/>
  <c r="AC1326" i="20"/>
  <c r="AJ1326" i="20"/>
  <c r="AD1326" i="20"/>
  <c r="AI1338" i="20"/>
  <c r="AG1338" i="20"/>
  <c r="Y1338" i="20"/>
  <c r="Z1338" i="20"/>
  <c r="AC1338" i="20"/>
  <c r="AB1338" i="20"/>
  <c r="AJ827" i="20"/>
  <c r="AI1282" i="20"/>
  <c r="AI1322" i="20"/>
  <c r="AB1286" i="20"/>
  <c r="AL1266" i="20"/>
  <c r="AJ1262" i="20"/>
  <c r="AG1270" i="20"/>
  <c r="AD1178" i="20"/>
  <c r="AH1314" i="20"/>
  <c r="AN1230" i="20"/>
  <c r="AG1334" i="20"/>
  <c r="AD1298" i="20"/>
  <c r="AC1278" i="20"/>
  <c r="AN1330" i="20"/>
  <c r="AJ1290" i="20"/>
  <c r="AJ1334" i="20"/>
  <c r="AI1270" i="20"/>
  <c r="AK1218" i="20"/>
  <c r="AI1298" i="20"/>
  <c r="AG1194" i="20"/>
  <c r="AD1338" i="20"/>
  <c r="AJ1274" i="20"/>
  <c r="AD1242" i="20"/>
  <c r="Z1226" i="20"/>
  <c r="AN1318" i="20"/>
  <c r="AK1286" i="20"/>
  <c r="AI1242" i="20"/>
  <c r="AE1198" i="20"/>
  <c r="AB1294" i="20"/>
  <c r="AE1178" i="20"/>
  <c r="AL1226" i="20"/>
  <c r="AC1222" i="20"/>
  <c r="AN1202" i="20"/>
  <c r="AD1202" i="20"/>
  <c r="AG1330" i="20"/>
  <c r="AG1266" i="20"/>
  <c r="AN1170" i="20"/>
  <c r="Z1302" i="20"/>
  <c r="AF1330" i="20"/>
  <c r="AA1258" i="20"/>
  <c r="AN1326" i="20"/>
  <c r="AE1294" i="20"/>
  <c r="AN1254" i="20"/>
  <c r="AN1214" i="20"/>
  <c r="AH1338" i="20"/>
  <c r="Y1166" i="20"/>
  <c r="AI1182" i="20"/>
  <c r="AC1282" i="20"/>
  <c r="Z1258" i="20"/>
  <c r="AN1322" i="20"/>
  <c r="AJ1286" i="20"/>
  <c r="AF1246" i="20"/>
  <c r="AL1202" i="20"/>
  <c r="Z1246" i="20"/>
  <c r="AI1194" i="20"/>
  <c r="AA1214" i="20"/>
  <c r="AI1266" i="20"/>
  <c r="AJ1266" i="20"/>
  <c r="AH1230" i="20"/>
  <c r="AN1186" i="20"/>
  <c r="AA1318" i="20"/>
  <c r="AD1218" i="20"/>
  <c r="Y1262" i="20"/>
  <c r="AL1290" i="20"/>
  <c r="AE1242" i="20"/>
  <c r="AA1186" i="20"/>
  <c r="Z1326" i="20"/>
  <c r="AH1302" i="20"/>
  <c r="AA1250" i="20"/>
  <c r="AE1202" i="20"/>
  <c r="AB1174" i="20"/>
  <c r="Z1162" i="20"/>
  <c r="AJ1158" i="20"/>
  <c r="AA1158" i="20"/>
  <c r="AB1190" i="20"/>
  <c r="AH579" i="20"/>
  <c r="AD439" i="20"/>
  <c r="AD848" i="20"/>
  <c r="AL388" i="20"/>
  <c r="AT429" i="20"/>
  <c r="AT828" i="20"/>
  <c r="AT795" i="20"/>
  <c r="N15" i="36"/>
  <c r="AA10" i="66"/>
  <c r="P13" i="36"/>
  <c r="L13" i="36"/>
  <c r="O13" i="36"/>
  <c r="AH917" i="20"/>
  <c r="Y1173" i="20"/>
  <c r="AC975" i="20"/>
  <c r="Y904" i="20"/>
  <c r="Y1277" i="20"/>
  <c r="Z1277" i="20"/>
  <c r="AA332" i="20"/>
  <c r="AH764" i="20"/>
  <c r="AF752" i="20"/>
  <c r="AK824" i="20"/>
  <c r="AL552" i="20"/>
  <c r="AF664" i="20"/>
  <c r="AK917" i="20"/>
  <c r="AE400" i="20"/>
  <c r="AE472" i="20"/>
  <c r="AB400" i="20"/>
  <c r="AI1053" i="20"/>
  <c r="Z51" i="20"/>
  <c r="Z1031" i="20"/>
  <c r="AL1053" i="20"/>
  <c r="AL917" i="20"/>
  <c r="AI548" i="20"/>
  <c r="AJ933" i="20"/>
  <c r="Y712" i="20"/>
  <c r="AE971" i="20"/>
  <c r="AC1297" i="20"/>
  <c r="AF991" i="20"/>
  <c r="AJ548" i="20"/>
  <c r="AL900" i="20"/>
  <c r="Z982" i="20"/>
  <c r="AA937" i="20"/>
  <c r="AB1297" i="20"/>
  <c r="AL1155" i="20"/>
  <c r="AI500" i="20"/>
  <c r="AL664" i="20"/>
  <c r="AH572" i="20"/>
  <c r="AH340" i="20"/>
  <c r="Z416" i="20"/>
  <c r="Z824" i="20"/>
  <c r="AL312" i="20"/>
  <c r="AJ858" i="20"/>
  <c r="AL352" i="20"/>
  <c r="AH808" i="20"/>
  <c r="Z209" i="20"/>
  <c r="AG979" i="20"/>
  <c r="AA879" i="20"/>
  <c r="Z780" i="20"/>
  <c r="Z648" i="20"/>
  <c r="AD364" i="20"/>
  <c r="AF1313" i="20"/>
  <c r="AE132" i="20"/>
  <c r="AK121" i="20"/>
  <c r="P7" i="36"/>
  <c r="G40" i="37"/>
  <c r="G39" i="37"/>
  <c r="P22" i="36"/>
  <c r="P26" i="36"/>
  <c r="P20" i="36"/>
  <c r="P19" i="36"/>
  <c r="P14" i="36"/>
  <c r="AT367" i="20"/>
  <c r="AT761" i="20"/>
  <c r="AT566" i="20"/>
  <c r="AT834" i="20"/>
  <c r="AT484" i="20"/>
  <c r="AT614" i="20"/>
  <c r="AT689" i="20"/>
  <c r="AT592" i="20"/>
  <c r="AT441" i="20"/>
  <c r="AL792" i="20"/>
  <c r="AI356" i="20"/>
  <c r="AE808" i="20"/>
  <c r="AB620" i="20"/>
  <c r="AA816" i="20"/>
  <c r="AG987" i="20"/>
  <c r="Z580" i="20"/>
  <c r="AT837" i="20"/>
  <c r="AT440" i="20"/>
  <c r="AT375" i="20"/>
  <c r="AT609" i="20"/>
  <c r="AT813" i="20"/>
  <c r="AT681" i="20"/>
  <c r="AT360" i="20"/>
  <c r="AT248" i="20"/>
  <c r="AT238" i="20"/>
  <c r="AJ1140" i="20"/>
  <c r="Y1140" i="20"/>
  <c r="AG1140" i="20"/>
  <c r="AK1140" i="20"/>
  <c r="Z1140" i="20"/>
  <c r="AE1140" i="20"/>
  <c r="AA1140" i="20"/>
  <c r="AD1140" i="20"/>
  <c r="Z1132" i="20"/>
  <c r="AI1132" i="20"/>
  <c r="AF1132" i="20"/>
  <c r="AG1132" i="20"/>
  <c r="AL1132" i="20"/>
  <c r="AC1132" i="20"/>
  <c r="AH1132" i="20"/>
  <c r="AE1132" i="20"/>
  <c r="AK1132" i="20"/>
  <c r="AB1132" i="20"/>
  <c r="AJ1132" i="20"/>
  <c r="AL1124" i="20"/>
  <c r="Z1124" i="20"/>
  <c r="AE1124" i="20"/>
  <c r="AB1124" i="20"/>
  <c r="Y1124" i="20"/>
  <c r="AG1124" i="20"/>
  <c r="AH1124" i="20"/>
  <c r="AA1124" i="20"/>
  <c r="AC1124" i="20"/>
  <c r="AF1124" i="20"/>
  <c r="AF1116" i="20"/>
  <c r="AE1116" i="20"/>
  <c r="AA1116" i="20"/>
  <c r="AG1116" i="20"/>
  <c r="Z1116" i="20"/>
  <c r="AC1116" i="20"/>
  <c r="AJ1116" i="20"/>
  <c r="AK1116" i="20"/>
  <c r="AI1116" i="20"/>
  <c r="AH1108" i="20"/>
  <c r="Y1108" i="20"/>
  <c r="AF1108" i="20"/>
  <c r="AC1108" i="20"/>
  <c r="AK1108" i="20"/>
  <c r="AL1108" i="20"/>
  <c r="AG1108" i="20"/>
  <c r="AJ1108" i="20"/>
  <c r="AA1108" i="20"/>
  <c r="Z7" i="20"/>
  <c r="AA7" i="20"/>
  <c r="AK7" i="20"/>
  <c r="Y7" i="20"/>
  <c r="AF7" i="20"/>
  <c r="AH7" i="20"/>
  <c r="AG7" i="20"/>
  <c r="AB7" i="20"/>
  <c r="AB13" i="20"/>
  <c r="Z13" i="20"/>
  <c r="AK13" i="20"/>
  <c r="Y13" i="20"/>
  <c r="AL13" i="20"/>
  <c r="AJ13" i="20"/>
  <c r="AI13" i="20"/>
  <c r="AA13" i="20"/>
  <c r="AN13" i="20"/>
  <c r="AG13" i="20"/>
  <c r="AI20" i="20"/>
  <c r="AF20" i="20"/>
  <c r="AD20" i="20"/>
  <c r="AB20" i="20"/>
  <c r="AK20" i="20"/>
  <c r="Y20" i="20"/>
  <c r="AE20" i="20"/>
  <c r="AB1101" i="20"/>
  <c r="AJ1101" i="20"/>
  <c r="AC1101" i="20"/>
  <c r="AI1101" i="20"/>
  <c r="AD1101" i="20"/>
  <c r="AF1101" i="20"/>
  <c r="AL1101" i="20"/>
  <c r="AG1101" i="20"/>
  <c r="AA1101" i="20"/>
  <c r="AH1101" i="20"/>
  <c r="AN1101" i="20"/>
  <c r="AE1101" i="20"/>
  <c r="Y1101" i="20"/>
  <c r="AB1094" i="20"/>
  <c r="Z1094" i="20"/>
  <c r="AJ1094" i="20"/>
  <c r="AD1094" i="20"/>
  <c r="AC1094" i="20"/>
  <c r="Y1094" i="20"/>
  <c r="AA1094" i="20"/>
  <c r="AF1094" i="20"/>
  <c r="AI1094" i="20"/>
  <c r="AN1094" i="20"/>
  <c r="AG1094" i="20"/>
  <c r="AB1085" i="20"/>
  <c r="AJ1085" i="20"/>
  <c r="AC1085" i="20"/>
  <c r="AN1085" i="20"/>
  <c r="AI1085" i="20"/>
  <c r="AL1085" i="20"/>
  <c r="Y1085" i="20"/>
  <c r="Z1085" i="20"/>
  <c r="AE1085" i="20"/>
  <c r="AA1085" i="20"/>
  <c r="AF1085" i="20"/>
  <c r="AG1085" i="20"/>
  <c r="AH1085" i="20"/>
  <c r="Z1077" i="20"/>
  <c r="AI1077" i="20"/>
  <c r="AE1077" i="20"/>
  <c r="AK1077" i="20"/>
  <c r="AH1077" i="20"/>
  <c r="AN1077" i="20"/>
  <c r="AG1077" i="20"/>
  <c r="AL1077" i="20"/>
  <c r="AC1077" i="20"/>
  <c r="AJ1077" i="20"/>
  <c r="Y1077" i="20"/>
  <c r="Z1069" i="20"/>
  <c r="AI1069" i="20"/>
  <c r="AN1069" i="20"/>
  <c r="AD1069" i="20"/>
  <c r="AC1069" i="20"/>
  <c r="AB1069" i="20"/>
  <c r="Y1069" i="20"/>
  <c r="AA1069" i="20"/>
  <c r="AJ1069" i="20"/>
  <c r="AE1069" i="20"/>
  <c r="AK1069" i="20"/>
  <c r="AF1069" i="20"/>
  <c r="AG1069" i="20"/>
  <c r="AH1069" i="20"/>
  <c r="AL1069" i="20"/>
  <c r="AN1061" i="20"/>
  <c r="AI1061" i="20"/>
  <c r="AD1061" i="20"/>
  <c r="AK1061" i="20"/>
  <c r="AB1061" i="20"/>
  <c r="Y1061" i="20"/>
  <c r="AL1061" i="20"/>
  <c r="AJ1061" i="20"/>
  <c r="AE1061" i="20"/>
  <c r="AC1061" i="20"/>
  <c r="Z1061" i="20"/>
  <c r="AG1061" i="20"/>
  <c r="AA1061" i="20"/>
  <c r="AF1061" i="20"/>
  <c r="AN1052" i="20"/>
  <c r="AE1052" i="20"/>
  <c r="AI1052" i="20"/>
  <c r="AA1052" i="20"/>
  <c r="AL1052" i="20"/>
  <c r="AD1052" i="20"/>
  <c r="AH1052" i="20"/>
  <c r="AC1052" i="20"/>
  <c r="Y1052" i="20"/>
  <c r="Z1052" i="20"/>
  <c r="AJ1052" i="20"/>
  <c r="AG1052" i="20"/>
  <c r="AB1052" i="20"/>
  <c r="AN1053" i="20"/>
  <c r="AJ1053" i="20"/>
  <c r="AA1053" i="20"/>
  <c r="AF1053" i="20"/>
  <c r="AH1053" i="20"/>
  <c r="AG1053" i="20"/>
  <c r="AK1053" i="20"/>
  <c r="AE1053" i="20"/>
  <c r="AD1053" i="20"/>
  <c r="AC1053" i="20"/>
  <c r="Z1053" i="20"/>
  <c r="Z1022" i="20"/>
  <c r="Y1022" i="20"/>
  <c r="AH1022" i="20"/>
  <c r="AL1022" i="20"/>
  <c r="AG1022" i="20"/>
  <c r="AI1022" i="20"/>
  <c r="AJ1022" i="20"/>
  <c r="AD1022" i="20"/>
  <c r="AC1022" i="20"/>
  <c r="AN1022" i="20"/>
  <c r="AK1022" i="20"/>
  <c r="AE1022" i="20"/>
  <c r="AB1022" i="20"/>
  <c r="AF1022" i="20"/>
  <c r="AA1022" i="20"/>
  <c r="AN1009" i="20"/>
  <c r="Y1009" i="20"/>
  <c r="AL1009" i="20"/>
  <c r="AJ1009" i="20"/>
  <c r="AA1009" i="20"/>
  <c r="AC1009" i="20"/>
  <c r="AB1009" i="20"/>
  <c r="AD1009" i="20"/>
  <c r="AE1009" i="20"/>
  <c r="AG1009" i="20"/>
  <c r="AF1009" i="20"/>
  <c r="Z1009" i="20"/>
  <c r="AH1009" i="20"/>
  <c r="AI1009" i="20"/>
  <c r="AN1001" i="20"/>
  <c r="AA1001" i="20"/>
  <c r="AJ1001" i="20"/>
  <c r="AG1001" i="20"/>
  <c r="AC1001" i="20"/>
  <c r="AK1001" i="20"/>
  <c r="AE1001" i="20"/>
  <c r="Z1001" i="20"/>
  <c r="AD1001" i="20"/>
  <c r="AB1001" i="20"/>
  <c r="AL1001" i="20"/>
  <c r="Y1001" i="20"/>
  <c r="AF1001" i="20"/>
  <c r="AI1001" i="20"/>
  <c r="AI992" i="20"/>
  <c r="AG992" i="20"/>
  <c r="AD992" i="20"/>
  <c r="AL992" i="20"/>
  <c r="AH992" i="20"/>
  <c r="AJ992" i="20"/>
  <c r="AN992" i="20"/>
  <c r="AF992" i="20"/>
  <c r="Y992" i="20"/>
  <c r="AK992" i="20"/>
  <c r="AC992" i="20"/>
  <c r="AB992" i="20"/>
  <c r="AB982" i="20"/>
  <c r="AD982" i="20"/>
  <c r="AH982" i="20"/>
  <c r="AK982" i="20"/>
  <c r="AC982" i="20"/>
  <c r="AN982" i="20"/>
  <c r="AF982" i="20"/>
  <c r="AE982" i="20"/>
  <c r="AI982" i="20"/>
  <c r="Y982" i="20"/>
  <c r="AA982" i="20"/>
  <c r="AL982" i="20"/>
  <c r="AE975" i="20"/>
  <c r="AD975" i="20"/>
  <c r="Y975" i="20"/>
  <c r="Z975" i="20"/>
  <c r="AJ975" i="20"/>
  <c r="AI975" i="20"/>
  <c r="AK975" i="20"/>
  <c r="AF975" i="20"/>
  <c r="AN975" i="20"/>
  <c r="AN967" i="20"/>
  <c r="AC967" i="20"/>
  <c r="AD967" i="20"/>
  <c r="AB967" i="20"/>
  <c r="AH967" i="20"/>
  <c r="Y967" i="20"/>
  <c r="AF967" i="20"/>
  <c r="AJ967" i="20"/>
  <c r="AK967" i="20"/>
  <c r="Z967" i="20"/>
  <c r="AE967" i="20"/>
  <c r="AG967" i="20"/>
  <c r="AL967" i="20"/>
  <c r="AI967" i="20"/>
  <c r="AC957" i="20"/>
  <c r="AN957" i="20"/>
  <c r="Y957" i="20"/>
  <c r="AD957" i="20"/>
  <c r="AE957" i="20"/>
  <c r="AA957" i="20"/>
  <c r="AL957" i="20"/>
  <c r="AJ957" i="20"/>
  <c r="AK957" i="20"/>
  <c r="AF957" i="20"/>
  <c r="Z957" i="20"/>
  <c r="AG957" i="20"/>
  <c r="AJ945" i="20"/>
  <c r="AI945" i="20"/>
  <c r="AD945" i="20"/>
  <c r="AE945" i="20"/>
  <c r="AK945" i="20"/>
  <c r="Z945" i="20"/>
  <c r="AC945" i="20"/>
  <c r="AL945" i="20"/>
  <c r="AN945" i="20"/>
  <c r="AB945" i="20"/>
  <c r="AH945" i="20"/>
  <c r="AG945" i="20"/>
  <c r="Y945" i="20"/>
  <c r="AN937" i="20"/>
  <c r="AF937" i="20"/>
  <c r="AE937" i="20"/>
  <c r="AC937" i="20"/>
  <c r="AD937" i="20"/>
  <c r="Y937" i="20"/>
  <c r="AK937" i="20"/>
  <c r="AH937" i="20"/>
  <c r="AI937" i="20"/>
  <c r="AG937" i="20"/>
  <c r="AL937" i="20"/>
  <c r="AB937" i="20"/>
  <c r="AN929" i="20"/>
  <c r="Y929" i="20"/>
  <c r="AA929" i="20"/>
  <c r="AC929" i="20"/>
  <c r="AB929" i="20"/>
  <c r="Z929" i="20"/>
  <c r="AL929" i="20"/>
  <c r="AG929" i="20"/>
  <c r="AJ929" i="20"/>
  <c r="AF929" i="20"/>
  <c r="AD929" i="20"/>
  <c r="AE929" i="20"/>
  <c r="AK929" i="20"/>
  <c r="AN921" i="20"/>
  <c r="AD921" i="20"/>
  <c r="Z921" i="20"/>
  <c r="AL921" i="20"/>
  <c r="AJ921" i="20"/>
  <c r="AH921" i="20"/>
  <c r="AE921" i="20"/>
  <c r="AF921" i="20"/>
  <c r="AC921" i="20"/>
  <c r="AA921" i="20"/>
  <c r="Y921" i="20"/>
  <c r="AI921" i="20"/>
  <c r="AG921" i="20"/>
  <c r="AB912" i="20"/>
  <c r="AC912" i="20"/>
  <c r="AG912" i="20"/>
  <c r="AK912" i="20"/>
  <c r="AN912" i="20"/>
  <c r="AA912" i="20"/>
  <c r="AE912" i="20"/>
  <c r="AD912" i="20"/>
  <c r="AL912" i="20"/>
  <c r="AH912" i="20"/>
  <c r="AJ912" i="20"/>
  <c r="Z912" i="20"/>
  <c r="Y912" i="20"/>
  <c r="AN904" i="20"/>
  <c r="AE904" i="20"/>
  <c r="AI904" i="20"/>
  <c r="Z904" i="20"/>
  <c r="AA904" i="20"/>
  <c r="AL904" i="20"/>
  <c r="AD904" i="20"/>
  <c r="AF904" i="20"/>
  <c r="AG904" i="20"/>
  <c r="AB904" i="20"/>
  <c r="AK904" i="20"/>
  <c r="AN896" i="20"/>
  <c r="AE896" i="20"/>
  <c r="AG896" i="20"/>
  <c r="AB896" i="20"/>
  <c r="AH896" i="20"/>
  <c r="AL896" i="20"/>
  <c r="Z896" i="20"/>
  <c r="AJ896" i="20"/>
  <c r="Y896" i="20"/>
  <c r="AF896" i="20"/>
  <c r="AK896" i="20"/>
  <c r="AC896" i="20"/>
  <c r="AN887" i="20"/>
  <c r="AA887" i="20"/>
  <c r="AL887" i="20"/>
  <c r="AK887" i="20"/>
  <c r="AB887" i="20"/>
  <c r="AE887" i="20"/>
  <c r="AI887" i="20"/>
  <c r="AJ887" i="20"/>
  <c r="AH887" i="20"/>
  <c r="Y887" i="20"/>
  <c r="Z887" i="20"/>
  <c r="AC887" i="20"/>
  <c r="AG887" i="20"/>
  <c r="AN879" i="20"/>
  <c r="Z879" i="20"/>
  <c r="AG879" i="20"/>
  <c r="AE879" i="20"/>
  <c r="AC879" i="20"/>
  <c r="Y879" i="20"/>
  <c r="AB879" i="20"/>
  <c r="AF879" i="20"/>
  <c r="AI879" i="20"/>
  <c r="AD879" i="20"/>
  <c r="AL879" i="20"/>
  <c r="AH879" i="20"/>
  <c r="AN865" i="20"/>
  <c r="AC865" i="20"/>
  <c r="AA865" i="20"/>
  <c r="Y865" i="20"/>
  <c r="AL865" i="20"/>
  <c r="AB865" i="20"/>
  <c r="Z865" i="20"/>
  <c r="AK865" i="20"/>
  <c r="AE865" i="20"/>
  <c r="AD865" i="20"/>
  <c r="AH865" i="20"/>
  <c r="AI865" i="20"/>
  <c r="AF865" i="20"/>
  <c r="AG865" i="20"/>
  <c r="AJ865" i="20"/>
  <c r="AG854" i="20"/>
  <c r="AE854" i="20"/>
  <c r="AK854" i="20"/>
  <c r="AL854" i="20"/>
  <c r="AF854" i="20"/>
  <c r="Z854" i="20"/>
  <c r="AH854" i="20"/>
  <c r="AN854" i="20"/>
  <c r="AA854" i="20"/>
  <c r="Y854" i="20"/>
  <c r="AC854" i="20"/>
  <c r="AJ854" i="20"/>
  <c r="AB854" i="20"/>
  <c r="AN843" i="20"/>
  <c r="AJ843" i="20"/>
  <c r="AC843" i="20"/>
  <c r="AE843" i="20"/>
  <c r="AG843" i="20"/>
  <c r="AF843" i="20"/>
  <c r="AK843" i="20"/>
  <c r="AD843" i="20"/>
  <c r="Y843" i="20"/>
  <c r="AL843" i="20"/>
  <c r="AI843" i="20"/>
  <c r="AH843" i="20"/>
  <c r="Z843" i="20"/>
  <c r="AA843" i="20"/>
  <c r="AN836" i="20"/>
  <c r="AI836" i="20"/>
  <c r="Y836" i="20"/>
  <c r="AD836" i="20"/>
  <c r="AJ836" i="20"/>
  <c r="AH836" i="20"/>
  <c r="AL836" i="20"/>
  <c r="AG836" i="20"/>
  <c r="Z836" i="20"/>
  <c r="AB836" i="20"/>
  <c r="AA836" i="20"/>
  <c r="AE836" i="20"/>
  <c r="AF836" i="20"/>
  <c r="AC836" i="20"/>
  <c r="AN828" i="20"/>
  <c r="AA828" i="20"/>
  <c r="AD828" i="20"/>
  <c r="AF828" i="20"/>
  <c r="AC828" i="20"/>
  <c r="AB828" i="20"/>
  <c r="Z828" i="20"/>
  <c r="AE828" i="20"/>
  <c r="Y828" i="20"/>
  <c r="AK828" i="20"/>
  <c r="AG828" i="20"/>
  <c r="AH828" i="20"/>
  <c r="AL828" i="20"/>
  <c r="AJ828" i="20"/>
  <c r="Z820" i="20"/>
  <c r="AE820" i="20"/>
  <c r="AD820" i="20"/>
  <c r="AG820" i="20"/>
  <c r="AF820" i="20"/>
  <c r="AK820" i="20"/>
  <c r="AN820" i="20"/>
  <c r="AI820" i="20"/>
  <c r="Y820" i="20"/>
  <c r="AC820" i="20"/>
  <c r="AL820" i="20"/>
  <c r="AB820" i="20"/>
  <c r="AF812" i="20"/>
  <c r="AB812" i="20"/>
  <c r="AH812" i="20"/>
  <c r="Z812" i="20"/>
  <c r="Y812" i="20"/>
  <c r="AE812" i="20"/>
  <c r="AD812" i="20"/>
  <c r="AC812" i="20"/>
  <c r="AL812" i="20"/>
  <c r="AJ812" i="20"/>
  <c r="AN812" i="20"/>
  <c r="AG812" i="20"/>
  <c r="AA812" i="20"/>
  <c r="AG804" i="20"/>
  <c r="AB804" i="20"/>
  <c r="AE804" i="20"/>
  <c r="AH804" i="20"/>
  <c r="AI804" i="20"/>
  <c r="AN804" i="20"/>
  <c r="AF804" i="20"/>
  <c r="Z804" i="20"/>
  <c r="AD804" i="20"/>
  <c r="AJ804" i="20"/>
  <c r="AA804" i="20"/>
  <c r="Y804" i="20"/>
  <c r="AK804" i="20"/>
  <c r="AC804" i="20"/>
  <c r="AK796" i="20"/>
  <c r="AE796" i="20"/>
  <c r="AN796" i="20"/>
  <c r="AI796" i="20"/>
  <c r="AA796" i="20"/>
  <c r="AC796" i="20"/>
  <c r="AF796" i="20"/>
  <c r="AG796" i="20"/>
  <c r="AL796" i="20"/>
  <c r="AD796" i="20"/>
  <c r="Z796" i="20"/>
  <c r="AB796" i="20"/>
  <c r="Y796" i="20"/>
  <c r="AN788" i="20"/>
  <c r="AJ788" i="20"/>
  <c r="AA788" i="20"/>
  <c r="AE788" i="20"/>
  <c r="Y788" i="20"/>
  <c r="Z788" i="20"/>
  <c r="AL788" i="20"/>
  <c r="AK788" i="20"/>
  <c r="AI788" i="20"/>
  <c r="AG788" i="20"/>
  <c r="AC788" i="20"/>
  <c r="AB788" i="20"/>
  <c r="AF788" i="20"/>
  <c r="AH788" i="20"/>
  <c r="AE780" i="20"/>
  <c r="Y780" i="20"/>
  <c r="AN780" i="20"/>
  <c r="AA780" i="20"/>
  <c r="AC780" i="20"/>
  <c r="AH780" i="20"/>
  <c r="AI780" i="20"/>
  <c r="AL780" i="20"/>
  <c r="AF780" i="20"/>
  <c r="AD780" i="20"/>
  <c r="AB780" i="20"/>
  <c r="AJ780" i="20"/>
  <c r="AG780" i="20"/>
  <c r="AK772" i="20"/>
  <c r="AG772" i="20"/>
  <c r="AN772" i="20"/>
  <c r="Z772" i="20"/>
  <c r="AD772" i="20"/>
  <c r="Y772" i="20"/>
  <c r="AF772" i="20"/>
  <c r="AH772" i="20"/>
  <c r="AJ772" i="20"/>
  <c r="AI772" i="20"/>
  <c r="AC772" i="20"/>
  <c r="AA772" i="20"/>
  <c r="AE772" i="20"/>
  <c r="AB772" i="20"/>
  <c r="AN764" i="20"/>
  <c r="AB764" i="20"/>
  <c r="AE764" i="20"/>
  <c r="AD764" i="20"/>
  <c r="AG764" i="20"/>
  <c r="AC764" i="20"/>
  <c r="AF764" i="20"/>
  <c r="Z764" i="20"/>
  <c r="AJ764" i="20"/>
  <c r="AI764" i="20"/>
  <c r="AK764" i="20"/>
  <c r="Y764" i="20"/>
  <c r="Y756" i="20"/>
  <c r="AE756" i="20"/>
  <c r="AJ756" i="20"/>
  <c r="H45" i="86"/>
  <c r="K45" i="86"/>
  <c r="AB756" i="20"/>
  <c r="Z756" i="20"/>
  <c r="AA756" i="20"/>
  <c r="AK756" i="20"/>
  <c r="I45" i="86"/>
  <c r="L45" i="86"/>
  <c r="AC756" i="20"/>
  <c r="AD756" i="20"/>
  <c r="AH756" i="20"/>
  <c r="AG756" i="20"/>
  <c r="AN756" i="20"/>
  <c r="AN748" i="20"/>
  <c r="Y748" i="20"/>
  <c r="AI748" i="20"/>
  <c r="G42" i="86"/>
  <c r="J42" i="86"/>
  <c r="AH748" i="20"/>
  <c r="AF748" i="20"/>
  <c r="AE748" i="20"/>
  <c r="AL748" i="20"/>
  <c r="AJ748" i="20"/>
  <c r="H42" i="86"/>
  <c r="K42" i="86"/>
  <c r="AB748" i="20"/>
  <c r="AK748" i="20"/>
  <c r="I42" i="86"/>
  <c r="L42" i="86"/>
  <c r="AD748" i="20"/>
  <c r="AG748" i="20"/>
  <c r="AC748" i="20"/>
  <c r="AF740" i="20"/>
  <c r="AI740" i="20"/>
  <c r="AK740" i="20"/>
  <c r="AN740" i="20"/>
  <c r="AA740" i="20"/>
  <c r="AE740" i="20"/>
  <c r="AL740" i="20"/>
  <c r="Z740" i="20"/>
  <c r="AD740" i="20"/>
  <c r="Y740" i="20"/>
  <c r="AG740" i="20"/>
  <c r="AH740" i="20"/>
  <c r="AN732" i="20"/>
  <c r="AC732" i="20"/>
  <c r="Z732" i="20"/>
  <c r="AL732" i="20"/>
  <c r="AI732" i="20"/>
  <c r="AG732" i="20"/>
  <c r="AE732" i="20"/>
  <c r="AA732" i="20"/>
  <c r="AB732" i="20"/>
  <c r="Y732" i="20"/>
  <c r="AF732" i="20"/>
  <c r="AK732" i="20"/>
  <c r="AH732" i="20"/>
  <c r="AD732" i="20"/>
  <c r="AN724" i="20"/>
  <c r="AG724" i="20"/>
  <c r="AB724" i="20"/>
  <c r="AK724" i="20"/>
  <c r="AF724" i="20"/>
  <c r="AI724" i="20"/>
  <c r="Z724" i="20"/>
  <c r="AD724" i="20"/>
  <c r="AA724" i="20"/>
  <c r="AE724" i="20"/>
  <c r="AH724" i="20"/>
  <c r="Y724" i="20"/>
  <c r="AC724" i="20"/>
  <c r="AL724" i="20"/>
  <c r="AN716" i="20"/>
  <c r="AF716" i="20"/>
  <c r="Z716" i="20"/>
  <c r="AB716" i="20"/>
  <c r="AG716" i="20"/>
  <c r="AD716" i="20"/>
  <c r="AK716" i="20"/>
  <c r="Y716" i="20"/>
  <c r="AI716" i="20"/>
  <c r="AL716" i="20"/>
  <c r="AJ716" i="20"/>
  <c r="AA716" i="20"/>
  <c r="AE716" i="20"/>
  <c r="AH716" i="20"/>
  <c r="AN708" i="20"/>
  <c r="AB708" i="20"/>
  <c r="AI708" i="20"/>
  <c r="AF708" i="20"/>
  <c r="Y708" i="20"/>
  <c r="AE708" i="20"/>
  <c r="AC708" i="20"/>
  <c r="AD708" i="20"/>
  <c r="AL708" i="20"/>
  <c r="Z708" i="20"/>
  <c r="AK708" i="20"/>
  <c r="AH708" i="20"/>
  <c r="AD700" i="20"/>
  <c r="AG700" i="20"/>
  <c r="AL700" i="20"/>
  <c r="AK700" i="20"/>
  <c r="AB700" i="20"/>
  <c r="Z700" i="20"/>
  <c r="AF700" i="20"/>
  <c r="AI700" i="20"/>
  <c r="AE700" i="20"/>
  <c r="AA700" i="20"/>
  <c r="AL692" i="20"/>
  <c r="AG692" i="20"/>
  <c r="AK692" i="20"/>
  <c r="AD692" i="20"/>
  <c r="AC692" i="20"/>
  <c r="AB692" i="20"/>
  <c r="AE692" i="20"/>
  <c r="Y692" i="20"/>
  <c r="AF692" i="20"/>
  <c r="AA692" i="20"/>
  <c r="Z692" i="20"/>
  <c r="AI692" i="20"/>
  <c r="AJ692" i="20"/>
  <c r="AN684" i="20"/>
  <c r="AI684" i="20"/>
  <c r="AF684" i="20"/>
  <c r="AH684" i="20"/>
  <c r="AL684" i="20"/>
  <c r="Z684" i="20"/>
  <c r="AE684" i="20"/>
  <c r="AG684" i="20"/>
  <c r="AA684" i="20"/>
  <c r="Y684" i="20"/>
  <c r="AC684" i="20"/>
  <c r="AK684" i="20"/>
  <c r="AN676" i="20"/>
  <c r="AI676" i="20"/>
  <c r="AE676" i="20"/>
  <c r="AH676" i="20"/>
  <c r="AC676" i="20"/>
  <c r="Y676" i="20"/>
  <c r="AK676" i="20"/>
  <c r="AG676" i="20"/>
  <c r="AA676" i="20"/>
  <c r="AB676" i="20"/>
  <c r="AJ676" i="20"/>
  <c r="AL676" i="20"/>
  <c r="Z676" i="20"/>
  <c r="AF676" i="20"/>
  <c r="AI668" i="20"/>
  <c r="Z668" i="20"/>
  <c r="Y668" i="20"/>
  <c r="AN668" i="20"/>
  <c r="AE668" i="20"/>
  <c r="AH668" i="20"/>
  <c r="AD668" i="20"/>
  <c r="AC668" i="20"/>
  <c r="AB668" i="20"/>
  <c r="AF668" i="20"/>
  <c r="AL668" i="20"/>
  <c r="AG668" i="20"/>
  <c r="AA668" i="20"/>
  <c r="AK668" i="20"/>
  <c r="Y660" i="20"/>
  <c r="AN660" i="20"/>
  <c r="AB660" i="20"/>
  <c r="AE660" i="20"/>
  <c r="AF660" i="20"/>
  <c r="AC660" i="20"/>
  <c r="AH660" i="20"/>
  <c r="AI660" i="20"/>
  <c r="AG660" i="20"/>
  <c r="AK660" i="20"/>
  <c r="Z660" i="20"/>
  <c r="AA660" i="20"/>
  <c r="AJ660" i="20"/>
  <c r="AL660" i="20"/>
  <c r="AN652" i="20"/>
  <c r="AF652" i="20"/>
  <c r="AC652" i="20"/>
  <c r="AB652" i="20"/>
  <c r="AE652" i="20"/>
  <c r="AH652" i="20"/>
  <c r="AJ652" i="20"/>
  <c r="AI652" i="20"/>
  <c r="Y652" i="20"/>
  <c r="AK652" i="20"/>
  <c r="Z652" i="20"/>
  <c r="AD652" i="20"/>
  <c r="AA652" i="20"/>
  <c r="AG652" i="20"/>
  <c r="AL652" i="20"/>
  <c r="AN644" i="20"/>
  <c r="AJ644" i="20"/>
  <c r="AF644" i="20"/>
  <c r="AK644" i="20"/>
  <c r="AH644" i="20"/>
  <c r="Z644" i="20"/>
  <c r="AL644" i="20"/>
  <c r="AI644" i="20"/>
  <c r="AE644" i="20"/>
  <c r="AG644" i="20"/>
  <c r="Y644" i="20"/>
  <c r="AB644" i="20"/>
  <c r="AA644" i="20"/>
  <c r="AD644" i="20"/>
  <c r="AI635" i="20"/>
  <c r="Z635" i="20"/>
  <c r="AK635" i="20"/>
  <c r="AD635" i="20"/>
  <c r="AB635" i="20"/>
  <c r="AN635" i="20"/>
  <c r="Y635" i="20"/>
  <c r="AF635" i="20"/>
  <c r="AE635" i="20"/>
  <c r="AC635" i="20"/>
  <c r="AL635" i="20"/>
  <c r="AA635" i="20"/>
  <c r="AJ635" i="20"/>
  <c r="AN624" i="20"/>
  <c r="AJ624" i="20"/>
  <c r="AC624" i="20"/>
  <c r="AH624" i="20"/>
  <c r="AL624" i="20"/>
  <c r="AA624" i="20"/>
  <c r="AK624" i="20"/>
  <c r="AI624" i="20"/>
  <c r="Y624" i="20"/>
  <c r="Z624" i="20"/>
  <c r="AD624" i="20"/>
  <c r="AE624" i="20"/>
  <c r="AF624" i="20"/>
  <c r="AB624" i="20"/>
  <c r="AJ616" i="20"/>
  <c r="AC616" i="20"/>
  <c r="Z616" i="20"/>
  <c r="AB616" i="20"/>
  <c r="AK616" i="20"/>
  <c r="Y616" i="20"/>
  <c r="AF616" i="20"/>
  <c r="AG616" i="20"/>
  <c r="AA616" i="20"/>
  <c r="AL616" i="20"/>
  <c r="AI616" i="20"/>
  <c r="AD616" i="20"/>
  <c r="AN616" i="20"/>
  <c r="AH616" i="20"/>
  <c r="AE616" i="20"/>
  <c r="AC608" i="20"/>
  <c r="AF608" i="20"/>
  <c r="AB608" i="20"/>
  <c r="AL608" i="20"/>
  <c r="AN608" i="20"/>
  <c r="AI608" i="20"/>
  <c r="Z608" i="20"/>
  <c r="AK608" i="20"/>
  <c r="AG608" i="20"/>
  <c r="Y608" i="20"/>
  <c r="AE608" i="20"/>
  <c r="AH608" i="20"/>
  <c r="AI600" i="20"/>
  <c r="AF600" i="20"/>
  <c r="Y600" i="20"/>
  <c r="Z600" i="20"/>
  <c r="AE600" i="20"/>
  <c r="AD600" i="20"/>
  <c r="AC600" i="20"/>
  <c r="AG600" i="20"/>
  <c r="AB600" i="20"/>
  <c r="AH600" i="20"/>
  <c r="AN600" i="20"/>
  <c r="AJ600" i="20"/>
  <c r="AA600" i="20"/>
  <c r="AK600" i="20"/>
  <c r="AG592" i="20"/>
  <c r="AH592" i="20"/>
  <c r="AN592" i="20"/>
  <c r="AA592" i="20"/>
  <c r="AB592" i="20"/>
  <c r="Y592" i="20"/>
  <c r="Z592" i="20"/>
  <c r="AK592" i="20"/>
  <c r="AC592" i="20"/>
  <c r="AE592" i="20"/>
  <c r="AL592" i="20"/>
  <c r="AJ592" i="20"/>
  <c r="AD592" i="20"/>
  <c r="AI592" i="20"/>
  <c r="AB584" i="20"/>
  <c r="AJ584" i="20"/>
  <c r="AA584" i="20"/>
  <c r="AG584" i="20"/>
  <c r="AL584" i="20"/>
  <c r="AN584" i="20"/>
  <c r="AK584" i="20"/>
  <c r="AE584" i="20"/>
  <c r="Y584" i="20"/>
  <c r="AI584" i="20"/>
  <c r="AD584" i="20"/>
  <c r="AC584" i="20"/>
  <c r="AH584" i="20"/>
  <c r="AF584" i="20"/>
  <c r="AN576" i="20"/>
  <c r="AE576" i="20"/>
  <c r="AG576" i="20"/>
  <c r="AA576" i="20"/>
  <c r="AC576" i="20"/>
  <c r="AF576" i="20"/>
  <c r="AL576" i="20"/>
  <c r="AJ576" i="20"/>
  <c r="Z576" i="20"/>
  <c r="AB576" i="20"/>
  <c r="AK576" i="20"/>
  <c r="Y576" i="20"/>
  <c r="AI576" i="20"/>
  <c r="AD576" i="20"/>
  <c r="AN566" i="20"/>
  <c r="AB566" i="20"/>
  <c r="AG566" i="20"/>
  <c r="Z566" i="20"/>
  <c r="AL566" i="20"/>
  <c r="AE566" i="20"/>
  <c r="AH566" i="20"/>
  <c r="AJ566" i="20"/>
  <c r="AI566" i="20"/>
  <c r="AC566" i="20"/>
  <c r="AK566" i="20"/>
  <c r="Y566" i="20"/>
  <c r="AA566" i="20"/>
  <c r="AF566" i="20"/>
  <c r="AG552" i="20"/>
  <c r="AN552" i="20"/>
  <c r="Y552" i="20"/>
  <c r="AB552" i="20"/>
  <c r="AD552" i="20"/>
  <c r="AA552" i="20"/>
  <c r="AF552" i="20"/>
  <c r="AC552" i="20"/>
  <c r="AH552" i="20"/>
  <c r="AJ552" i="20"/>
  <c r="AK552" i="20"/>
  <c r="AI552" i="20"/>
  <c r="AE552" i="20"/>
  <c r="AN544" i="20"/>
  <c r="AC544" i="20"/>
  <c r="AH544" i="20"/>
  <c r="AE544" i="20"/>
  <c r="Z544" i="20"/>
  <c r="AL544" i="20"/>
  <c r="AI544" i="20"/>
  <c r="AJ544" i="20"/>
  <c r="Y544" i="20"/>
  <c r="AB544" i="20"/>
  <c r="AF544" i="20"/>
  <c r="AA544" i="20"/>
  <c r="AD544" i="20"/>
  <c r="AN536" i="20"/>
  <c r="Z536" i="20"/>
  <c r="Y536" i="20"/>
  <c r="AG536" i="20"/>
  <c r="AL536" i="20"/>
  <c r="AI536" i="20"/>
  <c r="AB536" i="20"/>
  <c r="AE536" i="20"/>
  <c r="AD536" i="20"/>
  <c r="AC536" i="20"/>
  <c r="AA536" i="20"/>
  <c r="AJ536" i="20"/>
  <c r="AN528" i="20"/>
  <c r="AF528" i="20"/>
  <c r="AA528" i="20"/>
  <c r="AE528" i="20"/>
  <c r="AJ528" i="20"/>
  <c r="AH528" i="20"/>
  <c r="AL528" i="20"/>
  <c r="AK528" i="20"/>
  <c r="Z528" i="20"/>
  <c r="AC528" i="20"/>
  <c r="AB528" i="20"/>
  <c r="AG528" i="20"/>
  <c r="Y528" i="20"/>
  <c r="AD528" i="20"/>
  <c r="AN520" i="20"/>
  <c r="AI520" i="20"/>
  <c r="AH520" i="20"/>
  <c r="AB520" i="20"/>
  <c r="AG520" i="20"/>
  <c r="AJ520" i="20"/>
  <c r="AF520" i="20"/>
  <c r="AE520" i="20"/>
  <c r="AD520" i="20"/>
  <c r="Z520" i="20"/>
  <c r="Y520" i="20"/>
  <c r="AL520" i="20"/>
  <c r="AK520" i="20"/>
  <c r="AB512" i="20"/>
  <c r="AG512" i="20"/>
  <c r="AJ512" i="20"/>
  <c r="AF512" i="20"/>
  <c r="AD512" i="20"/>
  <c r="Z512" i="20"/>
  <c r="AN512" i="20"/>
  <c r="Y512" i="20"/>
  <c r="AC512" i="20"/>
  <c r="AA512" i="20"/>
  <c r="AH512" i="20"/>
  <c r="AJ504" i="20"/>
  <c r="AN504" i="20"/>
  <c r="AI504" i="20"/>
  <c r="AE504" i="20"/>
  <c r="AA504" i="20"/>
  <c r="AD504" i="20"/>
  <c r="AF504" i="20"/>
  <c r="AC504" i="20"/>
  <c r="Z504" i="20"/>
  <c r="AG504" i="20"/>
  <c r="AH504" i="20"/>
  <c r="AB504" i="20"/>
  <c r="Y504" i="20"/>
  <c r="AC496" i="20"/>
  <c r="Z496" i="20"/>
  <c r="AA496" i="20"/>
  <c r="AE496" i="20"/>
  <c r="AI496" i="20"/>
  <c r="AJ496" i="20"/>
  <c r="AN496" i="20"/>
  <c r="AD496" i="20"/>
  <c r="AK496" i="20"/>
  <c r="AB496" i="20"/>
  <c r="AF496" i="20"/>
  <c r="AL496" i="20"/>
  <c r="Y496" i="20"/>
  <c r="AG496" i="20"/>
  <c r="AH496" i="20"/>
  <c r="AF492" i="20"/>
  <c r="AN492" i="20"/>
  <c r="AI492" i="20"/>
  <c r="AK492" i="20"/>
  <c r="AD492" i="20"/>
  <c r="AC492" i="20"/>
  <c r="AG492" i="20"/>
  <c r="AE492" i="20"/>
  <c r="Z492" i="20"/>
  <c r="Y492" i="20"/>
  <c r="AA492" i="20"/>
  <c r="AJ492" i="20"/>
  <c r="AH492" i="20"/>
  <c r="AB492" i="20"/>
  <c r="AN484" i="20"/>
  <c r="AG484" i="20"/>
  <c r="AJ484" i="20"/>
  <c r="Z484" i="20"/>
  <c r="Y484" i="20"/>
  <c r="AH484" i="20"/>
  <c r="AI484" i="20"/>
  <c r="AK484" i="20"/>
  <c r="AF484" i="20"/>
  <c r="AE484" i="20"/>
  <c r="AA484" i="20"/>
  <c r="AB484" i="20"/>
  <c r="AN472" i="20"/>
  <c r="AJ472" i="20"/>
  <c r="Z472" i="20"/>
  <c r="AC472" i="20"/>
  <c r="AD472" i="20"/>
  <c r="AB472" i="20"/>
  <c r="Y472" i="20"/>
  <c r="AH472" i="20"/>
  <c r="AI472" i="20"/>
  <c r="AG472" i="20"/>
  <c r="AK472" i="20"/>
  <c r="AE464" i="20"/>
  <c r="Z464" i="20"/>
  <c r="AA464" i="20"/>
  <c r="AN464" i="20"/>
  <c r="AC464" i="20"/>
  <c r="AK464" i="20"/>
  <c r="I26" i="86"/>
  <c r="L26" i="86"/>
  <c r="AB464" i="20"/>
  <c r="AD464" i="20"/>
  <c r="AF464" i="20"/>
  <c r="Y464" i="20"/>
  <c r="AI464" i="20"/>
  <c r="G26" i="86"/>
  <c r="J26" i="86"/>
  <c r="AG464" i="20"/>
  <c r="AH464" i="20"/>
  <c r="AJ464" i="20"/>
  <c r="H26" i="86"/>
  <c r="K26" i="86"/>
  <c r="AN456" i="20"/>
  <c r="AH456" i="20"/>
  <c r="AC456" i="20"/>
  <c r="AB456" i="20"/>
  <c r="AI456" i="20"/>
  <c r="AA456" i="20"/>
  <c r="AD456" i="20"/>
  <c r="Z456" i="20"/>
  <c r="AL456" i="20"/>
  <c r="AK456" i="20"/>
  <c r="Y456" i="20"/>
  <c r="AE456" i="20"/>
  <c r="AJ456" i="20"/>
  <c r="AF456" i="20"/>
  <c r="AN452" i="20"/>
  <c r="AB452" i="20"/>
  <c r="AE452" i="20"/>
  <c r="AK452" i="20"/>
  <c r="AL452" i="20"/>
  <c r="AI452" i="20"/>
  <c r="AG452" i="20"/>
  <c r="AA452" i="20"/>
  <c r="AF452" i="20"/>
  <c r="AC452" i="20"/>
  <c r="AH452" i="20"/>
  <c r="AD444" i="20"/>
  <c r="AG444" i="20"/>
  <c r="AA444" i="20"/>
  <c r="AF444" i="20"/>
  <c r="AK444" i="20"/>
  <c r="Z444" i="20"/>
  <c r="AC444" i="20"/>
  <c r="AB444" i="20"/>
  <c r="AH444" i="20"/>
  <c r="AJ444" i="20"/>
  <c r="AL444" i="20"/>
  <c r="AE444" i="20"/>
  <c r="AN444" i="20"/>
  <c r="Y444" i="20"/>
  <c r="AI436" i="20"/>
  <c r="Z436" i="20"/>
  <c r="Y436" i="20"/>
  <c r="AD436" i="20"/>
  <c r="AH436" i="20"/>
  <c r="AN436" i="20"/>
  <c r="AC436" i="20"/>
  <c r="AA436" i="20"/>
  <c r="AG436" i="20"/>
  <c r="AE436" i="20"/>
  <c r="AB436" i="20"/>
  <c r="AL436" i="20"/>
  <c r="AJ436" i="20"/>
  <c r="AK436" i="20"/>
  <c r="AN428" i="20"/>
  <c r="AD428" i="20"/>
  <c r="AC428" i="20"/>
  <c r="AB428" i="20"/>
  <c r="AF428" i="20"/>
  <c r="AH428" i="20"/>
  <c r="AJ428" i="20"/>
  <c r="AI428" i="20"/>
  <c r="AG428" i="20"/>
  <c r="AL428" i="20"/>
  <c r="AA428" i="20"/>
  <c r="AK428" i="20"/>
  <c r="Z428" i="20"/>
  <c r="Y428" i="20"/>
  <c r="AE428" i="20"/>
  <c r="AN420" i="20"/>
  <c r="AK420" i="20"/>
  <c r="AB420" i="20"/>
  <c r="Z420" i="20"/>
  <c r="Y420" i="20"/>
  <c r="AF420" i="20"/>
  <c r="AA420" i="20"/>
  <c r="AG420" i="20"/>
  <c r="AH420" i="20"/>
  <c r="AJ420" i="20"/>
  <c r="AC420" i="20"/>
  <c r="AE420" i="20"/>
  <c r="AD420" i="20"/>
  <c r="AI411" i="20"/>
  <c r="AE411" i="20"/>
  <c r="AN411" i="20"/>
  <c r="AB411" i="20"/>
  <c r="AK411" i="20"/>
  <c r="AF411" i="20"/>
  <c r="Z411" i="20"/>
  <c r="AA411" i="20"/>
  <c r="AD411" i="20"/>
  <c r="Y411" i="20"/>
  <c r="AG411" i="20"/>
  <c r="AJ411" i="20"/>
  <c r="AH411" i="20"/>
  <c r="AC411" i="20"/>
  <c r="AN402" i="20"/>
  <c r="AL402" i="20"/>
  <c r="AB402" i="20"/>
  <c r="AF402" i="20"/>
  <c r="AD402" i="20"/>
  <c r="AC402" i="20"/>
  <c r="AH402" i="20"/>
  <c r="AK402" i="20"/>
  <c r="Y402" i="20"/>
  <c r="AE402" i="20"/>
  <c r="AI402" i="20"/>
  <c r="Z402" i="20"/>
  <c r="AJ402" i="20"/>
  <c r="AI393" i="20"/>
  <c r="AB393" i="20"/>
  <c r="AA393" i="20"/>
  <c r="AF393" i="20"/>
  <c r="AK393" i="20"/>
  <c r="AC393" i="20"/>
  <c r="AH393" i="20"/>
  <c r="AJ393" i="20"/>
  <c r="AN393" i="20"/>
  <c r="Z393" i="20"/>
  <c r="Y393" i="20"/>
  <c r="AG393" i="20"/>
  <c r="AE393" i="20"/>
  <c r="AN387" i="20"/>
  <c r="AK387" i="20"/>
  <c r="AD387" i="20"/>
  <c r="AA387" i="20"/>
  <c r="Z387" i="20"/>
  <c r="AH387" i="20"/>
  <c r="AL387" i="20"/>
  <c r="AJ387" i="20"/>
  <c r="AF387" i="20"/>
  <c r="AB387" i="20"/>
  <c r="AE387" i="20"/>
  <c r="AC387" i="20"/>
  <c r="AG387" i="20"/>
  <c r="Y387" i="20"/>
  <c r="AA380" i="20"/>
  <c r="AK380" i="20"/>
  <c r="AN380" i="20"/>
  <c r="AI380" i="20"/>
  <c r="AC380" i="20"/>
  <c r="AG380" i="20"/>
  <c r="AB380" i="20"/>
  <c r="Z380" i="20"/>
  <c r="AH380" i="20"/>
  <c r="AJ380" i="20"/>
  <c r="AF380" i="20"/>
  <c r="AD380" i="20"/>
  <c r="AE380" i="20"/>
  <c r="Y380" i="20"/>
  <c r="AG372" i="20"/>
  <c r="AB372" i="20"/>
  <c r="Z372" i="20"/>
  <c r="AN372" i="20"/>
  <c r="Y372" i="20"/>
  <c r="AH372" i="20"/>
  <c r="AL372" i="20"/>
  <c r="AI372" i="20"/>
  <c r="AK372" i="20"/>
  <c r="AF372" i="20"/>
  <c r="AC372" i="20"/>
  <c r="AA372" i="20"/>
  <c r="AE372" i="20"/>
  <c r="AG364" i="20"/>
  <c r="AK364" i="20"/>
  <c r="AN364" i="20"/>
  <c r="AC364" i="20"/>
  <c r="AL364" i="20"/>
  <c r="Z364" i="20"/>
  <c r="Y364" i="20"/>
  <c r="AE364" i="20"/>
  <c r="AB364" i="20"/>
  <c r="AF364" i="20"/>
  <c r="AC356" i="20"/>
  <c r="AA356" i="20"/>
  <c r="AE356" i="20"/>
  <c r="AB356" i="20"/>
  <c r="Y356" i="20"/>
  <c r="AG356" i="20"/>
  <c r="AJ356" i="20"/>
  <c r="AN356" i="20"/>
  <c r="AD356" i="20"/>
  <c r="AK356" i="20"/>
  <c r="AL356" i="20"/>
  <c r="AF356" i="20"/>
  <c r="Z356" i="20"/>
  <c r="AN344" i="20"/>
  <c r="AI344" i="20"/>
  <c r="AB344" i="20"/>
  <c r="Z344" i="20"/>
  <c r="AA344" i="20"/>
  <c r="AF344" i="20"/>
  <c r="AG344" i="20"/>
  <c r="AC344" i="20"/>
  <c r="AJ344" i="20"/>
  <c r="Y344" i="20"/>
  <c r="AE344" i="20"/>
  <c r="AD344" i="20"/>
  <c r="AK344" i="20"/>
  <c r="AN340" i="20"/>
  <c r="AG340" i="20"/>
  <c r="AK340" i="20"/>
  <c r="AB340" i="20"/>
  <c r="AL340" i="20"/>
  <c r="AJ340" i="20"/>
  <c r="AD340" i="20"/>
  <c r="AE340" i="20"/>
  <c r="Z340" i="20"/>
  <c r="Y340" i="20"/>
  <c r="AF340" i="20"/>
  <c r="AC340" i="20"/>
  <c r="Y332" i="20"/>
  <c r="AD332" i="20"/>
  <c r="AN332" i="20"/>
  <c r="AB332" i="20"/>
  <c r="Z332" i="20"/>
  <c r="AC332" i="20"/>
  <c r="AJ332" i="20"/>
  <c r="AL332" i="20"/>
  <c r="AK332" i="20"/>
  <c r="AF332" i="20"/>
  <c r="AG332" i="20"/>
  <c r="AE332" i="20"/>
  <c r="AI323" i="20"/>
  <c r="Z323" i="20"/>
  <c r="AK323" i="20"/>
  <c r="AE323" i="20"/>
  <c r="AA323" i="20"/>
  <c r="AB323" i="20"/>
  <c r="AH323" i="20"/>
  <c r="AN323" i="20"/>
  <c r="AD323" i="20"/>
  <c r="AF323" i="20"/>
  <c r="Y323" i="20"/>
  <c r="AL323" i="20"/>
  <c r="AG323" i="20"/>
  <c r="AB316" i="20"/>
  <c r="AF316" i="20"/>
  <c r="AI316" i="20"/>
  <c r="AE316" i="20"/>
  <c r="AH316" i="20"/>
  <c r="AK316" i="20"/>
  <c r="AJ316" i="20"/>
  <c r="Z316" i="20"/>
  <c r="AC316" i="20"/>
  <c r="Y316" i="20"/>
  <c r="AD316" i="20"/>
  <c r="AL316" i="20"/>
  <c r="AA316" i="20"/>
  <c r="AN316" i="20"/>
  <c r="AG316" i="20"/>
  <c r="AJ308" i="20"/>
  <c r="AB308" i="20"/>
  <c r="AK308" i="20"/>
  <c r="AG308" i="20"/>
  <c r="AN308" i="20"/>
  <c r="AE308" i="20"/>
  <c r="AF308" i="20"/>
  <c r="AI308" i="20"/>
  <c r="AL308" i="20"/>
  <c r="Z308" i="20"/>
  <c r="AH308" i="20"/>
  <c r="AD308" i="20"/>
  <c r="Y308" i="20"/>
  <c r="AC308" i="20"/>
  <c r="AA308" i="20"/>
  <c r="AD300" i="20"/>
  <c r="AI300" i="20"/>
  <c r="AG300" i="20"/>
  <c r="AJ300" i="20"/>
  <c r="AE300" i="20"/>
  <c r="AH300" i="20"/>
  <c r="AB300" i="20"/>
  <c r="AL300" i="20"/>
  <c r="AN300" i="20"/>
  <c r="AC300" i="20"/>
  <c r="Z300" i="20"/>
  <c r="AK300" i="20"/>
  <c r="AF300" i="20"/>
  <c r="AA300" i="20"/>
  <c r="Y300" i="20"/>
  <c r="AA292" i="20"/>
  <c r="AI292" i="20"/>
  <c r="AG292" i="20"/>
  <c r="AH292" i="20"/>
  <c r="Z292" i="20"/>
  <c r="AE292" i="20"/>
  <c r="AL292" i="20"/>
  <c r="AJ292" i="20"/>
  <c r="AN292" i="20"/>
  <c r="AK292" i="20"/>
  <c r="Y292" i="20"/>
  <c r="AD292" i="20"/>
  <c r="AC292" i="20"/>
  <c r="AF292" i="20"/>
  <c r="AA284" i="20"/>
  <c r="AI284" i="20"/>
  <c r="AE284" i="20"/>
  <c r="AJ284" i="20"/>
  <c r="AG284" i="20"/>
  <c r="AC284" i="20"/>
  <c r="AH284" i="20"/>
  <c r="AD284" i="20"/>
  <c r="AK284" i="20"/>
  <c r="Z284" i="20"/>
  <c r="AF284" i="20"/>
  <c r="AL284" i="20"/>
  <c r="Y284" i="20"/>
  <c r="AB284" i="20"/>
  <c r="AN284" i="20"/>
  <c r="AF276" i="20"/>
  <c r="AB276" i="20"/>
  <c r="AD276" i="20"/>
  <c r="Y276" i="20"/>
  <c r="Z276" i="20"/>
  <c r="AJ276" i="20"/>
  <c r="AE276" i="20"/>
  <c r="AA276" i="20"/>
  <c r="AK276" i="20"/>
  <c r="AI276" i="20"/>
  <c r="AL276" i="20"/>
  <c r="AC276" i="20"/>
  <c r="AH276" i="20"/>
  <c r="AN276" i="20"/>
  <c r="AN268" i="20"/>
  <c r="AF268" i="20"/>
  <c r="AL268" i="20"/>
  <c r="AJ268" i="20"/>
  <c r="AE268" i="20"/>
  <c r="AI268" i="20"/>
  <c r="AG268" i="20"/>
  <c r="AH268" i="20"/>
  <c r="AC268" i="20"/>
  <c r="AD268" i="20"/>
  <c r="AK268" i="20"/>
  <c r="Y268" i="20"/>
  <c r="Z268" i="20"/>
  <c r="AB268" i="20"/>
  <c r="AF260" i="20"/>
  <c r="AH260" i="20"/>
  <c r="AB260" i="20"/>
  <c r="Z260" i="20"/>
  <c r="AI260" i="20"/>
  <c r="AA260" i="20"/>
  <c r="AL260" i="20"/>
  <c r="AG260" i="20"/>
  <c r="AN260" i="20"/>
  <c r="AJ260" i="20"/>
  <c r="AK260" i="20"/>
  <c r="Y260" i="20"/>
  <c r="AE260" i="20"/>
  <c r="AC260" i="20"/>
  <c r="AD260" i="20"/>
  <c r="Z256" i="20"/>
  <c r="AN256" i="20"/>
  <c r="AB256" i="20"/>
  <c r="AF256" i="20"/>
  <c r="AL256" i="20"/>
  <c r="AG256" i="20"/>
  <c r="Y256" i="20"/>
  <c r="AJ256" i="20"/>
  <c r="AK256" i="20"/>
  <c r="AA256" i="20"/>
  <c r="AH256" i="20"/>
  <c r="AD256" i="20"/>
  <c r="AI256" i="20"/>
  <c r="AE256" i="20"/>
  <c r="AC256" i="20"/>
  <c r="AC248" i="20"/>
  <c r="AB248" i="20"/>
  <c r="AA248" i="20"/>
  <c r="AE248" i="20"/>
  <c r="AK248" i="20"/>
  <c r="AD248" i="20"/>
  <c r="AN248" i="20"/>
  <c r="AF248" i="20"/>
  <c r="AI248" i="20"/>
  <c r="Z248" i="20"/>
  <c r="Y248" i="20"/>
  <c r="AH248" i="20"/>
  <c r="AG248" i="20"/>
  <c r="AN240" i="20"/>
  <c r="AJ240" i="20"/>
  <c r="AC240" i="20"/>
  <c r="Y240" i="20"/>
  <c r="AE240" i="20"/>
  <c r="AB240" i="20"/>
  <c r="AF240" i="20"/>
  <c r="AD240" i="20"/>
  <c r="AA240" i="20"/>
  <c r="AK240" i="20"/>
  <c r="Z240" i="20"/>
  <c r="AG240" i="20"/>
  <c r="AI240" i="20"/>
  <c r="AL240" i="20"/>
  <c r="AC232" i="20"/>
  <c r="AB232" i="20"/>
  <c r="AD232" i="20"/>
  <c r="AG232" i="20"/>
  <c r="Y232" i="20"/>
  <c r="AF232" i="20"/>
  <c r="AA232" i="20"/>
  <c r="AH232" i="20"/>
  <c r="AN232" i="20"/>
  <c r="AE232" i="20"/>
  <c r="Z232" i="20"/>
  <c r="AK232" i="20"/>
  <c r="AL232" i="20"/>
  <c r="AI232" i="20"/>
  <c r="AH224" i="20"/>
  <c r="AE224" i="20"/>
  <c r="AC224" i="20"/>
  <c r="AK224" i="20"/>
  <c r="AD224" i="20"/>
  <c r="AN224" i="20"/>
  <c r="AA224" i="20"/>
  <c r="Z224" i="20"/>
  <c r="AF224" i="20"/>
  <c r="AG224" i="20"/>
  <c r="Y205" i="20"/>
  <c r="AC205" i="20"/>
  <c r="AE205" i="20"/>
  <c r="AF205" i="20"/>
  <c r="AG205" i="20"/>
  <c r="AI205" i="20"/>
  <c r="AB205" i="20"/>
  <c r="AJ205" i="20"/>
  <c r="AG197" i="20"/>
  <c r="AB197" i="20"/>
  <c r="AA197" i="20"/>
  <c r="AL197" i="20"/>
  <c r="AE197" i="20"/>
  <c r="AN197" i="20"/>
  <c r="AC197" i="20"/>
  <c r="AH197" i="20"/>
  <c r="AF197" i="20"/>
  <c r="AD197" i="20"/>
  <c r="Z197" i="20"/>
  <c r="AI197" i="20"/>
  <c r="AJ197" i="20"/>
  <c r="AL189" i="20"/>
  <c r="AB189" i="20"/>
  <c r="Y189" i="20"/>
  <c r="AN189" i="20"/>
  <c r="AJ189" i="20"/>
  <c r="AH189" i="20"/>
  <c r="AI189" i="20"/>
  <c r="AE189" i="20"/>
  <c r="AA181" i="20"/>
  <c r="AG181" i="20"/>
  <c r="AD181" i="20"/>
  <c r="AB181" i="20"/>
  <c r="AN181" i="20"/>
  <c r="AK181" i="20"/>
  <c r="AF181" i="20"/>
  <c r="AN159" i="20"/>
  <c r="AC159" i="20"/>
  <c r="AH159" i="20"/>
  <c r="Z159" i="20"/>
  <c r="AJ159" i="20"/>
  <c r="AA159" i="20"/>
  <c r="AL117" i="20"/>
  <c r="AB117" i="20"/>
  <c r="AH117" i="20"/>
  <c r="AI117" i="20"/>
  <c r="AG117" i="20"/>
  <c r="AA117" i="20"/>
  <c r="AE117" i="20"/>
  <c r="AT825" i="20"/>
  <c r="AL393" i="20"/>
  <c r="AI957" i="20"/>
  <c r="AI812" i="20"/>
  <c r="AI933" i="20"/>
  <c r="AJ900" i="20"/>
  <c r="AJ372" i="20"/>
  <c r="AH376" i="20"/>
  <c r="AJ224" i="20"/>
  <c r="AA975" i="20"/>
  <c r="Y700" i="20"/>
  <c r="AD832" i="20"/>
  <c r="AA858" i="20"/>
  <c r="AG635" i="20"/>
  <c r="Y452" i="20"/>
  <c r="AC904" i="20"/>
  <c r="AD660" i="20"/>
  <c r="AN1124" i="20"/>
  <c r="AT473" i="20"/>
  <c r="AJ540" i="20"/>
  <c r="AJ708" i="20"/>
  <c r="AJ937" i="20"/>
  <c r="AI854" i="20"/>
  <c r="AI528" i="20"/>
  <c r="AI340" i="20"/>
  <c r="AI824" i="20"/>
  <c r="AL504" i="20"/>
  <c r="AI896" i="20"/>
  <c r="AI800" i="20"/>
  <c r="AI756" i="20"/>
  <c r="G45" i="86"/>
  <c r="AL600" i="20"/>
  <c r="AI912" i="20"/>
  <c r="AI792" i="20"/>
  <c r="AJ668" i="20"/>
  <c r="AL540" i="20"/>
  <c r="AJ608" i="20"/>
  <c r="AJ664" i="20"/>
  <c r="AL512" i="20"/>
  <c r="AH240" i="20"/>
  <c r="AL420" i="20"/>
  <c r="AL248" i="20"/>
  <c r="AH312" i="20"/>
  <c r="AH692" i="20"/>
  <c r="AG209" i="20"/>
  <c r="AB224" i="20"/>
  <c r="AA708" i="20"/>
  <c r="AD896" i="20"/>
  <c r="AG708" i="20"/>
  <c r="AG975" i="20"/>
  <c r="AG800" i="20"/>
  <c r="AB684" i="20"/>
  <c r="AK512" i="20"/>
  <c r="AA472" i="20"/>
  <c r="Y1053" i="20"/>
  <c r="AF472" i="20"/>
  <c r="AA520" i="20"/>
  <c r="AA896" i="20"/>
  <c r="AD452" i="20"/>
  <c r="AC644" i="20"/>
  <c r="AF580" i="20"/>
  <c r="AD608" i="20"/>
  <c r="AA402" i="20"/>
  <c r="AF756" i="20"/>
  <c r="Z748" i="20"/>
  <c r="AB292" i="20"/>
  <c r="AN700" i="20"/>
  <c r="AD1085" i="20"/>
  <c r="AT787" i="20"/>
  <c r="AT452" i="20"/>
  <c r="AT526" i="20"/>
  <c r="AT527" i="20"/>
  <c r="AT707" i="20"/>
  <c r="AT470" i="20"/>
  <c r="AT736" i="20"/>
  <c r="AT565" i="20"/>
  <c r="AT717" i="20"/>
  <c r="AT808" i="20"/>
  <c r="AT695" i="20"/>
  <c r="AT533" i="20"/>
  <c r="AL1144" i="20"/>
  <c r="Z1144" i="20"/>
  <c r="AB1144" i="20"/>
  <c r="AK1144" i="20"/>
  <c r="AJ1144" i="20"/>
  <c r="AN1136" i="20"/>
  <c r="AJ1136" i="20"/>
  <c r="AE1136" i="20"/>
  <c r="AL1136" i="20"/>
  <c r="AH1136" i="20"/>
  <c r="AF1136" i="20"/>
  <c r="Z1136" i="20"/>
  <c r="AI1136" i="20"/>
  <c r="AA1136" i="20"/>
  <c r="AC1136" i="20"/>
  <c r="AB1136" i="20"/>
  <c r="Y1136" i="20"/>
  <c r="AD1128" i="20"/>
  <c r="AH1128" i="20"/>
  <c r="AA1128" i="20"/>
  <c r="AB1128" i="20"/>
  <c r="AJ1128" i="20"/>
  <c r="AF1128" i="20"/>
  <c r="AK1128" i="20"/>
  <c r="AI1128" i="20"/>
  <c r="AL1128" i="20"/>
  <c r="AE1128" i="20"/>
  <c r="AC1128" i="20"/>
  <c r="Z1120" i="20"/>
  <c r="AD1120" i="20"/>
  <c r="AA1120" i="20"/>
  <c r="AN1120" i="20"/>
  <c r="AK1120" i="20"/>
  <c r="Y1120" i="20"/>
  <c r="AI1120" i="20"/>
  <c r="AB1120" i="20"/>
  <c r="AL1120" i="20"/>
  <c r="AG1120" i="20"/>
  <c r="AJ1120" i="20"/>
  <c r="AB1112" i="20"/>
  <c r="AL1112" i="20"/>
  <c r="Y1112" i="20"/>
  <c r="AC1112" i="20"/>
  <c r="AK1112" i="20"/>
  <c r="AD1112" i="20"/>
  <c r="AA1112" i="20"/>
  <c r="Z1112" i="20"/>
  <c r="AG1112" i="20"/>
  <c r="AF1112" i="20"/>
  <c r="AB1104" i="20"/>
  <c r="Y1104" i="20"/>
  <c r="AI1104" i="20"/>
  <c r="AJ1104" i="20"/>
  <c r="AH1104" i="20"/>
  <c r="AE1104" i="20"/>
  <c r="AG1104" i="20"/>
  <c r="AC1104" i="20"/>
  <c r="AA1104" i="20"/>
  <c r="AL1104" i="20"/>
  <c r="AI12" i="20"/>
  <c r="AJ12" i="20"/>
  <c r="AF12" i="20"/>
  <c r="AL12" i="20"/>
  <c r="Y12" i="20"/>
  <c r="AD12" i="20"/>
  <c r="AK12" i="20"/>
  <c r="AA12" i="20"/>
  <c r="AN12" i="20"/>
  <c r="AG12" i="20"/>
  <c r="AA26" i="20"/>
  <c r="AC26" i="20"/>
  <c r="AJ26" i="20"/>
  <c r="Z26" i="20"/>
  <c r="Y26" i="20"/>
  <c r="AK26" i="20"/>
  <c r="AB26" i="20"/>
  <c r="AL26" i="20"/>
  <c r="AK22" i="20"/>
  <c r="Y22" i="20"/>
  <c r="AE22" i="20"/>
  <c r="AG22" i="20"/>
  <c r="AL22" i="20"/>
  <c r="AA22" i="20"/>
  <c r="AH22" i="20"/>
  <c r="AJ22" i="20"/>
  <c r="AB1097" i="20"/>
  <c r="AF1097" i="20"/>
  <c r="Y1097" i="20"/>
  <c r="AE1097" i="20"/>
  <c r="AC1097" i="20"/>
  <c r="AI1097" i="20"/>
  <c r="AJ1097" i="20"/>
  <c r="Z1097" i="20"/>
  <c r="AH1097" i="20"/>
  <c r="AN1097" i="20"/>
  <c r="AG1097" i="20"/>
  <c r="AB1089" i="20"/>
  <c r="AN1089" i="20"/>
  <c r="AG1089" i="20"/>
  <c r="AA1089" i="20"/>
  <c r="AL1089" i="20"/>
  <c r="AC1089" i="20"/>
  <c r="AF1089" i="20"/>
  <c r="AJ1089" i="20"/>
  <c r="AH1089" i="20"/>
  <c r="AD1089" i="20"/>
  <c r="Y1089" i="20"/>
  <c r="Z1089" i="20"/>
  <c r="AE1089" i="20"/>
  <c r="AN1081" i="20"/>
  <c r="AI1081" i="20"/>
  <c r="AL1081" i="20"/>
  <c r="AB1081" i="20"/>
  <c r="AJ1081" i="20"/>
  <c r="AF1081" i="20"/>
  <c r="AG1081" i="20"/>
  <c r="AD1081" i="20"/>
  <c r="Z1081" i="20"/>
  <c r="AK1081" i="20"/>
  <c r="AN1074" i="20"/>
  <c r="AI1074" i="20"/>
  <c r="AB1074" i="20"/>
  <c r="Y1074" i="20"/>
  <c r="AL1074" i="20"/>
  <c r="AF1074" i="20"/>
  <c r="AD1074" i="20"/>
  <c r="AH1074" i="20"/>
  <c r="AE1074" i="20"/>
  <c r="AC1074" i="20"/>
  <c r="AA1074" i="20"/>
  <c r="Z1074" i="20"/>
  <c r="AG1074" i="20"/>
  <c r="AK1074" i="20"/>
  <c r="AD1065" i="20"/>
  <c r="AG1065" i="20"/>
  <c r="AF1065" i="20"/>
  <c r="AJ1065" i="20"/>
  <c r="AE1065" i="20"/>
  <c r="AI1065" i="20"/>
  <c r="Z1065" i="20"/>
  <c r="AH1065" i="20"/>
  <c r="AL1065" i="20"/>
  <c r="AN1065" i="20"/>
  <c r="AK1065" i="20"/>
  <c r="AA1065" i="20"/>
  <c r="AC1065" i="20"/>
  <c r="AB1065" i="20"/>
  <c r="AN1057" i="20"/>
  <c r="AF1057" i="20"/>
  <c r="Y1057" i="20"/>
  <c r="AB1057" i="20"/>
  <c r="AA1057" i="20"/>
  <c r="AG1057" i="20"/>
  <c r="AE1057" i="20"/>
  <c r="AK1057" i="20"/>
  <c r="AJ1057" i="20"/>
  <c r="Z1057" i="20"/>
  <c r="AI1057" i="20"/>
  <c r="AD1057" i="20"/>
  <c r="AC1057" i="20"/>
  <c r="AI1045" i="20"/>
  <c r="AA1045" i="20"/>
  <c r="AH1045" i="20"/>
  <c r="AL1045" i="20"/>
  <c r="AJ1045" i="20"/>
  <c r="AE1045" i="20"/>
  <c r="AC1045" i="20"/>
  <c r="AD1045" i="20"/>
  <c r="Y1045" i="20"/>
  <c r="Z1045" i="20"/>
  <c r="AB1045" i="20"/>
  <c r="AF1045" i="20"/>
  <c r="AK1045" i="20"/>
  <c r="AG1045" i="20"/>
  <c r="AN1045" i="20"/>
  <c r="AN1041" i="20"/>
  <c r="Y1041" i="20"/>
  <c r="AC1041" i="20"/>
  <c r="AG1041" i="20"/>
  <c r="AH1041" i="20"/>
  <c r="AJ1041" i="20"/>
  <c r="AD1041" i="20"/>
  <c r="AE1041" i="20"/>
  <c r="AB1041" i="20"/>
  <c r="AA1041" i="20"/>
  <c r="AL1041" i="20"/>
  <c r="AK1041" i="20"/>
  <c r="AI1041" i="20"/>
  <c r="Z1041" i="20"/>
  <c r="AF1041" i="20"/>
  <c r="AN1018" i="20"/>
  <c r="AI1018" i="20"/>
  <c r="AG1018" i="20"/>
  <c r="AA1018" i="20"/>
  <c r="AJ1018" i="20"/>
  <c r="AK1018" i="20"/>
  <c r="Z1018" i="20"/>
  <c r="AL1018" i="20"/>
  <c r="Y1018" i="20"/>
  <c r="AE1018" i="20"/>
  <c r="AD1018" i="20"/>
  <c r="AB1018" i="20"/>
  <c r="AF1018" i="20"/>
  <c r="AN1005" i="20"/>
  <c r="Z1005" i="20"/>
  <c r="AH1005" i="20"/>
  <c r="AL1005" i="20"/>
  <c r="AC1005" i="20"/>
  <c r="AF1005" i="20"/>
  <c r="AJ1005" i="20"/>
  <c r="AA1005" i="20"/>
  <c r="Y1005" i="20"/>
  <c r="AD1005" i="20"/>
  <c r="AE1005" i="20"/>
  <c r="AG1005" i="20"/>
  <c r="AK1005" i="20"/>
  <c r="AB1005" i="20"/>
  <c r="AN996" i="20"/>
  <c r="AL996" i="20"/>
  <c r="AC996" i="20"/>
  <c r="AA996" i="20"/>
  <c r="AB996" i="20"/>
  <c r="AG996" i="20"/>
  <c r="AJ996" i="20"/>
  <c r="Y996" i="20"/>
  <c r="AF996" i="20"/>
  <c r="AE996" i="20"/>
  <c r="Z996" i="20"/>
  <c r="AH996" i="20"/>
  <c r="AD996" i="20"/>
  <c r="AB987" i="20"/>
  <c r="Z987" i="20"/>
  <c r="AD987" i="20"/>
  <c r="AE987" i="20"/>
  <c r="AC987" i="20"/>
  <c r="AH987" i="20"/>
  <c r="AJ987" i="20"/>
  <c r="AN987" i="20"/>
  <c r="AF987" i="20"/>
  <c r="AA987" i="20"/>
  <c r="AK987" i="20"/>
  <c r="AI987" i="20"/>
  <c r="AJ979" i="20"/>
  <c r="Z979" i="20"/>
  <c r="AA979" i="20"/>
  <c r="AC979" i="20"/>
  <c r="AB979" i="20"/>
  <c r="AN979" i="20"/>
  <c r="AD979" i="20"/>
  <c r="AE979" i="20"/>
  <c r="Y979" i="20"/>
  <c r="AH979" i="20"/>
  <c r="AI979" i="20"/>
  <c r="AF979" i="20"/>
  <c r="Y971" i="20"/>
  <c r="AH971" i="20"/>
  <c r="AD971" i="20"/>
  <c r="AI971" i="20"/>
  <c r="AA971" i="20"/>
  <c r="AJ971" i="20"/>
  <c r="AK971" i="20"/>
  <c r="AF971" i="20"/>
  <c r="AN971" i="20"/>
  <c r="AC971" i="20"/>
  <c r="AL971" i="20"/>
  <c r="Z971" i="20"/>
  <c r="AB971" i="20"/>
  <c r="Z961" i="20"/>
  <c r="AI961" i="20"/>
  <c r="AC961" i="20"/>
  <c r="AK961" i="20"/>
  <c r="AD961" i="20"/>
  <c r="AA961" i="20"/>
  <c r="AH961" i="20"/>
  <c r="AJ961" i="20"/>
  <c r="AN961" i="20"/>
  <c r="AF961" i="20"/>
  <c r="AL961" i="20"/>
  <c r="Y961" i="20"/>
  <c r="AE961" i="20"/>
  <c r="AG961" i="20"/>
  <c r="AN949" i="20"/>
  <c r="AC949" i="20"/>
  <c r="Y949" i="20"/>
  <c r="AA949" i="20"/>
  <c r="AE949" i="20"/>
  <c r="AK949" i="20"/>
  <c r="AH949" i="20"/>
  <c r="AF949" i="20"/>
  <c r="AD949" i="20"/>
  <c r="Z949" i="20"/>
  <c r="AJ949" i="20"/>
  <c r="AI949" i="20"/>
  <c r="AB949" i="20"/>
  <c r="AG949" i="20"/>
  <c r="AL949" i="20"/>
  <c r="AN941" i="20"/>
  <c r="AA941" i="20"/>
  <c r="AE941" i="20"/>
  <c r="AC941" i="20"/>
  <c r="AH941" i="20"/>
  <c r="AL941" i="20"/>
  <c r="AI941" i="20"/>
  <c r="AF941" i="20"/>
  <c r="AG941" i="20"/>
  <c r="AB941" i="20"/>
  <c r="Y941" i="20"/>
  <c r="AK941" i="20"/>
  <c r="AD941" i="20"/>
  <c r="AN933" i="20"/>
  <c r="AA933" i="20"/>
  <c r="AB933" i="20"/>
  <c r="AG933" i="20"/>
  <c r="AK933" i="20"/>
  <c r="AD933" i="20"/>
  <c r="AL933" i="20"/>
  <c r="Y933" i="20"/>
  <c r="AF933" i="20"/>
  <c r="AH933" i="20"/>
  <c r="Z933" i="20"/>
  <c r="AE933" i="20"/>
  <c r="AN925" i="20"/>
  <c r="AJ925" i="20"/>
  <c r="AC925" i="20"/>
  <c r="AD925" i="20"/>
  <c r="AA925" i="20"/>
  <c r="AF925" i="20"/>
  <c r="AB925" i="20"/>
  <c r="AG925" i="20"/>
  <c r="Y925" i="20"/>
  <c r="AE925" i="20"/>
  <c r="Z925" i="20"/>
  <c r="AI925" i="20"/>
  <c r="AK925" i="20"/>
  <c r="AA917" i="20"/>
  <c r="AJ917" i="20"/>
  <c r="AB917" i="20"/>
  <c r="AF917" i="20"/>
  <c r="AN917" i="20"/>
  <c r="AE917" i="20"/>
  <c r="Z917" i="20"/>
  <c r="AC917" i="20"/>
  <c r="AD917" i="20"/>
  <c r="AI917" i="20"/>
  <c r="Y917" i="20"/>
  <c r="AN908" i="20"/>
  <c r="AC908" i="20"/>
  <c r="AD908" i="20"/>
  <c r="AH908" i="20"/>
  <c r="AJ908" i="20"/>
  <c r="AB908" i="20"/>
  <c r="AA908" i="20"/>
  <c r="AG908" i="20"/>
  <c r="AI908" i="20"/>
  <c r="AE908" i="20"/>
  <c r="AL908" i="20"/>
  <c r="Z908" i="20"/>
  <c r="AK908" i="20"/>
  <c r="AN900" i="20"/>
  <c r="Z900" i="20"/>
  <c r="AD900" i="20"/>
  <c r="AC900" i="20"/>
  <c r="AB900" i="20"/>
  <c r="AH900" i="20"/>
  <c r="AF900" i="20"/>
  <c r="AK900" i="20"/>
  <c r="Y900" i="20"/>
  <c r="AA900" i="20"/>
  <c r="AN891" i="20"/>
  <c r="AI891" i="20"/>
  <c r="AE891" i="20"/>
  <c r="AG891" i="20"/>
  <c r="AF891" i="20"/>
  <c r="AD891" i="20"/>
  <c r="AL891" i="20"/>
  <c r="Y891" i="20"/>
  <c r="AB891" i="20"/>
  <c r="AC891" i="20"/>
  <c r="AA891" i="20"/>
  <c r="AK891" i="20"/>
  <c r="AA883" i="20"/>
  <c r="AL883" i="20"/>
  <c r="AC883" i="20"/>
  <c r="AG883" i="20"/>
  <c r="Y883" i="20"/>
  <c r="AF883" i="20"/>
  <c r="AH883" i="20"/>
  <c r="AN883" i="20"/>
  <c r="AI883" i="20"/>
  <c r="AK883" i="20"/>
  <c r="Z883" i="20"/>
  <c r="AB883" i="20"/>
  <c r="AE883" i="20"/>
  <c r="AJ883" i="20"/>
  <c r="AD883" i="20"/>
  <c r="AN869" i="20"/>
  <c r="AD869" i="20"/>
  <c r="AB869" i="20"/>
  <c r="AC869" i="20"/>
  <c r="Y869" i="20"/>
  <c r="AI869" i="20"/>
  <c r="AE869" i="20"/>
  <c r="AJ869" i="20"/>
  <c r="AG869" i="20"/>
  <c r="AK869" i="20"/>
  <c r="AA869" i="20"/>
  <c r="AL869" i="20"/>
  <c r="Z869" i="20"/>
  <c r="AF869" i="20"/>
  <c r="AL858" i="20"/>
  <c r="AB858" i="20"/>
  <c r="AF858" i="20"/>
  <c r="AH858" i="20"/>
  <c r="AE858" i="20"/>
  <c r="AN858" i="20"/>
  <c r="AD858" i="20"/>
  <c r="AK858" i="20"/>
  <c r="AG858" i="20"/>
  <c r="AC858" i="20"/>
  <c r="Y858" i="20"/>
  <c r="AN849" i="20"/>
  <c r="AE849" i="20"/>
  <c r="Z849" i="20"/>
  <c r="AH849" i="20"/>
  <c r="AK849" i="20"/>
  <c r="Y849" i="20"/>
  <c r="AA849" i="20"/>
  <c r="AG849" i="20"/>
  <c r="AF849" i="20"/>
  <c r="AB849" i="20"/>
  <c r="AI849" i="20"/>
  <c r="AC849" i="20"/>
  <c r="AD849" i="20"/>
  <c r="AN840" i="20"/>
  <c r="AF840" i="20"/>
  <c r="AA840" i="20"/>
  <c r="AB840" i="20"/>
  <c r="AI840" i="20"/>
  <c r="AK840" i="20"/>
  <c r="Y840" i="20"/>
  <c r="AJ840" i="20"/>
  <c r="AE840" i="20"/>
  <c r="AC840" i="20"/>
  <c r="Z840" i="20"/>
  <c r="AD840" i="20"/>
  <c r="AN832" i="20"/>
  <c r="Y832" i="20"/>
  <c r="AC832" i="20"/>
  <c r="AK832" i="20"/>
  <c r="Z832" i="20"/>
  <c r="AA832" i="20"/>
  <c r="AJ832" i="20"/>
  <c r="AF832" i="20"/>
  <c r="AE832" i="20"/>
  <c r="AI832" i="20"/>
  <c r="AG832" i="20"/>
  <c r="AH832" i="20"/>
  <c r="AB832" i="20"/>
  <c r="AN824" i="20"/>
  <c r="AB824" i="20"/>
  <c r="AG824" i="20"/>
  <c r="AF824" i="20"/>
  <c r="AH824" i="20"/>
  <c r="AJ824" i="20"/>
  <c r="AC824" i="20"/>
  <c r="AA824" i="20"/>
  <c r="AD824" i="20"/>
  <c r="Y824" i="20"/>
  <c r="AN816" i="20"/>
  <c r="AL816" i="20"/>
  <c r="AH816" i="20"/>
  <c r="AB816" i="20"/>
  <c r="Y816" i="20"/>
  <c r="AK816" i="20"/>
  <c r="AD816" i="20"/>
  <c r="AE816" i="20"/>
  <c r="AF816" i="20"/>
  <c r="AG816" i="20"/>
  <c r="AC816" i="20"/>
  <c r="Z816" i="20"/>
  <c r="AN808" i="20"/>
  <c r="AF808" i="20"/>
  <c r="AG808" i="20"/>
  <c r="Z808" i="20"/>
  <c r="AD808" i="20"/>
  <c r="AI808" i="20"/>
  <c r="AB808" i="20"/>
  <c r="Y808" i="20"/>
  <c r="AK808" i="20"/>
  <c r="AJ808" i="20"/>
  <c r="AA808" i="20"/>
  <c r="AN800" i="20"/>
  <c r="Z800" i="20"/>
  <c r="AC800" i="20"/>
  <c r="AH800" i="20"/>
  <c r="AL800" i="20"/>
  <c r="AE800" i="20"/>
  <c r="AB800" i="20"/>
  <c r="Y800" i="20"/>
  <c r="AD800" i="20"/>
  <c r="AJ800" i="20"/>
  <c r="AK800" i="20"/>
  <c r="AN792" i="20"/>
  <c r="AK792" i="20"/>
  <c r="AJ792" i="20"/>
  <c r="AH792" i="20"/>
  <c r="Y792" i="20"/>
  <c r="AG792" i="20"/>
  <c r="Z792" i="20"/>
  <c r="AB792" i="20"/>
  <c r="AF792" i="20"/>
  <c r="AD792" i="20"/>
  <c r="AE792" i="20"/>
  <c r="AC792" i="20"/>
  <c r="AA784" i="20"/>
  <c r="AI784" i="20"/>
  <c r="AE784" i="20"/>
  <c r="AB784" i="20"/>
  <c r="AH784" i="20"/>
  <c r="AN784" i="20"/>
  <c r="Y784" i="20"/>
  <c r="AL784" i="20"/>
  <c r="AF784" i="20"/>
  <c r="Z784" i="20"/>
  <c r="AG784" i="20"/>
  <c r="AC784" i="20"/>
  <c r="AJ784" i="20"/>
  <c r="AD784" i="20"/>
  <c r="Z776" i="20"/>
  <c r="AK776" i="20"/>
  <c r="Y776" i="20"/>
  <c r="AC776" i="20"/>
  <c r="AD776" i="20"/>
  <c r="AB776" i="20"/>
  <c r="AA776" i="20"/>
  <c r="AL776" i="20"/>
  <c r="AI776" i="20"/>
  <c r="AF776" i="20"/>
  <c r="AN776" i="20"/>
  <c r="AH776" i="20"/>
  <c r="AG776" i="20"/>
  <c r="AE776" i="20"/>
  <c r="AE768" i="20"/>
  <c r="Z768" i="20"/>
  <c r="AI768" i="20"/>
  <c r="AC768" i="20"/>
  <c r="AB768" i="20"/>
  <c r="AA768" i="20"/>
  <c r="AN768" i="20"/>
  <c r="Y768" i="20"/>
  <c r="AJ768" i="20"/>
  <c r="AL768" i="20"/>
  <c r="AD768" i="20"/>
  <c r="AF768" i="20"/>
  <c r="AK768" i="20"/>
  <c r="AG768" i="20"/>
  <c r="AN760" i="20"/>
  <c r="AI760" i="20"/>
  <c r="AA760" i="20"/>
  <c r="AB760" i="20"/>
  <c r="AF760" i="20"/>
  <c r="AE760" i="20"/>
  <c r="AJ760" i="20"/>
  <c r="Z760" i="20"/>
  <c r="Y760" i="20"/>
  <c r="AK760" i="20"/>
  <c r="AC760" i="20"/>
  <c r="AH760" i="20"/>
  <c r="AL760" i="20"/>
  <c r="AG760" i="20"/>
  <c r="AI752" i="20"/>
  <c r="AA752" i="20"/>
  <c r="AK752" i="20"/>
  <c r="AJ752" i="20"/>
  <c r="Y752" i="20"/>
  <c r="Z752" i="20"/>
  <c r="AH752" i="20"/>
  <c r="AN752" i="20"/>
  <c r="AB752" i="20"/>
  <c r="AL752" i="20"/>
  <c r="AG752" i="20"/>
  <c r="AC752" i="20"/>
  <c r="AD752" i="20"/>
  <c r="AN744" i="20"/>
  <c r="AI744" i="20"/>
  <c r="Z744" i="20"/>
  <c r="AF744" i="20"/>
  <c r="AE744" i="20"/>
  <c r="AB744" i="20"/>
  <c r="AH744" i="20"/>
  <c r="AJ744" i="20"/>
  <c r="AA744" i="20"/>
  <c r="AK744" i="20"/>
  <c r="AL744" i="20"/>
  <c r="Y744" i="20"/>
  <c r="AG744" i="20"/>
  <c r="AN736" i="20"/>
  <c r="AA736" i="20"/>
  <c r="AC736" i="20"/>
  <c r="AH736" i="20"/>
  <c r="AL736" i="20"/>
  <c r="AJ736" i="20"/>
  <c r="AF736" i="20"/>
  <c r="AE736" i="20"/>
  <c r="Z736" i="20"/>
  <c r="AI736" i="20"/>
  <c r="AB736" i="20"/>
  <c r="AD736" i="20"/>
  <c r="AG736" i="20"/>
  <c r="AK736" i="20"/>
  <c r="AF728" i="20"/>
  <c r="AE728" i="20"/>
  <c r="Z728" i="20"/>
  <c r="AJ728" i="20"/>
  <c r="AA728" i="20"/>
  <c r="AN728" i="20"/>
  <c r="AI728" i="20"/>
  <c r="AB728" i="20"/>
  <c r="AK728" i="20"/>
  <c r="AD728" i="20"/>
  <c r="AC728" i="20"/>
  <c r="AH728" i="20"/>
  <c r="AL728" i="20"/>
  <c r="AG728" i="20"/>
  <c r="Y728" i="20"/>
  <c r="AL720" i="20"/>
  <c r="AJ720" i="20"/>
  <c r="AC720" i="20"/>
  <c r="AD720" i="20"/>
  <c r="AK720" i="20"/>
  <c r="AB720" i="20"/>
  <c r="AE720" i="20"/>
  <c r="AA720" i="20"/>
  <c r="AG720" i="20"/>
  <c r="AN720" i="20"/>
  <c r="AF720" i="20"/>
  <c r="AN712" i="20"/>
  <c r="AA712" i="20"/>
  <c r="Z712" i="20"/>
  <c r="AB712" i="20"/>
  <c r="AG712" i="20"/>
  <c r="AK712" i="20"/>
  <c r="AD712" i="20"/>
  <c r="AH712" i="20"/>
  <c r="AI712" i="20"/>
  <c r="AL712" i="20"/>
  <c r="AC712" i="20"/>
  <c r="AJ712" i="20"/>
  <c r="AE704" i="20"/>
  <c r="AF704" i="20"/>
  <c r="Z704" i="20"/>
  <c r="AD704" i="20"/>
  <c r="AA704" i="20"/>
  <c r="AC704" i="20"/>
  <c r="AH704" i="20"/>
  <c r="AI704" i="20"/>
  <c r="AN704" i="20"/>
  <c r="AK704" i="20"/>
  <c r="Y704" i="20"/>
  <c r="AL704" i="20"/>
  <c r="AJ704" i="20"/>
  <c r="AG704" i="20"/>
  <c r="AB704" i="20"/>
  <c r="AN696" i="20"/>
  <c r="AK696" i="20"/>
  <c r="Z696" i="20"/>
  <c r="AB696" i="20"/>
  <c r="AF696" i="20"/>
  <c r="AA696" i="20"/>
  <c r="AG696" i="20"/>
  <c r="AD696" i="20"/>
  <c r="AH696" i="20"/>
  <c r="AI696" i="20"/>
  <c r="AE696" i="20"/>
  <c r="AJ696" i="20"/>
  <c r="AC696" i="20"/>
  <c r="Y696" i="20"/>
  <c r="AL696" i="20"/>
  <c r="AN688" i="20"/>
  <c r="AG688" i="20"/>
  <c r="Z688" i="20"/>
  <c r="AF688" i="20"/>
  <c r="AK688" i="20"/>
  <c r="AC688" i="20"/>
  <c r="AA688" i="20"/>
  <c r="AH688" i="20"/>
  <c r="AJ688" i="20"/>
  <c r="AD688" i="20"/>
  <c r="AE688" i="20"/>
  <c r="AB688" i="20"/>
  <c r="AN680" i="20"/>
  <c r="AK680" i="20"/>
  <c r="AB680" i="20"/>
  <c r="AG680" i="20"/>
  <c r="Z680" i="20"/>
  <c r="AL680" i="20"/>
  <c r="AD680" i="20"/>
  <c r="AA680" i="20"/>
  <c r="AC680" i="20"/>
  <c r="AF680" i="20"/>
  <c r="Y680" i="20"/>
  <c r="AI680" i="20"/>
  <c r="AE680" i="20"/>
  <c r="AI672" i="20"/>
  <c r="AA672" i="20"/>
  <c r="AK672" i="20"/>
  <c r="Y672" i="20"/>
  <c r="AC672" i="20"/>
  <c r="AH672" i="20"/>
  <c r="AJ672" i="20"/>
  <c r="AN672" i="20"/>
  <c r="Z672" i="20"/>
  <c r="AE672" i="20"/>
  <c r="AB672" i="20"/>
  <c r="AG672" i="20"/>
  <c r="AL672" i="20"/>
  <c r="AN664" i="20"/>
  <c r="AD664" i="20"/>
  <c r="Y664" i="20"/>
  <c r="AG664" i="20"/>
  <c r="AC664" i="20"/>
  <c r="AI664" i="20"/>
  <c r="AE664" i="20"/>
  <c r="AA664" i="20"/>
  <c r="Z664" i="20"/>
  <c r="AB664" i="20"/>
  <c r="AN656" i="20"/>
  <c r="AD656" i="20"/>
  <c r="AG656" i="20"/>
  <c r="AK656" i="20"/>
  <c r="AC656" i="20"/>
  <c r="AJ656" i="20"/>
  <c r="AE656" i="20"/>
  <c r="AF656" i="20"/>
  <c r="AB656" i="20"/>
  <c r="AL656" i="20"/>
  <c r="AI656" i="20"/>
  <c r="Z656" i="20"/>
  <c r="AA656" i="20"/>
  <c r="Y656" i="20"/>
  <c r="AD648" i="20"/>
  <c r="AI648" i="20"/>
  <c r="AJ648" i="20"/>
  <c r="AN648" i="20"/>
  <c r="AG648" i="20"/>
  <c r="Y648" i="20"/>
  <c r="AE648" i="20"/>
  <c r="AB648" i="20"/>
  <c r="AA648" i="20"/>
  <c r="AK648" i="20"/>
  <c r="AF648" i="20"/>
  <c r="AH648" i="20"/>
  <c r="AF639" i="20"/>
  <c r="AE639" i="20"/>
  <c r="AA639" i="20"/>
  <c r="AD639" i="20"/>
  <c r="AB639" i="20"/>
  <c r="AH639" i="20"/>
  <c r="AL639" i="20"/>
  <c r="AJ639" i="20"/>
  <c r="AN639" i="20"/>
  <c r="AK639" i="20"/>
  <c r="AG639" i="20"/>
  <c r="Z639" i="20"/>
  <c r="AI639" i="20"/>
  <c r="Y639" i="20"/>
  <c r="AN632" i="20"/>
  <c r="AC632" i="20"/>
  <c r="AD632" i="20"/>
  <c r="AI632" i="20"/>
  <c r="AF632" i="20"/>
  <c r="AG632" i="20"/>
  <c r="AJ632" i="20"/>
  <c r="AE632" i="20"/>
  <c r="AL632" i="20"/>
  <c r="AK632" i="20"/>
  <c r="AB632" i="20"/>
  <c r="Y632" i="20"/>
  <c r="AA632" i="20"/>
  <c r="AH632" i="20"/>
  <c r="AN628" i="20"/>
  <c r="AB628" i="20"/>
  <c r="AG628" i="20"/>
  <c r="AK628" i="20"/>
  <c r="AL628" i="20"/>
  <c r="AE628" i="20"/>
  <c r="AD628" i="20"/>
  <c r="AF628" i="20"/>
  <c r="AC628" i="20"/>
  <c r="Z628" i="20"/>
  <c r="AA628" i="20"/>
  <c r="AH628" i="20"/>
  <c r="AJ628" i="20"/>
  <c r="Y628" i="20"/>
  <c r="AI628" i="20"/>
  <c r="AN620" i="20"/>
  <c r="Y620" i="20"/>
  <c r="Z620" i="20"/>
  <c r="AK620" i="20"/>
  <c r="AJ620" i="20"/>
  <c r="AI620" i="20"/>
  <c r="AE620" i="20"/>
  <c r="AA620" i="20"/>
  <c r="AF620" i="20"/>
  <c r="AC620" i="20"/>
  <c r="AH620" i="20"/>
  <c r="AJ612" i="20"/>
  <c r="AF612" i="20"/>
  <c r="AC612" i="20"/>
  <c r="AB612" i="20"/>
  <c r="AA612" i="20"/>
  <c r="AG612" i="20"/>
  <c r="AD612" i="20"/>
  <c r="AH612" i="20"/>
  <c r="AE612" i="20"/>
  <c r="Y612" i="20"/>
  <c r="Z612" i="20"/>
  <c r="AL612" i="20"/>
  <c r="AK612" i="20"/>
  <c r="AI612" i="20"/>
  <c r="AN604" i="20"/>
  <c r="AD604" i="20"/>
  <c r="Z604" i="20"/>
  <c r="AG604" i="20"/>
  <c r="AA604" i="20"/>
  <c r="AE604" i="20"/>
  <c r="AL604" i="20"/>
  <c r="AF604" i="20"/>
  <c r="AK604" i="20"/>
  <c r="AH604" i="20"/>
  <c r="AI604" i="20"/>
  <c r="AJ604" i="20"/>
  <c r="AB604" i="20"/>
  <c r="Y604" i="20"/>
  <c r="AC604" i="20"/>
  <c r="AN596" i="20"/>
  <c r="AG596" i="20"/>
  <c r="AA596" i="20"/>
  <c r="AF596" i="20"/>
  <c r="Z596" i="20"/>
  <c r="AC596" i="20"/>
  <c r="AH596" i="20"/>
  <c r="AB596" i="20"/>
  <c r="AE596" i="20"/>
  <c r="AL596" i="20"/>
  <c r="AD596" i="20"/>
  <c r="AK596" i="20"/>
  <c r="Y596" i="20"/>
  <c r="AI596" i="20"/>
  <c r="AJ596" i="20"/>
  <c r="AJ588" i="20"/>
  <c r="AC588" i="20"/>
  <c r="AD588" i="20"/>
  <c r="Y588" i="20"/>
  <c r="AL588" i="20"/>
  <c r="AG588" i="20"/>
  <c r="AE588" i="20"/>
  <c r="AB588" i="20"/>
  <c r="AA588" i="20"/>
  <c r="Z588" i="20"/>
  <c r="AK588" i="20"/>
  <c r="AN588" i="20"/>
  <c r="AF588" i="20"/>
  <c r="AH588" i="20"/>
  <c r="AC580" i="20"/>
  <c r="AE580" i="20"/>
  <c r="AJ580" i="20"/>
  <c r="Y580" i="20"/>
  <c r="AD580" i="20"/>
  <c r="AB580" i="20"/>
  <c r="AA580" i="20"/>
  <c r="AK580" i="20"/>
  <c r="AH580" i="20"/>
  <c r="AL580" i="20"/>
  <c r="AI580" i="20"/>
  <c r="AN580" i="20"/>
  <c r="AB572" i="20"/>
  <c r="AE572" i="20"/>
  <c r="AA572" i="20"/>
  <c r="AG572" i="20"/>
  <c r="AI572" i="20"/>
  <c r="AC572" i="20"/>
  <c r="AN572" i="20"/>
  <c r="AJ572" i="20"/>
  <c r="AD572" i="20"/>
  <c r="Y572" i="20"/>
  <c r="Z572" i="20"/>
  <c r="AL572" i="20"/>
  <c r="Z568" i="20"/>
  <c r="AB568" i="20"/>
  <c r="AG568" i="20"/>
  <c r="AE568" i="20"/>
  <c r="AD568" i="20"/>
  <c r="AA568" i="20"/>
  <c r="AI568" i="20"/>
  <c r="AN568" i="20"/>
  <c r="AL568" i="20"/>
  <c r="AC568" i="20"/>
  <c r="AF568" i="20"/>
  <c r="Y568" i="20"/>
  <c r="AH568" i="20"/>
  <c r="AJ568" i="20"/>
  <c r="AN562" i="20"/>
  <c r="AG562" i="20"/>
  <c r="Z562" i="20"/>
  <c r="AB562" i="20"/>
  <c r="AJ562" i="20"/>
  <c r="AC562" i="20"/>
  <c r="AI562" i="20"/>
  <c r="AE562" i="20"/>
  <c r="AD562" i="20"/>
  <c r="AF562" i="20"/>
  <c r="Y562" i="20"/>
  <c r="AH562" i="20"/>
  <c r="AA562" i="20"/>
  <c r="AL562" i="20"/>
  <c r="AK562" i="20"/>
  <c r="AN548" i="20"/>
  <c r="AB548" i="20"/>
  <c r="AL548" i="20"/>
  <c r="AA548" i="20"/>
  <c r="AD548" i="20"/>
  <c r="AE548" i="20"/>
  <c r="AC548" i="20"/>
  <c r="AK548" i="20"/>
  <c r="AF548" i="20"/>
  <c r="AG548" i="20"/>
  <c r="AH548" i="20"/>
  <c r="Y548" i="20"/>
  <c r="Y540" i="20"/>
  <c r="AF540" i="20"/>
  <c r="AA540" i="20"/>
  <c r="AB540" i="20"/>
  <c r="AG540" i="20"/>
  <c r="AI540" i="20"/>
  <c r="AC540" i="20"/>
  <c r="AE540" i="20"/>
  <c r="AD540" i="20"/>
  <c r="AH540" i="20"/>
  <c r="AN540" i="20"/>
  <c r="AK540" i="20"/>
  <c r="AB532" i="20"/>
  <c r="AI532" i="20"/>
  <c r="AC532" i="20"/>
  <c r="AE532" i="20"/>
  <c r="AA532" i="20"/>
  <c r="Z532" i="20"/>
  <c r="AH532" i="20"/>
  <c r="AN532" i="20"/>
  <c r="AL532" i="20"/>
  <c r="AF532" i="20"/>
  <c r="AJ532" i="20"/>
  <c r="AG532" i="20"/>
  <c r="AK532" i="20"/>
  <c r="AN524" i="20"/>
  <c r="AG524" i="20"/>
  <c r="Z524" i="20"/>
  <c r="AL524" i="20"/>
  <c r="AJ524" i="20"/>
  <c r="AB524" i="20"/>
  <c r="AK524" i="20"/>
  <c r="AD524" i="20"/>
  <c r="AI524" i="20"/>
  <c r="AF524" i="20"/>
  <c r="AE524" i="20"/>
  <c r="AH524" i="20"/>
  <c r="AA524" i="20"/>
  <c r="Y516" i="20"/>
  <c r="AE516" i="20"/>
  <c r="AK516" i="20"/>
  <c r="Z516" i="20"/>
  <c r="AH516" i="20"/>
  <c r="AG516" i="20"/>
  <c r="AI516" i="20"/>
  <c r="AB516" i="20"/>
  <c r="AN516" i="20"/>
  <c r="AD516" i="20"/>
  <c r="AF516" i="20"/>
  <c r="AC516" i="20"/>
  <c r="AL516" i="20"/>
  <c r="AA516" i="20"/>
  <c r="AN508" i="20"/>
  <c r="AB508" i="20"/>
  <c r="AG508" i="20"/>
  <c r="AA508" i="20"/>
  <c r="AD508" i="20"/>
  <c r="AH508" i="20"/>
  <c r="Z508" i="20"/>
  <c r="AI508" i="20"/>
  <c r="AC508" i="20"/>
  <c r="Y508" i="20"/>
  <c r="AF508" i="20"/>
  <c r="AJ508" i="20"/>
  <c r="AE508" i="20"/>
  <c r="AC500" i="20"/>
  <c r="AB500" i="20"/>
  <c r="AL500" i="20"/>
  <c r="AK500" i="20"/>
  <c r="Y500" i="20"/>
  <c r="Z500" i="20"/>
  <c r="AJ500" i="20"/>
  <c r="AN500" i="20"/>
  <c r="AF500" i="20"/>
  <c r="AG500" i="20"/>
  <c r="AH500" i="20"/>
  <c r="AE500" i="20"/>
  <c r="AA500" i="20"/>
  <c r="AN557" i="20"/>
  <c r="AG557" i="20"/>
  <c r="AK557" i="20"/>
  <c r="AD557" i="20"/>
  <c r="AF557" i="20"/>
  <c r="AC557" i="20"/>
  <c r="AL557" i="20"/>
  <c r="AE557" i="20"/>
  <c r="AB557" i="20"/>
  <c r="AA557" i="20"/>
  <c r="AH557" i="20"/>
  <c r="AJ557" i="20"/>
  <c r="Z557" i="20"/>
  <c r="Y557" i="20"/>
  <c r="AN488" i="20"/>
  <c r="Y488" i="20"/>
  <c r="AD488" i="20"/>
  <c r="AL488" i="20"/>
  <c r="AJ488" i="20"/>
  <c r="AE488" i="20"/>
  <c r="AG488" i="20"/>
  <c r="AC488" i="20"/>
  <c r="AI488" i="20"/>
  <c r="Z488" i="20"/>
  <c r="AA488" i="20"/>
  <c r="AK488" i="20"/>
  <c r="AF488" i="20"/>
  <c r="AN480" i="20"/>
  <c r="AL480" i="20"/>
  <c r="AA480" i="20"/>
  <c r="AC480" i="20"/>
  <c r="AK480" i="20"/>
  <c r="Y480" i="20"/>
  <c r="AG480" i="20"/>
  <c r="AD480" i="20"/>
  <c r="AF480" i="20"/>
  <c r="AJ480" i="20"/>
  <c r="AI480" i="20"/>
  <c r="Z480" i="20"/>
  <c r="AE480" i="20"/>
  <c r="AB480" i="20"/>
  <c r="AK476" i="20"/>
  <c r="AE476" i="20"/>
  <c r="AC476" i="20"/>
  <c r="AF476" i="20"/>
  <c r="AB476" i="20"/>
  <c r="AN476" i="20"/>
  <c r="Y476" i="20"/>
  <c r="Z476" i="20"/>
  <c r="AJ476" i="20"/>
  <c r="AG476" i="20"/>
  <c r="AD476" i="20"/>
  <c r="AH476" i="20"/>
  <c r="AL468" i="20"/>
  <c r="AG468" i="20"/>
  <c r="AE468" i="20"/>
  <c r="AA468" i="20"/>
  <c r="AF468" i="20"/>
  <c r="AB468" i="20"/>
  <c r="AH468" i="20"/>
  <c r="Y468" i="20"/>
  <c r="Z468" i="20"/>
  <c r="AI468" i="20"/>
  <c r="AC468" i="20"/>
  <c r="AK468" i="20"/>
  <c r="AC460" i="20"/>
  <c r="AK460" i="20"/>
  <c r="AB460" i="20"/>
  <c r="Z460" i="20"/>
  <c r="AG460" i="20"/>
  <c r="AE460" i="20"/>
  <c r="AJ460" i="20"/>
  <c r="AN460" i="20"/>
  <c r="AI460" i="20"/>
  <c r="AA460" i="20"/>
  <c r="AF460" i="20"/>
  <c r="AD460" i="20"/>
  <c r="Y460" i="20"/>
  <c r="AH460" i="20"/>
  <c r="AD448" i="20"/>
  <c r="AA448" i="20"/>
  <c r="AE448" i="20"/>
  <c r="AC448" i="20"/>
  <c r="AF448" i="20"/>
  <c r="AN448" i="20"/>
  <c r="AJ448" i="20"/>
  <c r="AI448" i="20"/>
  <c r="Z448" i="20"/>
  <c r="AB448" i="20"/>
  <c r="AG448" i="20"/>
  <c r="AH448" i="20"/>
  <c r="AL448" i="20"/>
  <c r="Y448" i="20"/>
  <c r="AI440" i="20"/>
  <c r="Z440" i="20"/>
  <c r="AN440" i="20"/>
  <c r="AC440" i="20"/>
  <c r="Y440" i="20"/>
  <c r="AF440" i="20"/>
  <c r="AB440" i="20"/>
  <c r="AA440" i="20"/>
  <c r="AJ440" i="20"/>
  <c r="AE440" i="20"/>
  <c r="AK440" i="20"/>
  <c r="AD440" i="20"/>
  <c r="AH440" i="20"/>
  <c r="AG440" i="20"/>
  <c r="Z432" i="20"/>
  <c r="AK432" i="20"/>
  <c r="AC432" i="20"/>
  <c r="AN432" i="20"/>
  <c r="AF432" i="20"/>
  <c r="AB432" i="20"/>
  <c r="AL432" i="20"/>
  <c r="AJ432" i="20"/>
  <c r="AE432" i="20"/>
  <c r="AA432" i="20"/>
  <c r="AG432" i="20"/>
  <c r="Y432" i="20"/>
  <c r="AD432" i="20"/>
  <c r="AH432" i="20"/>
  <c r="AJ424" i="20"/>
  <c r="AD424" i="20"/>
  <c r="AG424" i="20"/>
  <c r="AK424" i="20"/>
  <c r="AI424" i="20"/>
  <c r="AN424" i="20"/>
  <c r="AE424" i="20"/>
  <c r="Z424" i="20"/>
  <c r="Y424" i="20"/>
  <c r="AA424" i="20"/>
  <c r="AH424" i="20"/>
  <c r="AL424" i="20"/>
  <c r="AB424" i="20"/>
  <c r="AF424" i="20"/>
  <c r="AA416" i="20"/>
  <c r="AC416" i="20"/>
  <c r="AE416" i="20"/>
  <c r="AG416" i="20"/>
  <c r="AF416" i="20"/>
  <c r="AB416" i="20"/>
  <c r="AK416" i="20"/>
  <c r="AJ416" i="20"/>
  <c r="AN416" i="20"/>
  <c r="AD416" i="20"/>
  <c r="Y416" i="20"/>
  <c r="AL416" i="20"/>
  <c r="AN408" i="20"/>
  <c r="AK408" i="20"/>
  <c r="Y408" i="20"/>
  <c r="AB408" i="20"/>
  <c r="AF408" i="20"/>
  <c r="AA408" i="20"/>
  <c r="AH408" i="20"/>
  <c r="AL408" i="20"/>
  <c r="AJ408" i="20"/>
  <c r="AE408" i="20"/>
  <c r="AC408" i="20"/>
  <c r="Z408" i="20"/>
  <c r="AG408" i="20"/>
  <c r="AD408" i="20"/>
  <c r="AI408" i="20"/>
  <c r="AN400" i="20"/>
  <c r="Y400" i="20"/>
  <c r="Z400" i="20"/>
  <c r="AA400" i="20"/>
  <c r="AG400" i="20"/>
  <c r="AD400" i="20"/>
  <c r="AF400" i="20"/>
  <c r="AL400" i="20"/>
  <c r="AJ400" i="20"/>
  <c r="AC400" i="20"/>
  <c r="AI400" i="20"/>
  <c r="AK400" i="20"/>
  <c r="AA392" i="20"/>
  <c r="AN392" i="20"/>
  <c r="Z392" i="20"/>
  <c r="AD392" i="20"/>
  <c r="AE392" i="20"/>
  <c r="AH392" i="20"/>
  <c r="AF392" i="20"/>
  <c r="Y392" i="20"/>
  <c r="AB392" i="20"/>
  <c r="AC392" i="20"/>
  <c r="AK392" i="20"/>
  <c r="AJ392" i="20"/>
  <c r="AI392" i="20"/>
  <c r="AG392" i="20"/>
  <c r="AN384" i="20"/>
  <c r="AK384" i="20"/>
  <c r="Z384" i="20"/>
  <c r="AB384" i="20"/>
  <c r="AE384" i="20"/>
  <c r="AG384" i="20"/>
  <c r="AJ384" i="20"/>
  <c r="AC384" i="20"/>
  <c r="AD384" i="20"/>
  <c r="Y384" i="20"/>
  <c r="AF384" i="20"/>
  <c r="AH384" i="20"/>
  <c r="AL384" i="20"/>
  <c r="AA384" i="20"/>
  <c r="AL376" i="20"/>
  <c r="AK376" i="20"/>
  <c r="AF376" i="20"/>
  <c r="AA376" i="20"/>
  <c r="AN376" i="20"/>
  <c r="AE376" i="20"/>
  <c r="AG376" i="20"/>
  <c r="Y376" i="20"/>
  <c r="Z376" i="20"/>
  <c r="AC376" i="20"/>
  <c r="AJ376" i="20"/>
  <c r="AB376" i="20"/>
  <c r="AD376" i="20"/>
  <c r="AN368" i="20"/>
  <c r="AG368" i="20"/>
  <c r="AE368" i="20"/>
  <c r="AJ368" i="20"/>
  <c r="AB368" i="20"/>
  <c r="AI368" i="20"/>
  <c r="AD368" i="20"/>
  <c r="Y368" i="20"/>
  <c r="AA368" i="20"/>
  <c r="AL368" i="20"/>
  <c r="Z368" i="20"/>
  <c r="AF368" i="20"/>
  <c r="AK368" i="20"/>
  <c r="AC368" i="20"/>
  <c r="AF360" i="20"/>
  <c r="Y360" i="20"/>
  <c r="AK360" i="20"/>
  <c r="Z360" i="20"/>
  <c r="AC360" i="20"/>
  <c r="AB360" i="20"/>
  <c r="AH360" i="20"/>
  <c r="AD360" i="20"/>
  <c r="AJ360" i="20"/>
  <c r="AE360" i="20"/>
  <c r="AN360" i="20"/>
  <c r="AA360" i="20"/>
  <c r="AG360" i="20"/>
  <c r="AL360" i="20"/>
  <c r="AN352" i="20"/>
  <c r="AA352" i="20"/>
  <c r="AE352" i="20"/>
  <c r="AD352" i="20"/>
  <c r="AG352" i="20"/>
  <c r="AF352" i="20"/>
  <c r="AK352" i="20"/>
  <c r="AC352" i="20"/>
  <c r="Y352" i="20"/>
  <c r="Z352" i="20"/>
  <c r="AB352" i="20"/>
  <c r="AH352" i="20"/>
  <c r="AJ352" i="20"/>
  <c r="AN348" i="20"/>
  <c r="AI348" i="20"/>
  <c r="AE348" i="20"/>
  <c r="AB348" i="20"/>
  <c r="Y348" i="20"/>
  <c r="AD348" i="20"/>
  <c r="AA348" i="20"/>
  <c r="AF348" i="20"/>
  <c r="AC348" i="20"/>
  <c r="AG348" i="20"/>
  <c r="Z348" i="20"/>
  <c r="AH348" i="20"/>
  <c r="AL348" i="20"/>
  <c r="AJ348" i="20"/>
  <c r="AK348" i="20"/>
  <c r="AE336" i="20"/>
  <c r="Y336" i="20"/>
  <c r="AL336" i="20"/>
  <c r="AC336" i="20"/>
  <c r="AK336" i="20"/>
  <c r="AB336" i="20"/>
  <c r="AD336" i="20"/>
  <c r="AG336" i="20"/>
  <c r="AF336" i="20"/>
  <c r="Z336" i="20"/>
  <c r="AA336" i="20"/>
  <c r="AH336" i="20"/>
  <c r="AN336" i="20"/>
  <c r="AI336" i="20"/>
  <c r="AA328" i="20"/>
  <c r="AG328" i="20"/>
  <c r="Y328" i="20"/>
  <c r="AN328" i="20"/>
  <c r="AJ328" i="20"/>
  <c r="AD328" i="20"/>
  <c r="AE328" i="20"/>
  <c r="AH328" i="20"/>
  <c r="AF328" i="20"/>
  <c r="AC328" i="20"/>
  <c r="AB328" i="20"/>
  <c r="AK328" i="20"/>
  <c r="Z328" i="20"/>
  <c r="AN320" i="20"/>
  <c r="AJ320" i="20"/>
  <c r="AK320" i="20"/>
  <c r="AB320" i="20"/>
  <c r="AF320" i="20"/>
  <c r="AC320" i="20"/>
  <c r="AH320" i="20"/>
  <c r="AL320" i="20"/>
  <c r="AA320" i="20"/>
  <c r="AI320" i="20"/>
  <c r="Z320" i="20"/>
  <c r="AG320" i="20"/>
  <c r="AD320" i="20"/>
  <c r="AE320" i="20"/>
  <c r="AF312" i="20"/>
  <c r="AC312" i="20"/>
  <c r="AB312" i="20"/>
  <c r="AA312" i="20"/>
  <c r="AE312" i="20"/>
  <c r="AJ312" i="20"/>
  <c r="AK312" i="20"/>
  <c r="AN312" i="20"/>
  <c r="AG312" i="20"/>
  <c r="Z312" i="20"/>
  <c r="AI312" i="20"/>
  <c r="Y312" i="20"/>
  <c r="Z304" i="20"/>
  <c r="AF304" i="20"/>
  <c r="AH304" i="20"/>
  <c r="AC304" i="20"/>
  <c r="AN304" i="20"/>
  <c r="AD304" i="20"/>
  <c r="AK304" i="20"/>
  <c r="AB304" i="20"/>
  <c r="AG304" i="20"/>
  <c r="AI304" i="20"/>
  <c r="AL304" i="20"/>
  <c r="Y304" i="20"/>
  <c r="AJ304" i="20"/>
  <c r="AE304" i="20"/>
  <c r="AA304" i="20"/>
  <c r="AL296" i="20"/>
  <c r="AE296" i="20"/>
  <c r="Y296" i="20"/>
  <c r="AB296" i="20"/>
  <c r="AC296" i="20"/>
  <c r="AJ296" i="20"/>
  <c r="AD296" i="20"/>
  <c r="AF296" i="20"/>
  <c r="Z296" i="20"/>
  <c r="AN296" i="20"/>
  <c r="AG296" i="20"/>
  <c r="AI296" i="20"/>
  <c r="AK296" i="20"/>
  <c r="AA296" i="20"/>
  <c r="AH296" i="20"/>
  <c r="AN288" i="20"/>
  <c r="AE288" i="20"/>
  <c r="AD288" i="20"/>
  <c r="AB288" i="20"/>
  <c r="AL288" i="20"/>
  <c r="Y288" i="20"/>
  <c r="Z288" i="20"/>
  <c r="AJ288" i="20"/>
  <c r="AG288" i="20"/>
  <c r="AK288" i="20"/>
  <c r="AH288" i="20"/>
  <c r="AC288" i="20"/>
  <c r="AA288" i="20"/>
  <c r="AF288" i="20"/>
  <c r="AN280" i="20"/>
  <c r="AK280" i="20"/>
  <c r="AI280" i="20"/>
  <c r="AG280" i="20"/>
  <c r="AD280" i="20"/>
  <c r="AE280" i="20"/>
  <c r="Y280" i="20"/>
  <c r="AA280" i="20"/>
  <c r="AL280" i="20"/>
  <c r="AJ280" i="20"/>
  <c r="AB280" i="20"/>
  <c r="AF280" i="20"/>
  <c r="Z280" i="20"/>
  <c r="AH280" i="20"/>
  <c r="AC280" i="20"/>
  <c r="AN272" i="20"/>
  <c r="AG272" i="20"/>
  <c r="Y272" i="20"/>
  <c r="Z272" i="20"/>
  <c r="AJ272" i="20"/>
  <c r="AC272" i="20"/>
  <c r="AI272" i="20"/>
  <c r="AA272" i="20"/>
  <c r="AH272" i="20"/>
  <c r="AK272" i="20"/>
  <c r="AF272" i="20"/>
  <c r="AB272" i="20"/>
  <c r="AD272" i="20"/>
  <c r="AL272" i="20"/>
  <c r="AE272" i="20"/>
  <c r="AF264" i="20"/>
  <c r="AK264" i="20"/>
  <c r="AC264" i="20"/>
  <c r="AI264" i="20"/>
  <c r="Y264" i="20"/>
  <c r="Z264" i="20"/>
  <c r="AG264" i="20"/>
  <c r="AH264" i="20"/>
  <c r="AN264" i="20"/>
  <c r="AE264" i="20"/>
  <c r="AA264" i="20"/>
  <c r="AJ264" i="20"/>
  <c r="AB264" i="20"/>
  <c r="AD264" i="20"/>
  <c r="AD252" i="20"/>
  <c r="AJ252" i="20"/>
  <c r="AH252" i="20"/>
  <c r="AE252" i="20"/>
  <c r="AK252" i="20"/>
  <c r="AF252" i="20"/>
  <c r="AN252" i="20"/>
  <c r="Z252" i="20"/>
  <c r="AI252" i="20"/>
  <c r="AL252" i="20"/>
  <c r="AG252" i="20"/>
  <c r="AA252" i="20"/>
  <c r="AC252" i="20"/>
  <c r="Y252" i="20"/>
  <c r="AB252" i="20"/>
  <c r="AN244" i="20"/>
  <c r="AL244" i="20"/>
  <c r="AF244" i="20"/>
  <c r="AG244" i="20"/>
  <c r="AJ244" i="20"/>
  <c r="AI244" i="20"/>
  <c r="AD244" i="20"/>
  <c r="AE244" i="20"/>
  <c r="AB244" i="20"/>
  <c r="Z244" i="20"/>
  <c r="AC244" i="20"/>
  <c r="AK244" i="20"/>
  <c r="AA244" i="20"/>
  <c r="AH244" i="20"/>
  <c r="AN236" i="20"/>
  <c r="AA236" i="20"/>
  <c r="AD236" i="20"/>
  <c r="AG236" i="20"/>
  <c r="AC236" i="20"/>
  <c r="AK236" i="20"/>
  <c r="AF236" i="20"/>
  <c r="AL236" i="20"/>
  <c r="AI236" i="20"/>
  <c r="AB236" i="20"/>
  <c r="Y236" i="20"/>
  <c r="AJ236" i="20"/>
  <c r="AE236" i="20"/>
  <c r="Z236" i="20"/>
  <c r="AK228" i="20"/>
  <c r="AC228" i="20"/>
  <c r="AL228" i="20"/>
  <c r="AE228" i="20"/>
  <c r="Z228" i="20"/>
  <c r="AH228" i="20"/>
  <c r="AN228" i="20"/>
  <c r="AD228" i="20"/>
  <c r="Y228" i="20"/>
  <c r="AG228" i="20"/>
  <c r="AJ228" i="20"/>
  <c r="AB228" i="20"/>
  <c r="AA228" i="20"/>
  <c r="AF228" i="20"/>
  <c r="AI228" i="20"/>
  <c r="AN209" i="20"/>
  <c r="AH209" i="20"/>
  <c r="AJ209" i="20"/>
  <c r="AA209" i="20"/>
  <c r="Y209" i="20"/>
  <c r="AI209" i="20"/>
  <c r="AE209" i="20"/>
  <c r="AF209" i="20"/>
  <c r="AD209" i="20"/>
  <c r="AC209" i="20"/>
  <c r="AK209" i="20"/>
  <c r="AB209" i="20"/>
  <c r="AB201" i="20"/>
  <c r="AI201" i="20"/>
  <c r="AC201" i="20"/>
  <c r="AK201" i="20"/>
  <c r="AD201" i="20"/>
  <c r="Z201" i="20"/>
  <c r="AJ201" i="20"/>
  <c r="AL201" i="20"/>
  <c r="AE201" i="20"/>
  <c r="AA201" i="20"/>
  <c r="AN201" i="20"/>
  <c r="AH201" i="20"/>
  <c r="AF201" i="20"/>
  <c r="AG201" i="20"/>
  <c r="AJ193" i="20"/>
  <c r="AD193" i="20"/>
  <c r="AI193" i="20"/>
  <c r="AB193" i="20"/>
  <c r="AN193" i="20"/>
  <c r="AE193" i="20"/>
  <c r="AA193" i="20"/>
  <c r="AK193" i="20"/>
  <c r="Y193" i="20"/>
  <c r="AC193" i="20"/>
  <c r="AF193" i="20"/>
  <c r="AG193" i="20"/>
  <c r="AL193" i="20"/>
  <c r="AA187" i="20"/>
  <c r="AE187" i="20"/>
  <c r="AI187" i="20"/>
  <c r="AD187" i="20"/>
  <c r="Y187" i="20"/>
  <c r="AB187" i="20"/>
  <c r="AE178" i="20"/>
  <c r="AD178" i="20"/>
  <c r="AL178" i="20"/>
  <c r="Z178" i="20"/>
  <c r="AG178" i="20"/>
  <c r="AH178" i="20"/>
  <c r="AC178" i="20"/>
  <c r="AB178" i="20"/>
  <c r="AN157" i="20"/>
  <c r="AG157" i="20"/>
  <c r="AL157" i="20"/>
  <c r="AA157" i="20"/>
  <c r="AK157" i="20"/>
  <c r="AE157" i="20"/>
  <c r="AE155" i="20"/>
  <c r="Z155" i="20"/>
  <c r="Y155" i="20"/>
  <c r="AD155" i="20"/>
  <c r="AH155" i="20"/>
  <c r="AJ155" i="20"/>
  <c r="AL155" i="20"/>
  <c r="AB147" i="20"/>
  <c r="AI147" i="20"/>
  <c r="AD147" i="20"/>
  <c r="Y147" i="20"/>
  <c r="AN147" i="20"/>
  <c r="AG147" i="20"/>
  <c r="AC126" i="20"/>
  <c r="AB126" i="20"/>
  <c r="AE126" i="20"/>
  <c r="AF126" i="20"/>
  <c r="AA126" i="20"/>
  <c r="AD126" i="20"/>
  <c r="AC113" i="20"/>
  <c r="AE113" i="20"/>
  <c r="AI113" i="20"/>
  <c r="Y113" i="20"/>
  <c r="AH113" i="20"/>
  <c r="AA113" i="20"/>
  <c r="AN113" i="20"/>
  <c r="AB113" i="20"/>
  <c r="Z113" i="20"/>
  <c r="AJ113" i="20"/>
  <c r="AG113" i="20"/>
  <c r="AI108" i="20"/>
  <c r="AK108" i="20"/>
  <c r="AD108" i="20"/>
  <c r="AN108" i="20"/>
  <c r="AE108" i="20"/>
  <c r="AN103" i="20"/>
  <c r="AA103" i="20"/>
  <c r="AG103" i="20"/>
  <c r="Z103" i="20"/>
  <c r="AE103" i="20"/>
  <c r="AB103" i="20"/>
  <c r="AC103" i="20"/>
  <c r="AL103" i="20"/>
  <c r="AH112" i="20"/>
  <c r="AN112" i="20"/>
  <c r="AE112" i="20"/>
  <c r="AI112" i="20"/>
  <c r="Y112" i="20"/>
  <c r="AF112" i="20"/>
  <c r="AA112" i="20"/>
  <c r="AT776" i="20"/>
  <c r="AT816" i="20"/>
  <c r="AJ1074" i="20"/>
  <c r="AI432" i="20"/>
  <c r="AI720" i="20"/>
  <c r="AI420" i="20"/>
  <c r="AJ820" i="20"/>
  <c r="AL620" i="20"/>
  <c r="AH1057" i="20"/>
  <c r="AH720" i="20"/>
  <c r="AH344" i="20"/>
  <c r="AL484" i="20"/>
  <c r="AL764" i="20"/>
  <c r="AH925" i="20"/>
  <c r="AH929" i="20"/>
  <c r="AH364" i="20"/>
  <c r="AH700" i="20"/>
  <c r="AH796" i="20"/>
  <c r="Y688" i="20"/>
  <c r="AB961" i="20"/>
  <c r="AK544" i="20"/>
  <c r="AK508" i="20"/>
  <c r="AF672" i="20"/>
  <c r="AG624" i="20"/>
  <c r="AG840" i="20"/>
  <c r="AB957" i="20"/>
  <c r="AA820" i="20"/>
  <c r="AD532" i="20"/>
  <c r="AD684" i="20"/>
  <c r="Z632" i="20"/>
  <c r="AE900" i="20"/>
  <c r="Z720" i="20"/>
  <c r="AD484" i="20"/>
  <c r="AE992" i="20"/>
  <c r="AF592" i="20"/>
  <c r="AT381" i="20"/>
  <c r="AT528" i="20"/>
  <c r="AT780" i="20"/>
  <c r="AT557" i="20"/>
  <c r="AT772" i="20"/>
  <c r="AI360" i="20"/>
  <c r="AI929" i="20"/>
  <c r="AI444" i="20"/>
  <c r="AI332" i="20"/>
  <c r="AL476" i="20"/>
  <c r="AL344" i="20"/>
  <c r="AL756" i="20"/>
  <c r="AL840" i="20"/>
  <c r="AI588" i="20"/>
  <c r="AI328" i="20"/>
  <c r="AI688" i="20"/>
  <c r="AI364" i="20"/>
  <c r="AI416" i="20"/>
  <c r="AJ891" i="20"/>
  <c r="AL824" i="20"/>
  <c r="AL979" i="20"/>
  <c r="AL648" i="20"/>
  <c r="AI816" i="20"/>
  <c r="AJ982" i="20"/>
  <c r="AJ232" i="20"/>
  <c r="AL975" i="20"/>
  <c r="AL804" i="20"/>
  <c r="AJ941" i="20"/>
  <c r="AJ680" i="20"/>
  <c r="AJ323" i="20"/>
  <c r="AJ364" i="20"/>
  <c r="AJ904" i="20"/>
  <c r="AJ248" i="20"/>
  <c r="AL464" i="20"/>
  <c r="AL987" i="20"/>
  <c r="AL380" i="20"/>
  <c r="AH975" i="20"/>
  <c r="AH680" i="20"/>
  <c r="AL440" i="20"/>
  <c r="AL849" i="20"/>
  <c r="AL808" i="20"/>
  <c r="AL1057" i="20"/>
  <c r="AH1001" i="20"/>
  <c r="AH488" i="20"/>
  <c r="AH368" i="20"/>
  <c r="AH536" i="20"/>
  <c r="AH576" i="20"/>
  <c r="Y224" i="20"/>
  <c r="AH840" i="20"/>
  <c r="AL224" i="20"/>
  <c r="AI224" i="20"/>
  <c r="AK664" i="20"/>
  <c r="AF887" i="20"/>
  <c r="AD676" i="20"/>
  <c r="Z941" i="20"/>
  <c r="AD620" i="20"/>
  <c r="AA992" i="20"/>
  <c r="AD744" i="20"/>
  <c r="AC744" i="20"/>
  <c r="AF1052" i="20"/>
  <c r="AA1077" i="20"/>
  <c r="AA945" i="20"/>
  <c r="AB1077" i="20"/>
  <c r="AK536" i="20"/>
  <c r="AK879" i="20"/>
  <c r="AD854" i="20"/>
  <c r="AC520" i="20"/>
  <c r="AF908" i="20"/>
  <c r="AA476" i="20"/>
  <c r="AD887" i="20"/>
  <c r="AA748" i="20"/>
  <c r="AC740" i="20"/>
  <c r="AC700" i="20"/>
  <c r="AC1018" i="20"/>
  <c r="Z891" i="20"/>
  <c r="AK504" i="20"/>
  <c r="AK921" i="20"/>
  <c r="AA608" i="20"/>
  <c r="AB740" i="20"/>
  <c r="AF712" i="20"/>
  <c r="AE512" i="20"/>
  <c r="AD566" i="20"/>
  <c r="AD468" i="20"/>
  <c r="AA800" i="20"/>
  <c r="AC484" i="20"/>
  <c r="Y524" i="20"/>
  <c r="Z452" i="20"/>
  <c r="AF572" i="20"/>
  <c r="AB921" i="20"/>
  <c r="AK448" i="20"/>
  <c r="AC424" i="20"/>
  <c r="AC323" i="20"/>
  <c r="AG402" i="20"/>
  <c r="AI996" i="20"/>
  <c r="AI900" i="20"/>
  <c r="AJ684" i="20"/>
  <c r="Z858" i="20"/>
  <c r="AD1077" i="20"/>
  <c r="AN468" i="20"/>
  <c r="AN692" i="20"/>
  <c r="Y1132" i="20"/>
  <c r="AC1169" i="20"/>
  <c r="AE1169" i="20"/>
  <c r="AI1169" i="20"/>
  <c r="Z1169" i="20"/>
  <c r="AG1169" i="20"/>
  <c r="AA1189" i="20"/>
  <c r="Y1189" i="20"/>
  <c r="AG1189" i="20"/>
  <c r="AC1189" i="20"/>
  <c r="AB1253" i="20"/>
  <c r="Z1253" i="20"/>
  <c r="AD1253" i="20"/>
  <c r="AK1253" i="20"/>
  <c r="AG1253" i="20"/>
  <c r="Z1273" i="20"/>
  <c r="AC1273" i="20"/>
  <c r="AA1273" i="20"/>
  <c r="AF1273" i="20"/>
  <c r="AL1317" i="20"/>
  <c r="Z1317" i="20"/>
  <c r="AN1317" i="20"/>
  <c r="AB1329" i="20"/>
  <c r="AE1329" i="20"/>
  <c r="AN1329" i="20"/>
  <c r="AF1329" i="20"/>
  <c r="AA51" i="20"/>
  <c r="AH51" i="20"/>
  <c r="AE51" i="20"/>
  <c r="AG51" i="20"/>
  <c r="AF51" i="20"/>
  <c r="AD51" i="20"/>
  <c r="AJ51" i="20"/>
  <c r="AC51" i="20"/>
  <c r="AL51" i="20"/>
  <c r="AK51" i="20"/>
  <c r="AB51" i="20"/>
  <c r="Y51" i="20"/>
  <c r="AN32" i="20"/>
  <c r="AC32" i="20"/>
  <c r="AI32" i="20"/>
  <c r="AD32" i="20"/>
  <c r="Y32" i="20"/>
  <c r="AD45" i="20"/>
  <c r="AL45" i="20"/>
  <c r="AE45" i="20"/>
  <c r="AF45" i="20"/>
  <c r="AN45" i="20"/>
  <c r="Y45" i="20"/>
  <c r="AG45" i="20"/>
  <c r="AH45" i="20"/>
  <c r="AK45" i="20"/>
  <c r="AJ45" i="20"/>
  <c r="AA45" i="20"/>
  <c r="AB893" i="20"/>
  <c r="Z893" i="20"/>
  <c r="Y893" i="20"/>
  <c r="AA893" i="20"/>
  <c r="AD893" i="20"/>
  <c r="AG893" i="20"/>
  <c r="AH893" i="20"/>
  <c r="AK893" i="20"/>
  <c r="AF893" i="20"/>
  <c r="AN893" i="20"/>
  <c r="AI893" i="20"/>
  <c r="AL893" i="20"/>
  <c r="AB144" i="20"/>
  <c r="Y144" i="20"/>
  <c r="Z144" i="20"/>
  <c r="AA144" i="20"/>
  <c r="AF144" i="20"/>
  <c r="AG144" i="20"/>
  <c r="AL144" i="20"/>
  <c r="AJ144" i="20"/>
  <c r="AK144" i="20"/>
  <c r="AE144" i="20"/>
  <c r="AD144" i="20"/>
  <c r="AH144" i="20"/>
  <c r="AD70" i="20"/>
  <c r="AL70" i="20"/>
  <c r="Y70" i="20"/>
  <c r="AG70" i="20"/>
  <c r="AF70" i="20"/>
  <c r="AE70" i="20"/>
  <c r="AH70" i="20"/>
  <c r="AI70" i="20"/>
  <c r="Z70" i="20"/>
  <c r="AK70" i="20"/>
  <c r="AB70" i="20"/>
  <c r="AA83" i="20"/>
  <c r="AC83" i="20"/>
  <c r="AA1159" i="20"/>
  <c r="AJ1159" i="20"/>
  <c r="Z1173" i="20"/>
  <c r="AL1173" i="20"/>
  <c r="AA1173" i="20"/>
  <c r="AI1173" i="20"/>
  <c r="Y1181" i="20"/>
  <c r="AB1181" i="20"/>
  <c r="AI1181" i="20"/>
  <c r="AB1193" i="20"/>
  <c r="Y1193" i="20"/>
  <c r="AF1193" i="20"/>
  <c r="AB1205" i="20"/>
  <c r="AF1205" i="20"/>
  <c r="AD1213" i="20"/>
  <c r="AJ1213" i="20"/>
  <c r="AG1213" i="20"/>
  <c r="AF1213" i="20"/>
  <c r="AA1213" i="20"/>
  <c r="AL1213" i="20"/>
  <c r="AD1221" i="20"/>
  <c r="AE1221" i="20"/>
  <c r="AF1221" i="20"/>
  <c r="Y1221" i="20"/>
  <c r="AC1229" i="20"/>
  <c r="AD1229" i="20"/>
  <c r="Z1229" i="20"/>
  <c r="AH1229" i="20"/>
  <c r="AL1237" i="20"/>
  <c r="AG1237" i="20"/>
  <c r="AF1245" i="20"/>
  <c r="AD1245" i="20"/>
  <c r="AA1245" i="20"/>
  <c r="AD1257" i="20"/>
  <c r="AE1257" i="20"/>
  <c r="Y1257" i="20"/>
  <c r="AB1257" i="20"/>
  <c r="AG1265" i="20"/>
  <c r="AD1265" i="20"/>
  <c r="Z1265" i="20"/>
  <c r="AG1277" i="20"/>
  <c r="AF1277" i="20"/>
  <c r="AN1277" i="20"/>
  <c r="AG1281" i="20"/>
  <c r="Y1281" i="20"/>
  <c r="AJ1285" i="20"/>
  <c r="AA1285" i="20"/>
  <c r="AD1289" i="20"/>
  <c r="Z1289" i="20"/>
  <c r="AF1293" i="20"/>
  <c r="AI1293" i="20"/>
  <c r="AA1297" i="20"/>
  <c r="AF1297" i="20"/>
  <c r="AG1297" i="20"/>
  <c r="AI1297" i="20"/>
  <c r="AN1297" i="20"/>
  <c r="AH1297" i="20"/>
  <c r="AH1301" i="20"/>
  <c r="AK1301" i="20"/>
  <c r="AA1301" i="20"/>
  <c r="AG1301" i="20"/>
  <c r="AC1301" i="20"/>
  <c r="AF1309" i="20"/>
  <c r="AG1309" i="20"/>
  <c r="AD1309" i="20"/>
  <c r="Z1309" i="20"/>
  <c r="AF1325" i="20"/>
  <c r="AN1325" i="20"/>
  <c r="AI1325" i="20"/>
  <c r="AB1325" i="20"/>
  <c r="AA1325" i="20"/>
  <c r="AL1333" i="20"/>
  <c r="Z1333" i="20"/>
  <c r="AF1013" i="20"/>
  <c r="AN1013" i="20"/>
  <c r="AE1013" i="20"/>
  <c r="AD1013" i="20"/>
  <c r="Y1013" i="20"/>
  <c r="AI1013" i="20"/>
  <c r="AH1013" i="20"/>
  <c r="AK1013" i="20"/>
  <c r="AA1013" i="20"/>
  <c r="AB1013" i="20"/>
  <c r="AG1013" i="20"/>
  <c r="AJ1013" i="20"/>
  <c r="AF1033" i="20"/>
  <c r="AN1033" i="20"/>
  <c r="AG1033" i="20"/>
  <c r="AH1033" i="20"/>
  <c r="AI1033" i="20"/>
  <c r="AC1033" i="20"/>
  <c r="Z1033" i="20"/>
  <c r="AJ1033" i="20"/>
  <c r="AE1033" i="20"/>
  <c r="AA1033" i="20"/>
  <c r="AK1033" i="20"/>
  <c r="AB1033" i="20"/>
  <c r="AJ965" i="20"/>
  <c r="AG965" i="20"/>
  <c r="AH965" i="20"/>
  <c r="AI965" i="20"/>
  <c r="AN965" i="20"/>
  <c r="Z965" i="20"/>
  <c r="AE965" i="20"/>
  <c r="AD965" i="20"/>
  <c r="Y965" i="20"/>
  <c r="AF965" i="20"/>
  <c r="AA965" i="20"/>
  <c r="AC965" i="20"/>
  <c r="AF862" i="20"/>
  <c r="AC862" i="20"/>
  <c r="AD862" i="20"/>
  <c r="AE862" i="20"/>
  <c r="AJ862" i="20"/>
  <c r="AK862" i="20"/>
  <c r="AA862" i="20"/>
  <c r="AN862" i="20"/>
  <c r="Z862" i="20"/>
  <c r="AI862" i="20"/>
  <c r="Y862" i="20"/>
  <c r="AG862" i="20"/>
  <c r="AI214" i="20"/>
  <c r="Z214" i="20"/>
  <c r="AL214" i="20"/>
  <c r="AC214" i="20"/>
  <c r="AN214" i="20"/>
  <c r="AE214" i="20"/>
  <c r="AB214" i="20"/>
  <c r="AD214" i="20"/>
  <c r="AA214" i="20"/>
  <c r="AJ214" i="20"/>
  <c r="AF65" i="20"/>
  <c r="AC65" i="20"/>
  <c r="AD65" i="20"/>
  <c r="AE65" i="20"/>
  <c r="AJ65" i="20"/>
  <c r="AK65" i="20"/>
  <c r="AA65" i="20"/>
  <c r="AN65" i="20"/>
  <c r="Z65" i="20"/>
  <c r="AI65" i="20"/>
  <c r="AH65" i="20"/>
  <c r="AB65" i="20"/>
  <c r="AL65" i="20"/>
  <c r="AF77" i="20"/>
  <c r="AN77" i="20"/>
  <c r="AE77" i="20"/>
  <c r="Z77" i="20"/>
  <c r="AJ77" i="20"/>
  <c r="AC77" i="20"/>
  <c r="AB77" i="20"/>
  <c r="AL77" i="20"/>
  <c r="AG77" i="20"/>
  <c r="AD77" i="20"/>
  <c r="AI77" i="20"/>
  <c r="AH77" i="20"/>
  <c r="AK77" i="20"/>
  <c r="AF49" i="20"/>
  <c r="AC49" i="20"/>
  <c r="AD49" i="20"/>
  <c r="AE49" i="20"/>
  <c r="AN49" i="20"/>
  <c r="Z49" i="20"/>
  <c r="AI49" i="20"/>
  <c r="Y49" i="20"/>
  <c r="AH49" i="20"/>
  <c r="AJ49" i="20"/>
  <c r="AA49" i="20"/>
  <c r="AG49" i="20"/>
  <c r="AL167" i="20"/>
  <c r="AA167" i="20"/>
  <c r="AH167" i="20"/>
  <c r="Y167" i="20"/>
  <c r="AK167" i="20"/>
  <c r="AK85" i="20"/>
  <c r="Z85" i="20"/>
  <c r="AD85" i="20"/>
  <c r="AE85" i="20"/>
  <c r="Y42" i="20"/>
  <c r="AD42" i="20"/>
  <c r="AG42" i="20"/>
  <c r="AL42" i="20"/>
  <c r="AE43" i="20"/>
  <c r="AF43" i="20"/>
  <c r="AF44" i="20"/>
  <c r="AI44" i="20"/>
  <c r="AN1301" i="20"/>
  <c r="AA1329" i="20"/>
  <c r="AF1305" i="20"/>
  <c r="AE1281" i="20"/>
  <c r="AH1245" i="20"/>
  <c r="AE1313" i="20"/>
  <c r="AI51" i="20"/>
  <c r="AI45" i="20"/>
  <c r="AC1013" i="20"/>
  <c r="AK965" i="20"/>
  <c r="AB862" i="20"/>
  <c r="AF214" i="20"/>
  <c r="AK49" i="20"/>
  <c r="AD142" i="20"/>
  <c r="AL142" i="20"/>
  <c r="AC142" i="20"/>
  <c r="AK142" i="20"/>
  <c r="AF142" i="20"/>
  <c r="Y142" i="20"/>
  <c r="AI142" i="20"/>
  <c r="AH142" i="20"/>
  <c r="AA142" i="20"/>
  <c r="AN142" i="20"/>
  <c r="Z142" i="20"/>
  <c r="AE142" i="20"/>
  <c r="AF121" i="20"/>
  <c r="AC121" i="20"/>
  <c r="AD121" i="20"/>
  <c r="AE121" i="20"/>
  <c r="AN121" i="20"/>
  <c r="Z121" i="20"/>
  <c r="AI121" i="20"/>
  <c r="AH121" i="20"/>
  <c r="Y121" i="20"/>
  <c r="AB121" i="20"/>
  <c r="AL121" i="20"/>
  <c r="AJ121" i="20"/>
  <c r="AA121" i="20"/>
  <c r="Z97" i="20"/>
  <c r="AD97" i="20"/>
  <c r="AH97" i="20"/>
  <c r="AL97" i="20"/>
  <c r="AB97" i="20"/>
  <c r="AG97" i="20"/>
  <c r="AN97" i="20"/>
  <c r="AC97" i="20"/>
  <c r="AI97" i="20"/>
  <c r="AF97" i="20"/>
  <c r="AK97" i="20"/>
  <c r="Y97" i="20"/>
  <c r="AJ97" i="20"/>
  <c r="AA97" i="20"/>
  <c r="AJ88" i="20"/>
  <c r="AH88" i="20"/>
  <c r="AL88" i="20"/>
  <c r="AI176" i="20"/>
  <c r="AD176" i="20"/>
  <c r="AN176" i="20"/>
  <c r="AB1165" i="20"/>
  <c r="AK1165" i="20"/>
  <c r="AI1165" i="20"/>
  <c r="AJ1165" i="20"/>
  <c r="Z1165" i="20"/>
  <c r="AA1165" i="20"/>
  <c r="AC1177" i="20"/>
  <c r="AJ1177" i="20"/>
  <c r="AN1185" i="20"/>
  <c r="AK1185" i="20"/>
  <c r="AJ1185" i="20"/>
  <c r="AB1185" i="20"/>
  <c r="AI1185" i="20"/>
  <c r="AH1185" i="20"/>
  <c r="AC1185" i="20"/>
  <c r="AA1197" i="20"/>
  <c r="AD1197" i="20"/>
  <c r="AF1197" i="20"/>
  <c r="AB1197" i="20"/>
  <c r="AK1197" i="20"/>
  <c r="Y1197" i="20"/>
  <c r="AK1201" i="20"/>
  <c r="AG1201" i="20"/>
  <c r="AN1209" i="20"/>
  <c r="Z1209" i="20"/>
  <c r="AD1209" i="20"/>
  <c r="AI1217" i="20"/>
  <c r="AK1217" i="20"/>
  <c r="AA1217" i="20"/>
  <c r="AI1225" i="20"/>
  <c r="AH1225" i="20"/>
  <c r="AL1233" i="20"/>
  <c r="AG1233" i="20"/>
  <c r="AB1233" i="20"/>
  <c r="AK1233" i="20"/>
  <c r="AH1233" i="20"/>
  <c r="AG1249" i="20"/>
  <c r="AC1249" i="20"/>
  <c r="AD1249" i="20"/>
  <c r="Z1249" i="20"/>
  <c r="AJ1261" i="20"/>
  <c r="AA1261" i="20"/>
  <c r="AE1261" i="20"/>
  <c r="AG1269" i="20"/>
  <c r="Y1269" i="20"/>
  <c r="AL1269" i="20"/>
  <c r="AI1269" i="20"/>
  <c r="AE1269" i="20"/>
  <c r="AJ1321" i="20"/>
  <c r="AN1321" i="20"/>
  <c r="AA1321" i="20"/>
  <c r="AL1337" i="20"/>
  <c r="AE1337" i="20"/>
  <c r="AI1337" i="20"/>
  <c r="Y991" i="20"/>
  <c r="Z991" i="20"/>
  <c r="AH991" i="20"/>
  <c r="AK991" i="20"/>
  <c r="AJ991" i="20"/>
  <c r="AA991" i="20"/>
  <c r="AB991" i="20"/>
  <c r="AL991" i="20"/>
  <c r="AG991" i="20"/>
  <c r="AE991" i="20"/>
  <c r="AN991" i="20"/>
  <c r="AI991" i="20"/>
  <c r="AC991" i="20"/>
  <c r="AF1031" i="20"/>
  <c r="AC1031" i="20"/>
  <c r="AD1031" i="20"/>
  <c r="AE1031" i="20"/>
  <c r="Y1031" i="20"/>
  <c r="AH1031" i="20"/>
  <c r="AB1031" i="20"/>
  <c r="AG1031" i="20"/>
  <c r="AL1031" i="20"/>
  <c r="AJ1031" i="20"/>
  <c r="AA1031" i="20"/>
  <c r="AN1031" i="20"/>
  <c r="AI1031" i="20"/>
  <c r="AD873" i="20"/>
  <c r="AL873" i="20"/>
  <c r="AA873" i="20"/>
  <c r="AI873" i="20"/>
  <c r="AF873" i="20"/>
  <c r="AG873" i="20"/>
  <c r="AH873" i="20"/>
  <c r="Y873" i="20"/>
  <c r="AK873" i="20"/>
  <c r="Z873" i="20"/>
  <c r="AB873" i="20"/>
  <c r="AC873" i="20"/>
  <c r="AB132" i="20"/>
  <c r="AJ132" i="20"/>
  <c r="AA132" i="20"/>
  <c r="AI132" i="20"/>
  <c r="AD132" i="20"/>
  <c r="AN132" i="20"/>
  <c r="AG132" i="20"/>
  <c r="AF132" i="20"/>
  <c r="AK132" i="20"/>
  <c r="Y132" i="20"/>
  <c r="AH132" i="20"/>
  <c r="AL132" i="20"/>
  <c r="AF222" i="20"/>
  <c r="AC222" i="20"/>
  <c r="AD222" i="20"/>
  <c r="AE222" i="20"/>
  <c r="AJ222" i="20"/>
  <c r="AK222" i="20"/>
  <c r="AA222" i="20"/>
  <c r="Z222" i="20"/>
  <c r="AN222" i="20"/>
  <c r="AI222" i="20"/>
  <c r="AB222" i="20"/>
  <c r="AL222" i="20"/>
  <c r="Y222" i="20"/>
  <c r="AB74" i="20"/>
  <c r="AJ74" i="20"/>
  <c r="Y74" i="20"/>
  <c r="AG74" i="20"/>
  <c r="AD74" i="20"/>
  <c r="AN74" i="20"/>
  <c r="AE74" i="20"/>
  <c r="AI74" i="20"/>
  <c r="AF74" i="20"/>
  <c r="Z74" i="20"/>
  <c r="AA74" i="20"/>
  <c r="AL33" i="20"/>
  <c r="Z33" i="20"/>
  <c r="AH33" i="20"/>
  <c r="AE33" i="20"/>
  <c r="AN33" i="20"/>
  <c r="AK93" i="20"/>
  <c r="AJ93" i="20"/>
  <c r="AC93" i="20"/>
  <c r="AC1197" i="20"/>
  <c r="Z1189" i="20"/>
  <c r="AK83" i="20"/>
  <c r="AG1173" i="20"/>
  <c r="AN1269" i="20"/>
  <c r="AI1317" i="20"/>
  <c r="AE1297" i="20"/>
  <c r="AC1165" i="20"/>
  <c r="AI1237" i="20"/>
  <c r="AE1205" i="20"/>
  <c r="AJ1325" i="20"/>
  <c r="AN1273" i="20"/>
  <c r="AC1213" i="20"/>
  <c r="Y1233" i="20"/>
  <c r="AB1201" i="20"/>
  <c r="AL1245" i="20"/>
  <c r="Z1221" i="20"/>
  <c r="Z1155" i="20"/>
  <c r="AH1293" i="20"/>
  <c r="AH1253" i="20"/>
  <c r="AG1273" i="20"/>
  <c r="AG32" i="20"/>
  <c r="AH32" i="20"/>
  <c r="AF32" i="20"/>
  <c r="Z32" i="20"/>
  <c r="AC45" i="20"/>
  <c r="AB45" i="20"/>
  <c r="AL1013" i="20"/>
  <c r="AE893" i="20"/>
  <c r="AL1033" i="20"/>
  <c r="AB965" i="20"/>
  <c r="AJ873" i="20"/>
  <c r="AI144" i="20"/>
  <c r="AC70" i="20"/>
  <c r="AN70" i="20"/>
  <c r="Z132" i="20"/>
  <c r="AG214" i="20"/>
  <c r="Y214" i="20"/>
  <c r="AH214" i="20"/>
  <c r="AG65" i="20"/>
  <c r="AG142" i="20"/>
  <c r="AG222" i="20"/>
  <c r="AL74" i="20"/>
  <c r="AB49" i="20"/>
  <c r="AB1245" i="20"/>
  <c r="AK1245" i="20"/>
  <c r="AN1213" i="20"/>
  <c r="AE1245" i="20"/>
  <c r="AG1165" i="20"/>
  <c r="AH1285" i="20"/>
  <c r="Y1293" i="20"/>
  <c r="AI1213" i="20"/>
  <c r="Z1269" i="20"/>
  <c r="AE1233" i="20"/>
  <c r="Z1325" i="20"/>
  <c r="AI1277" i="20"/>
  <c r="AA1333" i="20"/>
  <c r="AB1273" i="20"/>
  <c r="Y1289" i="20"/>
  <c r="AB1317" i="20"/>
  <c r="AI1289" i="20"/>
  <c r="AE1181" i="20"/>
  <c r="AK1189" i="20"/>
  <c r="AK1333" i="20"/>
  <c r="AL1169" i="20"/>
  <c r="AK32" i="20"/>
  <c r="AA32" i="20"/>
  <c r="AL32" i="20"/>
  <c r="AB32" i="20"/>
  <c r="AJ32" i="20"/>
  <c r="AE32" i="20"/>
  <c r="Z45" i="20"/>
  <c r="Z1013" i="20"/>
  <c r="AC893" i="20"/>
  <c r="Y1033" i="20"/>
  <c r="AD1033" i="20"/>
  <c r="AE873" i="20"/>
  <c r="AL862" i="20"/>
  <c r="AC144" i="20"/>
  <c r="AA70" i="20"/>
  <c r="AJ70" i="20"/>
  <c r="AK214" i="20"/>
  <c r="Y65" i="20"/>
  <c r="AJ142" i="20"/>
  <c r="AK74" i="20"/>
  <c r="AH74" i="20"/>
  <c r="AA77" i="20"/>
  <c r="AE97" i="20"/>
  <c r="AT1315" i="20"/>
  <c r="AD83" i="20"/>
  <c r="AH83" i="20"/>
  <c r="Z83" i="20"/>
  <c r="AB83" i="20"/>
  <c r="AF83" i="20"/>
  <c r="AF1159" i="20"/>
  <c r="AG1159" i="20"/>
  <c r="AE1159" i="20"/>
  <c r="AH1159" i="20"/>
  <c r="AC1155" i="20"/>
  <c r="AF1155" i="20"/>
  <c r="AJ1155" i="20"/>
  <c r="AE1155" i="20"/>
  <c r="AI1155" i="20"/>
  <c r="AG1155" i="20"/>
  <c r="AD1155" i="20"/>
  <c r="AB1151" i="20"/>
  <c r="AH1151" i="20"/>
  <c r="Z1151" i="20"/>
  <c r="AK1151" i="20"/>
  <c r="AL1151" i="20"/>
  <c r="AD1151" i="20"/>
  <c r="AC1151" i="20"/>
  <c r="AA1151" i="20"/>
  <c r="AI1151" i="20"/>
  <c r="AA1147" i="20"/>
  <c r="AB1147" i="20"/>
  <c r="AN1147" i="20"/>
  <c r="AI1147" i="20"/>
  <c r="Y1147" i="20"/>
  <c r="AD1147" i="20"/>
  <c r="AC1147" i="20"/>
  <c r="AH1147" i="20"/>
  <c r="AF1165" i="20"/>
  <c r="AN1165" i="20"/>
  <c r="AL1165" i="20"/>
  <c r="AK1169" i="20"/>
  <c r="AA1169" i="20"/>
  <c r="AF1169" i="20"/>
  <c r="AJ1169" i="20"/>
  <c r="AD1169" i="20"/>
  <c r="AH1169" i="20"/>
  <c r="AH1173" i="20"/>
  <c r="AF1173" i="20"/>
  <c r="AD1173" i="20"/>
  <c r="AJ1173" i="20"/>
  <c r="AE1177" i="20"/>
  <c r="AI1177" i="20"/>
  <c r="AD1177" i="20"/>
  <c r="AF1177" i="20"/>
  <c r="AL1177" i="20"/>
  <c r="AA1177" i="20"/>
  <c r="AH1181" i="20"/>
  <c r="AC1181" i="20"/>
  <c r="AG1185" i="20"/>
  <c r="AD1185" i="20"/>
  <c r="AF1185" i="20"/>
  <c r="AF1189" i="20"/>
  <c r="AE1189" i="20"/>
  <c r="AK1193" i="20"/>
  <c r="AJ1193" i="20"/>
  <c r="AD1193" i="20"/>
  <c r="AC1193" i="20"/>
  <c r="AH1197" i="20"/>
  <c r="AI1197" i="20"/>
  <c r="Z1197" i="20"/>
  <c r="AE1197" i="20"/>
  <c r="AJ1201" i="20"/>
  <c r="AF1201" i="20"/>
  <c r="AH1201" i="20"/>
  <c r="AL1201" i="20"/>
  <c r="Y1201" i="20"/>
  <c r="AC1201" i="20"/>
  <c r="AI1205" i="20"/>
  <c r="AG1205" i="20"/>
  <c r="AJ1205" i="20"/>
  <c r="AC1205" i="20"/>
  <c r="AN1205" i="20"/>
  <c r="AL1205" i="20"/>
  <c r="Y1209" i="20"/>
  <c r="AG1209" i="20"/>
  <c r="AJ1209" i="20"/>
  <c r="AA1209" i="20"/>
  <c r="AE1209" i="20"/>
  <c r="AL1217" i="20"/>
  <c r="AC1217" i="20"/>
  <c r="AG1217" i="20"/>
  <c r="AF1225" i="20"/>
  <c r="AB1225" i="20"/>
  <c r="AL1225" i="20"/>
  <c r="AN1225" i="20"/>
  <c r="Z1225" i="20"/>
  <c r="AD1225" i="20"/>
  <c r="AE1229" i="20"/>
  <c r="AJ1229" i="20"/>
  <c r="AI1229" i="20"/>
  <c r="AB1229" i="20"/>
  <c r="AJ1233" i="20"/>
  <c r="AI1233" i="20"/>
  <c r="Z1233" i="20"/>
  <c r="AN1233" i="20"/>
  <c r="AA1233" i="20"/>
  <c r="AD1233" i="20"/>
  <c r="AC1237" i="20"/>
  <c r="AF1237" i="20"/>
  <c r="AK1237" i="20"/>
  <c r="AL1241" i="20"/>
  <c r="AN1241" i="20"/>
  <c r="AH1241" i="20"/>
  <c r="Y1241" i="20"/>
  <c r="Z1241" i="20"/>
  <c r="AE1241" i="20"/>
  <c r="AI1245" i="20"/>
  <c r="AJ1245" i="20"/>
  <c r="AK1249" i="20"/>
  <c r="AL1249" i="20"/>
  <c r="AB1249" i="20"/>
  <c r="AE1249" i="20"/>
  <c r="AH1249" i="20"/>
  <c r="AA1253" i="20"/>
  <c r="AJ1253" i="20"/>
  <c r="AF1253" i="20"/>
  <c r="AE1253" i="20"/>
  <c r="AC1253" i="20"/>
  <c r="AN1253" i="20"/>
  <c r="AK1257" i="20"/>
  <c r="AG1257" i="20"/>
  <c r="AN1257" i="20"/>
  <c r="AJ1257" i="20"/>
  <c r="AL1261" i="20"/>
  <c r="AG1261" i="20"/>
  <c r="Y1265" i="20"/>
  <c r="AB1265" i="20"/>
  <c r="AI1265" i="20"/>
  <c r="AL1273" i="20"/>
  <c r="AK1273" i="20"/>
  <c r="AI1273" i="20"/>
  <c r="AE1273" i="20"/>
  <c r="AK1277" i="20"/>
  <c r="AH1277" i="20"/>
  <c r="AA1277" i="20"/>
  <c r="AK1281" i="20"/>
  <c r="AC1281" i="20"/>
  <c r="AH1281" i="20"/>
  <c r="AF1281" i="20"/>
  <c r="AA1281" i="20"/>
  <c r="AB1285" i="20"/>
  <c r="AD1285" i="20"/>
  <c r="AG1289" i="20"/>
  <c r="AJ1289" i="20"/>
  <c r="AL1289" i="20"/>
  <c r="AK1289" i="20"/>
  <c r="AL1293" i="20"/>
  <c r="AG1293" i="20"/>
  <c r="AK1293" i="20"/>
  <c r="AD1293" i="20"/>
  <c r="AN1293" i="20"/>
  <c r="AJ1293" i="20"/>
  <c r="AD1297" i="20"/>
  <c r="AL1297" i="20"/>
  <c r="Z1297" i="20"/>
  <c r="Z1301" i="20"/>
  <c r="AE1301" i="20"/>
  <c r="AL1305" i="20"/>
  <c r="AA1305" i="20"/>
  <c r="AC1305" i="20"/>
  <c r="AI1305" i="20"/>
  <c r="Y1305" i="20"/>
  <c r="Z1305" i="20"/>
  <c r="AA1313" i="20"/>
  <c r="AK1313" i="20"/>
  <c r="AN1313" i="20"/>
  <c r="Z1313" i="20"/>
  <c r="AC1313" i="20"/>
  <c r="AG1313" i="20"/>
  <c r="AH1317" i="20"/>
  <c r="AK1317" i="20"/>
  <c r="AJ1317" i="20"/>
  <c r="AC1317" i="20"/>
  <c r="AD1321" i="20"/>
  <c r="AK1321" i="20"/>
  <c r="AE1321" i="20"/>
  <c r="AC1325" i="20"/>
  <c r="AL1325" i="20"/>
  <c r="AK1325" i="20"/>
  <c r="AG1329" i="20"/>
  <c r="AH1329" i="20"/>
  <c r="AL1329" i="20"/>
  <c r="AI1329" i="20"/>
  <c r="AD1329" i="20"/>
  <c r="AN1333" i="20"/>
  <c r="AD1333" i="20"/>
  <c r="AI1333" i="20"/>
  <c r="AH1337" i="20"/>
  <c r="AK1337" i="20"/>
  <c r="AC1337" i="20"/>
  <c r="Y1229" i="20"/>
  <c r="AE1185" i="20"/>
  <c r="AN1189" i="20"/>
  <c r="AA1293" i="20"/>
  <c r="AD1269" i="20"/>
  <c r="AK1205" i="20"/>
  <c r="AB1269" i="20"/>
  <c r="AF1257" i="20"/>
  <c r="AA1181" i="20"/>
  <c r="AE1217" i="20"/>
  <c r="Y1169" i="20"/>
  <c r="AJ1309" i="20"/>
  <c r="AK1221" i="20"/>
  <c r="AG1225" i="20"/>
  <c r="AL1147" i="20"/>
  <c r="AB1281" i="20"/>
  <c r="AJ1277" i="20"/>
  <c r="AH1269" i="20"/>
  <c r="AC1293" i="20"/>
  <c r="Z1213" i="20"/>
  <c r="Y1185" i="20"/>
  <c r="AK1229" i="20"/>
  <c r="AC1221" i="20"/>
  <c r="AF1321" i="20"/>
  <c r="AH1333" i="20"/>
  <c r="AF1249" i="20"/>
  <c r="AB1277" i="20"/>
  <c r="Z1261" i="20"/>
  <c r="AF1233" i="20"/>
  <c r="Y1313" i="20"/>
  <c r="AN1309" i="20"/>
  <c r="AH1213" i="20"/>
  <c r="AB1333" i="20"/>
  <c r="AF1289" i="20"/>
  <c r="AF1301" i="20"/>
  <c r="AN1249" i="20"/>
  <c r="AE1333" i="20"/>
  <c r="Z1293" i="20"/>
  <c r="Y1213" i="20"/>
  <c r="AE1317" i="20"/>
  <c r="Z1329" i="20"/>
  <c r="Y1321" i="20"/>
  <c r="AI1301" i="20"/>
  <c r="AJ1237" i="20"/>
  <c r="AJ1181" i="20"/>
  <c r="AE1265" i="20"/>
  <c r="AC1309" i="20"/>
  <c r="AI1281" i="20"/>
  <c r="Y1177" i="20"/>
  <c r="AG1229" i="20"/>
  <c r="AC1329" i="20"/>
  <c r="AB1293" i="20"/>
  <c r="AA1309" i="20"/>
  <c r="Y1325" i="20"/>
  <c r="AE1309" i="20"/>
  <c r="AA1265" i="20"/>
  <c r="Z1321" i="20"/>
  <c r="AI1309" i="20"/>
  <c r="AN1261" i="20"/>
  <c r="AL1189" i="20"/>
  <c r="AE1237" i="20"/>
  <c r="AB1301" i="20"/>
  <c r="AA1205" i="20"/>
  <c r="Y1301" i="20"/>
  <c r="AE1305" i="20"/>
  <c r="AH1221" i="20"/>
  <c r="AD1201" i="20"/>
  <c r="AA1249" i="20"/>
  <c r="Y1217" i="20"/>
  <c r="AG1337" i="20"/>
  <c r="AK1309" i="20"/>
  <c r="AJ1269" i="20"/>
  <c r="AN1229" i="20"/>
  <c r="AJ1189" i="20"/>
  <c r="AH1217" i="20"/>
  <c r="AE1201" i="20"/>
  <c r="AF1229" i="20"/>
  <c r="AI1321" i="20"/>
  <c r="AL1265" i="20"/>
  <c r="AF1333" i="20"/>
  <c r="AC1277" i="20"/>
  <c r="Z1281" i="20"/>
  <c r="AD1325" i="20"/>
  <c r="AK1329" i="20"/>
  <c r="AL1277" i="20"/>
  <c r="AI1221" i="20"/>
  <c r="AL1181" i="20"/>
  <c r="AA1337" i="20"/>
  <c r="AN1281" i="20"/>
  <c r="AG1181" i="20"/>
  <c r="Z1193" i="20"/>
  <c r="AK1305" i="20"/>
  <c r="AC1257" i="20"/>
  <c r="AL1185" i="20"/>
  <c r="AC1225" i="20"/>
  <c r="AL1321" i="20"/>
  <c r="AD1273" i="20"/>
  <c r="AL1209" i="20"/>
  <c r="AI1201" i="20"/>
  <c r="AN83" i="20"/>
  <c r="AG1197" i="20"/>
  <c r="AN1217" i="20"/>
  <c r="AC1261" i="20"/>
  <c r="AJ1147" i="20"/>
  <c r="AD1317" i="20"/>
  <c r="AH1265" i="20"/>
  <c r="AJ1337" i="20"/>
  <c r="Z1205" i="20"/>
  <c r="AG1317" i="20"/>
  <c r="AD1217" i="20"/>
  <c r="AG1221" i="20"/>
  <c r="AN1337" i="20"/>
  <c r="AA1269" i="20"/>
  <c r="AD1189" i="20"/>
  <c r="Z1181" i="20"/>
  <c r="AC1233" i="20"/>
  <c r="AB1321" i="20"/>
  <c r="AI1285" i="20"/>
  <c r="AJ1197" i="20"/>
  <c r="AB1237" i="20"/>
  <c r="Y1253" i="20"/>
  <c r="Y1297" i="20"/>
  <c r="AI1253" i="20"/>
  <c r="AB1309" i="20"/>
  <c r="Y1309" i="20"/>
  <c r="Z1177" i="20"/>
  <c r="AN1181" i="20"/>
  <c r="AH1205" i="20"/>
  <c r="AD1181" i="20"/>
  <c r="AB1213" i="20"/>
  <c r="Y1261" i="20"/>
  <c r="AD1237" i="20"/>
  <c r="AB1177" i="20"/>
  <c r="AL1285" i="20"/>
  <c r="AN1197" i="20"/>
  <c r="AF1217" i="20"/>
  <c r="AB1221" i="20"/>
  <c r="Y1237" i="20"/>
  <c r="AI1193" i="20"/>
  <c r="AA1289" i="20"/>
  <c r="AG1177" i="20"/>
  <c r="AF1285" i="20"/>
  <c r="AC1265" i="20"/>
  <c r="Z1245" i="20"/>
  <c r="Y1165" i="20"/>
  <c r="AD1165" i="20"/>
  <c r="Z1201" i="20"/>
  <c r="AF1337" i="20"/>
  <c r="AN1285" i="20"/>
  <c r="AL1229" i="20"/>
  <c r="AH1165" i="20"/>
  <c r="AE1173" i="20"/>
  <c r="AA1221" i="20"/>
  <c r="Y1317" i="20"/>
  <c r="AA1257" i="20"/>
  <c r="AF1241" i="20"/>
  <c r="AN1305" i="20"/>
  <c r="Y1151" i="20"/>
  <c r="AG83" i="20"/>
  <c r="AH1313" i="20"/>
  <c r="AE1325" i="20"/>
  <c r="AD1281" i="20"/>
  <c r="AC1245" i="20"/>
  <c r="AB1261" i="20"/>
  <c r="AA1229" i="20"/>
  <c r="Y1245" i="20"/>
  <c r="AD1301" i="20"/>
  <c r="Z1185" i="20"/>
  <c r="Y1225" i="20"/>
  <c r="AL1301" i="20"/>
  <c r="AN1237" i="20"/>
  <c r="AN1173" i="20"/>
  <c r="AE1285" i="20"/>
  <c r="AE1289" i="20"/>
  <c r="AF1269" i="20"/>
  <c r="AC1285" i="20"/>
  <c r="AA1185" i="20"/>
  <c r="AB1289" i="20"/>
  <c r="AJ1329" i="20"/>
  <c r="AJ1301" i="20"/>
  <c r="AK1261" i="20"/>
  <c r="AL1221" i="20"/>
  <c r="AK1181" i="20"/>
  <c r="AC1173" i="20"/>
  <c r="AB1189" i="20"/>
  <c r="AA1237" i="20"/>
  <c r="Z1285" i="20"/>
  <c r="Y1333" i="20"/>
  <c r="Y1205" i="20"/>
  <c r="AC1209" i="20"/>
  <c r="AL1313" i="20"/>
  <c r="AK1241" i="20"/>
  <c r="AA1155" i="20"/>
  <c r="AF1261" i="20"/>
  <c r="AB1313" i="20"/>
  <c r="Z1217" i="20"/>
  <c r="AA1193" i="20"/>
  <c r="AH1309" i="20"/>
  <c r="AK1269" i="20"/>
  <c r="AK1213" i="20"/>
  <c r="AD1313" i="20"/>
  <c r="Y1285" i="20"/>
  <c r="Z1337" i="20"/>
  <c r="AN1265" i="20"/>
  <c r="AD1205" i="20"/>
  <c r="AC1321" i="20"/>
  <c r="AC1289" i="20"/>
  <c r="AI1249" i="20"/>
  <c r="AG1147" i="20"/>
  <c r="AI83" i="20"/>
  <c r="AH1189" i="20"/>
  <c r="AB1305" i="20"/>
  <c r="AD1305" i="20"/>
  <c r="AK1265" i="20"/>
  <c r="AN1169" i="20"/>
  <c r="AJ1249" i="20"/>
  <c r="AN1201" i="20"/>
  <c r="AL1159" i="20"/>
  <c r="AL1257" i="20"/>
  <c r="AH1193" i="20"/>
  <c r="AK1155" i="20"/>
  <c r="AJ83" i="20"/>
  <c r="AE1165" i="20"/>
  <c r="AE1147" i="20"/>
  <c r="AB1159" i="20"/>
  <c r="AT459" i="20"/>
  <c r="AC711" i="20"/>
  <c r="AB711" i="20"/>
  <c r="AD335" i="20"/>
  <c r="AJ335" i="20"/>
  <c r="AJ823" i="20"/>
  <c r="AT466" i="20"/>
  <c r="AI679" i="20"/>
  <c r="AI567" i="20"/>
  <c r="AL607" i="20"/>
  <c r="AL371" i="20"/>
  <c r="AH691" i="20"/>
  <c r="AD239" i="20"/>
  <c r="AT1059" i="20"/>
  <c r="AT575" i="20"/>
  <c r="AE1068" i="20"/>
  <c r="AH1068" i="20"/>
  <c r="AG1064" i="20"/>
  <c r="AL1064" i="20"/>
  <c r="AI974" i="20"/>
  <c r="AA974" i="20"/>
  <c r="AI807" i="20"/>
  <c r="AD807" i="20"/>
  <c r="AJ783" i="20"/>
  <c r="AI783" i="20"/>
  <c r="AI739" i="20"/>
  <c r="AJ739" i="20"/>
  <c r="AC723" i="20"/>
  <c r="AH723" i="20"/>
  <c r="AC643" i="20"/>
  <c r="Y643" i="20"/>
  <c r="AH643" i="20"/>
  <c r="AD583" i="20"/>
  <c r="AH583" i="20"/>
  <c r="AL571" i="20"/>
  <c r="AH571" i="20"/>
  <c r="AA515" i="20"/>
  <c r="AG515" i="20"/>
  <c r="AJ383" i="20"/>
  <c r="AL383" i="20"/>
  <c r="AI331" i="20"/>
  <c r="AH331" i="20"/>
  <c r="AJ331" i="20"/>
  <c r="AI311" i="20"/>
  <c r="AL311" i="20"/>
  <c r="AI882" i="20"/>
  <c r="AJ791" i="20"/>
  <c r="AH395" i="20"/>
  <c r="AK868" i="20"/>
  <c r="AC587" i="20"/>
  <c r="AT415" i="20"/>
  <c r="AL598" i="20"/>
  <c r="AI878" i="20"/>
  <c r="AI886" i="20"/>
  <c r="AI395" i="20"/>
  <c r="AI723" i="20"/>
  <c r="AJ687" i="20"/>
  <c r="AJ886" i="20"/>
  <c r="AC1051" i="20"/>
  <c r="AH986" i="20"/>
  <c r="AJ986" i="20"/>
  <c r="AL936" i="20"/>
  <c r="AI936" i="20"/>
  <c r="Y857" i="20"/>
  <c r="AG857" i="20"/>
  <c r="AL857" i="20"/>
  <c r="AI839" i="20"/>
  <c r="AJ839" i="20"/>
  <c r="AJ519" i="20"/>
  <c r="AI519" i="20"/>
  <c r="AE507" i="20"/>
  <c r="AL507" i="20"/>
  <c r="AJ499" i="20"/>
  <c r="AA499" i="20"/>
  <c r="AL499" i="20"/>
  <c r="AA491" i="20"/>
  <c r="AI491" i="20"/>
  <c r="AT1319" i="20"/>
  <c r="AT1187" i="20"/>
  <c r="AT1303" i="20"/>
  <c r="AT51" i="20"/>
  <c r="AT873" i="20"/>
  <c r="AT1307" i="20"/>
  <c r="AT1255" i="20"/>
  <c r="AT74" i="20"/>
  <c r="AH1142" i="20"/>
  <c r="AI1142" i="20"/>
  <c r="AK1142" i="20"/>
  <c r="AG1142" i="20"/>
  <c r="AE1142" i="20"/>
  <c r="Y1142" i="20"/>
  <c r="Z1142" i="20"/>
  <c r="AN1142" i="20"/>
  <c r="AJ1142" i="20"/>
  <c r="AL1142" i="20"/>
  <c r="AF1142" i="20"/>
  <c r="AL1138" i="20"/>
  <c r="AI1138" i="20"/>
  <c r="Y1138" i="20"/>
  <c r="AD1138" i="20"/>
  <c r="AJ1138" i="20"/>
  <c r="AE1138" i="20"/>
  <c r="AF1138" i="20"/>
  <c r="AK1138" i="20"/>
  <c r="AH1138" i="20"/>
  <c r="AJ1134" i="20"/>
  <c r="AI1134" i="20"/>
  <c r="AN1134" i="20"/>
  <c r="AG1134" i="20"/>
  <c r="Z1134" i="20"/>
  <c r="AE1134" i="20"/>
  <c r="AF1134" i="20"/>
  <c r="AD1134" i="20"/>
  <c r="AA1134" i="20"/>
  <c r="AB1134" i="20"/>
  <c r="AH1134" i="20"/>
  <c r="AC1134" i="20"/>
  <c r="AL1134" i="20"/>
  <c r="Y1134" i="20"/>
  <c r="AK1134" i="20"/>
  <c r="Z1130" i="20"/>
  <c r="AA1130" i="20"/>
  <c r="AF1130" i="20"/>
  <c r="AL1130" i="20"/>
  <c r="AB1130" i="20"/>
  <c r="Y1130" i="20"/>
  <c r="AH1130" i="20"/>
  <c r="AI1130" i="20"/>
  <c r="AG1130" i="20"/>
  <c r="AD1130" i="20"/>
  <c r="AE1130" i="20"/>
  <c r="AN1130" i="20"/>
  <c r="AC1130" i="20"/>
  <c r="AK1130" i="20"/>
  <c r="AJ1130" i="20"/>
  <c r="AH1126" i="20"/>
  <c r="AI1126" i="20"/>
  <c r="AB1126" i="20"/>
  <c r="AN1126" i="20"/>
  <c r="AL1126" i="20"/>
  <c r="AD1126" i="20"/>
  <c r="AE1126" i="20"/>
  <c r="AG1126" i="20"/>
  <c r="AJ1126" i="20"/>
  <c r="Y1126" i="20"/>
  <c r="AA1126" i="20"/>
  <c r="AF1126" i="20"/>
  <c r="Z1126" i="20"/>
  <c r="AK1126" i="20"/>
  <c r="Z1122" i="20"/>
  <c r="AN1122" i="20"/>
  <c r="AC1122" i="20"/>
  <c r="AD1122" i="20"/>
  <c r="AA1122" i="20"/>
  <c r="AB1122" i="20"/>
  <c r="AF1122" i="20"/>
  <c r="Y1122" i="20"/>
  <c r="AL1122" i="20"/>
  <c r="AI1122" i="20"/>
  <c r="AK1122" i="20"/>
  <c r="AE1122" i="20"/>
  <c r="AG1122" i="20"/>
  <c r="AJ1122" i="20"/>
  <c r="AH1122" i="20"/>
  <c r="AH1118" i="20"/>
  <c r="AA1118" i="20"/>
  <c r="AJ1118" i="20"/>
  <c r="AD1118" i="20"/>
  <c r="AE1118" i="20"/>
  <c r="AN1118" i="20"/>
  <c r="AF1118" i="20"/>
  <c r="AL1118" i="20"/>
  <c r="AI1118" i="20"/>
  <c r="AB1118" i="20"/>
  <c r="AC1118" i="20"/>
  <c r="AG1118" i="20"/>
  <c r="AK1118" i="20"/>
  <c r="Z1118" i="20"/>
  <c r="Y1118" i="20"/>
  <c r="AL1114" i="20"/>
  <c r="AN1114" i="20"/>
  <c r="AE1114" i="20"/>
  <c r="AA1114" i="20"/>
  <c r="AB1114" i="20"/>
  <c r="Z1114" i="20"/>
  <c r="AC1114" i="20"/>
  <c r="Y1114" i="20"/>
  <c r="AG1114" i="20"/>
  <c r="AD1114" i="20"/>
  <c r="AI1114" i="20"/>
  <c r="AJ1114" i="20"/>
  <c r="AK1114" i="20"/>
  <c r="AF1114" i="20"/>
  <c r="AJ1110" i="20"/>
  <c r="AH1110" i="20"/>
  <c r="AE1110" i="20"/>
  <c r="AG1110" i="20"/>
  <c r="AL1110" i="20"/>
  <c r="AN1110" i="20"/>
  <c r="AD1110" i="20"/>
  <c r="AI1110" i="20"/>
  <c r="AF1110" i="20"/>
  <c r="Z1110" i="20"/>
  <c r="AA1110" i="20"/>
  <c r="AB1110" i="20"/>
  <c r="AC1110" i="20"/>
  <c r="AK1110" i="20"/>
  <c r="AB1106" i="20"/>
  <c r="Z1106" i="20"/>
  <c r="AG1106" i="20"/>
  <c r="AF1106" i="20"/>
  <c r="AI1106" i="20"/>
  <c r="AL1106" i="20"/>
  <c r="AC1106" i="20"/>
  <c r="AN1106" i="20"/>
  <c r="AH1106" i="20"/>
  <c r="AJ1106" i="20"/>
  <c r="AD1106" i="20"/>
  <c r="AE1106" i="20"/>
  <c r="Y1106" i="20"/>
  <c r="AA1106" i="20"/>
  <c r="AJ1102" i="20"/>
  <c r="AB1102" i="20"/>
  <c r="AH1102" i="20"/>
  <c r="AG1102" i="20"/>
  <c r="AF1102" i="20"/>
  <c r="Z1102" i="20"/>
  <c r="AE1102" i="20"/>
  <c r="AI1102" i="20"/>
  <c r="AK1102" i="20"/>
  <c r="AN1102" i="20"/>
  <c r="AL1102" i="20"/>
  <c r="Y1102" i="20"/>
  <c r="AC1102" i="20"/>
  <c r="AA1102" i="20"/>
  <c r="AA10" i="20"/>
  <c r="AB10" i="20"/>
  <c r="AJ10" i="20"/>
  <c r="Z10" i="20"/>
  <c r="AK10" i="20"/>
  <c r="AC10" i="20"/>
  <c r="AF10" i="20"/>
  <c r="AH10" i="20"/>
  <c r="AE10" i="20"/>
  <c r="AN10" i="20"/>
  <c r="AL10" i="20"/>
  <c r="AI10" i="20"/>
  <c r="AD10" i="20"/>
  <c r="Y10" i="20"/>
  <c r="AE15" i="20"/>
  <c r="AN15" i="20"/>
  <c r="AH15" i="20"/>
  <c r="AJ15" i="20"/>
  <c r="AL15" i="20"/>
  <c r="AC15" i="20"/>
  <c r="AA15" i="20"/>
  <c r="AF15" i="20"/>
  <c r="AK15" i="20"/>
  <c r="AB15" i="20"/>
  <c r="AD15" i="20"/>
  <c r="Y15" i="20"/>
  <c r="AG15" i="20"/>
  <c r="Z15" i="20"/>
  <c r="AI15" i="20"/>
  <c r="AI28" i="20"/>
  <c r="AJ28" i="20"/>
  <c r="AF28" i="20"/>
  <c r="Z28" i="20"/>
  <c r="AC28" i="20"/>
  <c r="AA28" i="20"/>
  <c r="AN28" i="20"/>
  <c r="AL28" i="20"/>
  <c r="AK28" i="20"/>
  <c r="AH28" i="20"/>
  <c r="AD28" i="20"/>
  <c r="Y28" i="20"/>
  <c r="AE28" i="20"/>
  <c r="AG28" i="20"/>
  <c r="AL24" i="20"/>
  <c r="AG24" i="20"/>
  <c r="AN24" i="20"/>
  <c r="AF24" i="20"/>
  <c r="AJ24" i="20"/>
  <c r="AB24" i="20"/>
  <c r="AD24" i="20"/>
  <c r="AI24" i="20"/>
  <c r="AE24" i="20"/>
  <c r="AK24" i="20"/>
  <c r="AA24" i="20"/>
  <c r="AC24" i="20"/>
  <c r="Y24" i="20"/>
  <c r="AH24" i="20"/>
  <c r="AB1099" i="20"/>
  <c r="Y1099" i="20"/>
  <c r="AA1099" i="20"/>
  <c r="AH1099" i="20"/>
  <c r="AD1099" i="20"/>
  <c r="AN1099" i="20"/>
  <c r="AK1099" i="20"/>
  <c r="AI1099" i="20"/>
  <c r="AJ1099" i="20"/>
  <c r="AC1099" i="20"/>
  <c r="AF1099" i="20"/>
  <c r="AG1099" i="20"/>
  <c r="AL1099" i="20"/>
  <c r="Z1099" i="20"/>
  <c r="AE1099" i="20"/>
  <c r="AN1093" i="20"/>
  <c r="AK1093" i="20"/>
  <c r="AE1093" i="20"/>
  <c r="AF1093" i="20"/>
  <c r="AC1093" i="20"/>
  <c r="AD1093" i="20"/>
  <c r="AB1093" i="20"/>
  <c r="Y1093" i="20"/>
  <c r="AI1093" i="20"/>
  <c r="Z1093" i="20"/>
  <c r="AG1093" i="20"/>
  <c r="AL1093" i="20"/>
  <c r="AJ1093" i="20"/>
  <c r="AA1093" i="20"/>
  <c r="AH1093" i="20"/>
  <c r="AF1091" i="20"/>
  <c r="AJ1091" i="20"/>
  <c r="AG1091" i="20"/>
  <c r="AI1091" i="20"/>
  <c r="AD1091" i="20"/>
  <c r="Z1091" i="20"/>
  <c r="AH1091" i="20"/>
  <c r="AN1091" i="20"/>
  <c r="AK1091" i="20"/>
  <c r="AE1091" i="20"/>
  <c r="AL1091" i="20"/>
  <c r="AC1091" i="20"/>
  <c r="AA1091" i="20"/>
  <c r="AB1091" i="20"/>
  <c r="Y1091" i="20"/>
  <c r="AB1087" i="20"/>
  <c r="AC1087" i="20"/>
  <c r="AD1087" i="20"/>
  <c r="AF1087" i="20"/>
  <c r="AG1087" i="20"/>
  <c r="Y1087" i="20"/>
  <c r="AI1087" i="20"/>
  <c r="AA1087" i="20"/>
  <c r="AH1087" i="20"/>
  <c r="AN1087" i="20"/>
  <c r="AK1087" i="20"/>
  <c r="Z1087" i="20"/>
  <c r="AE1087" i="20"/>
  <c r="AL1087" i="20"/>
  <c r="AJ1087" i="20"/>
  <c r="AB1084" i="20"/>
  <c r="AK1084" i="20"/>
  <c r="AN1084" i="20"/>
  <c r="Z1084" i="20"/>
  <c r="AC1084" i="20"/>
  <c r="AD1084" i="20"/>
  <c r="AE1084" i="20"/>
  <c r="AH1084" i="20"/>
  <c r="Y1084" i="20"/>
  <c r="AL1084" i="20"/>
  <c r="AJ1084" i="20"/>
  <c r="AI1084" i="20"/>
  <c r="AF1084" i="20"/>
  <c r="AG1084" i="20"/>
  <c r="AA1084" i="20"/>
  <c r="AN1079" i="20"/>
  <c r="AB1079" i="20"/>
  <c r="AE1079" i="20"/>
  <c r="AA1079" i="20"/>
  <c r="AC1079" i="20"/>
  <c r="AI1079" i="20"/>
  <c r="AF1079" i="20"/>
  <c r="Z1079" i="20"/>
  <c r="Y1079" i="20"/>
  <c r="AH1079" i="20"/>
  <c r="AK1079" i="20"/>
  <c r="AJ1079" i="20"/>
  <c r="AL1079" i="20"/>
  <c r="AD1079" i="20"/>
  <c r="AG1079" i="20"/>
  <c r="AN1075" i="20"/>
  <c r="AJ1075" i="20"/>
  <c r="AI1075" i="20"/>
  <c r="Z1075" i="20"/>
  <c r="AC1075" i="20"/>
  <c r="AK1075" i="20"/>
  <c r="AB1075" i="20"/>
  <c r="AF1075" i="20"/>
  <c r="AD1075" i="20"/>
  <c r="AN1071" i="20"/>
  <c r="AI1071" i="20"/>
  <c r="Y1071" i="20"/>
  <c r="AA1071" i="20"/>
  <c r="AE1071" i="20"/>
  <c r="AL1071" i="20"/>
  <c r="AJ1071" i="20"/>
  <c r="AK1071" i="20"/>
  <c r="AN1067" i="20"/>
  <c r="AG1067" i="20"/>
  <c r="AI1067" i="20"/>
  <c r="AJ1067" i="20"/>
  <c r="AF1067" i="20"/>
  <c r="AK1067" i="20"/>
  <c r="AC1067" i="20"/>
  <c r="AD1067" i="20"/>
  <c r="AE1067" i="20"/>
  <c r="AN1063" i="20"/>
  <c r="AJ1063" i="20"/>
  <c r="AE1063" i="20"/>
  <c r="AA1063" i="20"/>
  <c r="AD1063" i="20"/>
  <c r="AC1063" i="20"/>
  <c r="AF1063" i="20"/>
  <c r="Z1063" i="20"/>
  <c r="AL1063" i="20"/>
  <c r="AK1063" i="20"/>
  <c r="AL1059" i="20"/>
  <c r="AI1059" i="20"/>
  <c r="AN1059" i="20"/>
  <c r="AK1059" i="20"/>
  <c r="AC1059" i="20"/>
  <c r="AA1059" i="20"/>
  <c r="AF1059" i="20"/>
  <c r="Y1059" i="20"/>
  <c r="Z1059" i="20"/>
  <c r="AB1059" i="20"/>
  <c r="AN1055" i="20"/>
  <c r="AJ1055" i="20"/>
  <c r="AF1055" i="20"/>
  <c r="AB1055" i="20"/>
  <c r="AL1055" i="20"/>
  <c r="AI1055" i="20"/>
  <c r="Z1055" i="20"/>
  <c r="AC1055" i="20"/>
  <c r="AD1055" i="20"/>
  <c r="Y1055" i="20"/>
  <c r="AK1055" i="20"/>
  <c r="AG1055" i="20"/>
  <c r="AN1050" i="20"/>
  <c r="AJ1050" i="20"/>
  <c r="AB1050" i="20"/>
  <c r="AA1050" i="20"/>
  <c r="AD1050" i="20"/>
  <c r="AG1050" i="20"/>
  <c r="AC1050" i="20"/>
  <c r="AK1050" i="20"/>
  <c r="Z1050" i="20"/>
  <c r="AH1050" i="20"/>
  <c r="AE1050" i="20"/>
  <c r="AK1043" i="20"/>
  <c r="AI1043" i="20"/>
  <c r="AE1043" i="20"/>
  <c r="AA1043" i="20"/>
  <c r="Z1043" i="20"/>
  <c r="AG1043" i="20"/>
  <c r="AB1043" i="20"/>
  <c r="AH1043" i="20"/>
  <c r="Y1043" i="20"/>
  <c r="AE1048" i="20"/>
  <c r="AN1048" i="20"/>
  <c r="AG1048" i="20"/>
  <c r="AF1048" i="20"/>
  <c r="Y1048" i="20"/>
  <c r="AC1048" i="20"/>
  <c r="Z1048" i="20"/>
  <c r="AA1048" i="20"/>
  <c r="AB1048" i="20"/>
  <c r="AN1036" i="20"/>
  <c r="AA1036" i="20"/>
  <c r="Y1036" i="20"/>
  <c r="AC1036" i="20"/>
  <c r="AG1036" i="20"/>
  <c r="Z1036" i="20"/>
  <c r="AH1036" i="20"/>
  <c r="AJ1036" i="20"/>
  <c r="AD1036" i="20"/>
  <c r="AE1036" i="20"/>
  <c r="AN1020" i="20"/>
  <c r="AA1020" i="20"/>
  <c r="AB1020" i="20"/>
  <c r="AK1020" i="20"/>
  <c r="AC1020" i="20"/>
  <c r="AG1020" i="20"/>
  <c r="AL1020" i="20"/>
  <c r="Y1020" i="20"/>
  <c r="AH1020" i="20"/>
  <c r="AJ1020" i="20"/>
  <c r="AN1011" i="20"/>
  <c r="AA1011" i="20"/>
  <c r="AI1011" i="20"/>
  <c r="AD1011" i="20"/>
  <c r="Z1011" i="20"/>
  <c r="AF1011" i="20"/>
  <c r="AG1011" i="20"/>
  <c r="AJ1011" i="20"/>
  <c r="AE1011" i="20"/>
  <c r="Y1011" i="20"/>
  <c r="AN1006" i="20"/>
  <c r="AF1006" i="20"/>
  <c r="AI1006" i="20"/>
  <c r="AB1006" i="20"/>
  <c r="AC1006" i="20"/>
  <c r="AD1006" i="20"/>
  <c r="Y1006" i="20"/>
  <c r="Y1003" i="20"/>
  <c r="AD1003" i="20"/>
  <c r="AE1003" i="20"/>
  <c r="AI1003" i="20"/>
  <c r="Z1003" i="20"/>
  <c r="AB1003" i="20"/>
  <c r="AG1003" i="20"/>
  <c r="AF1003" i="20"/>
  <c r="AN999" i="20"/>
  <c r="AI999" i="20"/>
  <c r="Y999" i="20"/>
  <c r="AD999" i="20"/>
  <c r="AF999" i="20"/>
  <c r="AB999" i="20"/>
  <c r="Z999" i="20"/>
  <c r="AA999" i="20"/>
  <c r="AE999" i="20"/>
  <c r="AK999" i="20"/>
  <c r="AC999" i="20"/>
  <c r="AN994" i="20"/>
  <c r="AD994" i="20"/>
  <c r="AL994" i="20"/>
  <c r="AF994" i="20"/>
  <c r="Z994" i="20"/>
  <c r="AI994" i="20"/>
  <c r="Y994" i="20"/>
  <c r="AC994" i="20"/>
  <c r="AA994" i="20"/>
  <c r="AN989" i="20"/>
  <c r="AB989" i="20"/>
  <c r="Y989" i="20"/>
  <c r="AD989" i="20"/>
  <c r="AC989" i="20"/>
  <c r="AH989" i="20"/>
  <c r="AA989" i="20"/>
  <c r="AN985" i="20"/>
  <c r="AD985" i="20"/>
  <c r="AL985" i="20"/>
  <c r="AA985" i="20"/>
  <c r="AG985" i="20"/>
  <c r="AE985" i="20"/>
  <c r="AC985" i="20"/>
  <c r="AK985" i="20"/>
  <c r="AN983" i="20"/>
  <c r="AK983" i="20"/>
  <c r="AA983" i="20"/>
  <c r="AG983" i="20"/>
  <c r="AE983" i="20"/>
  <c r="Z983" i="20"/>
  <c r="AC983" i="20"/>
  <c r="AJ983" i="20"/>
  <c r="Y983" i="20"/>
  <c r="AN977" i="20"/>
  <c r="AF977" i="20"/>
  <c r="AI977" i="20"/>
  <c r="AC977" i="20"/>
  <c r="AE977" i="20"/>
  <c r="AD977" i="20"/>
  <c r="AG977" i="20"/>
  <c r="AB977" i="20"/>
  <c r="AL977" i="20"/>
  <c r="Y977" i="20"/>
  <c r="AN973" i="20"/>
  <c r="Z973" i="20"/>
  <c r="AK973" i="20"/>
  <c r="AC973" i="20"/>
  <c r="AE973" i="20"/>
  <c r="AH973" i="20"/>
  <c r="AI973" i="20"/>
  <c r="AF973" i="20"/>
  <c r="AA973" i="20"/>
  <c r="AN969" i="20"/>
  <c r="AI969" i="20"/>
  <c r="AE969" i="20"/>
  <c r="AD969" i="20"/>
  <c r="AF969" i="20"/>
  <c r="Z969" i="20"/>
  <c r="AA969" i="20"/>
  <c r="AE963" i="20"/>
  <c r="AN963" i="20"/>
  <c r="AB963" i="20"/>
  <c r="Y963" i="20"/>
  <c r="AH963" i="20"/>
  <c r="AK963" i="20"/>
  <c r="Z963" i="20"/>
  <c r="AA963" i="20"/>
  <c r="AN959" i="20"/>
  <c r="AF959" i="20"/>
  <c r="AE959" i="20"/>
  <c r="AI959" i="20"/>
  <c r="AD959" i="20"/>
  <c r="AB959" i="20"/>
  <c r="Y959" i="20"/>
  <c r="AG959" i="20"/>
  <c r="AK959" i="20"/>
  <c r="Z959" i="20"/>
  <c r="AA959" i="20"/>
  <c r="AN955" i="20"/>
  <c r="Y955" i="20"/>
  <c r="AC955" i="20"/>
  <c r="AB955" i="20"/>
  <c r="AK955" i="20"/>
  <c r="AD955" i="20"/>
  <c r="AG955" i="20"/>
  <c r="AF955" i="20"/>
  <c r="AA955" i="20"/>
  <c r="Z947" i="20"/>
  <c r="AC947" i="20"/>
  <c r="AJ947" i="20"/>
  <c r="AF947" i="20"/>
  <c r="AN947" i="20"/>
  <c r="Y947" i="20"/>
  <c r="AA947" i="20"/>
  <c r="AB947" i="20"/>
  <c r="AK947" i="20"/>
  <c r="AH947" i="20"/>
  <c r="AI947" i="20"/>
  <c r="AD947" i="20"/>
  <c r="AG947" i="20"/>
  <c r="AN943" i="20"/>
  <c r="Y943" i="20"/>
  <c r="Z943" i="20"/>
  <c r="AB943" i="20"/>
  <c r="AG943" i="20"/>
  <c r="AE943" i="20"/>
  <c r="AH943" i="20"/>
  <c r="AC943" i="20"/>
  <c r="AF943" i="20"/>
  <c r="AA943" i="20"/>
  <c r="AF939" i="20"/>
  <c r="AA939" i="20"/>
  <c r="AE939" i="20"/>
  <c r="AG939" i="20"/>
  <c r="AK939" i="20"/>
  <c r="AC939" i="20"/>
  <c r="AD939" i="20"/>
  <c r="AN939" i="20"/>
  <c r="Z939" i="20"/>
  <c r="AD935" i="20"/>
  <c r="AN935" i="20"/>
  <c r="AE935" i="20"/>
  <c r="AI935" i="20"/>
  <c r="Y935" i="20"/>
  <c r="AC935" i="20"/>
  <c r="Z935" i="20"/>
  <c r="AK935" i="20"/>
  <c r="AG935" i="20"/>
  <c r="AF935" i="20"/>
  <c r="AA935" i="20"/>
  <c r="AN931" i="20"/>
  <c r="AG931" i="20"/>
  <c r="AL931" i="20"/>
  <c r="AE931" i="20"/>
  <c r="AB931" i="20"/>
  <c r="AJ931" i="20"/>
  <c r="AA931" i="20"/>
  <c r="AD931" i="20"/>
  <c r="AI931" i="20"/>
  <c r="AK931" i="20"/>
  <c r="AF931" i="20"/>
  <c r="AN927" i="20"/>
  <c r="AA927" i="20"/>
  <c r="Z927" i="20"/>
  <c r="AB927" i="20"/>
  <c r="AF927" i="20"/>
  <c r="AJ927" i="20"/>
  <c r="AE927" i="20"/>
  <c r="AG927" i="20"/>
  <c r="AD927" i="20"/>
  <c r="Y927" i="20"/>
  <c r="AC923" i="20"/>
  <c r="Z923" i="20"/>
  <c r="AK923" i="20"/>
  <c r="AF923" i="20"/>
  <c r="AE923" i="20"/>
  <c r="AH923" i="20"/>
  <c r="AJ923" i="20"/>
  <c r="AI923" i="20"/>
  <c r="AD923" i="20"/>
  <c r="AA923" i="20"/>
  <c r="AN923" i="20"/>
  <c r="AC919" i="20"/>
  <c r="AN919" i="20"/>
  <c r="AJ919" i="20"/>
  <c r="AK919" i="20"/>
  <c r="Y919" i="20"/>
  <c r="AB919" i="20"/>
  <c r="AE919" i="20"/>
  <c r="AG919" i="20"/>
  <c r="AF919" i="20"/>
  <c r="AN915" i="20"/>
  <c r="AE915" i="20"/>
  <c r="AF915" i="20"/>
  <c r="AC915" i="20"/>
  <c r="Y915" i="20"/>
  <c r="Z915" i="20"/>
  <c r="AK915" i="20"/>
  <c r="AG915" i="20"/>
  <c r="AI915" i="20"/>
  <c r="AA915" i="20"/>
  <c r="AN910" i="20"/>
  <c r="AB910" i="20"/>
  <c r="AD910" i="20"/>
  <c r="AC910" i="20"/>
  <c r="Z910" i="20"/>
  <c r="AI910" i="20"/>
  <c r="AJ910" i="20"/>
  <c r="AG910" i="20"/>
  <c r="Y910" i="20"/>
  <c r="AF910" i="20"/>
  <c r="AN906" i="20"/>
  <c r="AC906" i="20"/>
  <c r="AE906" i="20"/>
  <c r="Y906" i="20"/>
  <c r="AK906" i="20"/>
  <c r="AA906" i="20"/>
  <c r="Z906" i="20"/>
  <c r="AB906" i="20"/>
  <c r="AH906" i="20"/>
  <c r="AI906" i="20"/>
  <c r="AD906" i="20"/>
  <c r="AB902" i="20"/>
  <c r="Z902" i="20"/>
  <c r="AJ902" i="20"/>
  <c r="AG902" i="20"/>
  <c r="AI902" i="20"/>
  <c r="AN902" i="20"/>
  <c r="AN898" i="20"/>
  <c r="AE898" i="20"/>
  <c r="Z898" i="20"/>
  <c r="AI898" i="20"/>
  <c r="AB898" i="20"/>
  <c r="Y898" i="20"/>
  <c r="AG898" i="20"/>
  <c r="AH898" i="20"/>
  <c r="AC898" i="20"/>
  <c r="AA898" i="20"/>
  <c r="Z894" i="20"/>
  <c r="AB894" i="20"/>
  <c r="AD894" i="20"/>
  <c r="Y894" i="20"/>
  <c r="AI894" i="20"/>
  <c r="AN894" i="20"/>
  <c r="AG894" i="20"/>
  <c r="AF894" i="20"/>
  <c r="AA894" i="20"/>
  <c r="AE894" i="20"/>
  <c r="AN889" i="20"/>
  <c r="AI889" i="20"/>
  <c r="AF889" i="20"/>
  <c r="AD889" i="20"/>
  <c r="AG889" i="20"/>
  <c r="AJ889" i="20"/>
  <c r="AE889" i="20"/>
  <c r="AC889" i="20"/>
  <c r="AA889" i="20"/>
  <c r="AN885" i="20"/>
  <c r="AI885" i="20"/>
  <c r="AE885" i="20"/>
  <c r="Y885" i="20"/>
  <c r="AA885" i="20"/>
  <c r="AD885" i="20"/>
  <c r="AB885" i="20"/>
  <c r="AG885" i="20"/>
  <c r="AK885" i="20"/>
  <c r="AN881" i="20"/>
  <c r="AL881" i="20"/>
  <c r="AI881" i="20"/>
  <c r="AK881" i="20"/>
  <c r="AA881" i="20"/>
  <c r="Y881" i="20"/>
  <c r="AG881" i="20"/>
  <c r="AE881" i="20"/>
  <c r="AD881" i="20"/>
  <c r="AH881" i="20"/>
  <c r="AC881" i="20"/>
  <c r="Z881" i="20"/>
  <c r="AN871" i="20"/>
  <c r="AI871" i="20"/>
  <c r="Z871" i="20"/>
  <c r="AA871" i="20"/>
  <c r="AD871" i="20"/>
  <c r="AF871" i="20"/>
  <c r="AE871" i="20"/>
  <c r="AN867" i="20"/>
  <c r="Z867" i="20"/>
  <c r="AD867" i="20"/>
  <c r="AE867" i="20"/>
  <c r="AB867" i="20"/>
  <c r="AG867" i="20"/>
  <c r="AF867" i="20"/>
  <c r="AL867" i="20"/>
  <c r="AJ867" i="20"/>
  <c r="AK867" i="20"/>
  <c r="AA867" i="20"/>
  <c r="AC867" i="20"/>
  <c r="Y867" i="20"/>
  <c r="AN860" i="20"/>
  <c r="Z860" i="20"/>
  <c r="AD860" i="20"/>
  <c r="AF860" i="20"/>
  <c r="AB860" i="20"/>
  <c r="Y860" i="20"/>
  <c r="AK860" i="20"/>
  <c r="AE860" i="20"/>
  <c r="AC860" i="20"/>
  <c r="AN856" i="20"/>
  <c r="Z856" i="20"/>
  <c r="AL856" i="20"/>
  <c r="AI856" i="20"/>
  <c r="AF856" i="20"/>
  <c r="AE856" i="20"/>
  <c r="AA856" i="20"/>
  <c r="AK856" i="20"/>
  <c r="AC856" i="20"/>
  <c r="AG856" i="20"/>
  <c r="AB856" i="20"/>
  <c r="Y856" i="20"/>
  <c r="AN852" i="20"/>
  <c r="AD852" i="20"/>
  <c r="AJ852" i="20"/>
  <c r="Z852" i="20"/>
  <c r="AE852" i="20"/>
  <c r="AB852" i="20"/>
  <c r="AF852" i="20"/>
  <c r="Y852" i="20"/>
  <c r="AI852" i="20"/>
  <c r="AN847" i="20"/>
  <c r="Y847" i="20"/>
  <c r="AC847" i="20"/>
  <c r="AJ847" i="20"/>
  <c r="AB847" i="20"/>
  <c r="AI847" i="20"/>
  <c r="AF847" i="20"/>
  <c r="AH847" i="20"/>
  <c r="AA847" i="20"/>
  <c r="AK847" i="20"/>
  <c r="AN841" i="20"/>
  <c r="AD841" i="20"/>
  <c r="AE841" i="20"/>
  <c r="AF841" i="20"/>
  <c r="AC841" i="20"/>
  <c r="AB841" i="20"/>
  <c r="AL841" i="20"/>
  <c r="AG841" i="20"/>
  <c r="AF838" i="20"/>
  <c r="AN838" i="20"/>
  <c r="AL838" i="20"/>
  <c r="AI838" i="20"/>
  <c r="AK838" i="20"/>
  <c r="AC838" i="20"/>
  <c r="AE838" i="20"/>
  <c r="AB838" i="20"/>
  <c r="AD838" i="20"/>
  <c r="AN834" i="20"/>
  <c r="AC834" i="20"/>
  <c r="AB834" i="20"/>
  <c r="AF834" i="20"/>
  <c r="AG834" i="20"/>
  <c r="Y834" i="20"/>
  <c r="AI834" i="20"/>
  <c r="Z834" i="20"/>
  <c r="AN830" i="20"/>
  <c r="Z830" i="20"/>
  <c r="AA830" i="20"/>
  <c r="AD830" i="20"/>
  <c r="Y830" i="20"/>
  <c r="AF830" i="20"/>
  <c r="AJ830" i="20"/>
  <c r="AI830" i="20"/>
  <c r="AG830" i="20"/>
  <c r="AE830" i="20"/>
  <c r="AA826" i="20"/>
  <c r="AI826" i="20"/>
  <c r="AN826" i="20"/>
  <c r="Z826" i="20"/>
  <c r="AK826" i="20"/>
  <c r="AD826" i="20"/>
  <c r="AB826" i="20"/>
  <c r="AJ826" i="20"/>
  <c r="AF826" i="20"/>
  <c r="AE826" i="20"/>
  <c r="AN822" i="20"/>
  <c r="Y822" i="20"/>
  <c r="AA822" i="20"/>
  <c r="AI822" i="20"/>
  <c r="AF822" i="20"/>
  <c r="AL822" i="20"/>
  <c r="AE822" i="20"/>
  <c r="AC822" i="20"/>
  <c r="AK818" i="20"/>
  <c r="Y818" i="20"/>
  <c r="AC818" i="20"/>
  <c r="Z818" i="20"/>
  <c r="AL818" i="20"/>
  <c r="AI818" i="20"/>
  <c r="AF818" i="20"/>
  <c r="AB818" i="20"/>
  <c r="AA818" i="20"/>
  <c r="AN814" i="20"/>
  <c r="AD814" i="20"/>
  <c r="AK814" i="20"/>
  <c r="Y814" i="20"/>
  <c r="AH814" i="20"/>
  <c r="AJ814" i="20"/>
  <c r="AI814" i="20"/>
  <c r="AF814" i="20"/>
  <c r="AN810" i="20"/>
  <c r="AI810" i="20"/>
  <c r="AE810" i="20"/>
  <c r="AF810" i="20"/>
  <c r="AB810" i="20"/>
  <c r="Z810" i="20"/>
  <c r="AK810" i="20"/>
  <c r="AD810" i="20"/>
  <c r="AC810" i="20"/>
  <c r="AJ810" i="20"/>
  <c r="AA810" i="20"/>
  <c r="AE806" i="20"/>
  <c r="AA806" i="20"/>
  <c r="AC806" i="20"/>
  <c r="AD806" i="20"/>
  <c r="Y806" i="20"/>
  <c r="AI806" i="20"/>
  <c r="AK806" i="20"/>
  <c r="AN802" i="20"/>
  <c r="AJ802" i="20"/>
  <c r="AI802" i="20"/>
  <c r="AF802" i="20"/>
  <c r="AA802" i="20"/>
  <c r="AB802" i="20"/>
  <c r="AE802" i="20"/>
  <c r="AG802" i="20"/>
  <c r="Z802" i="20"/>
  <c r="AN798" i="20"/>
  <c r="AC798" i="20"/>
  <c r="AK798" i="20"/>
  <c r="AI798" i="20"/>
  <c r="Z798" i="20"/>
  <c r="AD798" i="20"/>
  <c r="AF798" i="20"/>
  <c r="AE798" i="20"/>
  <c r="Y798" i="20"/>
  <c r="AG798" i="20"/>
  <c r="AA798" i="20"/>
  <c r="AB798" i="20"/>
  <c r="AE794" i="20"/>
  <c r="AN794" i="20"/>
  <c r="AI794" i="20"/>
  <c r="AK794" i="20"/>
  <c r="Y794" i="20"/>
  <c r="AF794" i="20"/>
  <c r="AB790" i="20"/>
  <c r="AN790" i="20"/>
  <c r="AK790" i="20"/>
  <c r="AJ790" i="20"/>
  <c r="AC790" i="20"/>
  <c r="AG790" i="20"/>
  <c r="AL790" i="20"/>
  <c r="AD790" i="20"/>
  <c r="AN786" i="20"/>
  <c r="Y786" i="20"/>
  <c r="AB786" i="20"/>
  <c r="AI786" i="20"/>
  <c r="Z786" i="20"/>
  <c r="AK786" i="20"/>
  <c r="AD786" i="20"/>
  <c r="AF786" i="20"/>
  <c r="AA786" i="20"/>
  <c r="AN782" i="20"/>
  <c r="AB782" i="20"/>
  <c r="AI782" i="20"/>
  <c r="AC782" i="20"/>
  <c r="AA782" i="20"/>
  <c r="Y782" i="20"/>
  <c r="AF782" i="20"/>
  <c r="AD782" i="20"/>
  <c r="Z782" i="20"/>
  <c r="AG782" i="20"/>
  <c r="AN778" i="20"/>
  <c r="AI778" i="20"/>
  <c r="AE778" i="20"/>
  <c r="AG778" i="20"/>
  <c r="AK778" i="20"/>
  <c r="AJ778" i="20"/>
  <c r="AA778" i="20"/>
  <c r="Y778" i="20"/>
  <c r="Z778" i="20"/>
  <c r="AD778" i="20"/>
  <c r="AN774" i="20"/>
  <c r="AJ774" i="20"/>
  <c r="Y774" i="20"/>
  <c r="AK774" i="20"/>
  <c r="AI774" i="20"/>
  <c r="AE774" i="20"/>
  <c r="AD774" i="20"/>
  <c r="AF774" i="20"/>
  <c r="Z774" i="20"/>
  <c r="AA774" i="20"/>
  <c r="AC774" i="20"/>
  <c r="AB774" i="20"/>
  <c r="AN770" i="20"/>
  <c r="AF770" i="20"/>
  <c r="AB770" i="20"/>
  <c r="AI770" i="20"/>
  <c r="AA770" i="20"/>
  <c r="AD770" i="20"/>
  <c r="AK770" i="20"/>
  <c r="AC770" i="20"/>
  <c r="AN766" i="20"/>
  <c r="AE766" i="20"/>
  <c r="AI766" i="20"/>
  <c r="AC766" i="20"/>
  <c r="AK766" i="20"/>
  <c r="AG766" i="20"/>
  <c r="AH766" i="20"/>
  <c r="AB766" i="20"/>
  <c r="Y766" i="20"/>
  <c r="AN762" i="20"/>
  <c r="AG762" i="20"/>
  <c r="AJ762" i="20"/>
  <c r="Z762" i="20"/>
  <c r="AC762" i="20"/>
  <c r="AE762" i="20"/>
  <c r="AA762" i="20"/>
  <c r="AI762" i="20"/>
  <c r="AD762" i="20"/>
  <c r="AF762" i="20"/>
  <c r="AK762" i="20"/>
  <c r="AN758" i="20"/>
  <c r="AJ758" i="20"/>
  <c r="AL758" i="20"/>
  <c r="AI758" i="20"/>
  <c r="AA758" i="20"/>
  <c r="AF758" i="20"/>
  <c r="AD758" i="20"/>
  <c r="AB758" i="20"/>
  <c r="Z758" i="20"/>
  <c r="AK758" i="20"/>
  <c r="AG758" i="20"/>
  <c r="AN754" i="20"/>
  <c r="Y754" i="20"/>
  <c r="AI754" i="20"/>
  <c r="AK754" i="20"/>
  <c r="Z754" i="20"/>
  <c r="AD754" i="20"/>
  <c r="AG754" i="20"/>
  <c r="AC754" i="20"/>
  <c r="AE754" i="20"/>
  <c r="AN750" i="20"/>
  <c r="AD750" i="20"/>
  <c r="AF750" i="20"/>
  <c r="AC750" i="20"/>
  <c r="AA750" i="20"/>
  <c r="AE750" i="20"/>
  <c r="AL750" i="20"/>
  <c r="AI750" i="20"/>
  <c r="Z750" i="20"/>
  <c r="AN746" i="20"/>
  <c r="AJ746" i="20"/>
  <c r="AG746" i="20"/>
  <c r="AB746" i="20"/>
  <c r="AC746" i="20"/>
  <c r="AE746" i="20"/>
  <c r="AH746" i="20"/>
  <c r="AL746" i="20"/>
  <c r="Y746" i="20"/>
  <c r="AF746" i="20"/>
  <c r="Z746" i="20"/>
  <c r="AD746" i="20"/>
  <c r="AN742" i="20"/>
  <c r="AJ742" i="20"/>
  <c r="AB742" i="20"/>
  <c r="AG742" i="20"/>
  <c r="AA742" i="20"/>
  <c r="AC742" i="20"/>
  <c r="Y742" i="20"/>
  <c r="AE742" i="20"/>
  <c r="AD742" i="20"/>
  <c r="AK742" i="20"/>
  <c r="AN738" i="20"/>
  <c r="Y738" i="20"/>
  <c r="AF738" i="20"/>
  <c r="AA738" i="20"/>
  <c r="Z738" i="20"/>
  <c r="AE738" i="20"/>
  <c r="AH738" i="20"/>
  <c r="AG738" i="20"/>
  <c r="AJ738" i="20"/>
  <c r="AC738" i="20"/>
  <c r="AK738" i="20"/>
  <c r="AN734" i="20"/>
  <c r="AC734" i="20"/>
  <c r="AG734" i="20"/>
  <c r="AI734" i="20"/>
  <c r="AK734" i="20"/>
  <c r="AD734" i="20"/>
  <c r="AF734" i="20"/>
  <c r="Y734" i="20"/>
  <c r="AB734" i="20"/>
  <c r="AN730" i="20"/>
  <c r="AG730" i="20"/>
  <c r="AC730" i="20"/>
  <c r="AL730" i="20"/>
  <c r="AE730" i="20"/>
  <c r="AI730" i="20"/>
  <c r="AD730" i="20"/>
  <c r="AB730" i="20"/>
  <c r="AN726" i="20"/>
  <c r="Y726" i="20"/>
  <c r="AJ726" i="20"/>
  <c r="AK726" i="20"/>
  <c r="AA726" i="20"/>
  <c r="AF726" i="20"/>
  <c r="AB726" i="20"/>
  <c r="AE726" i="20"/>
  <c r="AG726" i="20"/>
  <c r="AN722" i="20"/>
  <c r="AL722" i="20"/>
  <c r="Y722" i="20"/>
  <c r="AA722" i="20"/>
  <c r="AE722" i="20"/>
  <c r="Z722" i="20"/>
  <c r="AF722" i="20"/>
  <c r="AJ722" i="20"/>
  <c r="AI722" i="20"/>
  <c r="AG722" i="20"/>
  <c r="AB722" i="20"/>
  <c r="AB718" i="20"/>
  <c r="AN718" i="20"/>
  <c r="AK718" i="20"/>
  <c r="AA718" i="20"/>
  <c r="Y718" i="20"/>
  <c r="AF718" i="20"/>
  <c r="AI718" i="20"/>
  <c r="Z718" i="20"/>
  <c r="AG718" i="20"/>
  <c r="AC718" i="20"/>
  <c r="AI714" i="20"/>
  <c r="AN714" i="20"/>
  <c r="Y714" i="20"/>
  <c r="AE714" i="20"/>
  <c r="AJ714" i="20"/>
  <c r="AF714" i="20"/>
  <c r="AA714" i="20"/>
  <c r="AC714" i="20"/>
  <c r="AG714" i="20"/>
  <c r="AD714" i="20"/>
  <c r="AN710" i="20"/>
  <c r="AC710" i="20"/>
  <c r="Z710" i="20"/>
  <c r="AK710" i="20"/>
  <c r="AF710" i="20"/>
  <c r="Y710" i="20"/>
  <c r="AJ710" i="20"/>
  <c r="AI710" i="20"/>
  <c r="AG710" i="20"/>
  <c r="AN706" i="20"/>
  <c r="AK706" i="20"/>
  <c r="AA706" i="20"/>
  <c r="AJ706" i="20"/>
  <c r="AD706" i="20"/>
  <c r="AE706" i="20"/>
  <c r="AF706" i="20"/>
  <c r="AG706" i="20"/>
  <c r="AL706" i="20"/>
  <c r="AB706" i="20"/>
  <c r="Y706" i="20"/>
  <c r="AN702" i="20"/>
  <c r="AJ702" i="20"/>
  <c r="Z702" i="20"/>
  <c r="AF702" i="20"/>
  <c r="AB702" i="20"/>
  <c r="AI702" i="20"/>
  <c r="AL702" i="20"/>
  <c r="AC702" i="20"/>
  <c r="Y702" i="20"/>
  <c r="AA702" i="20"/>
  <c r="AE702" i="20"/>
  <c r="AK702" i="20"/>
  <c r="AN698" i="20"/>
  <c r="AI698" i="20"/>
  <c r="AE698" i="20"/>
  <c r="AK698" i="20"/>
  <c r="AD698" i="20"/>
  <c r="AF698" i="20"/>
  <c r="AA698" i="20"/>
  <c r="Y698" i="20"/>
  <c r="AG698" i="20"/>
  <c r="AB698" i="20"/>
  <c r="AN694" i="20"/>
  <c r="AL694" i="20"/>
  <c r="AA694" i="20"/>
  <c r="AB694" i="20"/>
  <c r="AG694" i="20"/>
  <c r="AE694" i="20"/>
  <c r="AJ694" i="20"/>
  <c r="AI694" i="20"/>
  <c r="Y694" i="20"/>
  <c r="AK694" i="20"/>
  <c r="AD694" i="20"/>
  <c r="AN690" i="20"/>
  <c r="AB690" i="20"/>
  <c r="Z690" i="20"/>
  <c r="AI690" i="20"/>
  <c r="AD690" i="20"/>
  <c r="AE690" i="20"/>
  <c r="Y690" i="20"/>
  <c r="AC690" i="20"/>
  <c r="AH690" i="20"/>
  <c r="AL690" i="20"/>
  <c r="AE686" i="20"/>
  <c r="AK686" i="20"/>
  <c r="AI686" i="20"/>
  <c r="AL686" i="20"/>
  <c r="AJ686" i="20"/>
  <c r="AN686" i="20"/>
  <c r="AF686" i="20"/>
  <c r="AB686" i="20"/>
  <c r="Z686" i="20"/>
  <c r="AA686" i="20"/>
  <c r="AC682" i="20"/>
  <c r="AN682" i="20"/>
  <c r="Z682" i="20"/>
  <c r="AB682" i="20"/>
  <c r="AD682" i="20"/>
  <c r="Y682" i="20"/>
  <c r="AE682" i="20"/>
  <c r="AA682" i="20"/>
  <c r="AN678" i="20"/>
  <c r="Z678" i="20"/>
  <c r="AJ678" i="20"/>
  <c r="AD678" i="20"/>
  <c r="AI678" i="20"/>
  <c r="AG678" i="20"/>
  <c r="AE678" i="20"/>
  <c r="AL678" i="20"/>
  <c r="AA678" i="20"/>
  <c r="AN674" i="20"/>
  <c r="AE674" i="20"/>
  <c r="AK674" i="20"/>
  <c r="AG674" i="20"/>
  <c r="Y674" i="20"/>
  <c r="AA674" i="20"/>
  <c r="AC674" i="20"/>
  <c r="AF674" i="20"/>
  <c r="AD674" i="20"/>
  <c r="AN670" i="20"/>
  <c r="AL670" i="20"/>
  <c r="AJ670" i="20"/>
  <c r="AC670" i="20"/>
  <c r="AK670" i="20"/>
  <c r="AH670" i="20"/>
  <c r="AE670" i="20"/>
  <c r="AD670" i="20"/>
  <c r="AA670" i="20"/>
  <c r="Y670" i="20"/>
  <c r="AB670" i="20"/>
  <c r="AN666" i="20"/>
  <c r="AF666" i="20"/>
  <c r="Y666" i="20"/>
  <c r="AE666" i="20"/>
  <c r="AK666" i="20"/>
  <c r="AA666" i="20"/>
  <c r="AC666" i="20"/>
  <c r="AG666" i="20"/>
  <c r="Z666" i="20"/>
  <c r="AH666" i="20"/>
  <c r="AI666" i="20"/>
  <c r="AD666" i="20"/>
  <c r="AN662" i="20"/>
  <c r="AE662" i="20"/>
  <c r="AC662" i="20"/>
  <c r="AI662" i="20"/>
  <c r="AL662" i="20"/>
  <c r="AK662" i="20"/>
  <c r="AB662" i="20"/>
  <c r="AN658" i="20"/>
  <c r="AK658" i="20"/>
  <c r="AB658" i="20"/>
  <c r="AD658" i="20"/>
  <c r="AA658" i="20"/>
  <c r="AG658" i="20"/>
  <c r="AH658" i="20"/>
  <c r="AL658" i="20"/>
  <c r="AA654" i="20"/>
  <c r="AG654" i="20"/>
  <c r="AN654" i="20"/>
  <c r="AL654" i="20"/>
  <c r="AJ654" i="20"/>
  <c r="AE654" i="20"/>
  <c r="AK654" i="20"/>
  <c r="AD654" i="20"/>
  <c r="Y654" i="20"/>
  <c r="AN650" i="20"/>
  <c r="AL650" i="20"/>
  <c r="AK650" i="20"/>
  <c r="AA650" i="20"/>
  <c r="AJ650" i="20"/>
  <c r="AB650" i="20"/>
  <c r="AD650" i="20"/>
  <c r="AE650" i="20"/>
  <c r="Z650" i="20"/>
  <c r="AB646" i="20"/>
  <c r="AA646" i="20"/>
  <c r="AK646" i="20"/>
  <c r="Y646" i="20"/>
  <c r="AF646" i="20"/>
  <c r="AE646" i="20"/>
  <c r="AD646" i="20"/>
  <c r="AN646" i="20"/>
  <c r="AI646" i="20"/>
  <c r="AC646" i="20"/>
  <c r="AJ646" i="20"/>
  <c r="AE641" i="20"/>
  <c r="AI641" i="20"/>
  <c r="Z641" i="20"/>
  <c r="AN641" i="20"/>
  <c r="Y641" i="20"/>
  <c r="AL641" i="20"/>
  <c r="AB641" i="20"/>
  <c r="AK641" i="20"/>
  <c r="AF641" i="20"/>
  <c r="AA641" i="20"/>
  <c r="AG641" i="20"/>
  <c r="AC641" i="20"/>
  <c r="AN637" i="20"/>
  <c r="AL637" i="20"/>
  <c r="AA637" i="20"/>
  <c r="AJ637" i="20"/>
  <c r="AG637" i="20"/>
  <c r="Z637" i="20"/>
  <c r="AE637" i="20"/>
  <c r="AH637" i="20"/>
  <c r="AK637" i="20"/>
  <c r="Y637" i="20"/>
  <c r="AI637" i="20"/>
  <c r="AD634" i="20"/>
  <c r="AJ634" i="20"/>
  <c r="AG634" i="20"/>
  <c r="AN634" i="20"/>
  <c r="AB634" i="20"/>
  <c r="AL634" i="20"/>
  <c r="AI634" i="20"/>
  <c r="Y634" i="20"/>
  <c r="AN630" i="20"/>
  <c r="AI630" i="20"/>
  <c r="AD630" i="20"/>
  <c r="AK630" i="20"/>
  <c r="Z630" i="20"/>
  <c r="Y630" i="20"/>
  <c r="AL630" i="20"/>
  <c r="AJ630" i="20"/>
  <c r="AB630" i="20"/>
  <c r="AE630" i="20"/>
  <c r="AC630" i="20"/>
  <c r="AG630" i="20"/>
  <c r="AN626" i="20"/>
  <c r="AD626" i="20"/>
  <c r="AL626" i="20"/>
  <c r="Z626" i="20"/>
  <c r="AE626" i="20"/>
  <c r="AB626" i="20"/>
  <c r="Y626" i="20"/>
  <c r="AK626" i="20"/>
  <c r="AG626" i="20"/>
  <c r="AF626" i="20"/>
  <c r="AA626" i="20"/>
  <c r="AI626" i="20"/>
  <c r="AN622" i="20"/>
  <c r="AG622" i="20"/>
  <c r="Y622" i="20"/>
  <c r="Z622" i="20"/>
  <c r="AA622" i="20"/>
  <c r="AC622" i="20"/>
  <c r="AH622" i="20"/>
  <c r="AJ622" i="20"/>
  <c r="AI622" i="20"/>
  <c r="AD622" i="20"/>
  <c r="AK622" i="20"/>
  <c r="AN618" i="20"/>
  <c r="AG618" i="20"/>
  <c r="Z618" i="20"/>
  <c r="AC618" i="20"/>
  <c r="AE618" i="20"/>
  <c r="AD618" i="20"/>
  <c r="Y618" i="20"/>
  <c r="AB618" i="20"/>
  <c r="AA618" i="20"/>
  <c r="AD614" i="20"/>
  <c r="AC614" i="20"/>
  <c r="AA614" i="20"/>
  <c r="AB614" i="20"/>
  <c r="AE614" i="20"/>
  <c r="AG614" i="20"/>
  <c r="AF614" i="20"/>
  <c r="AN614" i="20"/>
  <c r="AI614" i="20"/>
  <c r="AN610" i="20"/>
  <c r="AK610" i="20"/>
  <c r="AE610" i="20"/>
  <c r="AA610" i="20"/>
  <c r="AB610" i="20"/>
  <c r="AC610" i="20"/>
  <c r="AG610" i="20"/>
  <c r="Y610" i="20"/>
  <c r="AK606" i="20"/>
  <c r="Y606" i="20"/>
  <c r="AN606" i="20"/>
  <c r="AE606" i="20"/>
  <c r="AI606" i="20"/>
  <c r="Z606" i="20"/>
  <c r="AA606" i="20"/>
  <c r="AD606" i="20"/>
  <c r="AF606" i="20"/>
  <c r="AH606" i="20"/>
  <c r="AJ606" i="20"/>
  <c r="AG606" i="20"/>
  <c r="AC606" i="20"/>
  <c r="AB606" i="20"/>
  <c r="AN602" i="20"/>
  <c r="AF602" i="20"/>
  <c r="AJ602" i="20"/>
  <c r="Z602" i="20"/>
  <c r="AA602" i="20"/>
  <c r="AE602" i="20"/>
  <c r="AI602" i="20"/>
  <c r="AB602" i="20"/>
  <c r="AG602" i="20"/>
  <c r="AH602" i="20"/>
  <c r="AL602" i="20"/>
  <c r="AK602" i="20"/>
  <c r="Y602" i="20"/>
  <c r="AC602" i="20"/>
  <c r="AD602" i="20"/>
  <c r="AN597" i="20"/>
  <c r="AC597" i="20"/>
  <c r="AG597" i="20"/>
  <c r="AF597" i="20"/>
  <c r="AK597" i="20"/>
  <c r="Z597" i="20"/>
  <c r="AJ597" i="20"/>
  <c r="Y597" i="20"/>
  <c r="AI597" i="20"/>
  <c r="AA597" i="20"/>
  <c r="AD597" i="20"/>
  <c r="AE597" i="20"/>
  <c r="AB597" i="20"/>
  <c r="AC594" i="20"/>
  <c r="AG594" i="20"/>
  <c r="AI594" i="20"/>
  <c r="AK594" i="20"/>
  <c r="AD594" i="20"/>
  <c r="Z594" i="20"/>
  <c r="AA594" i="20"/>
  <c r="AF594" i="20"/>
  <c r="AB594" i="20"/>
  <c r="Y594" i="20"/>
  <c r="AN594" i="20"/>
  <c r="AE594" i="20"/>
  <c r="AN590" i="20"/>
  <c r="AE590" i="20"/>
  <c r="AC590" i="20"/>
  <c r="Z590" i="20"/>
  <c r="AL590" i="20"/>
  <c r="AB590" i="20"/>
  <c r="AI590" i="20"/>
  <c r="AK590" i="20"/>
  <c r="AG590" i="20"/>
  <c r="AN586" i="20"/>
  <c r="AB586" i="20"/>
  <c r="AI586" i="20"/>
  <c r="AG586" i="20"/>
  <c r="AE586" i="20"/>
  <c r="AD586" i="20"/>
  <c r="AK586" i="20"/>
  <c r="AC586" i="20"/>
  <c r="AA586" i="20"/>
  <c r="AF586" i="20"/>
  <c r="Z586" i="20"/>
  <c r="Y586" i="20"/>
  <c r="AN582" i="20"/>
  <c r="AC582" i="20"/>
  <c r="AD582" i="20"/>
  <c r="AB582" i="20"/>
  <c r="AA582" i="20"/>
  <c r="AK582" i="20"/>
  <c r="AF582" i="20"/>
  <c r="Z582" i="20"/>
  <c r="AH582" i="20"/>
  <c r="Y582" i="20"/>
  <c r="AL582" i="20"/>
  <c r="AE582" i="20"/>
  <c r="AG582" i="20"/>
  <c r="Z578" i="20"/>
  <c r="AK578" i="20"/>
  <c r="AN578" i="20"/>
  <c r="Y578" i="20"/>
  <c r="AG578" i="20"/>
  <c r="AD578" i="20"/>
  <c r="AF578" i="20"/>
  <c r="AL578" i="20"/>
  <c r="AE578" i="20"/>
  <c r="AC578" i="20"/>
  <c r="AA578" i="20"/>
  <c r="AB578" i="20"/>
  <c r="AN574" i="20"/>
  <c r="AK574" i="20"/>
  <c r="Z574" i="20"/>
  <c r="AF574" i="20"/>
  <c r="AJ574" i="20"/>
  <c r="AB574" i="20"/>
  <c r="Y574" i="20"/>
  <c r="AA574" i="20"/>
  <c r="AN570" i="20"/>
  <c r="AG570" i="20"/>
  <c r="AA570" i="20"/>
  <c r="AC570" i="20"/>
  <c r="AF570" i="20"/>
  <c r="AE570" i="20"/>
  <c r="AJ570" i="20"/>
  <c r="AK570" i="20"/>
  <c r="AN560" i="20"/>
  <c r="AF560" i="20"/>
  <c r="AI560" i="20"/>
  <c r="AE560" i="20"/>
  <c r="AG560" i="20"/>
  <c r="AK560" i="20"/>
  <c r="AL560" i="20"/>
  <c r="AD560" i="20"/>
  <c r="Z560" i="20"/>
  <c r="AA560" i="20"/>
  <c r="AC560" i="20"/>
  <c r="AN564" i="20"/>
  <c r="AK564" i="20"/>
  <c r="AF564" i="20"/>
  <c r="AI564" i="20"/>
  <c r="Z564" i="20"/>
  <c r="AB564" i="20"/>
  <c r="AG564" i="20"/>
  <c r="Y564" i="20"/>
  <c r="AN554" i="20"/>
  <c r="AJ554" i="20"/>
  <c r="AG554" i="20"/>
  <c r="AC554" i="20"/>
  <c r="AK554" i="20"/>
  <c r="Z554" i="20"/>
  <c r="AA554" i="20"/>
  <c r="AF554" i="20"/>
  <c r="AB554" i="20"/>
  <c r="AL554" i="20"/>
  <c r="Y554" i="20"/>
  <c r="AD554" i="20"/>
  <c r="AE554" i="20"/>
  <c r="AJ550" i="20"/>
  <c r="AC550" i="20"/>
  <c r="AB550" i="20"/>
  <c r="Z550" i="20"/>
  <c r="AA550" i="20"/>
  <c r="AF550" i="20"/>
  <c r="AE550" i="20"/>
  <c r="AD550" i="20"/>
  <c r="AG550" i="20"/>
  <c r="AN546" i="20"/>
  <c r="AE546" i="20"/>
  <c r="AJ546" i="20"/>
  <c r="Y546" i="20"/>
  <c r="AC546" i="20"/>
  <c r="AN542" i="20"/>
  <c r="AC542" i="20"/>
  <c r="Z542" i="20"/>
  <c r="AF542" i="20"/>
  <c r="Y542" i="20"/>
  <c r="AI542" i="20"/>
  <c r="AE542" i="20"/>
  <c r="AK542" i="20"/>
  <c r="AN538" i="20"/>
  <c r="AI538" i="20"/>
  <c r="AG538" i="20"/>
  <c r="AF538" i="20"/>
  <c r="AK538" i="20"/>
  <c r="AA538" i="20"/>
  <c r="AD538" i="20"/>
  <c r="AE538" i="20"/>
  <c r="Z538" i="20"/>
  <c r="AN534" i="20"/>
  <c r="Z534" i="20"/>
  <c r="AG534" i="20"/>
  <c r="AJ534" i="20"/>
  <c r="AK534" i="20"/>
  <c r="AD534" i="20"/>
  <c r="Y534" i="20"/>
  <c r="AE534" i="20"/>
  <c r="AC534" i="20"/>
  <c r="AB534" i="20"/>
  <c r="AN530" i="20"/>
  <c r="AI530" i="20"/>
  <c r="Z530" i="20"/>
  <c r="AC530" i="20"/>
  <c r="AL530" i="20"/>
  <c r="AA530" i="20"/>
  <c r="AB530" i="20"/>
  <c r="Y530" i="20"/>
  <c r="AD530" i="20"/>
  <c r="AK530" i="20"/>
  <c r="AE530" i="20"/>
  <c r="AN526" i="20"/>
  <c r="AI526" i="20"/>
  <c r="Y526" i="20"/>
  <c r="AB526" i="20"/>
  <c r="AC526" i="20"/>
  <c r="AG526" i="20"/>
  <c r="AE526" i="20"/>
  <c r="AF526" i="20"/>
  <c r="AK526" i="20"/>
  <c r="AA522" i="20"/>
  <c r="AE522" i="20"/>
  <c r="AH522" i="20"/>
  <c r="AK522" i="20"/>
  <c r="AN522" i="20"/>
  <c r="AC522" i="20"/>
  <c r="AN518" i="20"/>
  <c r="AD518" i="20"/>
  <c r="AI518" i="20"/>
  <c r="AC518" i="20"/>
  <c r="AE518" i="20"/>
  <c r="AG518" i="20"/>
  <c r="AK518" i="20"/>
  <c r="Y518" i="20"/>
  <c r="AJ518" i="20"/>
  <c r="AN514" i="20"/>
  <c r="AF514" i="20"/>
  <c r="Y514" i="20"/>
  <c r="AD514" i="20"/>
  <c r="AB514" i="20"/>
  <c r="AC514" i="20"/>
  <c r="AE514" i="20"/>
  <c r="AA514" i="20"/>
  <c r="AJ514" i="20"/>
  <c r="AL514" i="20"/>
  <c r="Z514" i="20"/>
  <c r="AI514" i="20"/>
  <c r="AN510" i="20"/>
  <c r="AB510" i="20"/>
  <c r="AI510" i="20"/>
  <c r="AC510" i="20"/>
  <c r="Y510" i="20"/>
  <c r="AD510" i="20"/>
  <c r="Z510" i="20"/>
  <c r="AN506" i="20"/>
  <c r="AF506" i="20"/>
  <c r="AG506" i="20"/>
  <c r="AD506" i="20"/>
  <c r="AI506" i="20"/>
  <c r="AE506" i="20"/>
  <c r="Z506" i="20"/>
  <c r="AA506" i="20"/>
  <c r="AN502" i="20"/>
  <c r="AI502" i="20"/>
  <c r="AB502" i="20"/>
  <c r="AK502" i="20"/>
  <c r="AD502" i="20"/>
  <c r="AC502" i="20"/>
  <c r="AA502" i="20"/>
  <c r="AG502" i="20"/>
  <c r="AN498" i="20"/>
  <c r="AE498" i="20"/>
  <c r="AA498" i="20"/>
  <c r="Z498" i="20"/>
  <c r="Y498" i="20"/>
  <c r="AC498" i="20"/>
  <c r="AL498" i="20"/>
  <c r="AK498" i="20"/>
  <c r="AN494" i="20"/>
  <c r="AA494" i="20"/>
  <c r="Z494" i="20"/>
  <c r="AE494" i="20"/>
  <c r="AL494" i="20"/>
  <c r="AF494" i="20"/>
  <c r="AC494" i="20"/>
  <c r="AB494" i="20"/>
  <c r="AD494" i="20"/>
  <c r="AN555" i="20"/>
  <c r="AK555" i="20"/>
  <c r="AD555" i="20"/>
  <c r="Z555" i="20"/>
  <c r="Y555" i="20"/>
  <c r="AB555" i="20"/>
  <c r="AC555" i="20"/>
  <c r="AA555" i="20"/>
  <c r="AF555" i="20"/>
  <c r="AI555" i="20"/>
  <c r="AE555" i="20"/>
  <c r="Y490" i="20"/>
  <c r="AK490" i="20"/>
  <c r="AB490" i="20"/>
  <c r="AI490" i="20"/>
  <c r="AF490" i="20"/>
  <c r="AD490" i="20"/>
  <c r="AE490" i="20"/>
  <c r="AC490" i="20"/>
  <c r="AN490" i="20"/>
  <c r="Z490" i="20"/>
  <c r="AJ490" i="20"/>
  <c r="AG490" i="20"/>
  <c r="AF486" i="20"/>
  <c r="AC486" i="20"/>
  <c r="Y486" i="20"/>
  <c r="Z486" i="20"/>
  <c r="AK486" i="20"/>
  <c r="AE486" i="20"/>
  <c r="AL486" i="20"/>
  <c r="AB486" i="20"/>
  <c r="AA486" i="20"/>
  <c r="AD486" i="20"/>
  <c r="AG486" i="20"/>
  <c r="Y482" i="20"/>
  <c r="AF482" i="20"/>
  <c r="AA482" i="20"/>
  <c r="AL482" i="20"/>
  <c r="AG482" i="20"/>
  <c r="AK482" i="20"/>
  <c r="AH482" i="20"/>
  <c r="AI482" i="20"/>
  <c r="AN482" i="20"/>
  <c r="AD482" i="20"/>
  <c r="AB482" i="20"/>
  <c r="Z482" i="20"/>
  <c r="AN478" i="20"/>
  <c r="AF478" i="20"/>
  <c r="AA478" i="20"/>
  <c r="AE478" i="20"/>
  <c r="AB478" i="20"/>
  <c r="Y478" i="20"/>
  <c r="AK478" i="20"/>
  <c r="AG478" i="20"/>
  <c r="AC478" i="20"/>
  <c r="Z478" i="20"/>
  <c r="AL478" i="20"/>
  <c r="AJ478" i="20"/>
  <c r="AN466" i="20"/>
  <c r="AJ466" i="20"/>
  <c r="AG466" i="20"/>
  <c r="AB466" i="20"/>
  <c r="AC466" i="20"/>
  <c r="AL466" i="20"/>
  <c r="AD466" i="20"/>
  <c r="AA466" i="20"/>
  <c r="AI466" i="20"/>
  <c r="AK466" i="20"/>
  <c r="Y466" i="20"/>
  <c r="AF466" i="20"/>
  <c r="AE466" i="20"/>
  <c r="AN462" i="20"/>
  <c r="AK462" i="20"/>
  <c r="AF462" i="20"/>
  <c r="Z462" i="20"/>
  <c r="AG462" i="20"/>
  <c r="AA462" i="20"/>
  <c r="AD462" i="20"/>
  <c r="AB462" i="20"/>
  <c r="AE462" i="20"/>
  <c r="AN458" i="20"/>
  <c r="AF458" i="20"/>
  <c r="AK458" i="20"/>
  <c r="AB458" i="20"/>
  <c r="AD458" i="20"/>
  <c r="AC458" i="20"/>
  <c r="AJ458" i="20"/>
  <c r="AN454" i="20"/>
  <c r="AD454" i="20"/>
  <c r="AG454" i="20"/>
  <c r="AK454" i="20"/>
  <c r="AB454" i="20"/>
  <c r="AF454" i="20"/>
  <c r="AE454" i="20"/>
  <c r="AC454" i="20"/>
  <c r="AN450" i="20"/>
  <c r="AJ450" i="20"/>
  <c r="AG450" i="20"/>
  <c r="AF450" i="20"/>
  <c r="AD450" i="20"/>
  <c r="AH450" i="20"/>
  <c r="AC450" i="20"/>
  <c r="AE450" i="20"/>
  <c r="AK450" i="20"/>
  <c r="AN446" i="20"/>
  <c r="AJ446" i="20"/>
  <c r="AB446" i="20"/>
  <c r="Y446" i="20"/>
  <c r="AD446" i="20"/>
  <c r="Z446" i="20"/>
  <c r="AE446" i="20"/>
  <c r="AG446" i="20"/>
  <c r="AC446" i="20"/>
  <c r="AK446" i="20"/>
  <c r="AA446" i="20"/>
  <c r="AH446" i="20"/>
  <c r="AI446" i="20"/>
  <c r="AN442" i="20"/>
  <c r="Y442" i="20"/>
  <c r="AD442" i="20"/>
  <c r="AG442" i="20"/>
  <c r="Z442" i="20"/>
  <c r="AK442" i="20"/>
  <c r="AA442" i="20"/>
  <c r="AH442" i="20"/>
  <c r="AC442" i="20"/>
  <c r="AE442" i="20"/>
  <c r="AB442" i="20"/>
  <c r="AN438" i="20"/>
  <c r="AD438" i="20"/>
  <c r="AA438" i="20"/>
  <c r="AF438" i="20"/>
  <c r="AC438" i="20"/>
  <c r="Z438" i="20"/>
  <c r="AB438" i="20"/>
  <c r="AI438" i="20"/>
  <c r="AJ438" i="20"/>
  <c r="AL438" i="20"/>
  <c r="AE438" i="20"/>
  <c r="AK438" i="20"/>
  <c r="Y438" i="20"/>
  <c r="AG438" i="20"/>
  <c r="Y434" i="20"/>
  <c r="AJ434" i="20"/>
  <c r="AK434" i="20"/>
  <c r="AC434" i="20"/>
  <c r="AA434" i="20"/>
  <c r="AG434" i="20"/>
  <c r="AL434" i="20"/>
  <c r="AB434" i="20"/>
  <c r="AH434" i="20"/>
  <c r="AD434" i="20"/>
  <c r="AI434" i="20"/>
  <c r="AF434" i="20"/>
  <c r="Z434" i="20"/>
  <c r="AN434" i="20"/>
  <c r="AE434" i="20"/>
  <c r="AG430" i="20"/>
  <c r="Y430" i="20"/>
  <c r="AK430" i="20"/>
  <c r="AE430" i="20"/>
  <c r="AC430" i="20"/>
  <c r="AB430" i="20"/>
  <c r="AD430" i="20"/>
  <c r="AH430" i="20"/>
  <c r="AJ430" i="20"/>
  <c r="Z430" i="20"/>
  <c r="AI430" i="20"/>
  <c r="AN426" i="20"/>
  <c r="AB426" i="20"/>
  <c r="AG426" i="20"/>
  <c r="AF426" i="20"/>
  <c r="Y426" i="20"/>
  <c r="AA426" i="20"/>
  <c r="AD426" i="20"/>
  <c r="AK426" i="20"/>
  <c r="AN422" i="20"/>
  <c r="AI422" i="20"/>
  <c r="AA422" i="20"/>
  <c r="AG422" i="20"/>
  <c r="AE422" i="20"/>
  <c r="AK422" i="20"/>
  <c r="AC422" i="20"/>
  <c r="AF422" i="20"/>
  <c r="Z422" i="20"/>
  <c r="Y422" i="20"/>
  <c r="AD422" i="20"/>
  <c r="AB422" i="20"/>
  <c r="AH422" i="20"/>
  <c r="AL422" i="20"/>
  <c r="AN419" i="20"/>
  <c r="AC419" i="20"/>
  <c r="AD419" i="20"/>
  <c r="AL419" i="20"/>
  <c r="AJ419" i="20"/>
  <c r="Z419" i="20"/>
  <c r="AK419" i="20"/>
  <c r="AF419" i="20"/>
  <c r="AH419" i="20"/>
  <c r="AG419" i="20"/>
  <c r="AB419" i="20"/>
  <c r="AF414" i="20"/>
  <c r="Y414" i="20"/>
  <c r="Z414" i="20"/>
  <c r="AD414" i="20"/>
  <c r="AA414" i="20"/>
  <c r="AN414" i="20"/>
  <c r="AE414" i="20"/>
  <c r="AK414" i="20"/>
  <c r="AI414" i="20"/>
  <c r="AC414" i="20"/>
  <c r="AB414" i="20"/>
  <c r="Y410" i="20"/>
  <c r="AA410" i="20"/>
  <c r="AK410" i="20"/>
  <c r="AD410" i="20"/>
  <c r="AN410" i="20"/>
  <c r="AL410" i="20"/>
  <c r="AG410" i="20"/>
  <c r="AF410" i="20"/>
  <c r="AB410" i="20"/>
  <c r="Z410" i="20"/>
  <c r="AE410" i="20"/>
  <c r="AK404" i="20"/>
  <c r="AJ404" i="20"/>
  <c r="AC404" i="20"/>
  <c r="Z404" i="20"/>
  <c r="AD404" i="20"/>
  <c r="AB404" i="20"/>
  <c r="AG404" i="20"/>
  <c r="AE404" i="20"/>
  <c r="Y404" i="20"/>
  <c r="AL404" i="20"/>
  <c r="AF404" i="20"/>
  <c r="AN406" i="20"/>
  <c r="AI406" i="20"/>
  <c r="AK406" i="20"/>
  <c r="Z406" i="20"/>
  <c r="AE406" i="20"/>
  <c r="AF406" i="20"/>
  <c r="Y406" i="20"/>
  <c r="AN398" i="20"/>
  <c r="AK398" i="20"/>
  <c r="AA398" i="20"/>
  <c r="Y398" i="20"/>
  <c r="AB398" i="20"/>
  <c r="Z398" i="20"/>
  <c r="AN394" i="20"/>
  <c r="AB394" i="20"/>
  <c r="AL394" i="20"/>
  <c r="AK394" i="20"/>
  <c r="AJ394" i="20"/>
  <c r="AA394" i="20"/>
  <c r="AG394" i="20"/>
  <c r="AE394" i="20"/>
  <c r="Z394" i="20"/>
  <c r="AF394" i="20"/>
  <c r="AC394" i="20"/>
  <c r="Y394" i="20"/>
  <c r="AI394" i="20"/>
  <c r="AH394" i="20"/>
  <c r="AD394" i="20"/>
  <c r="AB390" i="20"/>
  <c r="AE390" i="20"/>
  <c r="AG390" i="20"/>
  <c r="AK390" i="20"/>
  <c r="AA390" i="20"/>
  <c r="AF390" i="20"/>
  <c r="Y390" i="20"/>
  <c r="AI390" i="20"/>
  <c r="AL390" i="20"/>
  <c r="AN390" i="20"/>
  <c r="AC390" i="20"/>
  <c r="AN386" i="20"/>
  <c r="AL386" i="20"/>
  <c r="Y386" i="20"/>
  <c r="Z386" i="20"/>
  <c r="AD386" i="20"/>
  <c r="AF386" i="20"/>
  <c r="AC386" i="20"/>
  <c r="AB386" i="20"/>
  <c r="AG386" i="20"/>
  <c r="AI386" i="20"/>
  <c r="AK386" i="20"/>
  <c r="AE386" i="20"/>
  <c r="AJ382" i="20"/>
  <c r="AF382" i="20"/>
  <c r="AC382" i="20"/>
  <c r="AK382" i="20"/>
  <c r="AI382" i="20"/>
  <c r="AA382" i="20"/>
  <c r="Z382" i="20"/>
  <c r="Y382" i="20"/>
  <c r="AL382" i="20"/>
  <c r="AN382" i="20"/>
  <c r="AB382" i="20"/>
  <c r="AE382" i="20"/>
  <c r="AN378" i="20"/>
  <c r="AA378" i="20"/>
  <c r="AC378" i="20"/>
  <c r="AK378" i="20"/>
  <c r="AB378" i="20"/>
  <c r="AE378" i="20"/>
  <c r="Y378" i="20"/>
  <c r="AL378" i="20"/>
  <c r="AJ378" i="20"/>
  <c r="AG378" i="20"/>
  <c r="AF378" i="20"/>
  <c r="Z374" i="20"/>
  <c r="AJ374" i="20"/>
  <c r="AK374" i="20"/>
  <c r="AA374" i="20"/>
  <c r="AE374" i="20"/>
  <c r="AD374" i="20"/>
  <c r="AB374" i="20"/>
  <c r="AF374" i="20"/>
  <c r="AN374" i="20"/>
  <c r="AC374" i="20"/>
  <c r="AI374" i="20"/>
  <c r="Y374" i="20"/>
  <c r="AL374" i="20"/>
  <c r="AN370" i="20"/>
  <c r="AI370" i="20"/>
  <c r="Z370" i="20"/>
  <c r="AK370" i="20"/>
  <c r="AE370" i="20"/>
  <c r="AC370" i="20"/>
  <c r="AF370" i="20"/>
  <c r="AB370" i="20"/>
  <c r="AG370" i="20"/>
  <c r="AA370" i="20"/>
  <c r="Y370" i="20"/>
  <c r="AD370" i="20"/>
  <c r="AJ370" i="20"/>
  <c r="AN366" i="20"/>
  <c r="AA366" i="20"/>
  <c r="AF366" i="20"/>
  <c r="AG366" i="20"/>
  <c r="AB366" i="20"/>
  <c r="AE366" i="20"/>
  <c r="Y366" i="20"/>
  <c r="Z366" i="20"/>
  <c r="AD366" i="20"/>
  <c r="AC366" i="20"/>
  <c r="AN362" i="20"/>
  <c r="AB362" i="20"/>
  <c r="AD362" i="20"/>
  <c r="AK362" i="20"/>
  <c r="AG362" i="20"/>
  <c r="AI362" i="20"/>
  <c r="AC362" i="20"/>
  <c r="Z362" i="20"/>
  <c r="Y362" i="20"/>
  <c r="AA362" i="20"/>
  <c r="AJ362" i="20"/>
  <c r="AF362" i="20"/>
  <c r="AH362" i="20"/>
  <c r="Z358" i="20"/>
  <c r="AA358" i="20"/>
  <c r="Y358" i="20"/>
  <c r="AD358" i="20"/>
  <c r="AC358" i="20"/>
  <c r="AF358" i="20"/>
  <c r="AB358" i="20"/>
  <c r="AE358" i="20"/>
  <c r="AG358" i="20"/>
  <c r="AK358" i="20"/>
  <c r="AN358" i="20"/>
  <c r="AJ354" i="20"/>
  <c r="AD354" i="20"/>
  <c r="AF354" i="20"/>
  <c r="AC354" i="20"/>
  <c r="AA354" i="20"/>
  <c r="AB354" i="20"/>
  <c r="AN354" i="20"/>
  <c r="AE354" i="20"/>
  <c r="AG354" i="20"/>
  <c r="AK354" i="20"/>
  <c r="AL354" i="20"/>
  <c r="AI354" i="20"/>
  <c r="Y354" i="20"/>
  <c r="AN350" i="20"/>
  <c r="Y350" i="20"/>
  <c r="AG350" i="20"/>
  <c r="AA350" i="20"/>
  <c r="Z350" i="20"/>
  <c r="AF350" i="20"/>
  <c r="AK350" i="20"/>
  <c r="AD350" i="20"/>
  <c r="AL350" i="20"/>
  <c r="AC350" i="20"/>
  <c r="AN346" i="20"/>
  <c r="AG346" i="20"/>
  <c r="AB346" i="20"/>
  <c r="AA346" i="20"/>
  <c r="AL346" i="20"/>
  <c r="AD346" i="20"/>
  <c r="AE346" i="20"/>
  <c r="AC346" i="20"/>
  <c r="AH346" i="20"/>
  <c r="AJ346" i="20"/>
  <c r="AF346" i="20"/>
  <c r="Z346" i="20"/>
  <c r="AN342" i="20"/>
  <c r="AG342" i="20"/>
  <c r="AB342" i="20"/>
  <c r="AI342" i="20"/>
  <c r="AC342" i="20"/>
  <c r="AF342" i="20"/>
  <c r="AE342" i="20"/>
  <c r="AA342" i="20"/>
  <c r="Z342" i="20"/>
  <c r="Y342" i="20"/>
  <c r="AJ342" i="20"/>
  <c r="AD342" i="20"/>
  <c r="AN338" i="20"/>
  <c r="AK338" i="20"/>
  <c r="Z338" i="20"/>
  <c r="Y338" i="20"/>
  <c r="AC338" i="20"/>
  <c r="AB338" i="20"/>
  <c r="AA338" i="20"/>
  <c r="AD338" i="20"/>
  <c r="AH338" i="20"/>
  <c r="AF338" i="20"/>
  <c r="AE338" i="20"/>
  <c r="AN334" i="20"/>
  <c r="AB334" i="20"/>
  <c r="Y334" i="20"/>
  <c r="AF334" i="20"/>
  <c r="AC334" i="20"/>
  <c r="AD334" i="20"/>
  <c r="AH334" i="20"/>
  <c r="AL334" i="20"/>
  <c r="AE334" i="20"/>
  <c r="AG334" i="20"/>
  <c r="AA334" i="20"/>
  <c r="Z334" i="20"/>
  <c r="AK334" i="20"/>
  <c r="AN330" i="20"/>
  <c r="Y330" i="20"/>
  <c r="AD330" i="20"/>
  <c r="AI330" i="20"/>
  <c r="AE330" i="20"/>
  <c r="AA330" i="20"/>
  <c r="AJ330" i="20"/>
  <c r="AC330" i="20"/>
  <c r="AB330" i="20"/>
  <c r="AF330" i="20"/>
  <c r="AK330" i="20"/>
  <c r="Z330" i="20"/>
  <c r="AN325" i="20"/>
  <c r="AK325" i="20"/>
  <c r="Z325" i="20"/>
  <c r="AF325" i="20"/>
  <c r="AA325" i="20"/>
  <c r="AD325" i="20"/>
  <c r="AB325" i="20"/>
  <c r="AH325" i="20"/>
  <c r="AJ325" i="20"/>
  <c r="AC325" i="20"/>
  <c r="AE322" i="20"/>
  <c r="AG322" i="20"/>
  <c r="AA322" i="20"/>
  <c r="AK322" i="20"/>
  <c r="AI322" i="20"/>
  <c r="AN322" i="20"/>
  <c r="Y322" i="20"/>
  <c r="Y318" i="20"/>
  <c r="AG318" i="20"/>
  <c r="AE318" i="20"/>
  <c r="AB318" i="20"/>
  <c r="AF318" i="20"/>
  <c r="AA318" i="20"/>
  <c r="AK318" i="20"/>
  <c r="AL318" i="20"/>
  <c r="Z318" i="20"/>
  <c r="AI318" i="20"/>
  <c r="AC318" i="20"/>
  <c r="AN318" i="20"/>
  <c r="AJ318" i="20"/>
  <c r="AD318" i="20"/>
  <c r="AJ314" i="20"/>
  <c r="AN314" i="20"/>
  <c r="Y314" i="20"/>
  <c r="Z314" i="20"/>
  <c r="AL314" i="20"/>
  <c r="AG314" i="20"/>
  <c r="AB314" i="20"/>
  <c r="AF314" i="20"/>
  <c r="AE314" i="20"/>
  <c r="AK314" i="20"/>
  <c r="AH314" i="20"/>
  <c r="AD314" i="20"/>
  <c r="AI314" i="20"/>
  <c r="AA314" i="20"/>
  <c r="AC314" i="20"/>
  <c r="AN310" i="20"/>
  <c r="AD310" i="20"/>
  <c r="AE310" i="20"/>
  <c r="AG310" i="20"/>
  <c r="AK310" i="20"/>
  <c r="Z310" i="20"/>
  <c r="AC310" i="20"/>
  <c r="AB310" i="20"/>
  <c r="AF310" i="20"/>
  <c r="AI310" i="20"/>
  <c r="Y310" i="20"/>
  <c r="AA310" i="20"/>
  <c r="AL310" i="20"/>
  <c r="AH310" i="20"/>
  <c r="AJ310" i="20"/>
  <c r="AE306" i="20"/>
  <c r="AF306" i="20"/>
  <c r="AD306" i="20"/>
  <c r="AA306" i="20"/>
  <c r="AG306" i="20"/>
  <c r="Y306" i="20"/>
  <c r="AH306" i="20"/>
  <c r="AB306" i="20"/>
  <c r="AN306" i="20"/>
  <c r="Z306" i="20"/>
  <c r="AC306" i="20"/>
  <c r="AK306" i="20"/>
  <c r="AJ306" i="20"/>
  <c r="AI302" i="20"/>
  <c r="AJ302" i="20"/>
  <c r="AH302" i="20"/>
  <c r="AE302" i="20"/>
  <c r="AB302" i="20"/>
  <c r="AK302" i="20"/>
  <c r="AF302" i="20"/>
  <c r="AC302" i="20"/>
  <c r="Y302" i="20"/>
  <c r="AG302" i="20"/>
  <c r="AL302" i="20"/>
  <c r="Z302" i="20"/>
  <c r="AN302" i="20"/>
  <c r="AD302" i="20"/>
  <c r="AA302" i="20"/>
  <c r="AN298" i="20"/>
  <c r="AJ298" i="20"/>
  <c r="AK298" i="20"/>
  <c r="AA298" i="20"/>
  <c r="AH298" i="20"/>
  <c r="AI298" i="20"/>
  <c r="AB298" i="20"/>
  <c r="AC298" i="20"/>
  <c r="AL298" i="20"/>
  <c r="AG298" i="20"/>
  <c r="AE298" i="20"/>
  <c r="AF298" i="20"/>
  <c r="AD298" i="20"/>
  <c r="Y298" i="20"/>
  <c r="Z298" i="20"/>
  <c r="AI294" i="20"/>
  <c r="AG294" i="20"/>
  <c r="AL294" i="20"/>
  <c r="Y294" i="20"/>
  <c r="AA294" i="20"/>
  <c r="AD294" i="20"/>
  <c r="AF294" i="20"/>
  <c r="AK294" i="20"/>
  <c r="AJ294" i="20"/>
  <c r="AB294" i="20"/>
  <c r="AH294" i="20"/>
  <c r="AE294" i="20"/>
  <c r="AN294" i="20"/>
  <c r="AC294" i="20"/>
  <c r="AJ290" i="20"/>
  <c r="AA290" i="20"/>
  <c r="Y290" i="20"/>
  <c r="AH290" i="20"/>
  <c r="AE290" i="20"/>
  <c r="AN290" i="20"/>
  <c r="AK290" i="20"/>
  <c r="AF290" i="20"/>
  <c r="AB290" i="20"/>
  <c r="AC290" i="20"/>
  <c r="AD290" i="20"/>
  <c r="AL290" i="20"/>
  <c r="AI290" i="20"/>
  <c r="Z290" i="20"/>
  <c r="AH286" i="20"/>
  <c r="Y286" i="20"/>
  <c r="AJ286" i="20"/>
  <c r="AD286" i="20"/>
  <c r="AF286" i="20"/>
  <c r="AK286" i="20"/>
  <c r="AE286" i="20"/>
  <c r="AC286" i="20"/>
  <c r="AG286" i="20"/>
  <c r="AI286" i="20"/>
  <c r="AL286" i="20"/>
  <c r="AN286" i="20"/>
  <c r="Z286" i="20"/>
  <c r="AB286" i="20"/>
  <c r="AN282" i="20"/>
  <c r="AB282" i="20"/>
  <c r="AD282" i="20"/>
  <c r="AI282" i="20"/>
  <c r="AG282" i="20"/>
  <c r="AF282" i="20"/>
  <c r="AK282" i="20"/>
  <c r="AA282" i="20"/>
  <c r="AE282" i="20"/>
  <c r="AC282" i="20"/>
  <c r="AJ282" i="20"/>
  <c r="Z282" i="20"/>
  <c r="Y282" i="20"/>
  <c r="AH282" i="20"/>
  <c r="AL282" i="20"/>
  <c r="AN278" i="20"/>
  <c r="AI278" i="20"/>
  <c r="AJ278" i="20"/>
  <c r="AL278" i="20"/>
  <c r="AA278" i="20"/>
  <c r="AB278" i="20"/>
  <c r="AC278" i="20"/>
  <c r="AD278" i="20"/>
  <c r="Y278" i="20"/>
  <c r="AE278" i="20"/>
  <c r="AG278" i="20"/>
  <c r="Z278" i="20"/>
  <c r="AK278" i="20"/>
  <c r="AF278" i="20"/>
  <c r="AH278" i="20"/>
  <c r="AB274" i="20"/>
  <c r="AL274" i="20"/>
  <c r="AF274" i="20"/>
  <c r="AK274" i="20"/>
  <c r="AG274" i="20"/>
  <c r="AD274" i="20"/>
  <c r="Z274" i="20"/>
  <c r="AN274" i="20"/>
  <c r="AJ274" i="20"/>
  <c r="Y274" i="20"/>
  <c r="AI274" i="20"/>
  <c r="AE274" i="20"/>
  <c r="AH274" i="20"/>
  <c r="AA274" i="20"/>
  <c r="AC274" i="20"/>
  <c r="AN270" i="20"/>
  <c r="Z270" i="20"/>
  <c r="AG270" i="20"/>
  <c r="AC270" i="20"/>
  <c r="AA270" i="20"/>
  <c r="AD270" i="20"/>
  <c r="AF270" i="20"/>
  <c r="AE270" i="20"/>
  <c r="AI270" i="20"/>
  <c r="Y270" i="20"/>
  <c r="AB270" i="20"/>
  <c r="AN266" i="20"/>
  <c r="AD266" i="20"/>
  <c r="AK266" i="20"/>
  <c r="AC266" i="20"/>
  <c r="AA266" i="20"/>
  <c r="AL266" i="20"/>
  <c r="AG266" i="20"/>
  <c r="AF266" i="20"/>
  <c r="Z266" i="20"/>
  <c r="Y266" i="20"/>
  <c r="AJ266" i="20"/>
  <c r="AE266" i="20"/>
  <c r="AI266" i="20"/>
  <c r="AB266" i="20"/>
  <c r="AN262" i="20"/>
  <c r="AD262" i="20"/>
  <c r="AC262" i="20"/>
  <c r="AL262" i="20"/>
  <c r="AB262" i="20"/>
  <c r="AI262" i="20"/>
  <c r="AA262" i="20"/>
  <c r="Z262" i="20"/>
  <c r="Y262" i="20"/>
  <c r="AF262" i="20"/>
  <c r="AJ262" i="20"/>
  <c r="AK262" i="20"/>
  <c r="AG262" i="20"/>
  <c r="AH262" i="20"/>
  <c r="AL258" i="20"/>
  <c r="AD258" i="20"/>
  <c r="AE258" i="20"/>
  <c r="Y258" i="20"/>
  <c r="AN258" i="20"/>
  <c r="Z258" i="20"/>
  <c r="AK258" i="20"/>
  <c r="AH258" i="20"/>
  <c r="AC258" i="20"/>
  <c r="AJ258" i="20"/>
  <c r="AF258" i="20"/>
  <c r="AB258" i="20"/>
  <c r="AA258" i="20"/>
  <c r="AN254" i="20"/>
  <c r="AJ254" i="20"/>
  <c r="Y254" i="20"/>
  <c r="Z254" i="20"/>
  <c r="AG254" i="20"/>
  <c r="AK254" i="20"/>
  <c r="AA254" i="20"/>
  <c r="AD254" i="20"/>
  <c r="AI254" i="20"/>
  <c r="AH254" i="20"/>
  <c r="AL254" i="20"/>
  <c r="AE254" i="20"/>
  <c r="AF254" i="20"/>
  <c r="AC254" i="20"/>
  <c r="AB254" i="20"/>
  <c r="AN250" i="20"/>
  <c r="AD250" i="20"/>
  <c r="Z250" i="20"/>
  <c r="AA250" i="20"/>
  <c r="AI250" i="20"/>
  <c r="AE250" i="20"/>
  <c r="AJ250" i="20"/>
  <c r="AC250" i="20"/>
  <c r="AF250" i="20"/>
  <c r="AB250" i="20"/>
  <c r="AH250" i="20"/>
  <c r="Y250" i="20"/>
  <c r="AG250" i="20"/>
  <c r="AC246" i="20"/>
  <c r="Z246" i="20"/>
  <c r="AF246" i="20"/>
  <c r="AN246" i="20"/>
  <c r="AG246" i="20"/>
  <c r="Y246" i="20"/>
  <c r="AE246" i="20"/>
  <c r="AK246" i="20"/>
  <c r="AB246" i="20"/>
  <c r="AL246" i="20"/>
  <c r="AA246" i="20"/>
  <c r="AI246" i="20"/>
  <c r="AN242" i="20"/>
  <c r="AF242" i="20"/>
  <c r="AC242" i="20"/>
  <c r="AK242" i="20"/>
  <c r="AG242" i="20"/>
  <c r="AB242" i="20"/>
  <c r="AE242" i="20"/>
  <c r="AI242" i="20"/>
  <c r="Y242" i="20"/>
  <c r="AD242" i="20"/>
  <c r="AL242" i="20"/>
  <c r="Z242" i="20"/>
  <c r="AN238" i="20"/>
  <c r="AB238" i="20"/>
  <c r="AI238" i="20"/>
  <c r="AF238" i="20"/>
  <c r="AD238" i="20"/>
  <c r="Z238" i="20"/>
  <c r="AE238" i="20"/>
  <c r="AK238" i="20"/>
  <c r="AG238" i="20"/>
  <c r="Y238" i="20"/>
  <c r="AA238" i="20"/>
  <c r="AI234" i="20"/>
  <c r="AJ234" i="20"/>
  <c r="Y234" i="20"/>
  <c r="Z234" i="20"/>
  <c r="AG234" i="20"/>
  <c r="AK234" i="20"/>
  <c r="AF234" i="20"/>
  <c r="AC234" i="20"/>
  <c r="AA234" i="20"/>
  <c r="AD234" i="20"/>
  <c r="AB234" i="20"/>
  <c r="AE234" i="20"/>
  <c r="AN234" i="20"/>
  <c r="AN230" i="20"/>
  <c r="AF230" i="20"/>
  <c r="AC230" i="20"/>
  <c r="AI230" i="20"/>
  <c r="AL230" i="20"/>
  <c r="AH230" i="20"/>
  <c r="AK230" i="20"/>
  <c r="AE230" i="20"/>
  <c r="Z230" i="20"/>
  <c r="AB230" i="20"/>
  <c r="AJ230" i="20"/>
  <c r="AA230" i="20"/>
  <c r="AG230" i="20"/>
  <c r="Y230" i="20"/>
  <c r="AN226" i="20"/>
  <c r="AB226" i="20"/>
  <c r="AD226" i="20"/>
  <c r="AF226" i="20"/>
  <c r="Y226" i="20"/>
  <c r="AC226" i="20"/>
  <c r="AA226" i="20"/>
  <c r="AE226" i="20"/>
  <c r="AG226" i="20"/>
  <c r="AH226" i="20"/>
  <c r="AK226" i="20"/>
  <c r="AN211" i="20"/>
  <c r="AF211" i="20"/>
  <c r="AC211" i="20"/>
  <c r="Y211" i="20"/>
  <c r="AB211" i="20"/>
  <c r="AG211" i="20"/>
  <c r="AI211" i="20"/>
  <c r="AA211" i="20"/>
  <c r="AE211" i="20"/>
  <c r="AN207" i="20"/>
  <c r="AC207" i="20"/>
  <c r="AB207" i="20"/>
  <c r="AA207" i="20"/>
  <c r="AD207" i="20"/>
  <c r="AJ207" i="20"/>
  <c r="Y207" i="20"/>
  <c r="AF207" i="20"/>
  <c r="AE207" i="20"/>
  <c r="AK207" i="20"/>
  <c r="Z207" i="20"/>
  <c r="AG207" i="20"/>
  <c r="AB204" i="20"/>
  <c r="AA204" i="20"/>
  <c r="Y204" i="20"/>
  <c r="Z204" i="20"/>
  <c r="AK204" i="20"/>
  <c r="AI204" i="20"/>
  <c r="AJ204" i="20"/>
  <c r="AH204" i="20"/>
  <c r="AF204" i="20"/>
  <c r="AG204" i="20"/>
  <c r="AE204" i="20"/>
  <c r="AN204" i="20"/>
  <c r="AD204" i="20"/>
  <c r="AC204" i="20"/>
  <c r="AD199" i="20"/>
  <c r="AN199" i="20"/>
  <c r="AC199" i="20"/>
  <c r="AH199" i="20"/>
  <c r="AJ199" i="20"/>
  <c r="AI199" i="20"/>
  <c r="AL199" i="20"/>
  <c r="AK199" i="20"/>
  <c r="AA199" i="20"/>
  <c r="AE199" i="20"/>
  <c r="Y199" i="20"/>
  <c r="AF199" i="20"/>
  <c r="AG199" i="20"/>
  <c r="Z199" i="20"/>
  <c r="AB199" i="20"/>
  <c r="AL195" i="20"/>
  <c r="AI195" i="20"/>
  <c r="AG195" i="20"/>
  <c r="Z195" i="20"/>
  <c r="AJ195" i="20"/>
  <c r="AH195" i="20"/>
  <c r="AD195" i="20"/>
  <c r="AC195" i="20"/>
  <c r="AE195" i="20"/>
  <c r="AK195" i="20"/>
  <c r="AF195" i="20"/>
  <c r="AN195" i="20"/>
  <c r="Y195" i="20"/>
  <c r="AB195" i="20"/>
  <c r="AA195" i="20"/>
  <c r="AG190" i="20"/>
  <c r="AD190" i="20"/>
  <c r="AK190" i="20"/>
  <c r="AE190" i="20"/>
  <c r="AC190" i="20"/>
  <c r="Z190" i="20"/>
  <c r="AJ190" i="20"/>
  <c r="AB190" i="20"/>
  <c r="AF190" i="20"/>
  <c r="AI190" i="20"/>
  <c r="AA190" i="20"/>
  <c r="AH190" i="20"/>
  <c r="Y186" i="20"/>
  <c r="AJ186" i="20"/>
  <c r="AA186" i="20"/>
  <c r="AF186" i="20"/>
  <c r="AG186" i="20"/>
  <c r="AE186" i="20"/>
  <c r="AH186" i="20"/>
  <c r="AN186" i="20"/>
  <c r="AC186" i="20"/>
  <c r="Y184" i="20"/>
  <c r="Z184" i="20"/>
  <c r="AI184" i="20"/>
  <c r="AN184" i="20"/>
  <c r="AE184" i="20"/>
  <c r="AK184" i="20"/>
  <c r="AG184" i="20"/>
  <c r="AL184" i="20"/>
  <c r="AA184" i="20"/>
  <c r="AH184" i="20"/>
  <c r="AA179" i="20"/>
  <c r="AK179" i="20"/>
  <c r="AJ179" i="20"/>
  <c r="AF179" i="20"/>
  <c r="AD179" i="20"/>
  <c r="AG179" i="20"/>
  <c r="AB179" i="20"/>
  <c r="AI179" i="20"/>
  <c r="AL179" i="20"/>
  <c r="AH179" i="20"/>
  <c r="AN179" i="20"/>
  <c r="Y179" i="20"/>
  <c r="Z179" i="20"/>
  <c r="AK165" i="20"/>
  <c r="AJ165" i="20"/>
  <c r="AH165" i="20"/>
  <c r="AN165" i="20"/>
  <c r="Y165" i="20"/>
  <c r="AE165" i="20"/>
  <c r="AD165" i="20"/>
  <c r="AF165" i="20"/>
  <c r="AA165" i="20"/>
  <c r="AG165" i="20"/>
  <c r="AI165" i="20"/>
  <c r="AL165" i="20"/>
  <c r="AL160" i="20"/>
  <c r="AB160" i="20"/>
  <c r="AI160" i="20"/>
  <c r="AF160" i="20"/>
  <c r="AA160" i="20"/>
  <c r="AJ160" i="20"/>
  <c r="AC160" i="20"/>
  <c r="AH160" i="20"/>
  <c r="AD160" i="20"/>
  <c r="AK160" i="20"/>
  <c r="AG160" i="20"/>
  <c r="AF154" i="20"/>
  <c r="AG154" i="20"/>
  <c r="AD154" i="20"/>
  <c r="AI154" i="20"/>
  <c r="Z154" i="20"/>
  <c r="AA154" i="20"/>
  <c r="AH154" i="20"/>
  <c r="AN154" i="20"/>
  <c r="AK154" i="20"/>
  <c r="AB154" i="20"/>
  <c r="AC154" i="20"/>
  <c r="AE154" i="20"/>
  <c r="AD150" i="20"/>
  <c r="AC150" i="20"/>
  <c r="AE150" i="20"/>
  <c r="Z150" i="20"/>
  <c r="AK150" i="20"/>
  <c r="AG150" i="20"/>
  <c r="AH150" i="20"/>
  <c r="AA150" i="20"/>
  <c r="AN150" i="20"/>
  <c r="AF150" i="20"/>
  <c r="AB150" i="20"/>
  <c r="AD145" i="20"/>
  <c r="AJ145" i="20"/>
  <c r="AL145" i="20"/>
  <c r="AB145" i="20"/>
  <c r="AK145" i="20"/>
  <c r="AA145" i="20"/>
  <c r="AF145" i="20"/>
  <c r="AC145" i="20"/>
  <c r="AE145" i="20"/>
  <c r="AI145" i="20"/>
  <c r="AG145" i="20"/>
  <c r="AH145" i="20"/>
  <c r="AF127" i="20"/>
  <c r="AC127" i="20"/>
  <c r="Y127" i="20"/>
  <c r="AD127" i="20"/>
  <c r="AL127" i="20"/>
  <c r="AG127" i="20"/>
  <c r="AI127" i="20"/>
  <c r="AJ127" i="20"/>
  <c r="AE127" i="20"/>
  <c r="AB127" i="20"/>
  <c r="AE115" i="20"/>
  <c r="Y115" i="20"/>
  <c r="Z115" i="20"/>
  <c r="AN115" i="20"/>
  <c r="AJ115" i="20"/>
  <c r="AI115" i="20"/>
  <c r="AG115" i="20"/>
  <c r="AA115" i="20"/>
  <c r="AL115" i="20"/>
  <c r="AB115" i="20"/>
  <c r="AD115" i="20"/>
  <c r="AC109" i="20"/>
  <c r="AD109" i="20"/>
  <c r="AE109" i="20"/>
  <c r="AI109" i="20"/>
  <c r="Y109" i="20"/>
  <c r="AG109" i="20"/>
  <c r="AL109" i="20"/>
  <c r="AA109" i="20"/>
  <c r="Z109" i="20"/>
  <c r="AJ109" i="20"/>
  <c r="AC105" i="20"/>
  <c r="AD105" i="20"/>
  <c r="AA105" i="20"/>
  <c r="AG105" i="20"/>
  <c r="AL105" i="20"/>
  <c r="AE105" i="20"/>
  <c r="AI105" i="20"/>
  <c r="Y105" i="20"/>
  <c r="AJ105" i="20"/>
  <c r="AD98" i="20"/>
  <c r="AJ98" i="20"/>
  <c r="AK98" i="20"/>
  <c r="AF98" i="20"/>
  <c r="AE98" i="20"/>
  <c r="AI98" i="20"/>
  <c r="AG98" i="20"/>
  <c r="AL98" i="20"/>
  <c r="AH98" i="20"/>
  <c r="AN98" i="20"/>
  <c r="AB98" i="20"/>
  <c r="AA98" i="20"/>
  <c r="AC98" i="20"/>
  <c r="Y98" i="20"/>
  <c r="AT545" i="20"/>
  <c r="AN474" i="20"/>
  <c r="AK474" i="20"/>
  <c r="AI474" i="20"/>
  <c r="AC474" i="20"/>
  <c r="Z474" i="20"/>
  <c r="AF474" i="20"/>
  <c r="AE474" i="20"/>
  <c r="AG474" i="20"/>
  <c r="Y474" i="20"/>
  <c r="AD474" i="20"/>
  <c r="AA474" i="20"/>
  <c r="AL1036" i="20"/>
  <c r="AL774" i="20"/>
  <c r="AJ334" i="20"/>
  <c r="AJ766" i="20"/>
  <c r="AJ322" i="20"/>
  <c r="AI682" i="20"/>
  <c r="AI654" i="20"/>
  <c r="AI574" i="20"/>
  <c r="AI358" i="20"/>
  <c r="AI578" i="20"/>
  <c r="AI346" i="20"/>
  <c r="AI350" i="20"/>
  <c r="AI554" i="20"/>
  <c r="AL234" i="20"/>
  <c r="AG406" i="20"/>
  <c r="AI746" i="20"/>
  <c r="AI325" i="20"/>
  <c r="AI939" i="20"/>
  <c r="AI338" i="20"/>
  <c r="AI494" i="20"/>
  <c r="AI426" i="20"/>
  <c r="AJ822" i="20"/>
  <c r="AJ718" i="20"/>
  <c r="AJ1006" i="20"/>
  <c r="AJ498" i="20"/>
  <c r="AJ1003" i="20"/>
  <c r="AJ1048" i="20"/>
  <c r="AL518" i="20"/>
  <c r="AL894" i="20"/>
  <c r="AL458" i="20"/>
  <c r="AL1050" i="20"/>
  <c r="AL1003" i="20"/>
  <c r="AL847" i="20"/>
  <c r="AI860" i="20"/>
  <c r="AI478" i="20"/>
  <c r="AJ270" i="20"/>
  <c r="AJ782" i="20"/>
  <c r="AJ881" i="20"/>
  <c r="AJ542" i="20"/>
  <c r="AJ871" i="20"/>
  <c r="AJ698" i="20"/>
  <c r="AJ674" i="20"/>
  <c r="AL270" i="20"/>
  <c r="AL555" i="20"/>
  <c r="AL211" i="20"/>
  <c r="AL594" i="20"/>
  <c r="AL546" i="20"/>
  <c r="AL398" i="20"/>
  <c r="AH1059" i="20"/>
  <c r="AH1063" i="20"/>
  <c r="AJ959" i="20"/>
  <c r="AJ530" i="20"/>
  <c r="AJ754" i="20"/>
  <c r="AJ734" i="20"/>
  <c r="AJ422" i="20"/>
  <c r="AJ238" i="20"/>
  <c r="AJ406" i="20"/>
  <c r="AL786" i="20"/>
  <c r="AL325" i="20"/>
  <c r="AL939" i="20"/>
  <c r="AL454" i="20"/>
  <c r="AL618" i="20"/>
  <c r="AL798" i="20"/>
  <c r="AL989" i="20"/>
  <c r="AL358" i="20"/>
  <c r="AL810" i="20"/>
  <c r="AH646" i="20"/>
  <c r="AH939" i="20"/>
  <c r="AH466" i="20"/>
  <c r="AH546" i="20"/>
  <c r="AH726" i="20"/>
  <c r="AH1071" i="20"/>
  <c r="AH983" i="20"/>
  <c r="AH526" i="20"/>
  <c r="AL927" i="20"/>
  <c r="AL860" i="20"/>
  <c r="AE398" i="20"/>
  <c r="AH550" i="20"/>
  <c r="AH406" i="20"/>
  <c r="AL674" i="20"/>
  <c r="AL238" i="20"/>
  <c r="AL682" i="20"/>
  <c r="AH207" i="20"/>
  <c r="AH1067" i="20"/>
  <c r="AH242" i="20"/>
  <c r="AH586" i="20"/>
  <c r="AH758" i="20"/>
  <c r="AH935" i="20"/>
  <c r="AH322" i="20"/>
  <c r="AH570" i="20"/>
  <c r="AH618" i="20"/>
  <c r="AH977" i="20"/>
  <c r="AH614" i="20"/>
  <c r="AH478" i="20"/>
  <c r="AH662" i="20"/>
  <c r="AH955" i="20"/>
  <c r="AH871" i="20"/>
  <c r="AH710" i="20"/>
  <c r="AH794" i="20"/>
  <c r="AH798" i="20"/>
  <c r="AH806" i="20"/>
  <c r="AH686" i="20"/>
  <c r="AH342" i="20"/>
  <c r="AH426" i="20"/>
  <c r="AK802" i="20"/>
  <c r="AK1011" i="20"/>
  <c r="Y614" i="20"/>
  <c r="AA852" i="20"/>
  <c r="AC634" i="20"/>
  <c r="AG838" i="20"/>
  <c r="AD546" i="20"/>
  <c r="AB1067" i="20"/>
  <c r="Y923" i="20"/>
  <c r="AG458" i="20"/>
  <c r="AG818" i="20"/>
  <c r="AF522" i="20"/>
  <c r="AK494" i="20"/>
  <c r="AC758" i="20"/>
  <c r="AD637" i="20"/>
  <c r="AC826" i="20"/>
  <c r="AK546" i="20"/>
  <c r="AB1071" i="20"/>
  <c r="Y1063" i="20"/>
  <c r="Y650" i="20"/>
  <c r="AD686" i="20"/>
  <c r="AC1043" i="20"/>
  <c r="AB830" i="20"/>
  <c r="AG847" i="20"/>
  <c r="AC830" i="20"/>
  <c r="Z1020" i="20"/>
  <c r="AD1048" i="20"/>
  <c r="Z734" i="20"/>
  <c r="Z770" i="20"/>
  <c r="AF806" i="20"/>
  <c r="AC506" i="20"/>
  <c r="AG973" i="20"/>
  <c r="Z838" i="20"/>
  <c r="AB546" i="20"/>
  <c r="AD710" i="20"/>
  <c r="Z730" i="20"/>
  <c r="AB522" i="20"/>
  <c r="AK822" i="20"/>
  <c r="AD498" i="20"/>
  <c r="AB983" i="20"/>
  <c r="AG770" i="20"/>
  <c r="AD1043" i="20"/>
  <c r="AE910" i="20"/>
  <c r="AC694" i="20"/>
  <c r="Z614" i="20"/>
  <c r="AE994" i="20"/>
  <c r="AC564" i="20"/>
  <c r="AC1011" i="20"/>
  <c r="AF662" i="20"/>
  <c r="AB778" i="20"/>
  <c r="AD641" i="20"/>
  <c r="AK510" i="20"/>
  <c r="AF650" i="20"/>
  <c r="AG670" i="20"/>
  <c r="AG542" i="20"/>
  <c r="Y969" i="20"/>
  <c r="AE502" i="20"/>
  <c r="AF989" i="20"/>
  <c r="AC871" i="20"/>
  <c r="AA1003" i="20"/>
  <c r="AB714" i="20"/>
  <c r="Y462" i="20"/>
  <c r="AG682" i="20"/>
  <c r="AG794" i="20"/>
  <c r="Z931" i="20"/>
  <c r="AA977" i="20"/>
  <c r="AF730" i="20"/>
  <c r="AF658" i="20"/>
  <c r="AF778" i="20"/>
  <c r="AA450" i="20"/>
  <c r="Z977" i="20"/>
  <c r="AD1020" i="20"/>
  <c r="AB915" i="20"/>
  <c r="AA790" i="20"/>
  <c r="Z610" i="20"/>
  <c r="AB542" i="20"/>
  <c r="Y1067" i="20"/>
  <c r="AC574" i="20"/>
  <c r="AC894" i="20"/>
  <c r="AD564" i="20"/>
  <c r="AF590" i="20"/>
  <c r="AC722" i="20"/>
  <c r="AF654" i="20"/>
  <c r="AA766" i="20"/>
  <c r="Y538" i="20"/>
  <c r="AF754" i="20"/>
  <c r="AE786" i="20"/>
  <c r="AK969" i="20"/>
  <c r="AE782" i="20"/>
  <c r="AC1071" i="20"/>
  <c r="AF530" i="20"/>
  <c r="Z426" i="20"/>
  <c r="AC706" i="20"/>
  <c r="Z674" i="20"/>
  <c r="AE1075" i="20"/>
  <c r="AD570" i="20"/>
  <c r="Z454" i="20"/>
  <c r="AG414" i="20"/>
  <c r="Z211" i="20"/>
  <c r="AG555" i="20"/>
  <c r="AK618" i="20"/>
  <c r="Z450" i="20"/>
  <c r="AD478" i="20"/>
  <c r="AC322" i="20"/>
  <c r="Z390" i="20"/>
  <c r="AD246" i="20"/>
  <c r="AK270" i="20"/>
  <c r="AE426" i="20"/>
  <c r="Z378" i="20"/>
  <c r="AA406" i="20"/>
  <c r="AD211" i="20"/>
  <c r="AJ482" i="20"/>
  <c r="AC852" i="20"/>
  <c r="AC786" i="20"/>
  <c r="AF610" i="20"/>
  <c r="AI258" i="20"/>
  <c r="AA286" i="20"/>
  <c r="Y1110" i="20"/>
  <c r="AH1114" i="20"/>
  <c r="AD1102" i="20"/>
  <c r="AF115" i="20"/>
  <c r="AT782" i="20"/>
  <c r="AT328" i="20"/>
  <c r="AK470" i="20"/>
  <c r="Z470" i="20"/>
  <c r="AB470" i="20"/>
  <c r="Y470" i="20"/>
  <c r="AJ470" i="20"/>
  <c r="AN470" i="20"/>
  <c r="AG470" i="20"/>
  <c r="AC470" i="20"/>
  <c r="AF470" i="20"/>
  <c r="AL570" i="20"/>
  <c r="AJ560" i="20"/>
  <c r="AT417" i="20"/>
  <c r="AT794" i="20"/>
  <c r="AL943" i="20"/>
  <c r="AL1075" i="20"/>
  <c r="AJ510" i="20"/>
  <c r="AJ390" i="20"/>
  <c r="AJ366" i="20"/>
  <c r="AJ666" i="20"/>
  <c r="AI398" i="20"/>
  <c r="AI927" i="20"/>
  <c r="AI943" i="20"/>
  <c r="AI534" i="20"/>
  <c r="AL1067" i="20"/>
  <c r="AL506" i="20"/>
  <c r="AL826" i="20"/>
  <c r="AL442" i="20"/>
  <c r="AI742" i="20"/>
  <c r="AI366" i="20"/>
  <c r="AI207" i="20"/>
  <c r="AI919" i="20"/>
  <c r="AI486" i="20"/>
  <c r="AI570" i="20"/>
  <c r="AI670" i="20"/>
  <c r="AJ786" i="20"/>
  <c r="AJ590" i="20"/>
  <c r="AJ906" i="20"/>
  <c r="AJ494" i="20"/>
  <c r="AJ977" i="20"/>
  <c r="AJ834" i="20"/>
  <c r="AJ522" i="20"/>
  <c r="AL462" i="20"/>
  <c r="AL885" i="20"/>
  <c r="AH718" i="20"/>
  <c r="AI1048" i="20"/>
  <c r="AJ462" i="20"/>
  <c r="AJ555" i="20"/>
  <c r="AJ502" i="20"/>
  <c r="AJ618" i="20"/>
  <c r="AJ658" i="20"/>
  <c r="AJ770" i="20"/>
  <c r="AJ242" i="20"/>
  <c r="AL973" i="20"/>
  <c r="AL474" i="20"/>
  <c r="AL935" i="20"/>
  <c r="AL370" i="20"/>
  <c r="AL502" i="20"/>
  <c r="AL754" i="20"/>
  <c r="AL902" i="20"/>
  <c r="AL1043" i="20"/>
  <c r="AJ841" i="20"/>
  <c r="AJ350" i="20"/>
  <c r="AJ885" i="20"/>
  <c r="AJ358" i="20"/>
  <c r="AJ564" i="20"/>
  <c r="AJ614" i="20"/>
  <c r="AJ538" i="20"/>
  <c r="AJ682" i="20"/>
  <c r="AL742" i="20"/>
  <c r="AL366" i="20"/>
  <c r="AL207" i="20"/>
  <c r="AL919" i="20"/>
  <c r="AL983" i="20"/>
  <c r="AL770" i="20"/>
  <c r="AL778" i="20"/>
  <c r="AH518" i="20"/>
  <c r="AH774" i="20"/>
  <c r="AH404" i="20"/>
  <c r="AH458" i="20"/>
  <c r="AH841" i="20"/>
  <c r="AH985" i="20"/>
  <c r="AH734" i="20"/>
  <c r="AL969" i="20"/>
  <c r="AL1011" i="20"/>
  <c r="AL526" i="20"/>
  <c r="AL834" i="20"/>
  <c r="AL470" i="20"/>
  <c r="AH919" i="20"/>
  <c r="AH398" i="20"/>
  <c r="AH530" i="20"/>
  <c r="AL574" i="20"/>
  <c r="AL538" i="20"/>
  <c r="AL622" i="20"/>
  <c r="AC398" i="20"/>
  <c r="AH730" i="20"/>
  <c r="AH590" i="20"/>
  <c r="AH654" i="20"/>
  <c r="AH555" i="20"/>
  <c r="AH1075" i="20"/>
  <c r="AH538" i="20"/>
  <c r="AH454" i="20"/>
  <c r="AH514" i="20"/>
  <c r="AH634" i="20"/>
  <c r="AH902" i="20"/>
  <c r="AH860" i="20"/>
  <c r="AH694" i="20"/>
  <c r="AH650" i="20"/>
  <c r="AH1048" i="20"/>
  <c r="AH534" i="20"/>
  <c r="AH852" i="20"/>
  <c r="AH597" i="20"/>
  <c r="AH578" i="20"/>
  <c r="AH494" i="20"/>
  <c r="AH510" i="20"/>
  <c r="AH674" i="20"/>
  <c r="AH370" i="20"/>
  <c r="AH830" i="20"/>
  <c r="AH810" i="20"/>
  <c r="AH366" i="20"/>
  <c r="AH414" i="20"/>
  <c r="AK943" i="20"/>
  <c r="AD1071" i="20"/>
  <c r="AB871" i="20"/>
  <c r="AD722" i="20"/>
  <c r="AE814" i="20"/>
  <c r="AF498" i="20"/>
  <c r="AF694" i="20"/>
  <c r="AD822" i="20"/>
  <c r="Y522" i="20"/>
  <c r="AD802" i="20"/>
  <c r="AE634" i="20"/>
  <c r="Z847" i="20"/>
  <c r="Y810" i="20"/>
  <c r="Y506" i="20"/>
  <c r="AD726" i="20"/>
  <c r="AB710" i="20"/>
  <c r="AG822" i="20"/>
  <c r="AA518" i="20"/>
  <c r="AF442" i="20"/>
  <c r="AE1020" i="20"/>
  <c r="AF670" i="20"/>
  <c r="AA754" i="20"/>
  <c r="AD794" i="20"/>
  <c r="Y939" i="20"/>
  <c r="AE989" i="20"/>
  <c r="AE818" i="20"/>
  <c r="AE790" i="20"/>
  <c r="Y826" i="20"/>
  <c r="AK682" i="20"/>
  <c r="AD542" i="20"/>
  <c r="Y902" i="20"/>
  <c r="AG1059" i="20"/>
  <c r="AA734" i="20"/>
  <c r="AD834" i="20"/>
  <c r="AF518" i="20"/>
  <c r="AK634" i="20"/>
  <c r="AB622" i="20"/>
  <c r="Z518" i="20"/>
  <c r="AE770" i="20"/>
  <c r="AB1063" i="20"/>
  <c r="AG810" i="20"/>
  <c r="AK852" i="20"/>
  <c r="Z794" i="20"/>
  <c r="AG994" i="20"/>
  <c r="Y758" i="20"/>
  <c r="AC927" i="20"/>
  <c r="AD526" i="20"/>
  <c r="AA730" i="20"/>
  <c r="Z919" i="20"/>
  <c r="AE718" i="20"/>
  <c r="AF622" i="20"/>
  <c r="AB814" i="20"/>
  <c r="AA1075" i="20"/>
  <c r="AF634" i="20"/>
  <c r="AB498" i="20"/>
  <c r="Z646" i="20"/>
  <c r="AG906" i="20"/>
  <c r="Z706" i="20"/>
  <c r="AC678" i="20"/>
  <c r="Z658" i="20"/>
  <c r="AB738" i="20"/>
  <c r="Y973" i="20"/>
  <c r="AF1050" i="20"/>
  <c r="AD702" i="20"/>
  <c r="AA902" i="20"/>
  <c r="Z790" i="20"/>
  <c r="AF963" i="20"/>
  <c r="AG786" i="20"/>
  <c r="Y931" i="20"/>
  <c r="AK1006" i="20"/>
  <c r="AF502" i="20"/>
  <c r="Z662" i="20"/>
  <c r="AC778" i="20"/>
  <c r="AG871" i="20"/>
  <c r="AA590" i="20"/>
  <c r="AF1071" i="20"/>
  <c r="AE482" i="20"/>
  <c r="AA454" i="20"/>
  <c r="AE574" i="20"/>
  <c r="AB969" i="20"/>
  <c r="AK894" i="20"/>
  <c r="Y678" i="20"/>
  <c r="Z570" i="20"/>
  <c r="AG1075" i="20"/>
  <c r="AB939" i="20"/>
  <c r="AG330" i="20"/>
  <c r="AF983" i="20"/>
  <c r="AK746" i="20"/>
  <c r="AE1006" i="20"/>
  <c r="AK898" i="20"/>
  <c r="AF906" i="20"/>
  <c r="Z1006" i="20"/>
  <c r="AF898" i="20"/>
  <c r="Y450" i="20"/>
  <c r="AC410" i="20"/>
  <c r="AA430" i="20"/>
  <c r="AD378" i="20"/>
  <c r="AC482" i="20"/>
  <c r="AB450" i="20"/>
  <c r="AA404" i="20"/>
  <c r="AF430" i="20"/>
  <c r="Y346" i="20"/>
  <c r="Y325" i="20"/>
  <c r="AC426" i="20"/>
  <c r="AE419" i="20"/>
  <c r="AB666" i="20"/>
  <c r="Y419" i="20"/>
  <c r="AG374" i="20"/>
  <c r="AF322" i="20"/>
  <c r="AA242" i="20"/>
  <c r="AE325" i="20"/>
  <c r="AI419" i="20"/>
  <c r="AC238" i="20"/>
  <c r="AJ1059" i="20"/>
  <c r="AC726" i="20"/>
  <c r="AG702" i="20"/>
  <c r="AK834" i="20"/>
  <c r="AC538" i="20"/>
  <c r="AC686" i="20"/>
  <c r="Z502" i="20"/>
  <c r="AI306" i="20"/>
  <c r="Z294" i="20"/>
  <c r="AL306" i="20"/>
  <c r="AG290" i="20"/>
  <c r="AN1043" i="20"/>
  <c r="AL204" i="20"/>
  <c r="AC1126" i="20"/>
  <c r="AG10" i="20"/>
  <c r="AN109" i="20"/>
  <c r="AN105" i="20"/>
  <c r="Z105" i="20"/>
  <c r="AJ67" i="20"/>
  <c r="AC220" i="20"/>
  <c r="AL50" i="20"/>
  <c r="AB138" i="20"/>
  <c r="AJ140" i="20"/>
  <c r="AC33" i="20"/>
  <c r="AI93" i="20"/>
  <c r="AC167" i="20"/>
  <c r="AL54" i="20"/>
  <c r="AK54" i="20"/>
  <c r="AI54" i="20"/>
  <c r="Y950" i="20"/>
  <c r="AC1025" i="20"/>
  <c r="AI67" i="20"/>
  <c r="AC135" i="20"/>
  <c r="M12" i="36"/>
  <c r="M27" i="36"/>
  <c r="O40" i="37"/>
  <c r="P16" i="36"/>
  <c r="B30" i="37"/>
  <c r="P8" i="36"/>
  <c r="P24" i="36"/>
  <c r="K40" i="37"/>
  <c r="P27" i="36"/>
  <c r="L27" i="36"/>
  <c r="O27" i="36"/>
  <c r="P18" i="36"/>
  <c r="AO47" i="40"/>
  <c r="P12" i="36"/>
  <c r="L12" i="36"/>
  <c r="O12" i="36"/>
  <c r="P25" i="36"/>
  <c r="AT1076" i="20"/>
  <c r="AT351" i="20"/>
  <c r="AT455" i="20"/>
  <c r="AT497" i="20"/>
  <c r="AT569" i="20"/>
  <c r="AT446" i="20"/>
  <c r="AT714" i="20"/>
  <c r="AT801" i="20"/>
  <c r="AT541" i="20"/>
  <c r="AT226" i="20"/>
  <c r="AT399" i="20"/>
  <c r="AT803" i="20"/>
  <c r="AT700" i="20"/>
  <c r="AT532" i="20"/>
  <c r="AT727" i="20"/>
  <c r="AT693" i="20"/>
  <c r="AT579" i="20"/>
  <c r="AT476" i="20"/>
  <c r="AT941" i="20"/>
  <c r="AT924" i="20"/>
  <c r="AT682" i="20"/>
  <c r="Z1145" i="20"/>
  <c r="Y1145" i="20"/>
  <c r="AJ1145" i="20"/>
  <c r="AK1145" i="20"/>
  <c r="AB1137" i="20"/>
  <c r="AC1137" i="20"/>
  <c r="AI1137" i="20"/>
  <c r="AF1137" i="20"/>
  <c r="Z1137" i="20"/>
  <c r="AH1137" i="20"/>
  <c r="AA1137" i="20"/>
  <c r="AK1137" i="20"/>
  <c r="AG1137" i="20"/>
  <c r="AN1137" i="20"/>
  <c r="AL1137" i="20"/>
  <c r="Y1137" i="20"/>
  <c r="AD1137" i="20"/>
  <c r="AJ1137" i="20"/>
  <c r="AE1137" i="20"/>
  <c r="AI1129" i="20"/>
  <c r="AJ1129" i="20"/>
  <c r="AN1129" i="20"/>
  <c r="AG1129" i="20"/>
  <c r="AK1129" i="20"/>
  <c r="AB1129" i="20"/>
  <c r="AD1129" i="20"/>
  <c r="AF1129" i="20"/>
  <c r="AC1129" i="20"/>
  <c r="Y1129" i="20"/>
  <c r="AD1121" i="20"/>
  <c r="AN1121" i="20"/>
  <c r="AG1121" i="20"/>
  <c r="AK1121" i="20"/>
  <c r="Y1121" i="20"/>
  <c r="AC1121" i="20"/>
  <c r="AF1121" i="20"/>
  <c r="AB1121" i="20"/>
  <c r="AI1121" i="20"/>
  <c r="AJ1113" i="20"/>
  <c r="AD1113" i="20"/>
  <c r="AA1113" i="20"/>
  <c r="AG1113" i="20"/>
  <c r="AI1113" i="20"/>
  <c r="AB1113" i="20"/>
  <c r="AD1105" i="20"/>
  <c r="AC1105" i="20"/>
  <c r="AN1105" i="20"/>
  <c r="AA1105" i="20"/>
  <c r="AK1105" i="20"/>
  <c r="Z9" i="20"/>
  <c r="AN9" i="20"/>
  <c r="AK9" i="20"/>
  <c r="AC9" i="20"/>
  <c r="AB9" i="20"/>
  <c r="AE27" i="20"/>
  <c r="AD27" i="20"/>
  <c r="AB27" i="20"/>
  <c r="AK27" i="20"/>
  <c r="AC27" i="20"/>
  <c r="AF30" i="20"/>
  <c r="Y30" i="20"/>
  <c r="AD30" i="20"/>
  <c r="AA30" i="20"/>
  <c r="AG30" i="20"/>
  <c r="AB1095" i="20"/>
  <c r="Y1095" i="20"/>
  <c r="AE1095" i="20"/>
  <c r="AD1095" i="20"/>
  <c r="AF1095" i="20"/>
  <c r="AC1095" i="20"/>
  <c r="AI1095" i="20"/>
  <c r="AH1095" i="20"/>
  <c r="AJ1095" i="20"/>
  <c r="AN1095" i="20"/>
  <c r="AA1095" i="20"/>
  <c r="Z1095" i="20"/>
  <c r="AK1095" i="20"/>
  <c r="AL1095" i="20"/>
  <c r="AG1095" i="20"/>
  <c r="AJ1086" i="20"/>
  <c r="AG1086" i="20"/>
  <c r="AE1086" i="20"/>
  <c r="AL1086" i="20"/>
  <c r="AN1086" i="20"/>
  <c r="Z1086" i="20"/>
  <c r="AK1086" i="20"/>
  <c r="AI1086" i="20"/>
  <c r="Y1086" i="20"/>
  <c r="AC1086" i="20"/>
  <c r="AA1086" i="20"/>
  <c r="AH1086" i="20"/>
  <c r="AD1086" i="20"/>
  <c r="AB1086" i="20"/>
  <c r="AF1086" i="20"/>
  <c r="AN1078" i="20"/>
  <c r="AF1078" i="20"/>
  <c r="AB1078" i="20"/>
  <c r="Z1078" i="20"/>
  <c r="AE1078" i="20"/>
  <c r="AK1078" i="20"/>
  <c r="AC1078" i="20"/>
  <c r="Y1078" i="20"/>
  <c r="AJ1078" i="20"/>
  <c r="AD1078" i="20"/>
  <c r="AA1078" i="20"/>
  <c r="AI1078" i="20"/>
  <c r="AG1078" i="20"/>
  <c r="AL1078" i="20"/>
  <c r="AN1070" i="20"/>
  <c r="AG1070" i="20"/>
  <c r="AK1070" i="20"/>
  <c r="AD1070" i="20"/>
  <c r="AJ1070" i="20"/>
  <c r="AC1070" i="20"/>
  <c r="AF1070" i="20"/>
  <c r="AB1070" i="20"/>
  <c r="AA1070" i="20"/>
  <c r="AH1070" i="20"/>
  <c r="AL1070" i="20"/>
  <c r="Z1070" i="20"/>
  <c r="AI1070" i="20"/>
  <c r="AJ1062" i="20"/>
  <c r="AI1062" i="20"/>
  <c r="AF1062" i="20"/>
  <c r="Z1062" i="20"/>
  <c r="AD1062" i="20"/>
  <c r="AK1062" i="20"/>
  <c r="AB1062" i="20"/>
  <c r="AE1062" i="20"/>
  <c r="AA1062" i="20"/>
  <c r="AG1062" i="20"/>
  <c r="AC1062" i="20"/>
  <c r="AH1062" i="20"/>
  <c r="Y1062" i="20"/>
  <c r="AN1062" i="20"/>
  <c r="AN1054" i="20"/>
  <c r="AA1054" i="20"/>
  <c r="AF1054" i="20"/>
  <c r="AG1054" i="20"/>
  <c r="AE1054" i="20"/>
  <c r="AC1054" i="20"/>
  <c r="AB1054" i="20"/>
  <c r="AI1054" i="20"/>
  <c r="AD1054" i="20"/>
  <c r="AH1054" i="20"/>
  <c r="Z1054" i="20"/>
  <c r="AJ1054" i="20"/>
  <c r="Y1054" i="20"/>
  <c r="AK1054" i="20"/>
  <c r="AL1054" i="20"/>
  <c r="AN1042" i="20"/>
  <c r="AE1042" i="20"/>
  <c r="AI1042" i="20"/>
  <c r="Y1042" i="20"/>
  <c r="AC1042" i="20"/>
  <c r="AG1042" i="20"/>
  <c r="AD1042" i="20"/>
  <c r="AJ1042" i="20"/>
  <c r="AF1042" i="20"/>
  <c r="Z1042" i="20"/>
  <c r="AH1042" i="20"/>
  <c r="AL1042" i="20"/>
  <c r="AB1042" i="20"/>
  <c r="AK1042" i="20"/>
  <c r="AA1042" i="20"/>
  <c r="AN1034" i="20"/>
  <c r="AK1034" i="20"/>
  <c r="Y1034" i="20"/>
  <c r="AB1034" i="20"/>
  <c r="AA1034" i="20"/>
  <c r="AE1034" i="20"/>
  <c r="Z1034" i="20"/>
  <c r="AI1034" i="20"/>
  <c r="AC1034" i="20"/>
  <c r="AG1034" i="20"/>
  <c r="AF1034" i="20"/>
  <c r="AH1034" i="20"/>
  <c r="AL1034" i="20"/>
  <c r="AD1034" i="20"/>
  <c r="AC1010" i="20"/>
  <c r="AD1010" i="20"/>
  <c r="AF1010" i="20"/>
  <c r="AN1010" i="20"/>
  <c r="AE1010" i="20"/>
  <c r="AG1010" i="20"/>
  <c r="Y1010" i="20"/>
  <c r="Z1010" i="20"/>
  <c r="AA1010" i="20"/>
  <c r="AK1010" i="20"/>
  <c r="AL1010" i="20"/>
  <c r="AB1010" i="20"/>
  <c r="AJ1010" i="20"/>
  <c r="AL1002" i="20"/>
  <c r="AI1002" i="20"/>
  <c r="AN1002" i="20"/>
  <c r="AC1002" i="20"/>
  <c r="AG1002" i="20"/>
  <c r="Z1002" i="20"/>
  <c r="AH1002" i="20"/>
  <c r="AB1002" i="20"/>
  <c r="AD1002" i="20"/>
  <c r="AE1002" i="20"/>
  <c r="AK1002" i="20"/>
  <c r="Y1002" i="20"/>
  <c r="AA1002" i="20"/>
  <c r="AF1002" i="20"/>
  <c r="AN993" i="20"/>
  <c r="Z993" i="20"/>
  <c r="AJ993" i="20"/>
  <c r="AB993" i="20"/>
  <c r="AI993" i="20"/>
  <c r="AC993" i="20"/>
  <c r="AE993" i="20"/>
  <c r="AL993" i="20"/>
  <c r="AD993" i="20"/>
  <c r="AA993" i="20"/>
  <c r="AH993" i="20"/>
  <c r="AG993" i="20"/>
  <c r="AF993" i="20"/>
  <c r="Y993" i="20"/>
  <c r="AN984" i="20"/>
  <c r="AE984" i="20"/>
  <c r="AG984" i="20"/>
  <c r="AK984" i="20"/>
  <c r="AB984" i="20"/>
  <c r="Y984" i="20"/>
  <c r="AD984" i="20"/>
  <c r="AC984" i="20"/>
  <c r="AI984" i="20"/>
  <c r="AJ984" i="20"/>
  <c r="AF984" i="20"/>
  <c r="Z984" i="20"/>
  <c r="AA984" i="20"/>
  <c r="AH984" i="20"/>
  <c r="AL976" i="20"/>
  <c r="AI976" i="20"/>
  <c r="AN976" i="20"/>
  <c r="Z976" i="20"/>
  <c r="AA976" i="20"/>
  <c r="AF976" i="20"/>
  <c r="AB976" i="20"/>
  <c r="AC976" i="20"/>
  <c r="AJ976" i="20"/>
  <c r="AD976" i="20"/>
  <c r="AE976" i="20"/>
  <c r="Y976" i="20"/>
  <c r="AK976" i="20"/>
  <c r="AH976" i="20"/>
  <c r="AG976" i="20"/>
  <c r="AN968" i="20"/>
  <c r="AC968" i="20"/>
  <c r="AB968" i="20"/>
  <c r="AA968" i="20"/>
  <c r="AK968" i="20"/>
  <c r="AI968" i="20"/>
  <c r="AE968" i="20"/>
  <c r="AF968" i="20"/>
  <c r="AD968" i="20"/>
  <c r="AH968" i="20"/>
  <c r="AL968" i="20"/>
  <c r="AJ968" i="20"/>
  <c r="Y968" i="20"/>
  <c r="AG968" i="20"/>
  <c r="Z968" i="20"/>
  <c r="AN958" i="20"/>
  <c r="AI958" i="20"/>
  <c r="Z958" i="20"/>
  <c r="AB958" i="20"/>
  <c r="AH958" i="20"/>
  <c r="AL958" i="20"/>
  <c r="AA958" i="20"/>
  <c r="AG958" i="20"/>
  <c r="AF958" i="20"/>
  <c r="AE958" i="20"/>
  <c r="AJ958" i="20"/>
  <c r="AC958" i="20"/>
  <c r="Y958" i="20"/>
  <c r="AN946" i="20"/>
  <c r="AF946" i="20"/>
  <c r="AB946" i="20"/>
  <c r="AG946" i="20"/>
  <c r="AJ946" i="20"/>
  <c r="Y946" i="20"/>
  <c r="AK946" i="20"/>
  <c r="Z946" i="20"/>
  <c r="AD946" i="20"/>
  <c r="AC946" i="20"/>
  <c r="AA946" i="20"/>
  <c r="AE946" i="20"/>
  <c r="AN938" i="20"/>
  <c r="AI938" i="20"/>
  <c r="AA938" i="20"/>
  <c r="AF938" i="20"/>
  <c r="Y938" i="20"/>
  <c r="AK938" i="20"/>
  <c r="AD938" i="20"/>
  <c r="AC938" i="20"/>
  <c r="Z938" i="20"/>
  <c r="AE938" i="20"/>
  <c r="AG938" i="20"/>
  <c r="AH938" i="20"/>
  <c r="AL938" i="20"/>
  <c r="AB938" i="20"/>
  <c r="AF930" i="20"/>
  <c r="AI930" i="20"/>
  <c r="AN930" i="20"/>
  <c r="AA930" i="20"/>
  <c r="AB930" i="20"/>
  <c r="AD930" i="20"/>
  <c r="AC930" i="20"/>
  <c r="AK930" i="20"/>
  <c r="AG930" i="20"/>
  <c r="AH930" i="20"/>
  <c r="Z930" i="20"/>
  <c r="AJ930" i="20"/>
  <c r="AN922" i="20"/>
  <c r="AB922" i="20"/>
  <c r="AI922" i="20"/>
  <c r="AG922" i="20"/>
  <c r="Z922" i="20"/>
  <c r="AJ922" i="20"/>
  <c r="AC922" i="20"/>
  <c r="AF922" i="20"/>
  <c r="AK922" i="20"/>
  <c r="Y922" i="20"/>
  <c r="AD922" i="20"/>
  <c r="AE922" i="20"/>
  <c r="AA922" i="20"/>
  <c r="AH922" i="20"/>
  <c r="AK914" i="20"/>
  <c r="AA914" i="20"/>
  <c r="AN914" i="20"/>
  <c r="AF914" i="20"/>
  <c r="AI914" i="20"/>
  <c r="AD914" i="20"/>
  <c r="AB914" i="20"/>
  <c r="AC914" i="20"/>
  <c r="AE914" i="20"/>
  <c r="AH914" i="20"/>
  <c r="Z914" i="20"/>
  <c r="AJ914" i="20"/>
  <c r="AL914" i="20"/>
  <c r="AG905" i="20"/>
  <c r="AD905" i="20"/>
  <c r="AN905" i="20"/>
  <c r="AB905" i="20"/>
  <c r="AF905" i="20"/>
  <c r="AI905" i="20"/>
  <c r="Y905" i="20"/>
  <c r="AE905" i="20"/>
  <c r="AJ905" i="20"/>
  <c r="Z905" i="20"/>
  <c r="AC905" i="20"/>
  <c r="AL905" i="20"/>
  <c r="AA905" i="20"/>
  <c r="AK905" i="20"/>
  <c r="AN897" i="20"/>
  <c r="AI897" i="20"/>
  <c r="AL897" i="20"/>
  <c r="AK897" i="20"/>
  <c r="Z897" i="20"/>
  <c r="Y897" i="20"/>
  <c r="AH897" i="20"/>
  <c r="AC897" i="20"/>
  <c r="AA897" i="20"/>
  <c r="AG897" i="20"/>
  <c r="AE897" i="20"/>
  <c r="AD897" i="20"/>
  <c r="AJ897" i="20"/>
  <c r="AN884" i="20"/>
  <c r="AB884" i="20"/>
  <c r="Z884" i="20"/>
  <c r="AE884" i="20"/>
  <c r="AD884" i="20"/>
  <c r="Y884" i="20"/>
  <c r="AG884" i="20"/>
  <c r="AK884" i="20"/>
  <c r="AI884" i="20"/>
  <c r="AF884" i="20"/>
  <c r="AA884" i="20"/>
  <c r="AH884" i="20"/>
  <c r="AC884" i="20"/>
  <c r="AN870" i="20"/>
  <c r="AI870" i="20"/>
  <c r="AE870" i="20"/>
  <c r="AD870" i="20"/>
  <c r="AK870" i="20"/>
  <c r="AF870" i="20"/>
  <c r="AG870" i="20"/>
  <c r="AB870" i="20"/>
  <c r="AC870" i="20"/>
  <c r="Z870" i="20"/>
  <c r="AA870" i="20"/>
  <c r="AJ870" i="20"/>
  <c r="Y870" i="20"/>
  <c r="AN859" i="20"/>
  <c r="AI859" i="20"/>
  <c r="AC859" i="20"/>
  <c r="AF859" i="20"/>
  <c r="AB859" i="20"/>
  <c r="AG859" i="20"/>
  <c r="Y859" i="20"/>
  <c r="AJ859" i="20"/>
  <c r="AE859" i="20"/>
  <c r="AA859" i="20"/>
  <c r="Z859" i="20"/>
  <c r="AH859" i="20"/>
  <c r="AD859" i="20"/>
  <c r="AK859" i="20"/>
  <c r="AN851" i="20"/>
  <c r="AI851" i="20"/>
  <c r="AK851" i="20"/>
  <c r="Z851" i="20"/>
  <c r="AC851" i="20"/>
  <c r="AG851" i="20"/>
  <c r="AE851" i="20"/>
  <c r="AA851" i="20"/>
  <c r="AL851" i="20"/>
  <c r="AB851" i="20"/>
  <c r="AH851" i="20"/>
  <c r="AN844" i="20"/>
  <c r="AK844" i="20"/>
  <c r="AA844" i="20"/>
  <c r="AG844" i="20"/>
  <c r="AL844" i="20"/>
  <c r="AD844" i="20"/>
  <c r="AF844" i="20"/>
  <c r="Y844" i="20"/>
  <c r="AI844" i="20"/>
  <c r="AC844" i="20"/>
  <c r="AB844" i="20"/>
  <c r="AE844" i="20"/>
  <c r="AH844" i="20"/>
  <c r="Z844" i="20"/>
  <c r="AN833" i="20"/>
  <c r="AI833" i="20"/>
  <c r="Z833" i="20"/>
  <c r="AB833" i="20"/>
  <c r="AD833" i="20"/>
  <c r="AJ833" i="20"/>
  <c r="AE833" i="20"/>
  <c r="Y833" i="20"/>
  <c r="AK833" i="20"/>
  <c r="AF833" i="20"/>
  <c r="AA833" i="20"/>
  <c r="AC833" i="20"/>
  <c r="AG833" i="20"/>
  <c r="AH833" i="20"/>
  <c r="AL833" i="20"/>
  <c r="AN825" i="20"/>
  <c r="AB825" i="20"/>
  <c r="Z825" i="20"/>
  <c r="AF825" i="20"/>
  <c r="AA825" i="20"/>
  <c r="AK825" i="20"/>
  <c r="AE825" i="20"/>
  <c r="AD825" i="20"/>
  <c r="AJ825" i="20"/>
  <c r="AI825" i="20"/>
  <c r="Y825" i="20"/>
  <c r="AL825" i="20"/>
  <c r="AH825" i="20"/>
  <c r="AC825" i="20"/>
  <c r="AN817" i="20"/>
  <c r="Y817" i="20"/>
  <c r="AJ817" i="20"/>
  <c r="Z817" i="20"/>
  <c r="AF817" i="20"/>
  <c r="AB817" i="20"/>
  <c r="AA817" i="20"/>
  <c r="AG817" i="20"/>
  <c r="AE817" i="20"/>
  <c r="AI817" i="20"/>
  <c r="AD817" i="20"/>
  <c r="AK817" i="20"/>
  <c r="AL817" i="20"/>
  <c r="AH817" i="20"/>
  <c r="AN809" i="20"/>
  <c r="AK809" i="20"/>
  <c r="AG809" i="20"/>
  <c r="AF809" i="20"/>
  <c r="AA809" i="20"/>
  <c r="Y809" i="20"/>
  <c r="AB809" i="20"/>
  <c r="AC809" i="20"/>
  <c r="AH809" i="20"/>
  <c r="AJ809" i="20"/>
  <c r="AE809" i="20"/>
  <c r="AD809" i="20"/>
  <c r="Z809" i="20"/>
  <c r="AL809" i="20"/>
  <c r="AN801" i="20"/>
  <c r="AE801" i="20"/>
  <c r="AC801" i="20"/>
  <c r="AF801" i="20"/>
  <c r="Z801" i="20"/>
  <c r="AG801" i="20"/>
  <c r="AK801" i="20"/>
  <c r="AA801" i="20"/>
  <c r="AL801" i="20"/>
  <c r="AB801" i="20"/>
  <c r="Y801" i="20"/>
  <c r="AH801" i="20"/>
  <c r="AN793" i="20"/>
  <c r="Z793" i="20"/>
  <c r="AG793" i="20"/>
  <c r="AE793" i="20"/>
  <c r="AK793" i="20"/>
  <c r="AA793" i="20"/>
  <c r="AC793" i="20"/>
  <c r="Y793" i="20"/>
  <c r="AD793" i="20"/>
  <c r="AL793" i="20"/>
  <c r="AF793" i="20"/>
  <c r="AH793" i="20"/>
  <c r="AB793" i="20"/>
  <c r="AJ793" i="20"/>
  <c r="AN785" i="20"/>
  <c r="AE785" i="20"/>
  <c r="AB785" i="20"/>
  <c r="AF785" i="20"/>
  <c r="AA785" i="20"/>
  <c r="AJ785" i="20"/>
  <c r="AD785" i="20"/>
  <c r="Z785" i="20"/>
  <c r="AG785" i="20"/>
  <c r="AK785" i="20"/>
  <c r="AH785" i="20"/>
  <c r="Y785" i="20"/>
  <c r="AN777" i="20"/>
  <c r="AC777" i="20"/>
  <c r="AJ777" i="20"/>
  <c r="AA777" i="20"/>
  <c r="AI777" i="20"/>
  <c r="AB777" i="20"/>
  <c r="Y777" i="20"/>
  <c r="AL777" i="20"/>
  <c r="AG777" i="20"/>
  <c r="AF777" i="20"/>
  <c r="AD777" i="20"/>
  <c r="AH777" i="20"/>
  <c r="Z777" i="20"/>
  <c r="AK777" i="20"/>
  <c r="AE777" i="20"/>
  <c r="AN769" i="20"/>
  <c r="AF769" i="20"/>
  <c r="AI769" i="20"/>
  <c r="AB769" i="20"/>
  <c r="AD769" i="20"/>
  <c r="AE769" i="20"/>
  <c r="AL769" i="20"/>
  <c r="Y769" i="20"/>
  <c r="AG769" i="20"/>
  <c r="Z769" i="20"/>
  <c r="AC769" i="20"/>
  <c r="AK769" i="20"/>
  <c r="AH769" i="20"/>
  <c r="Z761" i="20"/>
  <c r="AB761" i="20"/>
  <c r="AN761" i="20"/>
  <c r="AJ761" i="20"/>
  <c r="AK761" i="20"/>
  <c r="AF761" i="20"/>
  <c r="Y761" i="20"/>
  <c r="AE761" i="20"/>
  <c r="AL761" i="20"/>
  <c r="AC761" i="20"/>
  <c r="AG761" i="20"/>
  <c r="AI761" i="20"/>
  <c r="AD761" i="20"/>
  <c r="AH761" i="20"/>
  <c r="AN753" i="20"/>
  <c r="AE753" i="20"/>
  <c r="AI753" i="20"/>
  <c r="AA753" i="20"/>
  <c r="AB753" i="20"/>
  <c r="AG753" i="20"/>
  <c r="Y753" i="20"/>
  <c r="AH753" i="20"/>
  <c r="AF753" i="20"/>
  <c r="AD753" i="20"/>
  <c r="AJ753" i="20"/>
  <c r="AC753" i="20"/>
  <c r="AN745" i="20"/>
  <c r="AB745" i="20"/>
  <c r="AG745" i="20"/>
  <c r="AI745" i="20"/>
  <c r="Z745" i="20"/>
  <c r="AF745" i="20"/>
  <c r="AC745" i="20"/>
  <c r="AH745" i="20"/>
  <c r="Y745" i="20"/>
  <c r="AE745" i="20"/>
  <c r="AK745" i="20"/>
  <c r="AA745" i="20"/>
  <c r="AD745" i="20"/>
  <c r="AN737" i="20"/>
  <c r="AL737" i="20"/>
  <c r="AI737" i="20"/>
  <c r="AB737" i="20"/>
  <c r="Z737" i="20"/>
  <c r="AD737" i="20"/>
  <c r="Y737" i="20"/>
  <c r="AC737" i="20"/>
  <c r="AF737" i="20"/>
  <c r="AA737" i="20"/>
  <c r="AG737" i="20"/>
  <c r="AE737" i="20"/>
  <c r="AJ737" i="20"/>
  <c r="AK737" i="20"/>
  <c r="AN729" i="20"/>
  <c r="Z729" i="20"/>
  <c r="AF729" i="20"/>
  <c r="AB729" i="20"/>
  <c r="AG729" i="20"/>
  <c r="AA729" i="20"/>
  <c r="AE729" i="20"/>
  <c r="AC729" i="20"/>
  <c r="Y729" i="20"/>
  <c r="AI729" i="20"/>
  <c r="AL729" i="20"/>
  <c r="AD729" i="20"/>
  <c r="AH729" i="20"/>
  <c r="AD721" i="20"/>
  <c r="AN721" i="20"/>
  <c r="AI721" i="20"/>
  <c r="AA721" i="20"/>
  <c r="AF721" i="20"/>
  <c r="AH721" i="20"/>
  <c r="AJ721" i="20"/>
  <c r="AL721" i="20"/>
  <c r="Y721" i="20"/>
  <c r="AC721" i="20"/>
  <c r="AK721" i="20"/>
  <c r="AE721" i="20"/>
  <c r="AG721" i="20"/>
  <c r="Z721" i="20"/>
  <c r="AB721" i="20"/>
  <c r="AN713" i="20"/>
  <c r="Z713" i="20"/>
  <c r="AE713" i="20"/>
  <c r="AA713" i="20"/>
  <c r="AC713" i="20"/>
  <c r="AI713" i="20"/>
  <c r="AB713" i="20"/>
  <c r="AG713" i="20"/>
  <c r="AF713" i="20"/>
  <c r="AL713" i="20"/>
  <c r="AK713" i="20"/>
  <c r="AJ713" i="20"/>
  <c r="AN705" i="20"/>
  <c r="AB705" i="20"/>
  <c r="AK705" i="20"/>
  <c r="AF705" i="20"/>
  <c r="AD705" i="20"/>
  <c r="AG705" i="20"/>
  <c r="AH705" i="20"/>
  <c r="AL705" i="20"/>
  <c r="Z705" i="20"/>
  <c r="AC705" i="20"/>
  <c r="AI705" i="20"/>
  <c r="Y705" i="20"/>
  <c r="AE705" i="20"/>
  <c r="AA705" i="20"/>
  <c r="AN697" i="20"/>
  <c r="AA697" i="20"/>
  <c r="AI697" i="20"/>
  <c r="AL697" i="20"/>
  <c r="AF697" i="20"/>
  <c r="AE697" i="20"/>
  <c r="AJ697" i="20"/>
  <c r="Z697" i="20"/>
  <c r="Y697" i="20"/>
  <c r="AG697" i="20"/>
  <c r="AB697" i="20"/>
  <c r="AK697" i="20"/>
  <c r="AC697" i="20"/>
  <c r="AD697" i="20"/>
  <c r="AH697" i="20"/>
  <c r="AN689" i="20"/>
  <c r="AJ689" i="20"/>
  <c r="AE689" i="20"/>
  <c r="AD689" i="20"/>
  <c r="Y689" i="20"/>
  <c r="AA689" i="20"/>
  <c r="AF689" i="20"/>
  <c r="AK689" i="20"/>
  <c r="AB689" i="20"/>
  <c r="AC689" i="20"/>
  <c r="AL689" i="20"/>
  <c r="AH689" i="20"/>
  <c r="Z689" i="20"/>
  <c r="AG689" i="20"/>
  <c r="AN685" i="20"/>
  <c r="Z685" i="20"/>
  <c r="AK685" i="20"/>
  <c r="AG685" i="20"/>
  <c r="AC685" i="20"/>
  <c r="AD685" i="20"/>
  <c r="AJ685" i="20"/>
  <c r="AF685" i="20"/>
  <c r="AB685" i="20"/>
  <c r="AI685" i="20"/>
  <c r="AA685" i="20"/>
  <c r="AE685" i="20"/>
  <c r="AH685" i="20"/>
  <c r="AL685" i="20"/>
  <c r="AN677" i="20"/>
  <c r="AD677" i="20"/>
  <c r="Z677" i="20"/>
  <c r="AF677" i="20"/>
  <c r="AC677" i="20"/>
  <c r="AG677" i="20"/>
  <c r="Y677" i="20"/>
  <c r="AK677" i="20"/>
  <c r="AH677" i="20"/>
  <c r="AA677" i="20"/>
  <c r="AL677" i="20"/>
  <c r="AJ677" i="20"/>
  <c r="AE677" i="20"/>
  <c r="AB677" i="20"/>
  <c r="AF669" i="20"/>
  <c r="AN669" i="20"/>
  <c r="AE669" i="20"/>
  <c r="AJ669" i="20"/>
  <c r="Y669" i="20"/>
  <c r="Z669" i="20"/>
  <c r="AK669" i="20"/>
  <c r="AD669" i="20"/>
  <c r="AA669" i="20"/>
  <c r="AL669" i="20"/>
  <c r="AB669" i="20"/>
  <c r="AG669" i="20"/>
  <c r="AH669" i="20"/>
  <c r="AC669" i="20"/>
  <c r="AI669" i="20"/>
  <c r="AN661" i="20"/>
  <c r="Z661" i="20"/>
  <c r="Y661" i="20"/>
  <c r="AK661" i="20"/>
  <c r="AB661" i="20"/>
  <c r="AC661" i="20"/>
  <c r="AD661" i="20"/>
  <c r="AL661" i="20"/>
  <c r="AJ661" i="20"/>
  <c r="AG661" i="20"/>
  <c r="AE661" i="20"/>
  <c r="AA661" i="20"/>
  <c r="AH661" i="20"/>
  <c r="AN653" i="20"/>
  <c r="AA653" i="20"/>
  <c r="AB653" i="20"/>
  <c r="AF653" i="20"/>
  <c r="AI653" i="20"/>
  <c r="AK653" i="20"/>
  <c r="AD653" i="20"/>
  <c r="Y653" i="20"/>
  <c r="AL653" i="20"/>
  <c r="Z653" i="20"/>
  <c r="AG653" i="20"/>
  <c r="AC653" i="20"/>
  <c r="AE653" i="20"/>
  <c r="AH653" i="20"/>
  <c r="AN649" i="20"/>
  <c r="AI649" i="20"/>
  <c r="AA649" i="20"/>
  <c r="AG649" i="20"/>
  <c r="AF649" i="20"/>
  <c r="AL649" i="20"/>
  <c r="AD649" i="20"/>
  <c r="AB649" i="20"/>
  <c r="Z649" i="20"/>
  <c r="AK649" i="20"/>
  <c r="AC649" i="20"/>
  <c r="Y649" i="20"/>
  <c r="AH649" i="20"/>
  <c r="AC640" i="20"/>
  <c r="Z640" i="20"/>
  <c r="AB640" i="20"/>
  <c r="AD640" i="20"/>
  <c r="AK640" i="20"/>
  <c r="AN640" i="20"/>
  <c r="AE640" i="20"/>
  <c r="AI640" i="20"/>
  <c r="AL640" i="20"/>
  <c r="AJ640" i="20"/>
  <c r="AA640" i="20"/>
  <c r="AF640" i="20"/>
  <c r="Y640" i="20"/>
  <c r="AG640" i="20"/>
  <c r="AH640" i="20"/>
  <c r="AN633" i="20"/>
  <c r="AE633" i="20"/>
  <c r="AI633" i="20"/>
  <c r="AL633" i="20"/>
  <c r="AG633" i="20"/>
  <c r="Z633" i="20"/>
  <c r="AA633" i="20"/>
  <c r="AF633" i="20"/>
  <c r="AC633" i="20"/>
  <c r="AD633" i="20"/>
  <c r="Y633" i="20"/>
  <c r="AK633" i="20"/>
  <c r="AH633" i="20"/>
  <c r="AJ633" i="20"/>
  <c r="AB633" i="20"/>
  <c r="AN625" i="20"/>
  <c r="AA625" i="20"/>
  <c r="AE625" i="20"/>
  <c r="AB625" i="20"/>
  <c r="AI625" i="20"/>
  <c r="AK625" i="20"/>
  <c r="AC625" i="20"/>
  <c r="AF625" i="20"/>
  <c r="AH625" i="20"/>
  <c r="AL625" i="20"/>
  <c r="AG625" i="20"/>
  <c r="AD625" i="20"/>
  <c r="AJ625" i="20"/>
  <c r="Y625" i="20"/>
  <c r="Z625" i="20"/>
  <c r="AD617" i="20"/>
  <c r="AJ617" i="20"/>
  <c r="AN617" i="20"/>
  <c r="AA617" i="20"/>
  <c r="AB617" i="20"/>
  <c r="AF617" i="20"/>
  <c r="AE617" i="20"/>
  <c r="Z617" i="20"/>
  <c r="AH617" i="20"/>
  <c r="AI617" i="20"/>
  <c r="AG617" i="20"/>
  <c r="AC617" i="20"/>
  <c r="AL617" i="20"/>
  <c r="AK617" i="20"/>
  <c r="AK609" i="20"/>
  <c r="AC609" i="20"/>
  <c r="AE609" i="20"/>
  <c r="AI609" i="20"/>
  <c r="AA609" i="20"/>
  <c r="AF609" i="20"/>
  <c r="AD609" i="20"/>
  <c r="AB609" i="20"/>
  <c r="AN609" i="20"/>
  <c r="AH609" i="20"/>
  <c r="AL609" i="20"/>
  <c r="AJ609" i="20"/>
  <c r="Z609" i="20"/>
  <c r="Y609" i="20"/>
  <c r="AG609" i="20"/>
  <c r="AN601" i="20"/>
  <c r="AJ601" i="20"/>
  <c r="Z601" i="20"/>
  <c r="AI601" i="20"/>
  <c r="AG601" i="20"/>
  <c r="AD601" i="20"/>
  <c r="AB601" i="20"/>
  <c r="AF601" i="20"/>
  <c r="AK601" i="20"/>
  <c r="AA601" i="20"/>
  <c r="Y601" i="20"/>
  <c r="AC601" i="20"/>
  <c r="AL601" i="20"/>
  <c r="AE601" i="20"/>
  <c r="AH601" i="20"/>
  <c r="AN593" i="20"/>
  <c r="AI593" i="20"/>
  <c r="AK593" i="20"/>
  <c r="AB593" i="20"/>
  <c r="AC593" i="20"/>
  <c r="AA593" i="20"/>
  <c r="AD593" i="20"/>
  <c r="Z593" i="20"/>
  <c r="AE593" i="20"/>
  <c r="AG593" i="20"/>
  <c r="AH593" i="20"/>
  <c r="AF593" i="20"/>
  <c r="AN585" i="20"/>
  <c r="AI585" i="20"/>
  <c r="AE585" i="20"/>
  <c r="AA585" i="20"/>
  <c r="AG585" i="20"/>
  <c r="AK585" i="20"/>
  <c r="AL585" i="20"/>
  <c r="AB585" i="20"/>
  <c r="Z585" i="20"/>
  <c r="AD585" i="20"/>
  <c r="AC585" i="20"/>
  <c r="Y585" i="20"/>
  <c r="AH585" i="20"/>
  <c r="AJ585" i="20"/>
  <c r="AF585" i="20"/>
  <c r="AN577" i="20"/>
  <c r="AC577" i="20"/>
  <c r="AG577" i="20"/>
  <c r="AA577" i="20"/>
  <c r="Z577" i="20"/>
  <c r="AK577" i="20"/>
  <c r="Y577" i="20"/>
  <c r="AE577" i="20"/>
  <c r="AL577" i="20"/>
  <c r="AB577" i="20"/>
  <c r="AJ577" i="20"/>
  <c r="AF577" i="20"/>
  <c r="AD577" i="20"/>
  <c r="AI577" i="20"/>
  <c r="AH577" i="20"/>
  <c r="AK569" i="20"/>
  <c r="AN569" i="20"/>
  <c r="AI569" i="20"/>
  <c r="AJ569" i="20"/>
  <c r="AG569" i="20"/>
  <c r="AC569" i="20"/>
  <c r="Y569" i="20"/>
  <c r="AE569" i="20"/>
  <c r="AA569" i="20"/>
  <c r="Z569" i="20"/>
  <c r="AB569" i="20"/>
  <c r="AL569" i="20"/>
  <c r="AF569" i="20"/>
  <c r="AD569" i="20"/>
  <c r="AH569" i="20"/>
  <c r="AN563" i="20"/>
  <c r="AC563" i="20"/>
  <c r="AL563" i="20"/>
  <c r="AI563" i="20"/>
  <c r="AK563" i="20"/>
  <c r="AB563" i="20"/>
  <c r="AF563" i="20"/>
  <c r="AE563" i="20"/>
  <c r="AG563" i="20"/>
  <c r="Y563" i="20"/>
  <c r="AD563" i="20"/>
  <c r="Z563" i="20"/>
  <c r="AJ563" i="20"/>
  <c r="AA563" i="20"/>
  <c r="AN549" i="20"/>
  <c r="AI549" i="20"/>
  <c r="AG549" i="20"/>
  <c r="AK549" i="20"/>
  <c r="Z549" i="20"/>
  <c r="AH549" i="20"/>
  <c r="AB549" i="20"/>
  <c r="AD549" i="20"/>
  <c r="AA549" i="20"/>
  <c r="AC549" i="20"/>
  <c r="AF549" i="20"/>
  <c r="Y549" i="20"/>
  <c r="AL549" i="20"/>
  <c r="AN541" i="20"/>
  <c r="AI541" i="20"/>
  <c r="AA541" i="20"/>
  <c r="AK541" i="20"/>
  <c r="AH541" i="20"/>
  <c r="AG541" i="20"/>
  <c r="Z541" i="20"/>
  <c r="AD541" i="20"/>
  <c r="AE541" i="20"/>
  <c r="AB541" i="20"/>
  <c r="AL541" i="20"/>
  <c r="AJ541" i="20"/>
  <c r="AF541" i="20"/>
  <c r="AC541" i="20"/>
  <c r="Y541" i="20"/>
  <c r="AN533" i="20"/>
  <c r="AI533" i="20"/>
  <c r="AF533" i="20"/>
  <c r="Z533" i="20"/>
  <c r="AK533" i="20"/>
  <c r="AC533" i="20"/>
  <c r="AJ533" i="20"/>
  <c r="AB533" i="20"/>
  <c r="AD533" i="20"/>
  <c r="AE533" i="20"/>
  <c r="AL533" i="20"/>
  <c r="AH533" i="20"/>
  <c r="AN525" i="20"/>
  <c r="AJ525" i="20"/>
  <c r="AD525" i="20"/>
  <c r="Y525" i="20"/>
  <c r="AC525" i="20"/>
  <c r="AH525" i="20"/>
  <c r="AB525" i="20"/>
  <c r="AF525" i="20"/>
  <c r="AE525" i="20"/>
  <c r="AL525" i="20"/>
  <c r="AG525" i="20"/>
  <c r="AK525" i="20"/>
  <c r="Z525" i="20"/>
  <c r="AA525" i="20"/>
  <c r="AI525" i="20"/>
  <c r="AC517" i="20"/>
  <c r="AJ517" i="20"/>
  <c r="AN517" i="20"/>
  <c r="AI517" i="20"/>
  <c r="AA517" i="20"/>
  <c r="AB517" i="20"/>
  <c r="AG517" i="20"/>
  <c r="AE517" i="20"/>
  <c r="AD517" i="20"/>
  <c r="AF517" i="20"/>
  <c r="Z517" i="20"/>
  <c r="AK517" i="20"/>
  <c r="AH517" i="20"/>
  <c r="Y517" i="20"/>
  <c r="AN509" i="20"/>
  <c r="AB509" i="20"/>
  <c r="AE509" i="20"/>
  <c r="AI509" i="20"/>
  <c r="AL509" i="20"/>
  <c r="Z509" i="20"/>
  <c r="AK509" i="20"/>
  <c r="Y509" i="20"/>
  <c r="AH509" i="20"/>
  <c r="AC509" i="20"/>
  <c r="AA509" i="20"/>
  <c r="AF509" i="20"/>
  <c r="AG509" i="20"/>
  <c r="AD509" i="20"/>
  <c r="AK501" i="20"/>
  <c r="AD501" i="20"/>
  <c r="AE501" i="20"/>
  <c r="AJ501" i="20"/>
  <c r="AA501" i="20"/>
  <c r="AC501" i="20"/>
  <c r="AL501" i="20"/>
  <c r="Y501" i="20"/>
  <c r="AF501" i="20"/>
  <c r="AG501" i="20"/>
  <c r="AI501" i="20"/>
  <c r="AB501" i="20"/>
  <c r="Z501" i="20"/>
  <c r="AN501" i="20"/>
  <c r="AH501" i="20"/>
  <c r="AN558" i="20"/>
  <c r="Z558" i="20"/>
  <c r="Y558" i="20"/>
  <c r="AG558" i="20"/>
  <c r="AJ558" i="20"/>
  <c r="AC558" i="20"/>
  <c r="AD558" i="20"/>
  <c r="AK558" i="20"/>
  <c r="AF558" i="20"/>
  <c r="AH558" i="20"/>
  <c r="AB558" i="20"/>
  <c r="AE558" i="20"/>
  <c r="AI558" i="20"/>
  <c r="AN489" i="20"/>
  <c r="AB489" i="20"/>
  <c r="AI489" i="20"/>
  <c r="AL489" i="20"/>
  <c r="AD489" i="20"/>
  <c r="AK489" i="20"/>
  <c r="AA489" i="20"/>
  <c r="AC489" i="20"/>
  <c r="Y489" i="20"/>
  <c r="AH489" i="20"/>
  <c r="AF489" i="20"/>
  <c r="Z489" i="20"/>
  <c r="AG489" i="20"/>
  <c r="AE489" i="20"/>
  <c r="AJ489" i="20"/>
  <c r="AB481" i="20"/>
  <c r="AN481" i="20"/>
  <c r="AC481" i="20"/>
  <c r="AD481" i="20"/>
  <c r="AF481" i="20"/>
  <c r="Y481" i="20"/>
  <c r="AK481" i="20"/>
  <c r="AG481" i="20"/>
  <c r="Z481" i="20"/>
  <c r="AE481" i="20"/>
  <c r="AA481" i="20"/>
  <c r="AI481" i="20"/>
  <c r="AH481" i="20"/>
  <c r="AJ481" i="20"/>
  <c r="AN473" i="20"/>
  <c r="Y473" i="20"/>
  <c r="AE473" i="20"/>
  <c r="AK473" i="20"/>
  <c r="Z473" i="20"/>
  <c r="AG473" i="20"/>
  <c r="AF473" i="20"/>
  <c r="AB473" i="20"/>
  <c r="AD473" i="20"/>
  <c r="AJ473" i="20"/>
  <c r="AA473" i="20"/>
  <c r="AH473" i="20"/>
  <c r="AC473" i="20"/>
  <c r="AL473" i="20"/>
  <c r="AN465" i="20"/>
  <c r="Z465" i="20"/>
  <c r="AF465" i="20"/>
  <c r="AK465" i="20"/>
  <c r="AB465" i="20"/>
  <c r="AD465" i="20"/>
  <c r="AE465" i="20"/>
  <c r="Y465" i="20"/>
  <c r="AG465" i="20"/>
  <c r="AC465" i="20"/>
  <c r="AI465" i="20"/>
  <c r="AA465" i="20"/>
  <c r="AH465" i="20"/>
  <c r="AJ465" i="20"/>
  <c r="AL465" i="20"/>
  <c r="AI457" i="20"/>
  <c r="AE457" i="20"/>
  <c r="AG457" i="20"/>
  <c r="AK457" i="20"/>
  <c r="Z457" i="20"/>
  <c r="AB457" i="20"/>
  <c r="AC457" i="20"/>
  <c r="AF457" i="20"/>
  <c r="AD457" i="20"/>
  <c r="AA457" i="20"/>
  <c r="AJ457" i="20"/>
  <c r="Y457" i="20"/>
  <c r="AN457" i="20"/>
  <c r="AH457" i="20"/>
  <c r="AC449" i="20"/>
  <c r="AI449" i="20"/>
  <c r="AN449" i="20"/>
  <c r="AF449" i="20"/>
  <c r="AA449" i="20"/>
  <c r="AG449" i="20"/>
  <c r="AH449" i="20"/>
  <c r="Z449" i="20"/>
  <c r="Y449" i="20"/>
  <c r="AD449" i="20"/>
  <c r="AK449" i="20"/>
  <c r="AN441" i="20"/>
  <c r="AC441" i="20"/>
  <c r="AJ441" i="20"/>
  <c r="AA441" i="20"/>
  <c r="AB441" i="20"/>
  <c r="Z441" i="20"/>
  <c r="AE441" i="20"/>
  <c r="Y441" i="20"/>
  <c r="AD441" i="20"/>
  <c r="AH441" i="20"/>
  <c r="AK441" i="20"/>
  <c r="AG441" i="20"/>
  <c r="AF441" i="20"/>
  <c r="AL441" i="20"/>
  <c r="AI441" i="20"/>
  <c r="AI433" i="20"/>
  <c r="AN433" i="20"/>
  <c r="AC433" i="20"/>
  <c r="AD433" i="20"/>
  <c r="Y433" i="20"/>
  <c r="AG433" i="20"/>
  <c r="AK433" i="20"/>
  <c r="Z433" i="20"/>
  <c r="AJ433" i="20"/>
  <c r="AL433" i="20"/>
  <c r="AE433" i="20"/>
  <c r="AB433" i="20"/>
  <c r="AA433" i="20"/>
  <c r="AF433" i="20"/>
  <c r="AF425" i="20"/>
  <c r="AG425" i="20"/>
  <c r="AK425" i="20"/>
  <c r="AD425" i="20"/>
  <c r="AA425" i="20"/>
  <c r="AN425" i="20"/>
  <c r="AB425" i="20"/>
  <c r="AE425" i="20"/>
  <c r="Z425" i="20"/>
  <c r="AJ425" i="20"/>
  <c r="AC425" i="20"/>
  <c r="AN418" i="20"/>
  <c r="AD418" i="20"/>
  <c r="AA418" i="20"/>
  <c r="AK418" i="20"/>
  <c r="AJ418" i="20"/>
  <c r="AC418" i="20"/>
  <c r="AE418" i="20"/>
  <c r="Z418" i="20"/>
  <c r="Y418" i="20"/>
  <c r="AB418" i="20"/>
  <c r="AF418" i="20"/>
  <c r="AG418" i="20"/>
  <c r="AI418" i="20"/>
  <c r="AD409" i="20"/>
  <c r="AK409" i="20"/>
  <c r="AN409" i="20"/>
  <c r="AF409" i="20"/>
  <c r="AB409" i="20"/>
  <c r="AG409" i="20"/>
  <c r="Z409" i="20"/>
  <c r="Y409" i="20"/>
  <c r="AI409" i="20"/>
  <c r="AC409" i="20"/>
  <c r="AL409" i="20"/>
  <c r="AE409" i="20"/>
  <c r="AA409" i="20"/>
  <c r="AH409" i="20"/>
  <c r="AH405" i="20"/>
  <c r="AI405" i="20"/>
  <c r="AB405" i="20"/>
  <c r="AN405" i="20"/>
  <c r="AJ405" i="20"/>
  <c r="AK405" i="20"/>
  <c r="AL405" i="20"/>
  <c r="AE405" i="20"/>
  <c r="AG405" i="20"/>
  <c r="AF405" i="20"/>
  <c r="AD405" i="20"/>
  <c r="Y405" i="20"/>
  <c r="Z405" i="20"/>
  <c r="AC405" i="20"/>
  <c r="AA405" i="20"/>
  <c r="AN396" i="20"/>
  <c r="AF396" i="20"/>
  <c r="AJ396" i="20"/>
  <c r="AD396" i="20"/>
  <c r="AE396" i="20"/>
  <c r="AK396" i="20"/>
  <c r="Y396" i="20"/>
  <c r="AC396" i="20"/>
  <c r="AG396" i="20"/>
  <c r="AB396" i="20"/>
  <c r="Z396" i="20"/>
  <c r="AL396" i="20"/>
  <c r="AH396" i="20"/>
  <c r="AA396" i="20"/>
  <c r="AN385" i="20"/>
  <c r="AI385" i="20"/>
  <c r="AA385" i="20"/>
  <c r="AC385" i="20"/>
  <c r="AF385" i="20"/>
  <c r="AK385" i="20"/>
  <c r="AG385" i="20"/>
  <c r="AE385" i="20"/>
  <c r="AB385" i="20"/>
  <c r="AD385" i="20"/>
  <c r="Y385" i="20"/>
  <c r="AH385" i="20"/>
  <c r="Z385" i="20"/>
  <c r="AL385" i="20"/>
  <c r="AN373" i="20"/>
  <c r="AL373" i="20"/>
  <c r="AF373" i="20"/>
  <c r="AE373" i="20"/>
  <c r="AJ373" i="20"/>
  <c r="AB373" i="20"/>
  <c r="AG373" i="20"/>
  <c r="AK373" i="20"/>
  <c r="Y373" i="20"/>
  <c r="AC373" i="20"/>
  <c r="AA373" i="20"/>
  <c r="AD373" i="20"/>
  <c r="Z373" i="20"/>
  <c r="AI373" i="20"/>
  <c r="AH373" i="20"/>
  <c r="AA365" i="20"/>
  <c r="AG365" i="20"/>
  <c r="AB365" i="20"/>
  <c r="AF365" i="20"/>
  <c r="Y365" i="20"/>
  <c r="AN365" i="20"/>
  <c r="AK365" i="20"/>
  <c r="AE365" i="20"/>
  <c r="AC365" i="20"/>
  <c r="AI365" i="20"/>
  <c r="AH365" i="20"/>
  <c r="AD365" i="20"/>
  <c r="Z365" i="20"/>
  <c r="AJ365" i="20"/>
  <c r="AN357" i="20"/>
  <c r="AE357" i="20"/>
  <c r="AA357" i="20"/>
  <c r="AF357" i="20"/>
  <c r="Z357" i="20"/>
  <c r="AD357" i="20"/>
  <c r="AB357" i="20"/>
  <c r="AK357" i="20"/>
  <c r="AI357" i="20"/>
  <c r="Y357" i="20"/>
  <c r="AJ357" i="20"/>
  <c r="AC357" i="20"/>
  <c r="AG357" i="20"/>
  <c r="AH357" i="20"/>
  <c r="AL357" i="20"/>
  <c r="AN349" i="20"/>
  <c r="AL349" i="20"/>
  <c r="AE349" i="20"/>
  <c r="AC349" i="20"/>
  <c r="Z349" i="20"/>
  <c r="AF349" i="20"/>
  <c r="AD349" i="20"/>
  <c r="AI349" i="20"/>
  <c r="AJ349" i="20"/>
  <c r="AK349" i="20"/>
  <c r="AB349" i="20"/>
  <c r="AG349" i="20"/>
  <c r="AN341" i="20"/>
  <c r="AA341" i="20"/>
  <c r="Y341" i="20"/>
  <c r="AE341" i="20"/>
  <c r="Z341" i="20"/>
  <c r="AD341" i="20"/>
  <c r="AJ341" i="20"/>
  <c r="AK341" i="20"/>
  <c r="AC341" i="20"/>
  <c r="AB341" i="20"/>
  <c r="AG341" i="20"/>
  <c r="AL341" i="20"/>
  <c r="AF341" i="20"/>
  <c r="AI341" i="20"/>
  <c r="AH341" i="20"/>
  <c r="AN333" i="20"/>
  <c r="AE333" i="20"/>
  <c r="AD333" i="20"/>
  <c r="AI333" i="20"/>
  <c r="AA333" i="20"/>
  <c r="AK333" i="20"/>
  <c r="AC333" i="20"/>
  <c r="Z333" i="20"/>
  <c r="AG333" i="20"/>
  <c r="AB333" i="20"/>
  <c r="AL333" i="20"/>
  <c r="Y333" i="20"/>
  <c r="AF333" i="20"/>
  <c r="Z324" i="20"/>
  <c r="Y324" i="20"/>
  <c r="AA324" i="20"/>
  <c r="AI324" i="20"/>
  <c r="AB324" i="20"/>
  <c r="AF324" i="20"/>
  <c r="AK324" i="20"/>
  <c r="AN324" i="20"/>
  <c r="AC324" i="20"/>
  <c r="AG324" i="20"/>
  <c r="AH324" i="20"/>
  <c r="AE324" i="20"/>
  <c r="AD324" i="20"/>
  <c r="AD317" i="20"/>
  <c r="AA317" i="20"/>
  <c r="AJ317" i="20"/>
  <c r="AL317" i="20"/>
  <c r="AN317" i="20"/>
  <c r="AH317" i="20"/>
  <c r="AK317" i="20"/>
  <c r="AG317" i="20"/>
  <c r="Z317" i="20"/>
  <c r="Y317" i="20"/>
  <c r="AB317" i="20"/>
  <c r="AE317" i="20"/>
  <c r="AC317" i="20"/>
  <c r="AF317" i="20"/>
  <c r="AI317" i="20"/>
  <c r="Y309" i="20"/>
  <c r="AD309" i="20"/>
  <c r="AL309" i="20"/>
  <c r="AN309" i="20"/>
  <c r="AI309" i="20"/>
  <c r="AK309" i="20"/>
  <c r="AA309" i="20"/>
  <c r="AJ309" i="20"/>
  <c r="AH309" i="20"/>
  <c r="Z309" i="20"/>
  <c r="AC309" i="20"/>
  <c r="AE309" i="20"/>
  <c r="AF309" i="20"/>
  <c r="AG309" i="20"/>
  <c r="AB309" i="20"/>
  <c r="AN301" i="20"/>
  <c r="AF301" i="20"/>
  <c r="AL301" i="20"/>
  <c r="AK301" i="20"/>
  <c r="Y301" i="20"/>
  <c r="AA301" i="20"/>
  <c r="Z301" i="20"/>
  <c r="AJ301" i="20"/>
  <c r="AC301" i="20"/>
  <c r="AI301" i="20"/>
  <c r="AD301" i="20"/>
  <c r="AB301" i="20"/>
  <c r="AE301" i="20"/>
  <c r="AG301" i="20"/>
  <c r="AH301" i="20"/>
  <c r="AN293" i="20"/>
  <c r="AG293" i="20"/>
  <c r="AC293" i="20"/>
  <c r="AL293" i="20"/>
  <c r="AK293" i="20"/>
  <c r="AH293" i="20"/>
  <c r="AA293" i="20"/>
  <c r="AJ293" i="20"/>
  <c r="Z293" i="20"/>
  <c r="AF293" i="20"/>
  <c r="AB293" i="20"/>
  <c r="AD293" i="20"/>
  <c r="AI293" i="20"/>
  <c r="AF285" i="20"/>
  <c r="Z285" i="20"/>
  <c r="AJ285" i="20"/>
  <c r="AA285" i="20"/>
  <c r="AN285" i="20"/>
  <c r="AC285" i="20"/>
  <c r="Y285" i="20"/>
  <c r="AL285" i="20"/>
  <c r="AE285" i="20"/>
  <c r="AB285" i="20"/>
  <c r="AG285" i="20"/>
  <c r="AI285" i="20"/>
  <c r="AD285" i="20"/>
  <c r="AK285" i="20"/>
  <c r="AH285" i="20"/>
  <c r="Z277" i="20"/>
  <c r="AG277" i="20"/>
  <c r="AH277" i="20"/>
  <c r="Y277" i="20"/>
  <c r="AN277" i="20"/>
  <c r="AA277" i="20"/>
  <c r="AB277" i="20"/>
  <c r="AE277" i="20"/>
  <c r="AK277" i="20"/>
  <c r="AL277" i="20"/>
  <c r="AC277" i="20"/>
  <c r="AI277" i="20"/>
  <c r="AD277" i="20"/>
  <c r="AJ277" i="20"/>
  <c r="AF277" i="20"/>
  <c r="AN273" i="20"/>
  <c r="AL273" i="20"/>
  <c r="AF273" i="20"/>
  <c r="AH273" i="20"/>
  <c r="Y273" i="20"/>
  <c r="Z273" i="20"/>
  <c r="AI273" i="20"/>
  <c r="AG273" i="20"/>
  <c r="AD273" i="20"/>
  <c r="AB273" i="20"/>
  <c r="AE273" i="20"/>
  <c r="AC273" i="20"/>
  <c r="AJ273" i="20"/>
  <c r="AK273" i="20"/>
  <c r="AA273" i="20"/>
  <c r="AN265" i="20"/>
  <c r="AH265" i="20"/>
  <c r="AE265" i="20"/>
  <c r="Y265" i="20"/>
  <c r="AD265" i="20"/>
  <c r="AK265" i="20"/>
  <c r="AL265" i="20"/>
  <c r="AC265" i="20"/>
  <c r="AJ265" i="20"/>
  <c r="AB265" i="20"/>
  <c r="Z265" i="20"/>
  <c r="AG265" i="20"/>
  <c r="AA265" i="20"/>
  <c r="AF265" i="20"/>
  <c r="AI265" i="20"/>
  <c r="AN257" i="20"/>
  <c r="AA257" i="20"/>
  <c r="AH257" i="20"/>
  <c r="AB257" i="20"/>
  <c r="Y257" i="20"/>
  <c r="AE257" i="20"/>
  <c r="AD257" i="20"/>
  <c r="AJ257" i="20"/>
  <c r="Z257" i="20"/>
  <c r="AG257" i="20"/>
  <c r="AL257" i="20"/>
  <c r="AC257" i="20"/>
  <c r="AF257" i="20"/>
  <c r="AI257" i="20"/>
  <c r="AK257" i="20"/>
  <c r="AI249" i="20"/>
  <c r="AN249" i="20"/>
  <c r="AL249" i="20"/>
  <c r="AD249" i="20"/>
  <c r="Y249" i="20"/>
  <c r="AJ249" i="20"/>
  <c r="AG249" i="20"/>
  <c r="AE249" i="20"/>
  <c r="Z249" i="20"/>
  <c r="AK249" i="20"/>
  <c r="AA249" i="20"/>
  <c r="AB249" i="20"/>
  <c r="AF249" i="20"/>
  <c r="AH249" i="20"/>
  <c r="AC249" i="20"/>
  <c r="AN241" i="20"/>
  <c r="Y241" i="20"/>
  <c r="Z241" i="20"/>
  <c r="AF241" i="20"/>
  <c r="AG241" i="20"/>
  <c r="AK241" i="20"/>
  <c r="AB241" i="20"/>
  <c r="AJ241" i="20"/>
  <c r="AE241" i="20"/>
  <c r="AC241" i="20"/>
  <c r="AH241" i="20"/>
  <c r="AL241" i="20"/>
  <c r="AI241" i="20"/>
  <c r="AD241" i="20"/>
  <c r="AA241" i="20"/>
  <c r="Z237" i="20"/>
  <c r="AN237" i="20"/>
  <c r="AC237" i="20"/>
  <c r="AE237" i="20"/>
  <c r="AK237" i="20"/>
  <c r="AF237" i="20"/>
  <c r="AG237" i="20"/>
  <c r="AL237" i="20"/>
  <c r="Y237" i="20"/>
  <c r="AB237" i="20"/>
  <c r="AA237" i="20"/>
  <c r="AD237" i="20"/>
  <c r="AI237" i="20"/>
  <c r="AA229" i="20"/>
  <c r="AI229" i="20"/>
  <c r="AF229" i="20"/>
  <c r="AL229" i="20"/>
  <c r="AB229" i="20"/>
  <c r="AJ229" i="20"/>
  <c r="AN229" i="20"/>
  <c r="Y229" i="20"/>
  <c r="AG229" i="20"/>
  <c r="AK229" i="20"/>
  <c r="AH229" i="20"/>
  <c r="AE229" i="20"/>
  <c r="AD229" i="20"/>
  <c r="AC229" i="20"/>
  <c r="Z229" i="20"/>
  <c r="AN210" i="20"/>
  <c r="AK210" i="20"/>
  <c r="AA210" i="20"/>
  <c r="Y210" i="20"/>
  <c r="AH210" i="20"/>
  <c r="AF210" i="20"/>
  <c r="AJ210" i="20"/>
  <c r="Z210" i="20"/>
  <c r="AE210" i="20"/>
  <c r="AG210" i="20"/>
  <c r="AD210" i="20"/>
  <c r="AD206" i="20"/>
  <c r="AK206" i="20"/>
  <c r="Y206" i="20"/>
  <c r="AG206" i="20"/>
  <c r="AF206" i="20"/>
  <c r="AK203" i="20"/>
  <c r="AE203" i="20"/>
  <c r="AI203" i="20"/>
  <c r="AH203" i="20"/>
  <c r="AN203" i="20"/>
  <c r="Y203" i="20"/>
  <c r="AD203" i="20"/>
  <c r="Z203" i="20"/>
  <c r="AF203" i="20"/>
  <c r="AG203" i="20"/>
  <c r="AA203" i="20"/>
  <c r="AC203" i="20"/>
  <c r="AB203" i="20"/>
  <c r="AL203" i="20"/>
  <c r="AJ203" i="20"/>
  <c r="AK198" i="20"/>
  <c r="AF198" i="20"/>
  <c r="AD198" i="20"/>
  <c r="AJ198" i="20"/>
  <c r="Z198" i="20"/>
  <c r="AL198" i="20"/>
  <c r="AI198" i="20"/>
  <c r="AH198" i="20"/>
  <c r="AC198" i="20"/>
  <c r="AB198" i="20"/>
  <c r="Y198" i="20"/>
  <c r="AN198" i="20"/>
  <c r="AG198" i="20"/>
  <c r="AA198" i="20"/>
  <c r="AE198" i="20"/>
  <c r="AI191" i="20"/>
  <c r="AC191" i="20"/>
  <c r="AJ191" i="20"/>
  <c r="AA191" i="20"/>
  <c r="AB185" i="20"/>
  <c r="AN185" i="20"/>
  <c r="AC185" i="20"/>
  <c r="AD185" i="20"/>
  <c r="AL185" i="20"/>
  <c r="AE185" i="20"/>
  <c r="AL182" i="20"/>
  <c r="Y182" i="20"/>
  <c r="AA182" i="20"/>
  <c r="AF182" i="20"/>
  <c r="AD182" i="20"/>
  <c r="AC177" i="20"/>
  <c r="AN177" i="20"/>
  <c r="AH177" i="20"/>
  <c r="AF177" i="20"/>
  <c r="AF164" i="20"/>
  <c r="AC164" i="20"/>
  <c r="AL164" i="20"/>
  <c r="AH164" i="20"/>
  <c r="Z158" i="20"/>
  <c r="AI158" i="20"/>
  <c r="Y158" i="20"/>
  <c r="AF158" i="20"/>
  <c r="Z156" i="20"/>
  <c r="AC156" i="20"/>
  <c r="AF156" i="20"/>
  <c r="AH156" i="20"/>
  <c r="AG148" i="20"/>
  <c r="AA148" i="20"/>
  <c r="AE148" i="20"/>
  <c r="AD148" i="20"/>
  <c r="AB148" i="20"/>
  <c r="AN148" i="20"/>
  <c r="AA133" i="20"/>
  <c r="AL133" i="20"/>
  <c r="AJ133" i="20"/>
  <c r="AE125" i="20"/>
  <c r="Z125" i="20"/>
  <c r="AF125" i="20"/>
  <c r="AG125" i="20"/>
  <c r="AA125" i="20"/>
  <c r="AD114" i="20"/>
  <c r="AB114" i="20"/>
  <c r="AC114" i="20"/>
  <c r="AA114" i="20"/>
  <c r="AI114" i="20"/>
  <c r="AE110" i="20"/>
  <c r="AD110" i="20"/>
  <c r="AB110" i="20"/>
  <c r="AC110" i="20"/>
  <c r="AA110" i="20"/>
  <c r="AN110" i="20"/>
  <c r="AL104" i="20"/>
  <c r="AF104" i="20"/>
  <c r="AA104" i="20"/>
  <c r="Z104" i="20"/>
  <c r="Y94" i="20"/>
  <c r="AE94" i="20"/>
  <c r="AF94" i="20"/>
  <c r="AD94" i="20"/>
  <c r="AG1156" i="20"/>
  <c r="AN1156" i="20"/>
  <c r="AB1156" i="20"/>
  <c r="AK1156" i="20"/>
  <c r="AE1156" i="20"/>
  <c r="AL1156" i="20"/>
  <c r="Y1156" i="20"/>
  <c r="AJ1156" i="20"/>
  <c r="AA1156" i="20"/>
  <c r="AD1156" i="20"/>
  <c r="AI1156" i="20"/>
  <c r="Z1156" i="20"/>
  <c r="AF1156" i="20"/>
  <c r="AH1156" i="20"/>
  <c r="AC1156" i="20"/>
  <c r="AK1148" i="20"/>
  <c r="AC1148" i="20"/>
  <c r="Z1148" i="20"/>
  <c r="AN1148" i="20"/>
  <c r="AL1148" i="20"/>
  <c r="AJ1148" i="20"/>
  <c r="AI1148" i="20"/>
  <c r="AA1148" i="20"/>
  <c r="AH1148" i="20"/>
  <c r="AD1148" i="20"/>
  <c r="AE1148" i="20"/>
  <c r="AL1168" i="20"/>
  <c r="AB1168" i="20"/>
  <c r="AK1168" i="20"/>
  <c r="AI1168" i="20"/>
  <c r="AC1168" i="20"/>
  <c r="Z1168" i="20"/>
  <c r="AN1168" i="20"/>
  <c r="Y1168" i="20"/>
  <c r="AA1168" i="20"/>
  <c r="AG1168" i="20"/>
  <c r="AH1168" i="20"/>
  <c r="AJ1168" i="20"/>
  <c r="AF1168" i="20"/>
  <c r="AD1168" i="20"/>
  <c r="AE1168" i="20"/>
  <c r="AN1176" i="20"/>
  <c r="AK1176" i="20"/>
  <c r="Y1176" i="20"/>
  <c r="AA1176" i="20"/>
  <c r="AL1176" i="20"/>
  <c r="AJ1176" i="20"/>
  <c r="AH1176" i="20"/>
  <c r="AB1176" i="20"/>
  <c r="AC1176" i="20"/>
  <c r="AF1176" i="20"/>
  <c r="AE1176" i="20"/>
  <c r="AI1176" i="20"/>
  <c r="AG1176" i="20"/>
  <c r="Z1176" i="20"/>
  <c r="AD1176" i="20"/>
  <c r="AI1184" i="20"/>
  <c r="AC1184" i="20"/>
  <c r="AF1184" i="20"/>
  <c r="AJ1184" i="20"/>
  <c r="AK1184" i="20"/>
  <c r="AL1184" i="20"/>
  <c r="Y1184" i="20"/>
  <c r="AB1184" i="20"/>
  <c r="AN1184" i="20"/>
  <c r="Z1184" i="20"/>
  <c r="AE1184" i="20"/>
  <c r="AH1184" i="20"/>
  <c r="AA1184" i="20"/>
  <c r="AD1184" i="20"/>
  <c r="AG1184" i="20"/>
  <c r="AH1192" i="20"/>
  <c r="AL1192" i="20"/>
  <c r="AI1192" i="20"/>
  <c r="AJ1192" i="20"/>
  <c r="AN1192" i="20"/>
  <c r="AG1192" i="20"/>
  <c r="AA1192" i="20"/>
  <c r="AK1192" i="20"/>
  <c r="AC1192" i="20"/>
  <c r="Y1192" i="20"/>
  <c r="AB1192" i="20"/>
  <c r="AF1192" i="20"/>
  <c r="Y1200" i="20"/>
  <c r="AN1200" i="20"/>
  <c r="AG1200" i="20"/>
  <c r="AA1200" i="20"/>
  <c r="AB1200" i="20"/>
  <c r="AK1200" i="20"/>
  <c r="AI1200" i="20"/>
  <c r="AJ1200" i="20"/>
  <c r="AH1200" i="20"/>
  <c r="AL1200" i="20"/>
  <c r="AD1200" i="20"/>
  <c r="AC1200" i="20"/>
  <c r="AE1208" i="20"/>
  <c r="Y1208" i="20"/>
  <c r="Z1208" i="20"/>
  <c r="AI1208" i="20"/>
  <c r="AD1208" i="20"/>
  <c r="AJ1208" i="20"/>
  <c r="AF1208" i="20"/>
  <c r="AA1208" i="20"/>
  <c r="AC1208" i="20"/>
  <c r="AK1208" i="20"/>
  <c r="AB1208" i="20"/>
  <c r="AL1208" i="20"/>
  <c r="AG1208" i="20"/>
  <c r="AD1216" i="20"/>
  <c r="AJ1216" i="20"/>
  <c r="AI1216" i="20"/>
  <c r="AG1216" i="20"/>
  <c r="AF1216" i="20"/>
  <c r="Y1216" i="20"/>
  <c r="AB1216" i="20"/>
  <c r="AK1216" i="20"/>
  <c r="AH1216" i="20"/>
  <c r="AA1216" i="20"/>
  <c r="AE1216" i="20"/>
  <c r="AF1220" i="20"/>
  <c r="AG1220" i="20"/>
  <c r="AD1220" i="20"/>
  <c r="AI1220" i="20"/>
  <c r="AL1220" i="20"/>
  <c r="AE1220" i="20"/>
  <c r="AB1220" i="20"/>
  <c r="AC1220" i="20"/>
  <c r="Y1220" i="20"/>
  <c r="AJ1220" i="20"/>
  <c r="AH1220" i="20"/>
  <c r="AA1220" i="20"/>
  <c r="AN1220" i="20"/>
  <c r="Y1228" i="20"/>
  <c r="AB1228" i="20"/>
  <c r="AN1228" i="20"/>
  <c r="AH1228" i="20"/>
  <c r="Z1228" i="20"/>
  <c r="AG1228" i="20"/>
  <c r="AF1228" i="20"/>
  <c r="AD1228" i="20"/>
  <c r="AA1228" i="20"/>
  <c r="AK1228" i="20"/>
  <c r="AL1228" i="20"/>
  <c r="AE1228" i="20"/>
  <c r="Y1236" i="20"/>
  <c r="AB1236" i="20"/>
  <c r="AH1236" i="20"/>
  <c r="AE1236" i="20"/>
  <c r="AN1236" i="20"/>
  <c r="AJ1236" i="20"/>
  <c r="AF1236" i="20"/>
  <c r="AG1236" i="20"/>
  <c r="AI1236" i="20"/>
  <c r="AN1244" i="20"/>
  <c r="Z1244" i="20"/>
  <c r="Y1244" i="20"/>
  <c r="AC1244" i="20"/>
  <c r="AB1244" i="20"/>
  <c r="AL1244" i="20"/>
  <c r="AG1244" i="20"/>
  <c r="AH1244" i="20"/>
  <c r="AD1244" i="20"/>
  <c r="AA1252" i="20"/>
  <c r="AD1252" i="20"/>
  <c r="AK1252" i="20"/>
  <c r="Y1252" i="20"/>
  <c r="AG1252" i="20"/>
  <c r="AI1252" i="20"/>
  <c r="AE1252" i="20"/>
  <c r="AL1252" i="20"/>
  <c r="AF1252" i="20"/>
  <c r="Z1252" i="20"/>
  <c r="AC1252" i="20"/>
  <c r="AN1252" i="20"/>
  <c r="AA1260" i="20"/>
  <c r="AK1260" i="20"/>
  <c r="AF1260" i="20"/>
  <c r="AE1260" i="20"/>
  <c r="AI1260" i="20"/>
  <c r="Z1260" i="20"/>
  <c r="AB1260" i="20"/>
  <c r="AL1260" i="20"/>
  <c r="Y1260" i="20"/>
  <c r="AG1260" i="20"/>
  <c r="AH1260" i="20"/>
  <c r="AD1260" i="20"/>
  <c r="AC1260" i="20"/>
  <c r="AL1268" i="20"/>
  <c r="AD1268" i="20"/>
  <c r="AJ1268" i="20"/>
  <c r="AA1268" i="20"/>
  <c r="AF1268" i="20"/>
  <c r="AC1268" i="20"/>
  <c r="Z1268" i="20"/>
  <c r="Y1268" i="20"/>
  <c r="AI1268" i="20"/>
  <c r="AK1268" i="20"/>
  <c r="AG1268" i="20"/>
  <c r="AB1268" i="20"/>
  <c r="AE1268" i="20"/>
  <c r="AH1268" i="20"/>
  <c r="AN1268" i="20"/>
  <c r="AE1276" i="20"/>
  <c r="Z1276" i="20"/>
  <c r="AC1276" i="20"/>
  <c r="AH1276" i="20"/>
  <c r="AG1276" i="20"/>
  <c r="AF1276" i="20"/>
  <c r="AL1276" i="20"/>
  <c r="AJ1276" i="20"/>
  <c r="AK1276" i="20"/>
  <c r="AD1276" i="20"/>
  <c r="AN1276" i="20"/>
  <c r="AH1284" i="20"/>
  <c r="AI1284" i="20"/>
  <c r="AG1284" i="20"/>
  <c r="AB1284" i="20"/>
  <c r="AF1284" i="20"/>
  <c r="AC1284" i="20"/>
  <c r="AL1284" i="20"/>
  <c r="AA1284" i="20"/>
  <c r="AD1284" i="20"/>
  <c r="AJ1284" i="20"/>
  <c r="AN1284" i="20"/>
  <c r="Z1284" i="20"/>
  <c r="Z1292" i="20"/>
  <c r="AN1292" i="20"/>
  <c r="AB1292" i="20"/>
  <c r="AH1292" i="20"/>
  <c r="AC1292" i="20"/>
  <c r="AK1292" i="20"/>
  <c r="AA1292" i="20"/>
  <c r="AE1292" i="20"/>
  <c r="AD1292" i="20"/>
  <c r="AF1292" i="20"/>
  <c r="AL1292" i="20"/>
  <c r="Y1292" i="20"/>
  <c r="AI1292" i="20"/>
  <c r="AA1300" i="20"/>
  <c r="AI1300" i="20"/>
  <c r="AD1300" i="20"/>
  <c r="AB1300" i="20"/>
  <c r="AG1300" i="20"/>
  <c r="AF1300" i="20"/>
  <c r="AE1300" i="20"/>
  <c r="AC1300" i="20"/>
  <c r="AL1300" i="20"/>
  <c r="AN1300" i="20"/>
  <c r="AH1300" i="20"/>
  <c r="AK1300" i="20"/>
  <c r="Y1300" i="20"/>
  <c r="AA1308" i="20"/>
  <c r="AC1308" i="20"/>
  <c r="AL1308" i="20"/>
  <c r="Z1308" i="20"/>
  <c r="AH1308" i="20"/>
  <c r="AN1308" i="20"/>
  <c r="AB1308" i="20"/>
  <c r="Y1308" i="20"/>
  <c r="AD1308" i="20"/>
  <c r="AG1308" i="20"/>
  <c r="AK1308" i="20"/>
  <c r="AF1308" i="20"/>
  <c r="AE1308" i="20"/>
  <c r="AI1308" i="20"/>
  <c r="AJ1308" i="20"/>
  <c r="AF1316" i="20"/>
  <c r="AD1316" i="20"/>
  <c r="AN1316" i="20"/>
  <c r="AI1316" i="20"/>
  <c r="AH1316" i="20"/>
  <c r="AE1316" i="20"/>
  <c r="AL1316" i="20"/>
  <c r="AK1316" i="20"/>
  <c r="AA1316" i="20"/>
  <c r="Y1316" i="20"/>
  <c r="AB1316" i="20"/>
  <c r="AG1316" i="20"/>
  <c r="AJ1316" i="20"/>
  <c r="Y1324" i="20"/>
  <c r="AC1324" i="20"/>
  <c r="AG1324" i="20"/>
  <c r="Z1324" i="20"/>
  <c r="AE1324" i="20"/>
  <c r="AK1324" i="20"/>
  <c r="AN1324" i="20"/>
  <c r="AB1324" i="20"/>
  <c r="AJ1324" i="20"/>
  <c r="AH1324" i="20"/>
  <c r="AD1324" i="20"/>
  <c r="AL1324" i="20"/>
  <c r="AF1324" i="20"/>
  <c r="AN1336" i="20"/>
  <c r="Y1336" i="20"/>
  <c r="AE1336" i="20"/>
  <c r="AK1336" i="20"/>
  <c r="AD1336" i="20"/>
  <c r="AC1336" i="20"/>
  <c r="AJ1336" i="20"/>
  <c r="AA1336" i="20"/>
  <c r="Z1336" i="20"/>
  <c r="AI1336" i="20"/>
  <c r="AB1336" i="20"/>
  <c r="AL1336" i="20"/>
  <c r="AH1336" i="20"/>
  <c r="AG1336" i="20"/>
  <c r="AF1336" i="20"/>
  <c r="AL365" i="20"/>
  <c r="AL946" i="20"/>
  <c r="AJ445" i="20"/>
  <c r="AI689" i="20"/>
  <c r="AJ509" i="20"/>
  <c r="AH418" i="20"/>
  <c r="AL425" i="20"/>
  <c r="AH870" i="20"/>
  <c r="AH737" i="20"/>
  <c r="AH563" i="20"/>
  <c r="AB918" i="20"/>
  <c r="AK993" i="20"/>
  <c r="AK958" i="20"/>
  <c r="AD851" i="20"/>
  <c r="AE549" i="20"/>
  <c r="Y851" i="20"/>
  <c r="Y425" i="20"/>
  <c r="AD713" i="20"/>
  <c r="AT768" i="20"/>
  <c r="AT538" i="20"/>
  <c r="AT461" i="20"/>
  <c r="AT798" i="20"/>
  <c r="AL457" i="20"/>
  <c r="AL593" i="20"/>
  <c r="AI855" i="20"/>
  <c r="AI505" i="20"/>
  <c r="AJ705" i="20"/>
  <c r="AH1010" i="20"/>
  <c r="AL859" i="20"/>
  <c r="AH237" i="20"/>
  <c r="AH349" i="20"/>
  <c r="AB210" i="20"/>
  <c r="AK729" i="20"/>
  <c r="AA558" i="20"/>
  <c r="AG533" i="20"/>
  <c r="Y713" i="20"/>
  <c r="AE1070" i="20"/>
  <c r="AG914" i="20"/>
  <c r="Z505" i="20"/>
  <c r="AF897" i="20"/>
  <c r="Y685" i="20"/>
  <c r="AE649" i="20"/>
  <c r="AD958" i="20"/>
  <c r="AT319" i="20"/>
  <c r="AT687" i="20"/>
  <c r="AT449" i="20"/>
  <c r="AT385" i="20"/>
  <c r="AT711" i="20"/>
  <c r="AT356" i="20"/>
  <c r="AT525" i="20"/>
  <c r="AT597" i="20"/>
  <c r="AT416" i="20"/>
  <c r="AT1057" i="20"/>
  <c r="AT622" i="20"/>
  <c r="AT406" i="20"/>
  <c r="AL1141" i="20"/>
  <c r="AG1141" i="20"/>
  <c r="AA1141" i="20"/>
  <c r="Y1141" i="20"/>
  <c r="AK1141" i="20"/>
  <c r="AF1141" i="20"/>
  <c r="AD1133" i="20"/>
  <c r="Z1133" i="20"/>
  <c r="AN1133" i="20"/>
  <c r="AG1133" i="20"/>
  <c r="AK1133" i="20"/>
  <c r="AB1133" i="20"/>
  <c r="AC1133" i="20"/>
  <c r="AE1133" i="20"/>
  <c r="AI1133" i="20"/>
  <c r="AF1133" i="20"/>
  <c r="Y1133" i="20"/>
  <c r="AL1133" i="20"/>
  <c r="AJ1133" i="20"/>
  <c r="AL1125" i="20"/>
  <c r="AB1125" i="20"/>
  <c r="Y1125" i="20"/>
  <c r="AC1125" i="20"/>
  <c r="AE1125" i="20"/>
  <c r="AF1125" i="20"/>
  <c r="AN1125" i="20"/>
  <c r="AK1125" i="20"/>
  <c r="Z1125" i="20"/>
  <c r="AG1125" i="20"/>
  <c r="Z1117" i="20"/>
  <c r="AL1117" i="20"/>
  <c r="AE1117" i="20"/>
  <c r="AF1117" i="20"/>
  <c r="AG1117" i="20"/>
  <c r="AK1117" i="20"/>
  <c r="AC1117" i="20"/>
  <c r="AN1117" i="20"/>
  <c r="Y1117" i="20"/>
  <c r="AF1109" i="20"/>
  <c r="Z1109" i="20"/>
  <c r="AL1109" i="20"/>
  <c r="AC1109" i="20"/>
  <c r="AK1109" i="20"/>
  <c r="AG1109" i="20"/>
  <c r="AL8" i="20"/>
  <c r="AK8" i="20"/>
  <c r="Z8" i="20"/>
  <c r="AI8" i="20"/>
  <c r="AC8" i="20"/>
  <c r="AN8" i="20"/>
  <c r="AC14" i="20"/>
  <c r="AD14" i="20"/>
  <c r="AB14" i="20"/>
  <c r="AK14" i="20"/>
  <c r="AD23" i="20"/>
  <c r="AN23" i="20"/>
  <c r="AE23" i="20"/>
  <c r="AF1098" i="20"/>
  <c r="AC1098" i="20"/>
  <c r="AE1098" i="20"/>
  <c r="AJ1098" i="20"/>
  <c r="AG1098" i="20"/>
  <c r="AI1098" i="20"/>
  <c r="AL1098" i="20"/>
  <c r="Z1098" i="20"/>
  <c r="AK1098" i="20"/>
  <c r="AB1098" i="20"/>
  <c r="Y1098" i="20"/>
  <c r="AN1098" i="20"/>
  <c r="AA1098" i="20"/>
  <c r="AD1098" i="20"/>
  <c r="AH1098" i="20"/>
  <c r="AN1090" i="20"/>
  <c r="AK1090" i="20"/>
  <c r="AE1090" i="20"/>
  <c r="Z1090" i="20"/>
  <c r="AB1090" i="20"/>
  <c r="Y1090" i="20"/>
  <c r="AI1090" i="20"/>
  <c r="AH1090" i="20"/>
  <c r="AJ1090" i="20"/>
  <c r="AL1090" i="20"/>
  <c r="AC1090" i="20"/>
  <c r="AG1090" i="20"/>
  <c r="AA1090" i="20"/>
  <c r="AD1090" i="20"/>
  <c r="AF1090" i="20"/>
  <c r="AF1082" i="20"/>
  <c r="AI1082" i="20"/>
  <c r="AJ1082" i="20"/>
  <c r="Z1082" i="20"/>
  <c r="AA1082" i="20"/>
  <c r="AN1082" i="20"/>
  <c r="AC1082" i="20"/>
  <c r="AG1082" i="20"/>
  <c r="AH1082" i="20"/>
  <c r="AL1082" i="20"/>
  <c r="Y1082" i="20"/>
  <c r="AB1082" i="20"/>
  <c r="AE1082" i="20"/>
  <c r="AK1082" i="20"/>
  <c r="AD1082" i="20"/>
  <c r="AN1073" i="20"/>
  <c r="AG1073" i="20"/>
  <c r="Z1073" i="20"/>
  <c r="AA1073" i="20"/>
  <c r="AK1073" i="20"/>
  <c r="AF1073" i="20"/>
  <c r="AE1073" i="20"/>
  <c r="AL1073" i="20"/>
  <c r="Y1073" i="20"/>
  <c r="AB1073" i="20"/>
  <c r="AD1073" i="20"/>
  <c r="AN1066" i="20"/>
  <c r="AB1066" i="20"/>
  <c r="AK1066" i="20"/>
  <c r="Y1066" i="20"/>
  <c r="AA1066" i="20"/>
  <c r="AH1066" i="20"/>
  <c r="AE1066" i="20"/>
  <c r="AF1066" i="20"/>
  <c r="AC1066" i="20"/>
  <c r="Z1066" i="20"/>
  <c r="AD1066" i="20"/>
  <c r="AL1066" i="20"/>
  <c r="AG1066" i="20"/>
  <c r="AN1058" i="20"/>
  <c r="AC1058" i="20"/>
  <c r="AB1058" i="20"/>
  <c r="AE1058" i="20"/>
  <c r="AH1058" i="20"/>
  <c r="AI1058" i="20"/>
  <c r="AF1058" i="20"/>
  <c r="AJ1058" i="20"/>
  <c r="Z1058" i="20"/>
  <c r="AD1058" i="20"/>
  <c r="AA1058" i="20"/>
  <c r="AK1058" i="20"/>
  <c r="AL1058" i="20"/>
  <c r="AI1046" i="20"/>
  <c r="AN1046" i="20"/>
  <c r="AL1046" i="20"/>
  <c r="AB1046" i="20"/>
  <c r="AC1046" i="20"/>
  <c r="AK1046" i="20"/>
  <c r="AG1046" i="20"/>
  <c r="AA1046" i="20"/>
  <c r="AE1046" i="20"/>
  <c r="AD1046" i="20"/>
  <c r="Z1046" i="20"/>
  <c r="AF1046" i="20"/>
  <c r="AJ1046" i="20"/>
  <c r="Y1046" i="20"/>
  <c r="AN1047" i="20"/>
  <c r="AD1047" i="20"/>
  <c r="AE1047" i="20"/>
  <c r="AF1047" i="20"/>
  <c r="Z1047" i="20"/>
  <c r="AH1047" i="20"/>
  <c r="AK1047" i="20"/>
  <c r="AC1047" i="20"/>
  <c r="Y1047" i="20"/>
  <c r="AB1047" i="20"/>
  <c r="AN1019" i="20"/>
  <c r="AD1019" i="20"/>
  <c r="AI1019" i="20"/>
  <c r="AE1019" i="20"/>
  <c r="Y1019" i="20"/>
  <c r="AB1019" i="20"/>
  <c r="AH1019" i="20"/>
  <c r="AL1019" i="20"/>
  <c r="AJ1019" i="20"/>
  <c r="AC1019" i="20"/>
  <c r="Z1019" i="20"/>
  <c r="AF1019" i="20"/>
  <c r="AN1008" i="20"/>
  <c r="AB1008" i="20"/>
  <c r="AE1008" i="20"/>
  <c r="AJ1008" i="20"/>
  <c r="AF1008" i="20"/>
  <c r="AG1008" i="20"/>
  <c r="Z1008" i="20"/>
  <c r="AA1008" i="20"/>
  <c r="AH1008" i="20"/>
  <c r="AI1008" i="20"/>
  <c r="AD1008" i="20"/>
  <c r="Y1008" i="20"/>
  <c r="AL1008" i="20"/>
  <c r="AF997" i="20"/>
  <c r="AB997" i="20"/>
  <c r="AN997" i="20"/>
  <c r="AI997" i="20"/>
  <c r="AK997" i="20"/>
  <c r="AG997" i="20"/>
  <c r="AA997" i="20"/>
  <c r="AL997" i="20"/>
  <c r="AE997" i="20"/>
  <c r="AD997" i="20"/>
  <c r="Z997" i="20"/>
  <c r="AJ997" i="20"/>
  <c r="Y997" i="20"/>
  <c r="Z988" i="20"/>
  <c r="AN988" i="20"/>
  <c r="AC988" i="20"/>
  <c r="AA988" i="20"/>
  <c r="Y988" i="20"/>
  <c r="AL988" i="20"/>
  <c r="AG988" i="20"/>
  <c r="AE988" i="20"/>
  <c r="AI988" i="20"/>
  <c r="AD988" i="20"/>
  <c r="AK988" i="20"/>
  <c r="AF988" i="20"/>
  <c r="AJ988" i="20"/>
  <c r="AN980" i="20"/>
  <c r="AI980" i="20"/>
  <c r="AG980" i="20"/>
  <c r="AD980" i="20"/>
  <c r="AE980" i="20"/>
  <c r="AF980" i="20"/>
  <c r="AB980" i="20"/>
  <c r="AK980" i="20"/>
  <c r="AJ980" i="20"/>
  <c r="AC980" i="20"/>
  <c r="AL980" i="20"/>
  <c r="Y980" i="20"/>
  <c r="AA980" i="20"/>
  <c r="Z980" i="20"/>
  <c r="AN972" i="20"/>
  <c r="AJ972" i="20"/>
  <c r="AI972" i="20"/>
  <c r="AC972" i="20"/>
  <c r="AD972" i="20"/>
  <c r="AH972" i="20"/>
  <c r="AB972" i="20"/>
  <c r="AE972" i="20"/>
  <c r="AG972" i="20"/>
  <c r="Z972" i="20"/>
  <c r="AA972" i="20"/>
  <c r="AF972" i="20"/>
  <c r="AK972" i="20"/>
  <c r="Y972" i="20"/>
  <c r="AK962" i="20"/>
  <c r="AN962" i="20"/>
  <c r="Z962" i="20"/>
  <c r="Y962" i="20"/>
  <c r="AE962" i="20"/>
  <c r="AF962" i="20"/>
  <c r="AH962" i="20"/>
  <c r="AL962" i="20"/>
  <c r="AI962" i="20"/>
  <c r="AA962" i="20"/>
  <c r="AG962" i="20"/>
  <c r="AB962" i="20"/>
  <c r="AC962" i="20"/>
  <c r="AD962" i="20"/>
  <c r="AI954" i="20"/>
  <c r="AD954" i="20"/>
  <c r="AA954" i="20"/>
  <c r="AC954" i="20"/>
  <c r="AG954" i="20"/>
  <c r="AE954" i="20"/>
  <c r="Y954" i="20"/>
  <c r="AK954" i="20"/>
  <c r="AF954" i="20"/>
  <c r="AL954" i="20"/>
  <c r="Z954" i="20"/>
  <c r="AN954" i="20"/>
  <c r="AB954" i="20"/>
  <c r="AH954" i="20"/>
  <c r="AN942" i="20"/>
  <c r="AC942" i="20"/>
  <c r="AL942" i="20"/>
  <c r="AG942" i="20"/>
  <c r="Z942" i="20"/>
  <c r="AE942" i="20"/>
  <c r="AI942" i="20"/>
  <c r="Y942" i="20"/>
  <c r="AK942" i="20"/>
  <c r="AB942" i="20"/>
  <c r="AF942" i="20"/>
  <c r="AH942" i="20"/>
  <c r="AA942" i="20"/>
  <c r="AD942" i="20"/>
  <c r="AN934" i="20"/>
  <c r="AA934" i="20"/>
  <c r="AI934" i="20"/>
  <c r="AG934" i="20"/>
  <c r="AF934" i="20"/>
  <c r="AL934" i="20"/>
  <c r="AD934" i="20"/>
  <c r="AC934" i="20"/>
  <c r="AB934" i="20"/>
  <c r="AE934" i="20"/>
  <c r="Z934" i="20"/>
  <c r="Y934" i="20"/>
  <c r="AH934" i="20"/>
  <c r="AN926" i="20"/>
  <c r="AI926" i="20"/>
  <c r="AL926" i="20"/>
  <c r="AC926" i="20"/>
  <c r="AG926" i="20"/>
  <c r="AK926" i="20"/>
  <c r="AA926" i="20"/>
  <c r="AE926" i="20"/>
  <c r="AF926" i="20"/>
  <c r="Y926" i="20"/>
  <c r="AH926" i="20"/>
  <c r="Z926" i="20"/>
  <c r="AB926" i="20"/>
  <c r="AJ926" i="20"/>
  <c r="AN918" i="20"/>
  <c r="AI918" i="20"/>
  <c r="AA918" i="20"/>
  <c r="AJ918" i="20"/>
  <c r="Z918" i="20"/>
  <c r="AF918" i="20"/>
  <c r="AD918" i="20"/>
  <c r="Y918" i="20"/>
  <c r="AC918" i="20"/>
  <c r="AK918" i="20"/>
  <c r="AG918" i="20"/>
  <c r="AJ909" i="20"/>
  <c r="AN909" i="20"/>
  <c r="AL909" i="20"/>
  <c r="AK909" i="20"/>
  <c r="AD909" i="20"/>
  <c r="AF909" i="20"/>
  <c r="Z909" i="20"/>
  <c r="AB909" i="20"/>
  <c r="AG909" i="20"/>
  <c r="AE909" i="20"/>
  <c r="AA909" i="20"/>
  <c r="AI909" i="20"/>
  <c r="AC909" i="20"/>
  <c r="AH909" i="20"/>
  <c r="Y909" i="20"/>
  <c r="AN901" i="20"/>
  <c r="AJ901" i="20"/>
  <c r="AI901" i="20"/>
  <c r="Z901" i="20"/>
  <c r="AA901" i="20"/>
  <c r="AC901" i="20"/>
  <c r="AD901" i="20"/>
  <c r="AF901" i="20"/>
  <c r="AE901" i="20"/>
  <c r="AG901" i="20"/>
  <c r="AH901" i="20"/>
  <c r="Y901" i="20"/>
  <c r="AB901" i="20"/>
  <c r="AK901" i="20"/>
  <c r="AI892" i="20"/>
  <c r="AN892" i="20"/>
  <c r="AK892" i="20"/>
  <c r="AF892" i="20"/>
  <c r="Y892" i="20"/>
  <c r="AJ892" i="20"/>
  <c r="AB892" i="20"/>
  <c r="AL892" i="20"/>
  <c r="AC892" i="20"/>
  <c r="AH892" i="20"/>
  <c r="Z892" i="20"/>
  <c r="AE892" i="20"/>
  <c r="AD892" i="20"/>
  <c r="AA892" i="20"/>
  <c r="AG892" i="20"/>
  <c r="AN888" i="20"/>
  <c r="AJ888" i="20"/>
  <c r="AI888" i="20"/>
  <c r="AF888" i="20"/>
  <c r="AE888" i="20"/>
  <c r="AA888" i="20"/>
  <c r="AK888" i="20"/>
  <c r="Y888" i="20"/>
  <c r="Z888" i="20"/>
  <c r="AB888" i="20"/>
  <c r="AD888" i="20"/>
  <c r="AG888" i="20"/>
  <c r="AL888" i="20"/>
  <c r="AC888" i="20"/>
  <c r="AH888" i="20"/>
  <c r="AI880" i="20"/>
  <c r="AL880" i="20"/>
  <c r="AN880" i="20"/>
  <c r="AF880" i="20"/>
  <c r="AB880" i="20"/>
  <c r="Z880" i="20"/>
  <c r="AC880" i="20"/>
  <c r="AK880" i="20"/>
  <c r="Y880" i="20"/>
  <c r="AA880" i="20"/>
  <c r="AG880" i="20"/>
  <c r="AE880" i="20"/>
  <c r="AD880" i="20"/>
  <c r="AJ880" i="20"/>
  <c r="AL866" i="20"/>
  <c r="Z866" i="20"/>
  <c r="AF866" i="20"/>
  <c r="Y866" i="20"/>
  <c r="AE866" i="20"/>
  <c r="AA866" i="20"/>
  <c r="AC866" i="20"/>
  <c r="AB866" i="20"/>
  <c r="AK866" i="20"/>
  <c r="AN866" i="20"/>
  <c r="AD866" i="20"/>
  <c r="AG866" i="20"/>
  <c r="AH866" i="20"/>
  <c r="AI866" i="20"/>
  <c r="AN855" i="20"/>
  <c r="AB855" i="20"/>
  <c r="AK855" i="20"/>
  <c r="AG855" i="20"/>
  <c r="AC855" i="20"/>
  <c r="AH855" i="20"/>
  <c r="AJ855" i="20"/>
  <c r="Z855" i="20"/>
  <c r="Y855" i="20"/>
  <c r="AL855" i="20"/>
  <c r="AA855" i="20"/>
  <c r="AN846" i="20"/>
  <c r="AF846" i="20"/>
  <c r="AK846" i="20"/>
  <c r="AD846" i="20"/>
  <c r="AI846" i="20"/>
  <c r="AH846" i="20"/>
  <c r="AJ846" i="20"/>
  <c r="Z846" i="20"/>
  <c r="AA846" i="20"/>
  <c r="AE846" i="20"/>
  <c r="AB846" i="20"/>
  <c r="AL846" i="20"/>
  <c r="Y846" i="20"/>
  <c r="AN837" i="20"/>
  <c r="AJ837" i="20"/>
  <c r="Z837" i="20"/>
  <c r="AE837" i="20"/>
  <c r="AA837" i="20"/>
  <c r="AK837" i="20"/>
  <c r="Y837" i="20"/>
  <c r="AB837" i="20"/>
  <c r="AF837" i="20"/>
  <c r="AC837" i="20"/>
  <c r="AI837" i="20"/>
  <c r="AH837" i="20"/>
  <c r="AD837" i="20"/>
  <c r="AG837" i="20"/>
  <c r="AN829" i="20"/>
  <c r="AE829" i="20"/>
  <c r="AK829" i="20"/>
  <c r="AG829" i="20"/>
  <c r="AC829" i="20"/>
  <c r="AB829" i="20"/>
  <c r="Z829" i="20"/>
  <c r="AF829" i="20"/>
  <c r="AA829" i="20"/>
  <c r="AH829" i="20"/>
  <c r="AL829" i="20"/>
  <c r="AJ829" i="20"/>
  <c r="AD829" i="20"/>
  <c r="Y829" i="20"/>
  <c r="AN821" i="20"/>
  <c r="AJ821" i="20"/>
  <c r="AI821" i="20"/>
  <c r="AK821" i="20"/>
  <c r="AA821" i="20"/>
  <c r="Z821" i="20"/>
  <c r="AB821" i="20"/>
  <c r="Y821" i="20"/>
  <c r="AG821" i="20"/>
  <c r="AL821" i="20"/>
  <c r="AE821" i="20"/>
  <c r="AD821" i="20"/>
  <c r="AC821" i="20"/>
  <c r="AF821" i="20"/>
  <c r="AL813" i="20"/>
  <c r="AJ813" i="20"/>
  <c r="AD813" i="20"/>
  <c r="AI813" i="20"/>
  <c r="Z813" i="20"/>
  <c r="AB813" i="20"/>
  <c r="AK813" i="20"/>
  <c r="AF813" i="20"/>
  <c r="AN813" i="20"/>
  <c r="AA813" i="20"/>
  <c r="Y813" i="20"/>
  <c r="AC813" i="20"/>
  <c r="AG813" i="20"/>
  <c r="AH813" i="20"/>
  <c r="AN805" i="20"/>
  <c r="AF805" i="20"/>
  <c r="AK805" i="20"/>
  <c r="AE805" i="20"/>
  <c r="AJ805" i="20"/>
  <c r="AB805" i="20"/>
  <c r="AD805" i="20"/>
  <c r="AL805" i="20"/>
  <c r="AA805" i="20"/>
  <c r="AI805" i="20"/>
  <c r="AG805" i="20"/>
  <c r="Z805" i="20"/>
  <c r="AH805" i="20"/>
  <c r="AC805" i="20"/>
  <c r="Y805" i="20"/>
  <c r="AE789" i="20"/>
  <c r="Y789" i="20"/>
  <c r="AB789" i="20"/>
  <c r="AH789" i="20"/>
  <c r="AL789" i="20"/>
  <c r="Z789" i="20"/>
  <c r="AN789" i="20"/>
  <c r="AF789" i="20"/>
  <c r="AI789" i="20"/>
  <c r="AD789" i="20"/>
  <c r="AG789" i="20"/>
  <c r="AK789" i="20"/>
  <c r="AJ789" i="20"/>
  <c r="AN781" i="20"/>
  <c r="AC781" i="20"/>
  <c r="AL781" i="20"/>
  <c r="AI781" i="20"/>
  <c r="AD781" i="20"/>
  <c r="AF781" i="20"/>
  <c r="Y781" i="20"/>
  <c r="Z781" i="20"/>
  <c r="AB781" i="20"/>
  <c r="AA781" i="20"/>
  <c r="AG781" i="20"/>
  <c r="AE781" i="20"/>
  <c r="AH781" i="20"/>
  <c r="AN773" i="20"/>
  <c r="AE773" i="20"/>
  <c r="AL773" i="20"/>
  <c r="AG773" i="20"/>
  <c r="Y773" i="20"/>
  <c r="AD773" i="20"/>
  <c r="AK773" i="20"/>
  <c r="AI773" i="20"/>
  <c r="AC773" i="20"/>
  <c r="AA773" i="20"/>
  <c r="Z773" i="20"/>
  <c r="AF773" i="20"/>
  <c r="AB773" i="20"/>
  <c r="AH773" i="20"/>
  <c r="AJ773" i="20"/>
  <c r="AN765" i="20"/>
  <c r="Z765" i="20"/>
  <c r="AE765" i="20"/>
  <c r="AA765" i="20"/>
  <c r="AD765" i="20"/>
  <c r="AC765" i="20"/>
  <c r="AF765" i="20"/>
  <c r="AH765" i="20"/>
  <c r="AB765" i="20"/>
  <c r="AL765" i="20"/>
  <c r="AI765" i="20"/>
  <c r="AG765" i="20"/>
  <c r="AK765" i="20"/>
  <c r="AN757" i="20"/>
  <c r="AJ757" i="20"/>
  <c r="AI757" i="20"/>
  <c r="AA757" i="20"/>
  <c r="AC757" i="20"/>
  <c r="AE757" i="20"/>
  <c r="Y757" i="20"/>
  <c r="Z757" i="20"/>
  <c r="AH757" i="20"/>
  <c r="AB757" i="20"/>
  <c r="AK757" i="20"/>
  <c r="AF757" i="20"/>
  <c r="AL757" i="20"/>
  <c r="AG757" i="20"/>
  <c r="Z749" i="20"/>
  <c r="AF749" i="20"/>
  <c r="AC749" i="20"/>
  <c r="AJ749" i="20"/>
  <c r="AE749" i="20"/>
  <c r="AN749" i="20"/>
  <c r="AG749" i="20"/>
  <c r="Y749" i="20"/>
  <c r="AA749" i="20"/>
  <c r="AB749" i="20"/>
  <c r="AK749" i="20"/>
  <c r="AL749" i="20"/>
  <c r="AD749" i="20"/>
  <c r="AH749" i="20"/>
  <c r="AN741" i="20"/>
  <c r="AD741" i="20"/>
  <c r="AE741" i="20"/>
  <c r="AL741" i="20"/>
  <c r="AC741" i="20"/>
  <c r="AA741" i="20"/>
  <c r="Z741" i="20"/>
  <c r="AH741" i="20"/>
  <c r="AB741" i="20"/>
  <c r="AG741" i="20"/>
  <c r="Y741" i="20"/>
  <c r="AK741" i="20"/>
  <c r="AF741" i="20"/>
  <c r="AN733" i="20"/>
  <c r="Y733" i="20"/>
  <c r="Z733" i="20"/>
  <c r="AA733" i="20"/>
  <c r="AD733" i="20"/>
  <c r="AK733" i="20"/>
  <c r="AG733" i="20"/>
  <c r="AF733" i="20"/>
  <c r="AE733" i="20"/>
  <c r="AC733" i="20"/>
  <c r="AH733" i="20"/>
  <c r="AI733" i="20"/>
  <c r="AJ733" i="20"/>
  <c r="AB733" i="20"/>
  <c r="AN725" i="20"/>
  <c r="AJ725" i="20"/>
  <c r="AK725" i="20"/>
  <c r="AB725" i="20"/>
  <c r="Z725" i="20"/>
  <c r="AA725" i="20"/>
  <c r="AD725" i="20"/>
  <c r="AH725" i="20"/>
  <c r="AI725" i="20"/>
  <c r="AF725" i="20"/>
  <c r="AE725" i="20"/>
  <c r="AC725" i="20"/>
  <c r="AL725" i="20"/>
  <c r="Y725" i="20"/>
  <c r="AG725" i="20"/>
  <c r="AB717" i="20"/>
  <c r="AN717" i="20"/>
  <c r="AG717" i="20"/>
  <c r="AH717" i="20"/>
  <c r="AI717" i="20"/>
  <c r="AJ717" i="20"/>
  <c r="AK717" i="20"/>
  <c r="Z717" i="20"/>
  <c r="AE717" i="20"/>
  <c r="AC717" i="20"/>
  <c r="AF717" i="20"/>
  <c r="AD717" i="20"/>
  <c r="AL717" i="20"/>
  <c r="AA717" i="20"/>
  <c r="AN709" i="20"/>
  <c r="AE709" i="20"/>
  <c r="AA709" i="20"/>
  <c r="AK709" i="20"/>
  <c r="AJ709" i="20"/>
  <c r="AD709" i="20"/>
  <c r="AB709" i="20"/>
  <c r="AG709" i="20"/>
  <c r="Z709" i="20"/>
  <c r="AI709" i="20"/>
  <c r="Y709" i="20"/>
  <c r="AF709" i="20"/>
  <c r="AC709" i="20"/>
  <c r="Z701" i="20"/>
  <c r="AE701" i="20"/>
  <c r="Y701" i="20"/>
  <c r="AN701" i="20"/>
  <c r="AG701" i="20"/>
  <c r="AI701" i="20"/>
  <c r="AJ701" i="20"/>
  <c r="AD701" i="20"/>
  <c r="AF701" i="20"/>
  <c r="AK701" i="20"/>
  <c r="AH701" i="20"/>
  <c r="AL701" i="20"/>
  <c r="AA701" i="20"/>
  <c r="AB701" i="20"/>
  <c r="AN693" i="20"/>
  <c r="Y693" i="20"/>
  <c r="AG693" i="20"/>
  <c r="AA693" i="20"/>
  <c r="AE693" i="20"/>
  <c r="AI693" i="20"/>
  <c r="AB693" i="20"/>
  <c r="Z693" i="20"/>
  <c r="AD693" i="20"/>
  <c r="AF693" i="20"/>
  <c r="AK693" i="20"/>
  <c r="AH693" i="20"/>
  <c r="AJ693" i="20"/>
  <c r="AE681" i="20"/>
  <c r="AK681" i="20"/>
  <c r="AN681" i="20"/>
  <c r="AC681" i="20"/>
  <c r="AA681" i="20"/>
  <c r="Z681" i="20"/>
  <c r="AG681" i="20"/>
  <c r="AN673" i="20"/>
  <c r="AB673" i="20"/>
  <c r="AE673" i="20"/>
  <c r="AI673" i="20"/>
  <c r="Y673" i="20"/>
  <c r="Z673" i="20"/>
  <c r="AF673" i="20"/>
  <c r="AA673" i="20"/>
  <c r="AH673" i="20"/>
  <c r="AD673" i="20"/>
  <c r="AL673" i="20"/>
  <c r="AJ673" i="20"/>
  <c r="AC673" i="20"/>
  <c r="AK673" i="20"/>
  <c r="AG673" i="20"/>
  <c r="Z665" i="20"/>
  <c r="AK665" i="20"/>
  <c r="AN665" i="20"/>
  <c r="AE665" i="20"/>
  <c r="AC665" i="20"/>
  <c r="AG665" i="20"/>
  <c r="AH665" i="20"/>
  <c r="AD665" i="20"/>
  <c r="AF665" i="20"/>
  <c r="AB665" i="20"/>
  <c r="AA665" i="20"/>
  <c r="AL665" i="20"/>
  <c r="Y665" i="20"/>
  <c r="AN657" i="20"/>
  <c r="Z657" i="20"/>
  <c r="AJ657" i="20"/>
  <c r="AB657" i="20"/>
  <c r="AA657" i="20"/>
  <c r="AF657" i="20"/>
  <c r="AD657" i="20"/>
  <c r="Y657" i="20"/>
  <c r="AK657" i="20"/>
  <c r="AE657" i="20"/>
  <c r="AG657" i="20"/>
  <c r="AL657" i="20"/>
  <c r="AI657" i="20"/>
  <c r="AH657" i="20"/>
  <c r="AN645" i="20"/>
  <c r="AL645" i="20"/>
  <c r="AC645" i="20"/>
  <c r="AK645" i="20"/>
  <c r="I52" i="86"/>
  <c r="L52" i="86"/>
  <c r="AG645" i="20"/>
  <c r="AH645" i="20"/>
  <c r="AJ645" i="20"/>
  <c r="Y645" i="20"/>
  <c r="AF645" i="20"/>
  <c r="AA645" i="20"/>
  <c r="AE645" i="20"/>
  <c r="AD645" i="20"/>
  <c r="AB645" i="20"/>
  <c r="Z645" i="20"/>
  <c r="AN636" i="20"/>
  <c r="Z636" i="20"/>
  <c r="AD636" i="20"/>
  <c r="AE636" i="20"/>
  <c r="AC636" i="20"/>
  <c r="AB636" i="20"/>
  <c r="AK636" i="20"/>
  <c r="I41" i="86"/>
  <c r="L41" i="86"/>
  <c r="AG636" i="20"/>
  <c r="AA636" i="20"/>
  <c r="AI636" i="20"/>
  <c r="G41" i="86"/>
  <c r="AJ636" i="20"/>
  <c r="H41" i="86"/>
  <c r="K41" i="86"/>
  <c r="AF636" i="20"/>
  <c r="AH636" i="20"/>
  <c r="AN629" i="20"/>
  <c r="AC629" i="20"/>
  <c r="Y629" i="20"/>
  <c r="AI629" i="20"/>
  <c r="AF629" i="20"/>
  <c r="AE629" i="20"/>
  <c r="AK629" i="20"/>
  <c r="AG629" i="20"/>
  <c r="Z629" i="20"/>
  <c r="AA629" i="20"/>
  <c r="AD629" i="20"/>
  <c r="AB629" i="20"/>
  <c r="AH629" i="20"/>
  <c r="AN621" i="20"/>
  <c r="AB621" i="20"/>
  <c r="AC621" i="20"/>
  <c r="AG621" i="20"/>
  <c r="Z621" i="20"/>
  <c r="AA621" i="20"/>
  <c r="AJ621" i="20"/>
  <c r="Y621" i="20"/>
  <c r="AK621" i="20"/>
  <c r="AF621" i="20"/>
  <c r="AH621" i="20"/>
  <c r="AI621" i="20"/>
  <c r="AD621" i="20"/>
  <c r="AL621" i="20"/>
  <c r="AN613" i="20"/>
  <c r="AJ613" i="20"/>
  <c r="Z613" i="20"/>
  <c r="AB613" i="20"/>
  <c r="AK613" i="20"/>
  <c r="AF613" i="20"/>
  <c r="AC613" i="20"/>
  <c r="AG613" i="20"/>
  <c r="Y613" i="20"/>
  <c r="AL613" i="20"/>
  <c r="AA613" i="20"/>
  <c r="AD613" i="20"/>
  <c r="AE613" i="20"/>
  <c r="AH613" i="20"/>
  <c r="AN605" i="20"/>
  <c r="AE605" i="20"/>
  <c r="AA605" i="20"/>
  <c r="AK605" i="20"/>
  <c r="Z605" i="20"/>
  <c r="AF605" i="20"/>
  <c r="Y605" i="20"/>
  <c r="AD605" i="20"/>
  <c r="AG605" i="20"/>
  <c r="AC605" i="20"/>
  <c r="AI605" i="20"/>
  <c r="AL605" i="20"/>
  <c r="AJ605" i="20"/>
  <c r="AB605" i="20"/>
  <c r="AH605" i="20"/>
  <c r="AL599" i="20"/>
  <c r="AF599" i="20"/>
  <c r="AG599" i="20"/>
  <c r="AJ599" i="20"/>
  <c r="AI599" i="20"/>
  <c r="AB599" i="20"/>
  <c r="AN599" i="20"/>
  <c r="AK599" i="20"/>
  <c r="Y599" i="20"/>
  <c r="AH599" i="20"/>
  <c r="AD599" i="20"/>
  <c r="AC599" i="20"/>
  <c r="AE599" i="20"/>
  <c r="Z599" i="20"/>
  <c r="AA599" i="20"/>
  <c r="AN589" i="20"/>
  <c r="AJ589" i="20"/>
  <c r="AB589" i="20"/>
  <c r="Z589" i="20"/>
  <c r="AE589" i="20"/>
  <c r="AL589" i="20"/>
  <c r="AA589" i="20"/>
  <c r="AD589" i="20"/>
  <c r="AG589" i="20"/>
  <c r="AF589" i="20"/>
  <c r="AC589" i="20"/>
  <c r="AK589" i="20"/>
  <c r="Y589" i="20"/>
  <c r="AH589" i="20"/>
  <c r="AK581" i="20"/>
  <c r="AN581" i="20"/>
  <c r="AL581" i="20"/>
  <c r="AI581" i="20"/>
  <c r="AC581" i="20"/>
  <c r="Z581" i="20"/>
  <c r="AE581" i="20"/>
  <c r="AA581" i="20"/>
  <c r="AF581" i="20"/>
  <c r="AD581" i="20"/>
  <c r="AG581" i="20"/>
  <c r="Y581" i="20"/>
  <c r="AH581" i="20"/>
  <c r="AJ581" i="20"/>
  <c r="AB581" i="20"/>
  <c r="AN573" i="20"/>
  <c r="AL573" i="20"/>
  <c r="Z573" i="20"/>
  <c r="AG573" i="20"/>
  <c r="AC573" i="20"/>
  <c r="AD573" i="20"/>
  <c r="AJ573" i="20"/>
  <c r="AI573" i="20"/>
  <c r="AE573" i="20"/>
  <c r="AK573" i="20"/>
  <c r="AB573" i="20"/>
  <c r="AA573" i="20"/>
  <c r="AF573" i="20"/>
  <c r="AH573" i="20"/>
  <c r="AL559" i="20"/>
  <c r="AA559" i="20"/>
  <c r="Y559" i="20"/>
  <c r="AK559" i="20"/>
  <c r="AB559" i="20"/>
  <c r="AH559" i="20"/>
  <c r="AI559" i="20"/>
  <c r="AN559" i="20"/>
  <c r="AD559" i="20"/>
  <c r="AE559" i="20"/>
  <c r="AG559" i="20"/>
  <c r="AC559" i="20"/>
  <c r="AF559" i="20"/>
  <c r="Z559" i="20"/>
  <c r="AJ559" i="20"/>
  <c r="AN553" i="20"/>
  <c r="AJ553" i="20"/>
  <c r="AD553" i="20"/>
  <c r="AK553" i="20"/>
  <c r="Z553" i="20"/>
  <c r="AF553" i="20"/>
  <c r="AI553" i="20"/>
  <c r="AC553" i="20"/>
  <c r="Y553" i="20"/>
  <c r="AG553" i="20"/>
  <c r="AE553" i="20"/>
  <c r="AH553" i="20"/>
  <c r="AL553" i="20"/>
  <c r="AB553" i="20"/>
  <c r="AA553" i="20"/>
  <c r="AE545" i="20"/>
  <c r="AL545" i="20"/>
  <c r="Z545" i="20"/>
  <c r="AB545" i="20"/>
  <c r="AA545" i="20"/>
  <c r="Y545" i="20"/>
  <c r="AC545" i="20"/>
  <c r="AI545" i="20"/>
  <c r="AF545" i="20"/>
  <c r="AD545" i="20"/>
  <c r="AJ545" i="20"/>
  <c r="AG545" i="20"/>
  <c r="AN545" i="20"/>
  <c r="AN537" i="20"/>
  <c r="AI537" i="20"/>
  <c r="AA537" i="20"/>
  <c r="AE537" i="20"/>
  <c r="AB537" i="20"/>
  <c r="Z537" i="20"/>
  <c r="AC537" i="20"/>
  <c r="AH537" i="20"/>
  <c r="AK537" i="20"/>
  <c r="AG537" i="20"/>
  <c r="Y537" i="20"/>
  <c r="AF537" i="20"/>
  <c r="AD537" i="20"/>
  <c r="AJ537" i="20"/>
  <c r="AL537" i="20"/>
  <c r="AN529" i="20"/>
  <c r="Z529" i="20"/>
  <c r="AA529" i="20"/>
  <c r="AD529" i="20"/>
  <c r="AI529" i="20"/>
  <c r="AF529" i="20"/>
  <c r="AG529" i="20"/>
  <c r="AK529" i="20"/>
  <c r="AB529" i="20"/>
  <c r="AC529" i="20"/>
  <c r="Y529" i="20"/>
  <c r="AE529" i="20"/>
  <c r="AL529" i="20"/>
  <c r="AB521" i="20"/>
  <c r="AF521" i="20"/>
  <c r="AL521" i="20"/>
  <c r="AG521" i="20"/>
  <c r="AA521" i="20"/>
  <c r="AE521" i="20"/>
  <c r="Z521" i="20"/>
  <c r="Y521" i="20"/>
  <c r="AN521" i="20"/>
  <c r="AC521" i="20"/>
  <c r="AH521" i="20"/>
  <c r="AJ521" i="20"/>
  <c r="AI521" i="20"/>
  <c r="AD521" i="20"/>
  <c r="AK521" i="20"/>
  <c r="AN513" i="20"/>
  <c r="AI513" i="20"/>
  <c r="AF513" i="20"/>
  <c r="AD513" i="20"/>
  <c r="AE513" i="20"/>
  <c r="AC513" i="20"/>
  <c r="Z513" i="20"/>
  <c r="AJ513" i="20"/>
  <c r="AK513" i="20"/>
  <c r="Y513" i="20"/>
  <c r="AB513" i="20"/>
  <c r="AA513" i="20"/>
  <c r="AG513" i="20"/>
  <c r="AH513" i="20"/>
  <c r="AL513" i="20"/>
  <c r="AK505" i="20"/>
  <c r="AN505" i="20"/>
  <c r="AJ505" i="20"/>
  <c r="AD505" i="20"/>
  <c r="AB505" i="20"/>
  <c r="AA505" i="20"/>
  <c r="Y505" i="20"/>
  <c r="AF505" i="20"/>
  <c r="AH505" i="20"/>
  <c r="AG505" i="20"/>
  <c r="AL505" i="20"/>
  <c r="AC505" i="20"/>
  <c r="AN497" i="20"/>
  <c r="Z497" i="20"/>
  <c r="AC497" i="20"/>
  <c r="Y497" i="20"/>
  <c r="AG497" i="20"/>
  <c r="AF497" i="20"/>
  <c r="AD497" i="20"/>
  <c r="AK497" i="20"/>
  <c r="AI497" i="20"/>
  <c r="AH497" i="20"/>
  <c r="AB497" i="20"/>
  <c r="AE497" i="20"/>
  <c r="AA497" i="20"/>
  <c r="AL497" i="20"/>
  <c r="AG493" i="20"/>
  <c r="AJ493" i="20"/>
  <c r="AF493" i="20"/>
  <c r="AK493" i="20"/>
  <c r="AE493" i="20"/>
  <c r="AN493" i="20"/>
  <c r="AD493" i="20"/>
  <c r="Z493" i="20"/>
  <c r="AA493" i="20"/>
  <c r="AC493" i="20"/>
  <c r="Y493" i="20"/>
  <c r="AH493" i="20"/>
  <c r="AL493" i="20"/>
  <c r="AI493" i="20"/>
  <c r="AB493" i="20"/>
  <c r="AN485" i="20"/>
  <c r="AJ485" i="20"/>
  <c r="AC485" i="20"/>
  <c r="AA485" i="20"/>
  <c r="AB485" i="20"/>
  <c r="Y485" i="20"/>
  <c r="AE485" i="20"/>
  <c r="AF485" i="20"/>
  <c r="AD485" i="20"/>
  <c r="AI485" i="20"/>
  <c r="AK485" i="20"/>
  <c r="AL485" i="20"/>
  <c r="AG485" i="20"/>
  <c r="Z485" i="20"/>
  <c r="AH485" i="20"/>
  <c r="AN477" i="20"/>
  <c r="AC477" i="20"/>
  <c r="AA477" i="20"/>
  <c r="AK477" i="20"/>
  <c r="AD477" i="20"/>
  <c r="AG477" i="20"/>
  <c r="AE477" i="20"/>
  <c r="Y477" i="20"/>
  <c r="AB477" i="20"/>
  <c r="AF477" i="20"/>
  <c r="AJ477" i="20"/>
  <c r="AL477" i="20"/>
  <c r="AH477" i="20"/>
  <c r="Z477" i="20"/>
  <c r="AE469" i="20"/>
  <c r="Z469" i="20"/>
  <c r="AD469" i="20"/>
  <c r="AK469" i="20"/>
  <c r="AC469" i="20"/>
  <c r="AB469" i="20"/>
  <c r="AF469" i="20"/>
  <c r="Y469" i="20"/>
  <c r="AA469" i="20"/>
  <c r="AG469" i="20"/>
  <c r="AI469" i="20"/>
  <c r="AH469" i="20"/>
  <c r="AJ469" i="20"/>
  <c r="AL469" i="20"/>
  <c r="AN469" i="20"/>
  <c r="AN461" i="20"/>
  <c r="AJ461" i="20"/>
  <c r="AC461" i="20"/>
  <c r="AK461" i="20"/>
  <c r="AG461" i="20"/>
  <c r="AD461" i="20"/>
  <c r="AE461" i="20"/>
  <c r="AF461" i="20"/>
  <c r="AA461" i="20"/>
  <c r="AH461" i="20"/>
  <c r="AL461" i="20"/>
  <c r="Z461" i="20"/>
  <c r="Y461" i="20"/>
  <c r="AB461" i="20"/>
  <c r="AI461" i="20"/>
  <c r="AN453" i="20"/>
  <c r="AB453" i="20"/>
  <c r="AK453" i="20"/>
  <c r="AD453" i="20"/>
  <c r="AF453" i="20"/>
  <c r="AI453" i="20"/>
  <c r="AE453" i="20"/>
  <c r="Z453" i="20"/>
  <c r="AH453" i="20"/>
  <c r="AJ453" i="20"/>
  <c r="AG453" i="20"/>
  <c r="AA453" i="20"/>
  <c r="AL453" i="20"/>
  <c r="AN445" i="20"/>
  <c r="AB445" i="20"/>
  <c r="AD445" i="20"/>
  <c r="AK445" i="20"/>
  <c r="AA445" i="20"/>
  <c r="AG445" i="20"/>
  <c r="AF445" i="20"/>
  <c r="AI445" i="20"/>
  <c r="AC445" i="20"/>
  <c r="AE445" i="20"/>
  <c r="AH445" i="20"/>
  <c r="AL445" i="20"/>
  <c r="Y445" i="20"/>
  <c r="AN437" i="20"/>
  <c r="AE437" i="20"/>
  <c r="AI437" i="20"/>
  <c r="AA437" i="20"/>
  <c r="AC437" i="20"/>
  <c r="AG437" i="20"/>
  <c r="AF437" i="20"/>
  <c r="AD437" i="20"/>
  <c r="AH437" i="20"/>
  <c r="AJ437" i="20"/>
  <c r="Y437" i="20"/>
  <c r="Z437" i="20"/>
  <c r="AN429" i="20"/>
  <c r="AA429" i="20"/>
  <c r="AF429" i="20"/>
  <c r="AJ429" i="20"/>
  <c r="AB429" i="20"/>
  <c r="Z429" i="20"/>
  <c r="AG429" i="20"/>
  <c r="Y429" i="20"/>
  <c r="AK429" i="20"/>
  <c r="AE429" i="20"/>
  <c r="AD429" i="20"/>
  <c r="AL429" i="20"/>
  <c r="AI429" i="20"/>
  <c r="AH429" i="20"/>
  <c r="AN421" i="20"/>
  <c r="AC421" i="20"/>
  <c r="AK421" i="20"/>
  <c r="AI421" i="20"/>
  <c r="AG421" i="20"/>
  <c r="AB421" i="20"/>
  <c r="AD421" i="20"/>
  <c r="Y421" i="20"/>
  <c r="AH421" i="20"/>
  <c r="AF421" i="20"/>
  <c r="AE421" i="20"/>
  <c r="Z421" i="20"/>
  <c r="AA421" i="20"/>
  <c r="AG413" i="20"/>
  <c r="AC413" i="20"/>
  <c r="AI413" i="20"/>
  <c r="AK413" i="20"/>
  <c r="AF413" i="20"/>
  <c r="AD413" i="20"/>
  <c r="AJ413" i="20"/>
  <c r="Y413" i="20"/>
  <c r="AA413" i="20"/>
  <c r="AN413" i="20"/>
  <c r="AE413" i="20"/>
  <c r="AB413" i="20"/>
  <c r="AH413" i="20"/>
  <c r="AL413" i="20"/>
  <c r="AN403" i="20"/>
  <c r="AE403" i="20"/>
  <c r="AI403" i="20"/>
  <c r="AB403" i="20"/>
  <c r="AG403" i="20"/>
  <c r="AK403" i="20"/>
  <c r="AF403" i="20"/>
  <c r="Z403" i="20"/>
  <c r="AC403" i="20"/>
  <c r="AL403" i="20"/>
  <c r="AJ403" i="20"/>
  <c r="Y403" i="20"/>
  <c r="AH403" i="20"/>
  <c r="AG397" i="20"/>
  <c r="AB397" i="20"/>
  <c r="AI397" i="20"/>
  <c r="Z397" i="20"/>
  <c r="Y397" i="20"/>
  <c r="AA397" i="20"/>
  <c r="AD397" i="20"/>
  <c r="AE397" i="20"/>
  <c r="AK397" i="20"/>
  <c r="AL397" i="20"/>
  <c r="AN397" i="20"/>
  <c r="AC397" i="20"/>
  <c r="AH397" i="20"/>
  <c r="AJ397" i="20"/>
  <c r="Y389" i="20"/>
  <c r="AE389" i="20"/>
  <c r="AC389" i="20"/>
  <c r="AK389" i="20"/>
  <c r="AJ389" i="20"/>
  <c r="AI389" i="20"/>
  <c r="AN389" i="20"/>
  <c r="AG389" i="20"/>
  <c r="AA389" i="20"/>
  <c r="Z389" i="20"/>
  <c r="AL389" i="20"/>
  <c r="AD389" i="20"/>
  <c r="AB389" i="20"/>
  <c r="AH389" i="20"/>
  <c r="AN381" i="20"/>
  <c r="Z381" i="20"/>
  <c r="Y381" i="20"/>
  <c r="AD381" i="20"/>
  <c r="AF381" i="20"/>
  <c r="AI381" i="20"/>
  <c r="AC381" i="20"/>
  <c r="AK381" i="20"/>
  <c r="AG381" i="20"/>
  <c r="AE381" i="20"/>
  <c r="AB381" i="20"/>
  <c r="AN377" i="20"/>
  <c r="AK377" i="20"/>
  <c r="Z377" i="20"/>
  <c r="AD377" i="20"/>
  <c r="AG377" i="20"/>
  <c r="AE377" i="20"/>
  <c r="AC377" i="20"/>
  <c r="AF377" i="20"/>
  <c r="AI377" i="20"/>
  <c r="AB377" i="20"/>
  <c r="Y377" i="20"/>
  <c r="AA377" i="20"/>
  <c r="AL377" i="20"/>
  <c r="AN369" i="20"/>
  <c r="AA369" i="20"/>
  <c r="AF369" i="20"/>
  <c r="AI369" i="20"/>
  <c r="AG369" i="20"/>
  <c r="AD369" i="20"/>
  <c r="AC369" i="20"/>
  <c r="AE369" i="20"/>
  <c r="AB369" i="20"/>
  <c r="Y369" i="20"/>
  <c r="AK369" i="20"/>
  <c r="Z369" i="20"/>
  <c r="AL369" i="20"/>
  <c r="AJ369" i="20"/>
  <c r="AH369" i="20"/>
  <c r="AC361" i="20"/>
  <c r="AA361" i="20"/>
  <c r="AB361" i="20"/>
  <c r="Y361" i="20"/>
  <c r="Z361" i="20"/>
  <c r="AE361" i="20"/>
  <c r="AF361" i="20"/>
  <c r="AD361" i="20"/>
  <c r="AH361" i="20"/>
  <c r="AK361" i="20"/>
  <c r="AI361" i="20"/>
  <c r="AJ361" i="20"/>
  <c r="AG361" i="20"/>
  <c r="AN361" i="20"/>
  <c r="AC353" i="20"/>
  <c r="AB353" i="20"/>
  <c r="Z353" i="20"/>
  <c r="AA353" i="20"/>
  <c r="AD353" i="20"/>
  <c r="AK353" i="20"/>
  <c r="AG353" i="20"/>
  <c r="AN353" i="20"/>
  <c r="AI353" i="20"/>
  <c r="G133" i="86"/>
  <c r="AF353" i="20"/>
  <c r="AE353" i="20"/>
  <c r="Y353" i="20"/>
  <c r="AL353" i="20"/>
  <c r="AH353" i="20"/>
  <c r="AN345" i="20"/>
  <c r="AC345" i="20"/>
  <c r="AG345" i="20"/>
  <c r="AB345" i="20"/>
  <c r="AD345" i="20"/>
  <c r="Y345" i="20"/>
  <c r="Z345" i="20"/>
  <c r="AE345" i="20"/>
  <c r="AI345" i="20"/>
  <c r="AK345" i="20"/>
  <c r="AH345" i="20"/>
  <c r="AJ345" i="20"/>
  <c r="AA345" i="20"/>
  <c r="AN337" i="20"/>
  <c r="AC337" i="20"/>
  <c r="AE337" i="20"/>
  <c r="AF337" i="20"/>
  <c r="AD337" i="20"/>
  <c r="AI337" i="20"/>
  <c r="AB337" i="20"/>
  <c r="AJ337" i="20"/>
  <c r="AK337" i="20"/>
  <c r="AG337" i="20"/>
  <c r="Z337" i="20"/>
  <c r="Y337" i="20"/>
  <c r="AL337" i="20"/>
  <c r="AA337" i="20"/>
  <c r="AH337" i="20"/>
  <c r="AF329" i="20"/>
  <c r="AE329" i="20"/>
  <c r="AN329" i="20"/>
  <c r="Z329" i="20"/>
  <c r="AK329" i="20"/>
  <c r="AI329" i="20"/>
  <c r="AA329" i="20"/>
  <c r="AD329" i="20"/>
  <c r="Y329" i="20"/>
  <c r="AC329" i="20"/>
  <c r="AH329" i="20"/>
  <c r="AJ329" i="20"/>
  <c r="AG329" i="20"/>
  <c r="AB329" i="20"/>
  <c r="AL329" i="20"/>
  <c r="AD321" i="20"/>
  <c r="Y321" i="20"/>
  <c r="AN321" i="20"/>
  <c r="AF321" i="20"/>
  <c r="AC321" i="20"/>
  <c r="AK321" i="20"/>
  <c r="AA321" i="20"/>
  <c r="AG321" i="20"/>
  <c r="AB321" i="20"/>
  <c r="AI321" i="20"/>
  <c r="AL321" i="20"/>
  <c r="AE321" i="20"/>
  <c r="Z321" i="20"/>
  <c r="AH321" i="20"/>
  <c r="AN313" i="20"/>
  <c r="AH313" i="20"/>
  <c r="AJ313" i="20"/>
  <c r="AA313" i="20"/>
  <c r="AC313" i="20"/>
  <c r="AI313" i="20"/>
  <c r="AL313" i="20"/>
  <c r="AK313" i="20"/>
  <c r="AB313" i="20"/>
  <c r="Z313" i="20"/>
  <c r="AF313" i="20"/>
  <c r="Y313" i="20"/>
  <c r="AE313" i="20"/>
  <c r="AG313" i="20"/>
  <c r="AD313" i="20"/>
  <c r="AH305" i="20"/>
  <c r="AA305" i="20"/>
  <c r="AB305" i="20"/>
  <c r="Y305" i="20"/>
  <c r="AI305" i="20"/>
  <c r="AJ305" i="20"/>
  <c r="AL305" i="20"/>
  <c r="AN305" i="20"/>
  <c r="AK305" i="20"/>
  <c r="AF305" i="20"/>
  <c r="Z305" i="20"/>
  <c r="AC305" i="20"/>
  <c r="AG305" i="20"/>
  <c r="AE305" i="20"/>
  <c r="AD305" i="20"/>
  <c r="AN297" i="20"/>
  <c r="AD297" i="20"/>
  <c r="AF297" i="20"/>
  <c r="AH297" i="20"/>
  <c r="AK297" i="20"/>
  <c r="AJ297" i="20"/>
  <c r="AG297" i="20"/>
  <c r="AI297" i="20"/>
  <c r="Z297" i="20"/>
  <c r="AB297" i="20"/>
  <c r="AE297" i="20"/>
  <c r="AA297" i="20"/>
  <c r="AC297" i="20"/>
  <c r="AA289" i="20"/>
  <c r="AN289" i="20"/>
  <c r="AJ289" i="20"/>
  <c r="Y289" i="20"/>
  <c r="AE289" i="20"/>
  <c r="AC289" i="20"/>
  <c r="Z289" i="20"/>
  <c r="AH289" i="20"/>
  <c r="AD289" i="20"/>
  <c r="AL289" i="20"/>
  <c r="AG289" i="20"/>
  <c r="AB289" i="20"/>
  <c r="AK289" i="20"/>
  <c r="AF289" i="20"/>
  <c r="AI289" i="20"/>
  <c r="AE281" i="20"/>
  <c r="AL281" i="20"/>
  <c r="AB281" i="20"/>
  <c r="AN281" i="20"/>
  <c r="Z281" i="20"/>
  <c r="AC281" i="20"/>
  <c r="AJ281" i="20"/>
  <c r="AI281" i="20"/>
  <c r="AK281" i="20"/>
  <c r="AD281" i="20"/>
  <c r="AH281" i="20"/>
  <c r="AG281" i="20"/>
  <c r="AF281" i="20"/>
  <c r="AA281" i="20"/>
  <c r="Y281" i="20"/>
  <c r="AF269" i="20"/>
  <c r="Y269" i="20"/>
  <c r="AE269" i="20"/>
  <c r="Z269" i="20"/>
  <c r="AN269" i="20"/>
  <c r="AJ269" i="20"/>
  <c r="AK269" i="20"/>
  <c r="AD269" i="20"/>
  <c r="AB269" i="20"/>
  <c r="AG269" i="20"/>
  <c r="AA269" i="20"/>
  <c r="AC269" i="20"/>
  <c r="AN261" i="20"/>
  <c r="AF261" i="20"/>
  <c r="AK261" i="20"/>
  <c r="AD261" i="20"/>
  <c r="Z261" i="20"/>
  <c r="AG261" i="20"/>
  <c r="AC261" i="20"/>
  <c r="AI261" i="20"/>
  <c r="AJ261" i="20"/>
  <c r="AL261" i="20"/>
  <c r="Y261" i="20"/>
  <c r="AB261" i="20"/>
  <c r="AH261" i="20"/>
  <c r="AA261" i="20"/>
  <c r="AE261" i="20"/>
  <c r="AN253" i="20"/>
  <c r="AB253" i="20"/>
  <c r="AK253" i="20"/>
  <c r="AF253" i="20"/>
  <c r="AJ253" i="20"/>
  <c r="AA253" i="20"/>
  <c r="AC253" i="20"/>
  <c r="AE253" i="20"/>
  <c r="AD253" i="20"/>
  <c r="AG253" i="20"/>
  <c r="AH253" i="20"/>
  <c r="Z253" i="20"/>
  <c r="AI253" i="20"/>
  <c r="AL253" i="20"/>
  <c r="Y253" i="20"/>
  <c r="AJ245" i="20"/>
  <c r="AC245" i="20"/>
  <c r="AD245" i="20"/>
  <c r="AF245" i="20"/>
  <c r="Z245" i="20"/>
  <c r="AB245" i="20"/>
  <c r="AK245" i="20"/>
  <c r="AN245" i="20"/>
  <c r="AG245" i="20"/>
  <c r="AA245" i="20"/>
  <c r="AE245" i="20"/>
  <c r="Y245" i="20"/>
  <c r="AH245" i="20"/>
  <c r="AL245" i="20"/>
  <c r="AN233" i="20"/>
  <c r="Y233" i="20"/>
  <c r="AF233" i="20"/>
  <c r="AC233" i="20"/>
  <c r="AA233" i="20"/>
  <c r="Z233" i="20"/>
  <c r="AE233" i="20"/>
  <c r="AB233" i="20"/>
  <c r="AH233" i="20"/>
  <c r="AL233" i="20"/>
  <c r="AJ233" i="20"/>
  <c r="AD233" i="20"/>
  <c r="AG233" i="20"/>
  <c r="AK233" i="20"/>
  <c r="AN225" i="20"/>
  <c r="Z225" i="20"/>
  <c r="AF225" i="20"/>
  <c r="AD225" i="20"/>
  <c r="AC225" i="20"/>
  <c r="AI225" i="20"/>
  <c r="AA225" i="20"/>
  <c r="AK225" i="20"/>
  <c r="AB225" i="20"/>
  <c r="AE225" i="20"/>
  <c r="AG225" i="20"/>
  <c r="Y225" i="20"/>
  <c r="AL225" i="20"/>
  <c r="AJ194" i="20"/>
  <c r="AL194" i="20"/>
  <c r="AC194" i="20"/>
  <c r="Y194" i="20"/>
  <c r="AG194" i="20"/>
  <c r="AE194" i="20"/>
  <c r="AA194" i="20"/>
  <c r="AF194" i="20"/>
  <c r="Z194" i="20"/>
  <c r="AB194" i="20"/>
  <c r="AH194" i="20"/>
  <c r="AD194" i="20"/>
  <c r="AK194" i="20"/>
  <c r="AN194" i="20"/>
  <c r="AI194" i="20"/>
  <c r="Y1160" i="20"/>
  <c r="Z1160" i="20"/>
  <c r="AN1160" i="20"/>
  <c r="AK1160" i="20"/>
  <c r="AF1160" i="20"/>
  <c r="AH1160" i="20"/>
  <c r="AB1160" i="20"/>
  <c r="AJ1160" i="20"/>
  <c r="AI1160" i="20"/>
  <c r="AA1160" i="20"/>
  <c r="AE1160" i="20"/>
  <c r="AG1160" i="20"/>
  <c r="AL1160" i="20"/>
  <c r="AD1160" i="20"/>
  <c r="AC1160" i="20"/>
  <c r="AJ1152" i="20"/>
  <c r="Y1152" i="20"/>
  <c r="AN1152" i="20"/>
  <c r="Z1152" i="20"/>
  <c r="AE1152" i="20"/>
  <c r="AI1152" i="20"/>
  <c r="AC1152" i="20"/>
  <c r="AF1152" i="20"/>
  <c r="AL1152" i="20"/>
  <c r="AD1152" i="20"/>
  <c r="AA1152" i="20"/>
  <c r="AB1152" i="20"/>
  <c r="AH1152" i="20"/>
  <c r="AI1164" i="20"/>
  <c r="AG1164" i="20"/>
  <c r="AN1164" i="20"/>
  <c r="AJ1164" i="20"/>
  <c r="AL1164" i="20"/>
  <c r="AH1164" i="20"/>
  <c r="Z1164" i="20"/>
  <c r="Y1164" i="20"/>
  <c r="AC1164" i="20"/>
  <c r="AK1164" i="20"/>
  <c r="AA1164" i="20"/>
  <c r="AD1164" i="20"/>
  <c r="AC1172" i="20"/>
  <c r="Y1172" i="20"/>
  <c r="AB1172" i="20"/>
  <c r="AL1172" i="20"/>
  <c r="Z1172" i="20"/>
  <c r="AF1172" i="20"/>
  <c r="AE1172" i="20"/>
  <c r="AK1172" i="20"/>
  <c r="AD1172" i="20"/>
  <c r="AN1172" i="20"/>
  <c r="AJ1172" i="20"/>
  <c r="AI1172" i="20"/>
  <c r="Z1180" i="20"/>
  <c r="AC1180" i="20"/>
  <c r="AN1180" i="20"/>
  <c r="AI1180" i="20"/>
  <c r="AB1180" i="20"/>
  <c r="AE1180" i="20"/>
  <c r="AD1180" i="20"/>
  <c r="Y1180" i="20"/>
  <c r="AG1180" i="20"/>
  <c r="AF1180" i="20"/>
  <c r="AL1180" i="20"/>
  <c r="AJ1180" i="20"/>
  <c r="AA1180" i="20"/>
  <c r="AA1188" i="20"/>
  <c r="Z1188" i="20"/>
  <c r="AD1188" i="20"/>
  <c r="AF1188" i="20"/>
  <c r="AC1188" i="20"/>
  <c r="Y1188" i="20"/>
  <c r="AL1188" i="20"/>
  <c r="AE1188" i="20"/>
  <c r="AJ1188" i="20"/>
  <c r="AK1188" i="20"/>
  <c r="AI1188" i="20"/>
  <c r="AG1188" i="20"/>
  <c r="AH1188" i="20"/>
  <c r="AI1196" i="20"/>
  <c r="AC1196" i="20"/>
  <c r="Z1196" i="20"/>
  <c r="AN1196" i="20"/>
  <c r="AA1196" i="20"/>
  <c r="AF1196" i="20"/>
  <c r="AH1196" i="20"/>
  <c r="Y1196" i="20"/>
  <c r="AL1196" i="20"/>
  <c r="AJ1196" i="20"/>
  <c r="AE1196" i="20"/>
  <c r="AD1196" i="20"/>
  <c r="AB1196" i="20"/>
  <c r="AG1196" i="20"/>
  <c r="AK1196" i="20"/>
  <c r="Z1204" i="20"/>
  <c r="AG1204" i="20"/>
  <c r="AN1204" i="20"/>
  <c r="AH1204" i="20"/>
  <c r="AJ1204" i="20"/>
  <c r="AE1204" i="20"/>
  <c r="AD1204" i="20"/>
  <c r="AA1204" i="20"/>
  <c r="AB1204" i="20"/>
  <c r="Y1204" i="20"/>
  <c r="AL1204" i="20"/>
  <c r="AC1204" i="20"/>
  <c r="AI1204" i="20"/>
  <c r="AK1204" i="20"/>
  <c r="AF1204" i="20"/>
  <c r="AE1212" i="20"/>
  <c r="AH1212" i="20"/>
  <c r="AA1212" i="20"/>
  <c r="Y1212" i="20"/>
  <c r="AD1212" i="20"/>
  <c r="AL1212" i="20"/>
  <c r="Z1212" i="20"/>
  <c r="AJ1212" i="20"/>
  <c r="AG1212" i="20"/>
  <c r="AF1212" i="20"/>
  <c r="AK1212" i="20"/>
  <c r="AC1212" i="20"/>
  <c r="AI1212" i="20"/>
  <c r="AN1212" i="20"/>
  <c r="AL1224" i="20"/>
  <c r="AN1224" i="20"/>
  <c r="AH1224" i="20"/>
  <c r="AJ1224" i="20"/>
  <c r="AF1224" i="20"/>
  <c r="AC1224" i="20"/>
  <c r="AD1224" i="20"/>
  <c r="Z1224" i="20"/>
  <c r="AK1224" i="20"/>
  <c r="AG1224" i="20"/>
  <c r="AB1224" i="20"/>
  <c r="Y1224" i="20"/>
  <c r="AA1224" i="20"/>
  <c r="AE1224" i="20"/>
  <c r="AI1224" i="20"/>
  <c r="AE1232" i="20"/>
  <c r="AH1232" i="20"/>
  <c r="AB1232" i="20"/>
  <c r="AJ1232" i="20"/>
  <c r="AL1232" i="20"/>
  <c r="AN1232" i="20"/>
  <c r="AD1232" i="20"/>
  <c r="AF1232" i="20"/>
  <c r="AC1232" i="20"/>
  <c r="AG1232" i="20"/>
  <c r="Y1232" i="20"/>
  <c r="Z1232" i="20"/>
  <c r="AK1232" i="20"/>
  <c r="Y1240" i="20"/>
  <c r="AD1240" i="20"/>
  <c r="AH1240" i="20"/>
  <c r="Z1240" i="20"/>
  <c r="AB1240" i="20"/>
  <c r="AL1240" i="20"/>
  <c r="AI1240" i="20"/>
  <c r="AJ1240" i="20"/>
  <c r="AA1240" i="20"/>
  <c r="AG1240" i="20"/>
  <c r="AK1240" i="20"/>
  <c r="AF1240" i="20"/>
  <c r="AN1240" i="20"/>
  <c r="AE1240" i="20"/>
  <c r="AB1248" i="20"/>
  <c r="AI1248" i="20"/>
  <c r="AA1248" i="20"/>
  <c r="AC1248" i="20"/>
  <c r="AH1248" i="20"/>
  <c r="AF1248" i="20"/>
  <c r="AN1248" i="20"/>
  <c r="AL1248" i="20"/>
  <c r="AJ1248" i="20"/>
  <c r="AD1248" i="20"/>
  <c r="AG1248" i="20"/>
  <c r="Y1248" i="20"/>
  <c r="Z1248" i="20"/>
  <c r="AE1248" i="20"/>
  <c r="AK1248" i="20"/>
  <c r="AD1256" i="20"/>
  <c r="Z1256" i="20"/>
  <c r="AA1256" i="20"/>
  <c r="AL1256" i="20"/>
  <c r="AK1256" i="20"/>
  <c r="AG1256" i="20"/>
  <c r="Y1256" i="20"/>
  <c r="AN1256" i="20"/>
  <c r="AE1256" i="20"/>
  <c r="AF1256" i="20"/>
  <c r="AB1256" i="20"/>
  <c r="AH1256" i="20"/>
  <c r="AI1256" i="20"/>
  <c r="AC1256" i="20"/>
  <c r="AJ1256" i="20"/>
  <c r="AD1264" i="20"/>
  <c r="AG1264" i="20"/>
  <c r="Z1264" i="20"/>
  <c r="AE1264" i="20"/>
  <c r="AA1264" i="20"/>
  <c r="AK1264" i="20"/>
  <c r="AH1264" i="20"/>
  <c r="AL1264" i="20"/>
  <c r="AF1264" i="20"/>
  <c r="AB1264" i="20"/>
  <c r="Y1264" i="20"/>
  <c r="AI1264" i="20"/>
  <c r="AJ1264" i="20"/>
  <c r="AN1264" i="20"/>
  <c r="AC1264" i="20"/>
  <c r="AL1272" i="20"/>
  <c r="AE1272" i="20"/>
  <c r="AK1272" i="20"/>
  <c r="AH1272" i="20"/>
  <c r="Y1272" i="20"/>
  <c r="AD1272" i="20"/>
  <c r="AJ1272" i="20"/>
  <c r="AG1272" i="20"/>
  <c r="AB1272" i="20"/>
  <c r="AF1272" i="20"/>
  <c r="AC1272" i="20"/>
  <c r="Z1272" i="20"/>
  <c r="AI1272" i="20"/>
  <c r="AA1280" i="20"/>
  <c r="Z1280" i="20"/>
  <c r="AH1280" i="20"/>
  <c r="AN1280" i="20"/>
  <c r="AK1280" i="20"/>
  <c r="AJ1280" i="20"/>
  <c r="AF1280" i="20"/>
  <c r="AC1280" i="20"/>
  <c r="Y1280" i="20"/>
  <c r="AD1280" i="20"/>
  <c r="AI1280" i="20"/>
  <c r="AE1280" i="20"/>
  <c r="AB1280" i="20"/>
  <c r="AG1280" i="20"/>
  <c r="AL1280" i="20"/>
  <c r="AG1288" i="20"/>
  <c r="AI1288" i="20"/>
  <c r="AK1288" i="20"/>
  <c r="AE1288" i="20"/>
  <c r="AN1288" i="20"/>
  <c r="Z1288" i="20"/>
  <c r="AH1288" i="20"/>
  <c r="AA1288" i="20"/>
  <c r="AC1288" i="20"/>
  <c r="AD1288" i="20"/>
  <c r="AF1288" i="20"/>
  <c r="AJ1288" i="20"/>
  <c r="AB1288" i="20"/>
  <c r="AL1288" i="20"/>
  <c r="AA1296" i="20"/>
  <c r="AG1296" i="20"/>
  <c r="AF1296" i="20"/>
  <c r="AK1296" i="20"/>
  <c r="AN1296" i="20"/>
  <c r="AH1296" i="20"/>
  <c r="AJ1296" i="20"/>
  <c r="Y1296" i="20"/>
  <c r="AI1296" i="20"/>
  <c r="AL1296" i="20"/>
  <c r="Z1296" i="20"/>
  <c r="AD1296" i="20"/>
  <c r="AE1296" i="20"/>
  <c r="AG1304" i="20"/>
  <c r="AC1304" i="20"/>
  <c r="AJ1304" i="20"/>
  <c r="AF1304" i="20"/>
  <c r="AH1304" i="20"/>
  <c r="AB1304" i="20"/>
  <c r="AD1304" i="20"/>
  <c r="AA1304" i="20"/>
  <c r="Z1304" i="20"/>
  <c r="AN1304" i="20"/>
  <c r="AE1304" i="20"/>
  <c r="AI1304" i="20"/>
  <c r="AL1304" i="20"/>
  <c r="AK1304" i="20"/>
  <c r="Y1304" i="20"/>
  <c r="AL1312" i="20"/>
  <c r="AC1312" i="20"/>
  <c r="Y1312" i="20"/>
  <c r="AF1312" i="20"/>
  <c r="AA1312" i="20"/>
  <c r="AB1312" i="20"/>
  <c r="Z1312" i="20"/>
  <c r="AG1312" i="20"/>
  <c r="AD1312" i="20"/>
  <c r="AE1312" i="20"/>
  <c r="AI1312" i="20"/>
  <c r="AN1312" i="20"/>
  <c r="AJ1312" i="20"/>
  <c r="AK1312" i="20"/>
  <c r="AH1312" i="20"/>
  <c r="Z1320" i="20"/>
  <c r="AD1320" i="20"/>
  <c r="AL1320" i="20"/>
  <c r="AJ1320" i="20"/>
  <c r="AI1320" i="20"/>
  <c r="AE1320" i="20"/>
  <c r="AC1320" i="20"/>
  <c r="AN1320" i="20"/>
  <c r="AH1320" i="20"/>
  <c r="AA1320" i="20"/>
  <c r="AF1320" i="20"/>
  <c r="AB1320" i="20"/>
  <c r="AK1320" i="20"/>
  <c r="AG1320" i="20"/>
  <c r="Y1320" i="20"/>
  <c r="AC1328" i="20"/>
  <c r="AB1328" i="20"/>
  <c r="AJ1328" i="20"/>
  <c r="Y1328" i="20"/>
  <c r="Z1328" i="20"/>
  <c r="AG1328" i="20"/>
  <c r="AK1328" i="20"/>
  <c r="AE1328" i="20"/>
  <c r="AD1328" i="20"/>
  <c r="AA1328" i="20"/>
  <c r="AN1328" i="20"/>
  <c r="AI1328" i="20"/>
  <c r="AL1328" i="20"/>
  <c r="AF1328" i="20"/>
  <c r="AH1328" i="20"/>
  <c r="AB1332" i="20"/>
  <c r="AH1332" i="20"/>
  <c r="AJ1332" i="20"/>
  <c r="AE1332" i="20"/>
  <c r="Z1332" i="20"/>
  <c r="AN1332" i="20"/>
  <c r="AF1332" i="20"/>
  <c r="Y1332" i="20"/>
  <c r="AL1332" i="20"/>
  <c r="AG1332" i="20"/>
  <c r="AC1332" i="20"/>
  <c r="AD1332" i="20"/>
  <c r="AK1332" i="20"/>
  <c r="AI1332" i="20"/>
  <c r="AA1332" i="20"/>
  <c r="AT611" i="20"/>
  <c r="AT769" i="20"/>
  <c r="AT480" i="20"/>
  <c r="AT492" i="20"/>
  <c r="AT790" i="20"/>
  <c r="AT674" i="20"/>
  <c r="AT603" i="20"/>
  <c r="AT792" i="20"/>
  <c r="AT539" i="20"/>
  <c r="AL733" i="20"/>
  <c r="AL449" i="20"/>
  <c r="AL517" i="20"/>
  <c r="AJ324" i="20"/>
  <c r="AI269" i="20"/>
  <c r="AI681" i="20"/>
  <c r="AI613" i="20"/>
  <c r="AJ741" i="20"/>
  <c r="AJ377" i="20"/>
  <c r="AJ962" i="20"/>
  <c r="AL345" i="20"/>
  <c r="AJ851" i="20"/>
  <c r="AH880" i="20"/>
  <c r="AH905" i="20"/>
  <c r="AH425" i="20"/>
  <c r="AC453" i="20"/>
  <c r="AC997" i="20"/>
  <c r="AF661" i="20"/>
  <c r="AG1019" i="20"/>
  <c r="AA789" i="20"/>
  <c r="Y1058" i="20"/>
  <c r="AD801" i="20"/>
  <c r="AD855" i="20"/>
  <c r="Y914" i="20"/>
  <c r="AA381" i="20"/>
  <c r="Y349" i="20"/>
  <c r="Y1288" i="20"/>
  <c r="AT524" i="20"/>
  <c r="AT796" i="20"/>
  <c r="AI1047" i="20"/>
  <c r="AI677" i="20"/>
  <c r="AI946" i="20"/>
  <c r="AI665" i="20"/>
  <c r="AI809" i="20"/>
  <c r="AJ321" i="20"/>
  <c r="AJ681" i="20"/>
  <c r="AJ237" i="20"/>
  <c r="AL972" i="20"/>
  <c r="AL745" i="20"/>
  <c r="AL421" i="20"/>
  <c r="AJ649" i="20"/>
  <c r="AH225" i="20"/>
  <c r="AH433" i="20"/>
  <c r="AL324" i="20"/>
  <c r="AL636" i="20"/>
  <c r="AL753" i="20"/>
  <c r="AH946" i="20"/>
  <c r="AC210" i="20"/>
  <c r="AF855" i="20"/>
  <c r="Y765" i="20"/>
  <c r="AA761" i="20"/>
  <c r="AB449" i="20"/>
  <c r="AK934" i="20"/>
  <c r="Z753" i="20"/>
  <c r="AB988" i="20"/>
  <c r="AA769" i="20"/>
  <c r="AT604" i="20"/>
  <c r="AT765" i="20"/>
  <c r="AT421" i="20"/>
  <c r="AT809" i="20"/>
  <c r="AJ801" i="20"/>
  <c r="AI645" i="20"/>
  <c r="G52" i="86"/>
  <c r="AI477" i="20"/>
  <c r="AI1073" i="20"/>
  <c r="AI741" i="20"/>
  <c r="AL785" i="20"/>
  <c r="AL984" i="20"/>
  <c r="AI829" i="20"/>
  <c r="AI396" i="20"/>
  <c r="AI793" i="20"/>
  <c r="AJ1066" i="20"/>
  <c r="AJ653" i="20"/>
  <c r="AJ844" i="20"/>
  <c r="AJ866" i="20"/>
  <c r="AL361" i="20"/>
  <c r="AL629" i="20"/>
  <c r="AL901" i="20"/>
  <c r="AL930" i="20"/>
  <c r="AL269" i="20"/>
  <c r="AH1078" i="20"/>
  <c r="AJ497" i="20"/>
  <c r="AJ449" i="20"/>
  <c r="AJ884" i="20"/>
  <c r="AJ765" i="20"/>
  <c r="AL558" i="20"/>
  <c r="AH269" i="20"/>
  <c r="AH713" i="20"/>
  <c r="AH980" i="20"/>
  <c r="AI210" i="20"/>
  <c r="AL210" i="20"/>
  <c r="AC701" i="20"/>
  <c r="AE449" i="20"/>
  <c r="AD757" i="20"/>
  <c r="AD926" i="20"/>
  <c r="Y1070" i="20"/>
  <c r="AC789" i="20"/>
  <c r="AF681" i="20"/>
  <c r="AB437" i="20"/>
  <c r="AC1008" i="20"/>
  <c r="AK781" i="20"/>
  <c r="AK1008" i="20"/>
  <c r="AB681" i="20"/>
  <c r="AF851" i="20"/>
  <c r="AC846" i="20"/>
  <c r="AK545" i="20"/>
  <c r="AD681" i="20"/>
  <c r="Y930" i="20"/>
  <c r="AK437" i="20"/>
  <c r="Y533" i="20"/>
  <c r="AG825" i="20"/>
  <c r="Y593" i="20"/>
  <c r="AA349" i="20"/>
  <c r="AK753" i="20"/>
  <c r="AA533" i="20"/>
  <c r="AG1047" i="20"/>
  <c r="AT976" i="20"/>
  <c r="AT514" i="20"/>
  <c r="AT947" i="20"/>
  <c r="AT627" i="20"/>
  <c r="AT644" i="20"/>
  <c r="AT977" i="20"/>
  <c r="AT905" i="20"/>
  <c r="AT993" i="20"/>
  <c r="AT673" i="20"/>
  <c r="AT543" i="20"/>
  <c r="AT995" i="20"/>
  <c r="AT638" i="20"/>
  <c r="AH1144" i="20"/>
  <c r="AE1144" i="20"/>
  <c r="AN1144" i="20"/>
  <c r="AG1144" i="20"/>
  <c r="AC1144" i="20"/>
  <c r="AI1144" i="20"/>
  <c r="AF1144" i="20"/>
  <c r="AH1140" i="20"/>
  <c r="AN1140" i="20"/>
  <c r="AL1140" i="20"/>
  <c r="AB1140" i="20"/>
  <c r="AC1140" i="20"/>
  <c r="AD1116" i="20"/>
  <c r="AH1116" i="20"/>
  <c r="AN1112" i="20"/>
  <c r="AH1112" i="20"/>
  <c r="AB1108" i="20"/>
  <c r="Z1108" i="20"/>
  <c r="AE1108" i="20"/>
  <c r="AF1104" i="20"/>
  <c r="AD1104" i="20"/>
  <c r="AI7" i="20"/>
  <c r="AJ7" i="20"/>
  <c r="AL7" i="20"/>
  <c r="AC7" i="20"/>
  <c r="AE12" i="20"/>
  <c r="AB12" i="20"/>
  <c r="Z12" i="20"/>
  <c r="AE13" i="20"/>
  <c r="AF13" i="20"/>
  <c r="AD13" i="20"/>
  <c r="AC13" i="20"/>
  <c r="AI26" i="20"/>
  <c r="AN26" i="20"/>
  <c r="AF26" i="20"/>
  <c r="AH26" i="20"/>
  <c r="Z20" i="20"/>
  <c r="AN20" i="20"/>
  <c r="AH20" i="20"/>
  <c r="AA20" i="20"/>
  <c r="AJ20" i="20"/>
  <c r="Z22" i="20"/>
  <c r="AC22" i="20"/>
  <c r="AD22" i="20"/>
  <c r="AB22" i="20"/>
  <c r="AI22" i="20"/>
  <c r="AK205" i="20"/>
  <c r="Z205" i="20"/>
  <c r="AA205" i="20"/>
  <c r="AH205" i="20"/>
  <c r="AN205" i="20"/>
  <c r="AD189" i="20"/>
  <c r="AF189" i="20"/>
  <c r="AC189" i="20"/>
  <c r="Z189" i="20"/>
  <c r="AK189" i="20"/>
  <c r="AA189" i="20"/>
  <c r="AG189" i="20"/>
  <c r="AK187" i="20"/>
  <c r="AJ187" i="20"/>
  <c r="AF187" i="20"/>
  <c r="AN187" i="20"/>
  <c r="AG187" i="20"/>
  <c r="Z187" i="20"/>
  <c r="Y181" i="20"/>
  <c r="AH181" i="20"/>
  <c r="AJ181" i="20"/>
  <c r="AC181" i="20"/>
  <c r="AE181" i="20"/>
  <c r="Z181" i="20"/>
  <c r="AI181" i="20"/>
  <c r="AN178" i="20"/>
  <c r="AK178" i="20"/>
  <c r="I46" i="86"/>
  <c r="L46" i="86"/>
  <c r="AI178" i="20"/>
  <c r="G46" i="86"/>
  <c r="J46" i="86"/>
  <c r="AF178" i="20"/>
  <c r="AA178" i="20"/>
  <c r="AB159" i="20"/>
  <c r="Y159" i="20"/>
  <c r="AE159" i="20"/>
  <c r="AD159" i="20"/>
  <c r="AF159" i="20"/>
  <c r="AK159" i="20"/>
  <c r="AI159" i="20"/>
  <c r="AL159" i="20"/>
  <c r="AB157" i="20"/>
  <c r="Y157" i="20"/>
  <c r="AI157" i="20"/>
  <c r="AH157" i="20"/>
  <c r="AJ157" i="20"/>
  <c r="Z157" i="20"/>
  <c r="AF155" i="20"/>
  <c r="AC155" i="20"/>
  <c r="AA155" i="20"/>
  <c r="AB155" i="20"/>
  <c r="AK155" i="20"/>
  <c r="AK147" i="20"/>
  <c r="AA147" i="20"/>
  <c r="AJ147" i="20"/>
  <c r="AL147" i="20"/>
  <c r="AH147" i="20"/>
  <c r="AC147" i="20"/>
  <c r="AN126" i="20"/>
  <c r="AK126" i="20"/>
  <c r="AJ126" i="20"/>
  <c r="Y126" i="20"/>
  <c r="AI126" i="20"/>
  <c r="AL126" i="20"/>
  <c r="AK117" i="20"/>
  <c r="AD117" i="20"/>
  <c r="AJ117" i="20"/>
  <c r="Y117" i="20"/>
  <c r="Z117" i="20"/>
  <c r="AF117" i="20"/>
  <c r="AK113" i="20"/>
  <c r="AD113" i="20"/>
  <c r="AF113" i="20"/>
  <c r="AL108" i="20"/>
  <c r="AF108" i="20"/>
  <c r="AA108" i="20"/>
  <c r="Y108" i="20"/>
  <c r="AH108" i="20"/>
  <c r="AJ108" i="20"/>
  <c r="AC108" i="20"/>
  <c r="AD103" i="20"/>
  <c r="AJ103" i="20"/>
  <c r="AK103" i="20"/>
  <c r="AF103" i="20"/>
  <c r="AI103" i="20"/>
  <c r="Y103" i="20"/>
  <c r="AK112" i="20"/>
  <c r="AD112" i="20"/>
  <c r="AJ112" i="20"/>
  <c r="AG112" i="20"/>
  <c r="AL112" i="20"/>
  <c r="AB112" i="20"/>
  <c r="AT680" i="20"/>
  <c r="AT407" i="20"/>
  <c r="AT900" i="20"/>
  <c r="AT960" i="20"/>
  <c r="AT887" i="20"/>
  <c r="AT639" i="20"/>
  <c r="AT981" i="20"/>
  <c r="AT833" i="20"/>
  <c r="AT567" i="20"/>
  <c r="AT495" i="20"/>
  <c r="AT686" i="20"/>
  <c r="AT534" i="20"/>
  <c r="AT369" i="20"/>
  <c r="AT479" i="20"/>
  <c r="AT426" i="20"/>
  <c r="AT577" i="20"/>
  <c r="AT425" i="20"/>
  <c r="AT511" i="20"/>
  <c r="Z193" i="20"/>
  <c r="AK197" i="20"/>
  <c r="Y197" i="20"/>
  <c r="Y201" i="20"/>
  <c r="AL1094" i="20"/>
  <c r="AH1094" i="20"/>
  <c r="AD1097" i="20"/>
  <c r="AL1097" i="20"/>
  <c r="Z1101" i="20"/>
  <c r="AB1116" i="20"/>
  <c r="AA1097" i="20"/>
  <c r="AE1094" i="20"/>
  <c r="AI1089" i="20"/>
  <c r="Y1081" i="20"/>
  <c r="AD1136" i="20"/>
  <c r="AG1128" i="20"/>
  <c r="AK1104" i="20"/>
  <c r="AC1081" i="20"/>
  <c r="AC1120" i="20"/>
  <c r="AK1101" i="20"/>
  <c r="AK1097" i="20"/>
  <c r="AK1094" i="20"/>
  <c r="AK1089" i="20"/>
  <c r="AK1085" i="20"/>
  <c r="AA1081" i="20"/>
  <c r="AG1136" i="20"/>
  <c r="Y1128" i="20"/>
  <c r="AH1081" i="20"/>
  <c r="AE1081" i="20"/>
  <c r="AK1136" i="20"/>
  <c r="AK1124" i="20"/>
  <c r="AN1132" i="20"/>
  <c r="AN1128" i="20"/>
  <c r="AJ1124" i="20"/>
  <c r="AF1120" i="20"/>
  <c r="AN1116" i="20"/>
  <c r="AI1112" i="20"/>
  <c r="AI1108" i="20"/>
  <c r="AA1132" i="20"/>
  <c r="AI1124" i="20"/>
  <c r="AE1120" i="20"/>
  <c r="Y1116" i="20"/>
  <c r="AG26" i="20"/>
  <c r="AD1132" i="20"/>
  <c r="Z1128" i="20"/>
  <c r="AD1124" i="20"/>
  <c r="AH1120" i="20"/>
  <c r="AL1116" i="20"/>
  <c r="AC12" i="20"/>
  <c r="AD1108" i="20"/>
  <c r="Z1104" i="20"/>
  <c r="AD7" i="20"/>
  <c r="AH12" i="20"/>
  <c r="AH13" i="20"/>
  <c r="AD26" i="20"/>
  <c r="AF22" i="20"/>
  <c r="AJ1112" i="20"/>
  <c r="AN1108" i="20"/>
  <c r="AN1104" i="20"/>
  <c r="AN7" i="20"/>
  <c r="AC20" i="20"/>
  <c r="AN22" i="20"/>
  <c r="AE7" i="20"/>
  <c r="AE26" i="20"/>
  <c r="AG20" i="20"/>
  <c r="AL20" i="20"/>
  <c r="AL181" i="20"/>
  <c r="AN117" i="20"/>
  <c r="AL113" i="20"/>
  <c r="Z112" i="20"/>
  <c r="AH187" i="20"/>
  <c r="AH126" i="20"/>
  <c r="AC117" i="20"/>
  <c r="AC112" i="20"/>
  <c r="AL205" i="20"/>
  <c r="AL187" i="20"/>
  <c r="Z147" i="20"/>
  <c r="AD157" i="20"/>
  <c r="Z126" i="20"/>
  <c r="Y1144" i="20"/>
  <c r="AE147" i="20"/>
  <c r="AI155" i="20"/>
  <c r="AG108" i="20"/>
  <c r="AC187" i="20"/>
  <c r="AG126" i="20"/>
  <c r="Y178" i="20"/>
  <c r="AC157" i="20"/>
  <c r="AG155" i="20"/>
  <c r="AF147" i="20"/>
  <c r="AJ178" i="20"/>
  <c r="H46" i="86"/>
  <c r="K46" i="86"/>
  <c r="AF157" i="20"/>
  <c r="AN155" i="20"/>
  <c r="AB108" i="20"/>
  <c r="AF1140" i="20"/>
  <c r="AA1144" i="20"/>
  <c r="AI1140" i="20"/>
  <c r="Z108" i="20"/>
  <c r="AH103" i="20"/>
  <c r="AD1144" i="20"/>
  <c r="AT246" i="20"/>
  <c r="AT871" i="20"/>
  <c r="AT751" i="20"/>
  <c r="AT271" i="20"/>
  <c r="AT966" i="20"/>
  <c r="AT1045" i="20"/>
  <c r="AT324" i="20"/>
  <c r="AT910" i="20"/>
  <c r="AT387" i="20"/>
  <c r="AT342" i="20"/>
  <c r="AT781" i="20"/>
  <c r="AT494" i="20"/>
  <c r="AT554" i="20"/>
  <c r="AT1179" i="20"/>
  <c r="AT334" i="20"/>
  <c r="AT517" i="20"/>
  <c r="AT378" i="20"/>
  <c r="AT420" i="20"/>
  <c r="AT448" i="20"/>
  <c r="AN311" i="20"/>
  <c r="AJ311" i="20"/>
  <c r="AB311" i="20"/>
  <c r="AF311" i="20"/>
  <c r="AC311" i="20"/>
  <c r="AE311" i="20"/>
  <c r="AD311" i="20"/>
  <c r="AG311" i="20"/>
  <c r="Y311" i="20"/>
  <c r="Z311" i="20"/>
  <c r="AK311" i="20"/>
  <c r="AT909" i="20"/>
  <c r="AT661" i="20"/>
  <c r="AT501" i="20"/>
  <c r="AT628" i="20"/>
  <c r="AT989" i="20"/>
  <c r="AT637" i="20"/>
  <c r="AT694" i="20"/>
  <c r="AL1143" i="20"/>
  <c r="AI1143" i="20"/>
  <c r="AF1143" i="20"/>
  <c r="AK1143" i="20"/>
  <c r="Z1143" i="20"/>
  <c r="AJ1143" i="20"/>
  <c r="AE1143" i="20"/>
  <c r="AG1143" i="20"/>
  <c r="AD1143" i="20"/>
  <c r="AB1143" i="20"/>
  <c r="Y1143" i="20"/>
  <c r="AH1143" i="20"/>
  <c r="AN1143" i="20"/>
  <c r="AC1143" i="20"/>
  <c r="AA1143" i="20"/>
  <c r="AL1139" i="20"/>
  <c r="AF1139" i="20"/>
  <c r="Y1139" i="20"/>
  <c r="Z1139" i="20"/>
  <c r="AA1139" i="20"/>
  <c r="AJ1139" i="20"/>
  <c r="AK1139" i="20"/>
  <c r="AC1139" i="20"/>
  <c r="AH1139" i="20"/>
  <c r="AI1139" i="20"/>
  <c r="AN1139" i="20"/>
  <c r="AG1139" i="20"/>
  <c r="AD1139" i="20"/>
  <c r="AB1139" i="20"/>
  <c r="AE1139" i="20"/>
  <c r="AN1135" i="20"/>
  <c r="AB1135" i="20"/>
  <c r="AD1135" i="20"/>
  <c r="AA1135" i="20"/>
  <c r="AJ1135" i="20"/>
  <c r="AK1135" i="20"/>
  <c r="AG1135" i="20"/>
  <c r="AE1135" i="20"/>
  <c r="AL1135" i="20"/>
  <c r="Z1135" i="20"/>
  <c r="AF1135" i="20"/>
  <c r="Y1135" i="20"/>
  <c r="AH1135" i="20"/>
  <c r="AC1135" i="20"/>
  <c r="AI1135" i="20"/>
  <c r="AH1131" i="20"/>
  <c r="AE1131" i="20"/>
  <c r="AN1131" i="20"/>
  <c r="Y1131" i="20"/>
  <c r="AL1131" i="20"/>
  <c r="AI1131" i="20"/>
  <c r="AB1131" i="20"/>
  <c r="AF1131" i="20"/>
  <c r="AK1131" i="20"/>
  <c r="AD1131" i="20"/>
  <c r="AA1131" i="20"/>
  <c r="Z1131" i="20"/>
  <c r="AJ1131" i="20"/>
  <c r="AC1131" i="20"/>
  <c r="AG1131" i="20"/>
  <c r="AL1127" i="20"/>
  <c r="AN1127" i="20"/>
  <c r="Y1127" i="20"/>
  <c r="Z1127" i="20"/>
  <c r="AA1127" i="20"/>
  <c r="AB1127" i="20"/>
  <c r="AH1127" i="20"/>
  <c r="AJ1127" i="20"/>
  <c r="AK1127" i="20"/>
  <c r="AE1127" i="20"/>
  <c r="AD1127" i="20"/>
  <c r="AI1127" i="20"/>
  <c r="AF1127" i="20"/>
  <c r="AC1127" i="20"/>
  <c r="AG1127" i="20"/>
  <c r="AD1123" i="20"/>
  <c r="AE1123" i="20"/>
  <c r="AJ1123" i="20"/>
  <c r="Y1123" i="20"/>
  <c r="AH1123" i="20"/>
  <c r="AI1123" i="20"/>
  <c r="AN1123" i="20"/>
  <c r="AL1123" i="20"/>
  <c r="AK1123" i="20"/>
  <c r="AA1123" i="20"/>
  <c r="AB1123" i="20"/>
  <c r="AF1123" i="20"/>
  <c r="Z1123" i="20"/>
  <c r="AC1123" i="20"/>
  <c r="AG1123" i="20"/>
  <c r="AH1119" i="20"/>
  <c r="AF1119" i="20"/>
  <c r="Y1119" i="20"/>
  <c r="AL1119" i="20"/>
  <c r="AA1119" i="20"/>
  <c r="AJ1119" i="20"/>
  <c r="Z1119" i="20"/>
  <c r="AD1119" i="20"/>
  <c r="AE1119" i="20"/>
  <c r="AB1119" i="20"/>
  <c r="AK1119" i="20"/>
  <c r="AI1119" i="20"/>
  <c r="AN1119" i="20"/>
  <c r="AC1119" i="20"/>
  <c r="AG1119" i="20"/>
  <c r="AD1115" i="20"/>
  <c r="AN1115" i="20"/>
  <c r="AE1115" i="20"/>
  <c r="AK1115" i="20"/>
  <c r="AG1115" i="20"/>
  <c r="AH1115" i="20"/>
  <c r="AJ1115" i="20"/>
  <c r="AL1115" i="20"/>
  <c r="AC1115" i="20"/>
  <c r="Y1115" i="20"/>
  <c r="AA1115" i="20"/>
  <c r="AB1115" i="20"/>
  <c r="Z1115" i="20"/>
  <c r="AI1115" i="20"/>
  <c r="AF1115" i="20"/>
  <c r="AJ1111" i="20"/>
  <c r="AH1111" i="20"/>
  <c r="AE1111" i="20"/>
  <c r="AG1111" i="20"/>
  <c r="AB1111" i="20"/>
  <c r="AL1111" i="20"/>
  <c r="AF1111" i="20"/>
  <c r="Z1111" i="20"/>
  <c r="AN1111" i="20"/>
  <c r="AD1111" i="20"/>
  <c r="AA1111" i="20"/>
  <c r="AK1111" i="20"/>
  <c r="AC1111" i="20"/>
  <c r="Y1111" i="20"/>
  <c r="AI1111" i="20"/>
  <c r="AN1107" i="20"/>
  <c r="Z1107" i="20"/>
  <c r="Y1107" i="20"/>
  <c r="AA1107" i="20"/>
  <c r="AK1107" i="20"/>
  <c r="AB1107" i="20"/>
  <c r="AD1107" i="20"/>
  <c r="AE1107" i="20"/>
  <c r="AG1107" i="20"/>
  <c r="AI1107" i="20"/>
  <c r="AH1107" i="20"/>
  <c r="AF1107" i="20"/>
  <c r="AL1107" i="20"/>
  <c r="AC1107" i="20"/>
  <c r="AJ1107" i="20"/>
  <c r="AB1103" i="20"/>
  <c r="AD1103" i="20"/>
  <c r="AF1103" i="20"/>
  <c r="AH1103" i="20"/>
  <c r="AA1103" i="20"/>
  <c r="AG1103" i="20"/>
  <c r="Z1103" i="20"/>
  <c r="Y1103" i="20"/>
  <c r="AE1103" i="20"/>
  <c r="AI1103" i="20"/>
  <c r="AK1103" i="20"/>
  <c r="AC1103" i="20"/>
  <c r="AL1103" i="20"/>
  <c r="AJ1103" i="20"/>
  <c r="AN1103" i="20"/>
  <c r="AE6" i="20"/>
  <c r="AI6" i="20"/>
  <c r="AF6" i="20"/>
  <c r="AA6" i="20"/>
  <c r="AL6" i="20"/>
  <c r="AB6" i="20"/>
  <c r="Z6" i="20"/>
  <c r="AK6" i="20"/>
  <c r="Y6" i="20"/>
  <c r="AN6" i="20"/>
  <c r="AG6" i="20"/>
  <c r="AD6" i="20"/>
  <c r="AJ6" i="20"/>
  <c r="AH6" i="20"/>
  <c r="AC6" i="20"/>
  <c r="AI11" i="20"/>
  <c r="AJ11" i="20"/>
  <c r="AN11" i="20"/>
  <c r="AA11" i="20"/>
  <c r="Z11" i="20"/>
  <c r="AG11" i="20"/>
  <c r="AE11" i="20"/>
  <c r="AB11" i="20"/>
  <c r="AD11" i="20"/>
  <c r="AK11" i="20"/>
  <c r="AF11" i="20"/>
  <c r="AC11" i="20"/>
  <c r="Y11" i="20"/>
  <c r="AH11" i="20"/>
  <c r="AL11" i="20"/>
  <c r="AN29" i="20"/>
  <c r="AA29" i="20"/>
  <c r="AB29" i="20"/>
  <c r="AE29" i="20"/>
  <c r="AD29" i="20"/>
  <c r="AI29" i="20"/>
  <c r="AH29" i="20"/>
  <c r="AG29" i="20"/>
  <c r="AK29" i="20"/>
  <c r="AL29" i="20"/>
  <c r="AF29" i="20"/>
  <c r="AJ29" i="20"/>
  <c r="Y29" i="20"/>
  <c r="Z29" i="20"/>
  <c r="AC29" i="20"/>
  <c r="AE25" i="20"/>
  <c r="AB25" i="20"/>
  <c r="AI25" i="20"/>
  <c r="AF25" i="20"/>
  <c r="AA25" i="20"/>
  <c r="AN25" i="20"/>
  <c r="AH25" i="20"/>
  <c r="Y25" i="20"/>
  <c r="AL25" i="20"/>
  <c r="AK25" i="20"/>
  <c r="Z25" i="20"/>
  <c r="AC25" i="20"/>
  <c r="AD25" i="20"/>
  <c r="AG25" i="20"/>
  <c r="AJ25" i="20"/>
  <c r="AD19" i="20"/>
  <c r="AN19" i="20"/>
  <c r="AH19" i="20"/>
  <c r="AB19" i="20"/>
  <c r="Z19" i="20"/>
  <c r="AA19" i="20"/>
  <c r="Y19" i="20"/>
  <c r="AF19" i="20"/>
  <c r="AK19" i="20"/>
  <c r="AE19" i="20"/>
  <c r="AC19" i="20"/>
  <c r="AI19" i="20"/>
  <c r="AG19" i="20"/>
  <c r="AJ19" i="20"/>
  <c r="AL19" i="20"/>
  <c r="AD21" i="20"/>
  <c r="AJ21" i="20"/>
  <c r="AH21" i="20"/>
  <c r="AN21" i="20"/>
  <c r="AL21" i="20"/>
  <c r="AC21" i="20"/>
  <c r="AA21" i="20"/>
  <c r="AG21" i="20"/>
  <c r="AK21" i="20"/>
  <c r="AI21" i="20"/>
  <c r="AF21" i="20"/>
  <c r="Y21" i="20"/>
  <c r="Z21" i="20"/>
  <c r="AB21" i="20"/>
  <c r="AE21" i="20"/>
  <c r="AF1100" i="20"/>
  <c r="AB1100" i="20"/>
  <c r="AG1100" i="20"/>
  <c r="AD1100" i="20"/>
  <c r="AH1100" i="20"/>
  <c r="AL1100" i="20"/>
  <c r="AJ1100" i="20"/>
  <c r="AK1100" i="20"/>
  <c r="AA1100" i="20"/>
  <c r="AC1100" i="20"/>
  <c r="AE1100" i="20"/>
  <c r="AI1100" i="20"/>
  <c r="Y1100" i="20"/>
  <c r="Z1100" i="20"/>
  <c r="AN1100" i="20"/>
  <c r="AF1096" i="20"/>
  <c r="AG1096" i="20"/>
  <c r="AD1096" i="20"/>
  <c r="AH1096" i="20"/>
  <c r="AL1096" i="20"/>
  <c r="AB1096" i="20"/>
  <c r="AK1096" i="20"/>
  <c r="AA1096" i="20"/>
  <c r="Z1096" i="20"/>
  <c r="AJ1096" i="20"/>
  <c r="Y1096" i="20"/>
  <c r="AE1096" i="20"/>
  <c r="AN1096" i="20"/>
  <c r="AI1096" i="20"/>
  <c r="AF1092" i="20"/>
  <c r="AN1092" i="20"/>
  <c r="AG1092" i="20"/>
  <c r="AD1092" i="20"/>
  <c r="AH1092" i="20"/>
  <c r="Z1092" i="20"/>
  <c r="AL1092" i="20"/>
  <c r="AK1092" i="20"/>
  <c r="AA1092" i="20"/>
  <c r="AJ1092" i="20"/>
  <c r="AC1092" i="20"/>
  <c r="AB1092" i="20"/>
  <c r="Y1092" i="20"/>
  <c r="AE1092" i="20"/>
  <c r="AI1092" i="20"/>
  <c r="AF1088" i="20"/>
  <c r="AJ1088" i="20"/>
  <c r="AG1088" i="20"/>
  <c r="AD1088" i="20"/>
  <c r="AH1088" i="20"/>
  <c r="AL1088" i="20"/>
  <c r="AN1088" i="20"/>
  <c r="AK1088" i="20"/>
  <c r="AA1088" i="20"/>
  <c r="AI1088" i="20"/>
  <c r="Y1088" i="20"/>
  <c r="AE1088" i="20"/>
  <c r="AC1088" i="20"/>
  <c r="AB1088" i="20"/>
  <c r="Z1088" i="20"/>
  <c r="AB1083" i="20"/>
  <c r="AE1083" i="20"/>
  <c r="Z1083" i="20"/>
  <c r="AG1083" i="20"/>
  <c r="AH1083" i="20"/>
  <c r="AJ1083" i="20"/>
  <c r="AK1083" i="20"/>
  <c r="Y1083" i="20"/>
  <c r="AA1083" i="20"/>
  <c r="AD1083" i="20"/>
  <c r="AN1083" i="20"/>
  <c r="AI1083" i="20"/>
  <c r="AC1083" i="20"/>
  <c r="AL1083" i="20"/>
  <c r="AF1083" i="20"/>
  <c r="AN1080" i="20"/>
  <c r="Z1080" i="20"/>
  <c r="AB1080" i="20"/>
  <c r="AE1080" i="20"/>
  <c r="AG1080" i="20"/>
  <c r="AF1080" i="20"/>
  <c r="AL1080" i="20"/>
  <c r="Y1080" i="20"/>
  <c r="AC1080" i="20"/>
  <c r="AH1080" i="20"/>
  <c r="AJ1080" i="20"/>
  <c r="AD1080" i="20"/>
  <c r="AK1080" i="20"/>
  <c r="AI1080" i="20"/>
  <c r="AA1080" i="20"/>
  <c r="AI1076" i="20"/>
  <c r="AN1076" i="20"/>
  <c r="AB1076" i="20"/>
  <c r="AE1076" i="20"/>
  <c r="AG1076" i="20"/>
  <c r="AA1076" i="20"/>
  <c r="Z1076" i="20"/>
  <c r="AC1076" i="20"/>
  <c r="AN1072" i="20"/>
  <c r="AI1072" i="20"/>
  <c r="AG1072" i="20"/>
  <c r="AD1072" i="20"/>
  <c r="AE1072" i="20"/>
  <c r="AH1072" i="20"/>
  <c r="AA1072" i="20"/>
  <c r="AC1072" i="20"/>
  <c r="AB1072" i="20"/>
  <c r="AN1068" i="20"/>
  <c r="AB1068" i="20"/>
  <c r="AG1068" i="20"/>
  <c r="AI1068" i="20"/>
  <c r="Z1068" i="20"/>
  <c r="AF1068" i="20"/>
  <c r="AK1068" i="20"/>
  <c r="Y1068" i="20"/>
  <c r="AA1068" i="20"/>
  <c r="AN1064" i="20"/>
  <c r="AC1064" i="20"/>
  <c r="Z1064" i="20"/>
  <c r="AE1064" i="20"/>
  <c r="AA1064" i="20"/>
  <c r="AD1064" i="20"/>
  <c r="Y1064" i="20"/>
  <c r="AK1064" i="20"/>
  <c r="AN1060" i="20"/>
  <c r="AI1060" i="20"/>
  <c r="AJ1060" i="20"/>
  <c r="AB1060" i="20"/>
  <c r="AK1060" i="20"/>
  <c r="AG1060" i="20"/>
  <c r="Y1060" i="20"/>
  <c r="AC1060" i="20"/>
  <c r="Z1060" i="20"/>
  <c r="AH1060" i="20"/>
  <c r="AE1060" i="20"/>
  <c r="AD1060" i="20"/>
  <c r="AN1056" i="20"/>
  <c r="AE1056" i="20"/>
  <c r="AB1056" i="20"/>
  <c r="AA1056" i="20"/>
  <c r="AI1056" i="20"/>
  <c r="Y1056" i="20"/>
  <c r="AD1056" i="20"/>
  <c r="AK1056" i="20"/>
  <c r="AF1056" i="20"/>
  <c r="AL1051" i="20"/>
  <c r="AN1051" i="20"/>
  <c r="AD1051" i="20"/>
  <c r="AF1051" i="20"/>
  <c r="AA1051" i="20"/>
  <c r="Y1051" i="20"/>
  <c r="AB1051" i="20"/>
  <c r="AK1051" i="20"/>
  <c r="AH1051" i="20"/>
  <c r="AE1051" i="20"/>
  <c r="AG1044" i="20"/>
  <c r="AF1044" i="20"/>
  <c r="AJ1044" i="20"/>
  <c r="AN1044" i="20"/>
  <c r="AC1044" i="20"/>
  <c r="AD1044" i="20"/>
  <c r="AK1044" i="20"/>
  <c r="AA1044" i="20"/>
  <c r="Z1044" i="20"/>
  <c r="Y1049" i="20"/>
  <c r="AN1049" i="20"/>
  <c r="AE1049" i="20"/>
  <c r="AK1049" i="20"/>
  <c r="Z1049" i="20"/>
  <c r="AA1049" i="20"/>
  <c r="AC1049" i="20"/>
  <c r="AH1049" i="20"/>
  <c r="AL1049" i="20"/>
  <c r="AG1049" i="20"/>
  <c r="AF1049" i="20"/>
  <c r="AD1049" i="20"/>
  <c r="AI1039" i="20"/>
  <c r="AN1039" i="20"/>
  <c r="AD1039" i="20"/>
  <c r="Y1039" i="20"/>
  <c r="AK1039" i="20"/>
  <c r="AH1039" i="20"/>
  <c r="AG1039" i="20"/>
  <c r="AB1039" i="20"/>
  <c r="AA1039" i="20"/>
  <c r="AC1039" i="20"/>
  <c r="AE1039" i="20"/>
  <c r="AN1021" i="20"/>
  <c r="AK1021" i="20"/>
  <c r="AI1021" i="20"/>
  <c r="AF1021" i="20"/>
  <c r="AC1021" i="20"/>
  <c r="Z1021" i="20"/>
  <c r="AB1021" i="20"/>
  <c r="AG1021" i="20"/>
  <c r="AD1021" i="20"/>
  <c r="AN1012" i="20"/>
  <c r="AE1012" i="20"/>
  <c r="AD1012" i="20"/>
  <c r="AF1012" i="20"/>
  <c r="AA1012" i="20"/>
  <c r="Z1012" i="20"/>
  <c r="AC1012" i="20"/>
  <c r="AK1012" i="20"/>
  <c r="AG1012" i="20"/>
  <c r="AB1012" i="20"/>
  <c r="AN1007" i="20"/>
  <c r="AG1007" i="20"/>
  <c r="AA1007" i="20"/>
  <c r="AK1007" i="20"/>
  <c r="Z1007" i="20"/>
  <c r="AF1007" i="20"/>
  <c r="AE1007" i="20"/>
  <c r="AD1007" i="20"/>
  <c r="AB1007" i="20"/>
  <c r="AC1007" i="20"/>
  <c r="AN1004" i="20"/>
  <c r="AE1004" i="20"/>
  <c r="AL1004" i="20"/>
  <c r="AD1004" i="20"/>
  <c r="AB1004" i="20"/>
  <c r="AK1004" i="20"/>
  <c r="Z1004" i="20"/>
  <c r="AH1004" i="20"/>
  <c r="AA1004" i="20"/>
  <c r="AC1004" i="20"/>
  <c r="Y1004" i="20"/>
  <c r="AN1000" i="20"/>
  <c r="Y1000" i="20"/>
  <c r="AI1000" i="20"/>
  <c r="AK1000" i="20"/>
  <c r="AB1000" i="20"/>
  <c r="AA1000" i="20"/>
  <c r="Z1000" i="20"/>
  <c r="AG1000" i="20"/>
  <c r="AE1000" i="20"/>
  <c r="AH1000" i="20"/>
  <c r="AN995" i="20"/>
  <c r="AI995" i="20"/>
  <c r="AC995" i="20"/>
  <c r="AG995" i="20"/>
  <c r="AD995" i="20"/>
  <c r="AE995" i="20"/>
  <c r="AB995" i="20"/>
  <c r="AL995" i="20"/>
  <c r="AF995" i="20"/>
  <c r="AK995" i="20"/>
  <c r="Y995" i="20"/>
  <c r="AF990" i="20"/>
  <c r="AJ990" i="20"/>
  <c r="AN990" i="20"/>
  <c r="AK990" i="20"/>
  <c r="AG990" i="20"/>
  <c r="AI990" i="20"/>
  <c r="Z990" i="20"/>
  <c r="AE990" i="20"/>
  <c r="AC990" i="20"/>
  <c r="Y990" i="20"/>
  <c r="AD990" i="20"/>
  <c r="AB990" i="20"/>
  <c r="AN986" i="20"/>
  <c r="AF986" i="20"/>
  <c r="AI986" i="20"/>
  <c r="AB986" i="20"/>
  <c r="Y986" i="20"/>
  <c r="AD986" i="20"/>
  <c r="AG986" i="20"/>
  <c r="AA986" i="20"/>
  <c r="AK986" i="20"/>
  <c r="AC986" i="20"/>
  <c r="AC981" i="20"/>
  <c r="AJ981" i="20"/>
  <c r="AN981" i="20"/>
  <c r="AE981" i="20"/>
  <c r="Z981" i="20"/>
  <c r="AG981" i="20"/>
  <c r="AF981" i="20"/>
  <c r="AK981" i="20"/>
  <c r="Y981" i="20"/>
  <c r="AH981" i="20"/>
  <c r="AA981" i="20"/>
  <c r="AD978" i="20"/>
  <c r="AJ978" i="20"/>
  <c r="AI978" i="20"/>
  <c r="AN978" i="20"/>
  <c r="AK978" i="20"/>
  <c r="AB978" i="20"/>
  <c r="AC978" i="20"/>
  <c r="AG978" i="20"/>
  <c r="AA978" i="20"/>
  <c r="Y978" i="20"/>
  <c r="AF978" i="20"/>
  <c r="AE978" i="20"/>
  <c r="AN974" i="20"/>
  <c r="Y974" i="20"/>
  <c r="AD974" i="20"/>
  <c r="AK974" i="20"/>
  <c r="AJ974" i="20"/>
  <c r="Z974" i="20"/>
  <c r="AB974" i="20"/>
  <c r="AF974" i="20"/>
  <c r="AN970" i="20"/>
  <c r="Z970" i="20"/>
  <c r="AI970" i="20"/>
  <c r="AK970" i="20"/>
  <c r="AJ970" i="20"/>
  <c r="AE970" i="20"/>
  <c r="AF970" i="20"/>
  <c r="AD970" i="20"/>
  <c r="AC970" i="20"/>
  <c r="AB970" i="20"/>
  <c r="Y970" i="20"/>
  <c r="AN966" i="20"/>
  <c r="AD966" i="20"/>
  <c r="AG966" i="20"/>
  <c r="AI966" i="20"/>
  <c r="AK966" i="20"/>
  <c r="AA966" i="20"/>
  <c r="AH966" i="20"/>
  <c r="AJ966" i="20"/>
  <c r="Y966" i="20"/>
  <c r="AE966" i="20"/>
  <c r="AJ960" i="20"/>
  <c r="AN960" i="20"/>
  <c r="AI960" i="20"/>
  <c r="AK960" i="20"/>
  <c r="AD960" i="20"/>
  <c r="AA960" i="20"/>
  <c r="AC960" i="20"/>
  <c r="Z960" i="20"/>
  <c r="AE960" i="20"/>
  <c r="AL960" i="20"/>
  <c r="Y960" i="20"/>
  <c r="Z956" i="20"/>
  <c r="AG956" i="20"/>
  <c r="AN956" i="20"/>
  <c r="AA956" i="20"/>
  <c r="AF956" i="20"/>
  <c r="AL956" i="20"/>
  <c r="AI956" i="20"/>
  <c r="AD956" i="20"/>
  <c r="AE956" i="20"/>
  <c r="AB956" i="20"/>
  <c r="Y956" i="20"/>
  <c r="AK956" i="20"/>
  <c r="AN948" i="20"/>
  <c r="Y948" i="20"/>
  <c r="AD948" i="20"/>
  <c r="AA948" i="20"/>
  <c r="AB948" i="20"/>
  <c r="AH948" i="20"/>
  <c r="AC948" i="20"/>
  <c r="AK948" i="20"/>
  <c r="Z948" i="20"/>
  <c r="AF948" i="20"/>
  <c r="AG948" i="20"/>
  <c r="Z944" i="20"/>
  <c r="AN944" i="20"/>
  <c r="AF944" i="20"/>
  <c r="AC944" i="20"/>
  <c r="AK944" i="20"/>
  <c r="AD944" i="20"/>
  <c r="AH944" i="20"/>
  <c r="AE944" i="20"/>
  <c r="AA944" i="20"/>
  <c r="Y944" i="20"/>
  <c r="AD940" i="20"/>
  <c r="AK940" i="20"/>
  <c r="AC940" i="20"/>
  <c r="AE940" i="20"/>
  <c r="AB940" i="20"/>
  <c r="Z940" i="20"/>
  <c r="AN940" i="20"/>
  <c r="AA940" i="20"/>
  <c r="Y940" i="20"/>
  <c r="AG940" i="20"/>
  <c r="AN936" i="20"/>
  <c r="AK936" i="20"/>
  <c r="AH936" i="20"/>
  <c r="Y936" i="20"/>
  <c r="AG936" i="20"/>
  <c r="AB936" i="20"/>
  <c r="AA936" i="20"/>
  <c r="AN932" i="20"/>
  <c r="AA932" i="20"/>
  <c r="AG932" i="20"/>
  <c r="AJ932" i="20"/>
  <c r="AI932" i="20"/>
  <c r="AK932" i="20"/>
  <c r="Z932" i="20"/>
  <c r="AF932" i="20"/>
  <c r="Y932" i="20"/>
  <c r="AH932" i="20"/>
  <c r="AL932" i="20"/>
  <c r="AC932" i="20"/>
  <c r="AB932" i="20"/>
  <c r="AN928" i="20"/>
  <c r="AD928" i="20"/>
  <c r="Z928" i="20"/>
  <c r="AE928" i="20"/>
  <c r="AG928" i="20"/>
  <c r="AF928" i="20"/>
  <c r="AA928" i="20"/>
  <c r="AB928" i="20"/>
  <c r="AK928" i="20"/>
  <c r="AC928" i="20"/>
  <c r="Y928" i="20"/>
  <c r="AN924" i="20"/>
  <c r="AE924" i="20"/>
  <c r="Y924" i="20"/>
  <c r="AA924" i="20"/>
  <c r="AF924" i="20"/>
  <c r="AK924" i="20"/>
  <c r="AB924" i="20"/>
  <c r="AC924" i="20"/>
  <c r="AH924" i="20"/>
  <c r="AL924" i="20"/>
  <c r="AD924" i="20"/>
  <c r="Z924" i="20"/>
  <c r="AG924" i="20"/>
  <c r="AN920" i="20"/>
  <c r="AJ920" i="20"/>
  <c r="Y920" i="20"/>
  <c r="AA920" i="20"/>
  <c r="AI920" i="20"/>
  <c r="AE920" i="20"/>
  <c r="AD920" i="20"/>
  <c r="AC920" i="20"/>
  <c r="Z920" i="20"/>
  <c r="AK920" i="20"/>
  <c r="AF920" i="20"/>
  <c r="AB920" i="20"/>
  <c r="AN916" i="20"/>
  <c r="AD916" i="20"/>
  <c r="AK916" i="20"/>
  <c r="AA916" i="20"/>
  <c r="AB916" i="20"/>
  <c r="Y916" i="20"/>
  <c r="AG916" i="20"/>
  <c r="Z916" i="20"/>
  <c r="AE916" i="20"/>
  <c r="AN911" i="20"/>
  <c r="AL911" i="20"/>
  <c r="Z911" i="20"/>
  <c r="AG911" i="20"/>
  <c r="AC911" i="20"/>
  <c r="AH911" i="20"/>
  <c r="AF911" i="20"/>
  <c r="AA911" i="20"/>
  <c r="AD911" i="20"/>
  <c r="AB911" i="20"/>
  <c r="AK911" i="20"/>
  <c r="AE911" i="20"/>
  <c r="AN907" i="20"/>
  <c r="AE907" i="20"/>
  <c r="AI907" i="20"/>
  <c r="AD907" i="20"/>
  <c r="AK907" i="20"/>
  <c r="AB907" i="20"/>
  <c r="AH907" i="20"/>
  <c r="Z907" i="20"/>
  <c r="AA907" i="20"/>
  <c r="Y907" i="20"/>
  <c r="AF907" i="20"/>
  <c r="AN903" i="20"/>
  <c r="AE903" i="20"/>
  <c r="AC903" i="20"/>
  <c r="AG903" i="20"/>
  <c r="AF903" i="20"/>
  <c r="Y903" i="20"/>
  <c r="Z903" i="20"/>
  <c r="AK903" i="20"/>
  <c r="AN899" i="20"/>
  <c r="AG899" i="20"/>
  <c r="Z899" i="20"/>
  <c r="AI899" i="20"/>
  <c r="AE899" i="20"/>
  <c r="AA899" i="20"/>
  <c r="Y899" i="20"/>
  <c r="AD899" i="20"/>
  <c r="AF899" i="20"/>
  <c r="AB899" i="20"/>
  <c r="AK899" i="20"/>
  <c r="AC899" i="20"/>
  <c r="AI895" i="20"/>
  <c r="AL895" i="20"/>
  <c r="AD895" i="20"/>
  <c r="AN895" i="20"/>
  <c r="AG895" i="20"/>
  <c r="AE895" i="20"/>
  <c r="Y895" i="20"/>
  <c r="AA895" i="20"/>
  <c r="AF895" i="20"/>
  <c r="AK895" i="20"/>
  <c r="Z895" i="20"/>
  <c r="AN890" i="20"/>
  <c r="AA890" i="20"/>
  <c r="AJ890" i="20"/>
  <c r="Z890" i="20"/>
  <c r="Y890" i="20"/>
  <c r="AC890" i="20"/>
  <c r="AK890" i="20"/>
  <c r="AN886" i="20"/>
  <c r="AE886" i="20"/>
  <c r="Z886" i="20"/>
  <c r="AK886" i="20"/>
  <c r="AC886" i="20"/>
  <c r="AF886" i="20"/>
  <c r="AG886" i="20"/>
  <c r="AD886" i="20"/>
  <c r="AH886" i="20"/>
  <c r="AA886" i="20"/>
  <c r="AN882" i="20"/>
  <c r="AE882" i="20"/>
  <c r="AC882" i="20"/>
  <c r="Y882" i="20"/>
  <c r="AA882" i="20"/>
  <c r="AK882" i="20"/>
  <c r="AH882" i="20"/>
  <c r="AD882" i="20"/>
  <c r="Z882" i="20"/>
  <c r="AN878" i="20"/>
  <c r="AE878" i="20"/>
  <c r="AG878" i="20"/>
  <c r="AF878" i="20"/>
  <c r="AK878" i="20"/>
  <c r="Z878" i="20"/>
  <c r="AD878" i="20"/>
  <c r="AB878" i="20"/>
  <c r="Y878" i="20"/>
  <c r="Z868" i="20"/>
  <c r="AI868" i="20"/>
  <c r="AC868" i="20"/>
  <c r="AN868" i="20"/>
  <c r="AJ868" i="20"/>
  <c r="AB868" i="20"/>
  <c r="AG868" i="20"/>
  <c r="AA868" i="20"/>
  <c r="AF868" i="20"/>
  <c r="AE868" i="20"/>
  <c r="AD868" i="20"/>
  <c r="AN864" i="20"/>
  <c r="AF864" i="20"/>
  <c r="AJ864" i="20"/>
  <c r="AB864" i="20"/>
  <c r="AD864" i="20"/>
  <c r="Y864" i="20"/>
  <c r="AG864" i="20"/>
  <c r="AC864" i="20"/>
  <c r="AK864" i="20"/>
  <c r="Z864" i="20"/>
  <c r="AE864" i="20"/>
  <c r="AA864" i="20"/>
  <c r="AN857" i="20"/>
  <c r="Z857" i="20"/>
  <c r="AA857" i="20"/>
  <c r="AI857" i="20"/>
  <c r="AF857" i="20"/>
  <c r="AB857" i="20"/>
  <c r="AK857" i="20"/>
  <c r="AC857" i="20"/>
  <c r="AH857" i="20"/>
  <c r="AN853" i="20"/>
  <c r="AI853" i="20"/>
  <c r="AL853" i="20"/>
  <c r="AE853" i="20"/>
  <c r="AF853" i="20"/>
  <c r="AC853" i="20"/>
  <c r="AA853" i="20"/>
  <c r="Y853" i="20"/>
  <c r="AG853" i="20"/>
  <c r="AH853" i="20"/>
  <c r="Z853" i="20"/>
  <c r="AB853" i="20"/>
  <c r="AK853" i="20"/>
  <c r="AN848" i="20"/>
  <c r="AG848" i="20"/>
  <c r="AA848" i="20"/>
  <c r="AE848" i="20"/>
  <c r="AI848" i="20"/>
  <c r="AJ848" i="20"/>
  <c r="Z848" i="20"/>
  <c r="AB848" i="20"/>
  <c r="AK848" i="20"/>
  <c r="Y848" i="20"/>
  <c r="AC848" i="20"/>
  <c r="AN842" i="20"/>
  <c r="AE842" i="20"/>
  <c r="AD842" i="20"/>
  <c r="AI842" i="20"/>
  <c r="Z842" i="20"/>
  <c r="AF842" i="20"/>
  <c r="AK842" i="20"/>
  <c r="AB842" i="20"/>
  <c r="AC842" i="20"/>
  <c r="AG842" i="20"/>
  <c r="AA842" i="20"/>
  <c r="Y842" i="20"/>
  <c r="AN839" i="20"/>
  <c r="AD839" i="20"/>
  <c r="AF839" i="20"/>
  <c r="AG839" i="20"/>
  <c r="AE839" i="20"/>
  <c r="AB839" i="20"/>
  <c r="AC839" i="20"/>
  <c r="Z839" i="20"/>
  <c r="AA839" i="20"/>
  <c r="AN835" i="20"/>
  <c r="AB835" i="20"/>
  <c r="AE835" i="20"/>
  <c r="AI835" i="20"/>
  <c r="AF835" i="20"/>
  <c r="Y835" i="20"/>
  <c r="AC835" i="20"/>
  <c r="AH835" i="20"/>
  <c r="AK835" i="20"/>
  <c r="AB831" i="20"/>
  <c r="AL831" i="20"/>
  <c r="AD831" i="20"/>
  <c r="AI831" i="20"/>
  <c r="AJ831" i="20"/>
  <c r="AN831" i="20"/>
  <c r="AF831" i="20"/>
  <c r="AE831" i="20"/>
  <c r="AG831" i="20"/>
  <c r="AA831" i="20"/>
  <c r="AC831" i="20"/>
  <c r="Y831" i="20"/>
  <c r="Z831" i="20"/>
  <c r="AE827" i="20"/>
  <c r="AN827" i="20"/>
  <c r="AL827" i="20"/>
  <c r="AA827" i="20"/>
  <c r="AC827" i="20"/>
  <c r="AF827" i="20"/>
  <c r="AH827" i="20"/>
  <c r="AB827" i="20"/>
  <c r="Z827" i="20"/>
  <c r="AK827" i="20"/>
  <c r="AD827" i="20"/>
  <c r="AG827" i="20"/>
  <c r="Y827" i="20"/>
  <c r="AN823" i="20"/>
  <c r="AD823" i="20"/>
  <c r="AL823" i="20"/>
  <c r="AB823" i="20"/>
  <c r="AE823" i="20"/>
  <c r="Y823" i="20"/>
  <c r="AA823" i="20"/>
  <c r="AC823" i="20"/>
  <c r="AF823" i="20"/>
  <c r="AA819" i="20"/>
  <c r="AN819" i="20"/>
  <c r="Z819" i="20"/>
  <c r="AJ819" i="20"/>
  <c r="AE819" i="20"/>
  <c r="AG819" i="20"/>
  <c r="AF819" i="20"/>
  <c r="AC819" i="20"/>
  <c r="AD819" i="20"/>
  <c r="AK819" i="20"/>
  <c r="AB819" i="20"/>
  <c r="AL815" i="20"/>
  <c r="AG815" i="20"/>
  <c r="AN815" i="20"/>
  <c r="AF815" i="20"/>
  <c r="Y815" i="20"/>
  <c r="AI815" i="20"/>
  <c r="AD815" i="20"/>
  <c r="AB815" i="20"/>
  <c r="AK815" i="20"/>
  <c r="Z815" i="20"/>
  <c r="AN803" i="20"/>
  <c r="Z803" i="20"/>
  <c r="Y803" i="20"/>
  <c r="AG803" i="20"/>
  <c r="AD803" i="20"/>
  <c r="AK803" i="20"/>
  <c r="AA803" i="20"/>
  <c r="AC803" i="20"/>
  <c r="AE803" i="20"/>
  <c r="AB803" i="20"/>
  <c r="AB799" i="20"/>
  <c r="Z799" i="20"/>
  <c r="AJ799" i="20"/>
  <c r="AN799" i="20"/>
  <c r="AG799" i="20"/>
  <c r="AK799" i="20"/>
  <c r="AC799" i="20"/>
  <c r="AE799" i="20"/>
  <c r="Y799" i="20"/>
  <c r="AH799" i="20"/>
  <c r="AF799" i="20"/>
  <c r="AD799" i="20"/>
  <c r="AA799" i="20"/>
  <c r="AN795" i="20"/>
  <c r="AE795" i="20"/>
  <c r="AF795" i="20"/>
  <c r="AG795" i="20"/>
  <c r="AK795" i="20"/>
  <c r="AJ795" i="20"/>
  <c r="AC795" i="20"/>
  <c r="AI795" i="20"/>
  <c r="AH795" i="20"/>
  <c r="AB795" i="20"/>
  <c r="Z795" i="20"/>
  <c r="AD795" i="20"/>
  <c r="AA795" i="20"/>
  <c r="AB791" i="20"/>
  <c r="AL791" i="20"/>
  <c r="AA791" i="20"/>
  <c r="AD791" i="20"/>
  <c r="AN791" i="20"/>
  <c r="AH791" i="20"/>
  <c r="Y791" i="20"/>
  <c r="Z791" i="20"/>
  <c r="AF791" i="20"/>
  <c r="AK791" i="20"/>
  <c r="AN787" i="20"/>
  <c r="AI787" i="20"/>
  <c r="AC787" i="20"/>
  <c r="AG787" i="20"/>
  <c r="AF787" i="20"/>
  <c r="AK787" i="20"/>
  <c r="AA787" i="20"/>
  <c r="Y787" i="20"/>
  <c r="AE787" i="20"/>
  <c r="Z787" i="20"/>
  <c r="AD787" i="20"/>
  <c r="AL787" i="20"/>
  <c r="AH787" i="20"/>
  <c r="AB787" i="20"/>
  <c r="AN783" i="20"/>
  <c r="AL783" i="20"/>
  <c r="AC783" i="20"/>
  <c r="AB783" i="20"/>
  <c r="AE783" i="20"/>
  <c r="AK783" i="20"/>
  <c r="AA783" i="20"/>
  <c r="AG783" i="20"/>
  <c r="AF783" i="20"/>
  <c r="AN779" i="20"/>
  <c r="Y779" i="20"/>
  <c r="AD779" i="20"/>
  <c r="AK779" i="20"/>
  <c r="AE779" i="20"/>
  <c r="AA779" i="20"/>
  <c r="AF779" i="20"/>
  <c r="Z779" i="20"/>
  <c r="AC779" i="20"/>
  <c r="AB779" i="20"/>
  <c r="AN775" i="20"/>
  <c r="Y775" i="20"/>
  <c r="AA775" i="20"/>
  <c r="AF775" i="20"/>
  <c r="AI775" i="20"/>
  <c r="AJ775" i="20"/>
  <c r="AG775" i="20"/>
  <c r="AB775" i="20"/>
  <c r="AC775" i="20"/>
  <c r="AD775" i="20"/>
  <c r="AE775" i="20"/>
  <c r="AB771" i="20"/>
  <c r="AC771" i="20"/>
  <c r="AE771" i="20"/>
  <c r="AJ771" i="20"/>
  <c r="AN771" i="20"/>
  <c r="Z771" i="20"/>
  <c r="AK771" i="20"/>
  <c r="AH771" i="20"/>
  <c r="Y771" i="20"/>
  <c r="AG771" i="20"/>
  <c r="AN767" i="20"/>
  <c r="AI767" i="20"/>
  <c r="AJ767" i="20"/>
  <c r="Y767" i="20"/>
  <c r="AG767" i="20"/>
  <c r="Z767" i="20"/>
  <c r="AH767" i="20"/>
  <c r="AF767" i="20"/>
  <c r="AD767" i="20"/>
  <c r="AK767" i="20"/>
  <c r="AA767" i="20"/>
  <c r="AN763" i="20"/>
  <c r="AI763" i="20"/>
  <c r="Z763" i="20"/>
  <c r="AG763" i="20"/>
  <c r="AB763" i="20"/>
  <c r="AC763" i="20"/>
  <c r="Y763" i="20"/>
  <c r="AF763" i="20"/>
  <c r="AD763" i="20"/>
  <c r="AL759" i="20"/>
  <c r="AN759" i="20"/>
  <c r="AI759" i="20"/>
  <c r="AC759" i="20"/>
  <c r="AD759" i="20"/>
  <c r="AA759" i="20"/>
  <c r="AB759" i="20"/>
  <c r="AK759" i="20"/>
  <c r="AG759" i="20"/>
  <c r="AE759" i="20"/>
  <c r="AN755" i="20"/>
  <c r="AB755" i="20"/>
  <c r="AG755" i="20"/>
  <c r="AD755" i="20"/>
  <c r="Y755" i="20"/>
  <c r="Z755" i="20"/>
  <c r="AK755" i="20"/>
  <c r="AE755" i="20"/>
  <c r="AN751" i="20"/>
  <c r="Z751" i="20"/>
  <c r="AK751" i="20"/>
  <c r="I17" i="86"/>
  <c r="L17" i="86"/>
  <c r="AD751" i="20"/>
  <c r="AB751" i="20"/>
  <c r="Y751" i="20"/>
  <c r="AE751" i="20"/>
  <c r="AG751" i="20"/>
  <c r="AC751" i="20"/>
  <c r="AA751" i="20"/>
  <c r="AF751" i="20"/>
  <c r="AH751" i="20"/>
  <c r="AN747" i="20"/>
  <c r="AF747" i="20"/>
  <c r="AG747" i="20"/>
  <c r="AA747" i="20"/>
  <c r="Y747" i="20"/>
  <c r="AK747" i="20"/>
  <c r="AD747" i="20"/>
  <c r="AC747" i="20"/>
  <c r="AB747" i="20"/>
  <c r="AN743" i="20"/>
  <c r="AB743" i="20"/>
  <c r="AC743" i="20"/>
  <c r="AA743" i="20"/>
  <c r="AF743" i="20"/>
  <c r="AG743" i="20"/>
  <c r="Y743" i="20"/>
  <c r="AH743" i="20"/>
  <c r="Z743" i="20"/>
  <c r="AD743" i="20"/>
  <c r="AK743" i="20"/>
  <c r="AN739" i="20"/>
  <c r="AA739" i="20"/>
  <c r="AE739" i="20"/>
  <c r="AD739" i="20"/>
  <c r="Y739" i="20"/>
  <c r="AG739" i="20"/>
  <c r="AC739" i="20"/>
  <c r="Z739" i="20"/>
  <c r="AK739" i="20"/>
  <c r="AN735" i="20"/>
  <c r="Z735" i="20"/>
  <c r="AG735" i="20"/>
  <c r="AD735" i="20"/>
  <c r="AE735" i="20"/>
  <c r="AB735" i="20"/>
  <c r="AL735" i="20"/>
  <c r="AJ735" i="20"/>
  <c r="AF735" i="20"/>
  <c r="Y735" i="20"/>
  <c r="AA735" i="20"/>
  <c r="AH735" i="20"/>
  <c r="AK735" i="20"/>
  <c r="AN731" i="20"/>
  <c r="AI731" i="20"/>
  <c r="AD731" i="20"/>
  <c r="AG731" i="20"/>
  <c r="AA731" i="20"/>
  <c r="AJ731" i="20"/>
  <c r="Y731" i="20"/>
  <c r="AB731" i="20"/>
  <c r="AK731" i="20"/>
  <c r="AN727" i="20"/>
  <c r="Z727" i="20"/>
  <c r="AI727" i="20"/>
  <c r="AA727" i="20"/>
  <c r="AF727" i="20"/>
  <c r="AK727" i="20"/>
  <c r="AD727" i="20"/>
  <c r="Y727" i="20"/>
  <c r="AE727" i="20"/>
  <c r="AG727" i="20"/>
  <c r="AN723" i="20"/>
  <c r="Z723" i="20"/>
  <c r="AJ723" i="20"/>
  <c r="AD723" i="20"/>
  <c r="AE723" i="20"/>
  <c r="AK723" i="20"/>
  <c r="Y723" i="20"/>
  <c r="AG723" i="20"/>
  <c r="AF723" i="20"/>
  <c r="AB723" i="20"/>
  <c r="AI719" i="20"/>
  <c r="AF719" i="20"/>
  <c r="AG719" i="20"/>
  <c r="AK719" i="20"/>
  <c r="AC719" i="20"/>
  <c r="AB719" i="20"/>
  <c r="AE719" i="20"/>
  <c r="Z719" i="20"/>
  <c r="AN719" i="20"/>
  <c r="AN715" i="20"/>
  <c r="Z715" i="20"/>
  <c r="AG715" i="20"/>
  <c r="AE715" i="20"/>
  <c r="AH715" i="20"/>
  <c r="AI715" i="20"/>
  <c r="Y715" i="20"/>
  <c r="AF715" i="20"/>
  <c r="AC715" i="20"/>
  <c r="AG711" i="20"/>
  <c r="AN711" i="20"/>
  <c r="AK711" i="20"/>
  <c r="AJ711" i="20"/>
  <c r="Z711" i="20"/>
  <c r="AF711" i="20"/>
  <c r="Y711" i="20"/>
  <c r="AD711" i="20"/>
  <c r="AE711" i="20"/>
  <c r="AA711" i="20"/>
  <c r="AN707" i="20"/>
  <c r="AE707" i="20"/>
  <c r="AK707" i="20"/>
  <c r="AI707" i="20"/>
  <c r="Y707" i="20"/>
  <c r="AB707" i="20"/>
  <c r="Z707" i="20"/>
  <c r="AD707" i="20"/>
  <c r="AG707" i="20"/>
  <c r="AF707" i="20"/>
  <c r="AL707" i="20"/>
  <c r="AC707" i="20"/>
  <c r="AA707" i="20"/>
  <c r="AF703" i="20"/>
  <c r="AN703" i="20"/>
  <c r="AJ703" i="20"/>
  <c r="Y703" i="20"/>
  <c r="AI703" i="20"/>
  <c r="AG703" i="20"/>
  <c r="AA703" i="20"/>
  <c r="AB703" i="20"/>
  <c r="AC703" i="20"/>
  <c r="AE703" i="20"/>
  <c r="AK703" i="20"/>
  <c r="AD703" i="20"/>
  <c r="AN699" i="20"/>
  <c r="AD699" i="20"/>
  <c r="AF699" i="20"/>
  <c r="Y699" i="20"/>
  <c r="AJ699" i="20"/>
  <c r="AG699" i="20"/>
  <c r="AI699" i="20"/>
  <c r="AB699" i="20"/>
  <c r="Z699" i="20"/>
  <c r="AC699" i="20"/>
  <c r="AH699" i="20"/>
  <c r="AE699" i="20"/>
  <c r="AK699" i="20"/>
  <c r="AN695" i="20"/>
  <c r="AD695" i="20"/>
  <c r="AF695" i="20"/>
  <c r="AA695" i="20"/>
  <c r="AC695" i="20"/>
  <c r="AH695" i="20"/>
  <c r="AL695" i="20"/>
  <c r="Y695" i="20"/>
  <c r="AK695" i="20"/>
  <c r="Z695" i="20"/>
  <c r="AN691" i="20"/>
  <c r="AD691" i="20"/>
  <c r="Y691" i="20"/>
  <c r="AF691" i="20"/>
  <c r="AG691" i="20"/>
  <c r="AK691" i="20"/>
  <c r="Z691" i="20"/>
  <c r="AE691" i="20"/>
  <c r="AB691" i="20"/>
  <c r="AN687" i="20"/>
  <c r="AB687" i="20"/>
  <c r="Z687" i="20"/>
  <c r="AE687" i="20"/>
  <c r="AD687" i="20"/>
  <c r="AK687" i="20"/>
  <c r="AF687" i="20"/>
  <c r="Y687" i="20"/>
  <c r="AC687" i="20"/>
  <c r="AN683" i="20"/>
  <c r="Y683" i="20"/>
  <c r="AG683" i="20"/>
  <c r="AI683" i="20"/>
  <c r="AH683" i="20"/>
  <c r="AF683" i="20"/>
  <c r="AK683" i="20"/>
  <c r="AE683" i="20"/>
  <c r="AB683" i="20"/>
  <c r="AA683" i="20"/>
  <c r="AD683" i="20"/>
  <c r="Z683" i="20"/>
  <c r="AN679" i="20"/>
  <c r="AA679" i="20"/>
  <c r="AD679" i="20"/>
  <c r="AG679" i="20"/>
  <c r="AB679" i="20"/>
  <c r="AC679" i="20"/>
  <c r="Y679" i="20"/>
  <c r="AF679" i="20"/>
  <c r="Z679" i="20"/>
  <c r="AN675" i="20"/>
  <c r="AG675" i="20"/>
  <c r="Y675" i="20"/>
  <c r="AI675" i="20"/>
  <c r="Z675" i="20"/>
  <c r="AB675" i="20"/>
  <c r="AH675" i="20"/>
  <c r="AE675" i="20"/>
  <c r="AD675" i="20"/>
  <c r="AA675" i="20"/>
  <c r="AC675" i="20"/>
  <c r="AF675" i="20"/>
  <c r="AK675" i="20"/>
  <c r="AN671" i="20"/>
  <c r="AA671" i="20"/>
  <c r="AI671" i="20"/>
  <c r="AC671" i="20"/>
  <c r="Z671" i="20"/>
  <c r="AH671" i="20"/>
  <c r="AE671" i="20"/>
  <c r="AF671" i="20"/>
  <c r="AB671" i="20"/>
  <c r="AD671" i="20"/>
  <c r="Y671" i="20"/>
  <c r="AN667" i="20"/>
  <c r="AG667" i="20"/>
  <c r="AK667" i="20"/>
  <c r="AE667" i="20"/>
  <c r="AF667" i="20"/>
  <c r="Z667" i="20"/>
  <c r="AJ667" i="20"/>
  <c r="AL667" i="20"/>
  <c r="AC667" i="20"/>
  <c r="AA667" i="20"/>
  <c r="Y667" i="20"/>
  <c r="AI667" i="20"/>
  <c r="AD667" i="20"/>
  <c r="AB667" i="20"/>
  <c r="AJ663" i="20"/>
  <c r="AI663" i="20"/>
  <c r="AN663" i="20"/>
  <c r="Z663" i="20"/>
  <c r="Y663" i="20"/>
  <c r="AE663" i="20"/>
  <c r="AD663" i="20"/>
  <c r="AC663" i="20"/>
  <c r="AG663" i="20"/>
  <c r="AA663" i="20"/>
  <c r="AK663" i="20"/>
  <c r="AB663" i="20"/>
  <c r="AF663" i="20"/>
  <c r="AN659" i="20"/>
  <c r="Z659" i="20"/>
  <c r="AJ659" i="20"/>
  <c r="Y659" i="20"/>
  <c r="AC659" i="20"/>
  <c r="AF659" i="20"/>
  <c r="AA659" i="20"/>
  <c r="AH659" i="20"/>
  <c r="AD659" i="20"/>
  <c r="AK659" i="20"/>
  <c r="AE659" i="20"/>
  <c r="AN655" i="20"/>
  <c r="AG655" i="20"/>
  <c r="AE655" i="20"/>
  <c r="AF655" i="20"/>
  <c r="AK655" i="20"/>
  <c r="AC655" i="20"/>
  <c r="AH655" i="20"/>
  <c r="AA655" i="20"/>
  <c r="Z655" i="20"/>
  <c r="AL655" i="20"/>
  <c r="AD655" i="20"/>
  <c r="Y655" i="20"/>
  <c r="AJ651" i="20"/>
  <c r="AF651" i="20"/>
  <c r="AN651" i="20"/>
  <c r="AG651" i="20"/>
  <c r="Y651" i="20"/>
  <c r="AE651" i="20"/>
  <c r="AD651" i="20"/>
  <c r="AH651" i="20"/>
  <c r="Z651" i="20"/>
  <c r="AA651" i="20"/>
  <c r="AC651" i="20"/>
  <c r="AN647" i="20"/>
  <c r="AD647" i="20"/>
  <c r="AI647" i="20"/>
  <c r="AL647" i="20"/>
  <c r="AE647" i="20"/>
  <c r="Y647" i="20"/>
  <c r="Z647" i="20"/>
  <c r="AG647" i="20"/>
  <c r="AC647" i="20"/>
  <c r="AH647" i="20"/>
  <c r="AJ643" i="20"/>
  <c r="AN643" i="20"/>
  <c r="Z643" i="20"/>
  <c r="AG643" i="20"/>
  <c r="AA643" i="20"/>
  <c r="AL643" i="20"/>
  <c r="AD643" i="20"/>
  <c r="AK643" i="20"/>
  <c r="AB643" i="20"/>
  <c r="AF643" i="20"/>
  <c r="AN638" i="20"/>
  <c r="AB638" i="20"/>
  <c r="AD638" i="20"/>
  <c r="AF638" i="20"/>
  <c r="AK638" i="20"/>
  <c r="Z638" i="20"/>
  <c r="AL638" i="20"/>
  <c r="Y638" i="20"/>
  <c r="AA638" i="20"/>
  <c r="AA642" i="20"/>
  <c r="Z642" i="20"/>
  <c r="AF642" i="20"/>
  <c r="AN642" i="20"/>
  <c r="AB642" i="20"/>
  <c r="AE642" i="20"/>
  <c r="Y642" i="20"/>
  <c r="AK642" i="20"/>
  <c r="AD642" i="20"/>
  <c r="AG642" i="20"/>
  <c r="AN631" i="20"/>
  <c r="AI631" i="20"/>
  <c r="AD631" i="20"/>
  <c r="AA631" i="20"/>
  <c r="AB631" i="20"/>
  <c r="AG631" i="20"/>
  <c r="AE631" i="20"/>
  <c r="AF631" i="20"/>
  <c r="AK631" i="20"/>
  <c r="Y631" i="20"/>
  <c r="AN627" i="20"/>
  <c r="AJ627" i="20"/>
  <c r="AD627" i="20"/>
  <c r="AB627" i="20"/>
  <c r="AF627" i="20"/>
  <c r="AK627" i="20"/>
  <c r="AG627" i="20"/>
  <c r="Y627" i="20"/>
  <c r="Z627" i="20"/>
  <c r="AE627" i="20"/>
  <c r="AN623" i="20"/>
  <c r="AE623" i="20"/>
  <c r="AD623" i="20"/>
  <c r="AK623" i="20"/>
  <c r="AB623" i="20"/>
  <c r="AC623" i="20"/>
  <c r="Y623" i="20"/>
  <c r="AF623" i="20"/>
  <c r="AG623" i="20"/>
  <c r="Z623" i="20"/>
  <c r="Y619" i="20"/>
  <c r="AB619" i="20"/>
  <c r="AL619" i="20"/>
  <c r="AC619" i="20"/>
  <c r="AN619" i="20"/>
  <c r="AI619" i="20"/>
  <c r="AG619" i="20"/>
  <c r="Z619" i="20"/>
  <c r="AH619" i="20"/>
  <c r="AK619" i="20"/>
  <c r="AF619" i="20"/>
  <c r="AN615" i="20"/>
  <c r="AG615" i="20"/>
  <c r="AC615" i="20"/>
  <c r="AK615" i="20"/>
  <c r="Z615" i="20"/>
  <c r="AA615" i="20"/>
  <c r="AE615" i="20"/>
  <c r="Y615" i="20"/>
  <c r="AB615" i="20"/>
  <c r="AH615" i="20"/>
  <c r="AN611" i="20"/>
  <c r="AG611" i="20"/>
  <c r="AE611" i="20"/>
  <c r="AI611" i="20"/>
  <c r="AA611" i="20"/>
  <c r="AB611" i="20"/>
  <c r="Y611" i="20"/>
  <c r="AF611" i="20"/>
  <c r="AC611" i="20"/>
  <c r="AD611" i="20"/>
  <c r="AK611" i="20"/>
  <c r="Z611" i="20"/>
  <c r="AH611" i="20"/>
  <c r="AN607" i="20"/>
  <c r="Y607" i="20"/>
  <c r="AD607" i="20"/>
  <c r="AF607" i="20"/>
  <c r="AA607" i="20"/>
  <c r="AG607" i="20"/>
  <c r="Z607" i="20"/>
  <c r="AH607" i="20"/>
  <c r="AB607" i="20"/>
  <c r="AE607" i="20"/>
  <c r="AK607" i="20"/>
  <c r="AC607" i="20"/>
  <c r="AN603" i="20"/>
  <c r="AK603" i="20"/>
  <c r="Z603" i="20"/>
  <c r="AA603" i="20"/>
  <c r="AC603" i="20"/>
  <c r="AL603" i="20"/>
  <c r="AE603" i="20"/>
  <c r="AD603" i="20"/>
  <c r="AB603" i="20"/>
  <c r="AG603" i="20"/>
  <c r="Y603" i="20"/>
  <c r="AN598" i="20"/>
  <c r="AI598" i="20"/>
  <c r="Z598" i="20"/>
  <c r="AA598" i="20"/>
  <c r="AG598" i="20"/>
  <c r="AE598" i="20"/>
  <c r="AB598" i="20"/>
  <c r="Y598" i="20"/>
  <c r="AC598" i="20"/>
  <c r="AF598" i="20"/>
  <c r="AD598" i="20"/>
  <c r="AH598" i="20"/>
  <c r="AK598" i="20"/>
  <c r="AN595" i="20"/>
  <c r="Y595" i="20"/>
  <c r="AE595" i="20"/>
  <c r="AB595" i="20"/>
  <c r="AJ595" i="20"/>
  <c r="Z595" i="20"/>
  <c r="AA595" i="20"/>
  <c r="AF595" i="20"/>
  <c r="AG595" i="20"/>
  <c r="AD595" i="20"/>
  <c r="AH595" i="20"/>
  <c r="AK595" i="20"/>
  <c r="AL591" i="20"/>
  <c r="AN591" i="20"/>
  <c r="AD591" i="20"/>
  <c r="AG591" i="20"/>
  <c r="Y591" i="20"/>
  <c r="AB591" i="20"/>
  <c r="AK591" i="20"/>
  <c r="AE591" i="20"/>
  <c r="AF591" i="20"/>
  <c r="AC591" i="20"/>
  <c r="AH591" i="20"/>
  <c r="AB587" i="20"/>
  <c r="AG587" i="20"/>
  <c r="AN587" i="20"/>
  <c r="Z587" i="20"/>
  <c r="AF587" i="20"/>
  <c r="AD587" i="20"/>
  <c r="AA587" i="20"/>
  <c r="AN583" i="20"/>
  <c r="AI583" i="20"/>
  <c r="AJ583" i="20"/>
  <c r="Z583" i="20"/>
  <c r="AG583" i="20"/>
  <c r="AE583" i="20"/>
  <c r="AK583" i="20"/>
  <c r="AA583" i="20"/>
  <c r="AC583" i="20"/>
  <c r="AB583" i="20"/>
  <c r="AL583" i="20"/>
  <c r="AF583" i="20"/>
  <c r="AN579" i="20"/>
  <c r="AI579" i="20"/>
  <c r="AF579" i="20"/>
  <c r="Z579" i="20"/>
  <c r="AE579" i="20"/>
  <c r="AD579" i="20"/>
  <c r="AA579" i="20"/>
  <c r="AG579" i="20"/>
  <c r="AK579" i="20"/>
  <c r="AC579" i="20"/>
  <c r="AB579" i="20"/>
  <c r="Y579" i="20"/>
  <c r="AN575" i="20"/>
  <c r="AC575" i="20"/>
  <c r="AF575" i="20"/>
  <c r="AG575" i="20"/>
  <c r="AI575" i="20"/>
  <c r="AB575" i="20"/>
  <c r="AA575" i="20"/>
  <c r="Z575" i="20"/>
  <c r="AD575" i="20"/>
  <c r="AK575" i="20"/>
  <c r="Y575" i="20"/>
  <c r="AN571" i="20"/>
  <c r="AJ571" i="20"/>
  <c r="AC571" i="20"/>
  <c r="AE571" i="20"/>
  <c r="Y571" i="20"/>
  <c r="Z571" i="20"/>
  <c r="AA571" i="20"/>
  <c r="AK571" i="20"/>
  <c r="AF571" i="20"/>
  <c r="AG571" i="20"/>
  <c r="AB571" i="20"/>
  <c r="AD571" i="20"/>
  <c r="AN567" i="20"/>
  <c r="AJ567" i="20"/>
  <c r="AA567" i="20"/>
  <c r="AD567" i="20"/>
  <c r="Z567" i="20"/>
  <c r="AG567" i="20"/>
  <c r="AB567" i="20"/>
  <c r="AF567" i="20"/>
  <c r="AE567" i="20"/>
  <c r="AN565" i="20"/>
  <c r="AD565" i="20"/>
  <c r="AC565" i="20"/>
  <c r="AB565" i="20"/>
  <c r="AL565" i="20"/>
  <c r="AF565" i="20"/>
  <c r="Z565" i="20"/>
  <c r="AG565" i="20"/>
  <c r="AK565" i="20"/>
  <c r="Y565" i="20"/>
  <c r="AN561" i="20"/>
  <c r="Z561" i="20"/>
  <c r="AG561" i="20"/>
  <c r="AA561" i="20"/>
  <c r="AB561" i="20"/>
  <c r="Y561" i="20"/>
  <c r="AF561" i="20"/>
  <c r="AK561" i="20"/>
  <c r="AH561" i="20"/>
  <c r="AD561" i="20"/>
  <c r="AA551" i="20"/>
  <c r="Z551" i="20"/>
  <c r="AN551" i="20"/>
  <c r="AG551" i="20"/>
  <c r="AI551" i="20"/>
  <c r="AL551" i="20"/>
  <c r="Y551" i="20"/>
  <c r="AF551" i="20"/>
  <c r="AK551" i="20"/>
  <c r="AH551" i="20"/>
  <c r="AC551" i="20"/>
  <c r="AN547" i="20"/>
  <c r="AI547" i="20"/>
  <c r="AG547" i="20"/>
  <c r="AE547" i="20"/>
  <c r="Y547" i="20"/>
  <c r="AC547" i="20"/>
  <c r="AK547" i="20"/>
  <c r="AA547" i="20"/>
  <c r="AH547" i="20"/>
  <c r="AL547" i="20"/>
  <c r="AB547" i="20"/>
  <c r="AF547" i="20"/>
  <c r="AN543" i="20"/>
  <c r="AA543" i="20"/>
  <c r="Y543" i="20"/>
  <c r="AF543" i="20"/>
  <c r="AE543" i="20"/>
  <c r="AK543" i="20"/>
  <c r="AJ543" i="20"/>
  <c r="AD543" i="20"/>
  <c r="AG543" i="20"/>
  <c r="AB543" i="20"/>
  <c r="Z543" i="20"/>
  <c r="AN539" i="20"/>
  <c r="AC539" i="20"/>
  <c r="AF539" i="20"/>
  <c r="Z539" i="20"/>
  <c r="AG539" i="20"/>
  <c r="AE539" i="20"/>
  <c r="AB539" i="20"/>
  <c r="AA539" i="20"/>
  <c r="AK539" i="20"/>
  <c r="AD539" i="20"/>
  <c r="Y535" i="20"/>
  <c r="AE535" i="20"/>
  <c r="AF535" i="20"/>
  <c r="AI535" i="20"/>
  <c r="AN535" i="20"/>
  <c r="Z535" i="20"/>
  <c r="AJ535" i="20"/>
  <c r="AA535" i="20"/>
  <c r="AL535" i="20"/>
  <c r="AB535" i="20"/>
  <c r="AC535" i="20"/>
  <c r="AK535" i="20"/>
  <c r="AN531" i="20"/>
  <c r="Y531" i="20"/>
  <c r="AG531" i="20"/>
  <c r="AJ531" i="20"/>
  <c r="AK531" i="20"/>
  <c r="AD531" i="20"/>
  <c r="AF531" i="20"/>
  <c r="AE531" i="20"/>
  <c r="AC531" i="20"/>
  <c r="AB531" i="20"/>
  <c r="AN527" i="20"/>
  <c r="Y527" i="20"/>
  <c r="AI527" i="20"/>
  <c r="AJ527" i="20"/>
  <c r="AA527" i="20"/>
  <c r="Z527" i="20"/>
  <c r="AF527" i="20"/>
  <c r="AE527" i="20"/>
  <c r="AK527" i="20"/>
  <c r="AD527" i="20"/>
  <c r="AG527" i="20"/>
  <c r="AL527" i="20"/>
  <c r="AG523" i="20"/>
  <c r="Z523" i="20"/>
  <c r="AI523" i="20"/>
  <c r="AN523" i="20"/>
  <c r="AF523" i="20"/>
  <c r="AE523" i="20"/>
  <c r="AH523" i="20"/>
  <c r="AB523" i="20"/>
  <c r="Y523" i="20"/>
  <c r="AD523" i="20"/>
  <c r="AC523" i="20"/>
  <c r="AN519" i="20"/>
  <c r="Y519" i="20"/>
  <c r="AE519" i="20"/>
  <c r="AK519" i="20"/>
  <c r="AB519" i="20"/>
  <c r="AG519" i="20"/>
  <c r="AF519" i="20"/>
  <c r="AN515" i="20"/>
  <c r="AI515" i="20"/>
  <c r="AB515" i="20"/>
  <c r="Z515" i="20"/>
  <c r="AC515" i="20"/>
  <c r="AH515" i="20"/>
  <c r="Y515" i="20"/>
  <c r="AK515" i="20"/>
  <c r="AF515" i="20"/>
  <c r="AD515" i="20"/>
  <c r="AN511" i="20"/>
  <c r="AA511" i="20"/>
  <c r="AF511" i="20"/>
  <c r="AD511" i="20"/>
  <c r="AC511" i="20"/>
  <c r="AB511" i="20"/>
  <c r="Z511" i="20"/>
  <c r="AG511" i="20"/>
  <c r="AK511" i="20"/>
  <c r="Y511" i="20"/>
  <c r="AE511" i="20"/>
  <c r="AI507" i="20"/>
  <c r="AC507" i="20"/>
  <c r="AA507" i="20"/>
  <c r="AG507" i="20"/>
  <c r="Z507" i="20"/>
  <c r="Y507" i="20"/>
  <c r="AK507" i="20"/>
  <c r="AD507" i="20"/>
  <c r="AN503" i="20"/>
  <c r="AI503" i="20"/>
  <c r="Y503" i="20"/>
  <c r="AC503" i="20"/>
  <c r="AB503" i="20"/>
  <c r="Z503" i="20"/>
  <c r="AK503" i="20"/>
  <c r="AH503" i="20"/>
  <c r="AF503" i="20"/>
  <c r="AA503" i="20"/>
  <c r="AD503" i="20"/>
  <c r="AG503" i="20"/>
  <c r="AE503" i="20"/>
  <c r="AI499" i="20"/>
  <c r="AN499" i="20"/>
  <c r="AC499" i="20"/>
  <c r="Y499" i="20"/>
  <c r="AK499" i="20"/>
  <c r="AE499" i="20"/>
  <c r="AB499" i="20"/>
  <c r="AH499" i="20"/>
  <c r="AG499" i="20"/>
  <c r="AN495" i="20"/>
  <c r="AJ495" i="20"/>
  <c r="AK495" i="20"/>
  <c r="AA495" i="20"/>
  <c r="AF495" i="20"/>
  <c r="AE495" i="20"/>
  <c r="AG495" i="20"/>
  <c r="AD495" i="20"/>
  <c r="Z495" i="20"/>
  <c r="AB495" i="20"/>
  <c r="AC495" i="20"/>
  <c r="Y495" i="20"/>
  <c r="AH495" i="20"/>
  <c r="AN556" i="20"/>
  <c r="AD556" i="20"/>
  <c r="AF556" i="20"/>
  <c r="AC556" i="20"/>
  <c r="AI556" i="20"/>
  <c r="AK556" i="20"/>
  <c r="AG556" i="20"/>
  <c r="Y556" i="20"/>
  <c r="AE556" i="20"/>
  <c r="Z556" i="20"/>
  <c r="AA556" i="20"/>
  <c r="AN491" i="20"/>
  <c r="AE491" i="20"/>
  <c r="Y491" i="20"/>
  <c r="AF491" i="20"/>
  <c r="AG491" i="20"/>
  <c r="AC491" i="20"/>
  <c r="Z491" i="20"/>
  <c r="AB491" i="20"/>
  <c r="AK491" i="20"/>
  <c r="AN487" i="20"/>
  <c r="AJ487" i="20"/>
  <c r="AI487" i="20"/>
  <c r="AF487" i="20"/>
  <c r="AB487" i="20"/>
  <c r="AD487" i="20"/>
  <c r="AK487" i="20"/>
  <c r="Z487" i="20"/>
  <c r="AG487" i="20"/>
  <c r="Y487" i="20"/>
  <c r="AA487" i="20"/>
  <c r="AC487" i="20"/>
  <c r="AE487" i="20"/>
  <c r="AN483" i="20"/>
  <c r="AL483" i="20"/>
  <c r="AD483" i="20"/>
  <c r="Z483" i="20"/>
  <c r="AE483" i="20"/>
  <c r="AJ483" i="20"/>
  <c r="AC483" i="20"/>
  <c r="AB483" i="20"/>
  <c r="Y483" i="20"/>
  <c r="AA483" i="20"/>
  <c r="AF483" i="20"/>
  <c r="AK483" i="20"/>
  <c r="AN479" i="20"/>
  <c r="Y479" i="20"/>
  <c r="AA479" i="20"/>
  <c r="AF479" i="20"/>
  <c r="AJ479" i="20"/>
  <c r="AD479" i="20"/>
  <c r="AI479" i="20"/>
  <c r="AC479" i="20"/>
  <c r="Z479" i="20"/>
  <c r="AH479" i="20"/>
  <c r="AG479" i="20"/>
  <c r="AK479" i="20"/>
  <c r="AE479" i="20"/>
  <c r="AN475" i="20"/>
  <c r="AI475" i="20"/>
  <c r="AA475" i="20"/>
  <c r="AB475" i="20"/>
  <c r="Y475" i="20"/>
  <c r="AD475" i="20"/>
  <c r="AC475" i="20"/>
  <c r="AG475" i="20"/>
  <c r="AK475" i="20"/>
  <c r="AE475" i="20"/>
  <c r="AH475" i="20"/>
  <c r="AF475" i="20"/>
  <c r="AN471" i="20"/>
  <c r="AL471" i="20"/>
  <c r="AA471" i="20"/>
  <c r="AI471" i="20"/>
  <c r="AD471" i="20"/>
  <c r="AC471" i="20"/>
  <c r="AB471" i="20"/>
  <c r="AF471" i="20"/>
  <c r="Z471" i="20"/>
  <c r="AG471" i="20"/>
  <c r="AE471" i="20"/>
  <c r="AJ471" i="20"/>
  <c r="Y471" i="20"/>
  <c r="AK471" i="20"/>
  <c r="AN467" i="20"/>
  <c r="Z467" i="20"/>
  <c r="AK467" i="20"/>
  <c r="AA467" i="20"/>
  <c r="AC467" i="20"/>
  <c r="AE467" i="20"/>
  <c r="AD467" i="20"/>
  <c r="AG467" i="20"/>
  <c r="Y467" i="20"/>
  <c r="AB467" i="20"/>
  <c r="AH467" i="20"/>
  <c r="AN463" i="20"/>
  <c r="Y463" i="20"/>
  <c r="AF463" i="20"/>
  <c r="AI463" i="20"/>
  <c r="AG463" i="20"/>
  <c r="AD463" i="20"/>
  <c r="AC463" i="20"/>
  <c r="AB463" i="20"/>
  <c r="AA463" i="20"/>
  <c r="AH463" i="20"/>
  <c r="AK463" i="20"/>
  <c r="AJ459" i="20"/>
  <c r="AN459" i="20"/>
  <c r="AI459" i="20"/>
  <c r="Z459" i="20"/>
  <c r="AF459" i="20"/>
  <c r="AA459" i="20"/>
  <c r="AD459" i="20"/>
  <c r="Y459" i="20"/>
  <c r="AB459" i="20"/>
  <c r="AK459" i="20"/>
  <c r="AE459" i="20"/>
  <c r="AH459" i="20"/>
  <c r="AG459" i="20"/>
  <c r="AN455" i="20"/>
  <c r="Y455" i="20"/>
  <c r="AA455" i="20"/>
  <c r="AK455" i="20"/>
  <c r="AD455" i="20"/>
  <c r="AL455" i="20"/>
  <c r="AC455" i="20"/>
  <c r="AE455" i="20"/>
  <c r="AG455" i="20"/>
  <c r="AB455" i="20"/>
  <c r="AF455" i="20"/>
  <c r="AH455" i="20"/>
  <c r="AN451" i="20"/>
  <c r="AL451" i="20"/>
  <c r="Y451" i="20"/>
  <c r="AD451" i="20"/>
  <c r="AB451" i="20"/>
  <c r="AF451" i="20"/>
  <c r="AA451" i="20"/>
  <c r="AC451" i="20"/>
  <c r="Z451" i="20"/>
  <c r="AG451" i="20"/>
  <c r="AE451" i="20"/>
  <c r="AN447" i="20"/>
  <c r="AD447" i="20"/>
  <c r="Y447" i="20"/>
  <c r="AA447" i="20"/>
  <c r="AI447" i="20"/>
  <c r="AC447" i="20"/>
  <c r="AE447" i="20"/>
  <c r="AB447" i="20"/>
  <c r="AF447" i="20"/>
  <c r="AK447" i="20"/>
  <c r="Z447" i="20"/>
  <c r="AN443" i="20"/>
  <c r="AL443" i="20"/>
  <c r="Z443" i="20"/>
  <c r="AG443" i="20"/>
  <c r="Y443" i="20"/>
  <c r="AA443" i="20"/>
  <c r="AE443" i="20"/>
  <c r="AC443" i="20"/>
  <c r="AK443" i="20"/>
  <c r="AD443" i="20"/>
  <c r="AF443" i="20"/>
  <c r="AN439" i="20"/>
  <c r="AJ439" i="20"/>
  <c r="AB439" i="20"/>
  <c r="AK439" i="20"/>
  <c r="AF439" i="20"/>
  <c r="AC439" i="20"/>
  <c r="AG439" i="20"/>
  <c r="AE439" i="20"/>
  <c r="Z439" i="20"/>
  <c r="AH439" i="20"/>
  <c r="AA439" i="20"/>
  <c r="Y439" i="20"/>
  <c r="AN435" i="20"/>
  <c r="AA435" i="20"/>
  <c r="AC435" i="20"/>
  <c r="AG435" i="20"/>
  <c r="Y435" i="20"/>
  <c r="AD435" i="20"/>
  <c r="AK435" i="20"/>
  <c r="AE435" i="20"/>
  <c r="AF435" i="20"/>
  <c r="AB435" i="20"/>
  <c r="AN431" i="20"/>
  <c r="AG431" i="20"/>
  <c r="AF431" i="20"/>
  <c r="AL431" i="20"/>
  <c r="Z431" i="20"/>
  <c r="AB431" i="20"/>
  <c r="AD431" i="20"/>
  <c r="AE431" i="20"/>
  <c r="AK431" i="20"/>
  <c r="AJ431" i="20"/>
  <c r="Y431" i="20"/>
  <c r="AC431" i="20"/>
  <c r="AA431" i="20"/>
  <c r="AN427" i="20"/>
  <c r="Z427" i="20"/>
  <c r="Y427" i="20"/>
  <c r="AB427" i="20"/>
  <c r="AG427" i="20"/>
  <c r="AC427" i="20"/>
  <c r="AK427" i="20"/>
  <c r="AI427" i="20"/>
  <c r="AE427" i="20"/>
  <c r="AF427" i="20"/>
  <c r="AA427" i="20"/>
  <c r="AJ427" i="20"/>
  <c r="AH427" i="20"/>
  <c r="AL427" i="20"/>
  <c r="AN423" i="20"/>
  <c r="AI423" i="20"/>
  <c r="AE423" i="20"/>
  <c r="AG423" i="20"/>
  <c r="AA423" i="20"/>
  <c r="Z423" i="20"/>
  <c r="AK423" i="20"/>
  <c r="AD423" i="20"/>
  <c r="Y423" i="20"/>
  <c r="AF423" i="20"/>
  <c r="AH423" i="20"/>
  <c r="AL423" i="20"/>
  <c r="AC423" i="20"/>
  <c r="AN417" i="20"/>
  <c r="AK417" i="20"/>
  <c r="AD417" i="20"/>
  <c r="AC417" i="20"/>
  <c r="AA417" i="20"/>
  <c r="AF417" i="20"/>
  <c r="AE417" i="20"/>
  <c r="AB417" i="20"/>
  <c r="Z417" i="20"/>
  <c r="AH417" i="20"/>
  <c r="Y417" i="20"/>
  <c r="AG417" i="20"/>
  <c r="AN415" i="20"/>
  <c r="AJ415" i="20"/>
  <c r="AI415" i="20"/>
  <c r="AK415" i="20"/>
  <c r="AD415" i="20"/>
  <c r="Y415" i="20"/>
  <c r="AA415" i="20"/>
  <c r="AF415" i="20"/>
  <c r="AB415" i="20"/>
  <c r="AE415" i="20"/>
  <c r="AH415" i="20"/>
  <c r="Z415" i="20"/>
  <c r="AG415" i="20"/>
  <c r="AN412" i="20"/>
  <c r="AC412" i="20"/>
  <c r="AF412" i="20"/>
  <c r="AI412" i="20"/>
  <c r="AA412" i="20"/>
  <c r="Z412" i="20"/>
  <c r="AK412" i="20"/>
  <c r="AB412" i="20"/>
  <c r="AG412" i="20"/>
  <c r="Y412" i="20"/>
  <c r="AE412" i="20"/>
  <c r="AN407" i="20"/>
  <c r="AC407" i="20"/>
  <c r="AD407" i="20"/>
  <c r="Z407" i="20"/>
  <c r="AF407" i="20"/>
  <c r="AG407" i="20"/>
  <c r="AA407" i="20"/>
  <c r="Y407" i="20"/>
  <c r="AI407" i="20"/>
  <c r="AB407" i="20"/>
  <c r="AK407" i="20"/>
  <c r="AE407" i="20"/>
  <c r="AN401" i="20"/>
  <c r="AL401" i="20"/>
  <c r="AI401" i="20"/>
  <c r="Z401" i="20"/>
  <c r="AC401" i="20"/>
  <c r="AD401" i="20"/>
  <c r="Y401" i="20"/>
  <c r="AA401" i="20"/>
  <c r="AG401" i="20"/>
  <c r="AE401" i="20"/>
  <c r="AF401" i="20"/>
  <c r="AH401" i="20"/>
  <c r="AK401" i="20"/>
  <c r="AB401" i="20"/>
  <c r="AN399" i="20"/>
  <c r="AB399" i="20"/>
  <c r="Z399" i="20"/>
  <c r="AC399" i="20"/>
  <c r="AF399" i="20"/>
  <c r="AA399" i="20"/>
  <c r="AD399" i="20"/>
  <c r="Y399" i="20"/>
  <c r="AG399" i="20"/>
  <c r="AE399" i="20"/>
  <c r="AH399" i="20"/>
  <c r="AK399" i="20"/>
  <c r="AN395" i="20"/>
  <c r="AB395" i="20"/>
  <c r="AJ395" i="20"/>
  <c r="AA395" i="20"/>
  <c r="AK395" i="20"/>
  <c r="Z395" i="20"/>
  <c r="AN391" i="20"/>
  <c r="Y391" i="20"/>
  <c r="AF391" i="20"/>
  <c r="AG391" i="20"/>
  <c r="AA391" i="20"/>
  <c r="Z391" i="20"/>
  <c r="AC391" i="20"/>
  <c r="AK391" i="20"/>
  <c r="AB391" i="20"/>
  <c r="AE391" i="20"/>
  <c r="AD391" i="20"/>
  <c r="AN388" i="20"/>
  <c r="AI388" i="20"/>
  <c r="Z388" i="20"/>
  <c r="AF388" i="20"/>
  <c r="AE388" i="20"/>
  <c r="AG388" i="20"/>
  <c r="AB388" i="20"/>
  <c r="AC388" i="20"/>
  <c r="AK388" i="20"/>
  <c r="Y388" i="20"/>
  <c r="AN383" i="20"/>
  <c r="Y383" i="20"/>
  <c r="AB383" i="20"/>
  <c r="AA383" i="20"/>
  <c r="AC383" i="20"/>
  <c r="AE383" i="20"/>
  <c r="AF383" i="20"/>
  <c r="AG383" i="20"/>
  <c r="Z383" i="20"/>
  <c r="AD383" i="20"/>
  <c r="AK383" i="20"/>
  <c r="AH383" i="20"/>
  <c r="AN379" i="20"/>
  <c r="AF379" i="20"/>
  <c r="Z379" i="20"/>
  <c r="AD379" i="20"/>
  <c r="Y379" i="20"/>
  <c r="AI379" i="20"/>
  <c r="AK379" i="20"/>
  <c r="AE379" i="20"/>
  <c r="AG379" i="20"/>
  <c r="AC379" i="20"/>
  <c r="AA379" i="20"/>
  <c r="AB379" i="20"/>
  <c r="AN375" i="20"/>
  <c r="AI375" i="20"/>
  <c r="AD375" i="20"/>
  <c r="AE375" i="20"/>
  <c r="Z375" i="20"/>
  <c r="AF375" i="20"/>
  <c r="AB375" i="20"/>
  <c r="AC375" i="20"/>
  <c r="Y375" i="20"/>
  <c r="AL375" i="20"/>
  <c r="AG375" i="20"/>
  <c r="AA375" i="20"/>
  <c r="AH375" i="20"/>
  <c r="AK375" i="20"/>
  <c r="AN371" i="20"/>
  <c r="Z371" i="20"/>
  <c r="Y371" i="20"/>
  <c r="AA371" i="20"/>
  <c r="AE371" i="20"/>
  <c r="AK371" i="20"/>
  <c r="AB371" i="20"/>
  <c r="AD371" i="20"/>
  <c r="AC371" i="20"/>
  <c r="AI371" i="20"/>
  <c r="AF371" i="20"/>
  <c r="AN367" i="20"/>
  <c r="AC367" i="20"/>
  <c r="AD367" i="20"/>
  <c r="AB367" i="20"/>
  <c r="Z367" i="20"/>
  <c r="AG367" i="20"/>
  <c r="AL367" i="20"/>
  <c r="AK367" i="20"/>
  <c r="AI367" i="20"/>
  <c r="AE367" i="20"/>
  <c r="Y367" i="20"/>
  <c r="AA367" i="20"/>
  <c r="AF367" i="20"/>
  <c r="AN363" i="20"/>
  <c r="AI363" i="20"/>
  <c r="AD363" i="20"/>
  <c r="AA363" i="20"/>
  <c r="Y363" i="20"/>
  <c r="AF363" i="20"/>
  <c r="AL363" i="20"/>
  <c r="Z363" i="20"/>
  <c r="AG363" i="20"/>
  <c r="AC363" i="20"/>
  <c r="AB363" i="20"/>
  <c r="AE363" i="20"/>
  <c r="AK363" i="20"/>
  <c r="AH363" i="20"/>
  <c r="AN359" i="20"/>
  <c r="AL359" i="20"/>
  <c r="AI359" i="20"/>
  <c r="AK359" i="20"/>
  <c r="Y359" i="20"/>
  <c r="AA359" i="20"/>
  <c r="AC359" i="20"/>
  <c r="Z359" i="20"/>
  <c r="AD359" i="20"/>
  <c r="AF359" i="20"/>
  <c r="AB359" i="20"/>
  <c r="AE359" i="20"/>
  <c r="AE355" i="20"/>
  <c r="AB355" i="20"/>
  <c r="AC355" i="20"/>
  <c r="AH355" i="20"/>
  <c r="AN355" i="20"/>
  <c r="AF355" i="20"/>
  <c r="AJ355" i="20"/>
  <c r="Z355" i="20"/>
  <c r="AG355" i="20"/>
  <c r="Y355" i="20"/>
  <c r="AK355" i="20"/>
  <c r="AD355" i="20"/>
  <c r="AA355" i="20"/>
  <c r="AI355" i="20"/>
  <c r="AL355" i="20"/>
  <c r="AN351" i="20"/>
  <c r="AJ351" i="20"/>
  <c r="AF351" i="20"/>
  <c r="AC351" i="20"/>
  <c r="Y351" i="20"/>
  <c r="AE351" i="20"/>
  <c r="AA351" i="20"/>
  <c r="AK351" i="20"/>
  <c r="Z351" i="20"/>
  <c r="AB351" i="20"/>
  <c r="AG351" i="20"/>
  <c r="AH351" i="20"/>
  <c r="AD351" i="20"/>
  <c r="AN347" i="20"/>
  <c r="AL347" i="20"/>
  <c r="Y347" i="20"/>
  <c r="AI347" i="20"/>
  <c r="AF347" i="20"/>
  <c r="AB347" i="20"/>
  <c r="Z347" i="20"/>
  <c r="AG347" i="20"/>
  <c r="AE347" i="20"/>
  <c r="AC347" i="20"/>
  <c r="AA347" i="20"/>
  <c r="AD347" i="20"/>
  <c r="AK347" i="20"/>
  <c r="AN343" i="20"/>
  <c r="Z343" i="20"/>
  <c r="AC343" i="20"/>
  <c r="AG343" i="20"/>
  <c r="AE343" i="20"/>
  <c r="AA343" i="20"/>
  <c r="AL343" i="20"/>
  <c r="AF343" i="20"/>
  <c r="AD343" i="20"/>
  <c r="AB343" i="20"/>
  <c r="AI343" i="20"/>
  <c r="Y343" i="20"/>
  <c r="AN339" i="20"/>
  <c r="AJ339" i="20"/>
  <c r="AF339" i="20"/>
  <c r="Z339" i="20"/>
  <c r="AK339" i="20"/>
  <c r="AA339" i="20"/>
  <c r="AD339" i="20"/>
  <c r="Y339" i="20"/>
  <c r="AB339" i="20"/>
  <c r="AG339" i="20"/>
  <c r="AE339" i="20"/>
  <c r="AC339" i="20"/>
  <c r="AN335" i="20"/>
  <c r="AB335" i="20"/>
  <c r="Z335" i="20"/>
  <c r="AC335" i="20"/>
  <c r="AK335" i="20"/>
  <c r="AE335" i="20"/>
  <c r="Y335" i="20"/>
  <c r="AI335" i="20"/>
  <c r="AG335" i="20"/>
  <c r="AF335" i="20"/>
  <c r="AA335" i="20"/>
  <c r="AN331" i="20"/>
  <c r="AF331" i="20"/>
  <c r="Y331" i="20"/>
  <c r="AL331" i="20"/>
  <c r="AA331" i="20"/>
  <c r="AD331" i="20"/>
  <c r="AC331" i="20"/>
  <c r="AK331" i="20"/>
  <c r="AE331" i="20"/>
  <c r="Z331" i="20"/>
  <c r="AB331" i="20"/>
  <c r="AG331" i="20"/>
  <c r="AN327" i="20"/>
  <c r="AK327" i="20"/>
  <c r="AC327" i="20"/>
  <c r="AB327" i="20"/>
  <c r="AD327" i="20"/>
  <c r="AF327" i="20"/>
  <c r="AA327" i="20"/>
  <c r="Y327" i="20"/>
  <c r="AI327" i="20"/>
  <c r="AE327" i="20"/>
  <c r="AG327" i="20"/>
  <c r="Z327" i="20"/>
  <c r="AN326" i="20"/>
  <c r="AJ326" i="20"/>
  <c r="AE326" i="20"/>
  <c r="Y326" i="20"/>
  <c r="AC326" i="20"/>
  <c r="AF326" i="20"/>
  <c r="AB326" i="20"/>
  <c r="Z326" i="20"/>
  <c r="AK326" i="20"/>
  <c r="AA326" i="20"/>
  <c r="AD326" i="20"/>
  <c r="AG326" i="20"/>
  <c r="AN319" i="20"/>
  <c r="AI319" i="20"/>
  <c r="AF319" i="20"/>
  <c r="AB319" i="20"/>
  <c r="Y319" i="20"/>
  <c r="AD319" i="20"/>
  <c r="AC319" i="20"/>
  <c r="Z319" i="20"/>
  <c r="AK319" i="20"/>
  <c r="AG319" i="20"/>
  <c r="AE315" i="20"/>
  <c r="AN315" i="20"/>
  <c r="Y315" i="20"/>
  <c r="AB315" i="20"/>
  <c r="AH315" i="20"/>
  <c r="AK315" i="20"/>
  <c r="AI315" i="20"/>
  <c r="Z315" i="20"/>
  <c r="AF315" i="20"/>
  <c r="AG315" i="20"/>
  <c r="AC315" i="20"/>
  <c r="AL315" i="20"/>
  <c r="AJ315" i="20"/>
  <c r="AD315" i="20"/>
  <c r="AD307" i="20"/>
  <c r="AE307" i="20"/>
  <c r="AF307" i="20"/>
  <c r="AG307" i="20"/>
  <c r="AA307" i="20"/>
  <c r="AN307" i="20"/>
  <c r="AL307" i="20"/>
  <c r="Z307" i="20"/>
  <c r="AH307" i="20"/>
  <c r="AJ307" i="20"/>
  <c r="AI307" i="20"/>
  <c r="AC307" i="20"/>
  <c r="Y307" i="20"/>
  <c r="AK307" i="20"/>
  <c r="AB307" i="20"/>
  <c r="Y303" i="20"/>
  <c r="AE303" i="20"/>
  <c r="AN303" i="20"/>
  <c r="AC303" i="20"/>
  <c r="AH303" i="20"/>
  <c r="AJ303" i="20"/>
  <c r="AI303" i="20"/>
  <c r="Z303" i="20"/>
  <c r="AB303" i="20"/>
  <c r="AD303" i="20"/>
  <c r="AF303" i="20"/>
  <c r="AK303" i="20"/>
  <c r="AG303" i="20"/>
  <c r="AA303" i="20"/>
  <c r="AL303" i="20"/>
  <c r="AB299" i="20"/>
  <c r="Y299" i="20"/>
  <c r="AG299" i="20"/>
  <c r="AC299" i="20"/>
  <c r="AE299" i="20"/>
  <c r="AF299" i="20"/>
  <c r="AD299" i="20"/>
  <c r="Z299" i="20"/>
  <c r="AN299" i="20"/>
  <c r="AJ299" i="20"/>
  <c r="AI299" i="20"/>
  <c r="AH299" i="20"/>
  <c r="AL299" i="20"/>
  <c r="AK299" i="20"/>
  <c r="AA299" i="20"/>
  <c r="AN295" i="20"/>
  <c r="AB295" i="20"/>
  <c r="Z295" i="20"/>
  <c r="AJ295" i="20"/>
  <c r="AI295" i="20"/>
  <c r="AE295" i="20"/>
  <c r="AD295" i="20"/>
  <c r="Y295" i="20"/>
  <c r="AG295" i="20"/>
  <c r="AH295" i="20"/>
  <c r="AC295" i="20"/>
  <c r="AK295" i="20"/>
  <c r="AF295" i="20"/>
  <c r="AL295" i="20"/>
  <c r="AA295" i="20"/>
  <c r="AJ291" i="20"/>
  <c r="AN291" i="20"/>
  <c r="AB291" i="20"/>
  <c r="AF291" i="20"/>
  <c r="AI291" i="20"/>
  <c r="AG291" i="20"/>
  <c r="AK291" i="20"/>
  <c r="Z291" i="20"/>
  <c r="AD291" i="20"/>
  <c r="AH291" i="20"/>
  <c r="AE291" i="20"/>
  <c r="AA291" i="20"/>
  <c r="Y291" i="20"/>
  <c r="AC291" i="20"/>
  <c r="AL291" i="20"/>
  <c r="AN287" i="20"/>
  <c r="AF287" i="20"/>
  <c r="AA287" i="20"/>
  <c r="Z287" i="20"/>
  <c r="AJ287" i="20"/>
  <c r="AL287" i="20"/>
  <c r="AG287" i="20"/>
  <c r="AI287" i="20"/>
  <c r="Y287" i="20"/>
  <c r="AE287" i="20"/>
  <c r="AK287" i="20"/>
  <c r="AB287" i="20"/>
  <c r="AD287" i="20"/>
  <c r="AC287" i="20"/>
  <c r="AH287" i="20"/>
  <c r="AN283" i="20"/>
  <c r="AE283" i="20"/>
  <c r="AB283" i="20"/>
  <c r="AA283" i="20"/>
  <c r="AJ283" i="20"/>
  <c r="AL283" i="20"/>
  <c r="AD283" i="20"/>
  <c r="AC283" i="20"/>
  <c r="Y283" i="20"/>
  <c r="AH283" i="20"/>
  <c r="AG283" i="20"/>
  <c r="AI283" i="20"/>
  <c r="AK283" i="20"/>
  <c r="Z283" i="20"/>
  <c r="AF283" i="20"/>
  <c r="AB279" i="20"/>
  <c r="AH279" i="20"/>
  <c r="AN279" i="20"/>
  <c r="Y279" i="20"/>
  <c r="Z279" i="20"/>
  <c r="AJ279" i="20"/>
  <c r="AE279" i="20"/>
  <c r="AD279" i="20"/>
  <c r="AI279" i="20"/>
  <c r="AK279" i="20"/>
  <c r="AA279" i="20"/>
  <c r="AF279" i="20"/>
  <c r="AC279" i="20"/>
  <c r="AG279" i="20"/>
  <c r="AL279" i="20"/>
  <c r="AN275" i="20"/>
  <c r="AA275" i="20"/>
  <c r="AK275" i="20"/>
  <c r="AG275" i="20"/>
  <c r="AB275" i="20"/>
  <c r="AD275" i="20"/>
  <c r="AI275" i="20"/>
  <c r="Y275" i="20"/>
  <c r="AE275" i="20"/>
  <c r="AF275" i="20"/>
  <c r="AL275" i="20"/>
  <c r="AC275" i="20"/>
  <c r="AJ275" i="20"/>
  <c r="Z275" i="20"/>
  <c r="AN271" i="20"/>
  <c r="AE271" i="20"/>
  <c r="AG271" i="20"/>
  <c r="AF271" i="20"/>
  <c r="AI271" i="20"/>
  <c r="Z271" i="20"/>
  <c r="AC271" i="20"/>
  <c r="AK271" i="20"/>
  <c r="AA271" i="20"/>
  <c r="AD271" i="20"/>
  <c r="AB271" i="20"/>
  <c r="Y271" i="20"/>
  <c r="AL271" i="20"/>
  <c r="AH271" i="20"/>
  <c r="AN267" i="20"/>
  <c r="AD267" i="20"/>
  <c r="AH267" i="20"/>
  <c r="AB267" i="20"/>
  <c r="AG267" i="20"/>
  <c r="AI267" i="20"/>
  <c r="AK267" i="20"/>
  <c r="AA267" i="20"/>
  <c r="AE267" i="20"/>
  <c r="Y267" i="20"/>
  <c r="AJ267" i="20"/>
  <c r="AL267" i="20"/>
  <c r="Z267" i="20"/>
  <c r="AF267" i="20"/>
  <c r="AC267" i="20"/>
  <c r="AN263" i="20"/>
  <c r="AL263" i="20"/>
  <c r="AJ263" i="20"/>
  <c r="AK263" i="20"/>
  <c r="AC263" i="20"/>
  <c r="AF263" i="20"/>
  <c r="AH263" i="20"/>
  <c r="AI263" i="20"/>
  <c r="AA263" i="20"/>
  <c r="AB263" i="20"/>
  <c r="Y263" i="20"/>
  <c r="AD263" i="20"/>
  <c r="Z263" i="20"/>
  <c r="AG263" i="20"/>
  <c r="AE263" i="20"/>
  <c r="AF259" i="20"/>
  <c r="AL259" i="20"/>
  <c r="AJ259" i="20"/>
  <c r="AI259" i="20"/>
  <c r="AE259" i="20"/>
  <c r="AA259" i="20"/>
  <c r="Y259" i="20"/>
  <c r="Z259" i="20"/>
  <c r="AN259" i="20"/>
  <c r="AD259" i="20"/>
  <c r="AK259" i="20"/>
  <c r="AB259" i="20"/>
  <c r="AC259" i="20"/>
  <c r="AH259" i="20"/>
  <c r="AN255" i="20"/>
  <c r="AF255" i="20"/>
  <c r="AG255" i="20"/>
  <c r="Z255" i="20"/>
  <c r="AJ255" i="20"/>
  <c r="AE255" i="20"/>
  <c r="AD255" i="20"/>
  <c r="AK255" i="20"/>
  <c r="AL255" i="20"/>
  <c r="AB255" i="20"/>
  <c r="AI255" i="20"/>
  <c r="Y255" i="20"/>
  <c r="AC255" i="20"/>
  <c r="AH255" i="20"/>
  <c r="AA255" i="20"/>
  <c r="AN251" i="20"/>
  <c r="Y251" i="20"/>
  <c r="AE251" i="20"/>
  <c r="AA251" i="20"/>
  <c r="AF251" i="20"/>
  <c r="AK251" i="20"/>
  <c r="AD251" i="20"/>
  <c r="Z251" i="20"/>
  <c r="AC251" i="20"/>
  <c r="AB251" i="20"/>
  <c r="AG251" i="20"/>
  <c r="AL251" i="20"/>
  <c r="AN247" i="20"/>
  <c r="AD247" i="20"/>
  <c r="Z247" i="20"/>
  <c r="Y247" i="20"/>
  <c r="AG247" i="20"/>
  <c r="AK247" i="20"/>
  <c r="AF247" i="20"/>
  <c r="AE247" i="20"/>
  <c r="AC247" i="20"/>
  <c r="AL247" i="20"/>
  <c r="AB247" i="20"/>
  <c r="AA247" i="20"/>
  <c r="AJ243" i="20"/>
  <c r="Y243" i="20"/>
  <c r="Z243" i="20"/>
  <c r="AK243" i="20"/>
  <c r="M16" i="37"/>
  <c r="AG243" i="20"/>
  <c r="AC243" i="20"/>
  <c r="AN243" i="20"/>
  <c r="AL243" i="20"/>
  <c r="AI243" i="20"/>
  <c r="AA243" i="20"/>
  <c r="AF243" i="20"/>
  <c r="AB243" i="20"/>
  <c r="AD243" i="20"/>
  <c r="AE243" i="20"/>
  <c r="AH243" i="20"/>
  <c r="AN239" i="20"/>
  <c r="Z239" i="20"/>
  <c r="Y239" i="20"/>
  <c r="AG239" i="20"/>
  <c r="AF239" i="20"/>
  <c r="AC239" i="20"/>
  <c r="AE239" i="20"/>
  <c r="AA239" i="20"/>
  <c r="AK239" i="20"/>
  <c r="AB239" i="20"/>
  <c r="AN235" i="20"/>
  <c r="Z235" i="20"/>
  <c r="AG235" i="20"/>
  <c r="AK235" i="20"/>
  <c r="AD235" i="20"/>
  <c r="AF235" i="20"/>
  <c r="Y235" i="20"/>
  <c r="AC235" i="20"/>
  <c r="AB235" i="20"/>
  <c r="Y231" i="20"/>
  <c r="AF231" i="20"/>
  <c r="AN231" i="20"/>
  <c r="AG231" i="20"/>
  <c r="AE231" i="20"/>
  <c r="AK231" i="20"/>
  <c r="AD231" i="20"/>
  <c r="AA231" i="20"/>
  <c r="Z231" i="20"/>
  <c r="AI231" i="20"/>
  <c r="AC231" i="20"/>
  <c r="AH231" i="20"/>
  <c r="AB231" i="20"/>
  <c r="AN227" i="20"/>
  <c r="AD227" i="20"/>
  <c r="Y227" i="20"/>
  <c r="Z227" i="20"/>
  <c r="AK227" i="20"/>
  <c r="AG227" i="20"/>
  <c r="AC227" i="20"/>
  <c r="AF227" i="20"/>
  <c r="AL227" i="20"/>
  <c r="AH227" i="20"/>
  <c r="AI227" i="20"/>
  <c r="AA227" i="20"/>
  <c r="AB227" i="20"/>
  <c r="AE227" i="20"/>
  <c r="AJ227" i="20"/>
  <c r="AN223" i="20"/>
  <c r="AJ223" i="20"/>
  <c r="AK223" i="20"/>
  <c r="AG223" i="20"/>
  <c r="AH223" i="20"/>
  <c r="AC223" i="20"/>
  <c r="AD223" i="20"/>
  <c r="AL223" i="20"/>
  <c r="AN208" i="20"/>
  <c r="Y208" i="20"/>
  <c r="AK208" i="20"/>
  <c r="AC208" i="20"/>
  <c r="AF208" i="20"/>
  <c r="AE208" i="20"/>
  <c r="AD208" i="20"/>
  <c r="AA208" i="20"/>
  <c r="AG208" i="20"/>
  <c r="AJ208" i="20"/>
  <c r="AB208" i="20"/>
  <c r="Z208" i="20"/>
  <c r="AH208" i="20"/>
  <c r="AH202" i="20"/>
  <c r="AB202" i="20"/>
  <c r="AK202" i="20"/>
  <c r="AE202" i="20"/>
  <c r="AL202" i="20"/>
  <c r="AF202" i="20"/>
  <c r="Z202" i="20"/>
  <c r="AD202" i="20"/>
  <c r="AA202" i="20"/>
  <c r="Y202" i="20"/>
  <c r="AN202" i="20"/>
  <c r="AC202" i="20"/>
  <c r="AG202" i="20"/>
  <c r="AJ202" i="20"/>
  <c r="AI202" i="20"/>
  <c r="AG200" i="20"/>
  <c r="AF200" i="20"/>
  <c r="AD200" i="20"/>
  <c r="AJ200" i="20"/>
  <c r="AA200" i="20"/>
  <c r="AK200" i="20"/>
  <c r="Z200" i="20"/>
  <c r="AL200" i="20"/>
  <c r="AE200" i="20"/>
  <c r="AI200" i="20"/>
  <c r="Y200" i="20"/>
  <c r="AN200" i="20"/>
  <c r="AC200" i="20"/>
  <c r="AH200" i="20"/>
  <c r="AB200" i="20"/>
  <c r="AI196" i="20"/>
  <c r="AD196" i="20"/>
  <c r="AN196" i="20"/>
  <c r="AA196" i="20"/>
  <c r="Y196" i="20"/>
  <c r="AC196" i="20"/>
  <c r="AE196" i="20"/>
  <c r="AK196" i="20"/>
  <c r="Z196" i="20"/>
  <c r="AJ196" i="20"/>
  <c r="AB196" i="20"/>
  <c r="AG196" i="20"/>
  <c r="AH196" i="20"/>
  <c r="AL196" i="20"/>
  <c r="AF196" i="20"/>
  <c r="AB192" i="20"/>
  <c r="AL192" i="20"/>
  <c r="AG192" i="20"/>
  <c r="AE192" i="20"/>
  <c r="AA192" i="20"/>
  <c r="Z192" i="20"/>
  <c r="AC192" i="20"/>
  <c r="AI192" i="20"/>
  <c r="AJ192" i="20"/>
  <c r="Y192" i="20"/>
  <c r="AK192" i="20"/>
  <c r="AF192" i="20"/>
  <c r="AD192" i="20"/>
  <c r="AN192" i="20"/>
  <c r="AH192" i="20"/>
  <c r="AC188" i="20"/>
  <c r="Z188" i="20"/>
  <c r="AL188" i="20"/>
  <c r="AB188" i="20"/>
  <c r="AG188" i="20"/>
  <c r="AE188" i="20"/>
  <c r="AH188" i="20"/>
  <c r="AN188" i="20"/>
  <c r="AJ188" i="20"/>
  <c r="AD188" i="20"/>
  <c r="Y188" i="20"/>
  <c r="AA188" i="20"/>
  <c r="AI188" i="20"/>
  <c r="AK188" i="20"/>
  <c r="AF188" i="20"/>
  <c r="AG183" i="20"/>
  <c r="AE183" i="20"/>
  <c r="AB183" i="20"/>
  <c r="AN183" i="20"/>
  <c r="AK183" i="20"/>
  <c r="Z183" i="20"/>
  <c r="AJ183" i="20"/>
  <c r="AH183" i="20"/>
  <c r="AC183" i="20"/>
  <c r="AD183" i="20"/>
  <c r="AA183" i="20"/>
  <c r="AL183" i="20"/>
  <c r="Y183" i="20"/>
  <c r="AI183" i="20"/>
  <c r="AF183" i="20"/>
  <c r="Y180" i="20"/>
  <c r="AJ180" i="20"/>
  <c r="AL180" i="20"/>
  <c r="AD180" i="20"/>
  <c r="AC180" i="20"/>
  <c r="AB180" i="20"/>
  <c r="AK180" i="20"/>
  <c r="AE180" i="20"/>
  <c r="AA180" i="20"/>
  <c r="AN180" i="20"/>
  <c r="AI180" i="20"/>
  <c r="Z180" i="20"/>
  <c r="AF180" i="20"/>
  <c r="AH180" i="20"/>
  <c r="AG180" i="20"/>
  <c r="AJ174" i="20"/>
  <c r="AC174" i="20"/>
  <c r="AE174" i="20"/>
  <c r="AN174" i="20"/>
  <c r="AG174" i="20"/>
  <c r="AI174" i="20"/>
  <c r="Z174" i="20"/>
  <c r="AB174" i="20"/>
  <c r="AH174" i="20"/>
  <c r="AA174" i="20"/>
  <c r="Y174" i="20"/>
  <c r="AL174" i="20"/>
  <c r="AK174" i="20"/>
  <c r="AF174" i="20"/>
  <c r="AD174" i="20"/>
  <c r="AF162" i="20"/>
  <c r="Y162" i="20"/>
  <c r="AI162" i="20"/>
  <c r="AJ162" i="20"/>
  <c r="AC162" i="20"/>
  <c r="AD162" i="20"/>
  <c r="AH162" i="20"/>
  <c r="AB162" i="20"/>
  <c r="AE162" i="20"/>
  <c r="AL162" i="20"/>
  <c r="AN162" i="20"/>
  <c r="AG162" i="20"/>
  <c r="Z162" i="20"/>
  <c r="AA162" i="20"/>
  <c r="AK162" i="20"/>
  <c r="AG152" i="20"/>
  <c r="Z152" i="20"/>
  <c r="AH152" i="20"/>
  <c r="AI152" i="20"/>
  <c r="AK152" i="20"/>
  <c r="AE152" i="20"/>
  <c r="AA152" i="20"/>
  <c r="AC152" i="20"/>
  <c r="AD152" i="20"/>
  <c r="AB152" i="20"/>
  <c r="AF152" i="20"/>
  <c r="AJ152" i="20"/>
  <c r="Y152" i="20"/>
  <c r="AL152" i="20"/>
  <c r="AN152" i="20"/>
  <c r="AF153" i="20"/>
  <c r="Y153" i="20"/>
  <c r="AE153" i="20"/>
  <c r="AH153" i="20"/>
  <c r="AL153" i="20"/>
  <c r="AJ153" i="20"/>
  <c r="AC153" i="20"/>
  <c r="AI153" i="20"/>
  <c r="AK153" i="20"/>
  <c r="AG153" i="20"/>
  <c r="AA153" i="20"/>
  <c r="Z153" i="20"/>
  <c r="AD153" i="20"/>
  <c r="AB153" i="20"/>
  <c r="AN153" i="20"/>
  <c r="AD146" i="20"/>
  <c r="AB146" i="20"/>
  <c r="AH146" i="20"/>
  <c r="AF146" i="20"/>
  <c r="Y146" i="20"/>
  <c r="AL146" i="20"/>
  <c r="AI146" i="20"/>
  <c r="AE146" i="20"/>
  <c r="Z146" i="20"/>
  <c r="AJ146" i="20"/>
  <c r="AC146" i="20"/>
  <c r="AK146" i="20"/>
  <c r="AN146" i="20"/>
  <c r="AA146" i="20"/>
  <c r="AG146" i="20"/>
  <c r="AF123" i="20"/>
  <c r="Y123" i="20"/>
  <c r="AJ123" i="20"/>
  <c r="AC123" i="20"/>
  <c r="AE123" i="20"/>
  <c r="AD123" i="20"/>
  <c r="AH123" i="20"/>
  <c r="Z123" i="20"/>
  <c r="AA123" i="20"/>
  <c r="AL123" i="20"/>
  <c r="AN123" i="20"/>
  <c r="AG123" i="20"/>
  <c r="AI123" i="20"/>
  <c r="AK123" i="20"/>
  <c r="AB123" i="20"/>
  <c r="AH116" i="20"/>
  <c r="AB116" i="20"/>
  <c r="AL116" i="20"/>
  <c r="AF116" i="20"/>
  <c r="AC116" i="20"/>
  <c r="AJ116" i="20"/>
  <c r="AE116" i="20"/>
  <c r="AI116" i="20"/>
  <c r="AG116" i="20"/>
  <c r="AN116" i="20"/>
  <c r="AK116" i="20"/>
  <c r="Y116" i="20"/>
  <c r="AD116" i="20"/>
  <c r="Z116" i="20"/>
  <c r="AA116" i="20"/>
  <c r="AK111" i="20"/>
  <c r="Z111" i="20"/>
  <c r="Y111" i="20"/>
  <c r="AD111" i="20"/>
  <c r="AF111" i="20"/>
  <c r="AE111" i="20"/>
  <c r="AC111" i="20"/>
  <c r="AG111" i="20"/>
  <c r="AH111" i="20"/>
  <c r="AN111" i="20"/>
  <c r="AB111" i="20"/>
  <c r="AI111" i="20"/>
  <c r="AJ111" i="20"/>
  <c r="AA111" i="20"/>
  <c r="AL111" i="20"/>
  <c r="Z106" i="20"/>
  <c r="AN106" i="20"/>
  <c r="AI106" i="20"/>
  <c r="AD106" i="20"/>
  <c r="AB106" i="20"/>
  <c r="AE106" i="20"/>
  <c r="AH106" i="20"/>
  <c r="AJ106" i="20"/>
  <c r="AC106" i="20"/>
  <c r="AL106" i="20"/>
  <c r="AK106" i="20"/>
  <c r="Y106" i="20"/>
  <c r="AF106" i="20"/>
  <c r="AG106" i="20"/>
  <c r="AA106" i="20"/>
  <c r="AH102" i="20"/>
  <c r="AB102" i="20"/>
  <c r="AA102" i="20"/>
  <c r="AC102" i="20"/>
  <c r="Y102" i="20"/>
  <c r="AE102" i="20"/>
  <c r="AL102" i="20"/>
  <c r="AF102" i="20"/>
  <c r="AI102" i="20"/>
  <c r="AK102" i="20"/>
  <c r="AG102" i="20"/>
  <c r="Z102" i="20"/>
  <c r="AJ102" i="20"/>
  <c r="AD102" i="20"/>
  <c r="AN102" i="20"/>
  <c r="AD107" i="20"/>
  <c r="AB107" i="20"/>
  <c r="AA107" i="20"/>
  <c r="AC107" i="20"/>
  <c r="AG107" i="20"/>
  <c r="AE107" i="20"/>
  <c r="AH107" i="20"/>
  <c r="AF107" i="20"/>
  <c r="AI107" i="20"/>
  <c r="AK107" i="20"/>
  <c r="AJ107" i="20"/>
  <c r="Z107" i="20"/>
  <c r="AN107" i="20"/>
  <c r="AL107" i="20"/>
  <c r="Y107" i="20"/>
  <c r="AT481" i="20"/>
  <c r="AT535" i="20"/>
  <c r="AT775" i="20"/>
  <c r="AT560" i="20"/>
  <c r="AT710" i="20"/>
  <c r="AT685" i="20"/>
  <c r="AT581" i="20"/>
  <c r="AT598" i="20"/>
  <c r="AT617" i="20"/>
  <c r="AT576" i="20"/>
  <c r="AT758" i="20"/>
  <c r="AT445" i="20"/>
  <c r="AT451" i="20"/>
  <c r="AT548" i="20"/>
  <c r="AT521" i="20"/>
  <c r="AT370" i="20"/>
  <c r="AL651" i="20"/>
  <c r="AL579" i="20"/>
  <c r="AL868" i="20"/>
  <c r="AJ928" i="20"/>
  <c r="AJ835" i="20"/>
  <c r="AJ556" i="20"/>
  <c r="AJ491" i="20"/>
  <c r="AJ948" i="20"/>
  <c r="AI391" i="20"/>
  <c r="AI627" i="20"/>
  <c r="AI940" i="20"/>
  <c r="AL731" i="20"/>
  <c r="AL1056" i="20"/>
  <c r="AL779" i="20"/>
  <c r="AL703" i="20"/>
  <c r="AL691" i="20"/>
  <c r="AI571" i="20"/>
  <c r="AI687" i="20"/>
  <c r="AI1012" i="20"/>
  <c r="AI651" i="20"/>
  <c r="AI928" i="20"/>
  <c r="AI339" i="20"/>
  <c r="AI916" i="20"/>
  <c r="AI911" i="20"/>
  <c r="AI543" i="20"/>
  <c r="AI779" i="20"/>
  <c r="AI655" i="20"/>
  <c r="AI1049" i="20"/>
  <c r="AJ417" i="20"/>
  <c r="AJ367" i="20"/>
  <c r="AJ743" i="20"/>
  <c r="AL775" i="20"/>
  <c r="AL1039" i="20"/>
  <c r="AH707" i="20"/>
  <c r="AI539" i="20"/>
  <c r="AI239" i="20"/>
  <c r="AI643" i="20"/>
  <c r="AJ727" i="20"/>
  <c r="AJ575" i="20"/>
  <c r="AJ995" i="20"/>
  <c r="AJ936" i="20"/>
  <c r="AJ271" i="20"/>
  <c r="AJ1004" i="20"/>
  <c r="AJ691" i="20"/>
  <c r="AL811" i="20"/>
  <c r="AL763" i="20"/>
  <c r="AL916" i="20"/>
  <c r="AL711" i="20"/>
  <c r="AL631" i="20"/>
  <c r="AL412" i="20"/>
  <c r="AJ319" i="20"/>
  <c r="AJ956" i="20"/>
  <c r="AJ231" i="20"/>
  <c r="AJ842" i="20"/>
  <c r="AJ940" i="20"/>
  <c r="AJ455" i="20"/>
  <c r="AJ882" i="20"/>
  <c r="AJ1007" i="20"/>
  <c r="AJ435" i="20"/>
  <c r="AJ1039" i="20"/>
  <c r="AJ591" i="20"/>
  <c r="AJ247" i="20"/>
  <c r="AJ675" i="20"/>
  <c r="AL903" i="20"/>
  <c r="AL561" i="20"/>
  <c r="AL417" i="20"/>
  <c r="AL799" i="20"/>
  <c r="AL920" i="20"/>
  <c r="AL755" i="20"/>
  <c r="AL479" i="20"/>
  <c r="AL463" i="20"/>
  <c r="AL899" i="20"/>
  <c r="AL864" i="20"/>
  <c r="AL239" i="20"/>
  <c r="AL511" i="20"/>
  <c r="AF395" i="20"/>
  <c r="AH339" i="20"/>
  <c r="AH978" i="20"/>
  <c r="AH899" i="20"/>
  <c r="AH1021" i="20"/>
  <c r="AH587" i="20"/>
  <c r="AH235" i="20"/>
  <c r="AH642" i="20"/>
  <c r="AH603" i="20"/>
  <c r="AL907" i="20"/>
  <c r="AL495" i="20"/>
  <c r="AL567" i="20"/>
  <c r="AL767" i="20"/>
  <c r="AL407" i="20"/>
  <c r="AL543" i="20"/>
  <c r="AL467" i="20"/>
  <c r="AL326" i="20"/>
  <c r="AH775" i="20"/>
  <c r="AH388" i="20"/>
  <c r="AH739" i="20"/>
  <c r="AH531" i="20"/>
  <c r="AH974" i="20"/>
  <c r="AH903" i="20"/>
  <c r="AH727" i="20"/>
  <c r="AH491" i="20"/>
  <c r="AH920" i="20"/>
  <c r="AH703" i="20"/>
  <c r="AH326" i="20"/>
  <c r="AH763" i="20"/>
  <c r="AH759" i="20"/>
  <c r="AH663" i="20"/>
  <c r="AH960" i="20"/>
  <c r="AH435" i="20"/>
  <c r="AH507" i="20"/>
  <c r="AH511" i="20"/>
  <c r="AH443" i="20"/>
  <c r="AH412" i="20"/>
  <c r="AB223" i="20"/>
  <c r="AA223" i="20"/>
  <c r="AI223" i="20"/>
  <c r="Y783" i="20"/>
  <c r="AB903" i="20"/>
  <c r="AA715" i="20"/>
  <c r="Z1072" i="20"/>
  <c r="AG695" i="20"/>
  <c r="AD499" i="20"/>
  <c r="Z835" i="20"/>
  <c r="AA723" i="20"/>
  <c r="Z1039" i="20"/>
  <c r="Y839" i="20"/>
  <c r="AG687" i="20"/>
  <c r="AC638" i="20"/>
  <c r="AK715" i="20"/>
  <c r="Z986" i="20"/>
  <c r="AD890" i="20"/>
  <c r="Y1076" i="20"/>
  <c r="Z531" i="20"/>
  <c r="Y1021" i="20"/>
  <c r="AA687" i="20"/>
  <c r="AC936" i="20"/>
  <c r="AF771" i="20"/>
  <c r="AC907" i="20"/>
  <c r="AD1068" i="20"/>
  <c r="AG1056" i="20"/>
  <c r="AG907" i="20"/>
  <c r="AF1064" i="20"/>
  <c r="AF848" i="20"/>
  <c r="AE731" i="20"/>
  <c r="AE587" i="20"/>
  <c r="AB551" i="20"/>
  <c r="AA647" i="20"/>
  <c r="AA1021" i="20"/>
  <c r="AC966" i="20"/>
  <c r="Y1007" i="20"/>
  <c r="AC519" i="20"/>
  <c r="AG823" i="20"/>
  <c r="AE638" i="20"/>
  <c r="AG659" i="20"/>
  <c r="AD715" i="20"/>
  <c r="Z995" i="20"/>
  <c r="AG970" i="20"/>
  <c r="AF940" i="20"/>
  <c r="AD619" i="20"/>
  <c r="Z823" i="20"/>
  <c r="AC731" i="20"/>
  <c r="AB695" i="20"/>
  <c r="Z759" i="20"/>
  <c r="AF1060" i="20"/>
  <c r="Y719" i="20"/>
  <c r="AC459" i="20"/>
  <c r="Y886" i="20"/>
  <c r="AC815" i="20"/>
  <c r="AB882" i="20"/>
  <c r="AE986" i="20"/>
  <c r="Y1012" i="20"/>
  <c r="AC916" i="20"/>
  <c r="AB727" i="20"/>
  <c r="AC642" i="20"/>
  <c r="AA691" i="20"/>
  <c r="AB507" i="20"/>
  <c r="AG483" i="20"/>
  <c r="Y395" i="20"/>
  <c r="AC956" i="20"/>
  <c r="AE515" i="20"/>
  <c r="AB556" i="20"/>
  <c r="AE463" i="20"/>
  <c r="AB527" i="20"/>
  <c r="AF615" i="20"/>
  <c r="Z591" i="20"/>
  <c r="AG447" i="20"/>
  <c r="AA311" i="20"/>
  <c r="AI587" i="20"/>
  <c r="AC1096" i="20"/>
  <c r="AT744" i="20"/>
  <c r="AT666" i="20"/>
  <c r="AT409" i="20"/>
  <c r="AT894" i="20"/>
  <c r="AT493" i="20"/>
  <c r="AT1100" i="20"/>
  <c r="AT1000" i="20"/>
  <c r="AT891" i="20"/>
  <c r="AT962" i="20"/>
  <c r="AT916" i="20"/>
  <c r="AT756" i="20"/>
  <c r="AT936" i="20"/>
  <c r="AT866" i="20"/>
  <c r="AT1081" i="20"/>
  <c r="AT923" i="20"/>
  <c r="AT542" i="20"/>
  <c r="AT679" i="20"/>
  <c r="AT235" i="20"/>
  <c r="AT901" i="20"/>
  <c r="AT398" i="20"/>
  <c r="AN811" i="20"/>
  <c r="AD811" i="20"/>
  <c r="AE811" i="20"/>
  <c r="AF811" i="20"/>
  <c r="AI811" i="20"/>
  <c r="AC811" i="20"/>
  <c r="AB811" i="20"/>
  <c r="AA811" i="20"/>
  <c r="Z811" i="20"/>
  <c r="AH811" i="20"/>
  <c r="AG811" i="20"/>
  <c r="AT835" i="20"/>
  <c r="AT368" i="20"/>
  <c r="AT550" i="20"/>
  <c r="AT380" i="20"/>
  <c r="AT582" i="20"/>
  <c r="AL944" i="20"/>
  <c r="AJ423" i="20"/>
  <c r="AJ751" i="20"/>
  <c r="H17" i="86"/>
  <c r="K17" i="86"/>
  <c r="AJ878" i="20"/>
  <c r="AJ363" i="20"/>
  <c r="AJ1068" i="20"/>
  <c r="AI383" i="20"/>
  <c r="AI623" i="20"/>
  <c r="AI803" i="20"/>
  <c r="AI251" i="20"/>
  <c r="AI924" i="20"/>
  <c r="AI591" i="20"/>
  <c r="AI495" i="20"/>
  <c r="AI1007" i="20"/>
  <c r="AI455" i="20"/>
  <c r="AI431" i="20"/>
  <c r="AI603" i="20"/>
  <c r="AI735" i="20"/>
  <c r="AI1051" i="20"/>
  <c r="AL751" i="20"/>
  <c r="AI903" i="20"/>
  <c r="AI561" i="20"/>
  <c r="AI417" i="20"/>
  <c r="AI799" i="20"/>
  <c r="AI890" i="20"/>
  <c r="AJ903" i="20"/>
  <c r="AJ671" i="20"/>
  <c r="AJ561" i="20"/>
  <c r="AJ1000" i="20"/>
  <c r="AJ619" i="20"/>
  <c r="AJ638" i="20"/>
  <c r="AJ565" i="20"/>
  <c r="AJ399" i="20"/>
  <c r="AL978" i="20"/>
  <c r="AL940" i="20"/>
  <c r="AL339" i="20"/>
  <c r="AL531" i="20"/>
  <c r="AL235" i="20"/>
  <c r="AH335" i="20"/>
  <c r="AI711" i="20"/>
  <c r="AI483" i="20"/>
  <c r="AI1004" i="20"/>
  <c r="AI607" i="20"/>
  <c r="AI235" i="20"/>
  <c r="AI511" i="20"/>
  <c r="AI691" i="20"/>
  <c r="AI443" i="20"/>
  <c r="AJ1076" i="20"/>
  <c r="AJ759" i="20"/>
  <c r="AJ647" i="20"/>
  <c r="AJ388" i="20"/>
  <c r="AJ857" i="20"/>
  <c r="AJ523" i="20"/>
  <c r="AJ853" i="20"/>
  <c r="AJ412" i="20"/>
  <c r="AJ511" i="20"/>
  <c r="AL1060" i="20"/>
  <c r="AL727" i="20"/>
  <c r="AL335" i="20"/>
  <c r="AL719" i="20"/>
  <c r="AL970" i="20"/>
  <c r="AL615" i="20"/>
  <c r="AL886" i="20"/>
  <c r="AL747" i="20"/>
  <c r="AL743" i="20"/>
  <c r="AJ719" i="20"/>
  <c r="AJ371" i="20"/>
  <c r="AJ944" i="20"/>
  <c r="AJ379" i="20"/>
  <c r="AJ447" i="20"/>
  <c r="AJ515" i="20"/>
  <c r="AJ815" i="20"/>
  <c r="AJ391" i="20"/>
  <c r="AJ327" i="20"/>
  <c r="AJ695" i="20"/>
  <c r="AJ1049" i="20"/>
  <c r="AL351" i="20"/>
  <c r="AL611" i="20"/>
  <c r="AL723" i="20"/>
  <c r="AH890" i="20"/>
  <c r="AH623" i="20"/>
  <c r="AH1076" i="20"/>
  <c r="AH731" i="20"/>
  <c r="AH527" i="20"/>
  <c r="AH823" i="20"/>
  <c r="AL835" i="20"/>
  <c r="AL966" i="20"/>
  <c r="AL627" i="20"/>
  <c r="AL675" i="20"/>
  <c r="AL771" i="20"/>
  <c r="AL595" i="20"/>
  <c r="AL395" i="20"/>
  <c r="AC395" i="20"/>
  <c r="AH779" i="20"/>
  <c r="AH928" i="20"/>
  <c r="AL986" i="20"/>
  <c r="AL683" i="20"/>
  <c r="AD395" i="20"/>
  <c r="AH783" i="20"/>
  <c r="AH347" i="20"/>
  <c r="AH956" i="20"/>
  <c r="AH687" i="20"/>
  <c r="AH895" i="20"/>
  <c r="AH842" i="20"/>
  <c r="AH1012" i="20"/>
  <c r="AH543" i="20"/>
  <c r="AH711" i="20"/>
  <c r="AH1007" i="20"/>
  <c r="AH311" i="20"/>
  <c r="AH631" i="20"/>
  <c r="AH1064" i="20"/>
  <c r="AH535" i="20"/>
  <c r="AH567" i="20"/>
  <c r="AH539" i="20"/>
  <c r="AH803" i="20"/>
  <c r="AH819" i="20"/>
  <c r="AH839" i="20"/>
  <c r="AE223" i="20"/>
  <c r="AK343" i="20"/>
  <c r="AB651" i="20"/>
  <c r="AC627" i="20"/>
  <c r="AC974" i="20"/>
  <c r="AE936" i="20"/>
  <c r="AE1044" i="20"/>
  <c r="AK823" i="20"/>
  <c r="AC1056" i="20"/>
  <c r="AE695" i="20"/>
  <c r="AB1064" i="20"/>
  <c r="AE815" i="20"/>
  <c r="AE791" i="20"/>
  <c r="AG835" i="20"/>
  <c r="AC895" i="20"/>
  <c r="Z936" i="20"/>
  <c r="AG535" i="20"/>
  <c r="AB479" i="20"/>
  <c r="AF803" i="20"/>
  <c r="AB944" i="20"/>
  <c r="AA699" i="20"/>
  <c r="AG791" i="20"/>
  <c r="AA719" i="20"/>
  <c r="AD1076" i="20"/>
  <c r="AB767" i="20"/>
  <c r="AD857" i="20"/>
  <c r="AE857" i="20"/>
  <c r="AB715" i="20"/>
  <c r="Z703" i="20"/>
  <c r="Y819" i="20"/>
  <c r="AD835" i="20"/>
  <c r="AB981" i="20"/>
  <c r="AC767" i="20"/>
  <c r="AE319" i="20"/>
  <c r="AF1000" i="20"/>
  <c r="AF759" i="20"/>
  <c r="AF1004" i="20"/>
  <c r="AG920" i="20"/>
  <c r="AF739" i="20"/>
  <c r="AC543" i="20"/>
  <c r="AE565" i="20"/>
  <c r="Z775" i="20"/>
  <c r="AK775" i="20"/>
  <c r="Z783" i="20"/>
  <c r="Y811" i="20"/>
  <c r="AF890" i="20"/>
  <c r="AE747" i="20"/>
  <c r="AG1004" i="20"/>
  <c r="AF960" i="20"/>
  <c r="AB739" i="20"/>
  <c r="AA755" i="20"/>
  <c r="AK763" i="20"/>
  <c r="Z747" i="20"/>
  <c r="AA591" i="20"/>
  <c r="AK451" i="20"/>
  <c r="AK679" i="20"/>
  <c r="AC567" i="20"/>
  <c r="AA319" i="20"/>
  <c r="AA531" i="20"/>
  <c r="AG259" i="20"/>
  <c r="AT699" i="20"/>
  <c r="AT337" i="20"/>
  <c r="AT240" i="20"/>
  <c r="AT1094" i="20"/>
  <c r="AT973" i="20"/>
  <c r="AT1091" i="20"/>
  <c r="AT996" i="20"/>
  <c r="AT907" i="20"/>
  <c r="AT583" i="20"/>
  <c r="AT660" i="20"/>
  <c r="AT631" i="20"/>
  <c r="AT599" i="20"/>
  <c r="AN807" i="20"/>
  <c r="AL807" i="20"/>
  <c r="AJ807" i="20"/>
  <c r="Z807" i="20"/>
  <c r="AK807" i="20"/>
  <c r="AE807" i="20"/>
  <c r="AC807" i="20"/>
  <c r="AH807" i="20"/>
  <c r="AF807" i="20"/>
  <c r="Y807" i="20"/>
  <c r="AB807" i="20"/>
  <c r="AG807" i="20"/>
  <c r="AT513" i="20"/>
  <c r="AT811" i="20"/>
  <c r="AT349" i="20"/>
  <c r="AT505" i="20"/>
  <c r="AT800" i="20"/>
  <c r="AT418" i="20"/>
  <c r="AT785" i="20"/>
  <c r="AT344" i="20"/>
  <c r="AT373" i="20"/>
  <c r="AT468" i="20"/>
  <c r="Z463" i="20"/>
  <c r="AG944" i="20"/>
  <c r="AA771" i="20"/>
  <c r="AE643" i="20"/>
  <c r="AF755" i="20"/>
  <c r="AD535" i="20"/>
  <c r="AC683" i="20"/>
  <c r="AC561" i="20"/>
  <c r="AC1068" i="20"/>
  <c r="AD1000" i="20"/>
  <c r="AF647" i="20"/>
  <c r="AF882" i="20"/>
  <c r="AB1049" i="20"/>
  <c r="AD932" i="20"/>
  <c r="AA763" i="20"/>
  <c r="Z631" i="20"/>
  <c r="AK587" i="20"/>
  <c r="AK839" i="20"/>
  <c r="AE974" i="20"/>
  <c r="AC1000" i="20"/>
  <c r="Y911" i="20"/>
  <c r="AT340" i="20"/>
  <c r="AT820" i="20"/>
  <c r="AT716" i="20"/>
  <c r="AT830" i="20"/>
  <c r="AT856" i="20"/>
  <c r="AT556" i="20"/>
  <c r="AT519" i="20"/>
  <c r="AT485" i="20"/>
  <c r="AT430" i="20"/>
  <c r="AT471" i="20"/>
  <c r="AT382" i="20"/>
  <c r="AT788" i="20"/>
  <c r="AT777" i="20"/>
  <c r="AT523" i="20"/>
  <c r="AT839" i="20"/>
  <c r="AT374" i="20"/>
  <c r="AG395" i="20"/>
  <c r="AL623" i="20"/>
  <c r="AL327" i="20"/>
  <c r="AL819" i="20"/>
  <c r="AL1068" i="20"/>
  <c r="AL715" i="20"/>
  <c r="AL1076" i="20"/>
  <c r="AJ239" i="20"/>
  <c r="AJ631" i="20"/>
  <c r="AJ715" i="20"/>
  <c r="AI247" i="20"/>
  <c r="AI1064" i="20"/>
  <c r="AI695" i="20"/>
  <c r="AI399" i="20"/>
  <c r="AI565" i="20"/>
  <c r="AI638" i="20"/>
  <c r="AI435" i="20"/>
  <c r="AI791" i="20"/>
  <c r="AI659" i="20"/>
  <c r="AI948" i="20"/>
  <c r="AL671" i="20"/>
  <c r="AL659" i="20"/>
  <c r="AL1012" i="20"/>
  <c r="AL399" i="20"/>
  <c r="AI351" i="20"/>
  <c r="AI819" i="20"/>
  <c r="AI531" i="20"/>
  <c r="AI451" i="20"/>
  <c r="AI208" i="20"/>
  <c r="AI751" i="20"/>
  <c r="AI595" i="20"/>
  <c r="AI326" i="20"/>
  <c r="AJ359" i="20"/>
  <c r="AJ451" i="20"/>
  <c r="AJ539" i="20"/>
  <c r="AJ924" i="20"/>
  <c r="AJ251" i="20"/>
  <c r="AJ623" i="20"/>
  <c r="AJ1064" i="20"/>
  <c r="AJ642" i="20"/>
  <c r="AL556" i="20"/>
  <c r="AL890" i="20"/>
  <c r="AL435" i="20"/>
  <c r="AL515" i="20"/>
  <c r="AL459" i="20"/>
  <c r="AL803" i="20"/>
  <c r="AL642" i="20"/>
  <c r="AH970" i="20"/>
  <c r="AI615" i="20"/>
  <c r="AI864" i="20"/>
  <c r="AI747" i="20"/>
  <c r="AI1044" i="20"/>
  <c r="AI771" i="20"/>
  <c r="AI981" i="20"/>
  <c r="AI467" i="20"/>
  <c r="AJ1051" i="20"/>
  <c r="AJ603" i="20"/>
  <c r="AJ811" i="20"/>
  <c r="AJ763" i="20"/>
  <c r="AJ907" i="20"/>
  <c r="AJ755" i="20"/>
  <c r="H31" i="86"/>
  <c r="K31" i="86"/>
  <c r="AJ547" i="20"/>
  <c r="AJ507" i="20"/>
  <c r="AJ375" i="20"/>
  <c r="AJ615" i="20"/>
  <c r="AJ707" i="20"/>
  <c r="AJ235" i="20"/>
  <c r="AL587" i="20"/>
  <c r="AL575" i="20"/>
  <c r="AL379" i="20"/>
  <c r="AL882" i="20"/>
  <c r="AL663" i="20"/>
  <c r="AL208" i="20"/>
  <c r="AH391" i="20"/>
  <c r="AJ347" i="20"/>
  <c r="AJ475" i="20"/>
  <c r="AJ343" i="20"/>
  <c r="AJ1056" i="20"/>
  <c r="AJ895" i="20"/>
  <c r="AJ551" i="20"/>
  <c r="AJ401" i="20"/>
  <c r="AJ899" i="20"/>
  <c r="AJ679" i="20"/>
  <c r="AJ1021" i="20"/>
  <c r="AL974" i="20"/>
  <c r="AL439" i="20"/>
  <c r="AL491" i="20"/>
  <c r="AL503" i="20"/>
  <c r="AL487" i="20"/>
  <c r="AL1072" i="20"/>
  <c r="AL795" i="20"/>
  <c r="AL519" i="20"/>
  <c r="AL839" i="20"/>
  <c r="AL679" i="20"/>
  <c r="AH868" i="20"/>
  <c r="AH916" i="20"/>
  <c r="AH747" i="20"/>
  <c r="AH319" i="20"/>
  <c r="AH848" i="20"/>
  <c r="AH755" i="20"/>
  <c r="AH565" i="20"/>
  <c r="AL1000" i="20"/>
  <c r="AL415" i="20"/>
  <c r="AL990" i="20"/>
  <c r="AL1044" i="20"/>
  <c r="AL981" i="20"/>
  <c r="AH327" i="20"/>
  <c r="AL739" i="20"/>
  <c r="AL1021" i="20"/>
  <c r="AH407" i="20"/>
  <c r="AH878" i="20"/>
  <c r="AH719" i="20"/>
  <c r="AH251" i="20"/>
  <c r="AH995" i="20"/>
  <c r="AH990" i="20"/>
  <c r="AH679" i="20"/>
  <c r="AH1044" i="20"/>
  <c r="AH575" i="20"/>
  <c r="Z223" i="20"/>
  <c r="AH519" i="20"/>
  <c r="AH343" i="20"/>
  <c r="AH451" i="20"/>
  <c r="AH831" i="20"/>
  <c r="AH447" i="20"/>
  <c r="AH815" i="20"/>
  <c r="AH371" i="20"/>
  <c r="AH379" i="20"/>
  <c r="Y223" i="20"/>
  <c r="AE890" i="20"/>
  <c r="Z731" i="20"/>
  <c r="AA815" i="20"/>
  <c r="AG890" i="20"/>
  <c r="AF936" i="20"/>
  <c r="AK1072" i="20"/>
  <c r="AC735" i="20"/>
  <c r="AE948" i="20"/>
  <c r="AA523" i="20"/>
  <c r="Y795" i="20"/>
  <c r="AF966" i="20"/>
  <c r="AF1072" i="20"/>
  <c r="AA519" i="20"/>
  <c r="AE1021" i="20"/>
  <c r="AE767" i="20"/>
  <c r="AG974" i="20"/>
  <c r="Z1051" i="20"/>
  <c r="AA878" i="20"/>
  <c r="Y1072" i="20"/>
  <c r="AC878" i="20"/>
  <c r="AD771" i="20"/>
  <c r="AB966" i="20"/>
  <c r="Z978" i="20"/>
  <c r="AK1076" i="20"/>
  <c r="Y587" i="20"/>
  <c r="Z1056" i="20"/>
  <c r="Y1044" i="20"/>
  <c r="AA995" i="20"/>
  <c r="Z519" i="20"/>
  <c r="AK523" i="20"/>
  <c r="AA807" i="20"/>
  <c r="Y539" i="20"/>
  <c r="AD853" i="20"/>
  <c r="AG638" i="20"/>
  <c r="AF731" i="20"/>
  <c r="AE763" i="20"/>
  <c r="Z499" i="20"/>
  <c r="AA627" i="20"/>
  <c r="AD903" i="20"/>
  <c r="AK671" i="20"/>
  <c r="AK647" i="20"/>
  <c r="AE932" i="20"/>
  <c r="Y583" i="20"/>
  <c r="AF507" i="20"/>
  <c r="AF603" i="20"/>
  <c r="AG359" i="20"/>
  <c r="AE743" i="20"/>
  <c r="AD551" i="20"/>
  <c r="AC727" i="20"/>
  <c r="AK651" i="20"/>
  <c r="AC631" i="20"/>
  <c r="AD519" i="20"/>
  <c r="AA565" i="20"/>
  <c r="AB655" i="20"/>
  <c r="AG960" i="20"/>
  <c r="AC755" i="20"/>
  <c r="AK567" i="20"/>
  <c r="AB443" i="20"/>
  <c r="AD783" i="20"/>
  <c r="AA388" i="20"/>
  <c r="AG779" i="20"/>
  <c r="AD547" i="20"/>
  <c r="AE575" i="20"/>
  <c r="Z475" i="20"/>
  <c r="AE235" i="20"/>
  <c r="Z547" i="20"/>
  <c r="Z455" i="20"/>
  <c r="AC415" i="20"/>
  <c r="AD615" i="20"/>
  <c r="AF467" i="20"/>
  <c r="AD412" i="20"/>
  <c r="AA235" i="20"/>
  <c r="AA315" i="20"/>
  <c r="AN507" i="20"/>
  <c r="AK1152" i="20"/>
  <c r="AG1152" i="20"/>
  <c r="Y1148" i="20"/>
  <c r="AF1148" i="20"/>
  <c r="AB1148" i="20"/>
  <c r="AG1148" i="20"/>
  <c r="AB1164" i="20"/>
  <c r="AF1164" i="20"/>
  <c r="AE1164" i="20"/>
  <c r="AA1172" i="20"/>
  <c r="AH1172" i="20"/>
  <c r="AG1172" i="20"/>
  <c r="AK1180" i="20"/>
  <c r="AH1180" i="20"/>
  <c r="AB1188" i="20"/>
  <c r="AN1188" i="20"/>
  <c r="AE1192" i="20"/>
  <c r="Z1192" i="20"/>
  <c r="AD1192" i="20"/>
  <c r="AF1200" i="20"/>
  <c r="Z1200" i="20"/>
  <c r="AE1200" i="20"/>
  <c r="AN1208" i="20"/>
  <c r="AH1208" i="20"/>
  <c r="AC1216" i="20"/>
  <c r="Z1216" i="20"/>
  <c r="AN1216" i="20"/>
  <c r="AL1216" i="20"/>
  <c r="Z1220" i="20"/>
  <c r="AK1220" i="20"/>
  <c r="AC1228" i="20"/>
  <c r="AI1228" i="20"/>
  <c r="AJ1228" i="20"/>
  <c r="AI1232" i="20"/>
  <c r="AA1232" i="20"/>
  <c r="Z1236" i="20"/>
  <c r="AC1236" i="20"/>
  <c r="AA1236" i="20"/>
  <c r="AL1236" i="20"/>
  <c r="AD1236" i="20"/>
  <c r="AK1236" i="20"/>
  <c r="AA1244" i="20"/>
  <c r="AI1244" i="20"/>
  <c r="AF1244" i="20"/>
  <c r="AJ1244" i="20"/>
  <c r="AE1244" i="20"/>
  <c r="AJ1252" i="20"/>
  <c r="AB1252" i="20"/>
  <c r="AH1252" i="20"/>
  <c r="AJ1260" i="20"/>
  <c r="AN1260" i="20"/>
  <c r="AN1272" i="20"/>
  <c r="AA1272" i="20"/>
  <c r="AB1276" i="20"/>
  <c r="AA1276" i="20"/>
  <c r="Y1276" i="20"/>
  <c r="AI1276" i="20"/>
  <c r="AK1284" i="20"/>
  <c r="AE1284" i="20"/>
  <c r="Y1284" i="20"/>
  <c r="AJ1292" i="20"/>
  <c r="AG1292" i="20"/>
  <c r="AB1296" i="20"/>
  <c r="AC1296" i="20"/>
  <c r="Z1300" i="20"/>
  <c r="AJ1300" i="20"/>
  <c r="Z1316" i="20"/>
  <c r="AC1316" i="20"/>
  <c r="AA1324" i="20"/>
  <c r="AI1324" i="20"/>
  <c r="AT656" i="20"/>
  <c r="AT957" i="20"/>
  <c r="AT649" i="20"/>
  <c r="AB998" i="20"/>
  <c r="AJ998" i="20"/>
  <c r="Y998" i="20"/>
  <c r="AG998" i="20"/>
  <c r="AD998" i="20"/>
  <c r="AL998" i="20"/>
  <c r="AA998" i="20"/>
  <c r="AI998" i="20"/>
  <c r="Z861" i="20"/>
  <c r="AH861" i="20"/>
  <c r="AA861" i="20"/>
  <c r="AI861" i="20"/>
  <c r="AD861" i="20"/>
  <c r="AN861" i="20"/>
  <c r="Y861" i="20"/>
  <c r="AK861" i="20"/>
  <c r="AF861" i="20"/>
  <c r="AC861" i="20"/>
  <c r="AT555" i="20"/>
  <c r="AT500" i="20"/>
  <c r="AT770" i="20"/>
  <c r="AT512" i="20"/>
  <c r="AT588" i="20"/>
  <c r="AT720" i="20"/>
  <c r="AT634" i="20"/>
  <c r="AT749" i="20"/>
  <c r="AT408" i="20"/>
  <c r="AT985" i="20"/>
  <c r="AT653" i="20"/>
  <c r="AT640" i="20"/>
  <c r="AT969" i="20"/>
  <c r="AT626" i="20"/>
  <c r="AT1041" i="20"/>
  <c r="AT632" i="20"/>
  <c r="AT587" i="20"/>
  <c r="AK998" i="20"/>
  <c r="AN998" i="20"/>
  <c r="AG861" i="20"/>
  <c r="AT325" i="20"/>
  <c r="AT650" i="20"/>
  <c r="AB1029" i="20"/>
  <c r="Y1029" i="20"/>
  <c r="AA1029" i="20"/>
  <c r="AD1029" i="20"/>
  <c r="AJ1029" i="20"/>
  <c r="AK1029" i="20"/>
  <c r="AH1029" i="20"/>
  <c r="AN1029" i="20"/>
  <c r="AE1029" i="20"/>
  <c r="AL1029" i="20"/>
  <c r="AT339" i="20"/>
  <c r="AT793" i="20"/>
  <c r="AT1005" i="20"/>
  <c r="AT1082" i="20"/>
  <c r="AT942" i="20"/>
  <c r="AE998" i="20"/>
  <c r="AH998" i="20"/>
  <c r="Z1029" i="20"/>
  <c r="AF1029" i="20"/>
  <c r="AE861" i="20"/>
  <c r="AL861" i="20"/>
  <c r="AT1079" i="20"/>
  <c r="AT786" i="20"/>
  <c r="AT447" i="20"/>
  <c r="AT984" i="20"/>
  <c r="AC998" i="20"/>
  <c r="AF998" i="20"/>
  <c r="AI1029" i="20"/>
  <c r="AJ861" i="20"/>
  <c r="AT926" i="20"/>
  <c r="AT868" i="20"/>
  <c r="AT730" i="20"/>
  <c r="AT671" i="20"/>
  <c r="AT635" i="20"/>
  <c r="AT332" i="20"/>
  <c r="AT1096" i="20"/>
  <c r="AT1067" i="20"/>
  <c r="AT917" i="20"/>
  <c r="AT361" i="20"/>
  <c r="AT329" i="20"/>
  <c r="AT1068" i="20"/>
  <c r="AT975" i="20"/>
  <c r="AT922" i="20"/>
  <c r="AT458" i="20"/>
  <c r="AT1063" i="20"/>
  <c r="AT1090" i="20"/>
  <c r="AT929" i="20"/>
  <c r="AT766" i="20"/>
  <c r="AT1011" i="20"/>
  <c r="AT320" i="20"/>
  <c r="AT886" i="20"/>
  <c r="AT743" i="20"/>
  <c r="AT654" i="20"/>
  <c r="AT1074" i="20"/>
  <c r="AB1024" i="20"/>
  <c r="Y1024" i="20"/>
  <c r="Z1024" i="20"/>
  <c r="AA1024" i="20"/>
  <c r="Z950" i="20"/>
  <c r="AH950" i="20"/>
  <c r="AC950" i="20"/>
  <c r="AK950" i="20"/>
  <c r="AF1025" i="20"/>
  <c r="AN1025" i="20"/>
  <c r="Y1025" i="20"/>
  <c r="AG1025" i="20"/>
  <c r="Z1014" i="20"/>
  <c r="AH1014" i="20"/>
  <c r="Y1014" i="20"/>
  <c r="AG1014" i="20"/>
  <c r="AB1014" i="20"/>
  <c r="AL1014" i="20"/>
  <c r="AE1014" i="20"/>
  <c r="AB845" i="20"/>
  <c r="Y845" i="20"/>
  <c r="AE845" i="20"/>
  <c r="AL845" i="20"/>
  <c r="AF845" i="20"/>
  <c r="AG845" i="20"/>
  <c r="AH845" i="20"/>
  <c r="AN63" i="20"/>
  <c r="AK63" i="20"/>
  <c r="AL63" i="20"/>
  <c r="AB63" i="20"/>
  <c r="AC63" i="20"/>
  <c r="AH63" i="20"/>
  <c r="AT850" i="20"/>
  <c r="AF850" i="20"/>
  <c r="AN850" i="20"/>
  <c r="AE850" i="20"/>
  <c r="AB850" i="20"/>
  <c r="AL850" i="20"/>
  <c r="AG850" i="20"/>
  <c r="AF216" i="20"/>
  <c r="AN216" i="20"/>
  <c r="AG216" i="20"/>
  <c r="AD216" i="20"/>
  <c r="Y216" i="20"/>
  <c r="AK216" i="20"/>
  <c r="Z73" i="20"/>
  <c r="AH73" i="20"/>
  <c r="AE73" i="20"/>
  <c r="AB73" i="20"/>
  <c r="AL73" i="20"/>
  <c r="AA73" i="20"/>
  <c r="AK73" i="20"/>
  <c r="Z128" i="20"/>
  <c r="AH128" i="20"/>
  <c r="AK128" i="20"/>
  <c r="AC128" i="20"/>
  <c r="AB128" i="20"/>
  <c r="AL128" i="20"/>
  <c r="AA128" i="20"/>
  <c r="AF219" i="20"/>
  <c r="AN219" i="20"/>
  <c r="Y219" i="20"/>
  <c r="AG219" i="20"/>
  <c r="AH219" i="20"/>
  <c r="AE219" i="20"/>
  <c r="AN67" i="20"/>
  <c r="AK67" i="20"/>
  <c r="AL67" i="20"/>
  <c r="AB67" i="20"/>
  <c r="AC67" i="20"/>
  <c r="AH67" i="20"/>
  <c r="AF220" i="20"/>
  <c r="AN220" i="20"/>
  <c r="AE220" i="20"/>
  <c r="AB220" i="20"/>
  <c r="AL220" i="20"/>
  <c r="AG220" i="20"/>
  <c r="AF135" i="20"/>
  <c r="AN135" i="20"/>
  <c r="Y135" i="20"/>
  <c r="AG135" i="20"/>
  <c r="AB135" i="20"/>
  <c r="AL135" i="20"/>
  <c r="AA135" i="20"/>
  <c r="AK135" i="20"/>
  <c r="Z50" i="20"/>
  <c r="AD50" i="20"/>
  <c r="AI50" i="20"/>
  <c r="AN50" i="20"/>
  <c r="Y50" i="20"/>
  <c r="AE50" i="20"/>
  <c r="AK50" i="20"/>
  <c r="Y138" i="20"/>
  <c r="AC138" i="20"/>
  <c r="AG138" i="20"/>
  <c r="AK138" i="20"/>
  <c r="AD138" i="20"/>
  <c r="AI138" i="20"/>
  <c r="AA140" i="20"/>
  <c r="AE140" i="20"/>
  <c r="AI140" i="20"/>
  <c r="AN140" i="20"/>
  <c r="Z140" i="20"/>
  <c r="AF140" i="20"/>
  <c r="AK140" i="20"/>
  <c r="Z88" i="20"/>
  <c r="AD88" i="20"/>
  <c r="AB88" i="20"/>
  <c r="AC88" i="20"/>
  <c r="AG88" i="20"/>
  <c r="AJ33" i="20"/>
  <c r="AA33" i="20"/>
  <c r="AI33" i="20"/>
  <c r="AD33" i="20"/>
  <c r="Y33" i="20"/>
  <c r="AK33" i="20"/>
  <c r="Y93" i="20"/>
  <c r="AF93" i="20"/>
  <c r="AE93" i="20"/>
  <c r="AH93" i="20"/>
  <c r="AN93" i="20"/>
  <c r="AD93" i="20"/>
  <c r="AL93" i="20"/>
  <c r="AF167" i="20"/>
  <c r="AG167" i="20"/>
  <c r="AI167" i="20"/>
  <c r="Z167" i="20"/>
  <c r="AE167" i="20"/>
  <c r="AD167" i="20"/>
  <c r="AJ85" i="20"/>
  <c r="AH85" i="20"/>
  <c r="AG85" i="20"/>
  <c r="AI85" i="20"/>
  <c r="AF85" i="20"/>
  <c r="AL85" i="20"/>
  <c r="AA85" i="20"/>
  <c r="AA42" i="20"/>
  <c r="AE42" i="20"/>
  <c r="AI42" i="20"/>
  <c r="AN42" i="20"/>
  <c r="Z42" i="20"/>
  <c r="AF42" i="20"/>
  <c r="AK42" i="20"/>
  <c r="AJ43" i="20"/>
  <c r="Z43" i="20"/>
  <c r="AH43" i="20"/>
  <c r="Y43" i="20"/>
  <c r="AC43" i="20"/>
  <c r="AI43" i="20"/>
  <c r="AK43" i="20"/>
  <c r="AF176" i="20"/>
  <c r="AG176" i="20"/>
  <c r="Y176" i="20"/>
  <c r="AA176" i="20"/>
  <c r="AE176" i="20"/>
  <c r="Z176" i="20"/>
  <c r="AH176" i="20"/>
  <c r="Z44" i="20"/>
  <c r="AE44" i="20"/>
  <c r="AJ44" i="20"/>
  <c r="AA44" i="20"/>
  <c r="AH44" i="20"/>
  <c r="AI1024" i="20"/>
  <c r="AD1024" i="20"/>
  <c r="AN1024" i="20"/>
  <c r="AE950" i="20"/>
  <c r="AF950" i="20"/>
  <c r="AK1025" i="20"/>
  <c r="AA1025" i="20"/>
  <c r="AL1025" i="20"/>
  <c r="AB1025" i="20"/>
  <c r="AK1014" i="20"/>
  <c r="AN1014" i="20"/>
  <c r="Z845" i="20"/>
  <c r="AJ845" i="20"/>
  <c r="AD63" i="20"/>
  <c r="AJ63" i="20"/>
  <c r="AI850" i="20"/>
  <c r="AJ850" i="20"/>
  <c r="AA216" i="20"/>
  <c r="AB216" i="20"/>
  <c r="AG73" i="20"/>
  <c r="AN73" i="20"/>
  <c r="AI128" i="20"/>
  <c r="AD128" i="20"/>
  <c r="AC219" i="20"/>
  <c r="AB219" i="20"/>
  <c r="AE67" i="20"/>
  <c r="AG67" i="20"/>
  <c r="AA220" i="20"/>
  <c r="AD220" i="20"/>
  <c r="AI135" i="20"/>
  <c r="AD135" i="20"/>
  <c r="AJ50" i="20"/>
  <c r="AB50" i="20"/>
  <c r="AH138" i="20"/>
  <c r="AA138" i="20"/>
  <c r="AG140" i="20"/>
  <c r="Y140" i="20"/>
  <c r="AI88" i="20"/>
  <c r="AE88" i="20"/>
  <c r="AA88" i="20"/>
  <c r="AK88" i="20"/>
  <c r="Y88" i="20"/>
  <c r="AB33" i="20"/>
  <c r="AG33" i="20"/>
  <c r="AB93" i="20"/>
  <c r="AG93" i="20"/>
  <c r="AJ167" i="20"/>
  <c r="AC85" i="20"/>
  <c r="AN85" i="20"/>
  <c r="AJ42" i="20"/>
  <c r="AC42" i="20"/>
  <c r="AJ176" i="20"/>
  <c r="AB43" i="20"/>
  <c r="AN44" i="20"/>
  <c r="AD44" i="20"/>
  <c r="AJ1241" i="20"/>
  <c r="AE1193" i="20"/>
  <c r="AE83" i="20"/>
  <c r="AE1151" i="20"/>
  <c r="AL83" i="20"/>
  <c r="Z1147" i="20"/>
  <c r="AD1159" i="20"/>
  <c r="Y83" i="20"/>
  <c r="AI1159" i="20"/>
  <c r="Z1159" i="20"/>
  <c r="AE1024" i="20"/>
  <c r="AK1024" i="20"/>
  <c r="AJ1024" i="20"/>
  <c r="AA950" i="20"/>
  <c r="AN950" i="20"/>
  <c r="AD950" i="20"/>
  <c r="AI1025" i="20"/>
  <c r="AJ1025" i="20"/>
  <c r="Z1025" i="20"/>
  <c r="AI1014" i="20"/>
  <c r="AJ1014" i="20"/>
  <c r="AI845" i="20"/>
  <c r="AK845" i="20"/>
  <c r="AI63" i="20"/>
  <c r="Z63" i="20"/>
  <c r="AF63" i="20"/>
  <c r="AC850" i="20"/>
  <c r="AH850" i="20"/>
  <c r="AE216" i="20"/>
  <c r="AL216" i="20"/>
  <c r="Z216" i="20"/>
  <c r="AC73" i="20"/>
  <c r="AJ73" i="20"/>
  <c r="AG128" i="20"/>
  <c r="AN128" i="20"/>
  <c r="AA219" i="20"/>
  <c r="AL219" i="20"/>
  <c r="Z219" i="20"/>
  <c r="AA67" i="20"/>
  <c r="Y67" i="20"/>
  <c r="AK220" i="20"/>
  <c r="Y220" i="20"/>
  <c r="Z220" i="20"/>
  <c r="AE135" i="20"/>
  <c r="Z135" i="20"/>
  <c r="AG50" i="20"/>
  <c r="AA50" i="20"/>
  <c r="AH50" i="20"/>
  <c r="AN138" i="20"/>
  <c r="AF138" i="20"/>
  <c r="Z138" i="20"/>
  <c r="AL140" i="20"/>
  <c r="AD140" i="20"/>
  <c r="AF88" i="20"/>
  <c r="AN88" i="20"/>
  <c r="AF33" i="20"/>
  <c r="Z93" i="20"/>
  <c r="AA93" i="20"/>
  <c r="AN167" i="20"/>
  <c r="AB167" i="20"/>
  <c r="Y85" i="20"/>
  <c r="AB85" i="20"/>
  <c r="AH42" i="20"/>
  <c r="AB42" i="20"/>
  <c r="AA43" i="20"/>
  <c r="AK176" i="20"/>
  <c r="AG43" i="20"/>
  <c r="AC176" i="20"/>
  <c r="AN43" i="20"/>
  <c r="AB176" i="20"/>
  <c r="AL44" i="20"/>
  <c r="AB44" i="20"/>
  <c r="AT1318" i="20"/>
  <c r="AT247" i="20"/>
  <c r="AT647" i="20"/>
  <c r="AT1051" i="20"/>
  <c r="AT930" i="20"/>
  <c r="AT883" i="20"/>
  <c r="AT668" i="20"/>
  <c r="AT402" i="20"/>
  <c r="AT347" i="20"/>
  <c r="AT335" i="20"/>
  <c r="AT652" i="20"/>
  <c r="AT1069" i="20"/>
  <c r="AT988" i="20"/>
  <c r="AT956" i="20"/>
  <c r="AT918" i="20"/>
  <c r="AT841" i="20"/>
  <c r="AT573" i="20"/>
  <c r="AT552" i="20"/>
  <c r="AT1007" i="20"/>
  <c r="AT954" i="20"/>
  <c r="AT692" i="20"/>
  <c r="AT1036" i="20"/>
  <c r="AT902" i="20"/>
  <c r="AT982" i="20"/>
  <c r="AT702" i="20"/>
  <c r="AT251" i="20"/>
  <c r="AT574" i="20"/>
  <c r="AT748" i="20"/>
  <c r="AT728" i="20"/>
  <c r="AT678" i="20"/>
  <c r="AT585" i="20"/>
  <c r="AT249" i="20"/>
  <c r="AT242" i="20"/>
  <c r="AT986" i="20"/>
  <c r="AT713" i="20"/>
  <c r="AT753" i="20"/>
  <c r="AT1049" i="20"/>
  <c r="AL1145" i="20"/>
  <c r="AF1145" i="20"/>
  <c r="AI1145" i="20"/>
  <c r="AE1145" i="20"/>
  <c r="AH1145" i="20"/>
  <c r="AB1145" i="20"/>
  <c r="AA1145" i="20"/>
  <c r="AC1145" i="20"/>
  <c r="Z1141" i="20"/>
  <c r="AE1141" i="20"/>
  <c r="AH1141" i="20"/>
  <c r="AI1141" i="20"/>
  <c r="AB1141" i="20"/>
  <c r="AJ1141" i="20"/>
  <c r="AC1141" i="20"/>
  <c r="AL1129" i="20"/>
  <c r="AE1129" i="20"/>
  <c r="Z1129" i="20"/>
  <c r="AD1125" i="20"/>
  <c r="AI1125" i="20"/>
  <c r="AJ1125" i="20"/>
  <c r="Z1121" i="20"/>
  <c r="AL1121" i="20"/>
  <c r="AE1121" i="20"/>
  <c r="AJ1121" i="20"/>
  <c r="AI1117" i="20"/>
  <c r="AD1117" i="20"/>
  <c r="AJ1117" i="20"/>
  <c r="Z1113" i="20"/>
  <c r="AE1113" i="20"/>
  <c r="AL1113" i="20"/>
  <c r="AC1113" i="20"/>
  <c r="AK1113" i="20"/>
  <c r="AN1109" i="20"/>
  <c r="AB1109" i="20"/>
  <c r="AD1109" i="20"/>
  <c r="AE1109" i="20"/>
  <c r="AA1109" i="20"/>
  <c r="AF1105" i="20"/>
  <c r="AL1105" i="20"/>
  <c r="AB1105" i="20"/>
  <c r="Z1105" i="20"/>
  <c r="AE1105" i="20"/>
  <c r="AG1105" i="20"/>
  <c r="AB8" i="20"/>
  <c r="AF8" i="20"/>
  <c r="AD8" i="20"/>
  <c r="AE8" i="20"/>
  <c r="Y8" i="20"/>
  <c r="AI9" i="20"/>
  <c r="AD9" i="20"/>
  <c r="AE9" i="20"/>
  <c r="AF9" i="20"/>
  <c r="AL9" i="20"/>
  <c r="Y9" i="20"/>
  <c r="AE14" i="20"/>
  <c r="AN14" i="20"/>
  <c r="Z14" i="20"/>
  <c r="AF14" i="20"/>
  <c r="AL14" i="20"/>
  <c r="AI14" i="20"/>
  <c r="Y14" i="20"/>
  <c r="AF27" i="20"/>
  <c r="AI27" i="20"/>
  <c r="Z27" i="20"/>
  <c r="AN27" i="20"/>
  <c r="AL27" i="20"/>
  <c r="Y27" i="20"/>
  <c r="AL23" i="20"/>
  <c r="AG23" i="20"/>
  <c r="AF23" i="20"/>
  <c r="AH23" i="20"/>
  <c r="AI23" i="20"/>
  <c r="AK23" i="20"/>
  <c r="AB23" i="20"/>
  <c r="AJ23" i="20"/>
  <c r="AL30" i="20"/>
  <c r="AB30" i="20"/>
  <c r="AK30" i="20"/>
  <c r="AJ30" i="20"/>
  <c r="AC30" i="20"/>
  <c r="AE30" i="20"/>
  <c r="AH30" i="20"/>
  <c r="AH206" i="20"/>
  <c r="AE206" i="20"/>
  <c r="AI206" i="20"/>
  <c r="AL206" i="20"/>
  <c r="AB206" i="20"/>
  <c r="AA206" i="20"/>
  <c r="AJ206" i="20"/>
  <c r="Y191" i="20"/>
  <c r="Z191" i="20"/>
  <c r="AF191" i="20"/>
  <c r="AG191" i="20"/>
  <c r="AE191" i="20"/>
  <c r="AB191" i="20"/>
  <c r="AG185" i="20"/>
  <c r="AF185" i="20"/>
  <c r="AJ185" i="20"/>
  <c r="AA185" i="20"/>
  <c r="Y185" i="20"/>
  <c r="AH185" i="20"/>
  <c r="AJ182" i="20"/>
  <c r="AC182" i="20"/>
  <c r="AH182" i="20"/>
  <c r="AB182" i="20"/>
  <c r="AK182" i="20"/>
  <c r="AE177" i="20"/>
  <c r="AG177" i="20"/>
  <c r="AJ177" i="20"/>
  <c r="AL177" i="20"/>
  <c r="AD177" i="20"/>
  <c r="Y177" i="20"/>
  <c r="AA177" i="20"/>
  <c r="AB177" i="20"/>
  <c r="AJ164" i="20"/>
  <c r="AI164" i="20"/>
  <c r="AB164" i="20"/>
  <c r="Y164" i="20"/>
  <c r="AG164" i="20"/>
  <c r="AE164" i="20"/>
  <c r="AB158" i="20"/>
  <c r="AC158" i="20"/>
  <c r="AA158" i="20"/>
  <c r="AJ158" i="20"/>
  <c r="AG158" i="20"/>
  <c r="AL158" i="20"/>
  <c r="AH158" i="20"/>
  <c r="Y156" i="20"/>
  <c r="AA156" i="20"/>
  <c r="AJ156" i="20"/>
  <c r="AG156" i="20"/>
  <c r="AL156" i="20"/>
  <c r="AB156" i="20"/>
  <c r="AE156" i="20"/>
  <c r="AD156" i="20"/>
  <c r="AC148" i="20"/>
  <c r="Z148" i="20"/>
  <c r="Y148" i="20"/>
  <c r="AL148" i="20"/>
  <c r="AI148" i="20"/>
  <c r="AH148" i="20"/>
  <c r="AH133" i="20"/>
  <c r="AB133" i="20"/>
  <c r="Y133" i="20"/>
  <c r="Z133" i="20"/>
  <c r="AF133" i="20"/>
  <c r="AK133" i="20"/>
  <c r="AG133" i="20"/>
  <c r="AH125" i="20"/>
  <c r="AB125" i="20"/>
  <c r="AL125" i="20"/>
  <c r="AJ125" i="20"/>
  <c r="AK125" i="20"/>
  <c r="Y125" i="20"/>
  <c r="Y114" i="20"/>
  <c r="AE114" i="20"/>
  <c r="AF114" i="20"/>
  <c r="AG114" i="20"/>
  <c r="Z114" i="20"/>
  <c r="AL114" i="20"/>
  <c r="AG110" i="20"/>
  <c r="AH110" i="20"/>
  <c r="Y110" i="20"/>
  <c r="Z110" i="20"/>
  <c r="AL110" i="20"/>
  <c r="AI110" i="20"/>
  <c r="AJ104" i="20"/>
  <c r="AK104" i="20"/>
  <c r="AG104" i="20"/>
  <c r="AH104" i="20"/>
  <c r="AB104" i="20"/>
  <c r="Y104" i="20"/>
  <c r="AE104" i="20"/>
  <c r="AC94" i="20"/>
  <c r="Z94" i="20"/>
  <c r="AL94" i="20"/>
  <c r="AG94" i="20"/>
  <c r="AB94" i="20"/>
  <c r="AA94" i="20"/>
  <c r="AT1021" i="20"/>
  <c r="AT234" i="20"/>
  <c r="AT1097" i="20"/>
  <c r="AT961" i="20"/>
  <c r="AT1171" i="20"/>
  <c r="AT77" i="20"/>
  <c r="AT132" i="20"/>
  <c r="AT138" i="20"/>
  <c r="AT1247" i="20"/>
  <c r="AT1235" i="20"/>
  <c r="AT1243" i="20"/>
  <c r="AT142" i="20"/>
  <c r="AT1236" i="20"/>
  <c r="AT974" i="20"/>
  <c r="AT963" i="20"/>
  <c r="AT621" i="20"/>
  <c r="AT464" i="20"/>
  <c r="AT817" i="20"/>
  <c r="AT530" i="20"/>
  <c r="AT540" i="20"/>
  <c r="AT855" i="20"/>
  <c r="AT515" i="20"/>
  <c r="AT799" i="20"/>
  <c r="AT570" i="20"/>
  <c r="AT651" i="20"/>
  <c r="AT1012" i="20"/>
  <c r="AT596" i="20"/>
  <c r="AT935" i="20"/>
  <c r="AT1018" i="20"/>
  <c r="AT404" i="20"/>
  <c r="AT919" i="20"/>
  <c r="AT1098" i="20"/>
  <c r="AT764" i="20"/>
  <c r="AT885" i="20"/>
  <c r="AT189" i="20"/>
  <c r="AT191" i="20"/>
  <c r="AT145" i="20"/>
  <c r="AT1022" i="20"/>
  <c r="AT348" i="20"/>
  <c r="AT544" i="20"/>
  <c r="AT427" i="20"/>
  <c r="AT359" i="20"/>
  <c r="AT561" i="20"/>
  <c r="AT778" i="20"/>
  <c r="AT578" i="20"/>
  <c r="AT709" i="20"/>
  <c r="AT987" i="20"/>
  <c r="AT896" i="20"/>
  <c r="AT844" i="20"/>
  <c r="AT972" i="20"/>
  <c r="AT1093" i="20"/>
  <c r="AT491" i="20"/>
  <c r="AT698" i="20"/>
  <c r="AT958" i="20"/>
  <c r="AT232" i="20"/>
  <c r="AT383" i="20"/>
  <c r="AT357" i="20"/>
  <c r="AT366" i="20"/>
  <c r="AT377" i="20"/>
  <c r="AT819" i="20"/>
  <c r="AT358" i="20"/>
  <c r="AT814" i="20"/>
  <c r="AT763" i="20"/>
  <c r="AT516" i="20"/>
  <c r="AT438" i="20"/>
  <c r="AT829" i="20"/>
  <c r="AT439" i="20"/>
  <c r="AT572" i="20"/>
  <c r="AT712" i="20"/>
  <c r="AT832" i="20"/>
  <c r="AT400" i="20"/>
  <c r="AT482" i="20"/>
  <c r="AT486" i="20"/>
  <c r="AT684" i="20"/>
  <c r="AT806" i="20"/>
  <c r="AT338" i="20"/>
  <c r="AT1095" i="20"/>
  <c r="AT1065" i="20"/>
  <c r="AT967" i="20"/>
  <c r="AT718" i="20"/>
  <c r="AT994" i="20"/>
  <c r="AT364" i="20"/>
  <c r="AE913" i="20"/>
  <c r="AD913" i="20"/>
  <c r="AC913" i="20"/>
  <c r="AH1028" i="20"/>
  <c r="AA1028" i="20"/>
  <c r="Y1028" i="20"/>
  <c r="AE1030" i="20"/>
  <c r="AD1030" i="20"/>
  <c r="AC1030" i="20"/>
  <c r="AE1035" i="20"/>
  <c r="AD1035" i="20"/>
  <c r="AC1035" i="20"/>
  <c r="AK1015" i="20"/>
  <c r="AE1015" i="20"/>
  <c r="AJ1015" i="20"/>
  <c r="AA119" i="20"/>
  <c r="Z119" i="20"/>
  <c r="Y119" i="20"/>
  <c r="AG60" i="20"/>
  <c r="AE61" i="20"/>
  <c r="AN61" i="20"/>
  <c r="Z61" i="20"/>
  <c r="AL43" i="20"/>
  <c r="AD43" i="20"/>
  <c r="Y171" i="20"/>
  <c r="AK61" i="20"/>
  <c r="AH89" i="20"/>
  <c r="AD89" i="20"/>
  <c r="Z89" i="20"/>
  <c r="AJ38" i="20"/>
  <c r="AE96" i="20"/>
  <c r="Z172" i="20"/>
  <c r="Z96" i="20"/>
  <c r="AI172" i="20"/>
  <c r="AC38" i="20"/>
  <c r="AK172" i="20"/>
  <c r="AC172" i="20"/>
  <c r="AL38" i="20"/>
  <c r="AG96" i="20"/>
  <c r="AB172" i="20"/>
  <c r="AF59" i="20"/>
  <c r="AK44" i="20"/>
  <c r="AG44" i="20"/>
  <c r="AC44" i="20"/>
  <c r="Y44" i="20"/>
  <c r="AE59" i="20"/>
  <c r="AL87" i="20"/>
  <c r="AH87" i="20"/>
  <c r="AD87" i="20"/>
  <c r="Z87" i="20"/>
  <c r="AG59" i="20"/>
  <c r="AL151" i="20"/>
  <c r="AE151" i="20"/>
  <c r="AK1173" i="20"/>
  <c r="AF1181" i="20"/>
  <c r="AL1197" i="20"/>
  <c r="AE1213" i="20"/>
  <c r="AJ1217" i="20"/>
  <c r="AN1221" i="20"/>
  <c r="AC1269" i="20"/>
  <c r="AD1277" i="20"/>
  <c r="AJ1281" i="20"/>
  <c r="AH1289" i="20"/>
  <c r="AE1293" i="20"/>
  <c r="AJ1297" i="20"/>
  <c r="AL1309" i="20"/>
  <c r="AJ1313" i="20"/>
  <c r="AH1321" i="20"/>
  <c r="AH1325" i="20"/>
  <c r="Y1038" i="20"/>
  <c r="AC1038" i="20"/>
  <c r="AG1038" i="20"/>
  <c r="AK1038" i="20"/>
  <c r="Z1038" i="20"/>
  <c r="AD1038" i="20"/>
  <c r="AH1038" i="20"/>
  <c r="AL1038" i="20"/>
  <c r="AA1038" i="20"/>
  <c r="AE1038" i="20"/>
  <c r="AI1038" i="20"/>
  <c r="AB1038" i="20"/>
  <c r="AF1038" i="20"/>
  <c r="AJ1038" i="20"/>
  <c r="AN1038" i="20"/>
  <c r="Z24" i="20"/>
  <c r="Z98" i="20"/>
  <c r="AB75" i="20"/>
  <c r="AI149" i="20"/>
  <c r="AK149" i="20"/>
  <c r="AB149" i="20"/>
  <c r="Y90" i="20"/>
  <c r="AJ90" i="20"/>
  <c r="AA90" i="20"/>
  <c r="AH90" i="20"/>
  <c r="AF169" i="20"/>
  <c r="AD169" i="20"/>
  <c r="AA169" i="20"/>
  <c r="Y169" i="20"/>
  <c r="AT91" i="20"/>
  <c r="AH41" i="20"/>
  <c r="AC41" i="20"/>
  <c r="AJ41" i="20"/>
  <c r="AE41" i="20"/>
  <c r="AT173" i="20"/>
  <c r="AH37" i="20"/>
  <c r="AK37" i="20"/>
  <c r="AE37" i="20"/>
  <c r="Y60" i="20"/>
  <c r="AC60" i="20"/>
  <c r="AH60" i="20"/>
  <c r="AL60" i="20"/>
  <c r="AF60" i="20"/>
  <c r="AG61" i="20"/>
  <c r="AL61" i="20"/>
  <c r="AJ61" i="20"/>
  <c r="AB151" i="20"/>
  <c r="AF151" i="20"/>
  <c r="AJ151" i="20"/>
  <c r="AT102" i="20"/>
  <c r="AT1066" i="20"/>
  <c r="AT352" i="20"/>
  <c r="AT746" i="20"/>
  <c r="AL149" i="20"/>
  <c r="AF149" i="20"/>
  <c r="AA149" i="20"/>
  <c r="AD90" i="20"/>
  <c r="AC90" i="20"/>
  <c r="AG169" i="20"/>
  <c r="AH169" i="20"/>
  <c r="Z169" i="20"/>
  <c r="AJ169" i="20"/>
  <c r="AA41" i="20"/>
  <c r="AL41" i="20"/>
  <c r="Z41" i="20"/>
  <c r="AA37" i="20"/>
  <c r="AI60" i="20"/>
  <c r="AB60" i="20"/>
  <c r="AI61" i="20"/>
  <c r="AC61" i="20"/>
  <c r="AN151" i="20"/>
  <c r="AH151" i="20"/>
  <c r="AC151" i="20"/>
  <c r="AJ122" i="20"/>
  <c r="AG122" i="20"/>
  <c r="AH122" i="20"/>
  <c r="AI122" i="20"/>
  <c r="AJ124" i="20"/>
  <c r="AG124" i="20"/>
  <c r="AD124" i="20"/>
  <c r="AI124" i="20"/>
  <c r="AD71" i="20"/>
  <c r="Y71" i="20"/>
  <c r="AF71" i="20"/>
  <c r="AA71" i="20"/>
  <c r="AD137" i="20"/>
  <c r="AL137" i="20"/>
  <c r="AC137" i="20"/>
  <c r="AK137" i="20"/>
  <c r="AD212" i="20"/>
  <c r="AL212" i="20"/>
  <c r="AA212" i="20"/>
  <c r="AI212" i="20"/>
  <c r="AB66" i="20"/>
  <c r="AJ66" i="20"/>
  <c r="AC66" i="20"/>
  <c r="AK66" i="20"/>
  <c r="AB129" i="20"/>
  <c r="AJ129" i="20"/>
  <c r="AC129" i="20"/>
  <c r="AK129" i="20"/>
  <c r="AJ143" i="20"/>
  <c r="AI143" i="20"/>
  <c r="AK143" i="20"/>
  <c r="AL143" i="20"/>
  <c r="AB78" i="20"/>
  <c r="AJ78" i="20"/>
  <c r="AC78" i="20"/>
  <c r="AK78" i="20"/>
  <c r="Y81" i="20"/>
  <c r="AC81" i="20"/>
  <c r="AG81" i="20"/>
  <c r="AK81" i="20"/>
  <c r="AN48" i="20"/>
  <c r="Y48" i="20"/>
  <c r="AD48" i="20"/>
  <c r="AH48" i="20"/>
  <c r="AL48" i="20"/>
  <c r="AB79" i="20"/>
  <c r="AJ79" i="20"/>
  <c r="AC79" i="20"/>
  <c r="AK79" i="20"/>
  <c r="AT55" i="20"/>
  <c r="AT1196" i="20"/>
  <c r="AT1220" i="20"/>
  <c r="AT1228" i="20"/>
  <c r="AT1232" i="20"/>
  <c r="AT1296" i="20"/>
  <c r="AT1308" i="20"/>
  <c r="AT1324" i="20"/>
  <c r="AT1326" i="20"/>
  <c r="AT1218" i="20"/>
  <c r="AT1124" i="20"/>
  <c r="AT126" i="20"/>
  <c r="AT125" i="20"/>
  <c r="AD1142" i="20"/>
  <c r="AA1142" i="20"/>
  <c r="AB1142" i="20"/>
  <c r="AC1142" i="20"/>
  <c r="Z1138" i="20"/>
  <c r="AA1138" i="20"/>
  <c r="AN1138" i="20"/>
  <c r="AC1138" i="20"/>
  <c r="AG1138" i="20"/>
  <c r="Y190" i="20"/>
  <c r="AL190" i="20"/>
  <c r="AN190" i="20"/>
  <c r="AK186" i="20"/>
  <c r="Z186" i="20"/>
  <c r="AL186" i="20"/>
  <c r="AB186" i="20"/>
  <c r="AD186" i="20"/>
  <c r="AI186" i="20"/>
  <c r="AC184" i="20"/>
  <c r="AJ184" i="20"/>
  <c r="AF184" i="20"/>
  <c r="AB184" i="20"/>
  <c r="AD184" i="20"/>
  <c r="AC179" i="20"/>
  <c r="AE179" i="20"/>
  <c r="AC165" i="20"/>
  <c r="Z165" i="20"/>
  <c r="AB165" i="20"/>
  <c r="Z160" i="20"/>
  <c r="AN160" i="20"/>
  <c r="Y160" i="20"/>
  <c r="AE160" i="20"/>
  <c r="Y154" i="20"/>
  <c r="AJ154" i="20"/>
  <c r="AL154" i="20"/>
  <c r="AL150" i="20"/>
  <c r="AJ150" i="20"/>
  <c r="AI150" i="20"/>
  <c r="Y150" i="20"/>
  <c r="Z145" i="20"/>
  <c r="AN145" i="20"/>
  <c r="Y145" i="20"/>
  <c r="Z127" i="20"/>
  <c r="AN127" i="20"/>
  <c r="AA127" i="20"/>
  <c r="AK127" i="20"/>
  <c r="AC115" i="20"/>
  <c r="AK115" i="20"/>
  <c r="AH115" i="20"/>
  <c r="AK109" i="20"/>
  <c r="AH109" i="20"/>
  <c r="AF109" i="20"/>
  <c r="AB109" i="20"/>
  <c r="AK105" i="20"/>
  <c r="AH105" i="20"/>
  <c r="AF105" i="20"/>
  <c r="AB105" i="20"/>
  <c r="AT1047" i="20"/>
  <c r="AT732" i="20"/>
  <c r="AT677" i="20"/>
  <c r="AT1099" i="20"/>
  <c r="AT879" i="20"/>
  <c r="AT897" i="20"/>
  <c r="AT1061" i="20"/>
  <c r="AT496" i="20"/>
  <c r="AT1003" i="20"/>
  <c r="AT867" i="20"/>
  <c r="AT391" i="20"/>
  <c r="AT703" i="20"/>
  <c r="AT595" i="20"/>
  <c r="AT606" i="20"/>
  <c r="AT950" i="20"/>
  <c r="AT50" i="20"/>
  <c r="AT41" i="20"/>
  <c r="AT1165" i="20"/>
  <c r="AT951" i="20"/>
  <c r="AT137" i="20"/>
  <c r="AT159" i="20"/>
  <c r="AT1160" i="20"/>
  <c r="AT1226" i="20"/>
  <c r="AT937" i="20"/>
  <c r="AT706" i="20"/>
  <c r="AT865" i="20"/>
  <c r="AT1276" i="20"/>
  <c r="AT394" i="20"/>
  <c r="AT1149" i="20"/>
  <c r="AN1159" i="20"/>
  <c r="AK1159" i="20"/>
  <c r="Y1159" i="20"/>
  <c r="AC1159" i="20"/>
  <c r="AB1155" i="20"/>
  <c r="Y1155" i="20"/>
  <c r="AH1155" i="20"/>
  <c r="AF1151" i="20"/>
  <c r="AN1151" i="20"/>
  <c r="AJ1151" i="20"/>
  <c r="AG1151" i="20"/>
  <c r="AF1147" i="20"/>
  <c r="AK1147" i="20"/>
  <c r="AN1177" i="20"/>
  <c r="AH1177" i="20"/>
  <c r="AK1177" i="20"/>
  <c r="AL1193" i="20"/>
  <c r="AG1193" i="20"/>
  <c r="AN1193" i="20"/>
  <c r="AK1209" i="20"/>
  <c r="AF1209" i="20"/>
  <c r="AB1209" i="20"/>
  <c r="AI1209" i="20"/>
  <c r="AJ1225" i="20"/>
  <c r="AE1225" i="20"/>
  <c r="AK1225" i="20"/>
  <c r="AA1225" i="20"/>
  <c r="AH1237" i="20"/>
  <c r="Z1237" i="20"/>
  <c r="AI1241" i="20"/>
  <c r="AD1241" i="20"/>
  <c r="AG1241" i="20"/>
  <c r="AC1241" i="20"/>
  <c r="AB1241" i="20"/>
  <c r="AG1245" i="20"/>
  <c r="AN1245" i="20"/>
  <c r="AH1257" i="20"/>
  <c r="AI1257" i="20"/>
  <c r="AD1261" i="20"/>
  <c r="AH1261" i="20"/>
  <c r="AJ1265" i="20"/>
  <c r="AF1265" i="20"/>
  <c r="AH1273" i="20"/>
  <c r="AJ1273" i="20"/>
  <c r="Y1273" i="20"/>
  <c r="AG1285" i="20"/>
  <c r="AK1285" i="20"/>
  <c r="AH1305" i="20"/>
  <c r="AJ1305" i="20"/>
  <c r="AF1317" i="20"/>
  <c r="AA1317" i="20"/>
  <c r="AJ1333" i="20"/>
  <c r="AC1333" i="20"/>
  <c r="Y1337" i="20"/>
  <c r="AB1337" i="20"/>
  <c r="AD1337" i="20"/>
  <c r="AT1173" i="20"/>
  <c r="AT1205" i="20"/>
  <c r="AT1217" i="20"/>
  <c r="AT1244" i="20"/>
  <c r="AT1252" i="20"/>
  <c r="AT1264" i="20"/>
  <c r="AT1284" i="20"/>
  <c r="AT1288" i="20"/>
  <c r="AT1300" i="20"/>
  <c r="AT1320" i="20"/>
  <c r="AT1328" i="20"/>
  <c r="AT1336" i="20"/>
  <c r="AT212" i="20"/>
  <c r="AT78" i="20"/>
  <c r="AT48" i="20"/>
  <c r="AT265" i="20"/>
  <c r="AT317" i="20"/>
  <c r="AT1156" i="20"/>
  <c r="AT1214" i="20"/>
  <c r="AT121" i="20"/>
  <c r="AT79" i="20"/>
  <c r="AT44" i="20"/>
  <c r="K39" i="37"/>
  <c r="AT1121" i="20"/>
  <c r="AT1202" i="20"/>
  <c r="AT477" i="20"/>
  <c r="AT499" i="20"/>
  <c r="AT350" i="20"/>
  <c r="AT498" i="20"/>
  <c r="AT804" i="20"/>
  <c r="AT411" i="20"/>
  <c r="AT591" i="20"/>
  <c r="AT586" i="20"/>
  <c r="AT789" i="20"/>
  <c r="AT546" i="20"/>
  <c r="AT613" i="20"/>
  <c r="AT469" i="20"/>
  <c r="AT840" i="20"/>
  <c r="AT346" i="20"/>
  <c r="AT502" i="20"/>
  <c r="AT812" i="20"/>
  <c r="AT791" i="20"/>
  <c r="AT880" i="20"/>
  <c r="AT241" i="20"/>
  <c r="AT636" i="20"/>
  <c r="AT704" i="20"/>
  <c r="AT1044" i="20"/>
  <c r="AT849" i="20"/>
  <c r="AT272" i="20"/>
  <c r="AT734" i="20"/>
  <c r="AT1054" i="20"/>
  <c r="AT269" i="20"/>
  <c r="AT881" i="20"/>
  <c r="AT979" i="20"/>
  <c r="AT992" i="20"/>
  <c r="AT1056" i="20"/>
  <c r="AT330" i="20"/>
  <c r="AT904" i="20"/>
  <c r="AT754" i="20"/>
  <c r="AT1072" i="20"/>
  <c r="AT1140" i="20"/>
  <c r="AT1128" i="20"/>
  <c r="AT150" i="20"/>
  <c r="AT104" i="20"/>
  <c r="AT1154" i="20"/>
  <c r="AT1234" i="20"/>
  <c r="AT1203" i="20"/>
  <c r="AT1211" i="20"/>
  <c r="AT58" i="20"/>
  <c r="AT667" i="20"/>
  <c r="AT593" i="20"/>
  <c r="AT600" i="20"/>
  <c r="AT225" i="20"/>
  <c r="AT895" i="20"/>
  <c r="AT750" i="20"/>
  <c r="AT911" i="20"/>
  <c r="AT1020" i="20"/>
  <c r="AT722" i="20"/>
  <c r="AT1039" i="20"/>
  <c r="AT1101" i="20"/>
  <c r="AT401" i="20"/>
  <c r="AT1262" i="20"/>
  <c r="AT815" i="20"/>
  <c r="AT562" i="20"/>
  <c r="AT393" i="20"/>
  <c r="AT602" i="20"/>
  <c r="AT827" i="20"/>
  <c r="AT520" i="20"/>
  <c r="AT805" i="20"/>
  <c r="AT690" i="20"/>
  <c r="AT771" i="20"/>
  <c r="AT608" i="20"/>
  <c r="AT760" i="20"/>
  <c r="AT341" i="20"/>
  <c r="AT474" i="20"/>
  <c r="AT564" i="20"/>
  <c r="AT508" i="20"/>
  <c r="AT435" i="20"/>
  <c r="AT537" i="20"/>
  <c r="AT372" i="20"/>
  <c r="AT465" i="20"/>
  <c r="AT559" i="20"/>
  <c r="AT852" i="20"/>
  <c r="AT854" i="20"/>
  <c r="AT422" i="20"/>
  <c r="AT510" i="20"/>
  <c r="AT460" i="20"/>
  <c r="AT436" i="20"/>
  <c r="AT410" i="20"/>
  <c r="AT256" i="20"/>
  <c r="AT1120" i="20"/>
  <c r="AT1250" i="20"/>
  <c r="AT870" i="20"/>
  <c r="AT774" i="20"/>
  <c r="AT729" i="20"/>
  <c r="AT646" i="20"/>
  <c r="AT857" i="20"/>
  <c r="AT783" i="20"/>
  <c r="AT630" i="20"/>
  <c r="AT657" i="20"/>
  <c r="AT478" i="20"/>
  <c r="AT807" i="20"/>
  <c r="AT389" i="20"/>
  <c r="AT211" i="20"/>
  <c r="AT619" i="20"/>
  <c r="AT507" i="20"/>
  <c r="AT1086" i="20"/>
  <c r="AT853" i="20"/>
  <c r="AT945" i="20"/>
  <c r="AT784" i="20"/>
  <c r="AT529" i="20"/>
  <c r="AT933" i="20"/>
  <c r="AT662" i="20"/>
  <c r="AT610" i="20"/>
  <c r="AT311" i="20"/>
  <c r="AT615" i="20"/>
  <c r="AT522" i="20"/>
  <c r="AT424" i="20"/>
  <c r="AT1070" i="20"/>
  <c r="AT779" i="20"/>
  <c r="AT509" i="20"/>
  <c r="AT327" i="20"/>
  <c r="AT864" i="20"/>
  <c r="AT823" i="20"/>
  <c r="AT607" i="20"/>
  <c r="AT810" i="20"/>
  <c r="AT725" i="20"/>
  <c r="AT629" i="20"/>
  <c r="AT250" i="20"/>
  <c r="AT233" i="20"/>
  <c r="AT1064" i="20"/>
  <c r="AT838" i="20"/>
  <c r="AT757" i="20"/>
  <c r="AT740" i="20"/>
  <c r="AT697" i="20"/>
  <c r="AT518" i="20"/>
  <c r="AT472" i="20"/>
  <c r="AT457" i="20"/>
  <c r="AT354" i="20"/>
  <c r="AT443" i="20"/>
  <c r="AT642" i="20"/>
  <c r="AT431" i="20"/>
  <c r="AT467" i="20"/>
  <c r="AT419" i="20"/>
  <c r="AT531" i="20"/>
  <c r="AT724" i="20"/>
  <c r="AT948" i="20"/>
  <c r="AT475" i="20"/>
  <c r="AT1058" i="20"/>
  <c r="AT889" i="20"/>
  <c r="AT1002" i="20"/>
  <c r="AT898" i="20"/>
  <c r="AT414" i="20"/>
  <c r="AT1009" i="20"/>
  <c r="AT980" i="20"/>
  <c r="AT672" i="20"/>
  <c r="AT605" i="20"/>
  <c r="AT1139" i="20"/>
  <c r="AT1210" i="20"/>
  <c r="AT1183" i="20"/>
  <c r="AT1158" i="20"/>
  <c r="AT861" i="20"/>
  <c r="AT37" i="20"/>
  <c r="AT1143" i="20"/>
  <c r="AT1129" i="20"/>
  <c r="AT1114" i="20"/>
  <c r="AT1104" i="20"/>
  <c r="AT205" i="20"/>
  <c r="AT1248" i="20"/>
  <c r="AT1306" i="20"/>
  <c r="AT1206" i="20"/>
  <c r="AT60" i="20"/>
  <c r="AT313" i="20"/>
  <c r="AT1256" i="20"/>
  <c r="AT139" i="20"/>
  <c r="AT231" i="20"/>
  <c r="AT906" i="20"/>
  <c r="AT488" i="20"/>
  <c r="AT940" i="20"/>
  <c r="AT1043" i="20"/>
  <c r="AT209" i="20"/>
  <c r="AT715" i="20"/>
  <c r="AT831" i="20"/>
  <c r="AT675" i="20"/>
  <c r="AT884" i="20"/>
  <c r="AT752" i="20"/>
  <c r="AT999" i="20"/>
  <c r="AT1078" i="20"/>
  <c r="AT453" i="20"/>
  <c r="AT860" i="20"/>
  <c r="AT959" i="20"/>
  <c r="AT971" i="20"/>
  <c r="AT503" i="20"/>
  <c r="AT1088" i="20"/>
  <c r="AT1055" i="20"/>
  <c r="AT506" i="20"/>
  <c r="AT549" i="20"/>
  <c r="AT392" i="20"/>
  <c r="AT371" i="20"/>
  <c r="AT343" i="20"/>
  <c r="AT444" i="20"/>
  <c r="AT563" i="20"/>
  <c r="AT882" i="20"/>
  <c r="AT322" i="20"/>
  <c r="AT983" i="20"/>
  <c r="AT276" i="20"/>
  <c r="AT1142" i="20"/>
  <c r="AT106" i="20"/>
  <c r="AT1219" i="20"/>
  <c r="AT1170" i="20"/>
  <c r="AT88" i="20"/>
  <c r="AT230" i="20"/>
  <c r="AT285" i="20"/>
  <c r="AT301" i="20"/>
  <c r="AT185" i="20"/>
  <c r="AT1279" i="20"/>
  <c r="AT46" i="20"/>
  <c r="AT86" i="20"/>
  <c r="AT305" i="20"/>
  <c r="AT192" i="20"/>
  <c r="AT1133" i="20"/>
  <c r="AT103" i="20"/>
  <c r="AT1122" i="20"/>
  <c r="AT1280" i="20"/>
  <c r="AT1208" i="20"/>
  <c r="AT1338" i="20"/>
  <c r="AT1161" i="20"/>
  <c r="AT1159" i="20"/>
  <c r="AT1155" i="20"/>
  <c r="AT61" i="20"/>
  <c r="AT1010" i="20"/>
  <c r="AT701" i="20"/>
  <c r="AT925" i="20"/>
  <c r="AT858" i="20"/>
  <c r="AT463" i="20"/>
  <c r="AT323" i="20"/>
  <c r="AT152" i="20"/>
  <c r="AT123" i="20"/>
  <c r="AD1145" i="20"/>
  <c r="AN1145" i="20"/>
  <c r="AG1145" i="20"/>
  <c r="AD1141" i="20"/>
  <c r="AN1141" i="20"/>
  <c r="AH1133" i="20"/>
  <c r="AA1133" i="20"/>
  <c r="AH1129" i="20"/>
  <c r="AA1129" i="20"/>
  <c r="AH1125" i="20"/>
  <c r="AA1125" i="20"/>
  <c r="AH1121" i="20"/>
  <c r="AA1121" i="20"/>
  <c r="AH1117" i="20"/>
  <c r="AA1117" i="20"/>
  <c r="AB1117" i="20"/>
  <c r="AH1113" i="20"/>
  <c r="AN1113" i="20"/>
  <c r="Y1113" i="20"/>
  <c r="AF1113" i="20"/>
  <c r="AJ1109" i="20"/>
  <c r="AH1109" i="20"/>
  <c r="Y1109" i="20"/>
  <c r="AI1109" i="20"/>
  <c r="AJ1105" i="20"/>
  <c r="AH1105" i="20"/>
  <c r="Y1105" i="20"/>
  <c r="AI1105" i="20"/>
  <c r="AA8" i="20"/>
  <c r="AJ8" i="20"/>
  <c r="AH8" i="20"/>
  <c r="AG8" i="20"/>
  <c r="AA9" i="20"/>
  <c r="AJ9" i="20"/>
  <c r="AH9" i="20"/>
  <c r="AG9" i="20"/>
  <c r="AA14" i="20"/>
  <c r="AJ14" i="20"/>
  <c r="AH14" i="20"/>
  <c r="AG14" i="20"/>
  <c r="AA27" i="20"/>
  <c r="AJ27" i="20"/>
  <c r="AH27" i="20"/>
  <c r="AG27" i="20"/>
  <c r="Z23" i="20"/>
  <c r="AC23" i="20"/>
  <c r="AA23" i="20"/>
  <c r="Y23" i="20"/>
  <c r="Z30" i="20"/>
  <c r="AN30" i="20"/>
  <c r="AI30" i="20"/>
  <c r="Z206" i="20"/>
  <c r="AN206" i="20"/>
  <c r="AC206" i="20"/>
  <c r="AK191" i="20"/>
  <c r="AL191" i="20"/>
  <c r="AH191" i="20"/>
  <c r="AD191" i="20"/>
  <c r="AN191" i="20"/>
  <c r="AK185" i="20"/>
  <c r="Z185" i="20"/>
  <c r="AI185" i="20"/>
  <c r="Z182" i="20"/>
  <c r="AN182" i="20"/>
  <c r="AE182" i="20"/>
  <c r="AI182" i="20"/>
  <c r="AG182" i="20"/>
  <c r="AK177" i="20"/>
  <c r="Z177" i="20"/>
  <c r="AI177" i="20"/>
  <c r="AN164" i="20"/>
  <c r="AK164" i="20"/>
  <c r="AA164" i="20"/>
  <c r="Z164" i="20"/>
  <c r="AD164" i="20"/>
  <c r="AN158" i="20"/>
  <c r="AK158" i="20"/>
  <c r="AE158" i="20"/>
  <c r="AD158" i="20"/>
  <c r="AN156" i="20"/>
  <c r="AK156" i="20"/>
  <c r="AI156" i="20"/>
  <c r="AK148" i="20"/>
  <c r="AJ148" i="20"/>
  <c r="AF148" i="20"/>
  <c r="AD133" i="20"/>
  <c r="AN133" i="20"/>
  <c r="AI133" i="20"/>
  <c r="AC133" i="20"/>
  <c r="AE133" i="20"/>
  <c r="AD125" i="20"/>
  <c r="AN125" i="20"/>
  <c r="AI125" i="20"/>
  <c r="AC125" i="20"/>
  <c r="AK114" i="20"/>
  <c r="AH114" i="20"/>
  <c r="AN114" i="20"/>
  <c r="AJ114" i="20"/>
  <c r="AK110" i="20"/>
  <c r="AJ110" i="20"/>
  <c r="AF110" i="20"/>
  <c r="AD104" i="20"/>
  <c r="AN104" i="20"/>
  <c r="AI104" i="20"/>
  <c r="AC104" i="20"/>
  <c r="AK94" i="20"/>
  <c r="AH94" i="20"/>
  <c r="AN94" i="20"/>
  <c r="AJ94" i="20"/>
  <c r="AI94" i="20"/>
  <c r="AT1052" i="20"/>
  <c r="AT590" i="20"/>
  <c r="AT1087" i="20"/>
  <c r="AT1084" i="20"/>
  <c r="AT742" i="20"/>
  <c r="AT949" i="20"/>
  <c r="AT331" i="20"/>
  <c r="AT624" i="20"/>
  <c r="AT912" i="20"/>
  <c r="AT243" i="20"/>
  <c r="AT403" i="20"/>
  <c r="AT270" i="20"/>
  <c r="AT997" i="20"/>
  <c r="AT589" i="20"/>
  <c r="AT397" i="20"/>
  <c r="AT306" i="20"/>
  <c r="AT307" i="20"/>
  <c r="AT303" i="20"/>
  <c r="AT1136" i="20"/>
  <c r="AT1125" i="20"/>
  <c r="AT1117" i="20"/>
  <c r="AT326" i="20"/>
  <c r="AT116" i="20"/>
  <c r="AT94" i="20"/>
  <c r="AT117" i="20"/>
  <c r="AT296" i="20"/>
  <c r="AT298" i="20"/>
  <c r="AT434" i="20"/>
  <c r="AT24" i="20"/>
  <c r="AT291" i="20"/>
  <c r="AT1316" i="20"/>
  <c r="AT487" i="20"/>
  <c r="AT321" i="20"/>
  <c r="AT970" i="20"/>
  <c r="AT641" i="20"/>
  <c r="AT388" i="20"/>
  <c r="AT260" i="20"/>
  <c r="AT293" i="20"/>
  <c r="AT198" i="20"/>
  <c r="AT1130" i="20"/>
  <c r="AT267" i="20"/>
  <c r="AT302" i="20"/>
  <c r="AT288" i="20"/>
  <c r="AT1134" i="20"/>
  <c r="AT998" i="20"/>
  <c r="AT261" i="20"/>
  <c r="AT287" i="20"/>
  <c r="AT289" i="20"/>
  <c r="AT315" i="20"/>
  <c r="AT203" i="20"/>
  <c r="AT1132" i="20"/>
  <c r="AT26" i="20"/>
  <c r="AT737" i="20"/>
  <c r="AT721" i="20"/>
  <c r="AT705" i="20"/>
  <c r="AT669" i="20"/>
  <c r="AT665" i="20"/>
  <c r="AT584" i="20"/>
  <c r="AT432" i="20"/>
  <c r="AT353" i="20"/>
  <c r="AT504" i="20"/>
  <c r="AT490" i="20"/>
  <c r="AT688" i="20"/>
  <c r="G161" i="86"/>
  <c r="H122" i="86"/>
  <c r="K122" i="86"/>
  <c r="H86" i="86"/>
  <c r="K86" i="86"/>
  <c r="G61" i="86"/>
  <c r="H53" i="86"/>
  <c r="K53" i="86"/>
  <c r="H75" i="86"/>
  <c r="K75" i="86"/>
  <c r="G105" i="86"/>
  <c r="I38" i="86"/>
  <c r="L38" i="86"/>
  <c r="H38" i="86"/>
  <c r="K38" i="86"/>
  <c r="G125" i="86"/>
  <c r="H109" i="86"/>
  <c r="K109" i="86"/>
  <c r="G73" i="86"/>
  <c r="H154" i="86"/>
  <c r="K154" i="86"/>
  <c r="H47" i="86"/>
  <c r="K47" i="86"/>
  <c r="G76" i="86"/>
  <c r="I109" i="86"/>
  <c r="L109" i="86"/>
  <c r="H104" i="86"/>
  <c r="K104" i="86"/>
  <c r="H73" i="86"/>
  <c r="K73" i="86"/>
  <c r="I122" i="86"/>
  <c r="L122" i="86"/>
  <c r="H16" i="86"/>
  <c r="K16" i="86"/>
  <c r="I76" i="86"/>
  <c r="L76" i="86"/>
  <c r="I48" i="86"/>
  <c r="L48" i="86"/>
  <c r="H84" i="86"/>
  <c r="K84" i="86"/>
  <c r="I73" i="86"/>
  <c r="L73" i="86"/>
  <c r="G108" i="86"/>
  <c r="G38" i="86"/>
  <c r="J38" i="86"/>
  <c r="I138" i="86"/>
  <c r="L138" i="86"/>
  <c r="G109" i="86"/>
  <c r="G86" i="86"/>
  <c r="I161" i="86"/>
  <c r="L161" i="86"/>
  <c r="G47" i="86"/>
  <c r="I49" i="86"/>
  <c r="L49" i="86"/>
  <c r="I84" i="86"/>
  <c r="L84" i="86"/>
  <c r="G48" i="86"/>
  <c r="J48" i="86"/>
  <c r="G104" i="86"/>
  <c r="G16" i="86"/>
  <c r="I86" i="86"/>
  <c r="L86" i="86"/>
  <c r="I47" i="86"/>
  <c r="L47" i="86"/>
  <c r="I61" i="86"/>
  <c r="L61" i="86"/>
  <c r="H76" i="86"/>
  <c r="K76" i="86"/>
  <c r="G154" i="86"/>
  <c r="J154" i="86"/>
  <c r="I16" i="86"/>
  <c r="L16" i="86"/>
  <c r="H74" i="86"/>
  <c r="K74" i="86"/>
  <c r="H48" i="86"/>
  <c r="K48" i="86"/>
  <c r="AT759" i="20"/>
  <c r="I74" i="86"/>
  <c r="L74" i="86"/>
  <c r="I75" i="86"/>
  <c r="L75" i="86"/>
  <c r="AT1042" i="20"/>
  <c r="G84" i="86"/>
  <c r="I108" i="86"/>
  <c r="L108" i="86"/>
  <c r="AT824" i="20"/>
  <c r="AT836" i="20"/>
  <c r="H108" i="86"/>
  <c r="K108" i="86"/>
  <c r="AT818" i="20"/>
  <c r="I154" i="86"/>
  <c r="L154" i="86"/>
  <c r="H49" i="86"/>
  <c r="K49" i="86"/>
  <c r="G49" i="86"/>
  <c r="I104" i="86"/>
  <c r="L104" i="86"/>
  <c r="I125" i="86"/>
  <c r="L125" i="86"/>
  <c r="H105" i="86"/>
  <c r="K105" i="86"/>
  <c r="G74" i="86"/>
  <c r="J74" i="86"/>
  <c r="H138" i="86"/>
  <c r="K138" i="86"/>
  <c r="H125" i="86"/>
  <c r="K125" i="86"/>
  <c r="G122" i="86"/>
  <c r="J122" i="86"/>
  <c r="G138" i="86"/>
  <c r="G75" i="86"/>
  <c r="H161" i="86"/>
  <c r="K161" i="86"/>
  <c r="H61" i="86"/>
  <c r="K61" i="86"/>
  <c r="I105" i="86"/>
  <c r="L105" i="86"/>
  <c r="AT396" i="20"/>
  <c r="AT1060" i="20"/>
  <c r="AT946" i="20"/>
  <c r="AT915" i="20"/>
  <c r="AT536" i="20"/>
  <c r="AT433" i="20"/>
  <c r="AT551" i="20"/>
  <c r="AT413" i="20"/>
  <c r="AT931" i="20"/>
  <c r="AT483" i="20"/>
  <c r="AT955" i="20"/>
  <c r="AT386" i="20"/>
  <c r="AT412" i="20"/>
  <c r="AT847" i="20"/>
  <c r="AT658" i="20"/>
  <c r="AT601" i="20"/>
  <c r="AT237" i="20"/>
  <c r="AT802" i="20"/>
  <c r="AT1080" i="20"/>
  <c r="AT1008" i="20"/>
  <c r="AT568" i="20"/>
  <c r="AT821" i="20"/>
  <c r="AT822" i="20"/>
  <c r="AT580" i="20"/>
  <c r="AT365" i="20"/>
  <c r="AT762" i="20"/>
  <c r="AT708" i="20"/>
  <c r="AT1075" i="20"/>
  <c r="AT920" i="20"/>
  <c r="AT379" i="20"/>
  <c r="AT1050" i="20"/>
  <c r="AT914" i="20"/>
  <c r="AT846" i="20"/>
  <c r="AT553" i="20"/>
  <c r="AT869" i="20"/>
  <c r="AT899" i="20"/>
  <c r="AT333" i="20"/>
  <c r="AT1077" i="20"/>
  <c r="AT376" i="20"/>
  <c r="AT1071" i="20"/>
  <c r="AT659" i="20"/>
  <c r="AT450" i="20"/>
  <c r="AT345" i="20"/>
  <c r="AT454" i="20"/>
  <c r="AT826" i="20"/>
  <c r="AT990" i="20"/>
  <c r="AT676" i="20"/>
  <c r="AT428" i="20"/>
  <c r="AT670" i="20"/>
  <c r="AT696" i="20"/>
  <c r="AT224" i="20"/>
  <c r="AT262" i="20"/>
  <c r="AT254" i="20"/>
  <c r="AT277" i="20"/>
  <c r="AT297" i="20"/>
  <c r="AT308" i="20"/>
  <c r="AT299" i="20"/>
  <c r="AT314" i="20"/>
  <c r="AT456" i="20"/>
  <c r="AT194" i="20"/>
  <c r="AT196" i="20"/>
  <c r="AT200" i="20"/>
  <c r="AT30" i="20"/>
  <c r="AT1137" i="20"/>
  <c r="AT162" i="20"/>
  <c r="AT187" i="20"/>
  <c r="AT1138" i="20"/>
  <c r="AT180" i="20"/>
  <c r="AT1109" i="20"/>
  <c r="AT28" i="20"/>
  <c r="AT264" i="20"/>
  <c r="AT258" i="20"/>
  <c r="AT244" i="20"/>
  <c r="AT284" i="20"/>
  <c r="AT292" i="20"/>
  <c r="AT290" i="20"/>
  <c r="AT309" i="20"/>
  <c r="AT295" i="20"/>
  <c r="AT273" i="20"/>
  <c r="AT21" i="20"/>
  <c r="AT23" i="20"/>
  <c r="AT1113" i="20"/>
  <c r="AT1116" i="20"/>
  <c r="AT1118" i="20"/>
  <c r="AT109" i="20"/>
  <c r="AT1103" i="20"/>
  <c r="AT1141" i="20"/>
  <c r="AT263" i="20"/>
  <c r="AT1126" i="20"/>
  <c r="AT1110" i="20"/>
  <c r="AT1311" i="20"/>
  <c r="AT54" i="20"/>
  <c r="AT913" i="20"/>
  <c r="AT1028" i="20"/>
  <c r="AT1023" i="20"/>
  <c r="AT1030" i="20"/>
  <c r="AT1035" i="20"/>
  <c r="AT1016" i="20"/>
  <c r="AT119" i="20"/>
  <c r="AT68" i="20"/>
  <c r="AT130" i="20"/>
  <c r="AT218" i="20"/>
  <c r="AT76" i="20"/>
  <c r="AT118" i="20"/>
  <c r="AT1242" i="20"/>
  <c r="AT1299" i="20"/>
  <c r="AT1231" i="20"/>
  <c r="AT1291" i="20"/>
  <c r="AT32" i="20"/>
  <c r="AT874" i="20"/>
  <c r="AT75" i="20"/>
  <c r="AT66" i="20"/>
  <c r="AT129" i="20"/>
  <c r="AT1152" i="20"/>
  <c r="AT1186" i="20"/>
  <c r="AT1283" i="20"/>
  <c r="AT1225" i="20"/>
  <c r="AT1239" i="20"/>
  <c r="AT1024" i="20"/>
  <c r="AT83" i="20"/>
  <c r="AT1189" i="20"/>
  <c r="AT56" i="20"/>
  <c r="AT45" i="20"/>
  <c r="AT991" i="20"/>
  <c r="AT1013" i="20"/>
  <c r="AT1033" i="20"/>
  <c r="AT70" i="20"/>
  <c r="AT1014" i="20"/>
  <c r="AT216" i="20"/>
  <c r="AT71" i="20"/>
  <c r="AT219" i="20"/>
  <c r="AT220" i="20"/>
  <c r="AT135" i="20"/>
  <c r="AT169" i="20"/>
  <c r="AT90" i="20"/>
  <c r="AT1025" i="20"/>
  <c r="AT1015" i="20"/>
  <c r="AT221" i="20"/>
  <c r="AT73" i="20"/>
  <c r="AT128" i="20"/>
  <c r="AT134" i="20"/>
  <c r="AT213" i="20"/>
  <c r="AT136" i="20"/>
  <c r="AT100" i="20"/>
  <c r="AT38" i="20"/>
  <c r="O39" i="37"/>
  <c r="B55" i="37"/>
  <c r="P17" i="36"/>
  <c r="P10" i="36"/>
  <c r="P21" i="36"/>
  <c r="P28" i="36"/>
  <c r="B29" i="36"/>
  <c r="P23" i="36"/>
  <c r="N13" i="36"/>
  <c r="AA8" i="66"/>
  <c r="U252" i="19"/>
  <c r="K17" i="36"/>
  <c r="AT620" i="20"/>
  <c r="AF66" i="14"/>
  <c r="AH66" i="14"/>
  <c r="AF215" i="14"/>
  <c r="AH215" i="14"/>
  <c r="AF223" i="14"/>
  <c r="AH223" i="14"/>
  <c r="AF23" i="14"/>
  <c r="AH23" i="14"/>
  <c r="AF33" i="14"/>
  <c r="AH33" i="14"/>
  <c r="AF119" i="14"/>
  <c r="AH119" i="14"/>
  <c r="AF121" i="14"/>
  <c r="AH121" i="14"/>
  <c r="AF252" i="14"/>
  <c r="AH252" i="14"/>
  <c r="AF257" i="14"/>
  <c r="AH257" i="14"/>
  <c r="AF209" i="14"/>
  <c r="AH209" i="14"/>
  <c r="AF210" i="14"/>
  <c r="AH210" i="14"/>
  <c r="AF211" i="14"/>
  <c r="AH211" i="14"/>
  <c r="AF140" i="14"/>
  <c r="AH140" i="14"/>
  <c r="AF58" i="14"/>
  <c r="AH58" i="14"/>
  <c r="AF201" i="14"/>
  <c r="AH201" i="14"/>
  <c r="AF113" i="14"/>
  <c r="AH113" i="14"/>
  <c r="AF125" i="14"/>
  <c r="AH125" i="14"/>
  <c r="AT921" i="20"/>
  <c r="AT978" i="20"/>
  <c r="AT1092" i="20"/>
  <c r="AT943" i="20"/>
  <c r="AT210" i="20"/>
  <c r="K20" i="36"/>
  <c r="K16" i="36"/>
  <c r="U199" i="19"/>
  <c r="K14" i="36"/>
  <c r="U178" i="19"/>
  <c r="K7" i="36"/>
  <c r="AF54" i="14"/>
  <c r="AH54" i="14"/>
  <c r="U162" i="19"/>
  <c r="U118" i="19"/>
  <c r="AF155" i="14"/>
  <c r="AH155" i="14"/>
  <c r="K9" i="36"/>
  <c r="M9" i="36"/>
  <c r="AT223" i="20"/>
  <c r="U202" i="19"/>
  <c r="K18" i="36"/>
  <c r="K23" i="36"/>
  <c r="U287" i="19"/>
  <c r="AF258" i="14"/>
  <c r="AH258" i="14"/>
  <c r="AF255" i="14"/>
  <c r="AH255" i="14"/>
  <c r="AF261" i="14"/>
  <c r="AH261" i="14"/>
  <c r="AF259" i="14"/>
  <c r="AH259" i="14"/>
  <c r="AF254" i="14"/>
  <c r="AH254" i="14"/>
  <c r="AF144" i="14"/>
  <c r="AH144" i="14"/>
  <c r="AF127" i="14"/>
  <c r="AH127" i="14"/>
  <c r="AF141" i="14"/>
  <c r="AH141" i="14"/>
  <c r="AF72" i="14"/>
  <c r="AH72" i="14"/>
  <c r="AF243" i="14"/>
  <c r="AH243" i="14"/>
  <c r="AF235" i="14"/>
  <c r="AH235" i="14"/>
  <c r="AF83" i="14"/>
  <c r="AH83" i="14"/>
  <c r="AF73" i="14"/>
  <c r="AH73" i="14"/>
  <c r="AF207" i="14"/>
  <c r="AH207" i="14"/>
  <c r="K21" i="36"/>
  <c r="AF123" i="14"/>
  <c r="AH123" i="14"/>
  <c r="AF198" i="14"/>
  <c r="AH198" i="14"/>
  <c r="AF251" i="14"/>
  <c r="AH251" i="14"/>
  <c r="AF116" i="14"/>
  <c r="AH116" i="14"/>
  <c r="AF122" i="14"/>
  <c r="AH122" i="14"/>
  <c r="AF183" i="14"/>
  <c r="AH183" i="14"/>
  <c r="K28" i="36"/>
  <c r="AF253" i="14"/>
  <c r="AH253" i="14"/>
  <c r="AF260" i="14"/>
  <c r="AH260" i="14"/>
  <c r="U65" i="19"/>
  <c r="K10" i="36"/>
  <c r="AT259" i="20"/>
  <c r="AT253" i="20"/>
  <c r="AT266" i="20"/>
  <c r="AT1259" i="20"/>
  <c r="AT355" i="20"/>
  <c r="AT195" i="20"/>
  <c r="AT183" i="20"/>
  <c r="AT1148" i="20"/>
  <c r="AT1207" i="20"/>
  <c r="AT1167" i="20"/>
  <c r="AT1177" i="20"/>
  <c r="AT1215" i="20"/>
  <c r="AT252" i="20"/>
  <c r="AT204" i="20"/>
  <c r="AT1194" i="20"/>
  <c r="AT1191" i="20"/>
  <c r="AT1153" i="20"/>
  <c r="AT199" i="20"/>
  <c r="AT1271" i="20"/>
  <c r="AT53" i="20"/>
  <c r="AT33" i="20"/>
  <c r="AT39" i="20"/>
  <c r="AT166" i="20"/>
  <c r="AT34" i="20"/>
  <c r="AT93" i="20"/>
  <c r="AT43" i="20"/>
  <c r="AT96" i="20"/>
  <c r="AC21" i="43"/>
  <c r="AC14" i="43"/>
  <c r="AC20" i="43"/>
  <c r="R14" i="43"/>
  <c r="AC19" i="43"/>
  <c r="AC18" i="43"/>
  <c r="R12" i="43"/>
  <c r="R13" i="43"/>
  <c r="I18" i="43"/>
  <c r="AC12" i="43"/>
  <c r="AC17" i="43"/>
  <c r="I14" i="43"/>
  <c r="I12" i="43"/>
  <c r="I17" i="43"/>
  <c r="L28" i="36"/>
  <c r="M7" i="36"/>
  <c r="N7" i="36"/>
  <c r="AA3" i="66"/>
  <c r="G16" i="37"/>
  <c r="G43" i="86"/>
  <c r="H43" i="86"/>
  <c r="K43" i="86"/>
  <c r="I43" i="86"/>
  <c r="L43" i="86"/>
  <c r="F12" i="43"/>
  <c r="F13" i="43"/>
  <c r="AF46" i="14"/>
  <c r="AH46" i="14"/>
  <c r="AF170" i="14"/>
  <c r="AH170" i="14"/>
  <c r="K8" i="36"/>
  <c r="M8" i="36"/>
  <c r="E49" i="40"/>
  <c r="X24" i="66"/>
  <c r="AG24" i="66"/>
  <c r="Z24" i="66"/>
  <c r="G94" i="86"/>
  <c r="J94" i="86"/>
  <c r="H164" i="86"/>
  <c r="K164" i="86"/>
  <c r="G123" i="86"/>
  <c r="J123" i="86"/>
  <c r="G3" i="86"/>
  <c r="J3" i="86"/>
  <c r="L25" i="36"/>
  <c r="O25" i="36"/>
  <c r="L19" i="36"/>
  <c r="O19" i="36"/>
  <c r="N26" i="36"/>
  <c r="AA21" i="66"/>
  <c r="M24" i="36"/>
  <c r="I5" i="86"/>
  <c r="L5" i="86"/>
  <c r="AC15" i="43"/>
  <c r="M19" i="36"/>
  <c r="L24" i="36"/>
  <c r="O24" i="36"/>
  <c r="H51" i="86"/>
  <c r="K51" i="86"/>
  <c r="I129" i="86"/>
  <c r="L129" i="86"/>
  <c r="I16" i="43"/>
  <c r="N25" i="36"/>
  <c r="AA20" i="66"/>
  <c r="AF24" i="14"/>
  <c r="AH24" i="14"/>
  <c r="K22" i="36"/>
  <c r="L22" i="36"/>
  <c r="O22" i="36"/>
  <c r="L26" i="36"/>
  <c r="O26" i="36"/>
  <c r="I13" i="43"/>
  <c r="H77" i="86"/>
  <c r="K77" i="86"/>
  <c r="G19" i="86"/>
  <c r="J19" i="86"/>
  <c r="D18" i="37"/>
  <c r="H5" i="86"/>
  <c r="K5" i="86"/>
  <c r="H132" i="86"/>
  <c r="K132" i="86"/>
  <c r="I81" i="86"/>
  <c r="L81" i="86"/>
  <c r="G158" i="86"/>
  <c r="J158" i="86"/>
  <c r="G87" i="86"/>
  <c r="J87" i="86"/>
  <c r="I30" i="86"/>
  <c r="L30" i="86"/>
  <c r="H37" i="86"/>
  <c r="K37" i="86"/>
  <c r="H103" i="86"/>
  <c r="K103" i="86"/>
  <c r="I132" i="86"/>
  <c r="L132" i="86"/>
  <c r="E25" i="37"/>
  <c r="H118" i="86"/>
  <c r="K118" i="86"/>
  <c r="D43" i="37"/>
  <c r="G43" i="37"/>
  <c r="I145" i="86"/>
  <c r="L145" i="86"/>
  <c r="H110" i="86"/>
  <c r="K110" i="86"/>
  <c r="J18" i="37"/>
  <c r="H67" i="86"/>
  <c r="K67" i="86"/>
  <c r="D25" i="37"/>
  <c r="G129" i="86"/>
  <c r="J129" i="86"/>
  <c r="K25" i="37"/>
  <c r="I51" i="86"/>
  <c r="L51" i="86"/>
  <c r="H128" i="86"/>
  <c r="K128" i="86"/>
  <c r="H43" i="37"/>
  <c r="K43" i="37"/>
  <c r="M28" i="37"/>
  <c r="H135" i="86"/>
  <c r="K135" i="86"/>
  <c r="G44" i="86"/>
  <c r="J44" i="86"/>
  <c r="G54" i="86"/>
  <c r="J54" i="86"/>
  <c r="H81" i="86"/>
  <c r="K81" i="86"/>
  <c r="G124" i="86"/>
  <c r="J124" i="86"/>
  <c r="I19" i="86"/>
  <c r="L19" i="86"/>
  <c r="G67" i="86"/>
  <c r="J67" i="86"/>
  <c r="I15" i="86"/>
  <c r="L15" i="86"/>
  <c r="I140" i="86"/>
  <c r="L140" i="86"/>
  <c r="H40" i="86"/>
  <c r="K40" i="86"/>
  <c r="G51" i="86"/>
  <c r="J51" i="86"/>
  <c r="I163" i="86"/>
  <c r="L163" i="86"/>
  <c r="I62" i="86"/>
  <c r="L62" i="86"/>
  <c r="G130" i="86"/>
  <c r="J130" i="86"/>
  <c r="H19" i="86"/>
  <c r="K19" i="86"/>
  <c r="G163" i="86"/>
  <c r="J163" i="86"/>
  <c r="G83" i="86"/>
  <c r="J83" i="86"/>
  <c r="I94" i="86"/>
  <c r="L94" i="86"/>
  <c r="D28" i="37"/>
  <c r="H15" i="86"/>
  <c r="K15" i="86"/>
  <c r="I70" i="86"/>
  <c r="L70" i="86"/>
  <c r="I130" i="86"/>
  <c r="L130" i="86"/>
  <c r="H152" i="86"/>
  <c r="K152" i="86"/>
  <c r="G115" i="86"/>
  <c r="J115" i="86"/>
  <c r="I67" i="86"/>
  <c r="L67" i="86"/>
  <c r="G152" i="86"/>
  <c r="J152" i="86"/>
  <c r="G135" i="86"/>
  <c r="J135" i="86"/>
  <c r="I164" i="86"/>
  <c r="L164" i="86"/>
  <c r="I44" i="86"/>
  <c r="L44" i="86"/>
  <c r="G40" i="86"/>
  <c r="J40" i="86"/>
  <c r="G132" i="86"/>
  <c r="I135" i="86"/>
  <c r="L135" i="86"/>
  <c r="I64" i="86"/>
  <c r="L64" i="86"/>
  <c r="G62" i="86"/>
  <c r="J62" i="86"/>
  <c r="H91" i="86"/>
  <c r="K91" i="86"/>
  <c r="H98" i="86"/>
  <c r="K98" i="86"/>
  <c r="H129" i="86"/>
  <c r="K129" i="86"/>
  <c r="H4" i="86"/>
  <c r="K4" i="86"/>
  <c r="H88" i="86"/>
  <c r="K88" i="86"/>
  <c r="I28" i="37"/>
  <c r="N28" i="37"/>
  <c r="D26" i="37"/>
  <c r="I114" i="86"/>
  <c r="L114" i="86"/>
  <c r="H66" i="86"/>
  <c r="K66" i="86"/>
  <c r="H168" i="86"/>
  <c r="K168" i="86"/>
  <c r="I166" i="86"/>
  <c r="L166" i="86"/>
  <c r="G30" i="86"/>
  <c r="J30" i="86"/>
  <c r="G18" i="37"/>
  <c r="I58" i="86"/>
  <c r="L58" i="86"/>
  <c r="G120" i="86"/>
  <c r="J120" i="86"/>
  <c r="L28" i="37"/>
  <c r="H158" i="86"/>
  <c r="K158" i="86"/>
  <c r="I115" i="86"/>
  <c r="L115" i="86"/>
  <c r="H7" i="86"/>
  <c r="K7" i="86"/>
  <c r="I152" i="86"/>
  <c r="L152" i="86"/>
  <c r="L18" i="37"/>
  <c r="E18" i="37"/>
  <c r="I77" i="86"/>
  <c r="L77" i="86"/>
  <c r="E28" i="37"/>
  <c r="I98" i="86"/>
  <c r="L98" i="86"/>
  <c r="J28" i="37"/>
  <c r="G145" i="86"/>
  <c r="J145" i="86"/>
  <c r="H44" i="86"/>
  <c r="K44" i="86"/>
  <c r="L11" i="37"/>
  <c r="H85" i="86"/>
  <c r="K85" i="86"/>
  <c r="G110" i="86"/>
  <c r="H156" i="86"/>
  <c r="K156" i="86"/>
  <c r="I7" i="86"/>
  <c r="L7" i="86"/>
  <c r="H117" i="86"/>
  <c r="K117" i="86"/>
  <c r="H18" i="37"/>
  <c r="G28" i="37"/>
  <c r="H26" i="37"/>
  <c r="G15" i="86"/>
  <c r="J15" i="86"/>
  <c r="I146" i="86"/>
  <c r="L146" i="86"/>
  <c r="H130" i="86"/>
  <c r="H114" i="86"/>
  <c r="K114" i="86"/>
  <c r="I40" i="86"/>
  <c r="L40" i="86"/>
  <c r="I123" i="86"/>
  <c r="L123" i="86"/>
  <c r="H63" i="86"/>
  <c r="K63" i="86"/>
  <c r="M18" i="37"/>
  <c r="G81" i="86"/>
  <c r="J81" i="86"/>
  <c r="H6" i="86"/>
  <c r="K6" i="86"/>
  <c r="G77" i="86"/>
  <c r="J77" i="86"/>
  <c r="I65" i="86"/>
  <c r="L65" i="86"/>
  <c r="G78" i="86"/>
  <c r="J78" i="86"/>
  <c r="N18" i="37"/>
  <c r="I27" i="86"/>
  <c r="L27" i="86"/>
  <c r="I156" i="86"/>
  <c r="L156" i="86"/>
  <c r="G103" i="86"/>
  <c r="J103" i="86"/>
  <c r="H53" i="37"/>
  <c r="K53" i="37"/>
  <c r="L53" i="37"/>
  <c r="O53" i="37"/>
  <c r="H94" i="86"/>
  <c r="K94" i="86"/>
  <c r="I103" i="86"/>
  <c r="L103" i="86"/>
  <c r="G164" i="86"/>
  <c r="J164" i="86"/>
  <c r="H62" i="86"/>
  <c r="K62" i="86"/>
  <c r="I88" i="86"/>
  <c r="L88" i="86"/>
  <c r="G88" i="86"/>
  <c r="J88" i="86"/>
  <c r="G4" i="86"/>
  <c r="J4" i="86"/>
  <c r="H163" i="86"/>
  <c r="K163" i="86"/>
  <c r="H3" i="86"/>
  <c r="K3" i="86"/>
  <c r="I4" i="86"/>
  <c r="L4" i="86"/>
  <c r="I18" i="37"/>
  <c r="H60" i="86"/>
  <c r="K60" i="86"/>
  <c r="F18" i="37"/>
  <c r="H47" i="37"/>
  <c r="K47" i="37"/>
  <c r="H89" i="86"/>
  <c r="K89" i="86"/>
  <c r="H115" i="86"/>
  <c r="K115" i="86"/>
  <c r="G63" i="86"/>
  <c r="J63" i="86"/>
  <c r="G9" i="86"/>
  <c r="J9" i="86"/>
  <c r="H39" i="86"/>
  <c r="K39" i="86"/>
  <c r="G121" i="86"/>
  <c r="J121" i="86"/>
  <c r="H28" i="86"/>
  <c r="K28" i="86"/>
  <c r="I3" i="86"/>
  <c r="L3" i="86"/>
  <c r="I151" i="86"/>
  <c r="L151" i="86"/>
  <c r="G119" i="86"/>
  <c r="J119" i="86"/>
  <c r="H30" i="86"/>
  <c r="F11" i="37"/>
  <c r="I37" i="86"/>
  <c r="L37" i="86"/>
  <c r="K11" i="37"/>
  <c r="G114" i="86"/>
  <c r="J114" i="86"/>
  <c r="L43" i="37"/>
  <c r="O43" i="37"/>
  <c r="J22" i="37"/>
  <c r="G27" i="86"/>
  <c r="L26" i="37"/>
  <c r="I165" i="86"/>
  <c r="L165" i="86"/>
  <c r="H33" i="86"/>
  <c r="K33" i="86"/>
  <c r="D16" i="37"/>
  <c r="H78" i="86"/>
  <c r="K78" i="86"/>
  <c r="H38" i="37"/>
  <c r="K38" i="37"/>
  <c r="G11" i="37"/>
  <c r="J16" i="37"/>
  <c r="G82" i="86"/>
  <c r="J82" i="86"/>
  <c r="G102" i="86"/>
  <c r="J102" i="86"/>
  <c r="H9" i="86"/>
  <c r="K9" i="86"/>
  <c r="D11" i="37"/>
  <c r="D50" i="37"/>
  <c r="G50" i="37"/>
  <c r="G127" i="86"/>
  <c r="J127" i="86"/>
  <c r="I63" i="86"/>
  <c r="L63" i="86"/>
  <c r="H131" i="86"/>
  <c r="K131" i="86"/>
  <c r="G90" i="86"/>
  <c r="J90" i="86"/>
  <c r="E11" i="37"/>
  <c r="G24" i="86"/>
  <c r="J24" i="86"/>
  <c r="G8" i="86"/>
  <c r="J8" i="86"/>
  <c r="H124" i="86"/>
  <c r="K124" i="86"/>
  <c r="H59" i="86"/>
  <c r="K59" i="86"/>
  <c r="H143" i="86"/>
  <c r="H80" i="86"/>
  <c r="K80" i="86"/>
  <c r="I120" i="86"/>
  <c r="L120" i="86"/>
  <c r="G117" i="86"/>
  <c r="J117" i="86"/>
  <c r="I102" i="86"/>
  <c r="L102" i="86"/>
  <c r="H87" i="86"/>
  <c r="K87" i="86"/>
  <c r="H93" i="86"/>
  <c r="K93" i="86"/>
  <c r="G98" i="86"/>
  <c r="J98" i="86"/>
  <c r="L47" i="37"/>
  <c r="O47" i="37"/>
  <c r="L51" i="37"/>
  <c r="O51" i="37"/>
  <c r="H28" i="37"/>
  <c r="G6" i="86"/>
  <c r="J6" i="86"/>
  <c r="H166" i="86"/>
  <c r="K166" i="86"/>
  <c r="I13" i="86"/>
  <c r="L13" i="86"/>
  <c r="D51" i="37"/>
  <c r="G51" i="37"/>
  <c r="I90" i="86"/>
  <c r="L90" i="86"/>
  <c r="H18" i="86"/>
  <c r="K18" i="86"/>
  <c r="G93" i="86"/>
  <c r="J93" i="86"/>
  <c r="H146" i="86"/>
  <c r="K146" i="86"/>
  <c r="H99" i="86"/>
  <c r="K99" i="86"/>
  <c r="N11" i="37"/>
  <c r="H123" i="86"/>
  <c r="K123" i="86"/>
  <c r="G100" i="86"/>
  <c r="J100" i="86"/>
  <c r="G58" i="86"/>
  <c r="J58" i="86"/>
  <c r="M25" i="37"/>
  <c r="E24" i="37"/>
  <c r="L49" i="37"/>
  <c r="O49" i="37"/>
  <c r="H159" i="86"/>
  <c r="K159" i="86"/>
  <c r="G59" i="86"/>
  <c r="J59" i="86"/>
  <c r="G92" i="86"/>
  <c r="J92" i="86"/>
  <c r="G7" i="86"/>
  <c r="J7" i="86"/>
  <c r="H116" i="86"/>
  <c r="K116" i="86"/>
  <c r="G71" i="86"/>
  <c r="J71" i="86"/>
  <c r="J11" i="37"/>
  <c r="I11" i="37"/>
  <c r="H2" i="86"/>
  <c r="K2" i="86"/>
  <c r="L36" i="37"/>
  <c r="O36" i="37"/>
  <c r="I8" i="86"/>
  <c r="L8" i="86"/>
  <c r="K16" i="37"/>
  <c r="I158" i="86"/>
  <c r="L158" i="86"/>
  <c r="H119" i="86"/>
  <c r="K119" i="86"/>
  <c r="G2" i="86"/>
  <c r="N16" i="37"/>
  <c r="H19" i="37"/>
  <c r="G22" i="37"/>
  <c r="I20" i="37"/>
  <c r="H127" i="86"/>
  <c r="K127" i="86"/>
  <c r="I21" i="86"/>
  <c r="L21" i="86"/>
  <c r="I143" i="86"/>
  <c r="L143" i="86"/>
  <c r="J26" i="37"/>
  <c r="G150" i="86"/>
  <c r="J150" i="86"/>
  <c r="I118" i="86"/>
  <c r="L118" i="86"/>
  <c r="I131" i="86"/>
  <c r="L131" i="86"/>
  <c r="F28" i="37"/>
  <c r="H50" i="37"/>
  <c r="K50" i="37"/>
  <c r="G166" i="86"/>
  <c r="J166" i="86"/>
  <c r="H145" i="86"/>
  <c r="K145" i="86"/>
  <c r="G68" i="86"/>
  <c r="J68" i="86"/>
  <c r="H100" i="86"/>
  <c r="K100" i="86"/>
  <c r="H65" i="86"/>
  <c r="K65" i="86"/>
  <c r="H83" i="86"/>
  <c r="K83" i="86"/>
  <c r="H20" i="86"/>
  <c r="K20" i="86"/>
  <c r="I134" i="86"/>
  <c r="L134" i="86"/>
  <c r="H140" i="86"/>
  <c r="K140" i="86"/>
  <c r="H25" i="86"/>
  <c r="K25" i="86"/>
  <c r="I19" i="37"/>
  <c r="H111" i="86"/>
  <c r="K111" i="86"/>
  <c r="I18" i="86"/>
  <c r="L18" i="86"/>
  <c r="I155" i="86"/>
  <c r="L155" i="86"/>
  <c r="E26" i="37"/>
  <c r="H36" i="86"/>
  <c r="K36" i="86"/>
  <c r="G70" i="86"/>
  <c r="J70" i="86"/>
  <c r="H147" i="86"/>
  <c r="K147" i="86"/>
  <c r="D45" i="37"/>
  <c r="G45" i="37"/>
  <c r="L45" i="37"/>
  <c r="O45" i="37"/>
  <c r="I89" i="86"/>
  <c r="L89" i="86"/>
  <c r="D47" i="37"/>
  <c r="G47" i="37"/>
  <c r="I22" i="37"/>
  <c r="I112" i="86"/>
  <c r="L112" i="86"/>
  <c r="I78" i="86"/>
  <c r="L78" i="86"/>
  <c r="G25" i="86"/>
  <c r="J25" i="86"/>
  <c r="N26" i="37"/>
  <c r="K26" i="37"/>
  <c r="I39" i="86"/>
  <c r="L39" i="86"/>
  <c r="J15" i="37"/>
  <c r="G24" i="37"/>
  <c r="L24" i="37"/>
  <c r="I128" i="86"/>
  <c r="L128" i="86"/>
  <c r="G162" i="86"/>
  <c r="J162" i="86"/>
  <c r="H22" i="86"/>
  <c r="K22" i="86"/>
  <c r="I6" i="86"/>
  <c r="L6" i="86"/>
  <c r="G112" i="86"/>
  <c r="J112" i="86"/>
  <c r="H70" i="86"/>
  <c r="K70" i="86"/>
  <c r="G56" i="86"/>
  <c r="J56" i="86"/>
  <c r="H64" i="86"/>
  <c r="K64" i="86"/>
  <c r="H44" i="37"/>
  <c r="K44" i="37"/>
  <c r="L44" i="37"/>
  <c r="O44" i="37"/>
  <c r="I97" i="86"/>
  <c r="L97" i="86"/>
  <c r="I141" i="86"/>
  <c r="L141" i="86"/>
  <c r="I117" i="86"/>
  <c r="L117" i="86"/>
  <c r="G131" i="86"/>
  <c r="J131" i="86"/>
  <c r="I55" i="86"/>
  <c r="L55" i="86"/>
  <c r="I85" i="86"/>
  <c r="L85" i="86"/>
  <c r="H96" i="86"/>
  <c r="K96" i="86"/>
  <c r="N19" i="37"/>
  <c r="I22" i="86"/>
  <c r="L22" i="86"/>
  <c r="G91" i="86"/>
  <c r="J91" i="86"/>
  <c r="G20" i="37"/>
  <c r="I100" i="86"/>
  <c r="L100" i="86"/>
  <c r="I110" i="86"/>
  <c r="L110" i="86"/>
  <c r="H10" i="86"/>
  <c r="K10" i="86"/>
  <c r="M19" i="37"/>
  <c r="G23" i="86"/>
  <c r="J23" i="86"/>
  <c r="H21" i="86"/>
  <c r="K21" i="86"/>
  <c r="H71" i="86"/>
  <c r="K71" i="86"/>
  <c r="H27" i="86"/>
  <c r="K27" i="86"/>
  <c r="N20" i="37"/>
  <c r="M11" i="37"/>
  <c r="I14" i="86"/>
  <c r="L14" i="86"/>
  <c r="K28" i="37"/>
  <c r="I54" i="86"/>
  <c r="L54" i="86"/>
  <c r="H112" i="86"/>
  <c r="K112" i="86"/>
  <c r="H165" i="86"/>
  <c r="K165" i="86"/>
  <c r="H97" i="86"/>
  <c r="K97" i="86"/>
  <c r="F22" i="37"/>
  <c r="G160" i="86"/>
  <c r="J160" i="86"/>
  <c r="H45" i="37"/>
  <c r="K45" i="37"/>
  <c r="J20" i="37"/>
  <c r="H16" i="37"/>
  <c r="G64" i="86"/>
  <c r="J64" i="86"/>
  <c r="G143" i="86"/>
  <c r="J143" i="86"/>
  <c r="H157" i="86"/>
  <c r="K157" i="86"/>
  <c r="G69" i="86"/>
  <c r="J69" i="86"/>
  <c r="I82" i="86"/>
  <c r="L82" i="86"/>
  <c r="E16" i="37"/>
  <c r="G148" i="86"/>
  <c r="J148" i="86"/>
  <c r="I33" i="86"/>
  <c r="L33" i="86"/>
  <c r="L38" i="37"/>
  <c r="O38" i="37"/>
  <c r="J25" i="37"/>
  <c r="E22" i="37"/>
  <c r="D22" i="37"/>
  <c r="D20" i="37"/>
  <c r="K20" i="37"/>
  <c r="G157" i="86"/>
  <c r="J157" i="86"/>
  <c r="E20" i="37"/>
  <c r="H24" i="86"/>
  <c r="K24" i="86"/>
  <c r="I11" i="86"/>
  <c r="L11" i="86"/>
  <c r="G139" i="86"/>
  <c r="J139" i="86"/>
  <c r="I66" i="86"/>
  <c r="L66" i="86"/>
  <c r="D53" i="37"/>
  <c r="G53" i="37"/>
  <c r="H150" i="86"/>
  <c r="K150" i="86"/>
  <c r="I56" i="86"/>
  <c r="L56" i="86"/>
  <c r="H68" i="86"/>
  <c r="K68" i="86"/>
  <c r="G118" i="86"/>
  <c r="J118" i="86"/>
  <c r="G26" i="37"/>
  <c r="G25" i="37"/>
  <c r="I121" i="86"/>
  <c r="L121" i="86"/>
  <c r="H90" i="86"/>
  <c r="K90" i="86"/>
  <c r="H52" i="86"/>
  <c r="K52" i="86"/>
  <c r="H15" i="37"/>
  <c r="G39" i="86"/>
  <c r="J39" i="86"/>
  <c r="I101" i="86"/>
  <c r="L101" i="86"/>
  <c r="I28" i="86"/>
  <c r="L28" i="86"/>
  <c r="H79" i="86"/>
  <c r="K79" i="86"/>
  <c r="H12" i="86"/>
  <c r="K12" i="86"/>
  <c r="H25" i="37"/>
  <c r="G95" i="86"/>
  <c r="J95" i="86"/>
  <c r="G12" i="86"/>
  <c r="J12" i="86"/>
  <c r="G168" i="86"/>
  <c r="H120" i="86"/>
  <c r="K120" i="86"/>
  <c r="L50" i="37"/>
  <c r="O50" i="37"/>
  <c r="G97" i="86"/>
  <c r="J97" i="86"/>
  <c r="H27" i="37"/>
  <c r="J9" i="37"/>
  <c r="E9" i="37"/>
  <c r="H8" i="86"/>
  <c r="K8" i="86"/>
  <c r="G65" i="86"/>
  <c r="J65" i="86"/>
  <c r="G126" i="86"/>
  <c r="J126" i="86"/>
  <c r="I99" i="86"/>
  <c r="L99" i="86"/>
  <c r="I113" i="86"/>
  <c r="L113" i="86"/>
  <c r="G116" i="86"/>
  <c r="J116" i="86"/>
  <c r="I106" i="86"/>
  <c r="L106" i="86"/>
  <c r="G19" i="37"/>
  <c r="F19" i="37"/>
  <c r="K19" i="37"/>
  <c r="I107" i="86"/>
  <c r="L107" i="86"/>
  <c r="I24" i="86"/>
  <c r="L24" i="86"/>
  <c r="G144" i="86"/>
  <c r="J144" i="86"/>
  <c r="I167" i="86"/>
  <c r="L167" i="86"/>
  <c r="G10" i="86"/>
  <c r="J10" i="86"/>
  <c r="I50" i="86"/>
  <c r="L50" i="86"/>
  <c r="I24" i="37"/>
  <c r="F25" i="37"/>
  <c r="I96" i="86"/>
  <c r="L96" i="86"/>
  <c r="G128" i="86"/>
  <c r="J128" i="86"/>
  <c r="I95" i="86"/>
  <c r="L95" i="86"/>
  <c r="I93" i="86"/>
  <c r="L93" i="86"/>
  <c r="H155" i="86"/>
  <c r="K155" i="86"/>
  <c r="I150" i="86"/>
  <c r="L150" i="86"/>
  <c r="H14" i="86"/>
  <c r="K14" i="86"/>
  <c r="I147" i="86"/>
  <c r="L147" i="86"/>
  <c r="M26" i="37"/>
  <c r="H51" i="37"/>
  <c r="K51" i="37"/>
  <c r="I79" i="86"/>
  <c r="L79" i="86"/>
  <c r="M20" i="37"/>
  <c r="H162" i="86"/>
  <c r="K162" i="86"/>
  <c r="G107" i="86"/>
  <c r="J107" i="86"/>
  <c r="H107" i="86"/>
  <c r="K107" i="86"/>
  <c r="G21" i="86"/>
  <c r="J21" i="86"/>
  <c r="I127" i="86"/>
  <c r="L127" i="86"/>
  <c r="I92" i="86"/>
  <c r="L92" i="86"/>
  <c r="I87" i="86"/>
  <c r="L87" i="86"/>
  <c r="D24" i="37"/>
  <c r="I59" i="86"/>
  <c r="L59" i="86"/>
  <c r="H106" i="86"/>
  <c r="K106" i="86"/>
  <c r="I25" i="37"/>
  <c r="I148" i="86"/>
  <c r="L148" i="86"/>
  <c r="H58" i="86"/>
  <c r="K58" i="86"/>
  <c r="I71" i="86"/>
  <c r="L71" i="86"/>
  <c r="H141" i="86"/>
  <c r="K141" i="86"/>
  <c r="I80" i="86"/>
  <c r="L80" i="86"/>
  <c r="I68" i="86"/>
  <c r="L68" i="86"/>
  <c r="G22" i="86"/>
  <c r="J22" i="86"/>
  <c r="D44" i="37"/>
  <c r="G44" i="37"/>
  <c r="I10" i="86"/>
  <c r="L10" i="86"/>
  <c r="F26" i="37"/>
  <c r="I26" i="37"/>
  <c r="I91" i="86"/>
  <c r="L91" i="86"/>
  <c r="H56" i="86"/>
  <c r="K56" i="86"/>
  <c r="H121" i="86"/>
  <c r="K121" i="86"/>
  <c r="G159" i="86"/>
  <c r="J159" i="86"/>
  <c r="G155" i="86"/>
  <c r="J155" i="86"/>
  <c r="G147" i="86"/>
  <c r="H49" i="37"/>
  <c r="K49" i="37"/>
  <c r="J24" i="37"/>
  <c r="I111" i="86"/>
  <c r="L111" i="86"/>
  <c r="I139" i="86"/>
  <c r="L139" i="86"/>
  <c r="G20" i="86"/>
  <c r="J20" i="86"/>
  <c r="G18" i="86"/>
  <c r="J18" i="86"/>
  <c r="G141" i="86"/>
  <c r="J141" i="86"/>
  <c r="G28" i="86"/>
  <c r="J28" i="86"/>
  <c r="G106" i="86"/>
  <c r="J106" i="86"/>
  <c r="G85" i="86"/>
  <c r="J85" i="86"/>
  <c r="G89" i="86"/>
  <c r="J89" i="86"/>
  <c r="G5" i="86"/>
  <c r="J5" i="86"/>
  <c r="I124" i="86"/>
  <c r="L124" i="86"/>
  <c r="H50" i="86"/>
  <c r="K50" i="86"/>
  <c r="G50" i="86"/>
  <c r="J50" i="86"/>
  <c r="H55" i="86"/>
  <c r="K55" i="86"/>
  <c r="L22" i="37"/>
  <c r="K18" i="37"/>
  <c r="H13" i="86"/>
  <c r="K13" i="86"/>
  <c r="G13" i="86"/>
  <c r="J13" i="86"/>
  <c r="G14" i="86"/>
  <c r="J14" i="86"/>
  <c r="K24" i="37"/>
  <c r="H11" i="37"/>
  <c r="I168" i="86"/>
  <c r="L168" i="86"/>
  <c r="I126" i="86"/>
  <c r="L126" i="86"/>
  <c r="G9" i="37"/>
  <c r="F24" i="37"/>
  <c r="I153" i="86"/>
  <c r="L153" i="86"/>
  <c r="H148" i="86"/>
  <c r="K148" i="86"/>
  <c r="I133" i="86"/>
  <c r="L133" i="86"/>
  <c r="I20" i="86"/>
  <c r="L20" i="86"/>
  <c r="E19" i="37"/>
  <c r="L41" i="37"/>
  <c r="O41" i="37"/>
  <c r="I15" i="37"/>
  <c r="G72" i="86"/>
  <c r="J72" i="86"/>
  <c r="L52" i="37"/>
  <c r="O52" i="37"/>
  <c r="I159" i="86"/>
  <c r="L159" i="86"/>
  <c r="H82" i="86"/>
  <c r="K82" i="86"/>
  <c r="G55" i="86"/>
  <c r="J55" i="86"/>
  <c r="H102" i="86"/>
  <c r="K102" i="86"/>
  <c r="H95" i="86"/>
  <c r="K95" i="86"/>
  <c r="G156" i="86"/>
  <c r="H136" i="86"/>
  <c r="K136" i="86"/>
  <c r="D9" i="37"/>
  <c r="I9" i="86"/>
  <c r="L9" i="86"/>
  <c r="I16" i="37"/>
  <c r="G66" i="86"/>
  <c r="J66" i="86"/>
  <c r="G99" i="86"/>
  <c r="J99" i="86"/>
  <c r="G140" i="86"/>
  <c r="J140" i="86"/>
  <c r="I25" i="86"/>
  <c r="L25" i="86"/>
  <c r="D19" i="37"/>
  <c r="I60" i="86"/>
  <c r="L60" i="86"/>
  <c r="N25" i="37"/>
  <c r="I162" i="86"/>
  <c r="L162" i="86"/>
  <c r="G79" i="86"/>
  <c r="H92" i="86"/>
  <c r="K92" i="86"/>
  <c r="G146" i="86"/>
  <c r="J146" i="86"/>
  <c r="L10" i="37"/>
  <c r="J19" i="37"/>
  <c r="G153" i="86"/>
  <c r="J153" i="86"/>
  <c r="G15" i="37"/>
  <c r="H72" i="86"/>
  <c r="K72" i="86"/>
  <c r="D36" i="37"/>
  <c r="G36" i="37"/>
  <c r="G35" i="86"/>
  <c r="J35" i="86"/>
  <c r="K15" i="37"/>
  <c r="I35" i="86"/>
  <c r="L35" i="86"/>
  <c r="G36" i="86"/>
  <c r="J36" i="86"/>
  <c r="D49" i="37"/>
  <c r="G49" i="37"/>
  <c r="I83" i="86"/>
  <c r="L83" i="86"/>
  <c r="L9" i="37"/>
  <c r="H35" i="86"/>
  <c r="K35" i="86"/>
  <c r="G137" i="86"/>
  <c r="J137" i="86"/>
  <c r="H167" i="86"/>
  <c r="K167" i="86"/>
  <c r="I36" i="86"/>
  <c r="L36" i="86"/>
  <c r="I116" i="86"/>
  <c r="L116" i="86"/>
  <c r="I72" i="86"/>
  <c r="L72" i="86"/>
  <c r="H69" i="86"/>
  <c r="K69" i="86"/>
  <c r="G113" i="86"/>
  <c r="J113" i="86"/>
  <c r="H23" i="86"/>
  <c r="K23" i="86"/>
  <c r="G8" i="37"/>
  <c r="H126" i="86"/>
  <c r="K126" i="86"/>
  <c r="L20" i="37"/>
  <c r="H151" i="86"/>
  <c r="K151" i="86"/>
  <c r="H37" i="37"/>
  <c r="K37" i="37"/>
  <c r="G80" i="86"/>
  <c r="J80" i="86"/>
  <c r="I119" i="86"/>
  <c r="L119" i="86"/>
  <c r="M22" i="37"/>
  <c r="G57" i="86"/>
  <c r="J57" i="86"/>
  <c r="G134" i="86"/>
  <c r="J134" i="86"/>
  <c r="N9" i="37"/>
  <c r="I34" i="86"/>
  <c r="L34" i="86"/>
  <c r="G32" i="86"/>
  <c r="J32" i="86"/>
  <c r="K22" i="37"/>
  <c r="G17" i="86"/>
  <c r="J17" i="86"/>
  <c r="L25" i="37"/>
  <c r="H54" i="86"/>
  <c r="K54" i="86"/>
  <c r="F29" i="37"/>
  <c r="E27" i="37"/>
  <c r="E17" i="37"/>
  <c r="H41" i="37"/>
  <c r="K41" i="37"/>
  <c r="J10" i="37"/>
  <c r="G151" i="86"/>
  <c r="J151" i="86"/>
  <c r="G111" i="86"/>
  <c r="J111" i="86"/>
  <c r="L15" i="37"/>
  <c r="I136" i="86"/>
  <c r="L136" i="86"/>
  <c r="H57" i="86"/>
  <c r="K57" i="86"/>
  <c r="I21" i="37"/>
  <c r="L46" i="37"/>
  <c r="O46" i="37"/>
  <c r="G17" i="37"/>
  <c r="E21" i="37"/>
  <c r="L48" i="37"/>
  <c r="O48" i="37"/>
  <c r="D48" i="37"/>
  <c r="G48" i="37"/>
  <c r="I144" i="86"/>
  <c r="L144" i="86"/>
  <c r="H21" i="37"/>
  <c r="H134" i="86"/>
  <c r="K134" i="86"/>
  <c r="G33" i="86"/>
  <c r="J33" i="86"/>
  <c r="I137" i="86"/>
  <c r="L137" i="86"/>
  <c r="I23" i="86"/>
  <c r="L23" i="86"/>
  <c r="I27" i="37"/>
  <c r="N27" i="37"/>
  <c r="L37" i="37"/>
  <c r="O37" i="37"/>
  <c r="I32" i="86"/>
  <c r="L32" i="86"/>
  <c r="D54" i="37"/>
  <c r="G54" i="37"/>
  <c r="H101" i="86"/>
  <c r="K101" i="86"/>
  <c r="G29" i="86"/>
  <c r="J29" i="86"/>
  <c r="G96" i="86"/>
  <c r="J96" i="86"/>
  <c r="D10" i="37"/>
  <c r="H10" i="37"/>
  <c r="H139" i="86"/>
  <c r="K139" i="86"/>
  <c r="H160" i="86"/>
  <c r="K160" i="86"/>
  <c r="N22" i="37"/>
  <c r="I69" i="86"/>
  <c r="L69" i="86"/>
  <c r="H142" i="86"/>
  <c r="K142" i="86"/>
  <c r="H11" i="86"/>
  <c r="K11" i="86"/>
  <c r="G101" i="86"/>
  <c r="J101" i="86"/>
  <c r="H113" i="86"/>
  <c r="K113" i="86"/>
  <c r="G27" i="37"/>
  <c r="D27" i="37"/>
  <c r="G136" i="86"/>
  <c r="J136" i="86"/>
  <c r="I157" i="86"/>
  <c r="L157" i="86"/>
  <c r="F9" i="37"/>
  <c r="M29" i="37"/>
  <c r="E10" i="37"/>
  <c r="I10" i="37"/>
  <c r="H29" i="86"/>
  <c r="K29" i="86"/>
  <c r="H9" i="37"/>
  <c r="I29" i="86"/>
  <c r="L29" i="86"/>
  <c r="N23" i="37"/>
  <c r="E23" i="37"/>
  <c r="F23" i="37"/>
  <c r="N29" i="37"/>
  <c r="D23" i="37"/>
  <c r="I57" i="86"/>
  <c r="L57" i="86"/>
  <c r="G167" i="86"/>
  <c r="J167" i="86"/>
  <c r="G11" i="86"/>
  <c r="J11" i="86"/>
  <c r="G60" i="86"/>
  <c r="J60" i="86"/>
  <c r="I17" i="37"/>
  <c r="H17" i="37"/>
  <c r="D38" i="37"/>
  <c r="G38" i="37"/>
  <c r="H24" i="37"/>
  <c r="M9" i="37"/>
  <c r="H36" i="37"/>
  <c r="K36" i="37"/>
  <c r="G10" i="37"/>
  <c r="H22" i="37"/>
  <c r="M24" i="37"/>
  <c r="F20" i="37"/>
  <c r="I23" i="37"/>
  <c r="I9" i="37"/>
  <c r="H20" i="37"/>
  <c r="I142" i="86"/>
  <c r="L142" i="86"/>
  <c r="G142" i="86"/>
  <c r="J142" i="86"/>
  <c r="I160" i="86"/>
  <c r="L160" i="86"/>
  <c r="K10" i="37"/>
  <c r="F16" i="37"/>
  <c r="L21" i="37"/>
  <c r="G37" i="86"/>
  <c r="K9" i="37"/>
  <c r="I12" i="86"/>
  <c r="L12" i="86"/>
  <c r="N10" i="37"/>
  <c r="L19" i="37"/>
  <c r="H29" i="37"/>
  <c r="L29" i="37"/>
  <c r="N24" i="37"/>
  <c r="I2" i="86"/>
  <c r="L2" i="86"/>
  <c r="I29" i="37"/>
  <c r="L16" i="37"/>
  <c r="M10" i="37"/>
  <c r="I31" i="86"/>
  <c r="L31" i="86"/>
  <c r="K23" i="37"/>
  <c r="F27" i="37"/>
  <c r="K29" i="37"/>
  <c r="F10" i="37"/>
  <c r="D15" i="37"/>
  <c r="L54" i="37"/>
  <c r="O54" i="37"/>
  <c r="G23" i="37"/>
  <c r="H34" i="86"/>
  <c r="K34" i="86"/>
  <c r="H137" i="86"/>
  <c r="K137" i="86"/>
  <c r="E29" i="37"/>
  <c r="K27" i="37"/>
  <c r="H153" i="86"/>
  <c r="K153" i="86"/>
  <c r="H32" i="86"/>
  <c r="K32" i="86"/>
  <c r="J27" i="37"/>
  <c r="D41" i="37"/>
  <c r="G41" i="37"/>
  <c r="D52" i="37"/>
  <c r="G52" i="37"/>
  <c r="H52" i="37"/>
  <c r="K52" i="37"/>
  <c r="H23" i="37"/>
  <c r="E15" i="37"/>
  <c r="M27" i="37"/>
  <c r="D29" i="37"/>
  <c r="L17" i="37"/>
  <c r="D21" i="37"/>
  <c r="E8" i="37"/>
  <c r="K8" i="37"/>
  <c r="H8" i="37"/>
  <c r="H144" i="86"/>
  <c r="K144" i="86"/>
  <c r="H48" i="37"/>
  <c r="K48" i="37"/>
  <c r="H149" i="86"/>
  <c r="K149" i="86"/>
  <c r="N21" i="37"/>
  <c r="D17" i="37"/>
  <c r="N15" i="37"/>
  <c r="J17" i="37"/>
  <c r="L42" i="37"/>
  <c r="O42" i="37"/>
  <c r="I8" i="37"/>
  <c r="L8" i="37"/>
  <c r="L27" i="37"/>
  <c r="G29" i="37"/>
  <c r="H42" i="37"/>
  <c r="K42" i="37"/>
  <c r="G165" i="86"/>
  <c r="J165" i="86"/>
  <c r="M8" i="37"/>
  <c r="J29" i="37"/>
  <c r="H46" i="37"/>
  <c r="K46" i="37"/>
  <c r="N8" i="37"/>
  <c r="F15" i="37"/>
  <c r="N17" i="37"/>
  <c r="J8" i="37"/>
  <c r="F21" i="37"/>
  <c r="J21" i="37"/>
  <c r="D46" i="37"/>
  <c r="G46" i="37"/>
  <c r="D8" i="37"/>
  <c r="F8" i="37"/>
  <c r="G21" i="37"/>
  <c r="D37" i="37"/>
  <c r="G37" i="37"/>
  <c r="D35" i="37"/>
  <c r="G35" i="37"/>
  <c r="I149" i="86"/>
  <c r="L149" i="86"/>
  <c r="H35" i="37"/>
  <c r="K35" i="37"/>
  <c r="L35" i="37"/>
  <c r="O35" i="37"/>
  <c r="D42" i="37"/>
  <c r="G42" i="37"/>
  <c r="H54" i="37"/>
  <c r="K54" i="37"/>
  <c r="K21" i="37"/>
  <c r="M21" i="37"/>
  <c r="G149" i="86"/>
  <c r="J149" i="86"/>
  <c r="G34" i="86"/>
  <c r="J34" i="86"/>
  <c r="M17" i="37"/>
  <c r="M138" i="86"/>
  <c r="M23" i="37"/>
  <c r="M15" i="37"/>
  <c r="F17" i="37"/>
  <c r="J23" i="37"/>
  <c r="K17" i="37"/>
  <c r="M38" i="86"/>
  <c r="L23" i="37"/>
  <c r="J138" i="86"/>
  <c r="M46" i="86"/>
  <c r="M26" i="86"/>
  <c r="M16" i="86"/>
  <c r="M53" i="86"/>
  <c r="J53" i="86"/>
  <c r="M105" i="86"/>
  <c r="J105" i="86"/>
  <c r="J43" i="86"/>
  <c r="J52" i="86"/>
  <c r="M86" i="86"/>
  <c r="J86" i="86"/>
  <c r="M108" i="86"/>
  <c r="J16" i="86"/>
  <c r="M75" i="86"/>
  <c r="J75" i="86"/>
  <c r="M104" i="86"/>
  <c r="J104" i="86"/>
  <c r="M109" i="86"/>
  <c r="J109" i="86"/>
  <c r="M125" i="86"/>
  <c r="J125" i="86"/>
  <c r="M42" i="86"/>
  <c r="M74" i="86"/>
  <c r="M84" i="86"/>
  <c r="J84" i="86"/>
  <c r="M48" i="86"/>
  <c r="J47" i="86"/>
  <c r="M47" i="86"/>
  <c r="M41" i="86"/>
  <c r="J41" i="86"/>
  <c r="J161" i="86"/>
  <c r="M161" i="86"/>
  <c r="J31" i="86"/>
  <c r="J108" i="86"/>
  <c r="J45" i="86"/>
  <c r="M45" i="86"/>
  <c r="M122" i="86"/>
  <c r="J49" i="86"/>
  <c r="M49" i="86"/>
  <c r="M154" i="86"/>
  <c r="J133" i="86"/>
  <c r="J76" i="86"/>
  <c r="M76" i="86"/>
  <c r="M73" i="86"/>
  <c r="J73" i="86"/>
  <c r="J61" i="86"/>
  <c r="M61" i="86"/>
  <c r="F16" i="43"/>
  <c r="F18" i="43"/>
  <c r="O14" i="43"/>
  <c r="F17" i="43"/>
  <c r="N20" i="36"/>
  <c r="AA15" i="66"/>
  <c r="L20" i="36"/>
  <c r="O20" i="36"/>
  <c r="M20" i="36"/>
  <c r="O13" i="43"/>
  <c r="F14" i="43"/>
  <c r="AD14" i="43"/>
  <c r="AE14" i="43"/>
  <c r="O12" i="43"/>
  <c r="F15" i="43"/>
  <c r="M10" i="36"/>
  <c r="N10" i="36"/>
  <c r="AA6" i="66"/>
  <c r="L10" i="36"/>
  <c r="O10" i="36"/>
  <c r="L21" i="36"/>
  <c r="O21" i="36"/>
  <c r="N21" i="36"/>
  <c r="AA16" i="66"/>
  <c r="M21" i="36"/>
  <c r="N23" i="36"/>
  <c r="AA18" i="66"/>
  <c r="L23" i="36"/>
  <c r="O23" i="36"/>
  <c r="M23" i="36"/>
  <c r="N9" i="36"/>
  <c r="AA5" i="66"/>
  <c r="L14" i="36"/>
  <c r="O14" i="36"/>
  <c r="N14" i="36"/>
  <c r="AA9" i="66"/>
  <c r="M14" i="36"/>
  <c r="N16" i="36"/>
  <c r="AA11" i="66"/>
  <c r="L16" i="36"/>
  <c r="O16" i="36"/>
  <c r="M16" i="36"/>
  <c r="N28" i="36"/>
  <c r="AA23" i="66"/>
  <c r="O28" i="36"/>
  <c r="M28" i="36"/>
  <c r="N18" i="36"/>
  <c r="AA13" i="66"/>
  <c r="L18" i="36"/>
  <c r="O18" i="36"/>
  <c r="M18" i="36"/>
  <c r="L7" i="36"/>
  <c r="O7" i="36"/>
  <c r="L17" i="36"/>
  <c r="O17" i="36"/>
  <c r="N17" i="36"/>
  <c r="AA12" i="66"/>
  <c r="M17" i="36"/>
  <c r="M43" i="86"/>
  <c r="AD21" i="43"/>
  <c r="AE21" i="43"/>
  <c r="AD20" i="43"/>
  <c r="AE20" i="43"/>
  <c r="P12" i="43"/>
  <c r="S12" i="43"/>
  <c r="AD18" i="43"/>
  <c r="AE18" i="43"/>
  <c r="G17" i="43"/>
  <c r="J17" i="43"/>
  <c r="G16" i="43"/>
  <c r="Z16" i="43"/>
  <c r="AA16" i="43"/>
  <c r="AD15" i="43"/>
  <c r="AE15" i="43"/>
  <c r="G13" i="43"/>
  <c r="J13" i="43"/>
  <c r="L8" i="36"/>
  <c r="O8" i="36"/>
  <c r="N8" i="36"/>
  <c r="AA4" i="66"/>
  <c r="N22" i="36"/>
  <c r="AA17" i="66"/>
  <c r="M22" i="36"/>
  <c r="M29" i="36"/>
  <c r="K29" i="36"/>
  <c r="N29" i="36"/>
  <c r="G12" i="43"/>
  <c r="J12" i="43"/>
  <c r="M147" i="86"/>
  <c r="M132" i="86"/>
  <c r="M79" i="86"/>
  <c r="M129" i="86"/>
  <c r="M117" i="86"/>
  <c r="M103" i="86"/>
  <c r="M135" i="86"/>
  <c r="M40" i="86"/>
  <c r="M145" i="86"/>
  <c r="M77" i="86"/>
  <c r="M130" i="86"/>
  <c r="K130" i="86"/>
  <c r="M44" i="86"/>
  <c r="M51" i="86"/>
  <c r="M19" i="86"/>
  <c r="J132" i="86"/>
  <c r="M152" i="86"/>
  <c r="M67" i="86"/>
  <c r="M115" i="86"/>
  <c r="M156" i="86"/>
  <c r="M30" i="86"/>
  <c r="M15" i="86"/>
  <c r="M98" i="86"/>
  <c r="J79" i="86"/>
  <c r="M164" i="86"/>
  <c r="M81" i="86"/>
  <c r="M114" i="86"/>
  <c r="K30" i="86"/>
  <c r="M118" i="86"/>
  <c r="M52" i="86"/>
  <c r="M97" i="86"/>
  <c r="M94" i="86"/>
  <c r="M158" i="86"/>
  <c r="M88" i="86"/>
  <c r="M155" i="86"/>
  <c r="J156" i="86"/>
  <c r="M133" i="86"/>
  <c r="M91" i="86"/>
  <c r="M8" i="86"/>
  <c r="M159" i="86"/>
  <c r="M31" i="86"/>
  <c r="M28" i="86"/>
  <c r="M128" i="86"/>
  <c r="M71" i="86"/>
  <c r="M141" i="86"/>
  <c r="M150" i="86"/>
  <c r="M78" i="86"/>
  <c r="M3" i="86"/>
  <c r="M85" i="86"/>
  <c r="M50" i="86"/>
  <c r="M168" i="86"/>
  <c r="M143" i="86"/>
  <c r="M4" i="86"/>
  <c r="M110" i="86"/>
  <c r="M54" i="86"/>
  <c r="M18" i="86"/>
  <c r="K143" i="86"/>
  <c r="M62" i="86"/>
  <c r="M166" i="86"/>
  <c r="M89" i="86"/>
  <c r="J147" i="86"/>
  <c r="J168" i="86"/>
  <c r="M100" i="86"/>
  <c r="M7" i="86"/>
  <c r="M63" i="86"/>
  <c r="M6" i="86"/>
  <c r="M5" i="86"/>
  <c r="J110" i="86"/>
  <c r="M56" i="86"/>
  <c r="M25" i="86"/>
  <c r="M24" i="86"/>
  <c r="M37" i="86"/>
  <c r="M2" i="86"/>
  <c r="M27" i="86"/>
  <c r="M119" i="86"/>
  <c r="M112" i="86"/>
  <c r="J2" i="86"/>
  <c r="M95" i="86"/>
  <c r="M20" i="86"/>
  <c r="M106" i="86"/>
  <c r="J27" i="86"/>
  <c r="M87" i="86"/>
  <c r="M64" i="86"/>
  <c r="M14" i="86"/>
  <c r="M90" i="86"/>
  <c r="M127" i="86"/>
  <c r="M9" i="86"/>
  <c r="M22" i="86"/>
  <c r="M163" i="86"/>
  <c r="M123" i="86"/>
  <c r="M107" i="86"/>
  <c r="M13" i="86"/>
  <c r="M82" i="86"/>
  <c r="M21" i="86"/>
  <c r="M58" i="86"/>
  <c r="M120" i="86"/>
  <c r="M59" i="86"/>
  <c r="M146" i="86"/>
  <c r="M124" i="86"/>
  <c r="M10" i="86"/>
  <c r="M140" i="86"/>
  <c r="M92" i="86"/>
  <c r="M93" i="86"/>
  <c r="M162" i="86"/>
  <c r="M68" i="86"/>
  <c r="M65" i="86"/>
  <c r="M12" i="86"/>
  <c r="M39" i="86"/>
  <c r="M131" i="86"/>
  <c r="M99" i="86"/>
  <c r="M121" i="86"/>
  <c r="M139" i="86"/>
  <c r="M148" i="86"/>
  <c r="M102" i="86"/>
  <c r="M70" i="86"/>
  <c r="M72" i="86"/>
  <c r="M60" i="86"/>
  <c r="M80" i="86"/>
  <c r="M160" i="86"/>
  <c r="J37" i="86"/>
  <c r="M17" i="86"/>
  <c r="M144" i="86"/>
  <c r="M36" i="86"/>
  <c r="M96" i="86"/>
  <c r="M55" i="86"/>
  <c r="M165" i="86"/>
  <c r="M116" i="86"/>
  <c r="M35" i="86"/>
  <c r="M66" i="86"/>
  <c r="E30" i="37"/>
  <c r="M23" i="86"/>
  <c r="M69" i="86"/>
  <c r="H30" i="37"/>
  <c r="G30" i="37"/>
  <c r="N30" i="37"/>
  <c r="M113" i="86"/>
  <c r="M83" i="86"/>
  <c r="M33" i="86"/>
  <c r="I30" i="37"/>
  <c r="G55" i="37"/>
  <c r="M29" i="86"/>
  <c r="M126" i="86"/>
  <c r="M157" i="86"/>
  <c r="J30" i="37"/>
  <c r="M101" i="86"/>
  <c r="M134" i="86"/>
  <c r="M111" i="86"/>
  <c r="M142" i="86"/>
  <c r="O55" i="37"/>
  <c r="M11" i="86"/>
  <c r="M137" i="86"/>
  <c r="M57" i="86"/>
  <c r="M151" i="86"/>
  <c r="M136" i="86"/>
  <c r="M153" i="86"/>
  <c r="M167" i="86"/>
  <c r="D30" i="37"/>
  <c r="M32" i="86"/>
  <c r="L30" i="37"/>
  <c r="F30" i="37"/>
  <c r="D55" i="37"/>
  <c r="H55" i="37"/>
  <c r="K30" i="37"/>
  <c r="K55" i="37"/>
  <c r="L55" i="37"/>
  <c r="M149" i="86"/>
  <c r="M30" i="37"/>
  <c r="M34" i="86"/>
  <c r="AD16" i="43"/>
  <c r="AE16" i="43"/>
  <c r="G18" i="43"/>
  <c r="J18" i="43"/>
  <c r="AD13" i="43"/>
  <c r="AE13" i="43"/>
  <c r="P14" i="43"/>
  <c r="S14" i="43"/>
  <c r="AD17" i="43"/>
  <c r="AE17" i="43"/>
  <c r="G14" i="43"/>
  <c r="J14" i="43"/>
  <c r="AD19" i="43"/>
  <c r="AE19" i="43"/>
  <c r="P13" i="43"/>
  <c r="S13" i="43"/>
  <c r="G15" i="43"/>
  <c r="J15" i="43"/>
  <c r="AD12" i="43"/>
  <c r="AE12" i="43"/>
  <c r="Z21" i="43"/>
  <c r="AA21" i="43"/>
  <c r="Z20" i="43"/>
  <c r="AA20" i="43"/>
  <c r="Z18" i="43"/>
  <c r="AA18" i="43"/>
  <c r="Z19" i="43"/>
  <c r="AA19" i="43"/>
  <c r="Z17" i="43"/>
  <c r="AA17" i="43"/>
  <c r="J16" i="43"/>
  <c r="Z15" i="43"/>
  <c r="AA15" i="43"/>
  <c r="Z13" i="43"/>
  <c r="AA13" i="43"/>
  <c r="Z12" i="43"/>
  <c r="AA12" i="43"/>
  <c r="Z14" i="43"/>
  <c r="AA14" i="43"/>
  <c r="F55" i="86"/>
  <c r="C10" i="37"/>
  <c r="C30" i="37"/>
  <c r="AM12" i="40"/>
  <c r="AM41" i="40"/>
  <c r="AJ49" i="40"/>
  <c r="AJ67" i="40"/>
  <c r="AM49" i="40"/>
  <c r="AM67" i="40"/>
  <c r="K34" i="40"/>
  <c r="AJ12" i="40"/>
  <c r="C37" i="37"/>
  <c r="C55" i="37"/>
  <c r="AL12" i="40"/>
  <c r="AL41" i="40"/>
  <c r="J35" i="40"/>
  <c r="AK12" i="40"/>
  <c r="AK41" i="40"/>
  <c r="I35" i="40"/>
  <c r="D18" i="40"/>
  <c r="Y5" i="66"/>
  <c r="H42" i="40"/>
  <c r="H49" i="40"/>
  <c r="AN48" i="40"/>
  <c r="AN67" i="40"/>
  <c r="L34" i="40"/>
  <c r="AL49" i="40"/>
  <c r="AL67" i="40"/>
  <c r="J34" i="40"/>
  <c r="S155" i="14"/>
  <c r="AK49" i="40"/>
  <c r="AK67" i="40"/>
  <c r="I34" i="40"/>
  <c r="AJ41" i="40"/>
  <c r="H35" i="40"/>
  <c r="AO48" i="40"/>
  <c r="Y24" i="66"/>
  <c r="AD24" i="66"/>
  <c r="H34" i="40"/>
  <c r="AO67" i="40"/>
  <c r="K35" i="40"/>
  <c r="P9" i="36"/>
  <c r="L9" i="36"/>
  <c r="L29" i="36"/>
  <c r="D32" i="40"/>
  <c r="D42" i="40"/>
  <c r="AO49" i="40"/>
  <c r="AN31" i="40"/>
  <c r="AB24" i="66"/>
  <c r="O9" i="36"/>
  <c r="O29" i="36"/>
  <c r="AC24" i="66"/>
  <c r="AO68" i="40"/>
  <c r="AA24" i="66"/>
</calcChain>
</file>

<file path=xl/sharedStrings.xml><?xml version="1.0" encoding="utf-8"?>
<sst xmlns="http://schemas.openxmlformats.org/spreadsheetml/2006/main" count="20442" uniqueCount="1642">
  <si>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</si>
  <si>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</si>
  <si>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</si>
  <si>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</si>
  <si>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</si>
  <si>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</si>
  <si>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</si>
  <si>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</si>
  <si>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</si>
  <si>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</si>
  <si>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</si>
  <si>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</si>
  <si>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</si>
  <si>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</si>
  <si>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</si>
  <si>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</si>
  <si>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</si>
  <si>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</si>
  <si>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</si>
  <si>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</si>
  <si>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</si>
  <si>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</si>
  <si>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</si>
  <si>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</si>
  <si>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</si>
  <si>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</si>
  <si>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</si>
  <si>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</si>
  <si>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</si>
  <si>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</si>
  <si>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</si>
  <si>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</si>
  <si>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</si>
  <si>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</si>
  <si>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</si>
  <si>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</si>
  <si>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</si>
  <si>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</si>
  <si>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</si>
  <si>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</si>
  <si>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</si>
  <si>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</si>
  <si>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</si>
  <si>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</si>
  <si>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</si>
  <si>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</si>
  <si>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</si>
  <si>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</si>
  <si>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</si>
  <si>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</si>
  <si>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</si>
  <si>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</si>
  <si>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</si>
  <si>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</si>
  <si>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</si>
  <si>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</si>
  <si>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</si>
  <si>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</si>
  <si>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</si>
  <si>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</si>
  <si>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</si>
  <si>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</si>
  <si>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</si>
  <si>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</si>
  <si>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</si>
  <si>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</si>
  <si>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</si>
  <si>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</si>
  <si>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</si>
  <si>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</si>
  <si>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</si>
  <si>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</si>
  <si>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</si>
  <si>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</si>
  <si>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</si>
  <si>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</si>
  <si>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</si>
  <si>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</si>
  <si>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</si>
  <si>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</si>
  <si>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</si>
  <si>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</si>
  <si>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</si>
  <si>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</si>
  <si>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</si>
  <si>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</si>
  <si>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</si>
  <si>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</si>
  <si>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</si>
  <si>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</si>
  <si>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</si>
  <si>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</si>
  <si>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</si>
  <si>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</si>
  <si>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</si>
  <si>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</si>
  <si>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</si>
  <si>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</si>
  <si>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</si>
  <si>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</si>
  <si>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</si>
  <si>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</si>
  <si>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</si>
  <si>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</si>
  <si>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</si>
  <si>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</si>
  <si>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</si>
  <si>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</si>
  <si>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</si>
  <si>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</si>
  <si>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</si>
  <si>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</si>
  <si>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</si>
  <si>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</si>
  <si>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</si>
  <si>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</si>
  <si>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</si>
  <si>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</si>
  <si>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</si>
  <si>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</si>
  <si>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</si>
  <si>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</si>
  <si>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</si>
  <si>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</si>
  <si>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</si>
  <si>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</si>
  <si>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</si>
  <si>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</si>
  <si>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</si>
  <si>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</si>
  <si>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</si>
  <si>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</si>
  <si>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</si>
  <si>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</si>
  <si>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</si>
  <si>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</si>
  <si>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</si>
  <si>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</si>
  <si>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</si>
  <si>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</si>
  <si>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</si>
  <si>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</si>
  <si>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</si>
  <si>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</si>
  <si>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</si>
  <si>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</si>
  <si>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</si>
  <si>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</si>
  <si>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</si>
  <si>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</si>
  <si>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</si>
  <si>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</si>
  <si>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</si>
  <si>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</si>
  <si>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</si>
  <si>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</si>
  <si>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</si>
  <si>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</si>
  <si>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</si>
  <si>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</si>
  <si>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</si>
  <si>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</si>
  <si>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</si>
  <si>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</si>
  <si>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</si>
  <si>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</si>
  <si>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</si>
  <si>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</si>
  <si>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</si>
  <si>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</si>
  <si>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</si>
  <si>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</si>
  <si>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</si>
  <si>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</si>
  <si>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</si>
  <si>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</si>
  <si>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</si>
  <si>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</si>
  <si>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</si>
  <si>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</si>
  <si>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</si>
  <si>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</si>
  <si>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</si>
  <si>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</si>
  <si>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</si>
  <si>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</si>
  <si>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</si>
  <si>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</si>
  <si>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</si>
  <si>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</si>
  <si>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</si>
  <si>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</si>
  <si>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</si>
  <si>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</si>
  <si>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</si>
  <si>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</si>
  <si>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</si>
  <si>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</si>
  <si>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</si>
  <si>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</si>
  <si>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</si>
  <si>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</si>
  <si>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</si>
  <si>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</si>
  <si>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</si>
  <si>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</si>
  <si>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</si>
  <si>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</si>
  <si>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</si>
  <si>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</si>
  <si>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</si>
  <si>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</si>
  <si>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</si>
  <si>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</si>
  <si>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</si>
  <si>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</si>
  <si>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</si>
  <si>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</si>
  <si>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</si>
  <si>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</si>
  <si>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</si>
  <si>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</si>
  <si>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</si>
  <si>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</si>
  <si>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</si>
  <si>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</si>
  <si>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</si>
  <si>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</si>
  <si>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</si>
  <si>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</si>
  <si>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</si>
  <si>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</si>
  <si>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</si>
  <si>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</si>
  <si>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</si>
  <si>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</si>
  <si>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</si>
  <si>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</si>
  <si>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</si>
  <si>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</si>
  <si>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</si>
  <si>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</si>
  <si>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</si>
  <si>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</si>
  <si>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</si>
  <si>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Du Kahtawng Qtr. 4</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</si>
  <si>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</si>
  <si>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</si>
  <si>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</si>
  <si>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</si>
  <si>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</si>
  <si>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</si>
  <si>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</si>
  <si>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</si>
  <si>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</si>
  <si>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</si>
  <si>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</si>
  <si>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</si>
  <si>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</si>
  <si>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</si>
  <si>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</si>
  <si>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</si>
  <si>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</si>
  <si>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</si>
  <si>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</si>
  <si>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</si>
  <si>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</si>
  <si>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</si>
  <si>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</si>
  <si>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</si>
  <si>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</si>
  <si>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</si>
  <si>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</si>
  <si>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</si>
  <si>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</si>
  <si>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</si>
  <si>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</si>
  <si>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</si>
  <si>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</si>
  <si>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</si>
  <si>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</si>
  <si>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</si>
  <si>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</si>
  <si>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</si>
  <si>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</si>
  <si>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</si>
  <si>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</si>
  <si>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</si>
  <si>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</si>
  <si>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</si>
  <si>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</si>
  <si>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</si>
  <si>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</si>
  <si>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</si>
  <si>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</si>
  <si>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</si>
  <si>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</si>
  <si>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</si>
  <si>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</si>
  <si>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</si>
  <si>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</si>
  <si>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</si>
  <si>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</si>
  <si>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</si>
  <si>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</si>
  <si>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</si>
  <si>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</si>
  <si>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</si>
  <si>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</si>
  <si>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</si>
  <si>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</si>
  <si>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</si>
  <si>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</si>
  <si>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</si>
  <si>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</si>
  <si>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</si>
  <si>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</si>
  <si>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</si>
  <si>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</si>
  <si>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</si>
  <si>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</si>
  <si>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</si>
  <si>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</si>
  <si>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</si>
  <si>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</si>
  <si>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</si>
  <si>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</si>
  <si>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</si>
  <si>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</si>
  <si>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</si>
  <si>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</si>
  <si>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</si>
  <si>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</si>
  <si>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</si>
  <si>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</si>
  <si>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</si>
  <si>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</si>
  <si>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</si>
  <si>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</si>
  <si>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</si>
  <si>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Laiza Muklum Hpyen  Yen Mungshawa ni</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</si>
  <si>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</si>
  <si>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</si>
  <si>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</si>
  <si>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</si>
  <si>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</si>
  <si>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</si>
  <si>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</si>
  <si>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</si>
  <si>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</si>
  <si>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</si>
  <si>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</si>
  <si>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</si>
  <si>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</si>
  <si>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</si>
  <si>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</si>
  <si>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</si>
  <si>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</si>
  <si>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</si>
  <si>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</si>
  <si>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</si>
  <si>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</si>
  <si>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</si>
  <si>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</si>
  <si>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</si>
  <si>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</si>
  <si>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</si>
  <si>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</si>
  <si>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</si>
  <si>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</si>
  <si>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</si>
  <si>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</si>
  <si>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</si>
  <si>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</si>
  <si>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</si>
  <si>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</si>
  <si>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</si>
  <si>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</si>
  <si>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</si>
  <si>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</si>
  <si>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</si>
  <si>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</si>
  <si>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</si>
  <si>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</si>
  <si>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</si>
  <si>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</si>
  <si>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</si>
  <si>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</si>
  <si>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</si>
  <si>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</si>
  <si>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</si>
  <si>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</si>
  <si>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</si>
  <si>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</si>
  <si>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Camp Name</t>
  </si>
  <si>
    <t>State</t>
  </si>
  <si>
    <t>Collective Center</t>
  </si>
  <si>
    <t>Individual (non hosted)</t>
  </si>
  <si>
    <t>Planned Camp</t>
  </si>
  <si>
    <t>Privately Hosted</t>
  </si>
  <si>
    <t>Self Settled Camp</t>
  </si>
  <si>
    <t>Type of Accomodation</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</si>
  <si>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</si>
  <si>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</si>
  <si>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</si>
  <si>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</si>
  <si>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</si>
  <si>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</si>
  <si>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</si>
  <si>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</si>
  <si>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</si>
  <si>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</si>
  <si>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</si>
  <si>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</si>
  <si>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</si>
  <si>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</si>
  <si>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</si>
  <si>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Households</t>
  </si>
  <si>
    <t>CAMPS SUMMARY</t>
  </si>
  <si>
    <t>DETAILED CAMP LIST</t>
  </si>
  <si>
    <t>CLUSTER REPORT</t>
  </si>
  <si>
    <t>(Select State)</t>
  </si>
  <si>
    <t>Temporary Shelter Planned</t>
  </si>
  <si>
    <t>Temporary Shelter Built</t>
  </si>
  <si>
    <t>Temporary Shelter Under Construction</t>
  </si>
  <si>
    <t>SHELTER PROGRESS</t>
  </si>
  <si>
    <t>Total # of HH</t>
  </si>
  <si>
    <t>Total # of Population</t>
  </si>
  <si>
    <t xml:space="preserve"> Coverage (in Pop)</t>
  </si>
  <si>
    <t>Tents Distributed</t>
  </si>
  <si>
    <t>Permanent Shelter Built</t>
  </si>
  <si>
    <t>Permament Shelter Under Construction</t>
  </si>
  <si>
    <t>Permanent Shelter Planned</t>
  </si>
  <si>
    <t>Coverage (HH)</t>
  </si>
  <si>
    <t>NFI TRACKING SHEET</t>
  </si>
  <si>
    <t>Blanket</t>
  </si>
  <si>
    <t>Kitchen Set</t>
  </si>
  <si>
    <t>Dist.</t>
  </si>
  <si>
    <t>Gap (HH)</t>
  </si>
  <si>
    <t>Months</t>
  </si>
  <si>
    <t>Instock</t>
  </si>
  <si>
    <t>Coverage</t>
  </si>
  <si>
    <t># of IDP</t>
  </si>
  <si>
    <t># of camps by Size of Population</t>
  </si>
  <si>
    <t>Dashboards</t>
  </si>
  <si>
    <t>Myanmar</t>
  </si>
  <si>
    <t>CCCM</t>
  </si>
  <si>
    <t>Shelter</t>
  </si>
  <si>
    <t>NFI</t>
  </si>
  <si>
    <t>3W</t>
  </si>
  <si>
    <t>Contact List</t>
  </si>
  <si>
    <t>Report &amp; Analysis</t>
  </si>
  <si>
    <t>UNHCR</t>
  </si>
  <si>
    <t>DRC</t>
  </si>
  <si>
    <t>Quantity/HH</t>
  </si>
  <si>
    <t>Hygiene Kit</t>
  </si>
  <si>
    <t>Sanitary Kit</t>
  </si>
  <si>
    <t>Tarpaulin</t>
  </si>
  <si>
    <t>NFI DISTRIBUTION BY TOWNSHIP</t>
  </si>
  <si>
    <t>KBSS</t>
  </si>
  <si>
    <t>KBC</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</si>
  <si>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</si>
  <si>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</si>
  <si>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</si>
  <si>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</si>
  <si>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</si>
  <si>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</si>
  <si>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</si>
  <si>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</si>
  <si>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</si>
  <si>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</si>
  <si>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</si>
  <si>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</si>
  <si>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</si>
  <si>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</si>
  <si>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</si>
  <si>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</si>
  <si>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</si>
  <si>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</si>
  <si>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</si>
  <si>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</si>
  <si>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</si>
  <si>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</si>
  <si>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</si>
  <si>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Complemantary Kit</t>
  </si>
  <si>
    <t>Label</t>
  </si>
  <si>
    <t>Stock</t>
  </si>
  <si>
    <t>Distribution</t>
  </si>
  <si>
    <t>NB</t>
  </si>
  <si>
    <t>Expiration (month)</t>
  </si>
  <si>
    <t>Avg</t>
  </si>
  <si>
    <t>Source</t>
  </si>
  <si>
    <t>Method</t>
  </si>
  <si>
    <t>Not Accessible</t>
  </si>
  <si>
    <t>Accessible by All</t>
  </si>
  <si>
    <t>Accessibility Restricted</t>
  </si>
  <si>
    <t>Comment</t>
  </si>
  <si>
    <t>Accessibility</t>
  </si>
  <si>
    <t>Status</t>
  </si>
  <si>
    <t>Camp_Acessibility</t>
  </si>
  <si>
    <t>Open</t>
  </si>
  <si>
    <t>Update Date</t>
  </si>
  <si>
    <t>Covered</t>
  </si>
  <si>
    <t>Gap - HH</t>
  </si>
  <si>
    <t>Ind. Not covered</t>
  </si>
  <si>
    <t>Shalom</t>
  </si>
  <si>
    <t>KMSS</t>
  </si>
  <si>
    <t xml:space="preserve">    </t>
  </si>
  <si>
    <t xml:space="preserve">  </t>
  </si>
  <si>
    <t>Pipeline Stock Tracking</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</si>
  <si>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</si>
  <si>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</si>
  <si>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</si>
  <si>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</si>
  <si>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</si>
  <si>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</si>
  <si>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</si>
  <si>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</si>
  <si>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</si>
  <si>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</si>
  <si>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</si>
  <si>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</si>
  <si>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</si>
  <si>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</si>
  <si>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</si>
  <si>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</si>
  <si>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</si>
  <si>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</si>
  <si>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</si>
  <si>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</si>
  <si>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</si>
  <si>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</si>
  <si>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</si>
  <si>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</si>
  <si>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</si>
  <si>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</si>
  <si>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</si>
  <si>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</si>
  <si>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</si>
  <si>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</si>
  <si>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</si>
  <si>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</si>
  <si>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</si>
  <si>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</si>
  <si>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</si>
  <si>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</si>
  <si>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</si>
  <si>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</si>
  <si>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</si>
  <si>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</si>
  <si>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</si>
  <si>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</si>
  <si>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</si>
  <si>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</si>
  <si>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</si>
  <si>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</si>
  <si>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</si>
  <si>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</si>
  <si>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</si>
  <si>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</si>
  <si>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</si>
  <si>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</si>
  <si>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</si>
  <si>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</si>
  <si>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</si>
  <si>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</si>
  <si>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</si>
  <si>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</si>
  <si>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</si>
  <si>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World Vision</t>
  </si>
  <si>
    <t>Oxfam</t>
  </si>
  <si>
    <t># of HH</t>
  </si>
  <si>
    <t>IRRC</t>
  </si>
  <si>
    <t xml:space="preserve">UNHCR </t>
  </si>
  <si>
    <t>Dum Bung</t>
  </si>
  <si>
    <t>N_cps</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</si>
  <si>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</si>
  <si>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</si>
  <si>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</si>
  <si>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</si>
  <si>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</si>
  <si>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</si>
  <si>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</si>
  <si>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</si>
  <si>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</si>
  <si>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</si>
  <si>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Kachin &amp; Northern Shan CCCM Dashboard</t>
  </si>
  <si>
    <t>1k - 5k</t>
  </si>
  <si>
    <t>5k-10k</t>
  </si>
  <si>
    <t>1k-5k</t>
  </si>
  <si>
    <t>Kachin &amp; Northern Shan Shelter Coverage &amp; Gaps</t>
  </si>
  <si>
    <t>Kachin NFI Coverage &amp; Gaps</t>
  </si>
  <si>
    <t>Caritas</t>
  </si>
  <si>
    <t>Nam Tu RC</t>
  </si>
  <si>
    <t>Narte</t>
  </si>
  <si>
    <t>Mosquito net</t>
  </si>
  <si>
    <t>(All)</t>
  </si>
  <si>
    <t>Unknown</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</si>
  <si>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</si>
  <si>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</si>
  <si>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</si>
  <si>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</si>
  <si>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</si>
  <si>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</si>
  <si>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</si>
  <si>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</si>
  <si>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</si>
  <si>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</si>
  <si>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</si>
  <si>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</si>
  <si>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</si>
  <si>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</si>
  <si>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</si>
  <si>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</si>
  <si>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</si>
  <si>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</si>
  <si>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</si>
  <si>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</si>
  <si>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</si>
  <si>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</si>
  <si>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</si>
  <si>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</si>
  <si>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</si>
  <si>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</si>
  <si>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</si>
  <si>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</si>
  <si>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</si>
  <si>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</si>
  <si>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</si>
  <si>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</si>
  <si>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</si>
  <si>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</si>
  <si>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</si>
  <si>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</si>
  <si>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</si>
  <si>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</si>
  <si>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</si>
  <si>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</si>
  <si>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</si>
  <si>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</si>
  <si>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</si>
  <si>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</si>
  <si>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</si>
  <si>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</si>
  <si>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</si>
  <si>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</si>
  <si>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</si>
  <si>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</si>
  <si>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</si>
  <si>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</si>
  <si>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</si>
  <si>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</si>
  <si>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</si>
  <si>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</si>
  <si>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</si>
  <si>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</si>
  <si>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</si>
  <si>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</si>
  <si>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</si>
  <si>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</si>
  <si>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</si>
  <si>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</si>
  <si>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</si>
  <si>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</si>
  <si>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</si>
  <si>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</si>
  <si>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</si>
  <si>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</si>
  <si>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</si>
  <si>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</si>
  <si>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</si>
  <si>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</si>
  <si>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</si>
  <si>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</si>
  <si>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</si>
  <si>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</si>
  <si>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</si>
  <si>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</si>
  <si>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</si>
  <si>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</si>
  <si>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</si>
  <si>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</si>
  <si>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</si>
  <si>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</si>
  <si>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</si>
  <si>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</si>
  <si>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</si>
  <si>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</si>
  <si>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</si>
  <si>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</si>
  <si>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</si>
  <si>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</si>
  <si>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</si>
  <si>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</si>
  <si>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</si>
  <si>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</si>
  <si>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</si>
  <si>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</si>
  <si>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</si>
  <si>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</si>
  <si>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</si>
  <si>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</si>
  <si>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</si>
  <si>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</si>
  <si>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</si>
  <si>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</si>
  <si>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</si>
  <si>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</si>
  <si>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</si>
  <si>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</si>
  <si>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</si>
  <si>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</si>
  <si>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</si>
  <si>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</si>
  <si>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</si>
  <si>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</si>
  <si>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</si>
  <si>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</si>
  <si>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</si>
  <si>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</si>
  <si>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</si>
  <si>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</si>
  <si>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</si>
  <si>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</si>
  <si>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</si>
  <si>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</si>
  <si>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</si>
  <si>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</si>
  <si>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</si>
  <si>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</si>
  <si>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</si>
  <si>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</si>
  <si>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</si>
  <si>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</si>
  <si>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</si>
  <si>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</si>
  <si>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</si>
  <si>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</si>
  <si>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</si>
  <si>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</si>
  <si>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</si>
  <si>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</si>
  <si>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</si>
  <si>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</si>
  <si>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</si>
  <si>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</si>
  <si>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</si>
  <si>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</si>
  <si>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</si>
  <si>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</si>
  <si>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</si>
  <si>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</si>
  <si>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</si>
  <si>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</si>
  <si>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</si>
  <si>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</si>
  <si>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</si>
  <si>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</si>
  <si>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</si>
  <si>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</si>
  <si>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</si>
  <si>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</si>
  <si>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</si>
  <si>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</si>
  <si>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</si>
  <si>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</si>
  <si>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</si>
  <si>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</si>
  <si>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</si>
  <si>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</si>
  <si>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</si>
  <si>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</si>
  <si>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</si>
  <si>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</si>
  <si>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</si>
  <si>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</si>
  <si>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</si>
  <si>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</si>
  <si>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</si>
  <si>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</si>
  <si>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</si>
  <si>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</si>
  <si>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</si>
  <si>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</si>
  <si>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</si>
  <si>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</si>
  <si>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</si>
  <si>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</si>
  <si>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</si>
  <si>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</si>
  <si>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</si>
  <si>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</si>
  <si>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</si>
  <si>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</si>
  <si>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</si>
  <si>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</si>
  <si>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</si>
  <si>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</si>
  <si>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</si>
  <si>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</si>
  <si>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</si>
  <si>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</si>
  <si>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Lai Zar</t>
  </si>
  <si>
    <t>Urban</t>
  </si>
  <si>
    <t>Rit Law</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</si>
  <si>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</si>
  <si>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</si>
  <si>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</si>
  <si>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</si>
  <si>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</si>
  <si>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</si>
  <si>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</si>
  <si>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</si>
  <si>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</si>
  <si>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</si>
  <si>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</si>
  <si>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</si>
  <si>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</si>
  <si>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</si>
  <si>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</si>
  <si>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</si>
  <si>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</si>
  <si>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</si>
  <si>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</si>
  <si>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</si>
  <si>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</si>
  <si>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</si>
  <si>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Distributed</t>
  </si>
  <si>
    <t>% Distributed</t>
  </si>
  <si>
    <t># In Stock</t>
  </si>
  <si>
    <t>% In Stock</t>
  </si>
  <si>
    <t># Requirement</t>
  </si>
  <si>
    <t>% Requirement</t>
  </si>
  <si>
    <t># Pipeline</t>
  </si>
  <si>
    <t>% Pipeline</t>
  </si>
  <si>
    <t># Remaining Need</t>
  </si>
  <si>
    <t>% Remaining Need</t>
  </si>
  <si>
    <t>MMR015CMP139</t>
  </si>
  <si>
    <t>MMR015CMP207</t>
  </si>
  <si>
    <t>Total # of HH (In camps)</t>
  </si>
  <si>
    <t>Total # of Population (In camps)</t>
  </si>
  <si>
    <t>RRD</t>
  </si>
  <si>
    <t>IP</t>
  </si>
  <si>
    <t>Closed</t>
  </si>
  <si>
    <t>Changed to closed</t>
  </si>
  <si>
    <t xml:space="preserve">This IDP are registered in Nam Lim pa (Boarder) (MMR001CMP204). We should not calculate this number in total. </t>
  </si>
  <si>
    <t>Metta</t>
  </si>
  <si>
    <t>CC</t>
  </si>
  <si>
    <t>KBC Zonal</t>
  </si>
  <si>
    <t>Misereor</t>
  </si>
  <si>
    <t>Yedai Foundation</t>
  </si>
  <si>
    <t>Kachin Total</t>
  </si>
  <si>
    <t>Altitude</t>
  </si>
  <si>
    <t>Type of Location</t>
  </si>
  <si>
    <t>Opening Date</t>
  </si>
  <si>
    <t>MMR001CMP211</t>
  </si>
  <si>
    <t>Rural</t>
  </si>
  <si>
    <t>Forest/bush</t>
  </si>
  <si>
    <t>Kachin &amp; Northern Shan States - IDPs Location List</t>
  </si>
  <si>
    <t>(blank)</t>
  </si>
  <si>
    <t>HoH</t>
  </si>
  <si>
    <t>Individual</t>
  </si>
  <si>
    <t>ACTED</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</si>
  <si>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</si>
  <si>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</si>
  <si>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</si>
  <si>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</si>
  <si>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</si>
  <si>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</si>
  <si>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</si>
  <si>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</si>
  <si>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</si>
  <si>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</si>
  <si>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</si>
  <si>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</si>
  <si>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</si>
  <si>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</si>
  <si>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</si>
  <si>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</si>
  <si>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</si>
  <si>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</si>
  <si>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</si>
  <si>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</si>
  <si>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</si>
  <si>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</si>
  <si>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</si>
  <si>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</si>
  <si>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</si>
  <si>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</si>
  <si>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Update from OCHA Data (2 Jan 2014)</t>
  </si>
  <si>
    <t>Naung Khaing</t>
  </si>
  <si>
    <t>MMR001CMP220</t>
  </si>
  <si>
    <t>Machanbaw</t>
  </si>
  <si>
    <t>MMR001016</t>
  </si>
  <si>
    <t>Machanbaw - KBC</t>
  </si>
  <si>
    <t>MMR001CMP221</t>
  </si>
  <si>
    <t>MMR001CMP222</t>
  </si>
  <si>
    <t>St. Patrick Church, Bhamo</t>
  </si>
  <si>
    <t>RRD Office</t>
  </si>
  <si>
    <t>Warra Zup</t>
  </si>
  <si>
    <t>MRCS</t>
  </si>
  <si>
    <t>DFID</t>
  </si>
  <si>
    <t>SC&amp;L Group</t>
  </si>
  <si>
    <t>Shan Community</t>
  </si>
  <si>
    <t>Chipwe CM</t>
  </si>
  <si>
    <t>Solidarities</t>
  </si>
  <si>
    <t>Bomb Blast Victims</t>
  </si>
  <si>
    <t>Je Gau  (+ WaRaPa )</t>
  </si>
  <si>
    <t>Kat Hmaw Zut Baptist Church</t>
  </si>
  <si>
    <t>Lawng Hkang</t>
  </si>
  <si>
    <t>Le Pyin - Kar Gyi Winn</t>
  </si>
  <si>
    <t>Le Pyin Christian Church</t>
  </si>
  <si>
    <t xml:space="preserve">Mai Ja Yang Gat Pa </t>
  </si>
  <si>
    <t xml:space="preserve">Mai Ja Yang Ung Lung </t>
  </si>
  <si>
    <t>Na Ti (Koe Kant Traditional school)</t>
  </si>
  <si>
    <t>Nant Yar Baptist Church</t>
  </si>
  <si>
    <t>Pamati Kayan</t>
  </si>
  <si>
    <t>Pan Ma Tee</t>
  </si>
  <si>
    <t>Shan Ywar Monestary Camp</t>
  </si>
  <si>
    <t>S_Pcode</t>
  </si>
  <si>
    <t>D_Pcode</t>
  </si>
  <si>
    <t>T_Pcode</t>
  </si>
  <si>
    <t>VillageTracKTown</t>
  </si>
  <si>
    <t>VTT_Pcode</t>
  </si>
  <si>
    <t>VW_Pcode</t>
  </si>
  <si>
    <t>CP_Pcode</t>
  </si>
  <si>
    <t>Responsible Agency</t>
  </si>
  <si>
    <t>CM/FP</t>
  </si>
  <si>
    <t>Close (Source: OCHA)</t>
  </si>
  <si>
    <t>Galeng</t>
  </si>
  <si>
    <t>Galeng (Kachin)</t>
  </si>
  <si>
    <t>MMR015CMP211</t>
  </si>
  <si>
    <t>Galeng (Palaung)</t>
  </si>
  <si>
    <t>MMR015CMP212</t>
  </si>
  <si>
    <t>Indawgyi</t>
  </si>
  <si>
    <t>Close: Duplicate Camp (MMR015CMP020 - Zup Aung Camp) 21-Jan-14</t>
  </si>
  <si>
    <t>Close: Duplicate Camp (MMR015CMP015 - Kone Khem Camp) 21-Jan-14</t>
  </si>
  <si>
    <t>Closed: Source UNHCR-Bhamo</t>
  </si>
  <si>
    <t>UNOCHA</t>
  </si>
  <si>
    <t>Closed : Source, OCHA</t>
  </si>
  <si>
    <t>Count of CP_Pcode</t>
  </si>
  <si>
    <t>MMR001CMP223</t>
  </si>
  <si>
    <t>Maing Khaung Catholic Church</t>
  </si>
  <si>
    <t>Source OCHA</t>
  </si>
  <si>
    <t>MDCG</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</si>
  <si>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</si>
  <si>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</si>
  <si>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</si>
  <si>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</si>
  <si>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</si>
  <si>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</si>
  <si>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</si>
  <si>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</si>
  <si>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</si>
  <si>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</si>
  <si>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</si>
  <si>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</si>
  <si>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</si>
  <si>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</si>
  <si>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</si>
  <si>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</si>
  <si>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</si>
  <si>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</si>
  <si>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</si>
  <si>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</si>
  <si>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</si>
  <si>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</si>
  <si>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</si>
  <si>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</si>
  <si>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</si>
  <si>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</si>
  <si>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</si>
  <si>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</si>
  <si>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</si>
  <si>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</si>
  <si>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</si>
  <si>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</si>
  <si>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</si>
  <si>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</si>
  <si>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</si>
  <si>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</si>
  <si>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</si>
  <si>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</si>
  <si>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</si>
  <si>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Footer</t>
  </si>
  <si>
    <t>&lt;/Document&gt;
&lt;/kml&gt;</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</si>
  <si>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</si>
  <si>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</si>
  <si>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</si>
  <si>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</si>
  <si>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</si>
  <si>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</si>
  <si>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</si>
  <si>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</si>
  <si>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</si>
  <si>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</si>
  <si>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</si>
  <si>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</si>
  <si>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</si>
  <si>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</si>
  <si>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</si>
  <si>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</si>
  <si>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LDO</t>
  </si>
  <si>
    <t># of Locations</t>
  </si>
  <si>
    <t>Renovated</t>
  </si>
  <si>
    <t>Planned Renovation</t>
  </si>
  <si>
    <t>Sum of Coverage</t>
  </si>
  <si>
    <t/>
  </si>
  <si>
    <t>1-100</t>
  </si>
  <si>
    <t>100-1k</t>
  </si>
  <si>
    <t>Closed. Rellocated to Man Win and La Ga Yaung</t>
  </si>
  <si>
    <t>Change to Host Families.</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</si>
  <si>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</si>
  <si>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</si>
  <si>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</si>
  <si>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</si>
  <si>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</si>
  <si>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</si>
  <si>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</si>
  <si>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</si>
  <si>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</si>
  <si>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</si>
  <si>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</si>
  <si>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</si>
  <si>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</si>
  <si>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</si>
  <si>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</si>
  <si>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Save the Children</t>
  </si>
  <si>
    <t>WPN</t>
  </si>
  <si>
    <t>Lang Taung</t>
  </si>
  <si>
    <t>MMR001014009</t>
  </si>
  <si>
    <t>Nawng Hkaing</t>
  </si>
  <si>
    <t>Doke Tan Ward</t>
  </si>
  <si>
    <t>MMR001014701509</t>
  </si>
  <si>
    <t>Bum Tsit Pa Camp II</t>
  </si>
  <si>
    <t>MMR001CMP226</t>
  </si>
  <si>
    <t>Plan-Myanmar</t>
  </si>
  <si>
    <t>CRC</t>
  </si>
  <si>
    <t>Move to Nant Ma Hpit Catholic Church.</t>
  </si>
  <si>
    <t>Changed Camp to Host Families. Source: Camp Profile Questionnaire.</t>
  </si>
  <si>
    <t>Inn Lel Yan</t>
  </si>
  <si>
    <t>Inn Lel Yan - Host Families</t>
  </si>
  <si>
    <t>New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</si>
  <si>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</si>
  <si>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</si>
  <si>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</si>
  <si>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</si>
  <si>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</si>
  <si>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</si>
  <si>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</si>
  <si>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</si>
  <si>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</si>
  <si>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</si>
  <si>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</si>
  <si>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</si>
  <si>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</si>
  <si>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</si>
  <si>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</si>
  <si>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</si>
  <si>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</si>
  <si>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</si>
  <si>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</si>
  <si>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</si>
  <si>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</si>
  <si>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</si>
  <si>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</si>
  <si>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</si>
  <si>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</si>
  <si>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Geo-Info, HH/Pop data was updated from Google Earth.</t>
  </si>
  <si>
    <t>Mone Paw Nam Chet (Zay) (Pang Hseng (Kyu Koke)) Sub-township</t>
  </si>
  <si>
    <t>MMR015009033</t>
  </si>
  <si>
    <t>Mone Paw Nam Chet</t>
  </si>
  <si>
    <t>Man Pying (Pang Hseng (Kyu Koke)) Sub-township</t>
  </si>
  <si>
    <t>MMR015009038</t>
  </si>
  <si>
    <t>Hawwa</t>
  </si>
  <si>
    <t>MMR001012013</t>
  </si>
  <si>
    <t>Khon Sint</t>
  </si>
  <si>
    <t>P1</t>
  </si>
  <si>
    <t>P2</t>
  </si>
  <si>
    <t>P3</t>
  </si>
  <si>
    <t>Priority</t>
  </si>
  <si>
    <t>Ind</t>
  </si>
  <si>
    <t>WC_Adult_Gap</t>
  </si>
  <si>
    <t>WI_Other_Gap</t>
  </si>
  <si>
    <t>WC_Child_Gap</t>
  </si>
  <si>
    <t>Sum of WC_Adult_Gap</t>
  </si>
  <si>
    <t>Sum of WC_Child_Gap</t>
  </si>
  <si>
    <t>Sum of WI_Other_Gap</t>
  </si>
  <si>
    <t>Check1</t>
  </si>
  <si>
    <t>KMSS-BMO</t>
  </si>
  <si>
    <t>KMSS-MYT</t>
  </si>
  <si>
    <t>Planned Distribution</t>
  </si>
  <si>
    <t>No</t>
  </si>
  <si>
    <t>P4</t>
  </si>
  <si>
    <t>ICRC</t>
  </si>
  <si>
    <t>Man Wing Baptist Church Cultural Compound</t>
  </si>
  <si>
    <t>MMR001CMP230</t>
  </si>
  <si>
    <t>FSD</t>
  </si>
  <si>
    <t>Closed. Duplicate with (Nawng Ing (Indawgyi) Baptist Church)</t>
  </si>
  <si>
    <t>COC</t>
  </si>
  <si>
    <t>Closed. Source: Save The Children</t>
  </si>
  <si>
    <t>MMR015CMP217</t>
  </si>
  <si>
    <t>Mungji Pa Dabang (Catholic Church)</t>
  </si>
  <si>
    <t>Chipwi KBC Camp</t>
  </si>
  <si>
    <t>CRCS</t>
  </si>
  <si>
    <t>CpPcode</t>
  </si>
  <si>
    <t>Accomodation</t>
  </si>
  <si>
    <t>ResponsibleAgency</t>
  </si>
  <si>
    <t>HouseHold</t>
  </si>
  <si>
    <t>Change to Host Families. Source: Programme Unit.</t>
  </si>
  <si>
    <t>used in warehouse</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</si>
  <si>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</si>
  <si>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</si>
  <si>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</si>
  <si>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</si>
  <si>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</si>
  <si>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</si>
  <si>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</si>
  <si>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</si>
  <si>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</si>
  <si>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</si>
  <si>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</si>
  <si>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</si>
  <si>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Land Status</t>
  </si>
  <si>
    <t>Shelter Possible</t>
  </si>
  <si>
    <t>Sum of Shelter Possible</t>
  </si>
  <si>
    <t>Shelter Gap</t>
  </si>
  <si>
    <t>Sum of Shelter Gap</t>
  </si>
  <si>
    <t xml:space="preserve">Gap </t>
  </si>
  <si>
    <t>Possible Units</t>
  </si>
  <si>
    <t>Nam Si In (Karmaing Sub-township)</t>
  </si>
  <si>
    <t>Mohnyin Town</t>
  </si>
  <si>
    <t>Ma Hkan Tee</t>
  </si>
  <si>
    <t>MMR015009013</t>
  </si>
  <si>
    <t>MMR015019701</t>
  </si>
  <si>
    <t>opening_date</t>
  </si>
  <si>
    <t>Hygiene Kit_LS</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</si>
  <si>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</si>
  <si>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</si>
  <si>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</si>
  <si>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</si>
  <si>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</si>
  <si>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</si>
  <si>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</si>
  <si>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</si>
  <si>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</si>
  <si>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</si>
  <si>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</si>
  <si>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</si>
  <si>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</si>
  <si>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</si>
  <si>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</si>
  <si>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</si>
  <si>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</si>
  <si>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</si>
  <si>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#Land Issue</t>
  </si>
  <si>
    <t>#Gap</t>
  </si>
  <si>
    <t>Hopin Host Families</t>
  </si>
  <si>
    <t>Moenyin Host Families</t>
  </si>
  <si>
    <t>MMR001CMP232</t>
  </si>
  <si>
    <t>MMR001CMP233</t>
  </si>
  <si>
    <t>Emergency Aung Bar Li</t>
  </si>
  <si>
    <t>Lone Zut</t>
  </si>
  <si>
    <t>CBP</t>
  </si>
  <si>
    <t>Bhamo Total</t>
  </si>
  <si>
    <t>Hpakant Total</t>
  </si>
  <si>
    <t>Mansi Total</t>
  </si>
  <si>
    <t>Mohnyin Total</t>
  </si>
  <si>
    <t>Momauk Total</t>
  </si>
  <si>
    <t>Myitkyina Total</t>
  </si>
  <si>
    <t>Puta-O Total</t>
  </si>
  <si>
    <t>Kutkai Total</t>
  </si>
  <si>
    <t>Muse Total</t>
  </si>
  <si>
    <t>Namhkan Total</t>
  </si>
  <si>
    <t>Shan_North Total</t>
  </si>
  <si>
    <t>Count of Camp</t>
  </si>
  <si>
    <t>Sum of Total2</t>
  </si>
  <si>
    <t># HH</t>
  </si>
  <si>
    <t># Ind.</t>
  </si>
  <si>
    <t># Camps</t>
  </si>
  <si>
    <t># Shelter Gap</t>
  </si>
  <si>
    <t># Const. Shelter</t>
  </si>
  <si>
    <t>Group1</t>
  </si>
  <si>
    <t>Township2</t>
  </si>
  <si>
    <t>Other Townships</t>
  </si>
  <si>
    <t>V1</t>
  </si>
  <si>
    <t>V2</t>
  </si>
  <si>
    <t>V3</t>
  </si>
  <si>
    <t>Shelter_Draw_Ratio</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</si>
  <si>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</si>
  <si>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</si>
  <si>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</si>
  <si>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</si>
  <si>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</si>
  <si>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</si>
  <si>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</si>
  <si>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</si>
  <si>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</si>
  <si>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</si>
  <si>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</si>
  <si>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</si>
  <si>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</si>
  <si>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</si>
  <si>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</si>
  <si>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</si>
  <si>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</si>
  <si>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</si>
  <si>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</si>
  <si>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</si>
  <si>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</si>
  <si>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</si>
  <si>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</si>
  <si>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0-5km</t>
  </si>
  <si>
    <t>5-10km</t>
  </si>
  <si>
    <t>10-15km</t>
  </si>
  <si>
    <t>15-20km</t>
  </si>
  <si>
    <t>20-25km</t>
  </si>
  <si>
    <t>25-30km</t>
  </si>
  <si>
    <t>Clothes Kit</t>
  </si>
  <si>
    <t>Clothes Kit_LS</t>
  </si>
  <si>
    <t>NFI_Clothes_Track</t>
  </si>
  <si>
    <t>NFI_Clothes_Stock</t>
  </si>
  <si>
    <t>NFI_Clothes_Pipeline</t>
  </si>
  <si>
    <t>Clothes Kits</t>
  </si>
  <si>
    <t xml:space="preserve">Winter Blanket </t>
  </si>
  <si>
    <t xml:space="preserve">Mosquito net </t>
  </si>
  <si>
    <t xml:space="preserve">Plastic Bucket </t>
  </si>
  <si>
    <t xml:space="preserve">Plastic Mat </t>
  </si>
  <si>
    <t>Core Kit</t>
  </si>
  <si>
    <t>Winter Items</t>
  </si>
  <si>
    <t>Lifespam</t>
  </si>
  <si>
    <t>% Gap</t>
  </si>
  <si>
    <t>Items distributed to other affected people</t>
  </si>
  <si>
    <t>#Camps</t>
  </si>
  <si>
    <t>2015-04-01 : According to UNICEF and WFP this location is a village. People are not IDP but are affected by the crisis. That s why it would remain in the list.
Geo-Info, HH/Pop data was updated from Google Earth.</t>
  </si>
  <si>
    <t>Village</t>
  </si>
  <si>
    <t>Crisis Affected</t>
  </si>
  <si>
    <t>27-Mar-15 (Closed. Source: UNHCR-Bhamo)
New Camp</t>
  </si>
  <si>
    <t>19-Mar-2015 (WFP has been providing this host families since 2013.)</t>
  </si>
  <si>
    <t>2-Apr-15 (Closed. Source: GAD)
Responsible Agency update. KMSS-BMO to KMSS-MYT.</t>
  </si>
  <si>
    <t>&gt; 30 km</t>
  </si>
  <si>
    <t># of IDP Loc.</t>
  </si>
  <si>
    <t>Average of Coverage</t>
  </si>
  <si>
    <t>Pajau - Jan Mai</t>
  </si>
  <si>
    <t>Tat Kone COC Baptist - Tat Kone Htoi San</t>
  </si>
  <si>
    <t>Zai Awng - Mung Ga Zup</t>
  </si>
  <si>
    <t>Moke Lwe Village - Hkar Shi</t>
  </si>
  <si>
    <t>Nawng Si Paw Village - Inn Lay</t>
  </si>
  <si>
    <t>Laiza Market 3 - Laiza Gat</t>
  </si>
  <si>
    <t>Affected Population</t>
  </si>
  <si>
    <t>Estimation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</si>
  <si>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</si>
  <si>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</si>
  <si>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</si>
  <si>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</si>
  <si>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</si>
  <si>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</si>
  <si>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</si>
  <si>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</si>
  <si>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</si>
  <si>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</si>
  <si>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</si>
  <si>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</si>
  <si>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</si>
  <si>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</si>
  <si>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</si>
  <si>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</si>
  <si>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</si>
  <si>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</si>
  <si>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</si>
  <si>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</si>
  <si>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</si>
  <si>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25-Jun-2015 (New host families. Source: RRD)</t>
  </si>
  <si>
    <t>Sar Hmaw</t>
  </si>
  <si>
    <t>MMR001008018</t>
  </si>
  <si>
    <t>Nam Sa Larp</t>
  </si>
  <si>
    <t>MMR015002021</t>
  </si>
  <si>
    <t>Sar Hmaw - KBC</t>
  </si>
  <si>
    <t>Sar Hmaw - ICM</t>
  </si>
  <si>
    <t>SHELTER TRACKING SHEET</t>
  </si>
  <si>
    <t>Implementing  Partner</t>
  </si>
  <si>
    <t>HH per Shelter</t>
  </si>
  <si>
    <t># of Family Tent Distributed</t>
  </si>
  <si>
    <t># of Temporary Shelter Units Planned (Target)</t>
  </si>
  <si>
    <t># of Temporary Shelter Units Built</t>
  </si>
  <si>
    <t># of Temporary Shelter Under  Construction</t>
  </si>
  <si>
    <t># of Permanent House Planned (Target)</t>
  </si>
  <si>
    <t># of Permanent House Built</t>
  </si>
  <si>
    <t># of Permanent House Under Construction</t>
  </si>
  <si>
    <t>HH Covered</t>
  </si>
  <si>
    <t># of Family Tent Planned(Target)</t>
  </si>
  <si>
    <t>19-Aug-15 Close. Source: CCCM Unit.
Population source: KMSS-BMO</t>
  </si>
  <si>
    <t>Location</t>
  </si>
  <si>
    <t>Camps/Host Families</t>
  </si>
  <si>
    <t>Sum of HH Covered</t>
  </si>
  <si>
    <t>Sum of # of Temporary Shelter Units Built</t>
  </si>
  <si>
    <t>Sum of # of Temporary Shelter Under  Construction</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</si>
  <si>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</si>
  <si>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</si>
  <si>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</si>
  <si>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</si>
  <si>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</si>
  <si>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</si>
  <si>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Replacement (YES/NO)</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</si>
  <si>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</si>
  <si>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</si>
  <si>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</si>
  <si>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</si>
  <si>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</si>
  <si>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</si>
  <si>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</si>
  <si>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</si>
  <si>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</si>
  <si>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</si>
  <si>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</si>
  <si>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</si>
  <si>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</si>
  <si>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9/Nov/15. New added camp. Data source: UNHCR CCCM officer NSS mission 8-12 July 2015.</t>
  </si>
  <si>
    <t>9/Nov/15. Population update. Data source: mail from Pancy (WFP).
Update IDP increased in Oct and Nov 2013 from Angela (UNHCR - Bhamo)</t>
  </si>
  <si>
    <t>9/Nov/15. Population update. Data source: mail from Pancy (WFP).</t>
  </si>
  <si>
    <t>9/Nov/15. Population update. Data source: mail from Pancy (WFP).
Update IDP increased in Oct and Nov 2013 from (UNHCR - Bhamo)</t>
  </si>
  <si>
    <t>Resettlement place</t>
  </si>
  <si>
    <t>Updated on 2/Dec/2015. Data source: mail by Win Aung Htun
Updated on 11/Nov/2015. Added jerry can data. Data source: mail by Win Aung Htun
Updated on 29/Sep/2015. 
Data Source: Lu Lu Awng and Win Aung Tun</t>
  </si>
  <si>
    <t>Latitude</t>
  </si>
  <si>
    <t>28/Jan/2016. Population update. Data source: KBC (mail by maran)
13/Dec/15. Population update. Data source: Mail by Ko Maran. Reason for pop changes: IDP in the host who were registered in the Man Win Bapitst Church (cultural compound) camp established their own separate entity as IDP in the host. 
Population Update. Source: Save The Children.</t>
  </si>
  <si>
    <t>Du Kahtawng Qtr. 14,4,5 (combined as one camp)</t>
  </si>
  <si>
    <t>Shelter Tool kit</t>
  </si>
  <si>
    <t>Tent</t>
  </si>
  <si>
    <t>Mai hkawng Camp (RC +KBC)</t>
  </si>
  <si>
    <t>Lana Zup Ja and Bumtsit pa (1) and (2)</t>
  </si>
  <si>
    <t>Nhkawng Pa camp and Pa Kahtawng camp thru cross line mission with KMSS-Bhamo</t>
  </si>
  <si>
    <t>Kbc</t>
  </si>
  <si>
    <t>Shalom-BM</t>
  </si>
  <si>
    <t>Lisu Baptist Church</t>
  </si>
  <si>
    <t>Namtit</t>
  </si>
  <si>
    <t>Pyi Lung Chan Tar</t>
  </si>
  <si>
    <t>Moe Gok (Pain Pyit Lisu Village)</t>
  </si>
  <si>
    <t>Moe Gok (A Shae Kyaung)</t>
  </si>
  <si>
    <t>Moe Gok (Aung Daw Mu)</t>
  </si>
  <si>
    <t>Moe Mait (Man Ohn0</t>
  </si>
  <si>
    <t>Emergency</t>
  </si>
  <si>
    <t>KMSS-MKN</t>
  </si>
  <si>
    <t>Updated on 11/Nov/2015. Added jerry can data. Data source: mail by Win Aung Htun</t>
  </si>
  <si>
    <t>Updated on 2/Dec/2015. Data source: mail by Win Aung Htun
Updated on 29/Sep/2015. 
Data Source: Lu Lu Awng and Win Aung Tun</t>
  </si>
  <si>
    <t>3/Mar/2016. Closed camp. Data source: January report from KBC
28/Jan/2016. Population update. Data source: KBC (mail by maran)
2/Dec/2015. Population update. Data source: KBC
25-Jun-15 Population update. Source: KBC
Update population. Source: Camp Profile.</t>
  </si>
  <si>
    <t>3/Mar/2016. Closed Camp. Data source: January report from KBC.
28/Jan/2016. Population update. Data source: KBC (mail by maran)
2/Dec/2015 (Population update. Data source: Monthly report by KBC).
25-Jun-2015 Update population. Data Source: KBC
Changed to Boarding School.</t>
  </si>
  <si>
    <t>Mogaung Total</t>
  </si>
  <si>
    <t>Shwegu Total</t>
  </si>
  <si>
    <t>Sumprabum Total</t>
  </si>
  <si>
    <t>Hseni Total</t>
  </si>
  <si>
    <t>Manton Total</t>
  </si>
  <si>
    <t>Namtu Total</t>
  </si>
  <si>
    <t>Man Sa village</t>
  </si>
  <si>
    <t>KMSS_LSO</t>
  </si>
  <si>
    <r>
      <t xml:space="preserve">For Kyauk Mae Areas. </t>
    </r>
    <r>
      <rPr>
        <i/>
        <sz val="10"/>
        <rFont val="Calibri"/>
        <family val="2"/>
        <scheme val="minor"/>
      </rPr>
      <t xml:space="preserve">Mosquito 650 pcs transported to Shan but 600 pcs are distributed through RRD and KMSS-Lashio to 12 camp-like setting areas and 50 pcs are returned back to UNHCR Myitkyina warehouse. </t>
    </r>
  </si>
  <si>
    <t>Shan</t>
  </si>
  <si>
    <t xml:space="preserve">Shan </t>
  </si>
  <si>
    <t>Kut kai</t>
  </si>
  <si>
    <t xml:space="preserve">Tent </t>
  </si>
  <si>
    <t>KMSS_Myitkyina</t>
  </si>
  <si>
    <t xml:space="preserve">13/May/16 (Hpare camp received only winter clothes)
For Pajau camp and Hpare camp, items transported by UNHCR laiza mission team and further distributed by KBC -&gt; 365 pcs of blackets, Fleece jackets for female (M) = 300 pcs, Fleece jackets for  female (L) = 160 pcs, </t>
  </si>
  <si>
    <t>Pajau camp received both winter itmes and blankets</t>
  </si>
  <si>
    <t>For Mang Wee villagers. 'KBC-Muse released family tents from their stock for this distribution</t>
  </si>
  <si>
    <t>__</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</si>
  <si>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</si>
  <si>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</si>
  <si>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</si>
  <si>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</si>
  <si>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</si>
  <si>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</si>
  <si>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</si>
  <si>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</si>
  <si>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</si>
  <si>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</si>
  <si>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</si>
  <si>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</si>
  <si>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</si>
  <si>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Maliyang Ward</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</si>
  <si>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</si>
  <si>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</si>
  <si>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</si>
  <si>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</si>
  <si>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</si>
  <si>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</si>
  <si>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</si>
  <si>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</si>
  <si>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</si>
  <si>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</si>
  <si>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</si>
  <si>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</si>
  <si>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</si>
  <si>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Mine Wee (Man Jan)</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</si>
  <si>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</si>
  <si>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</si>
  <si>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</si>
  <si>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</si>
  <si>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</si>
  <si>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21 twin shelters = 42 units</t>
  </si>
  <si>
    <t>97°22'48.10</t>
  </si>
  <si>
    <t>25°25'23.80</t>
  </si>
  <si>
    <t>18/Jul/2016: Population updte. Data source: KBC
12/May/2016. Population update. Data source: KBC
25-Jun-15 Population update. Source: KBC
Update population. Source: Camp Profile.</t>
  </si>
  <si>
    <t>MMR015CMP220</t>
  </si>
  <si>
    <t>MMR015CMP221</t>
  </si>
  <si>
    <t>MMR015CMP222</t>
  </si>
  <si>
    <t>MMR015CMP223</t>
  </si>
  <si>
    <t>MMR015CMP224</t>
  </si>
  <si>
    <t>MMR015CMP225</t>
  </si>
  <si>
    <t>MMR015CMP226</t>
  </si>
  <si>
    <t>MMR015CMP227</t>
  </si>
  <si>
    <t>Mai Yu Lay Ta'ang</t>
  </si>
  <si>
    <t>Mong Wee Ta'ang</t>
  </si>
  <si>
    <t>Mong Wee Shan</t>
  </si>
  <si>
    <t>Nam Hpak Ka Ta'ang</t>
  </si>
  <si>
    <t>25/Jul/2016: Added as new camp according to KBC data. Data was given by Jade</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</si>
  <si>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</si>
  <si>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</si>
  <si>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</si>
  <si>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</si>
  <si>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</si>
  <si>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</si>
  <si>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</si>
  <si>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</si>
  <si>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</si>
  <si>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</si>
  <si>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</si>
  <si>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</si>
  <si>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</si>
  <si>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</si>
  <si>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</si>
  <si>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</si>
  <si>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</si>
  <si>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Chan Myae monastery</t>
  </si>
  <si>
    <t>Kapaung</t>
  </si>
  <si>
    <t>Lot Aung</t>
  </si>
  <si>
    <t>Pan Dang</t>
  </si>
  <si>
    <t>Pan Hkawn</t>
  </si>
  <si>
    <t>Thai Ra Yan</t>
  </si>
  <si>
    <t>Edin</t>
  </si>
  <si>
    <t>Loi Je B.E.H.S</t>
  </si>
  <si>
    <t>Lisu Manau Park</t>
  </si>
  <si>
    <t>Emergency Distribution</t>
  </si>
  <si>
    <t>State/Township</t>
  </si>
  <si>
    <t>Northern Shan</t>
  </si>
  <si>
    <t>Northern Shan Total</t>
  </si>
  <si>
    <t>Kachin &amp; Nothern Shan State</t>
  </si>
  <si>
    <t>Yes</t>
  </si>
  <si>
    <t>Implementing with DRC</t>
  </si>
  <si>
    <t>Wa Ra Zut</t>
  </si>
  <si>
    <t>MMR001009009</t>
  </si>
  <si>
    <t>10/2/2015. New Camp. Data source: CCCM team</t>
  </si>
  <si>
    <t xml:space="preserve">25/Jul/2016: Added as new camp according to KBC data. </t>
  </si>
  <si>
    <t>KMSS_Bhamo</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</si>
  <si>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</si>
  <si>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</si>
  <si>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</si>
  <si>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</si>
  <si>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</si>
  <si>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</si>
  <si>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</si>
  <si>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</si>
  <si>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</si>
  <si>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</si>
  <si>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</si>
  <si>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New added camp. There no responsible organization.</t>
  </si>
  <si>
    <t>16/Sep/2016: Changes camp status. Actually it was not closed. It was combined as one camp with Bum Tsit Pa. Data source: KMSS_Bhamo.
28/Jan/2016. Population update. Data source: KBC
Population Update. Source: Save The Children.</t>
  </si>
  <si>
    <t>9/Nov/2015. Population update. Data source: mail from WFP.
New added Boarding School</t>
  </si>
  <si>
    <t>WFP</t>
  </si>
  <si>
    <t>Shelter Tool kit_LS</t>
  </si>
  <si>
    <t>Tent_LS</t>
  </si>
  <si>
    <t>(Njang Dung Camp, Shwe Zet Camp and 4 Camps in Hpakhant Tsp distributio)There is no specific camp and township name. Remarks-Through KBC-Myitkyina for new arrivals in 6 Camps: Njang Dung Camp, Shwe Zet Camp and 4 Camps in Hpakhant Tsp)</t>
  </si>
  <si>
    <t>(Buddha Camp, RC Camp and Mudung Camp)Emergency Distribution</t>
  </si>
  <si>
    <t># IDPLoc.</t>
  </si>
  <si>
    <t>=MIN([@[Shelter Gap]],[@[Land Status]])</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</si>
  <si>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</si>
  <si>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</si>
  <si>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</si>
  <si>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</si>
  <si>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</si>
  <si>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</si>
  <si>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</si>
  <si>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</si>
  <si>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</si>
  <si>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</si>
  <si>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</si>
  <si>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</si>
  <si>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Update population according to KBC data</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</si>
  <si>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</si>
  <si>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</si>
  <si>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</si>
  <si>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</si>
  <si>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</si>
  <si>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</si>
  <si>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</si>
  <si>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</si>
  <si>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</si>
  <si>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</si>
  <si>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</si>
  <si>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</si>
  <si>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</si>
  <si>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</si>
  <si>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10/Jan/2017: Population update. Data source: KBC
21/Oct/2016: Population update. Data soure: KBC
9/Sep/2016. Population update. Data source:KBC.
18/Jul/2016: Population updte. Data source: KBC
12/May/2016. Population update. Data source: KBC
28/Jan/2016. Population update. Data source: KBC</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</si>
  <si>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</si>
  <si>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</si>
  <si>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</si>
  <si>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</si>
  <si>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</si>
  <si>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</si>
  <si>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</si>
  <si>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</si>
  <si>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</si>
  <si>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</si>
  <si>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</si>
  <si>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</si>
  <si>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</si>
  <si>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</si>
  <si>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</si>
  <si>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</si>
  <si>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</si>
  <si>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</si>
  <si>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</si>
  <si>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</si>
  <si>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</si>
  <si>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</si>
  <si>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</si>
  <si>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</si>
  <si>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</si>
  <si>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10/Jan/2017: Population update. Data source: KBC
18/Jul/2016: Added as new camp according to KBC_Brang Mai.</t>
  </si>
  <si>
    <t>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</si>
  <si>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</si>
  <si>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</si>
  <si>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t>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</si>
  <si>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</si>
  <si>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r>
      <t xml:space="preserve">10/Jan/2017: Population update. Data source: KMSS_Bhamo
21/Oct/2016: Population update. Data source: KMSS_BMO
16/Sep/2016: Population update. Data Source: KMSS_BMO
16/Feb/2016. </t>
    </r>
    <r>
      <rPr>
        <b/>
        <sz val="11"/>
        <rFont val="Calibri"/>
        <family val="2"/>
        <scheme val="minor"/>
      </rPr>
      <t>some hh as they  join Nhkawng Pa camp which is closer to their village of origin</t>
    </r>
    <r>
      <rPr>
        <sz val="11"/>
        <rFont val="Calibri"/>
        <family val="2"/>
        <scheme val="minor"/>
      </rPr>
      <t xml:space="preserve">
28/Jan/2016. Population update. Data source: KBC (mail by maran)
19-Aug-2015. Population Update. Data Source; KMSS-BMO
Population update: Source: Camp Profile Round 2.</t>
    </r>
  </si>
  <si>
    <t>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</si>
  <si>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</si>
  <si>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</si>
  <si>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r>
      <t xml:space="preserve">10/Jan/2017: Population update. Data source: KMSS_Bhamo
21/Oct/2016: Population update. Data source: KMSS_BMO
16/Sep/2016: Population update. Data Source: KMSS_BMO
16/Feb/2016. </t>
    </r>
    <r>
      <rPr>
        <b/>
        <sz val="11"/>
        <rFont val="Calibri"/>
        <family val="2"/>
        <scheme val="minor"/>
      </rPr>
      <t>spontenous return to villages near Manwin Gyi</t>
    </r>
    <r>
      <rPr>
        <sz val="11"/>
        <rFont val="Calibri"/>
        <family val="2"/>
        <scheme val="minor"/>
      </rPr>
      <t xml:space="preserve">
28/Jan/2016. Population update. Data source: KBC (mail by maran)
19-Aug-2015. Update Population. Data Source; KMSS-BMO
Population Update. Source: KMSS-BMO</t>
    </r>
  </si>
  <si>
    <t>10/Jan/2017: Population update. Data source: KMSS_Bhamo
21/Oct/2016: Population update. Data source: KMSS_BMO
16/Sep/2016: Population update. Data Source: KMSS_BMO
28/Jan/2016. Population update. Data source: KMSS 
19-Aug-15 Update population. Source KMSS-BMO
Geo-Info update.</t>
  </si>
  <si>
    <t>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</si>
  <si>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</si>
  <si>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</si>
  <si>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</si>
  <si>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</si>
  <si>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</si>
  <si>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</si>
  <si>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</si>
  <si>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</si>
  <si>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</si>
  <si>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</si>
  <si>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</si>
  <si>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</si>
  <si>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</si>
  <si>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</si>
  <si>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</si>
  <si>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</si>
  <si>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</si>
  <si>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</si>
  <si>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</si>
  <si>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</si>
  <si>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</si>
  <si>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</si>
  <si>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KMSS_MKN</t>
  </si>
  <si>
    <t>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</si>
  <si>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</si>
  <si>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</si>
  <si>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</si>
  <si>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</si>
  <si>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</si>
  <si>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</si>
  <si>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</si>
  <si>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</si>
  <si>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</si>
  <si>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</si>
  <si>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</si>
  <si>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</si>
  <si>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</si>
  <si>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</si>
  <si>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</si>
  <si>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</si>
  <si>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</si>
  <si>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</si>
  <si>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</si>
  <si>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</si>
  <si>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</si>
  <si>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</si>
  <si>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25-Jun-15 Population update. Source : Shalom.
Population update: Source: Camp Profile Round 2.</t>
  </si>
  <si>
    <t>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</si>
  <si>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Data source: Solidarities/under Nov_2016_CAR</t>
  </si>
  <si>
    <t xml:space="preserve">Data source: Solidarities/under Nov_2016_CAR, Newly displacement. Distribution related to Emergency Intervention (ERF), </t>
  </si>
  <si>
    <t>Data source: KBC/under nov_201_CAR</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</si>
  <si>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</si>
  <si>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</si>
  <si>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</si>
  <si>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</si>
  <si>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</si>
  <si>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</si>
  <si>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</si>
  <si>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</si>
  <si>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</si>
  <si>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</si>
  <si>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</si>
  <si>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</si>
  <si>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</si>
  <si>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</si>
  <si>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</si>
  <si>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</si>
  <si>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</si>
  <si>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</si>
  <si>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</si>
  <si>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</si>
  <si>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</si>
  <si>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</si>
  <si>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</si>
  <si>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</si>
  <si>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</si>
  <si>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</si>
  <si>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</si>
  <si>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</si>
  <si>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</si>
  <si>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</si>
  <si>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</si>
  <si>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</si>
  <si>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</si>
  <si>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</si>
  <si>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</si>
  <si>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</si>
  <si>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</si>
  <si>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</si>
  <si>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</si>
  <si>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</si>
  <si>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</si>
  <si>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</si>
  <si>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</si>
  <si>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</si>
  <si>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</si>
  <si>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</si>
  <si>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</si>
  <si>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</si>
  <si>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</si>
  <si>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Hsipaw Total</t>
  </si>
  <si>
    <t>Closed Camp
Update data from OCHA IDPs List</t>
  </si>
  <si>
    <t>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</si>
</sst>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_(* #,##0.00_);_(* \(#,##0.00\);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
    <numFmt numFmtId="172" formatCode="0.00000"/>
    <numFmt numFmtId="173" formatCode="0.000"/>
  </numFmts>
  <fonts count="71"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sz val="14"/>
      <color theme="0"/>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1"/>
      <name val="Calibri"/>
      <family val="2"/>
    </font>
    <font>
      <b/>
      <sz val="16"/>
      <color indexed="8"/>
      <name val="Calibri"/>
      <family val="2"/>
    </font>
    <font>
      <sz val="10"/>
      <name val="MS Sans Serif"/>
      <family val="2"/>
    </font>
    <font>
      <b/>
      <sz val="24"/>
      <color theme="1"/>
      <name val="Calibri"/>
      <family val="2"/>
      <scheme val="minor"/>
    </font>
    <font>
      <sz val="24"/>
      <color theme="1"/>
      <name val="Calibri"/>
      <family val="2"/>
      <scheme val="minor"/>
    </font>
    <font>
      <b/>
      <sz val="28"/>
      <color theme="4" tint="0.79998168889431442"/>
      <name val="Calibri"/>
      <family val="2"/>
      <scheme val="minor"/>
    </font>
    <font>
      <b/>
      <sz val="12"/>
      <name val="Calibri"/>
      <family val="2"/>
      <scheme val="minor"/>
    </font>
    <font>
      <sz val="11"/>
      <color theme="0" tint="-4.9989318521683403E-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sz val="11"/>
      <color theme="2"/>
      <name val="Calibri"/>
      <family val="2"/>
      <scheme val="minor"/>
    </font>
    <font>
      <b/>
      <sz val="18"/>
      <color rgb="FF000000"/>
      <name val="Calibri"/>
      <family val="2"/>
      <scheme val="minor"/>
    </font>
    <font>
      <b/>
      <sz val="10"/>
      <color theme="8" tint="0.79998168889431442"/>
      <name val="Calibri"/>
      <family val="2"/>
      <scheme val="minor"/>
    </font>
    <font>
      <sz val="10"/>
      <color rgb="FFFF0000"/>
      <name val="Calibri"/>
      <family val="2"/>
      <scheme val="minor"/>
    </font>
    <font>
      <sz val="8"/>
      <color theme="0"/>
      <name val="Calibri"/>
      <family val="2"/>
      <scheme val="minor"/>
    </font>
    <font>
      <b/>
      <sz val="22"/>
      <name val="Calibri"/>
      <family val="2"/>
      <scheme val="minor"/>
    </font>
    <font>
      <sz val="22"/>
      <color theme="1"/>
      <name val="Calibri"/>
      <family val="2"/>
      <scheme val="minor"/>
    </font>
    <font>
      <sz val="22"/>
      <name val="Calibri"/>
      <family val="2"/>
      <scheme val="minor"/>
    </font>
    <font>
      <b/>
      <sz val="10"/>
      <name val="Arial"/>
      <family val="2"/>
    </font>
    <font>
      <sz val="11"/>
      <color indexed="8"/>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sz val="11"/>
      <color theme="0"/>
      <name val="Calibri"/>
      <family val="2"/>
      <scheme val="minor"/>
    </font>
    <font>
      <b/>
      <sz val="14"/>
      <name val="Calibri"/>
      <family val="2"/>
      <scheme val="minor"/>
    </font>
    <font>
      <i/>
      <sz val="10"/>
      <name val="Calibri"/>
      <family val="2"/>
      <scheme val="minor"/>
    </font>
    <font>
      <sz val="11"/>
      <name val="Calibri"/>
      <family val="2"/>
      <scheme val="minor"/>
    </font>
    <font>
      <sz val="11"/>
      <color theme="1"/>
      <name val="Calibri"/>
      <family val="2"/>
      <scheme val="minor"/>
    </font>
    <font>
      <sz val="11"/>
      <color theme="1"/>
      <name val="Calibri"/>
      <family val="2"/>
      <scheme val="minor"/>
    </font>
    <font>
      <sz val="11"/>
      <name val="Calibri"/>
      <family val="2"/>
      <scheme val="minor"/>
    </font>
    <font>
      <b/>
      <sz val="9"/>
      <name val="Calibri"/>
      <family val="2"/>
      <scheme val="minor"/>
    </font>
    <font>
      <b/>
      <sz val="10"/>
      <color theme="1"/>
      <name val="Calibri"/>
      <family val="2"/>
      <scheme val="minor"/>
    </font>
    <font>
      <sz val="10"/>
      <name val="Verdana"/>
      <family val="2"/>
    </font>
    <font>
      <sz val="11"/>
      <color indexed="8"/>
      <name val="Calibri"/>
      <family val="2"/>
    </font>
    <font>
      <sz val="10"/>
      <color indexed="8"/>
      <name val="Myanmar3"/>
      <family val="1"/>
    </font>
    <font>
      <b/>
      <sz val="28"/>
      <color theme="0"/>
      <name val="Calibri"/>
      <family val="2"/>
      <scheme val="minor"/>
    </font>
    <font>
      <sz val="9"/>
      <color theme="0"/>
      <name val="Calibri"/>
      <family val="2"/>
      <scheme val="minor"/>
    </font>
  </fonts>
  <fills count="48">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16"/>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1"/>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D2361"/>
        <bgColor indexed="64"/>
      </patternFill>
    </fill>
    <fill>
      <patternFill patternType="solid">
        <fgColor rgb="FFFFFFFF"/>
        <bgColor indexed="64"/>
      </patternFill>
    </fill>
    <fill>
      <patternFill patternType="solid">
        <fgColor theme="0"/>
        <bgColor theme="4" tint="0.79998168889431442"/>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theme="6" tint="-0.249977111117893"/>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style="dotted">
        <color indexed="64"/>
      </right>
      <top/>
      <bottom style="dotted">
        <color indexed="64"/>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right style="dotted">
        <color indexed="64"/>
      </right>
      <top/>
      <bottom style="dotted">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otted">
        <color indexed="64"/>
      </right>
      <top style="dotted">
        <color indexed="64"/>
      </top>
      <bottom style="dotted">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22"/>
      </left>
      <right style="thin">
        <color indexed="22"/>
      </right>
      <top style="thin">
        <color indexed="22"/>
      </top>
      <bottom style="thin">
        <color indexed="22"/>
      </bottom>
      <diagonal/>
    </border>
  </borders>
  <cellStyleXfs count="20">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7"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3" fillId="14" borderId="7" applyNumberFormat="0" applyAlignment="0" applyProtection="0"/>
    <xf numFmtId="43" fontId="21" fillId="0" borderId="0" applyFont="0" applyFill="0" applyBorder="0" applyAlignment="0" applyProtection="0"/>
    <xf numFmtId="0" fontId="28" fillId="0" borderId="0"/>
    <xf numFmtId="0" fontId="1" fillId="0" borderId="0"/>
    <xf numFmtId="167" fontId="2" fillId="0" borderId="0"/>
    <xf numFmtId="0" fontId="1" fillId="0" borderId="0"/>
    <xf numFmtId="0" fontId="1" fillId="0" borderId="0"/>
    <xf numFmtId="164"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cellStyleXfs>
  <cellXfs count="889">
    <xf numFmtId="0" fontId="0" fillId="0" borderId="0" xfId="0"/>
    <xf numFmtId="0" fontId="0" fillId="0" borderId="0" xfId="0" applyBorder="1"/>
    <xf numFmtId="0" fontId="5" fillId="0" borderId="0" xfId="0" applyFont="1"/>
    <xf numFmtId="0" fontId="0" fillId="0" borderId="0" xfId="0" applyNumberFormat="1"/>
    <xf numFmtId="0" fontId="0" fillId="0" borderId="0" xfId="0" applyFill="1"/>
    <xf numFmtId="0" fontId="0" fillId="10" borderId="0" xfId="0" applyFill="1"/>
    <xf numFmtId="0" fontId="12" fillId="11" borderId="1" xfId="0" applyFont="1" applyFill="1" applyBorder="1" applyAlignment="1">
      <alignment horizontal="center" vertical="center" wrapText="1"/>
    </xf>
    <xf numFmtId="0" fontId="0" fillId="0" borderId="6" xfId="0" applyBorder="1"/>
    <xf numFmtId="0" fontId="0" fillId="0" borderId="6" xfId="0" quotePrefix="1" applyBorder="1"/>
    <xf numFmtId="0" fontId="3" fillId="11" borderId="1" xfId="0" applyFont="1" applyFill="1" applyBorder="1"/>
    <xf numFmtId="0" fontId="0" fillId="15" borderId="0" xfId="0" applyFill="1"/>
    <xf numFmtId="0" fontId="12" fillId="7" borderId="1" xfId="0" applyFont="1" applyFill="1" applyBorder="1" applyAlignment="1">
      <alignment horizontal="center" vertical="center" wrapText="1"/>
    </xf>
    <xf numFmtId="0" fontId="0" fillId="7" borderId="6" xfId="0" quotePrefix="1" applyFill="1" applyBorder="1"/>
    <xf numFmtId="0" fontId="3" fillId="7" borderId="1" xfId="0" applyFont="1" applyFill="1" applyBorder="1"/>
    <xf numFmtId="0" fontId="0" fillId="7" borderId="6" xfId="0" applyFill="1" applyBorder="1"/>
    <xf numFmtId="0" fontId="0" fillId="0" borderId="0" xfId="0" applyFill="1" applyBorder="1"/>
    <xf numFmtId="0" fontId="0" fillId="0" borderId="1" xfId="0" applyFill="1" applyBorder="1"/>
    <xf numFmtId="0" fontId="0" fillId="0" borderId="0" xfId="0" applyAlignment="1">
      <alignment horizontal="left"/>
    </xf>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165" fontId="0" fillId="0" borderId="1" xfId="7" quotePrefix="1" applyNumberFormat="1" applyFont="1" applyBorder="1"/>
    <xf numFmtId="1" fontId="0" fillId="0" borderId="0" xfId="0" applyNumberFormat="1"/>
    <xf numFmtId="1" fontId="3" fillId="7" borderId="1" xfId="0" applyNumberFormat="1" applyFont="1" applyFill="1" applyBorder="1"/>
    <xf numFmtId="0" fontId="0" fillId="0" borderId="0" xfId="0"/>
    <xf numFmtId="0" fontId="0" fillId="21" borderId="0" xfId="0" applyFill="1"/>
    <xf numFmtId="0" fontId="0" fillId="10" borderId="0" xfId="0" applyFill="1" applyBorder="1"/>
    <xf numFmtId="0" fontId="0" fillId="0" borderId="0" xfId="0"/>
    <xf numFmtId="0" fontId="0" fillId="0" borderId="0" xfId="0"/>
    <xf numFmtId="0" fontId="0" fillId="0" borderId="0" xfId="0" applyAlignment="1">
      <alignment textRotation="90"/>
    </xf>
    <xf numFmtId="0" fontId="8" fillId="0" borderId="0" xfId="6" applyFont="1" applyFill="1" applyBorder="1" applyAlignment="1">
      <alignment horizontal="center" vertical="center"/>
    </xf>
    <xf numFmtId="0" fontId="0" fillId="0" borderId="0" xfId="0" applyNumberFormat="1" applyBorder="1"/>
    <xf numFmtId="0" fontId="11" fillId="0" borderId="0" xfId="0" applyFont="1"/>
    <xf numFmtId="0" fontId="0" fillId="0" borderId="15" xfId="0" applyBorder="1"/>
    <xf numFmtId="0" fontId="0" fillId="0" borderId="16" xfId="0" applyBorder="1"/>
    <xf numFmtId="0" fontId="0" fillId="0" borderId="0" xfId="0"/>
    <xf numFmtId="0" fontId="0" fillId="0" borderId="0" xfId="0"/>
    <xf numFmtId="165" fontId="0" fillId="0" borderId="1" xfId="7" applyNumberFormat="1" applyFont="1" applyBorder="1"/>
    <xf numFmtId="165" fontId="0" fillId="0" borderId="0" xfId="0" applyNumberFormat="1"/>
    <xf numFmtId="0" fontId="22" fillId="13" borderId="0" xfId="0" applyFont="1" applyFill="1"/>
    <xf numFmtId="0" fontId="0" fillId="13" borderId="0" xfId="0" applyFill="1"/>
    <xf numFmtId="0" fontId="23" fillId="13" borderId="0" xfId="0" applyFont="1" applyFill="1"/>
    <xf numFmtId="0" fontId="9" fillId="11" borderId="0" xfId="6" applyFont="1" applyFill="1" applyBorder="1" applyAlignment="1">
      <alignment vertical="center"/>
    </xf>
    <xf numFmtId="0" fontId="5" fillId="0" borderId="0" xfId="0" applyFont="1" applyBorder="1"/>
    <xf numFmtId="0" fontId="5" fillId="0" borderId="0" xfId="0" applyFont="1" applyFill="1" applyBorder="1"/>
    <xf numFmtId="0" fontId="25" fillId="0" borderId="0" xfId="6" applyFont="1" applyFill="1" applyBorder="1" applyAlignment="1">
      <alignment horizontal="left" vertical="center"/>
    </xf>
    <xf numFmtId="0" fontId="7" fillId="17" borderId="1" xfId="6" applyFill="1" applyBorder="1" applyAlignment="1">
      <alignment horizontal="center"/>
    </xf>
    <xf numFmtId="0" fontId="26" fillId="18" borderId="0" xfId="0" applyFont="1" applyFill="1"/>
    <xf numFmtId="17" fontId="0" fillId="10" borderId="0" xfId="0" applyNumberFormat="1" applyFill="1"/>
    <xf numFmtId="0" fontId="0" fillId="0" borderId="0" xfId="0"/>
    <xf numFmtId="9" fontId="0" fillId="0" borderId="0" xfId="0" applyNumberFormat="1" applyFill="1" applyBorder="1"/>
    <xf numFmtId="9" fontId="0" fillId="0" borderId="0" xfId="8" applyFont="1" applyFill="1" applyBorder="1"/>
    <xf numFmtId="0" fontId="0" fillId="0" borderId="0" xfId="0" applyFont="1" applyFill="1" applyBorder="1"/>
    <xf numFmtId="9" fontId="27"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0" fontId="0" fillId="0" borderId="0" xfId="0"/>
    <xf numFmtId="0" fontId="32" fillId="11" borderId="0" xfId="6" applyFont="1" applyFill="1" applyBorder="1" applyAlignment="1">
      <alignment vertical="center"/>
    </xf>
    <xf numFmtId="0" fontId="9" fillId="10" borderId="0" xfId="6" applyFont="1" applyFill="1" applyBorder="1" applyAlignment="1">
      <alignment vertical="center"/>
    </xf>
    <xf numFmtId="9" fontId="36" fillId="27" borderId="1" xfId="8" applyFont="1" applyFill="1" applyBorder="1"/>
    <xf numFmtId="165" fontId="36" fillId="0" borderId="1" xfId="10" applyNumberFormat="1" applyFont="1" applyBorder="1"/>
    <xf numFmtId="165" fontId="36" fillId="0" borderId="1" xfId="0" applyNumberFormat="1" applyFont="1" applyBorder="1"/>
    <xf numFmtId="9" fontId="36" fillId="26" borderId="1" xfId="8" applyFont="1" applyFill="1" applyBorder="1"/>
    <xf numFmtId="0" fontId="37" fillId="18" borderId="0" xfId="0" applyFont="1" applyFill="1"/>
    <xf numFmtId="0" fontId="12" fillId="11" borderId="3"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0" fillId="0" borderId="0" xfId="0" applyFill="1" applyBorder="1" applyAlignment="1">
      <alignment horizontal="left" vertical="center"/>
    </xf>
    <xf numFmtId="0" fontId="0" fillId="0" borderId="34" xfId="0" quotePrefix="1" applyBorder="1"/>
    <xf numFmtId="0" fontId="3" fillId="11" borderId="3" xfId="0" applyFont="1" applyFill="1" applyBorder="1"/>
    <xf numFmtId="0" fontId="12" fillId="11" borderId="37" xfId="0" applyFont="1" applyFill="1" applyBorder="1" applyAlignment="1">
      <alignment horizontal="center" vertical="center" wrapText="1"/>
    </xf>
    <xf numFmtId="0" fontId="12" fillId="11" borderId="20" xfId="0" applyFont="1" applyFill="1" applyBorder="1" applyAlignment="1">
      <alignment horizontal="center" vertical="center" wrapText="1"/>
    </xf>
    <xf numFmtId="0" fontId="0" fillId="0" borderId="38" xfId="0" applyBorder="1"/>
    <xf numFmtId="0" fontId="3" fillId="11" borderId="32" xfId="0" applyFont="1" applyFill="1" applyBorder="1"/>
    <xf numFmtId="0" fontId="3" fillId="11" borderId="21" xfId="0" applyFont="1" applyFill="1" applyBorder="1"/>
    <xf numFmtId="0" fontId="3" fillId="11" borderId="22" xfId="0" applyFont="1" applyFill="1" applyBorder="1"/>
    <xf numFmtId="9" fontId="0" fillId="0" borderId="0" xfId="0" applyNumberFormat="1"/>
    <xf numFmtId="0" fontId="4"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xf>
    <xf numFmtId="0" fontId="29" fillId="0" borderId="0" xfId="6" applyFont="1" applyFill="1" applyBorder="1" applyAlignment="1">
      <alignment horizontal="center" vertical="center"/>
    </xf>
    <xf numFmtId="0" fontId="40" fillId="0" borderId="0" xfId="0" applyFont="1" applyFill="1" applyBorder="1" applyAlignment="1">
      <alignment horizontal="center" vertical="center"/>
    </xf>
    <xf numFmtId="0" fontId="4" fillId="28" borderId="0" xfId="0" applyFont="1" applyFill="1" applyAlignment="1">
      <alignment horizontal="center" vertical="center"/>
    </xf>
    <xf numFmtId="0" fontId="0" fillId="0" borderId="0" xfId="0"/>
    <xf numFmtId="0" fontId="0" fillId="0" borderId="0" xfId="0"/>
    <xf numFmtId="0" fontId="12" fillId="11" borderId="2" xfId="0" applyFont="1" applyFill="1" applyBorder="1" applyAlignment="1">
      <alignment horizontal="center" vertical="center" wrapText="1"/>
    </xf>
    <xf numFmtId="0" fontId="12" fillId="11" borderId="8" xfId="0" applyFont="1" applyFill="1" applyBorder="1" applyAlignment="1">
      <alignment horizontal="center" vertical="center" wrapText="1"/>
    </xf>
    <xf numFmtId="0" fontId="12" fillId="11" borderId="3" xfId="0" applyFont="1" applyFill="1" applyBorder="1" applyAlignment="1">
      <alignment horizontal="center" vertical="center" wrapText="1"/>
    </xf>
    <xf numFmtId="0" fontId="5" fillId="0" borderId="0" xfId="0" applyFont="1" applyAlignment="1">
      <alignment horizontal="right"/>
    </xf>
    <xf numFmtId="3" fontId="0" fillId="0" borderId="0" xfId="0" applyNumberFormat="1"/>
    <xf numFmtId="0" fontId="0" fillId="0" borderId="0" xfId="0" applyFill="1" applyBorder="1" applyAlignment="1">
      <alignment vertical="center"/>
    </xf>
    <xf numFmtId="0" fontId="45" fillId="0" borderId="0" xfId="0" applyFont="1" applyAlignment="1">
      <alignment wrapText="1"/>
    </xf>
    <xf numFmtId="0" fontId="28" fillId="0" borderId="0" xfId="0" applyFont="1" applyAlignment="1">
      <alignment wrapText="1"/>
    </xf>
    <xf numFmtId="0" fontId="0" fillId="0" borderId="0" xfId="0" applyAlignment="1">
      <alignment wrapText="1"/>
    </xf>
    <xf numFmtId="0" fontId="42" fillId="0" borderId="0" xfId="6" applyFont="1" applyFill="1" applyBorder="1" applyAlignment="1">
      <alignment vertical="center"/>
    </xf>
    <xf numFmtId="0" fontId="44" fillId="0" borderId="0" xfId="6" applyFont="1" applyFill="1" applyBorder="1" applyAlignment="1">
      <alignment horizontal="center" vertical="center"/>
    </xf>
    <xf numFmtId="9" fontId="36" fillId="27" borderId="1" xfId="8" applyFont="1" applyFill="1" applyBorder="1" applyAlignment="1">
      <alignment horizontal="center" vertical="top"/>
    </xf>
    <xf numFmtId="0" fontId="35" fillId="26" borderId="1" xfId="0" applyFont="1" applyFill="1" applyBorder="1" applyAlignment="1">
      <alignment horizontal="center" vertical="top" wrapText="1"/>
    </xf>
    <xf numFmtId="0" fontId="11" fillId="0" borderId="1" xfId="0" applyNumberFormat="1" applyFont="1" applyFill="1" applyBorder="1"/>
    <xf numFmtId="0" fontId="11" fillId="0" borderId="1" xfId="0" applyFont="1" applyFill="1" applyBorder="1"/>
    <xf numFmtId="0" fontId="0" fillId="0" borderId="1" xfId="0" applyNumberFormat="1" applyFont="1" applyFill="1" applyBorder="1"/>
    <xf numFmtId="0" fontId="0" fillId="0" borderId="1" xfId="0" applyFont="1" applyFill="1" applyBorder="1"/>
    <xf numFmtId="0" fontId="0" fillId="0" borderId="0" xfId="0" applyAlignment="1">
      <alignment horizontal="center" vertical="center"/>
    </xf>
    <xf numFmtId="0" fontId="3" fillId="11" borderId="0" xfId="0" applyFont="1" applyFill="1" applyBorder="1"/>
    <xf numFmtId="0" fontId="47" fillId="31" borderId="29" xfId="0" applyFont="1" applyFill="1" applyBorder="1"/>
    <xf numFmtId="0" fontId="48" fillId="31" borderId="30" xfId="0" applyFont="1" applyFill="1" applyBorder="1"/>
    <xf numFmtId="0" fontId="47" fillId="31" borderId="27" xfId="0" applyFont="1" applyFill="1" applyBorder="1"/>
    <xf numFmtId="0" fontId="48" fillId="31" borderId="31" xfId="0" applyFont="1" applyFill="1" applyBorder="1"/>
    <xf numFmtId="0" fontId="48" fillId="0" borderId="0" xfId="0" applyFont="1" applyFill="1"/>
    <xf numFmtId="0" fontId="47" fillId="0" borderId="39" xfId="0" applyFont="1" applyFill="1" applyBorder="1"/>
    <xf numFmtId="0" fontId="47" fillId="0" borderId="11" xfId="0" applyFont="1" applyFill="1" applyBorder="1"/>
    <xf numFmtId="0" fontId="47" fillId="0" borderId="40" xfId="0" applyFont="1" applyFill="1" applyBorder="1"/>
    <xf numFmtId="0" fontId="47" fillId="0" borderId="4" xfId="0" applyFont="1" applyFill="1" applyBorder="1"/>
    <xf numFmtId="0" fontId="47" fillId="0" borderId="33" xfId="0" applyFont="1" applyFill="1" applyBorder="1"/>
    <xf numFmtId="0" fontId="47" fillId="0" borderId="41" xfId="0" applyFont="1" applyFill="1" applyBorder="1"/>
    <xf numFmtId="0" fontId="47" fillId="0" borderId="24" xfId="0" applyFont="1" applyFill="1" applyBorder="1"/>
    <xf numFmtId="0" fontId="47" fillId="0" borderId="23" xfId="0" applyFont="1" applyFill="1" applyBorder="1"/>
    <xf numFmtId="0" fontId="47" fillId="0" borderId="26" xfId="0" applyFont="1" applyFill="1" applyBorder="1"/>
    <xf numFmtId="0" fontId="48" fillId="29" borderId="0" xfId="0" applyFont="1" applyFill="1" applyBorder="1"/>
    <xf numFmtId="0" fontId="48" fillId="0" borderId="0" xfId="0" applyFont="1" applyFill="1" applyBorder="1"/>
    <xf numFmtId="165" fontId="48" fillId="0" borderId="0" xfId="7" applyNumberFormat="1" applyFont="1" applyFill="1" applyBorder="1"/>
    <xf numFmtId="0" fontId="48" fillId="0" borderId="0" xfId="0" applyNumberFormat="1" applyFont="1" applyFill="1" applyBorder="1"/>
    <xf numFmtId="9" fontId="48" fillId="0" borderId="0" xfId="8" applyFont="1" applyFill="1" applyBorder="1"/>
    <xf numFmtId="0" fontId="47" fillId="0" borderId="3" xfId="0" applyNumberFormat="1" applyFont="1" applyFill="1" applyBorder="1"/>
    <xf numFmtId="1" fontId="47" fillId="0" borderId="2" xfId="0" applyNumberFormat="1" applyFont="1" applyFill="1" applyBorder="1"/>
    <xf numFmtId="165" fontId="49" fillId="0" borderId="0" xfId="7" applyNumberFormat="1" applyFont="1" applyFill="1" applyBorder="1"/>
    <xf numFmtId="0" fontId="48" fillId="30" borderId="0" xfId="0" applyFont="1" applyFill="1" applyBorder="1"/>
    <xf numFmtId="2" fontId="48" fillId="30" borderId="0" xfId="0" applyNumberFormat="1" applyFont="1" applyFill="1" applyBorder="1"/>
    <xf numFmtId="2" fontId="48" fillId="0" borderId="0" xfId="0" applyNumberFormat="1" applyFont="1" applyFill="1" applyBorder="1"/>
    <xf numFmtId="165" fontId="48" fillId="0" borderId="0" xfId="0" applyNumberFormat="1" applyFont="1" applyFill="1" applyBorder="1"/>
    <xf numFmtId="9" fontId="48" fillId="0" borderId="0" xfId="0" applyNumberFormat="1" applyFont="1" applyFill="1" applyBorder="1"/>
    <xf numFmtId="0" fontId="47" fillId="0" borderId="25" xfId="0" applyNumberFormat="1" applyFont="1" applyFill="1" applyBorder="1"/>
    <xf numFmtId="1" fontId="47" fillId="0" borderId="18" xfId="0" applyNumberFormat="1" applyFont="1" applyFill="1" applyBorder="1"/>
    <xf numFmtId="165" fontId="48" fillId="0" borderId="28" xfId="0" applyNumberFormat="1" applyFont="1" applyFill="1" applyBorder="1"/>
    <xf numFmtId="0" fontId="0" fillId="0" borderId="0" xfId="0" applyAlignment="1">
      <alignment horizontal="center" vertical="center" wrapText="1"/>
    </xf>
    <xf numFmtId="0" fontId="0" fillId="0" borderId="0" xfId="0" applyFill="1" applyAlignment="1">
      <alignment horizontal="left" vertical="center"/>
    </xf>
    <xf numFmtId="0" fontId="0" fillId="2" borderId="0" xfId="0" applyFill="1" applyBorder="1" applyAlignment="1">
      <alignment vertical="center"/>
    </xf>
    <xf numFmtId="165" fontId="29" fillId="21" borderId="0" xfId="7" applyNumberFormat="1" applyFont="1" applyFill="1"/>
    <xf numFmtId="14" fontId="0" fillId="0" borderId="0" xfId="0" applyNumberFormat="1"/>
    <xf numFmtId="0" fontId="0" fillId="2" borderId="0" xfId="0" applyFill="1"/>
    <xf numFmtId="0" fontId="2" fillId="0" borderId="1" xfId="0" applyFont="1" applyFill="1" applyBorder="1"/>
    <xf numFmtId="0" fontId="2" fillId="0" borderId="1" xfId="0" applyNumberFormat="1" applyFont="1" applyFill="1" applyBorder="1"/>
    <xf numFmtId="171"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1" fontId="0" fillId="0" borderId="0" xfId="0" applyNumberFormat="1"/>
    <xf numFmtId="0" fontId="19" fillId="41" borderId="9" xfId="5" applyFont="1" applyFill="1" applyBorder="1" applyAlignment="1">
      <alignment horizontal="left" vertical="top"/>
    </xf>
    <xf numFmtId="0" fontId="11" fillId="41" borderId="0" xfId="0" applyFont="1" applyFill="1" applyAlignment="1">
      <alignment horizontal="left" vertical="top"/>
    </xf>
    <xf numFmtId="0" fontId="19" fillId="41" borderId="11" xfId="5" applyFont="1" applyFill="1" applyBorder="1" applyAlignment="1">
      <alignment horizontal="left" vertical="top"/>
    </xf>
    <xf numFmtId="171" fontId="19" fillId="41" borderId="11" xfId="5" applyNumberFormat="1" applyFont="1" applyFill="1" applyBorder="1" applyAlignment="1">
      <alignment horizontal="left" vertical="top"/>
    </xf>
    <xf numFmtId="0" fontId="52" fillId="22" borderId="1" xfId="0" applyFont="1" applyFill="1" applyBorder="1" applyAlignment="1">
      <alignment horizontal="center" wrapText="1"/>
    </xf>
    <xf numFmtId="0" fontId="52" fillId="22" borderId="1" xfId="0" applyFont="1" applyFill="1" applyBorder="1" applyAlignment="1">
      <alignment horizontal="center" vertical="top" wrapText="1"/>
    </xf>
    <xf numFmtId="0" fontId="53" fillId="23" borderId="1" xfId="0" applyFont="1" applyFill="1" applyBorder="1" applyAlignment="1">
      <alignment horizontal="center" vertical="top" wrapText="1"/>
    </xf>
    <xf numFmtId="0" fontId="52" fillId="24" borderId="1" xfId="0" applyFont="1" applyFill="1" applyBorder="1" applyAlignment="1">
      <alignment horizontal="center" vertical="top" wrapText="1"/>
    </xf>
    <xf numFmtId="0" fontId="52" fillId="25" borderId="1" xfId="0" applyFont="1" applyFill="1" applyBorder="1" applyAlignment="1">
      <alignment horizontal="center" vertical="top" wrapText="1"/>
    </xf>
    <xf numFmtId="0" fontId="53" fillId="26" borderId="1" xfId="0" applyFont="1" applyFill="1" applyBorder="1" applyAlignment="1">
      <alignment horizontal="center" vertical="top" wrapText="1"/>
    </xf>
    <xf numFmtId="0" fontId="54" fillId="0" borderId="1" xfId="0" applyFont="1" applyFill="1" applyBorder="1" applyAlignment="1">
      <alignment horizontal="left"/>
    </xf>
    <xf numFmtId="0" fontId="55" fillId="2" borderId="10" xfId="0" applyFont="1" applyFill="1" applyBorder="1" applyAlignment="1">
      <alignment horizontal="left"/>
    </xf>
    <xf numFmtId="165" fontId="55" fillId="0" borderId="1" xfId="10" applyNumberFormat="1" applyFont="1" applyFill="1" applyBorder="1" applyAlignment="1">
      <alignment horizontal="left"/>
    </xf>
    <xf numFmtId="165" fontId="56" fillId="0" borderId="1" xfId="10" applyNumberFormat="1" applyFont="1" applyBorder="1"/>
    <xf numFmtId="9" fontId="56" fillId="24" borderId="1" xfId="8" applyFont="1" applyFill="1" applyBorder="1"/>
    <xf numFmtId="9" fontId="56" fillId="25" borderId="1" xfId="8" applyFont="1" applyFill="1" applyBorder="1"/>
    <xf numFmtId="9" fontId="56" fillId="26" borderId="1" xfId="8" applyFont="1" applyFill="1" applyBorder="1"/>
    <xf numFmtId="17" fontId="3" fillId="10" borderId="0" xfId="0" applyNumberFormat="1" applyFont="1" applyFill="1" applyAlignment="1">
      <alignment horizontal="left"/>
    </xf>
    <xf numFmtId="0" fontId="0" fillId="40" borderId="0" xfId="0" applyFill="1" applyBorder="1"/>
    <xf numFmtId="49" fontId="11" fillId="0" borderId="1" xfId="0" applyNumberFormat="1" applyFont="1" applyFill="1" applyBorder="1"/>
    <xf numFmtId="49" fontId="2" fillId="0" borderId="1" xfId="0" applyNumberFormat="1" applyFont="1" applyFill="1" applyBorder="1"/>
    <xf numFmtId="49" fontId="0" fillId="0" borderId="1" xfId="0" applyNumberFormat="1" applyFont="1" applyFill="1" applyBorder="1"/>
    <xf numFmtId="49" fontId="11" fillId="0" borderId="1" xfId="14" applyNumberFormat="1" applyFont="1" applyFill="1" applyBorder="1" applyAlignment="1"/>
    <xf numFmtId="49" fontId="46" fillId="0" borderId="1" xfId="14" applyNumberFormat="1" applyFont="1" applyFill="1" applyBorder="1" applyAlignment="1"/>
    <xf numFmtId="49" fontId="2" fillId="0" borderId="1" xfId="0" applyNumberFormat="1" applyFont="1" applyFill="1" applyBorder="1" applyAlignment="1">
      <alignment horizontal="left" vertical="center"/>
    </xf>
    <xf numFmtId="49" fontId="0" fillId="0" borderId="1" xfId="0" applyNumberFormat="1" applyFont="1" applyFill="1" applyBorder="1" applyAlignment="1">
      <alignment horizontal="left" vertical="center"/>
    </xf>
    <xf numFmtId="0" fontId="11" fillId="0" borderId="1" xfId="14" applyFont="1" applyFill="1" applyBorder="1" applyAlignment="1"/>
    <xf numFmtId="0" fontId="11" fillId="0" borderId="1" xfId="0" applyFont="1" applyFill="1" applyBorder="1" applyAlignment="1">
      <alignment horizontal="left" vertical="center"/>
    </xf>
    <xf numFmtId="17" fontId="3" fillId="10" borderId="0" xfId="0" applyNumberFormat="1" applyFont="1" applyFill="1" applyAlignment="1">
      <alignment horizontal="left"/>
    </xf>
    <xf numFmtId="0" fontId="8" fillId="10" borderId="0" xfId="6" applyFont="1" applyFill="1" applyBorder="1" applyAlignment="1">
      <alignment horizontal="center" vertical="center"/>
    </xf>
    <xf numFmtId="0" fontId="38" fillId="10" borderId="0" xfId="0" applyFont="1" applyFill="1" applyAlignment="1">
      <alignment vertical="center" readingOrder="1"/>
    </xf>
    <xf numFmtId="165" fontId="27" fillId="10" borderId="0" xfId="0" applyNumberFormat="1" applyFont="1" applyFill="1" applyBorder="1"/>
    <xf numFmtId="0" fontId="0" fillId="10" borderId="0" xfId="0" applyFont="1" applyFill="1" applyBorder="1" applyAlignment="1">
      <alignment horizontal="center" vertical="center" wrapText="1"/>
    </xf>
    <xf numFmtId="0" fontId="0" fillId="43" borderId="0" xfId="0" applyFill="1" applyBorder="1"/>
    <xf numFmtId="0" fontId="32" fillId="40" borderId="0" xfId="6" applyFont="1" applyFill="1" applyBorder="1" applyAlignment="1">
      <alignment vertical="center"/>
    </xf>
    <xf numFmtId="0" fontId="0" fillId="40" borderId="42" xfId="0" applyFill="1" applyBorder="1"/>
    <xf numFmtId="0" fontId="0" fillId="40" borderId="25" xfId="0" applyFill="1" applyBorder="1"/>
    <xf numFmtId="0" fontId="0" fillId="40" borderId="39" xfId="0" applyFill="1" applyBorder="1"/>
    <xf numFmtId="0" fontId="32" fillId="40" borderId="43" xfId="6" applyFont="1" applyFill="1" applyBorder="1" applyAlignment="1">
      <alignment vertical="center"/>
    </xf>
    <xf numFmtId="0" fontId="0" fillId="40" borderId="43" xfId="0" applyFill="1" applyBorder="1"/>
    <xf numFmtId="0" fontId="0" fillId="40" borderId="17" xfId="0" applyFill="1" applyBorder="1"/>
    <xf numFmtId="0" fontId="0" fillId="40" borderId="12" xfId="0" applyFill="1" applyBorder="1"/>
    <xf numFmtId="0" fontId="0" fillId="40" borderId="13" xfId="0" applyFill="1" applyBorder="1"/>
    <xf numFmtId="0" fontId="0" fillId="40" borderId="14" xfId="0" applyFill="1" applyBorder="1"/>
    <xf numFmtId="0" fontId="0" fillId="40" borderId="15" xfId="0" applyFill="1" applyBorder="1"/>
    <xf numFmtId="0" fontId="0" fillId="40" borderId="16" xfId="0" applyFill="1" applyBorder="1"/>
    <xf numFmtId="0" fontId="0" fillId="40" borderId="44" xfId="0" applyFill="1" applyBorder="1"/>
    <xf numFmtId="0" fontId="0" fillId="40" borderId="45" xfId="0" applyFill="1" applyBorder="1"/>
    <xf numFmtId="0" fontId="0" fillId="0" borderId="46" xfId="0" applyBorder="1"/>
    <xf numFmtId="0" fontId="0" fillId="0" borderId="47" xfId="0" applyBorder="1"/>
    <xf numFmtId="0" fontId="0" fillId="10" borderId="47" xfId="0" applyFill="1" applyBorder="1"/>
    <xf numFmtId="0" fontId="9" fillId="43" borderId="16" xfId="6" applyFont="1" applyFill="1" applyBorder="1" applyAlignment="1">
      <alignment vertical="center"/>
    </xf>
    <xf numFmtId="0" fontId="9" fillId="40" borderId="0" xfId="6" applyFont="1" applyFill="1" applyBorder="1" applyAlignment="1">
      <alignment vertical="center"/>
    </xf>
    <xf numFmtId="0" fontId="0" fillId="10" borderId="16" xfId="0" applyFill="1" applyBorder="1"/>
    <xf numFmtId="0" fontId="16" fillId="10" borderId="0" xfId="0" applyFont="1" applyFill="1" applyBorder="1" applyAlignment="1">
      <alignment horizontal="center"/>
    </xf>
    <xf numFmtId="165" fontId="17" fillId="10" borderId="0" xfId="7" applyNumberFormat="1" applyFont="1" applyFill="1" applyBorder="1"/>
    <xf numFmtId="165" fontId="16" fillId="10" borderId="0" xfId="0" applyNumberFormat="1" applyFont="1" applyFill="1" applyBorder="1"/>
    <xf numFmtId="0" fontId="18" fillId="10" borderId="0" xfId="0" applyFont="1" applyFill="1" applyBorder="1"/>
    <xf numFmtId="0" fontId="0" fillId="10" borderId="48" xfId="0" applyFill="1" applyBorder="1"/>
    <xf numFmtId="0" fontId="0" fillId="10" borderId="15" xfId="0" applyFill="1" applyBorder="1"/>
    <xf numFmtId="0" fontId="0" fillId="10" borderId="46" xfId="0" applyFill="1" applyBorder="1"/>
    <xf numFmtId="0" fontId="0" fillId="10" borderId="47" xfId="0" applyFill="1" applyBorder="1" applyAlignment="1">
      <alignment horizontal="left"/>
    </xf>
    <xf numFmtId="165" fontId="0" fillId="10" borderId="47" xfId="0" applyNumberFormat="1" applyFill="1" applyBorder="1"/>
    <xf numFmtId="3" fontId="0" fillId="10" borderId="47" xfId="0" applyNumberFormat="1" applyFill="1" applyBorder="1"/>
    <xf numFmtId="0" fontId="0" fillId="10" borderId="47" xfId="0" applyNumberFormat="1" applyFill="1" applyBorder="1"/>
    <xf numFmtId="166" fontId="34" fillId="10" borderId="0" xfId="6" applyNumberFormat="1" applyFont="1" applyFill="1" applyBorder="1" applyAlignment="1">
      <alignment horizontal="left" vertical="center"/>
    </xf>
    <xf numFmtId="0" fontId="32" fillId="10" borderId="0" xfId="6" applyFont="1" applyFill="1" applyBorder="1" applyAlignment="1">
      <alignment vertical="center"/>
    </xf>
    <xf numFmtId="0" fontId="9" fillId="0" borderId="0" xfId="6" applyFont="1" applyFill="1" applyBorder="1" applyAlignment="1">
      <alignment vertical="center"/>
    </xf>
    <xf numFmtId="0" fontId="20" fillId="0" borderId="0" xfId="0" applyFont="1" applyFill="1" applyAlignment="1"/>
    <xf numFmtId="0" fontId="23" fillId="0" borderId="0" xfId="0" applyFont="1" applyFill="1"/>
    <xf numFmtId="0" fontId="31" fillId="40" borderId="0" xfId="6" applyFont="1" applyFill="1" applyBorder="1" applyAlignment="1">
      <alignment vertical="center"/>
    </xf>
    <xf numFmtId="166" fontId="34" fillId="40" borderId="0" xfId="6" applyNumberFormat="1" applyFont="1" applyFill="1" applyBorder="1" applyAlignment="1">
      <alignment vertical="center"/>
    </xf>
    <xf numFmtId="0" fontId="9" fillId="40" borderId="43" xfId="0" applyFont="1" applyFill="1" applyBorder="1"/>
    <xf numFmtId="0" fontId="11" fillId="40" borderId="43" xfId="0" applyFont="1" applyFill="1" applyBorder="1"/>
    <xf numFmtId="0" fontId="50" fillId="40" borderId="43" xfId="0" applyFont="1" applyFill="1" applyBorder="1" applyAlignment="1"/>
    <xf numFmtId="0" fontId="11" fillId="40" borderId="44" xfId="0" applyFont="1" applyFill="1" applyBorder="1"/>
    <xf numFmtId="0" fontId="11" fillId="40" borderId="45" xfId="0" applyFont="1" applyFill="1" applyBorder="1"/>
    <xf numFmtId="0" fontId="9" fillId="11" borderId="18" xfId="6" applyFont="1" applyFill="1" applyBorder="1" applyAlignment="1">
      <alignment vertical="center"/>
    </xf>
    <xf numFmtId="0" fontId="9" fillId="11" borderId="42" xfId="6" applyFont="1" applyFill="1" applyBorder="1" applyAlignment="1">
      <alignment vertical="center"/>
    </xf>
    <xf numFmtId="0" fontId="9" fillId="11" borderId="25" xfId="6" applyFont="1" applyFill="1" applyBorder="1" applyAlignment="1">
      <alignment vertical="center"/>
    </xf>
    <xf numFmtId="0" fontId="32" fillId="11" borderId="39" xfId="6" applyFont="1" applyFill="1" applyBorder="1" applyAlignment="1">
      <alignment vertical="center"/>
    </xf>
    <xf numFmtId="0" fontId="32" fillId="11" borderId="43" xfId="6" applyFont="1" applyFill="1" applyBorder="1" applyAlignment="1">
      <alignment vertical="center"/>
    </xf>
    <xf numFmtId="0" fontId="32" fillId="11" borderId="17" xfId="6" applyFont="1" applyFill="1" applyBorder="1" applyAlignment="1">
      <alignment vertical="center"/>
    </xf>
    <xf numFmtId="0" fontId="24" fillId="11" borderId="42" xfId="6" applyFont="1" applyFill="1" applyBorder="1" applyAlignment="1">
      <alignment vertical="center"/>
    </xf>
    <xf numFmtId="0" fontId="9" fillId="40" borderId="42" xfId="6" applyFont="1" applyFill="1" applyBorder="1" applyAlignment="1">
      <alignment vertical="center"/>
    </xf>
    <xf numFmtId="0" fontId="12" fillId="11" borderId="42" xfId="6" applyFont="1" applyFill="1" applyBorder="1" applyAlignment="1">
      <alignment horizontal="center" vertical="center"/>
    </xf>
    <xf numFmtId="0" fontId="4" fillId="0" borderId="42" xfId="0" applyFont="1" applyBorder="1" applyAlignment="1">
      <alignment horizontal="center" vertical="center"/>
    </xf>
    <xf numFmtId="0" fontId="4" fillId="0" borderId="43" xfId="0" applyFont="1" applyFill="1" applyBorder="1" applyAlignment="1">
      <alignment horizontal="center" vertical="center"/>
    </xf>
    <xf numFmtId="0" fontId="4" fillId="0" borderId="43" xfId="0" applyFont="1" applyBorder="1" applyAlignment="1">
      <alignment horizontal="center" vertical="center"/>
    </xf>
    <xf numFmtId="0" fontId="9" fillId="11" borderId="39" xfId="6" applyFont="1" applyFill="1" applyBorder="1" applyAlignment="1">
      <alignment vertical="center"/>
    </xf>
    <xf numFmtId="166" fontId="34" fillId="11" borderId="23" xfId="6" applyNumberFormat="1" applyFont="1" applyFill="1" applyBorder="1" applyAlignment="1">
      <alignment horizontal="left" vertical="center"/>
    </xf>
    <xf numFmtId="166" fontId="34" fillId="11" borderId="43" xfId="6" applyNumberFormat="1" applyFont="1" applyFill="1" applyBorder="1" applyAlignment="1">
      <alignment horizontal="left" vertical="center"/>
    </xf>
    <xf numFmtId="0" fontId="8" fillId="40" borderId="43" xfId="6" applyFont="1" applyFill="1" applyBorder="1" applyAlignment="1">
      <alignment horizontal="left" vertical="center"/>
    </xf>
    <xf numFmtId="0" fontId="0" fillId="40" borderId="43" xfId="0" applyFill="1" applyBorder="1" applyAlignment="1">
      <alignment horizontal="left"/>
    </xf>
    <xf numFmtId="0" fontId="8" fillId="40" borderId="17" xfId="6" applyFont="1" applyFill="1" applyBorder="1" applyAlignment="1">
      <alignment horizontal="left" vertical="center"/>
    </xf>
    <xf numFmtId="0" fontId="9" fillId="11" borderId="4" xfId="6" applyFont="1" applyFill="1" applyBorder="1" applyAlignment="1">
      <alignment vertical="center"/>
    </xf>
    <xf numFmtId="166" fontId="58" fillId="11" borderId="23" xfId="6" applyNumberFormat="1" applyFont="1" applyFill="1" applyBorder="1" applyAlignment="1">
      <alignment vertical="center"/>
    </xf>
    <xf numFmtId="166" fontId="34" fillId="11" borderId="43" xfId="6" applyNumberFormat="1" applyFont="1" applyFill="1" applyBorder="1" applyAlignment="1">
      <alignment vertical="center"/>
    </xf>
    <xf numFmtId="0" fontId="8" fillId="40" borderId="17" xfId="6" applyFont="1" applyFill="1" applyBorder="1" applyAlignment="1">
      <alignment horizontal="center" vertical="center"/>
    </xf>
    <xf numFmtId="0" fontId="12" fillId="11" borderId="36"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0" fillId="0" borderId="23" xfId="0" applyBorder="1"/>
    <xf numFmtId="0" fontId="0" fillId="0" borderId="17" xfId="0" applyBorder="1"/>
    <xf numFmtId="0" fontId="0" fillId="0" borderId="25" xfId="0" applyBorder="1"/>
    <xf numFmtId="0" fontId="9" fillId="40" borderId="18" xfId="6" applyFont="1" applyFill="1" applyBorder="1" applyAlignment="1">
      <alignment vertical="center"/>
    </xf>
    <xf numFmtId="0" fontId="0" fillId="0" borderId="3" xfId="0" applyBorder="1"/>
    <xf numFmtId="0" fontId="0" fillId="40" borderId="3" xfId="0" applyFill="1" applyBorder="1"/>
    <xf numFmtId="0" fontId="0" fillId="43" borderId="0" xfId="0" applyFill="1"/>
    <xf numFmtId="0" fontId="5" fillId="43" borderId="0" xfId="0" applyFont="1" applyFill="1" applyBorder="1"/>
    <xf numFmtId="0" fontId="8" fillId="43" borderId="0" xfId="6" applyFont="1" applyFill="1" applyBorder="1" applyAlignment="1">
      <alignment horizontal="center" vertical="center"/>
    </xf>
    <xf numFmtId="0" fontId="6" fillId="43" borderId="0" xfId="6" applyFont="1" applyFill="1" applyAlignment="1">
      <alignment vertical="center"/>
    </xf>
    <xf numFmtId="9" fontId="11" fillId="0" borderId="1" xfId="0" applyNumberFormat="1" applyFont="1" applyFill="1" applyBorder="1"/>
    <xf numFmtId="9" fontId="0" fillId="0" borderId="1" xfId="0" applyNumberFormat="1" applyFont="1" applyFill="1" applyBorder="1"/>
    <xf numFmtId="0" fontId="3" fillId="11" borderId="9" xfId="0" applyFont="1" applyFill="1" applyBorder="1"/>
    <xf numFmtId="165" fontId="3" fillId="11" borderId="9" xfId="7" applyNumberFormat="1" applyFont="1" applyFill="1" applyBorder="1"/>
    <xf numFmtId="165" fontId="3" fillId="2" borderId="9" xfId="7" applyNumberFormat="1" applyFont="1" applyFill="1" applyBorder="1"/>
    <xf numFmtId="1" fontId="3" fillId="7" borderId="9" xfId="0" applyNumberFormat="1" applyFont="1" applyFill="1" applyBorder="1"/>
    <xf numFmtId="165" fontId="3" fillId="7" borderId="9" xfId="7" applyNumberFormat="1" applyFont="1" applyFill="1" applyBorder="1"/>
    <xf numFmtId="3" fontId="0" fillId="7" borderId="1" xfId="0" applyNumberFormat="1" applyFill="1" applyBorder="1"/>
    <xf numFmtId="9" fontId="0" fillId="7" borderId="1" xfId="8" applyFont="1" applyFill="1" applyBorder="1"/>
    <xf numFmtId="165" fontId="0" fillId="7" borderId="1" xfId="7" applyNumberFormat="1" applyFont="1" applyFill="1" applyBorder="1"/>
    <xf numFmtId="0" fontId="0" fillId="0" borderId="1" xfId="0" applyBorder="1" applyAlignment="1">
      <alignment horizontal="left"/>
    </xf>
    <xf numFmtId="0" fontId="0" fillId="0" borderId="1" xfId="0" pivotButton="1" applyBorder="1"/>
    <xf numFmtId="0" fontId="0" fillId="0" borderId="1" xfId="0" applyNumberFormat="1" applyBorder="1"/>
    <xf numFmtId="0" fontId="8" fillId="40" borderId="43" xfId="6" applyFont="1" applyFill="1" applyBorder="1" applyAlignment="1">
      <alignment horizontal="center" vertical="center"/>
    </xf>
    <xf numFmtId="165" fontId="0" fillId="0" borderId="1" xfId="0" applyNumberFormat="1" applyBorder="1"/>
    <xf numFmtId="0" fontId="0" fillId="0" borderId="5" xfId="0" applyBorder="1"/>
    <xf numFmtId="0" fontId="0" fillId="0" borderId="11" xfId="0" applyBorder="1"/>
    <xf numFmtId="0" fontId="0" fillId="0" borderId="9" xfId="0" applyBorder="1"/>
    <xf numFmtId="9" fontId="0" fillId="0" borderId="25" xfId="0" applyNumberFormat="1" applyBorder="1"/>
    <xf numFmtId="9" fontId="0" fillId="0" borderId="39" xfId="0" applyNumberFormat="1" applyBorder="1"/>
    <xf numFmtId="0" fontId="0" fillId="0" borderId="5" xfId="0" pivotButton="1" applyBorder="1"/>
    <xf numFmtId="165" fontId="0" fillId="0" borderId="5" xfId="0" applyNumberFormat="1" applyBorder="1"/>
    <xf numFmtId="0" fontId="4" fillId="3" borderId="1" xfId="0" quotePrefix="1" applyFont="1" applyFill="1" applyBorder="1" applyAlignment="1">
      <alignment horizontal="center" vertical="center" wrapText="1"/>
    </xf>
    <xf numFmtId="0" fontId="4" fillId="28" borderId="1" xfId="0" quotePrefix="1" applyFont="1" applyFill="1" applyBorder="1" applyAlignment="1">
      <alignment horizontal="center" vertical="center" wrapText="1"/>
    </xf>
    <xf numFmtId="1" fontId="29" fillId="0" borderId="1" xfId="0" applyNumberFormat="1" applyFont="1" applyFill="1" applyBorder="1" applyAlignment="1">
      <alignment horizontal="center" vertical="center"/>
    </xf>
    <xf numFmtId="49" fontId="29" fillId="0" borderId="1" xfId="0" applyNumberFormat="1" applyFont="1" applyFill="1" applyBorder="1" applyAlignment="1">
      <alignment horizontal="left" vertical="center"/>
    </xf>
    <xf numFmtId="49" fontId="29" fillId="0" borderId="1" xfId="0" applyNumberFormat="1" applyFont="1" applyFill="1" applyBorder="1" applyAlignment="1">
      <alignment horizontal="center" vertical="center"/>
    </xf>
    <xf numFmtId="0" fontId="29" fillId="0" borderId="1" xfId="0" applyFont="1" applyFill="1" applyBorder="1" applyAlignment="1">
      <alignment horizontal="center" vertical="center"/>
    </xf>
    <xf numFmtId="9" fontId="29" fillId="0" borderId="1" xfId="0" applyNumberFormat="1" applyFont="1" applyFill="1" applyBorder="1" applyAlignment="1">
      <alignment horizontal="center" vertical="center"/>
    </xf>
    <xf numFmtId="0" fontId="29" fillId="0" borderId="1" xfId="0" applyNumberFormat="1" applyFont="1" applyFill="1" applyBorder="1" applyAlignment="1">
      <alignment horizontal="center" vertical="center"/>
    </xf>
    <xf numFmtId="49" fontId="29" fillId="0" borderId="1" xfId="0" applyNumberFormat="1" applyFont="1" applyFill="1" applyBorder="1" applyAlignment="1">
      <alignment horizontal="left" vertical="center" wrapText="1"/>
    </xf>
    <xf numFmtId="9" fontId="29" fillId="0" borderId="1" xfId="8" applyFont="1" applyFill="1" applyBorder="1" applyAlignment="1">
      <alignment horizontal="center" vertical="center"/>
    </xf>
    <xf numFmtId="1" fontId="29" fillId="0" borderId="3" xfId="0" applyNumberFormat="1" applyFont="1" applyFill="1" applyBorder="1" applyAlignment="1">
      <alignment horizontal="center" vertical="center"/>
    </xf>
    <xf numFmtId="0" fontId="9" fillId="40" borderId="4" xfId="6" applyFont="1" applyFill="1" applyBorder="1" applyAlignment="1">
      <alignment vertical="center"/>
    </xf>
    <xf numFmtId="0" fontId="5" fillId="40" borderId="43" xfId="0" applyFont="1" applyFill="1" applyBorder="1"/>
    <xf numFmtId="0" fontId="0" fillId="0" borderId="29" xfId="0" applyBorder="1" applyAlignment="1">
      <alignment vertical="center" wrapText="1"/>
    </xf>
    <xf numFmtId="0" fontId="0" fillId="0" borderId="27" xfId="0" applyBorder="1" applyAlignment="1">
      <alignment vertical="center" wrapText="1"/>
    </xf>
    <xf numFmtId="0" fontId="0" fillId="0" borderId="30" xfId="0" applyBorder="1" applyAlignment="1">
      <alignment vertical="center" wrapText="1"/>
    </xf>
    <xf numFmtId="0" fontId="0" fillId="0" borderId="31" xfId="0" applyBorder="1" applyAlignment="1">
      <alignment vertical="center" wrapText="1"/>
    </xf>
    <xf numFmtId="0" fontId="0" fillId="0" borderId="1" xfId="0" quotePrefix="1" applyBorder="1"/>
    <xf numFmtId="0" fontId="0" fillId="0" borderId="19" xfId="0" applyBorder="1"/>
    <xf numFmtId="165" fontId="0" fillId="0" borderId="20" xfId="7" quotePrefix="1" applyNumberFormat="1" applyFont="1" applyBorder="1"/>
    <xf numFmtId="1" fontId="3" fillId="11" borderId="21" xfId="0" applyNumberFormat="1" applyFont="1" applyFill="1" applyBorder="1"/>
    <xf numFmtId="0" fontId="0" fillId="0" borderId="1" xfId="0" pivotButton="1" applyBorder="1" applyAlignment="1">
      <alignment wrapText="1"/>
    </xf>
    <xf numFmtId="0" fontId="0" fillId="0" borderId="1" xfId="0" applyBorder="1" applyAlignment="1">
      <alignment wrapText="1"/>
    </xf>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8" xfId="0" applyNumberFormat="1" applyBorder="1"/>
    <xf numFmtId="0" fontId="0" fillId="0" borderId="17" xfId="0" applyBorder="1" applyAlignment="1">
      <alignment wrapText="1"/>
    </xf>
    <xf numFmtId="0" fontId="0" fillId="0" borderId="9" xfId="0" applyBorder="1" applyAlignment="1">
      <alignment wrapText="1"/>
    </xf>
    <xf numFmtId="0" fontId="0" fillId="0" borderId="9" xfId="0" applyBorder="1" applyAlignment="1">
      <alignment horizontal="center" vertical="center" wrapText="1"/>
    </xf>
    <xf numFmtId="0" fontId="0" fillId="0" borderId="23" xfId="0" applyBorder="1" applyAlignment="1">
      <alignment wrapText="1"/>
    </xf>
    <xf numFmtId="0" fontId="11" fillId="10" borderId="15" xfId="0" applyFont="1" applyFill="1" applyBorder="1"/>
    <xf numFmtId="0" fontId="9" fillId="10" borderId="0" xfId="0" applyFont="1" applyFill="1" applyBorder="1"/>
    <xf numFmtId="0" fontId="11" fillId="10" borderId="0" xfId="0" applyFont="1" applyFill="1" applyBorder="1"/>
    <xf numFmtId="0" fontId="50" fillId="10" borderId="0" xfId="0" applyFont="1" applyFill="1" applyBorder="1" applyAlignment="1"/>
    <xf numFmtId="0" fontId="11" fillId="10" borderId="16" xfId="0" applyFont="1" applyFill="1" applyBorder="1"/>
    <xf numFmtId="0" fontId="20" fillId="10" borderId="0" xfId="0" applyFont="1" applyFill="1" applyBorder="1" applyAlignment="1"/>
    <xf numFmtId="0" fontId="35" fillId="23" borderId="1" xfId="0" applyFont="1" applyFill="1" applyBorder="1" applyAlignment="1">
      <alignment horizontal="center" vertical="top" wrapText="1"/>
    </xf>
    <xf numFmtId="9" fontId="35" fillId="23" borderId="1" xfId="8" applyFont="1" applyFill="1" applyBorder="1" applyAlignment="1">
      <alignment horizontal="right" vertical="center" wrapText="1"/>
    </xf>
    <xf numFmtId="165" fontId="0" fillId="0" borderId="2" xfId="0" applyNumberFormat="1" applyBorder="1"/>
    <xf numFmtId="165" fontId="0" fillId="0" borderId="18" xfId="0" applyNumberFormat="1" applyBorder="1"/>
    <xf numFmtId="1" fontId="29" fillId="0" borderId="25" xfId="0" applyNumberFormat="1" applyFont="1" applyFill="1" applyBorder="1" applyAlignment="1">
      <alignment horizontal="center" vertical="center"/>
    </xf>
    <xf numFmtId="0" fontId="29" fillId="0" borderId="5" xfId="0" applyFont="1" applyFill="1" applyBorder="1" applyAlignment="1">
      <alignment horizontal="center" vertical="center"/>
    </xf>
    <xf numFmtId="0" fontId="29" fillId="0" borderId="5" xfId="0" applyNumberFormat="1" applyFont="1" applyFill="1" applyBorder="1" applyAlignment="1">
      <alignment horizontal="center" vertical="center"/>
    </xf>
    <xf numFmtId="9" fontId="29" fillId="0" borderId="5" xfId="0" applyNumberFormat="1" applyFont="1" applyFill="1" applyBorder="1" applyAlignment="1">
      <alignment horizontal="center" vertical="center"/>
    </xf>
    <xf numFmtId="0" fontId="0" fillId="0" borderId="0" xfId="0"/>
    <xf numFmtId="0" fontId="0" fillId="0" borderId="0" xfId="0" applyBorder="1"/>
    <xf numFmtId="0" fontId="0" fillId="0" borderId="0" xfId="0" applyNumberFormat="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0" borderId="0" xfId="0" applyFill="1" applyBorder="1"/>
    <xf numFmtId="0" fontId="0" fillId="0" borderId="0" xfId="0" pivotButton="1"/>
    <xf numFmtId="0" fontId="0" fillId="0" borderId="0" xfId="0" applyNumberFormat="1" applyBorder="1"/>
    <xf numFmtId="0" fontId="0" fillId="10" borderId="0" xfId="0" applyFill="1" applyAlignment="1">
      <alignment horizontal="left" indent="1"/>
    </xf>
    <xf numFmtId="0" fontId="0" fillId="40" borderId="0" xfId="0" applyFill="1" applyBorder="1"/>
    <xf numFmtId="49" fontId="11" fillId="0" borderId="1" xfId="0" applyNumberFormat="1" applyFont="1" applyFill="1" applyBorder="1" applyAlignment="1">
      <alignment horizontal="left" vertical="center"/>
    </xf>
    <xf numFmtId="0" fontId="0" fillId="40" borderId="42" xfId="0" applyFill="1" applyBorder="1"/>
    <xf numFmtId="0" fontId="0" fillId="40" borderId="25" xfId="0" applyFill="1" applyBorder="1"/>
    <xf numFmtId="0" fontId="0" fillId="40" borderId="39" xfId="0" applyFill="1" applyBorder="1"/>
    <xf numFmtId="165" fontId="0" fillId="0" borderId="0" xfId="0" applyNumberFormat="1" applyBorder="1"/>
    <xf numFmtId="3" fontId="0" fillId="0" borderId="0" xfId="0" applyNumberFormat="1" applyBorder="1"/>
    <xf numFmtId="0" fontId="0" fillId="0" borderId="29" xfId="0" pivotButton="1" applyBorder="1"/>
    <xf numFmtId="0" fontId="0" fillId="0" borderId="31" xfId="0" applyBorder="1"/>
    <xf numFmtId="0" fontId="0" fillId="0" borderId="12" xfId="0" pivotButton="1" applyBorder="1"/>
    <xf numFmtId="0" fontId="0" fillId="0" borderId="13" xfId="0" applyBorder="1" applyAlignment="1">
      <alignment horizontal="right" vertical="top" wrapText="1"/>
    </xf>
    <xf numFmtId="0" fontId="0" fillId="0" borderId="14" xfId="0" applyBorder="1" applyAlignment="1">
      <alignment horizontal="right" vertical="top" wrapText="1"/>
    </xf>
    <xf numFmtId="0" fontId="0" fillId="0" borderId="15" xfId="0" applyBorder="1" applyAlignment="1">
      <alignment horizontal="left"/>
    </xf>
    <xf numFmtId="165" fontId="0" fillId="0" borderId="16" xfId="0" applyNumberFormat="1" applyBorder="1"/>
    <xf numFmtId="0" fontId="0" fillId="0" borderId="46" xfId="0" applyBorder="1" applyAlignment="1">
      <alignment horizontal="left"/>
    </xf>
    <xf numFmtId="165" fontId="0" fillId="0" borderId="47" xfId="0" applyNumberFormat="1" applyBorder="1"/>
    <xf numFmtId="3" fontId="0" fillId="0" borderId="47" xfId="0" applyNumberFormat="1" applyBorder="1"/>
    <xf numFmtId="0" fontId="0" fillId="0" borderId="47" xfId="0" applyNumberFormat="1" applyBorder="1"/>
    <xf numFmtId="165" fontId="0" fillId="0" borderId="48" xfId="0" applyNumberFormat="1" applyBorder="1"/>
    <xf numFmtId="0" fontId="0" fillId="0" borderId="39" xfId="0" applyBorder="1"/>
    <xf numFmtId="0" fontId="0" fillId="0" borderId="42" xfId="0" applyBorder="1"/>
    <xf numFmtId="0" fontId="0" fillId="0" borderId="25" xfId="0" applyBorder="1"/>
    <xf numFmtId="0" fontId="0" fillId="10" borderId="25" xfId="0" applyFill="1" applyBorder="1"/>
    <xf numFmtId="0" fontId="0" fillId="10" borderId="18" xfId="0" applyFill="1" applyBorder="1"/>
    <xf numFmtId="0" fontId="0" fillId="11" borderId="42" xfId="0" applyFill="1" applyBorder="1"/>
    <xf numFmtId="165" fontId="0" fillId="10" borderId="4" xfId="0" applyNumberFormat="1" applyFill="1" applyBorder="1" applyAlignment="1">
      <alignment horizontal="left"/>
    </xf>
    <xf numFmtId="165" fontId="0" fillId="10" borderId="0" xfId="0" applyNumberFormat="1" applyFill="1" applyBorder="1"/>
    <xf numFmtId="165" fontId="0" fillId="10" borderId="39" xfId="0" applyNumberFormat="1" applyFill="1" applyBorder="1"/>
    <xf numFmtId="0" fontId="0" fillId="10" borderId="4" xfId="0" applyFill="1" applyBorder="1" applyAlignment="1">
      <alignment horizontal="left" indent="1"/>
    </xf>
    <xf numFmtId="165" fontId="0" fillId="11" borderId="23" xfId="0" applyNumberFormat="1" applyFill="1" applyBorder="1" applyAlignment="1">
      <alignment horizontal="left"/>
    </xf>
    <xf numFmtId="165" fontId="0" fillId="11" borderId="43" xfId="0" applyNumberFormat="1" applyFill="1" applyBorder="1"/>
    <xf numFmtId="0" fontId="0" fillId="0" borderId="2" xfId="0" pivotButton="1" applyBorder="1"/>
    <xf numFmtId="0" fontId="0" fillId="0" borderId="3" xfId="0" applyBorder="1"/>
    <xf numFmtId="0" fontId="0" fillId="40" borderId="18" xfId="0" applyFill="1" applyBorder="1"/>
    <xf numFmtId="0" fontId="0" fillId="40" borderId="4" xfId="0" applyFill="1" applyBorder="1"/>
    <xf numFmtId="0" fontId="0" fillId="40" borderId="4" xfId="0" applyFill="1" applyBorder="1" applyAlignment="1">
      <alignment horizontal="left"/>
    </xf>
    <xf numFmtId="0" fontId="0" fillId="40" borderId="23" xfId="0" applyFill="1" applyBorder="1" applyAlignment="1">
      <alignment horizontal="left"/>
    </xf>
    <xf numFmtId="3" fontId="0" fillId="40" borderId="43" xfId="0" applyNumberFormat="1" applyFill="1" applyBorder="1"/>
    <xf numFmtId="3" fontId="0" fillId="40" borderId="17" xfId="0" applyNumberFormat="1" applyFill="1" applyBorder="1"/>
    <xf numFmtId="0" fontId="0" fillId="40" borderId="3" xfId="0" applyFill="1" applyBorder="1"/>
    <xf numFmtId="165" fontId="0" fillId="40" borderId="0" xfId="0" applyNumberFormat="1" applyFill="1" applyBorder="1"/>
    <xf numFmtId="165" fontId="0" fillId="43" borderId="4" xfId="0" applyNumberFormat="1" applyFill="1" applyBorder="1" applyAlignment="1">
      <alignment horizontal="left"/>
    </xf>
    <xf numFmtId="165" fontId="0" fillId="43" borderId="0" xfId="0" applyNumberFormat="1" applyFill="1" applyBorder="1"/>
    <xf numFmtId="165" fontId="0" fillId="43" borderId="39" xfId="0" applyNumberFormat="1" applyFill="1" applyBorder="1"/>
    <xf numFmtId="0" fontId="0" fillId="43" borderId="4" xfId="0" applyFill="1" applyBorder="1" applyAlignment="1">
      <alignment horizontal="left"/>
    </xf>
    <xf numFmtId="3" fontId="0" fillId="43" borderId="0" xfId="0" applyNumberFormat="1" applyFill="1" applyBorder="1"/>
    <xf numFmtId="3" fontId="0" fillId="43" borderId="39" xfId="0" applyNumberFormat="1" applyFill="1" applyBorder="1"/>
    <xf numFmtId="0" fontId="0" fillId="40" borderId="2" xfId="0" applyFill="1" applyBorder="1"/>
    <xf numFmtId="10" fontId="0" fillId="40" borderId="39" xfId="0" applyNumberFormat="1" applyFill="1" applyBorder="1"/>
    <xf numFmtId="10" fontId="0" fillId="10" borderId="39" xfId="0" applyNumberFormat="1" applyFill="1" applyBorder="1"/>
    <xf numFmtId="0" fontId="0" fillId="10" borderId="4" xfId="0" applyFill="1" applyBorder="1" applyAlignment="1">
      <alignment horizontal="left" indent="2"/>
    </xf>
    <xf numFmtId="9" fontId="0" fillId="10" borderId="39" xfId="0" applyNumberFormat="1" applyFill="1" applyBorder="1"/>
    <xf numFmtId="0" fontId="0" fillId="10" borderId="4" xfId="0" applyFill="1" applyBorder="1" applyAlignment="1">
      <alignment horizontal="left"/>
    </xf>
    <xf numFmtId="9" fontId="0" fillId="11" borderId="17" xfId="0" applyNumberFormat="1" applyFill="1" applyBorder="1"/>
    <xf numFmtId="0" fontId="0" fillId="0" borderId="18" xfId="0" pivotButton="1" applyBorder="1"/>
    <xf numFmtId="0" fontId="0" fillId="0" borderId="42" xfId="0" pivotButton="1" applyBorder="1"/>
    <xf numFmtId="0" fontId="0" fillId="0" borderId="4" xfId="0" pivotButton="1" applyBorder="1"/>
    <xf numFmtId="0" fontId="0" fillId="0" borderId="4" xfId="0" applyBorder="1" applyAlignment="1">
      <alignment horizontal="left"/>
    </xf>
    <xf numFmtId="165" fontId="0" fillId="0" borderId="39" xfId="0" applyNumberFormat="1" applyBorder="1"/>
    <xf numFmtId="0" fontId="0" fillId="0" borderId="23" xfId="0" applyBorder="1" applyAlignment="1">
      <alignment horizontal="left"/>
    </xf>
    <xf numFmtId="165" fontId="0" fillId="0" borderId="43" xfId="0" applyNumberFormat="1" applyBorder="1"/>
    <xf numFmtId="165" fontId="0" fillId="0" borderId="17" xfId="0" applyNumberFormat="1" applyBorder="1"/>
    <xf numFmtId="0" fontId="0" fillId="0" borderId="18" xfId="0" pivotButton="1" applyBorder="1" applyAlignment="1">
      <alignment horizontal="center" vertical="center" wrapText="1"/>
    </xf>
    <xf numFmtId="0" fontId="0" fillId="0" borderId="42" xfId="0" pivotButton="1" applyBorder="1" applyAlignment="1">
      <alignment horizontal="center" vertical="center" wrapText="1"/>
    </xf>
    <xf numFmtId="0" fontId="0" fillId="0" borderId="42" xfId="0" pivotButton="1" applyBorder="1" applyAlignment="1">
      <alignment vertical="center"/>
    </xf>
    <xf numFmtId="165" fontId="0" fillId="0" borderId="42" xfId="0" applyNumberFormat="1" applyBorder="1" applyAlignment="1">
      <alignment horizontal="center" vertical="center" wrapText="1"/>
    </xf>
    <xf numFmtId="165" fontId="0" fillId="0" borderId="1" xfId="0" applyNumberFormat="1" applyBorder="1"/>
    <xf numFmtId="0" fontId="0" fillId="0" borderId="5" xfId="0" applyBorder="1"/>
    <xf numFmtId="170" fontId="0" fillId="0" borderId="0" xfId="0" applyNumberFormat="1" applyBorder="1"/>
    <xf numFmtId="170" fontId="0" fillId="0" borderId="43" xfId="0" applyNumberFormat="1" applyBorder="1"/>
    <xf numFmtId="170" fontId="0" fillId="0" borderId="42" xfId="0" applyNumberFormat="1" applyBorder="1"/>
    <xf numFmtId="165" fontId="0" fillId="0" borderId="5" xfId="0" applyNumberFormat="1" applyBorder="1"/>
    <xf numFmtId="165" fontId="0" fillId="0" borderId="11" xfId="0" applyNumberFormat="1" applyBorder="1"/>
    <xf numFmtId="165" fontId="0" fillId="0" borderId="9" xfId="0" applyNumberFormat="1" applyBorder="1"/>
    <xf numFmtId="170" fontId="0" fillId="0" borderId="5" xfId="0" applyNumberFormat="1" applyBorder="1"/>
    <xf numFmtId="170" fontId="0" fillId="0" borderId="11" xfId="0" applyNumberFormat="1" applyBorder="1"/>
    <xf numFmtId="170" fontId="0" fillId="0" borderId="9" xfId="0" applyNumberFormat="1" applyBorder="1"/>
    <xf numFmtId="0" fontId="0" fillId="40" borderId="1" xfId="0" applyFill="1" applyBorder="1"/>
    <xf numFmtId="165" fontId="0" fillId="40" borderId="1" xfId="0" applyNumberFormat="1" applyFill="1" applyBorder="1"/>
    <xf numFmtId="170" fontId="0" fillId="0" borderId="8" xfId="0" applyNumberFormat="1" applyBorder="1"/>
    <xf numFmtId="0" fontId="0" fillId="0" borderId="2" xfId="0" applyBorder="1" applyAlignment="1">
      <alignment horizontal="left"/>
    </xf>
    <xf numFmtId="170" fontId="0" fillId="0" borderId="1" xfId="0" applyNumberFormat="1" applyBorder="1"/>
    <xf numFmtId="0" fontId="5" fillId="0" borderId="0" xfId="0" applyFont="1" applyAlignment="1"/>
    <xf numFmtId="0" fontId="0" fillId="40" borderId="1" xfId="0" applyFill="1" applyBorder="1" applyAlignment="1">
      <alignment horizontal="left" vertical="top"/>
    </xf>
    <xf numFmtId="9" fontId="0" fillId="0" borderId="5" xfId="0" applyNumberFormat="1" applyBorder="1"/>
    <xf numFmtId="9" fontId="0" fillId="0" borderId="11" xfId="0" applyNumberFormat="1" applyBorder="1"/>
    <xf numFmtId="9" fontId="0" fillId="0" borderId="9" xfId="0" applyNumberFormat="1" applyBorder="1"/>
    <xf numFmtId="49" fontId="29" fillId="0" borderId="5" xfId="0" applyNumberFormat="1" applyFont="1" applyFill="1" applyBorder="1" applyAlignment="1">
      <alignment horizontal="center" vertical="center"/>
    </xf>
    <xf numFmtId="0" fontId="0" fillId="0" borderId="42" xfId="0" pivotButton="1" applyBorder="1" applyAlignment="1">
      <alignment vertical="center" wrapText="1"/>
    </xf>
    <xf numFmtId="165" fontId="0" fillId="0" borderId="3" xfId="0" applyNumberFormat="1" applyBorder="1"/>
    <xf numFmtId="9" fontId="0" fillId="0" borderId="1" xfId="0" applyNumberFormat="1" applyBorder="1"/>
    <xf numFmtId="0" fontId="0" fillId="0" borderId="15" xfId="0" applyFill="1" applyBorder="1"/>
    <xf numFmtId="0" fontId="0" fillId="0" borderId="16" xfId="0" applyFill="1" applyBorder="1"/>
    <xf numFmtId="15" fontId="0" fillId="0" borderId="0" xfId="0" applyNumberFormat="1" applyFill="1" applyAlignment="1">
      <alignment horizontal="left" vertical="center"/>
    </xf>
    <xf numFmtId="0" fontId="0" fillId="11" borderId="0" xfId="0" applyNumberFormat="1" applyFill="1"/>
    <xf numFmtId="0" fontId="0" fillId="11" borderId="0" xfId="0" applyFill="1" applyAlignment="1">
      <alignment horizontal="left"/>
    </xf>
    <xf numFmtId="165" fontId="0" fillId="40" borderId="17" xfId="0" applyNumberFormat="1" applyFill="1" applyBorder="1"/>
    <xf numFmtId="165" fontId="0" fillId="40" borderId="23" xfId="0" applyNumberFormat="1" applyFill="1" applyBorder="1" applyAlignment="1">
      <alignment horizontal="left"/>
    </xf>
    <xf numFmtId="165" fontId="0" fillId="40" borderId="43" xfId="0" applyNumberFormat="1" applyFill="1" applyBorder="1"/>
    <xf numFmtId="0" fontId="11" fillId="0" borderId="0" xfId="0" applyFont="1" applyBorder="1"/>
    <xf numFmtId="0" fontId="11" fillId="0" borderId="0" xfId="0" applyFont="1" applyFill="1" applyBorder="1"/>
    <xf numFmtId="0" fontId="11" fillId="0" borderId="0" xfId="0" applyFont="1" applyFill="1"/>
    <xf numFmtId="0" fontId="11" fillId="0" borderId="0" xfId="0" applyFont="1" applyAlignment="1"/>
    <xf numFmtId="168" fontId="0" fillId="0" borderId="1" xfId="7" applyNumberFormat="1" applyFont="1" applyBorder="1"/>
    <xf numFmtId="0" fontId="0" fillId="10" borderId="3" xfId="0" applyFill="1" applyBorder="1"/>
    <xf numFmtId="0" fontId="0" fillId="10" borderId="2" xfId="0" applyFill="1" applyBorder="1"/>
    <xf numFmtId="0" fontId="0" fillId="40" borderId="42" xfId="0" applyFill="1" applyBorder="1" applyAlignment="1">
      <alignment vertical="center"/>
    </xf>
    <xf numFmtId="1" fontId="0" fillId="40" borderId="42" xfId="0" applyNumberFormat="1" applyFill="1" applyBorder="1" applyAlignment="1">
      <alignment vertical="center"/>
    </xf>
    <xf numFmtId="0" fontId="0" fillId="40" borderId="25" xfId="0" applyFill="1" applyBorder="1" applyAlignment="1">
      <alignment vertical="center"/>
    </xf>
    <xf numFmtId="0" fontId="0" fillId="0" borderId="0" xfId="0" applyBorder="1" applyAlignment="1">
      <alignment vertical="center"/>
    </xf>
    <xf numFmtId="0" fontId="5" fillId="0" borderId="0" xfId="0" applyFont="1" applyBorder="1" applyAlignment="1">
      <alignment vertical="center"/>
    </xf>
    <xf numFmtId="0" fontId="0" fillId="40" borderId="0" xfId="0" applyFill="1" applyBorder="1" applyAlignment="1">
      <alignment vertical="center"/>
    </xf>
    <xf numFmtId="1" fontId="0" fillId="40" borderId="0" xfId="0" applyNumberFormat="1" applyFill="1" applyBorder="1" applyAlignment="1">
      <alignment vertical="center"/>
    </xf>
    <xf numFmtId="0" fontId="0" fillId="40" borderId="39" xfId="0" applyFill="1" applyBorder="1" applyAlignment="1">
      <alignment vertical="center"/>
    </xf>
    <xf numFmtId="0" fontId="0" fillId="40" borderId="43" xfId="0" applyFill="1" applyBorder="1" applyAlignment="1">
      <alignment vertical="center"/>
    </xf>
    <xf numFmtId="1" fontId="0" fillId="40" borderId="43" xfId="0" applyNumberFormat="1" applyFill="1" applyBorder="1" applyAlignment="1">
      <alignment vertical="center"/>
    </xf>
    <xf numFmtId="0" fontId="0" fillId="40" borderId="17" xfId="0" applyFill="1" applyBorder="1" applyAlignment="1">
      <alignment vertical="center"/>
    </xf>
    <xf numFmtId="0" fontId="5" fillId="0" borderId="0" xfId="0" applyFont="1" applyFill="1" applyBorder="1" applyAlignment="1">
      <alignment vertical="center"/>
    </xf>
    <xf numFmtId="1" fontId="0" fillId="0" borderId="0" xfId="0" applyNumberFormat="1" applyFill="1" applyBorder="1" applyAlignment="1">
      <alignment vertical="center"/>
    </xf>
    <xf numFmtId="0" fontId="0" fillId="0" borderId="39" xfId="0" applyFill="1" applyBorder="1" applyAlignment="1">
      <alignment vertical="center"/>
    </xf>
    <xf numFmtId="0" fontId="0" fillId="0" borderId="0" xfId="0" applyAlignment="1">
      <alignment vertical="center" textRotation="90"/>
    </xf>
    <xf numFmtId="169" fontId="29" fillId="0" borderId="1" xfId="0" applyNumberFormat="1" applyFont="1" applyFill="1" applyBorder="1" applyAlignment="1">
      <alignment vertical="center"/>
    </xf>
    <xf numFmtId="49" fontId="29" fillId="0" borderId="1" xfId="0" applyNumberFormat="1" applyFont="1" applyFill="1" applyBorder="1" applyAlignment="1">
      <alignment vertical="center"/>
    </xf>
    <xf numFmtId="49" fontId="29" fillId="0" borderId="1" xfId="0" applyNumberFormat="1" applyFont="1" applyFill="1" applyBorder="1" applyAlignment="1">
      <alignment vertical="center" wrapText="1"/>
    </xf>
    <xf numFmtId="1" fontId="29" fillId="0" borderId="1" xfId="0" applyNumberFormat="1" applyFont="1" applyFill="1" applyBorder="1" applyAlignment="1">
      <alignment horizontal="right" vertical="center"/>
    </xf>
    <xf numFmtId="49" fontId="29" fillId="0" borderId="2" xfId="0" applyNumberFormat="1" applyFont="1" applyFill="1" applyBorder="1" applyAlignment="1">
      <alignment vertical="center"/>
    </xf>
    <xf numFmtId="0" fontId="0" fillId="0" borderId="0" xfId="0" applyFill="1" applyAlignment="1">
      <alignment vertical="center"/>
    </xf>
    <xf numFmtId="0" fontId="29" fillId="0" borderId="1" xfId="0" applyFont="1" applyFill="1" applyBorder="1" applyAlignment="1">
      <alignment vertical="center"/>
    </xf>
    <xf numFmtId="0" fontId="0" fillId="0" borderId="0" xfId="0" applyAlignment="1">
      <alignment vertical="center"/>
    </xf>
    <xf numFmtId="0" fontId="29" fillId="0" borderId="1" xfId="0" applyNumberFormat="1" applyFont="1" applyFill="1" applyBorder="1" applyAlignment="1">
      <alignment horizontal="right" vertical="center"/>
    </xf>
    <xf numFmtId="0" fontId="29" fillId="0" borderId="2" xfId="0" applyFont="1" applyFill="1" applyBorder="1" applyAlignment="1">
      <alignment vertical="center"/>
    </xf>
    <xf numFmtId="169" fontId="29" fillId="0" borderId="5" xfId="0" applyNumberFormat="1" applyFont="1" applyFill="1" applyBorder="1" applyAlignment="1">
      <alignment vertical="center"/>
    </xf>
    <xf numFmtId="49" fontId="29" fillId="0" borderId="5" xfId="0" applyNumberFormat="1" applyFont="1" applyFill="1" applyBorder="1" applyAlignment="1">
      <alignment vertical="center"/>
    </xf>
    <xf numFmtId="0" fontId="29" fillId="0" borderId="5" xfId="0" applyFont="1" applyFill="1" applyBorder="1" applyAlignment="1">
      <alignment vertical="center"/>
    </xf>
    <xf numFmtId="1" fontId="29" fillId="0" borderId="5" xfId="0" applyNumberFormat="1" applyFont="1" applyFill="1" applyBorder="1" applyAlignment="1">
      <alignment horizontal="right" vertical="center"/>
    </xf>
    <xf numFmtId="0" fontId="11" fillId="0" borderId="0" xfId="0" applyFont="1" applyFill="1" applyAlignment="1">
      <alignment vertical="center"/>
    </xf>
    <xf numFmtId="1" fontId="0" fillId="0" borderId="0" xfId="0" applyNumberFormat="1" applyAlignment="1">
      <alignment vertical="center"/>
    </xf>
    <xf numFmtId="0" fontId="0" fillId="0" borderId="27" xfId="0" applyBorder="1" applyAlignment="1">
      <alignment textRotation="90"/>
    </xf>
    <xf numFmtId="0" fontId="0" fillId="2" borderId="0" xfId="0" applyFill="1" applyAlignment="1">
      <alignment vertical="center"/>
    </xf>
    <xf numFmtId="0" fontId="11" fillId="0" borderId="0" xfId="0" applyFont="1" applyFill="1" applyBorder="1" applyAlignment="1">
      <alignment vertical="center"/>
    </xf>
    <xf numFmtId="0" fontId="29" fillId="0" borderId="5" xfId="0" applyNumberFormat="1" applyFont="1" applyFill="1" applyBorder="1" applyAlignment="1">
      <alignment horizontal="right" vertical="center"/>
    </xf>
    <xf numFmtId="0" fontId="29" fillId="0" borderId="18" xfId="0" applyFont="1" applyFill="1" applyBorder="1" applyAlignment="1">
      <alignment vertical="center"/>
    </xf>
    <xf numFmtId="49" fontId="29" fillId="0" borderId="2" xfId="0" applyNumberFormat="1" applyFont="1" applyFill="1" applyBorder="1" applyAlignment="1">
      <alignment vertical="center" wrapText="1"/>
    </xf>
    <xf numFmtId="0" fontId="0" fillId="0" borderId="2" xfId="0" applyFill="1" applyBorder="1"/>
    <xf numFmtId="0" fontId="11" fillId="0" borderId="0" xfId="0" applyFont="1" applyFill="1" applyAlignment="1"/>
    <xf numFmtId="49" fontId="5" fillId="0" borderId="1" xfId="0" applyNumberFormat="1" applyFont="1" applyFill="1" applyBorder="1"/>
    <xf numFmtId="168" fontId="29" fillId="0" borderId="2" xfId="1" applyNumberFormat="1" applyFont="1" applyFill="1" applyBorder="1" applyAlignment="1">
      <alignment vertical="center" wrapText="1"/>
    </xf>
    <xf numFmtId="0" fontId="60" fillId="0" borderId="1" xfId="0" applyFont="1" applyFill="1" applyBorder="1" applyAlignment="1"/>
    <xf numFmtId="0" fontId="60" fillId="0" borderId="1" xfId="0" applyFont="1" applyFill="1" applyBorder="1" applyAlignment="1">
      <alignment wrapText="1"/>
    </xf>
    <xf numFmtId="0" fontId="60" fillId="0" borderId="1" xfId="14" applyFont="1" applyFill="1" applyBorder="1" applyAlignment="1"/>
    <xf numFmtId="0" fontId="60" fillId="0" borderId="1" xfId="0" applyNumberFormat="1" applyFont="1" applyFill="1" applyBorder="1" applyAlignment="1">
      <alignment wrapText="1"/>
    </xf>
    <xf numFmtId="0" fontId="60" fillId="0" borderId="1" xfId="0" applyNumberFormat="1" applyFont="1" applyFill="1" applyBorder="1" applyAlignment="1"/>
    <xf numFmtId="0" fontId="61" fillId="0" borderId="1" xfId="0" applyNumberFormat="1" applyFont="1" applyFill="1" applyBorder="1" applyAlignment="1"/>
    <xf numFmtId="9" fontId="60" fillId="0" borderId="1" xfId="0" applyNumberFormat="1" applyFont="1" applyFill="1" applyBorder="1" applyAlignment="1">
      <alignment wrapText="1"/>
    </xf>
    <xf numFmtId="49" fontId="60" fillId="0" borderId="1" xfId="0" applyNumberFormat="1" applyFont="1" applyFill="1" applyBorder="1" applyAlignment="1">
      <alignment horizontal="left" vertical="center"/>
    </xf>
    <xf numFmtId="1" fontId="29" fillId="0" borderId="3" xfId="0" quotePrefix="1" applyNumberFormat="1" applyFont="1" applyFill="1" applyBorder="1" applyAlignment="1">
      <alignment horizontal="center" vertical="center"/>
    </xf>
    <xf numFmtId="0" fontId="29" fillId="0" borderId="1" xfId="0" quotePrefix="1" applyFont="1" applyFill="1" applyBorder="1" applyAlignment="1">
      <alignment horizontal="center" vertical="center" wrapText="1"/>
    </xf>
    <xf numFmtId="0" fontId="29" fillId="0" borderId="1" xfId="0" quotePrefix="1" applyFont="1" applyFill="1" applyBorder="1" applyAlignment="1">
      <alignment horizontal="center" vertical="center"/>
    </xf>
    <xf numFmtId="0" fontId="29" fillId="0" borderId="1" xfId="0" quotePrefix="1" applyNumberFormat="1" applyFont="1" applyFill="1" applyBorder="1" applyAlignment="1">
      <alignment horizontal="center" vertical="center"/>
    </xf>
    <xf numFmtId="49" fontId="29" fillId="0" borderId="5" xfId="0" quotePrefix="1" applyNumberFormat="1" applyFont="1" applyFill="1" applyBorder="1" applyAlignment="1">
      <alignment horizontal="center" vertical="center"/>
    </xf>
    <xf numFmtId="0" fontId="29" fillId="0" borderId="5" xfId="0" quotePrefix="1" applyNumberFormat="1" applyFont="1" applyFill="1" applyBorder="1" applyAlignment="1">
      <alignment horizontal="center" vertical="center"/>
    </xf>
    <xf numFmtId="0" fontId="29" fillId="0" borderId="1" xfId="0" quotePrefix="1" applyNumberFormat="1" applyFont="1" applyFill="1" applyBorder="1" applyAlignment="1">
      <alignment horizontal="right" vertical="center"/>
    </xf>
    <xf numFmtId="1" fontId="29" fillId="0" borderId="1" xfId="0" quotePrefix="1" applyNumberFormat="1" applyFont="1" applyFill="1" applyBorder="1" applyAlignment="1">
      <alignment horizontal="right" vertical="center"/>
    </xf>
    <xf numFmtId="9" fontId="29" fillId="0" borderId="1" xfId="0" quotePrefix="1" applyNumberFormat="1" applyFont="1" applyFill="1" applyBorder="1" applyAlignment="1">
      <alignment horizontal="center" vertical="center"/>
    </xf>
    <xf numFmtId="0" fontId="29" fillId="0" borderId="2" xfId="0" quotePrefix="1" applyFont="1" applyFill="1" applyBorder="1" applyAlignment="1">
      <alignment horizontal="center" vertical="center" wrapText="1"/>
    </xf>
    <xf numFmtId="0" fontId="0" fillId="0" borderId="0" xfId="0" applyFill="1" applyAlignment="1">
      <alignment vertical="center" textRotation="90"/>
    </xf>
    <xf numFmtId="0" fontId="29" fillId="0" borderId="2" xfId="0" applyFont="1" applyFill="1" applyBorder="1" applyAlignment="1">
      <alignment vertical="center" wrapText="1"/>
    </xf>
    <xf numFmtId="0" fontId="29" fillId="0" borderId="2" xfId="0" quotePrefix="1" applyFont="1" applyFill="1" applyBorder="1" applyAlignment="1">
      <alignment horizontal="left" vertical="center" wrapText="1"/>
    </xf>
    <xf numFmtId="0" fontId="0" fillId="0" borderId="3" xfId="0" applyFill="1" applyBorder="1"/>
    <xf numFmtId="0" fontId="0" fillId="0" borderId="18" xfId="0" applyFill="1" applyBorder="1"/>
    <xf numFmtId="0" fontId="0" fillId="0" borderId="5" xfId="0" applyFill="1" applyBorder="1"/>
    <xf numFmtId="0" fontId="0" fillId="0" borderId="42" xfId="0" applyFill="1" applyBorder="1"/>
    <xf numFmtId="0" fontId="0" fillId="0" borderId="2" xfId="0" applyFill="1" applyBorder="1" applyAlignment="1">
      <alignment horizontal="left"/>
    </xf>
    <xf numFmtId="165" fontId="0" fillId="0" borderId="1" xfId="0" applyNumberFormat="1" applyFill="1" applyBorder="1"/>
    <xf numFmtId="165" fontId="0" fillId="0" borderId="8" xfId="0" applyNumberFormat="1" applyFill="1" applyBorder="1"/>
    <xf numFmtId="0" fontId="0" fillId="0" borderId="2" xfId="0" applyFill="1" applyBorder="1" applyAlignment="1">
      <alignment horizontal="left" indent="1"/>
    </xf>
    <xf numFmtId="0" fontId="0" fillId="0" borderId="18" xfId="0" applyFill="1" applyBorder="1" applyAlignment="1">
      <alignment horizontal="left" indent="2"/>
    </xf>
    <xf numFmtId="165" fontId="0" fillId="0" borderId="5" xfId="0" applyNumberFormat="1" applyFill="1" applyBorder="1"/>
    <xf numFmtId="165" fontId="0" fillId="0" borderId="42" xfId="0" applyNumberFormat="1" applyFill="1" applyBorder="1"/>
    <xf numFmtId="0" fontId="0" fillId="0" borderId="4" xfId="0" applyFill="1" applyBorder="1" applyAlignment="1">
      <alignment horizontal="left" indent="2"/>
    </xf>
    <xf numFmtId="165" fontId="0" fillId="0" borderId="11" xfId="0" applyNumberFormat="1" applyFill="1" applyBorder="1"/>
    <xf numFmtId="165" fontId="0" fillId="0" borderId="0" xfId="0" applyNumberFormat="1" applyFill="1" applyBorder="1"/>
    <xf numFmtId="0" fontId="0" fillId="0" borderId="23" xfId="0" applyFill="1" applyBorder="1" applyAlignment="1">
      <alignment horizontal="left" indent="2"/>
    </xf>
    <xf numFmtId="165" fontId="0" fillId="0" borderId="9" xfId="0" applyNumberFormat="1" applyFill="1" applyBorder="1"/>
    <xf numFmtId="165" fontId="0" fillId="0" borderId="43" xfId="0" applyNumberFormat="1" applyFill="1" applyBorder="1"/>
    <xf numFmtId="0" fontId="0" fillId="0" borderId="23" xfId="0" applyFill="1" applyBorder="1" applyAlignment="1">
      <alignment horizontal="left"/>
    </xf>
    <xf numFmtId="0" fontId="0" fillId="35" borderId="4" xfId="0" applyFill="1" applyBorder="1" applyAlignment="1">
      <alignment horizontal="left" indent="2"/>
    </xf>
    <xf numFmtId="0" fontId="0" fillId="0" borderId="4" xfId="0" applyBorder="1" applyAlignment="1">
      <alignment horizontal="left" indent="2"/>
    </xf>
    <xf numFmtId="0" fontId="0" fillId="0" borderId="23" xfId="0" applyBorder="1" applyAlignment="1">
      <alignment horizontal="left" indent="2"/>
    </xf>
    <xf numFmtId="0" fontId="0" fillId="0" borderId="23" xfId="0" applyBorder="1" applyAlignment="1">
      <alignment horizontal="left" indent="1"/>
    </xf>
    <xf numFmtId="0" fontId="0" fillId="35" borderId="23" xfId="0" applyFill="1" applyBorder="1" applyAlignment="1">
      <alignment horizontal="left" indent="2"/>
    </xf>
    <xf numFmtId="0" fontId="2" fillId="0" borderId="0" xfId="0" applyFont="1" applyBorder="1"/>
    <xf numFmtId="0" fontId="2" fillId="0" borderId="0" xfId="0" applyFont="1" applyFill="1" applyBorder="1"/>
    <xf numFmtId="0" fontId="2" fillId="0" borderId="0" xfId="0" applyFont="1"/>
    <xf numFmtId="0" fontId="2" fillId="0" borderId="0" xfId="0" applyFont="1" applyAlignment="1"/>
    <xf numFmtId="0" fontId="2" fillId="0" borderId="0" xfId="0" applyFont="1" applyAlignment="1">
      <alignment horizontal="left"/>
    </xf>
    <xf numFmtId="0" fontId="2" fillId="0" borderId="0" xfId="0" applyFont="1" applyAlignment="1">
      <alignment horizontal="right"/>
    </xf>
    <xf numFmtId="0" fontId="15" fillId="40" borderId="42" xfId="6" applyFont="1" applyFill="1" applyBorder="1" applyAlignment="1">
      <alignment vertical="center"/>
    </xf>
    <xf numFmtId="0" fontId="15" fillId="40" borderId="42" xfId="6" applyFont="1" applyFill="1" applyBorder="1" applyAlignment="1">
      <alignment horizontal="left" vertical="center"/>
    </xf>
    <xf numFmtId="0" fontId="15" fillId="40" borderId="42" xfId="6" applyFont="1" applyFill="1" applyBorder="1" applyAlignment="1">
      <alignment horizontal="right"/>
    </xf>
    <xf numFmtId="0" fontId="15" fillId="40" borderId="0" xfId="6" applyFont="1" applyFill="1" applyBorder="1" applyAlignment="1">
      <alignment vertical="center"/>
    </xf>
    <xf numFmtId="0" fontId="15" fillId="40" borderId="0" xfId="6" applyFont="1" applyFill="1" applyBorder="1" applyAlignment="1">
      <alignment horizontal="left" vertical="center"/>
    </xf>
    <xf numFmtId="0" fontId="15" fillId="40" borderId="0" xfId="6" applyFont="1" applyFill="1" applyBorder="1" applyAlignment="1">
      <alignment horizontal="right"/>
    </xf>
    <xf numFmtId="0" fontId="15" fillId="40" borderId="18" xfId="6" applyFont="1" applyFill="1" applyBorder="1" applyAlignment="1">
      <alignment horizontal="left" vertical="center"/>
    </xf>
    <xf numFmtId="0" fontId="2" fillId="0" borderId="0" xfId="0" applyFont="1" applyBorder="1" applyAlignment="1">
      <alignment horizontal="left"/>
    </xf>
    <xf numFmtId="0" fontId="2" fillId="0" borderId="0" xfId="0" applyFont="1" applyFill="1" applyAlignment="1">
      <alignment horizontal="left"/>
    </xf>
    <xf numFmtId="0" fontId="15" fillId="40" borderId="42" xfId="6" applyFont="1" applyFill="1" applyBorder="1" applyAlignment="1">
      <alignment horizontal="right" vertical="center"/>
    </xf>
    <xf numFmtId="0" fontId="15" fillId="40" borderId="0" xfId="6" applyFont="1" applyFill="1" applyBorder="1" applyAlignment="1">
      <alignment horizontal="right" vertical="center"/>
    </xf>
    <xf numFmtId="2" fontId="15" fillId="40" borderId="0" xfId="6" applyNumberFormat="1" applyFont="1" applyFill="1" applyBorder="1" applyAlignment="1">
      <alignment horizontal="right" vertical="center"/>
    </xf>
    <xf numFmtId="2" fontId="2" fillId="0" borderId="0" xfId="0" applyNumberFormat="1" applyFont="1" applyAlignment="1">
      <alignment horizontal="right"/>
    </xf>
    <xf numFmtId="14" fontId="15" fillId="40" borderId="42" xfId="6" applyNumberFormat="1" applyFont="1" applyFill="1" applyBorder="1" applyAlignment="1">
      <alignment horizontal="right" vertical="center"/>
    </xf>
    <xf numFmtId="1" fontId="15" fillId="40" borderId="42" xfId="6" applyNumberFormat="1" applyFont="1" applyFill="1" applyBorder="1" applyAlignment="1">
      <alignment horizontal="right" vertical="center"/>
    </xf>
    <xf numFmtId="0" fontId="2" fillId="40" borderId="42" xfId="0" applyFont="1" applyFill="1" applyBorder="1" applyAlignment="1">
      <alignment horizontal="right"/>
    </xf>
    <xf numFmtId="14" fontId="15" fillId="40" borderId="0" xfId="6" applyNumberFormat="1" applyFont="1" applyFill="1" applyBorder="1" applyAlignment="1">
      <alignment horizontal="right" vertical="center"/>
    </xf>
    <xf numFmtId="1" fontId="15" fillId="40" borderId="0" xfId="6" applyNumberFormat="1" applyFont="1" applyFill="1" applyBorder="1" applyAlignment="1">
      <alignment horizontal="right" vertical="center"/>
    </xf>
    <xf numFmtId="0" fontId="2" fillId="40" borderId="0" xfId="0" applyFont="1" applyFill="1" applyBorder="1" applyAlignment="1">
      <alignment horizontal="right"/>
    </xf>
    <xf numFmtId="14" fontId="2" fillId="0" borderId="0" xfId="0" applyNumberFormat="1" applyFont="1" applyAlignment="1">
      <alignment horizontal="right"/>
    </xf>
    <xf numFmtId="1" fontId="2" fillId="0" borderId="0" xfId="0" applyNumberFormat="1" applyFont="1" applyAlignment="1">
      <alignment horizontal="right"/>
    </xf>
    <xf numFmtId="0" fontId="2" fillId="40" borderId="42" xfId="0" applyFont="1" applyFill="1" applyBorder="1" applyAlignment="1"/>
    <xf numFmtId="165" fontId="2" fillId="40" borderId="42" xfId="7" applyNumberFormat="1" applyFont="1" applyFill="1" applyBorder="1" applyAlignment="1"/>
    <xf numFmtId="0" fontId="2" fillId="40" borderId="0" xfId="0" applyFont="1" applyFill="1" applyBorder="1" applyAlignment="1"/>
    <xf numFmtId="165" fontId="2" fillId="40" borderId="0" xfId="7" applyNumberFormat="1" applyFont="1" applyFill="1" applyBorder="1" applyAlignment="1"/>
    <xf numFmtId="165" fontId="2" fillId="0" borderId="0" xfId="7" applyNumberFormat="1" applyFont="1" applyAlignment="1"/>
    <xf numFmtId="0" fontId="2" fillId="40" borderId="25" xfId="0" applyFont="1" applyFill="1" applyBorder="1" applyAlignment="1">
      <alignment horizontal="right"/>
    </xf>
    <xf numFmtId="0" fontId="2" fillId="40" borderId="39" xfId="0" applyFont="1" applyFill="1" applyBorder="1" applyAlignment="1">
      <alignment horizontal="right"/>
    </xf>
    <xf numFmtId="9" fontId="48" fillId="5" borderId="0" xfId="8" applyFont="1" applyFill="1" applyBorder="1"/>
    <xf numFmtId="9" fontId="48" fillId="5" borderId="0" xfId="0" applyNumberFormat="1" applyFont="1" applyFill="1" applyBorder="1"/>
    <xf numFmtId="0" fontId="11" fillId="0" borderId="0" xfId="0" applyFont="1" applyAlignment="1">
      <alignment horizontal="center" vertical="center"/>
    </xf>
    <xf numFmtId="0" fontId="2" fillId="0" borderId="0" xfId="0" applyFont="1" applyAlignment="1">
      <alignment horizontal="center" vertical="center"/>
    </xf>
    <xf numFmtId="0" fontId="5" fillId="0" borderId="0" xfId="0" applyFont="1" applyAlignment="1">
      <alignment horizontal="center" vertical="center"/>
    </xf>
    <xf numFmtId="0" fontId="11" fillId="0" borderId="9" xfId="0" applyFont="1" applyFill="1" applyBorder="1" applyAlignment="1">
      <alignment vertical="center"/>
    </xf>
    <xf numFmtId="49" fontId="63" fillId="0" borderId="1" xfId="0" applyNumberFormat="1" applyFont="1" applyFill="1" applyBorder="1"/>
    <xf numFmtId="0" fontId="63" fillId="0" borderId="1" xfId="14" applyFont="1" applyFill="1" applyBorder="1" applyAlignment="1"/>
    <xf numFmtId="49" fontId="63" fillId="0" borderId="1" xfId="0" applyNumberFormat="1" applyFont="1" applyFill="1" applyBorder="1" applyAlignment="1">
      <alignment horizontal="left" vertical="center"/>
    </xf>
    <xf numFmtId="0" fontId="63" fillId="0" borderId="1" xfId="0" applyFont="1" applyFill="1" applyBorder="1"/>
    <xf numFmtId="0" fontId="62" fillId="0" borderId="1" xfId="0" applyFont="1" applyFill="1" applyBorder="1"/>
    <xf numFmtId="49" fontId="62" fillId="0" borderId="1" xfId="0" applyNumberFormat="1" applyFont="1" applyFill="1" applyBorder="1"/>
    <xf numFmtId="0" fontId="62" fillId="0" borderId="1" xfId="0" applyNumberFormat="1" applyFont="1" applyFill="1" applyBorder="1"/>
    <xf numFmtId="9" fontId="63" fillId="0" borderId="1" xfId="0" applyNumberFormat="1" applyFont="1" applyFill="1" applyBorder="1"/>
    <xf numFmtId="0" fontId="11" fillId="0" borderId="1" xfId="0" applyFont="1" applyFill="1" applyBorder="1" applyAlignment="1"/>
    <xf numFmtId="0" fontId="4" fillId="0" borderId="1" xfId="0" applyFont="1" applyFill="1" applyBorder="1" applyAlignment="1">
      <alignment horizontal="center"/>
    </xf>
    <xf numFmtId="49" fontId="4" fillId="0" borderId="1" xfId="0" applyNumberFormat="1" applyFont="1" applyFill="1" applyBorder="1" applyAlignment="1">
      <alignment horizontal="center"/>
    </xf>
    <xf numFmtId="15" fontId="2" fillId="0" borderId="1" xfId="0" applyNumberFormat="1" applyFont="1" applyFill="1" applyBorder="1"/>
    <xf numFmtId="15" fontId="11" fillId="0" borderId="1" xfId="0" applyNumberFormat="1" applyFont="1" applyFill="1" applyBorder="1"/>
    <xf numFmtId="15" fontId="0" fillId="0" borderId="1" xfId="0" applyNumberFormat="1" applyFont="1" applyFill="1" applyBorder="1"/>
    <xf numFmtId="15" fontId="11" fillId="0" borderId="1" xfId="0" applyNumberFormat="1" applyFont="1" applyFill="1" applyBorder="1"/>
    <xf numFmtId="15" fontId="63" fillId="0" borderId="1" xfId="0" applyNumberFormat="1" applyFont="1" applyFill="1" applyBorder="1" applyAlignment="1"/>
    <xf numFmtId="15" fontId="60" fillId="0" borderId="1" xfId="0" applyNumberFormat="1" applyFont="1" applyFill="1" applyBorder="1" applyAlignment="1"/>
    <xf numFmtId="15" fontId="0" fillId="0" borderId="1" xfId="0" applyNumberFormat="1" applyFont="1" applyFill="1" applyBorder="1"/>
    <xf numFmtId="9" fontId="61" fillId="0" borderId="1" xfId="0" applyNumberFormat="1" applyFont="1" applyFill="1" applyBorder="1"/>
    <xf numFmtId="0" fontId="0" fillId="0" borderId="1" xfId="0" applyNumberFormat="1" applyFont="1" applyFill="1" applyBorder="1" applyAlignment="1">
      <alignment horizontal="left"/>
    </xf>
    <xf numFmtId="15" fontId="62" fillId="0" borderId="1" xfId="0" applyNumberFormat="1" applyFont="1" applyFill="1" applyBorder="1"/>
    <xf numFmtId="15" fontId="11" fillId="3" borderId="17" xfId="0" applyNumberFormat="1" applyFont="1" applyFill="1" applyBorder="1" applyAlignment="1">
      <alignment vertical="center"/>
    </xf>
    <xf numFmtId="0" fontId="11" fillId="3" borderId="9" xfId="0" applyFont="1" applyFill="1" applyBorder="1" applyAlignment="1">
      <alignment vertical="center"/>
    </xf>
    <xf numFmtId="0" fontId="11" fillId="3" borderId="9" xfId="0" applyFont="1" applyFill="1" applyBorder="1" applyAlignment="1">
      <alignment vertical="center" wrapText="1"/>
    </xf>
    <xf numFmtId="0" fontId="11" fillId="11" borderId="9" xfId="0" applyFont="1" applyFill="1" applyBorder="1" applyAlignment="1">
      <alignment vertical="center" wrapText="1"/>
    </xf>
    <xf numFmtId="0" fontId="11" fillId="7" borderId="9" xfId="0" applyFont="1" applyFill="1" applyBorder="1" applyAlignment="1">
      <alignment vertical="center" wrapText="1"/>
    </xf>
    <xf numFmtId="0" fontId="11" fillId="12" borderId="9" xfId="0" applyFont="1" applyFill="1" applyBorder="1" applyAlignment="1">
      <alignment vertical="center" wrapText="1"/>
    </xf>
    <xf numFmtId="0" fontId="11" fillId="20" borderId="9" xfId="0" applyFont="1" applyFill="1" applyBorder="1" applyAlignment="1">
      <alignment vertical="center" wrapText="1"/>
    </xf>
    <xf numFmtId="0" fontId="11" fillId="17" borderId="9" xfId="0" applyFont="1" applyFill="1" applyBorder="1" applyAlignment="1">
      <alignment vertical="center" wrapText="1"/>
    </xf>
    <xf numFmtId="0" fontId="0" fillId="0" borderId="9" xfId="0" applyFill="1" applyBorder="1" applyAlignment="1">
      <alignment vertical="center"/>
    </xf>
    <xf numFmtId="0" fontId="11" fillId="20" borderId="23" xfId="0" applyFont="1" applyFill="1" applyBorder="1" applyAlignment="1">
      <alignment vertical="center" wrapText="1"/>
    </xf>
    <xf numFmtId="0" fontId="11" fillId="12" borderId="23" xfId="0" applyFont="1" applyFill="1" applyBorder="1" applyAlignment="1">
      <alignment vertical="center" wrapText="1"/>
    </xf>
    <xf numFmtId="0" fontId="57" fillId="0" borderId="0" xfId="5" applyFont="1" applyFill="1" applyBorder="1" applyAlignment="1">
      <alignment horizontal="center" vertical="center"/>
    </xf>
    <xf numFmtId="0" fontId="2" fillId="0" borderId="0" xfId="0" applyFont="1" applyBorder="1" applyAlignment="1">
      <alignment horizontal="center" vertical="center"/>
    </xf>
    <xf numFmtId="14" fontId="2" fillId="0" borderId="0" xfId="0" applyNumberFormat="1" applyFont="1" applyBorder="1" applyAlignment="1">
      <alignment horizontal="center" vertical="center"/>
    </xf>
    <xf numFmtId="1" fontId="2" fillId="42" borderId="0" xfId="0" applyNumberFormat="1" applyFont="1" applyFill="1" applyBorder="1" applyAlignment="1">
      <alignment horizontal="center" vertical="center"/>
    </xf>
    <xf numFmtId="0" fontId="11" fillId="2" borderId="0" xfId="5" applyFont="1" applyFill="1" applyBorder="1" applyAlignment="1">
      <alignment horizontal="center" vertical="center"/>
    </xf>
    <xf numFmtId="0" fontId="57" fillId="17" borderId="0" xfId="5" applyFont="1" applyFill="1" applyBorder="1" applyAlignment="1">
      <alignment horizontal="center" vertical="center"/>
    </xf>
    <xf numFmtId="0" fontId="2" fillId="40" borderId="42" xfId="0" applyFont="1" applyFill="1" applyBorder="1" applyAlignment="1">
      <alignment horizontal="left" wrapText="1"/>
    </xf>
    <xf numFmtId="0" fontId="2" fillId="40" borderId="0" xfId="0" applyFont="1" applyFill="1" applyBorder="1" applyAlignment="1">
      <alignment horizontal="left" wrapText="1"/>
    </xf>
    <xf numFmtId="0" fontId="2" fillId="0" borderId="0" xfId="0" applyFont="1" applyAlignment="1">
      <alignment horizontal="left" wrapText="1"/>
    </xf>
    <xf numFmtId="0" fontId="12" fillId="0" borderId="42" xfId="6" applyFont="1" applyFill="1" applyBorder="1" applyAlignment="1">
      <alignment horizontal="center" vertical="center"/>
    </xf>
    <xf numFmtId="0" fontId="4" fillId="0" borderId="0" xfId="0" applyFont="1" applyFill="1" applyAlignment="1">
      <alignment horizontal="center" vertical="center"/>
    </xf>
    <xf numFmtId="0" fontId="12" fillId="0" borderId="0" xfId="6" applyFont="1" applyFill="1" applyBorder="1" applyAlignment="1">
      <alignment horizontal="center" vertical="center"/>
    </xf>
    <xf numFmtId="0" fontId="12" fillId="0" borderId="43" xfId="6" applyFont="1" applyFill="1" applyBorder="1" applyAlignment="1">
      <alignment horizontal="center" vertical="center"/>
    </xf>
    <xf numFmtId="0" fontId="39" fillId="0" borderId="42" xfId="6" applyFont="1" applyFill="1" applyBorder="1" applyAlignment="1">
      <alignment horizontal="center" vertical="center"/>
    </xf>
    <xf numFmtId="0" fontId="29" fillId="0" borderId="5" xfId="0" applyNumberFormat="1" applyFont="1" applyFill="1" applyBorder="1" applyAlignment="1">
      <alignment horizontal="center"/>
    </xf>
    <xf numFmtId="49" fontId="29" fillId="0" borderId="0" xfId="0" applyNumberFormat="1" applyFont="1" applyFill="1" applyBorder="1" applyAlignment="1">
      <alignment horizontal="center" vertical="center"/>
    </xf>
    <xf numFmtId="0" fontId="11" fillId="0" borderId="5" xfId="0" applyFont="1" applyFill="1" applyBorder="1"/>
    <xf numFmtId="0" fontId="0" fillId="0" borderId="5" xfId="0" applyFont="1" applyFill="1" applyBorder="1"/>
    <xf numFmtId="0" fontId="0" fillId="0" borderId="5" xfId="0" applyNumberFormat="1" applyFont="1" applyFill="1" applyBorder="1"/>
    <xf numFmtId="0" fontId="0" fillId="43" borderId="15" xfId="0" applyFill="1" applyBorder="1" applyAlignment="1">
      <alignment vertical="center"/>
    </xf>
    <xf numFmtId="0" fontId="0" fillId="10" borderId="0" xfId="0" applyFill="1" applyBorder="1" applyAlignment="1">
      <alignment vertical="center"/>
    </xf>
    <xf numFmtId="0" fontId="4" fillId="10" borderId="0" xfId="0" applyFont="1" applyFill="1" applyBorder="1" applyAlignment="1">
      <alignment vertical="center"/>
    </xf>
    <xf numFmtId="0" fontId="0" fillId="43" borderId="16" xfId="0" applyFill="1" applyBorder="1" applyAlignment="1">
      <alignment vertical="center"/>
    </xf>
    <xf numFmtId="0" fontId="0" fillId="40" borderId="12" xfId="0" applyFill="1" applyBorder="1" applyAlignment="1">
      <alignment vertical="center"/>
    </xf>
    <xf numFmtId="0" fontId="0" fillId="40" borderId="13" xfId="0" applyFill="1" applyBorder="1" applyAlignment="1">
      <alignment vertical="center"/>
    </xf>
    <xf numFmtId="0" fontId="0" fillId="40" borderId="14" xfId="0" applyFill="1" applyBorder="1" applyAlignment="1">
      <alignment vertical="center"/>
    </xf>
    <xf numFmtId="0" fontId="0" fillId="40" borderId="15" xfId="0" applyFill="1" applyBorder="1" applyAlignment="1">
      <alignment vertical="center"/>
    </xf>
    <xf numFmtId="0" fontId="0" fillId="40" borderId="16" xfId="0" applyFill="1" applyBorder="1" applyAlignment="1">
      <alignment vertical="center"/>
    </xf>
    <xf numFmtId="0" fontId="0" fillId="43" borderId="0" xfId="0" applyFill="1" applyBorder="1" applyAlignment="1">
      <alignment vertical="center"/>
    </xf>
    <xf numFmtId="0" fontId="0" fillId="43" borderId="46" xfId="0" applyFill="1" applyBorder="1" applyAlignment="1">
      <alignment vertical="center"/>
    </xf>
    <xf numFmtId="0" fontId="0" fillId="43" borderId="47" xfId="0" applyFill="1" applyBorder="1" applyAlignment="1">
      <alignment vertical="center"/>
    </xf>
    <xf numFmtId="0" fontId="0" fillId="10" borderId="47" xfId="0" applyFill="1" applyBorder="1" applyAlignment="1">
      <alignment vertical="center"/>
    </xf>
    <xf numFmtId="0" fontId="0" fillId="43" borderId="48" xfId="0" applyFill="1" applyBorder="1" applyAlignment="1">
      <alignment vertical="center"/>
    </xf>
    <xf numFmtId="0" fontId="3" fillId="43" borderId="15" xfId="0" applyFont="1" applyFill="1" applyBorder="1" applyAlignment="1">
      <alignment vertical="center"/>
    </xf>
    <xf numFmtId="0" fontId="3" fillId="43" borderId="0" xfId="0" applyFont="1" applyFill="1" applyBorder="1" applyAlignment="1">
      <alignment vertical="center"/>
    </xf>
    <xf numFmtId="165" fontId="64" fillId="0" borderId="0" xfId="7" applyNumberFormat="1" applyFont="1" applyBorder="1" applyAlignment="1">
      <alignment vertical="center"/>
    </xf>
    <xf numFmtId="165" fontId="30" fillId="0" borderId="0" xfId="7" applyNumberFormat="1" applyFont="1" applyBorder="1" applyAlignment="1">
      <alignment vertical="center"/>
    </xf>
    <xf numFmtId="0" fontId="30" fillId="10" borderId="0" xfId="0" applyFont="1" applyFill="1" applyBorder="1" applyAlignment="1">
      <alignment horizontal="left" vertical="center"/>
    </xf>
    <xf numFmtId="0" fontId="37" fillId="18" borderId="0" xfId="0" applyFont="1" applyFill="1" applyAlignment="1"/>
    <xf numFmtId="0" fontId="26" fillId="18" borderId="0" xfId="0" applyFont="1" applyFill="1" applyAlignment="1"/>
    <xf numFmtId="0" fontId="0" fillId="10" borderId="0" xfId="0" applyFill="1" applyAlignment="1"/>
    <xf numFmtId="0" fontId="7" fillId="17" borderId="1" xfId="6" applyFill="1" applyBorder="1" applyAlignment="1">
      <alignment horizontal="center" vertical="center" wrapText="1"/>
    </xf>
    <xf numFmtId="0" fontId="7" fillId="17" borderId="1" xfId="6" applyFill="1" applyBorder="1" applyAlignment="1">
      <alignment horizontal="center" vertical="center"/>
    </xf>
    <xf numFmtId="165" fontId="0" fillId="0" borderId="0" xfId="0" applyNumberFormat="1" applyAlignment="1">
      <alignment vertical="center"/>
    </xf>
    <xf numFmtId="0" fontId="2" fillId="0" borderId="0" xfId="0" applyFont="1" applyFill="1" applyAlignment="1">
      <alignment horizontal="right"/>
    </xf>
    <xf numFmtId="1" fontId="2" fillId="0" borderId="0" xfId="0" applyNumberFormat="1" applyFont="1" applyFill="1" applyAlignment="1">
      <alignment horizontal="right"/>
    </xf>
    <xf numFmtId="49" fontId="11" fillId="46" borderId="1" xfId="0" applyNumberFormat="1" applyFont="1" applyFill="1" applyBorder="1" applyAlignment="1">
      <alignment horizontal="left" vertical="center"/>
    </xf>
    <xf numFmtId="49" fontId="11" fillId="0" borderId="1" xfId="0" applyNumberFormat="1" applyFont="1" applyBorder="1" applyAlignment="1">
      <alignment horizontal="left" vertical="center"/>
    </xf>
    <xf numFmtId="0" fontId="11" fillId="46" borderId="1" xfId="0" applyFont="1" applyFill="1" applyBorder="1" applyAlignment="1">
      <alignment horizontal="left" vertical="center"/>
    </xf>
    <xf numFmtId="0" fontId="11" fillId="0" borderId="1" xfId="0" applyFont="1" applyBorder="1" applyAlignment="1">
      <alignment horizontal="left" vertical="center"/>
    </xf>
    <xf numFmtId="1" fontId="57" fillId="0" borderId="0" xfId="5" applyNumberFormat="1" applyFont="1" applyFill="1" applyBorder="1" applyAlignment="1">
      <alignment horizontal="center" vertical="center"/>
    </xf>
    <xf numFmtId="15" fontId="0" fillId="0" borderId="1" xfId="0" applyNumberFormat="1" applyFont="1" applyFill="1" applyBorder="1"/>
    <xf numFmtId="0" fontId="0" fillId="3" borderId="0" xfId="0" applyFill="1" applyAlignment="1">
      <alignment vertical="center"/>
    </xf>
    <xf numFmtId="0" fontId="15" fillId="40" borderId="4" xfId="6" applyFont="1" applyFill="1" applyBorder="1" applyAlignment="1">
      <alignment horizontal="left" vertical="center"/>
    </xf>
    <xf numFmtId="171" fontId="0" fillId="0" borderId="0" xfId="0" applyNumberFormat="1" applyFill="1" applyBorder="1" applyAlignment="1">
      <alignment horizontal="left" vertical="center"/>
    </xf>
    <xf numFmtId="49" fontId="11" fillId="0" borderId="0" xfId="0" applyNumberFormat="1" applyFont="1" applyFill="1" applyBorder="1" applyAlignment="1">
      <alignment horizontal="left" vertical="center"/>
    </xf>
    <xf numFmtId="0" fontId="11" fillId="0" borderId="0" xfId="0" applyFont="1" applyFill="1" applyBorder="1" applyAlignment="1">
      <alignment horizontal="left" vertical="center"/>
    </xf>
    <xf numFmtId="49" fontId="11" fillId="0" borderId="0" xfId="0" applyNumberFormat="1" applyFont="1" applyFill="1" applyBorder="1" applyAlignment="1">
      <alignment vertical="center"/>
    </xf>
    <xf numFmtId="49" fontId="11" fillId="0" borderId="5" xfId="0" applyNumberFormat="1" applyFont="1" applyFill="1" applyBorder="1"/>
    <xf numFmtId="49" fontId="11" fillId="0" borderId="5" xfId="14" applyNumberFormat="1" applyFont="1" applyFill="1" applyBorder="1" applyAlignment="1"/>
    <xf numFmtId="49" fontId="11" fillId="0" borderId="5" xfId="0" applyNumberFormat="1" applyFont="1" applyFill="1" applyBorder="1" applyAlignment="1">
      <alignment horizontal="left" vertical="center"/>
    </xf>
    <xf numFmtId="49" fontId="0" fillId="0" borderId="5" xfId="0" applyNumberFormat="1" applyFont="1" applyFill="1" applyBorder="1"/>
    <xf numFmtId="9" fontId="11" fillId="0" borderId="5" xfId="0" applyNumberFormat="1" applyFont="1" applyFill="1" applyBorder="1"/>
    <xf numFmtId="0" fontId="29" fillId="2" borderId="1" xfId="0" applyNumberFormat="1" applyFont="1" applyFill="1" applyBorder="1" applyAlignment="1">
      <alignment horizontal="right" vertical="center"/>
    </xf>
    <xf numFmtId="0" fontId="29" fillId="2" borderId="1" xfId="0" quotePrefix="1" applyNumberFormat="1" applyFont="1" applyFill="1" applyBorder="1" applyAlignment="1">
      <alignment horizontal="right" vertical="center"/>
    </xf>
    <xf numFmtId="49" fontId="40" fillId="2" borderId="1" xfId="0" applyNumberFormat="1" applyFont="1" applyFill="1" applyBorder="1" applyAlignment="1">
      <alignment vertical="center"/>
    </xf>
    <xf numFmtId="0" fontId="57" fillId="0" borderId="0" xfId="0" applyFont="1" applyFill="1" applyBorder="1" applyAlignment="1">
      <alignment vertical="center"/>
    </xf>
    <xf numFmtId="3" fontId="14" fillId="0" borderId="0" xfId="9" applyNumberFormat="1" applyFont="1" applyFill="1" applyBorder="1" applyAlignment="1">
      <alignment horizontal="center" vertical="center"/>
    </xf>
    <xf numFmtId="0" fontId="57" fillId="0" borderId="0" xfId="9" applyFont="1" applyFill="1" applyBorder="1" applyAlignment="1">
      <alignment horizontal="left" vertical="center"/>
    </xf>
    <xf numFmtId="0" fontId="14" fillId="0" borderId="0" xfId="9" applyFont="1" applyFill="1" applyBorder="1" applyAlignment="1">
      <alignment horizontal="center" vertical="center"/>
    </xf>
    <xf numFmtId="165" fontId="57" fillId="0" borderId="0" xfId="9" applyNumberFormat="1" applyFont="1" applyFill="1" applyBorder="1" applyAlignment="1">
      <alignment horizontal="left" vertical="center"/>
    </xf>
    <xf numFmtId="165" fontId="57" fillId="0" borderId="0" xfId="7" applyNumberFormat="1" applyFont="1" applyFill="1" applyBorder="1" applyAlignment="1">
      <alignment vertical="center"/>
    </xf>
    <xf numFmtId="0" fontId="2" fillId="0" borderId="0" xfId="0" applyFont="1" applyFill="1"/>
    <xf numFmtId="0" fontId="5" fillId="0" borderId="0" xfId="0" applyFont="1" applyFill="1"/>
    <xf numFmtId="2" fontId="57" fillId="0" borderId="0" xfId="5" applyNumberFormat="1" applyFont="1" applyFill="1" applyBorder="1" applyAlignment="1">
      <alignment horizontal="center" vertical="center"/>
    </xf>
    <xf numFmtId="1" fontId="2" fillId="0" borderId="0" xfId="0" applyNumberFormat="1" applyFont="1" applyBorder="1" applyAlignment="1">
      <alignment horizontal="center" vertical="center"/>
    </xf>
    <xf numFmtId="15" fontId="57" fillId="0" borderId="0" xfId="5" applyNumberFormat="1" applyFont="1" applyFill="1" applyBorder="1" applyAlignment="1">
      <alignment horizontal="center" vertical="center"/>
    </xf>
    <xf numFmtId="0" fontId="57" fillId="0" borderId="0" xfId="5" applyFont="1" applyFill="1" applyBorder="1" applyAlignment="1">
      <alignment horizontal="center" vertical="center" wrapText="1"/>
    </xf>
    <xf numFmtId="165" fontId="57" fillId="17" borderId="0" xfId="7" applyNumberFormat="1" applyFont="1" applyFill="1" applyBorder="1" applyAlignment="1">
      <alignment horizontal="center" vertical="center"/>
    </xf>
    <xf numFmtId="49" fontId="11" fillId="0" borderId="0" xfId="12" applyNumberFormat="1" applyFont="1" applyFill="1" applyBorder="1" applyAlignment="1">
      <alignment horizontal="left" vertical="center" wrapText="1"/>
    </xf>
    <xf numFmtId="0" fontId="11" fillId="0" borderId="0" xfId="15" applyFont="1" applyFill="1" applyBorder="1" applyAlignment="1">
      <alignment horizontal="right" vertical="center"/>
    </xf>
    <xf numFmtId="0" fontId="11" fillId="0" borderId="0" xfId="0" applyNumberFormat="1" applyFont="1" applyFill="1" applyBorder="1" applyAlignment="1">
      <alignment horizontal="right" vertical="center"/>
    </xf>
    <xf numFmtId="0" fontId="11" fillId="0" borderId="0" xfId="0" applyFont="1" applyFill="1" applyBorder="1" applyAlignment="1">
      <alignment horizontal="right" vertical="center"/>
    </xf>
    <xf numFmtId="2" fontId="11" fillId="0" borderId="0" xfId="0" applyNumberFormat="1" applyFont="1" applyFill="1" applyBorder="1" applyAlignment="1">
      <alignment horizontal="right" vertical="center"/>
    </xf>
    <xf numFmtId="14" fontId="11" fillId="0" borderId="0" xfId="0" applyNumberFormat="1" applyFont="1" applyFill="1" applyBorder="1" applyAlignment="1" applyProtection="1">
      <alignment horizontal="right" vertical="center"/>
    </xf>
    <xf numFmtId="1" fontId="11" fillId="0" borderId="0" xfId="0" applyNumberFormat="1" applyFont="1" applyFill="1" applyBorder="1" applyAlignment="1" applyProtection="1">
      <alignment horizontal="right" vertical="center"/>
    </xf>
    <xf numFmtId="49" fontId="11" fillId="0" borderId="0" xfId="0" applyNumberFormat="1" applyFont="1" applyFill="1" applyBorder="1" applyAlignment="1">
      <alignment horizontal="right" vertical="center"/>
    </xf>
    <xf numFmtId="15" fontId="11" fillId="0" borderId="0" xfId="0" applyNumberFormat="1" applyFont="1" applyFill="1" applyBorder="1" applyAlignment="1">
      <alignment horizontal="right" vertical="center"/>
    </xf>
    <xf numFmtId="49" fontId="11" fillId="0" borderId="0" xfId="0" applyNumberFormat="1" applyFont="1" applyFill="1" applyBorder="1" applyAlignment="1">
      <alignment horizontal="left" vertical="center" wrapText="1"/>
    </xf>
    <xf numFmtId="1" fontId="11" fillId="0" borderId="0" xfId="0" applyNumberFormat="1" applyFont="1" applyFill="1" applyBorder="1" applyAlignment="1" applyProtection="1">
      <alignment vertical="center"/>
    </xf>
    <xf numFmtId="165" fontId="11" fillId="0" borderId="0" xfId="7" applyNumberFormat="1" applyFont="1" applyFill="1" applyBorder="1" applyAlignment="1">
      <alignment vertical="center"/>
    </xf>
    <xf numFmtId="49" fontId="11" fillId="0" borderId="0" xfId="0" applyNumberFormat="1" applyFont="1" applyFill="1" applyBorder="1" applyAlignment="1">
      <alignment horizontal="right"/>
    </xf>
    <xf numFmtId="49" fontId="11" fillId="0" borderId="0" xfId="0" applyNumberFormat="1" applyFont="1" applyBorder="1" applyAlignment="1">
      <alignment vertical="center"/>
    </xf>
    <xf numFmtId="14" fontId="11" fillId="0" borderId="0" xfId="0" applyNumberFormat="1" applyFont="1" applyBorder="1" applyAlignment="1" applyProtection="1">
      <alignment horizontal="right" vertical="center"/>
    </xf>
    <xf numFmtId="1" fontId="11" fillId="0" borderId="0" xfId="0" applyNumberFormat="1" applyFont="1" applyBorder="1" applyAlignment="1" applyProtection="1">
      <alignment horizontal="right" vertical="center"/>
    </xf>
    <xf numFmtId="0" fontId="11" fillId="0" borderId="0" xfId="15" applyFont="1" applyFill="1" applyBorder="1" applyAlignment="1">
      <alignment horizontal="left" vertical="center"/>
    </xf>
    <xf numFmtId="0" fontId="11" fillId="0" borderId="0" xfId="0" applyNumberFormat="1" applyFont="1" applyBorder="1" applyAlignment="1">
      <alignment horizontal="right" vertical="center"/>
    </xf>
    <xf numFmtId="49" fontId="11" fillId="0" borderId="0" xfId="12" applyNumberFormat="1" applyFont="1" applyFill="1" applyBorder="1" applyAlignment="1">
      <alignment horizontal="right" vertical="center"/>
    </xf>
    <xf numFmtId="0" fontId="11" fillId="0" borderId="0" xfId="12" applyNumberFormat="1" applyFont="1" applyFill="1" applyBorder="1" applyAlignment="1">
      <alignment horizontal="right" vertical="center"/>
    </xf>
    <xf numFmtId="1" fontId="11" fillId="0" borderId="0" xfId="12" applyNumberFormat="1" applyFont="1" applyFill="1" applyBorder="1" applyAlignment="1">
      <alignment horizontal="right" vertical="center"/>
    </xf>
    <xf numFmtId="49" fontId="11" fillId="0" borderId="0" xfId="0" applyNumberFormat="1" applyFont="1" applyFill="1" applyBorder="1" applyAlignment="1" applyProtection="1">
      <alignment horizontal="left" vertical="center"/>
      <protection locked="0"/>
    </xf>
    <xf numFmtId="0" fontId="11" fillId="0" borderId="0" xfId="12" applyFont="1" applyFill="1" applyBorder="1" applyAlignment="1">
      <alignment horizontal="left" vertical="center" wrapText="1"/>
    </xf>
    <xf numFmtId="0" fontId="11" fillId="0" borderId="0" xfId="0" applyNumberFormat="1" applyFont="1" applyFill="1" applyBorder="1" applyAlignment="1">
      <alignment horizontal="left" vertical="center"/>
    </xf>
    <xf numFmtId="1" fontId="11" fillId="0" borderId="0" xfId="0" applyNumberFormat="1" applyFont="1" applyBorder="1" applyAlignment="1">
      <alignment horizontal="right" vertical="center"/>
    </xf>
    <xf numFmtId="1" fontId="11" fillId="0" borderId="0" xfId="0" applyNumberFormat="1" applyFont="1" applyFill="1" applyBorder="1" applyAlignment="1">
      <alignment horizontal="right" vertical="center"/>
    </xf>
    <xf numFmtId="14" fontId="11" fillId="0" borderId="0" xfId="0" applyNumberFormat="1" applyFont="1" applyFill="1" applyBorder="1" applyAlignment="1">
      <alignment horizontal="right" vertical="center"/>
    </xf>
    <xf numFmtId="0" fontId="11" fillId="0" borderId="0" xfId="0" applyFont="1" applyFill="1" applyBorder="1" applyAlignment="1">
      <alignment horizontal="left" vertical="center" wrapText="1"/>
    </xf>
    <xf numFmtId="0" fontId="11" fillId="0" borderId="0" xfId="0" applyNumberFormat="1" applyFont="1" applyFill="1" applyBorder="1" applyAlignment="1">
      <alignment vertical="center"/>
    </xf>
    <xf numFmtId="0" fontId="11" fillId="0" borderId="0" xfId="0" applyNumberFormat="1" applyFont="1" applyFill="1" applyBorder="1" applyAlignment="1">
      <alignment horizontal="right"/>
    </xf>
    <xf numFmtId="0" fontId="11" fillId="0" borderId="0" xfId="0" applyNumberFormat="1" applyFont="1" applyFill="1" applyBorder="1" applyAlignment="1">
      <alignment horizontal="left" vertical="center" wrapText="1"/>
    </xf>
    <xf numFmtId="49" fontId="11" fillId="0" borderId="0" xfId="12" applyNumberFormat="1" applyFont="1" applyFill="1" applyBorder="1" applyAlignment="1">
      <alignment horizontal="left" vertical="center"/>
    </xf>
    <xf numFmtId="49" fontId="11" fillId="0" borderId="0" xfId="0" applyNumberFormat="1" applyFont="1" applyFill="1" applyBorder="1" applyAlignment="1" applyProtection="1">
      <alignment horizontal="left" vertical="center" wrapText="1"/>
      <protection locked="0"/>
    </xf>
    <xf numFmtId="14" fontId="11" fillId="0" borderId="0" xfId="0" applyNumberFormat="1" applyFont="1" applyBorder="1" applyAlignment="1">
      <alignment horizontal="right" vertical="center"/>
    </xf>
    <xf numFmtId="49" fontId="11" fillId="0" borderId="0" xfId="0" applyNumberFormat="1" applyFont="1" applyBorder="1" applyAlignment="1">
      <alignment horizontal="right" vertical="center"/>
    </xf>
    <xf numFmtId="1" fontId="11" fillId="0" borderId="0" xfId="0" applyNumberFormat="1" applyFont="1" applyFill="1" applyBorder="1" applyAlignment="1">
      <alignment vertical="center"/>
    </xf>
    <xf numFmtId="0" fontId="11" fillId="0" borderId="0" xfId="12" applyFont="1" applyFill="1" applyBorder="1" applyAlignment="1">
      <alignment horizontal="left" vertical="center"/>
    </xf>
    <xf numFmtId="22" fontId="11" fillId="0" borderId="0" xfId="0" applyNumberFormat="1" applyFont="1" applyFill="1" applyBorder="1" applyAlignment="1">
      <alignment horizontal="right" vertical="center"/>
    </xf>
    <xf numFmtId="168" fontId="11" fillId="0" borderId="0" xfId="12" applyNumberFormat="1" applyFont="1" applyFill="1" applyBorder="1" applyAlignment="1">
      <alignment horizontal="right" vertical="center"/>
    </xf>
    <xf numFmtId="49" fontId="11" fillId="0" borderId="0" xfId="12" applyNumberFormat="1" applyFont="1" applyFill="1" applyBorder="1" applyAlignment="1">
      <alignment vertical="center" wrapText="1"/>
    </xf>
    <xf numFmtId="22" fontId="11" fillId="0" borderId="0" xfId="12" applyNumberFormat="1" applyFont="1" applyFill="1" applyBorder="1" applyAlignment="1">
      <alignment horizontal="right" vertical="center" wrapText="1"/>
    </xf>
    <xf numFmtId="0" fontId="2" fillId="0" borderId="0" xfId="0" applyFont="1" applyFill="1" applyBorder="1" applyAlignment="1">
      <alignment vertical="center"/>
    </xf>
    <xf numFmtId="0" fontId="11" fillId="0" borderId="0" xfId="19" applyFont="1" applyFill="1" applyBorder="1" applyAlignment="1">
      <alignment horizontal="left"/>
    </xf>
    <xf numFmtId="49" fontId="11" fillId="0" borderId="0" xfId="12" applyNumberFormat="1" applyFont="1" applyFill="1" applyBorder="1" applyAlignment="1">
      <alignment vertical="center"/>
    </xf>
    <xf numFmtId="15" fontId="11" fillId="0" borderId="0" xfId="12" applyNumberFormat="1" applyFont="1" applyFill="1" applyBorder="1" applyAlignment="1">
      <alignment horizontal="right" vertical="center" wrapText="1"/>
    </xf>
    <xf numFmtId="1" fontId="11" fillId="0" borderId="0" xfId="0" applyNumberFormat="1" applyFont="1" applyBorder="1" applyAlignment="1">
      <alignment vertical="center"/>
    </xf>
    <xf numFmtId="0" fontId="11" fillId="0" borderId="0" xfId="4" applyFont="1" applyFill="1" applyBorder="1" applyAlignment="1">
      <alignment horizontal="right" vertical="center"/>
    </xf>
    <xf numFmtId="0" fontId="11" fillId="0" borderId="0" xfId="15" applyNumberFormat="1" applyFont="1" applyFill="1" applyBorder="1" applyAlignment="1">
      <alignment horizontal="right" vertical="center"/>
    </xf>
    <xf numFmtId="17" fontId="11" fillId="0" borderId="0" xfId="0" applyNumberFormat="1" applyFont="1" applyFill="1" applyBorder="1" applyAlignment="1">
      <alignment horizontal="right" vertical="center"/>
    </xf>
    <xf numFmtId="0" fontId="11" fillId="0" borderId="0" xfId="0" applyFont="1" applyFill="1" applyBorder="1" applyAlignment="1">
      <alignment horizontal="right"/>
    </xf>
    <xf numFmtId="15" fontId="11" fillId="0" borderId="0" xfId="0" applyNumberFormat="1" applyFont="1" applyFill="1" applyBorder="1" applyAlignment="1">
      <alignment horizontal="left" vertical="center" wrapText="1"/>
    </xf>
    <xf numFmtId="0" fontId="11" fillId="0" borderId="0" xfId="0" applyNumberFormat="1" applyFont="1" applyFill="1" applyBorder="1" applyAlignment="1" applyProtection="1">
      <alignment horizontal="left" vertical="center"/>
      <protection locked="0"/>
    </xf>
    <xf numFmtId="49" fontId="11" fillId="0" borderId="0" xfId="18" applyNumberFormat="1" applyFont="1" applyFill="1" applyBorder="1" applyAlignment="1">
      <alignment horizontal="left"/>
    </xf>
    <xf numFmtId="49" fontId="11" fillId="20" borderId="0" xfId="12" applyNumberFormat="1" applyFont="1" applyFill="1" applyBorder="1" applyAlignment="1">
      <alignment horizontal="left" vertical="center" wrapText="1"/>
    </xf>
    <xf numFmtId="0" fontId="11" fillId="0" borderId="0" xfId="0" applyNumberFormat="1" applyFont="1" applyFill="1" applyBorder="1" applyAlignment="1" applyProtection="1">
      <alignment horizontal="left" vertical="center" wrapText="1"/>
      <protection locked="0"/>
    </xf>
    <xf numFmtId="0" fontId="11" fillId="0" borderId="0" xfId="0" applyFont="1" applyFill="1" applyBorder="1" applyAlignment="1">
      <alignment horizontal="left"/>
    </xf>
    <xf numFmtId="172" fontId="11" fillId="0" borderId="0" xfId="0" applyNumberFormat="1" applyFont="1" applyFill="1" applyBorder="1" applyAlignment="1">
      <alignment horizontal="right"/>
    </xf>
    <xf numFmtId="173" fontId="11" fillId="0" borderId="0" xfId="15" applyNumberFormat="1" applyFont="1" applyFill="1" applyBorder="1" applyAlignment="1">
      <alignment horizontal="right" vertical="center"/>
    </xf>
    <xf numFmtId="0" fontId="9" fillId="40" borderId="0" xfId="6" applyFont="1" applyFill="1" applyBorder="1" applyAlignment="1">
      <alignment horizontal="left" vertical="center"/>
    </xf>
    <xf numFmtId="0" fontId="0" fillId="40" borderId="18" xfId="0" applyFill="1" applyBorder="1" applyAlignment="1">
      <alignment vertical="center"/>
    </xf>
    <xf numFmtId="0" fontId="43" fillId="40" borderId="4" xfId="0" applyFont="1" applyFill="1" applyBorder="1" applyAlignment="1">
      <alignment vertical="center"/>
    </xf>
    <xf numFmtId="0" fontId="43" fillId="40" borderId="0" xfId="0" applyFont="1" applyFill="1" applyBorder="1" applyAlignment="1">
      <alignment vertical="center"/>
    </xf>
    <xf numFmtId="0" fontId="43" fillId="40" borderId="39" xfId="0" applyFont="1" applyFill="1" applyBorder="1" applyAlignment="1">
      <alignment vertical="center"/>
    </xf>
    <xf numFmtId="0" fontId="43" fillId="0" borderId="0" xfId="0" applyFont="1" applyFill="1" applyBorder="1" applyAlignment="1">
      <alignment vertical="center"/>
    </xf>
    <xf numFmtId="0" fontId="43" fillId="40" borderId="43" xfId="0" applyFont="1" applyFill="1" applyBorder="1" applyAlignment="1">
      <alignment vertical="center"/>
    </xf>
    <xf numFmtId="0" fontId="43" fillId="40" borderId="17"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25" xfId="0" applyBorder="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39" xfId="0" applyNumberFormat="1" applyBorder="1" applyAlignment="1">
      <alignment vertical="center"/>
    </xf>
    <xf numFmtId="0" fontId="57" fillId="36" borderId="23" xfId="0" applyFont="1" applyFill="1" applyBorder="1" applyAlignment="1">
      <alignment vertical="center"/>
    </xf>
    <xf numFmtId="0" fontId="57" fillId="36" borderId="43" xfId="0" applyFont="1" applyFill="1" applyBorder="1" applyAlignment="1">
      <alignment vertical="center"/>
    </xf>
    <xf numFmtId="165" fontId="57" fillId="36" borderId="43" xfId="0" applyNumberFormat="1" applyFont="1" applyFill="1" applyBorder="1" applyAlignment="1">
      <alignment vertical="center"/>
    </xf>
    <xf numFmtId="165" fontId="57" fillId="36" borderId="17" xfId="0" applyNumberFormat="1" applyFont="1" applyFill="1" applyBorder="1" applyAlignment="1">
      <alignment vertical="center"/>
    </xf>
    <xf numFmtId="0" fontId="12" fillId="45" borderId="0" xfId="0" applyFont="1" applyFill="1" applyBorder="1" applyAlignment="1">
      <alignment horizontal="left" vertical="center"/>
    </xf>
    <xf numFmtId="0" fontId="12" fillId="45" borderId="0" xfId="0" applyFont="1" applyFill="1" applyBorder="1" applyAlignment="1">
      <alignment horizontal="center" vertical="center"/>
    </xf>
    <xf numFmtId="0" fontId="65" fillId="28" borderId="0" xfId="0" applyFont="1" applyFill="1" applyBorder="1" applyAlignment="1">
      <alignment vertical="center"/>
    </xf>
    <xf numFmtId="0" fontId="4" fillId="28" borderId="0" xfId="0" applyFont="1" applyFill="1" applyBorder="1" applyAlignment="1">
      <alignment vertical="center"/>
    </xf>
    <xf numFmtId="0" fontId="4" fillId="0" borderId="0" xfId="0" applyFont="1" applyBorder="1" applyAlignment="1">
      <alignment vertical="center"/>
    </xf>
    <xf numFmtId="165" fontId="29" fillId="0" borderId="0" xfId="7" applyNumberFormat="1" applyFont="1" applyBorder="1" applyAlignment="1">
      <alignment vertical="center"/>
    </xf>
    <xf numFmtId="165" fontId="4" fillId="0" borderId="0" xfId="7" applyNumberFormat="1" applyFont="1" applyBorder="1" applyAlignment="1">
      <alignment vertical="center"/>
    </xf>
    <xf numFmtId="0" fontId="65" fillId="10" borderId="0" xfId="0" applyFont="1" applyFill="1" applyBorder="1" applyAlignment="1">
      <alignment vertical="center"/>
    </xf>
    <xf numFmtId="165" fontId="12" fillId="0" borderId="0" xfId="7" applyNumberFormat="1" applyFont="1" applyBorder="1" applyAlignment="1">
      <alignment vertical="center"/>
    </xf>
    <xf numFmtId="165" fontId="65" fillId="0" borderId="0" xfId="7" applyNumberFormat="1" applyFont="1" applyBorder="1" applyAlignment="1">
      <alignment vertical="center"/>
    </xf>
    <xf numFmtId="0" fontId="27" fillId="13" borderId="0" xfId="0" applyFont="1" applyFill="1" applyBorder="1" applyAlignment="1"/>
    <xf numFmtId="0" fontId="27" fillId="35" borderId="0" xfId="0" applyFont="1" applyFill="1" applyBorder="1" applyAlignment="1">
      <alignment wrapText="1"/>
    </xf>
    <xf numFmtId="0" fontId="27" fillId="39" borderId="0" xfId="0" applyFont="1" applyFill="1" applyBorder="1" applyAlignment="1">
      <alignment wrapText="1"/>
    </xf>
    <xf numFmtId="0" fontId="27" fillId="38" borderId="0" xfId="0" applyFont="1" applyFill="1" applyBorder="1" applyAlignment="1">
      <alignment wrapText="1"/>
    </xf>
    <xf numFmtId="0" fontId="27" fillId="37" borderId="0" xfId="0" applyFont="1" applyFill="1" applyBorder="1" applyAlignment="1">
      <alignment wrapText="1"/>
    </xf>
    <xf numFmtId="0" fontId="41" fillId="36" borderId="0" xfId="0" applyFont="1" applyFill="1" applyBorder="1" applyAlignment="1">
      <alignment wrapText="1"/>
    </xf>
    <xf numFmtId="0" fontId="4" fillId="0" borderId="0" xfId="0" applyFont="1" applyFill="1" applyBorder="1" applyAlignment="1">
      <alignment vertical="center"/>
    </xf>
    <xf numFmtId="0" fontId="27" fillId="13" borderId="0" xfId="0" applyFont="1" applyFill="1" applyBorder="1" applyAlignment="1">
      <alignment vertical="center"/>
    </xf>
    <xf numFmtId="165" fontId="27" fillId="0" borderId="0" xfId="7" applyNumberFormat="1" applyFont="1" applyFill="1" applyBorder="1" applyAlignment="1">
      <alignment vertical="center"/>
    </xf>
    <xf numFmtId="0" fontId="30" fillId="44" borderId="0" xfId="0" applyFont="1" applyFill="1" applyBorder="1"/>
    <xf numFmtId="0" fontId="30" fillId="10" borderId="0" xfId="0" applyFont="1" applyFill="1" applyBorder="1"/>
    <xf numFmtId="0" fontId="65" fillId="0" borderId="0" xfId="0" applyFont="1" applyBorder="1" applyAlignment="1">
      <alignment vertical="center"/>
    </xf>
    <xf numFmtId="0" fontId="27" fillId="10" borderId="0" xfId="0" applyFont="1" applyFill="1" applyBorder="1" applyAlignment="1">
      <alignment horizontal="left"/>
    </xf>
    <xf numFmtId="0" fontId="65" fillId="13" borderId="0" xfId="0" applyFont="1" applyFill="1" applyBorder="1" applyAlignment="1">
      <alignment horizontal="center" vertical="center"/>
    </xf>
    <xf numFmtId="0" fontId="4" fillId="13" borderId="0" xfId="0" applyFont="1" applyFill="1" applyBorder="1" applyAlignment="1">
      <alignment vertical="center"/>
    </xf>
    <xf numFmtId="0" fontId="27" fillId="10" borderId="0" xfId="0" applyFont="1" applyFill="1" applyBorder="1" applyAlignment="1">
      <alignment horizontal="left" vertical="top"/>
    </xf>
    <xf numFmtId="0" fontId="65" fillId="13" borderId="0" xfId="0" applyFont="1" applyFill="1" applyBorder="1" applyAlignment="1">
      <alignment vertical="center"/>
    </xf>
    <xf numFmtId="0" fontId="30" fillId="10" borderId="0" xfId="0" applyFont="1" applyFill="1" applyBorder="1" applyAlignment="1">
      <alignment horizontal="left"/>
    </xf>
    <xf numFmtId="165" fontId="30" fillId="10" borderId="0" xfId="0" applyNumberFormat="1" applyFont="1" applyFill="1" applyBorder="1"/>
    <xf numFmtId="0" fontId="0" fillId="0" borderId="0" xfId="0" applyFont="1" applyFill="1" applyBorder="1" applyAlignment="1">
      <alignment vertical="center"/>
    </xf>
    <xf numFmtId="15" fontId="0" fillId="0" borderId="5" xfId="0" applyNumberFormat="1" applyFont="1" applyFill="1" applyBorder="1"/>
    <xf numFmtId="0" fontId="11" fillId="0" borderId="0" xfId="0" applyFont="1" applyFill="1" applyBorder="1" applyAlignment="1">
      <alignment horizontal="right" vertical="center" wrapText="1"/>
    </xf>
    <xf numFmtId="0" fontId="0" fillId="0" borderId="4" xfId="0" applyBorder="1" applyAlignment="1">
      <alignment horizontal="left" indent="1"/>
    </xf>
    <xf numFmtId="0" fontId="68" fillId="0" borderId="51" xfId="15" applyFont="1" applyFill="1" applyBorder="1" applyAlignment="1"/>
    <xf numFmtId="0" fontId="11" fillId="47" borderId="0" xfId="12" applyFont="1" applyFill="1" applyAlignment="1">
      <alignment horizontal="left" vertical="center" wrapText="1"/>
    </xf>
    <xf numFmtId="49" fontId="11" fillId="47" borderId="0" xfId="0" applyNumberFormat="1" applyFont="1" applyFill="1" applyBorder="1" applyAlignment="1">
      <alignment horizontal="left" vertical="center"/>
    </xf>
    <xf numFmtId="0" fontId="11" fillId="47" borderId="0" xfId="0" applyFont="1" applyFill="1" applyAlignment="1">
      <alignment horizontal="left" vertical="center"/>
    </xf>
    <xf numFmtId="0" fontId="11" fillId="47" borderId="0" xfId="0" applyNumberFormat="1" applyFont="1" applyFill="1" applyAlignment="1">
      <alignment horizontal="left" vertical="center"/>
    </xf>
    <xf numFmtId="0" fontId="66" fillId="47" borderId="0" xfId="0" applyFont="1" applyFill="1"/>
    <xf numFmtId="0" fontId="11" fillId="47" borderId="0" xfId="0" applyFont="1" applyFill="1" applyBorder="1" applyAlignment="1">
      <alignment horizontal="left" vertical="center"/>
    </xf>
    <xf numFmtId="0" fontId="11" fillId="47" borderId="0" xfId="0" applyFont="1" applyFill="1" applyAlignment="1">
      <alignment horizontal="right" vertical="center"/>
    </xf>
    <xf numFmtId="1" fontId="11" fillId="47" borderId="0" xfId="0" applyNumberFormat="1" applyFont="1" applyFill="1" applyAlignment="1">
      <alignment horizontal="right" vertical="center"/>
    </xf>
    <xf numFmtId="0" fontId="0" fillId="47" borderId="0" xfId="0" applyFill="1" applyBorder="1"/>
    <xf numFmtId="2" fontId="11" fillId="47" borderId="0" xfId="0" applyNumberFormat="1" applyFont="1" applyFill="1" applyAlignment="1">
      <alignment horizontal="right" vertical="center"/>
    </xf>
    <xf numFmtId="0" fontId="11" fillId="47" borderId="0" xfId="0" applyFont="1" applyFill="1" applyAlignment="1">
      <alignment vertical="center"/>
    </xf>
    <xf numFmtId="49" fontId="11" fillId="47" borderId="0" xfId="0" applyNumberFormat="1" applyFont="1" applyFill="1" applyAlignment="1">
      <alignment vertical="center"/>
    </xf>
    <xf numFmtId="14" fontId="11" fillId="47" borderId="0" xfId="0" applyNumberFormat="1" applyFont="1" applyFill="1" applyAlignment="1">
      <alignment horizontal="right" vertical="center"/>
    </xf>
    <xf numFmtId="15" fontId="11" fillId="47" borderId="0" xfId="0" applyNumberFormat="1" applyFont="1" applyFill="1" applyAlignment="1">
      <alignment horizontal="right" vertical="center"/>
    </xf>
    <xf numFmtId="15" fontId="11" fillId="47" borderId="0" xfId="0" applyNumberFormat="1" applyFont="1" applyFill="1" applyAlignment="1">
      <alignment horizontal="left" vertical="center" wrapText="1"/>
    </xf>
    <xf numFmtId="1" fontId="11" fillId="47" borderId="0" xfId="0" applyNumberFormat="1" applyFont="1" applyFill="1" applyAlignment="1" applyProtection="1">
      <alignment vertical="center"/>
    </xf>
    <xf numFmtId="0" fontId="11" fillId="47" borderId="0" xfId="0" applyNumberFormat="1" applyFont="1" applyFill="1" applyAlignment="1">
      <alignment vertical="center"/>
    </xf>
    <xf numFmtId="0" fontId="11" fillId="47" borderId="0" xfId="0" applyNumberFormat="1" applyFont="1" applyFill="1" applyAlignment="1">
      <alignment horizontal="right" vertical="center"/>
    </xf>
    <xf numFmtId="165" fontId="11" fillId="47" borderId="0" xfId="7" applyNumberFormat="1" applyFont="1" applyFill="1" applyAlignment="1">
      <alignment vertical="center"/>
    </xf>
    <xf numFmtId="0" fontId="11" fillId="47" borderId="0" xfId="0" applyNumberFormat="1" applyFont="1" applyFill="1" applyAlignment="1">
      <alignment horizontal="right"/>
    </xf>
    <xf numFmtId="0" fontId="67" fillId="47" borderId="0" xfId="0" applyFont="1" applyFill="1"/>
    <xf numFmtId="0" fontId="0" fillId="47" borderId="0" xfId="0" applyFill="1"/>
    <xf numFmtId="0" fontId="0" fillId="47" borderId="0" xfId="0" applyFill="1" applyAlignment="1">
      <alignment wrapText="1"/>
    </xf>
    <xf numFmtId="0" fontId="11" fillId="0" borderId="0" xfId="0" applyFont="1" applyAlignment="1">
      <alignment vertical="center"/>
    </xf>
    <xf numFmtId="0" fontId="11" fillId="0" borderId="0" xfId="0" applyFont="1" applyBorder="1" applyAlignment="1">
      <alignment vertical="center"/>
    </xf>
    <xf numFmtId="0" fontId="15" fillId="0" borderId="0" xfId="0" applyFont="1" applyAlignment="1">
      <alignment horizontal="center" vertical="center"/>
    </xf>
    <xf numFmtId="0" fontId="11" fillId="47" borderId="0" xfId="0" applyFont="1" applyFill="1" applyBorder="1" applyAlignment="1">
      <alignment vertical="center"/>
    </xf>
    <xf numFmtId="0" fontId="57" fillId="0" borderId="0" xfId="0" applyFont="1" applyAlignment="1">
      <alignment vertical="center"/>
    </xf>
    <xf numFmtId="0" fontId="57" fillId="0" borderId="0" xfId="0" applyFont="1" applyBorder="1" applyAlignment="1">
      <alignment vertical="center"/>
    </xf>
    <xf numFmtId="0" fontId="69" fillId="10" borderId="0" xfId="6" applyFont="1" applyFill="1" applyBorder="1" applyAlignment="1">
      <alignment vertical="center"/>
    </xf>
    <xf numFmtId="0" fontId="14" fillId="0" borderId="0" xfId="0" applyFont="1" applyAlignment="1">
      <alignment vertical="center"/>
    </xf>
    <xf numFmtId="165" fontId="57" fillId="0" borderId="0" xfId="7" quotePrefix="1" applyNumberFormat="1" applyFont="1" applyFill="1" applyBorder="1" applyAlignment="1">
      <alignment vertical="center"/>
    </xf>
    <xf numFmtId="0" fontId="70" fillId="0" borderId="0" xfId="0" applyFont="1" applyFill="1" applyBorder="1" applyAlignment="1">
      <alignment vertical="center"/>
    </xf>
    <xf numFmtId="0" fontId="57" fillId="0" borderId="0" xfId="0" applyFont="1" applyFill="1" applyBorder="1" applyAlignment="1">
      <alignment horizontal="center" vertical="center"/>
    </xf>
    <xf numFmtId="0" fontId="14" fillId="19" borderId="0" xfId="0" applyFont="1" applyFill="1" applyAlignment="1">
      <alignment horizontal="center" vertical="center"/>
    </xf>
    <xf numFmtId="0" fontId="10" fillId="10" borderId="0" xfId="0" applyFont="1" applyFill="1" applyAlignment="1">
      <alignment horizontal="left"/>
    </xf>
    <xf numFmtId="0" fontId="14" fillId="16" borderId="0" xfId="0" applyFont="1" applyFill="1" applyAlignment="1">
      <alignment horizontal="center"/>
    </xf>
    <xf numFmtId="166" fontId="34" fillId="11" borderId="0" xfId="6" applyNumberFormat="1" applyFont="1" applyFill="1" applyBorder="1" applyAlignment="1">
      <alignment horizontal="left" vertical="center"/>
    </xf>
    <xf numFmtId="166" fontId="15" fillId="40" borderId="4" xfId="6" applyNumberFormat="1" applyFont="1" applyFill="1" applyBorder="1" applyAlignment="1">
      <alignment horizontal="left" vertical="center"/>
    </xf>
    <xf numFmtId="166" fontId="15" fillId="40" borderId="0" xfId="6" applyNumberFormat="1" applyFont="1" applyFill="1" applyBorder="1" applyAlignment="1">
      <alignment horizontal="left" vertical="center"/>
    </xf>
    <xf numFmtId="166" fontId="58" fillId="11" borderId="23" xfId="6" applyNumberFormat="1" applyFont="1" applyFill="1" applyBorder="1" applyAlignment="1">
      <alignment horizontal="left" vertical="center"/>
    </xf>
    <xf numFmtId="166" fontId="58" fillId="11" borderId="43" xfId="6" applyNumberFormat="1" applyFont="1" applyFill="1" applyBorder="1" applyAlignment="1">
      <alignment horizontal="left" vertical="center"/>
    </xf>
    <xf numFmtId="0" fontId="31" fillId="40" borderId="0" xfId="6" applyFont="1" applyFill="1" applyBorder="1" applyAlignment="1">
      <alignment horizontal="left" vertical="center"/>
    </xf>
    <xf numFmtId="166" fontId="34" fillId="40" borderId="0" xfId="6" applyNumberFormat="1" applyFont="1" applyFill="1" applyBorder="1" applyAlignment="1">
      <alignment horizontal="left" vertical="center"/>
    </xf>
    <xf numFmtId="0" fontId="9" fillId="40" borderId="0" xfId="6" applyFont="1" applyFill="1" applyBorder="1" applyAlignment="1">
      <alignment horizontal="left" vertical="center"/>
    </xf>
    <xf numFmtId="0" fontId="31" fillId="40" borderId="4" xfId="6" applyFont="1" applyFill="1" applyBorder="1" applyAlignment="1">
      <alignment horizontal="left" vertical="center"/>
    </xf>
    <xf numFmtId="166" fontId="34" fillId="40" borderId="23" xfId="6" applyNumberFormat="1" applyFont="1" applyFill="1" applyBorder="1" applyAlignment="1">
      <alignment horizontal="left" vertical="center"/>
    </xf>
    <xf numFmtId="166" fontId="34" fillId="40" borderId="43" xfId="6" applyNumberFormat="1" applyFont="1" applyFill="1" applyBorder="1" applyAlignment="1">
      <alignment horizontal="left" vertical="center"/>
    </xf>
    <xf numFmtId="0" fontId="31" fillId="11" borderId="4" xfId="6" applyFont="1" applyFill="1" applyBorder="1" applyAlignment="1">
      <alignment horizontal="left" vertical="center"/>
    </xf>
    <xf numFmtId="0" fontId="31" fillId="11" borderId="0" xfId="6" applyFont="1" applyFill="1" applyBorder="1" applyAlignment="1">
      <alignment horizontal="left" vertical="center"/>
    </xf>
    <xf numFmtId="166" fontId="34" fillId="11" borderId="23" xfId="6" applyNumberFormat="1" applyFont="1" applyFill="1" applyBorder="1" applyAlignment="1">
      <alignment horizontal="left" vertical="center"/>
    </xf>
    <xf numFmtId="166" fontId="34" fillId="11" borderId="43" xfId="6" applyNumberFormat="1" applyFont="1" applyFill="1" applyBorder="1" applyAlignment="1">
      <alignment horizontal="left" vertical="center"/>
    </xf>
    <xf numFmtId="166" fontId="34" fillId="11" borderId="17" xfId="6" applyNumberFormat="1" applyFont="1" applyFill="1" applyBorder="1" applyAlignment="1">
      <alignment horizontal="left" vertical="center"/>
    </xf>
    <xf numFmtId="0" fontId="51" fillId="40" borderId="0" xfId="6" applyFont="1" applyFill="1" applyBorder="1" applyAlignment="1">
      <alignment horizontal="left" vertical="center"/>
    </xf>
    <xf numFmtId="0" fontId="25" fillId="0" borderId="4" xfId="6" applyFont="1" applyFill="1" applyBorder="1" applyAlignment="1">
      <alignment horizontal="left" vertical="center"/>
    </xf>
    <xf numFmtId="0" fontId="25" fillId="0" borderId="0" xfId="6" applyFont="1" applyFill="1" applyBorder="1" applyAlignment="1">
      <alignment horizontal="left" vertical="center"/>
    </xf>
    <xf numFmtId="0" fontId="0" fillId="2" borderId="29" xfId="0" applyFill="1" applyBorder="1" applyAlignment="1">
      <alignment horizontal="center" wrapText="1"/>
    </xf>
    <xf numFmtId="0" fontId="0" fillId="2" borderId="30" xfId="0" applyFill="1" applyBorder="1" applyAlignment="1">
      <alignment horizontal="center" wrapText="1"/>
    </xf>
    <xf numFmtId="0" fontId="0" fillId="2" borderId="31" xfId="0" applyFill="1" applyBorder="1" applyAlignment="1">
      <alignment horizontal="center" wrapText="1"/>
    </xf>
    <xf numFmtId="0" fontId="0" fillId="34" borderId="29" xfId="0" applyFill="1" applyBorder="1" applyAlignment="1">
      <alignment horizontal="center" wrapText="1"/>
    </xf>
    <xf numFmtId="0" fontId="0" fillId="34" borderId="30" xfId="0" applyFill="1" applyBorder="1" applyAlignment="1">
      <alignment horizontal="center" wrapText="1"/>
    </xf>
    <xf numFmtId="0" fontId="0" fillId="34" borderId="31" xfId="0" applyFill="1" applyBorder="1" applyAlignment="1">
      <alignment horizontal="center" wrapText="1"/>
    </xf>
    <xf numFmtId="0" fontId="0" fillId="5" borderId="29" xfId="0" applyFill="1" applyBorder="1" applyAlignment="1">
      <alignment horizontal="center" wrapText="1"/>
    </xf>
    <xf numFmtId="0" fontId="0" fillId="5" borderId="30" xfId="0" applyFill="1" applyBorder="1" applyAlignment="1">
      <alignment horizontal="center" wrapText="1"/>
    </xf>
    <xf numFmtId="0" fontId="0" fillId="5" borderId="31" xfId="0" applyFill="1" applyBorder="1" applyAlignment="1">
      <alignment horizontal="center" wrapText="1"/>
    </xf>
    <xf numFmtId="0" fontId="0" fillId="3" borderId="50" xfId="0" applyFill="1" applyBorder="1" applyAlignment="1">
      <alignment horizontal="center" textRotation="90"/>
    </xf>
    <xf numFmtId="0" fontId="0" fillId="3" borderId="49" xfId="0" applyFill="1" applyBorder="1" applyAlignment="1">
      <alignment horizontal="center" textRotation="90"/>
    </xf>
    <xf numFmtId="0" fontId="0" fillId="3" borderId="13" xfId="0" applyFill="1" applyBorder="1" applyAlignment="1">
      <alignment horizontal="center" textRotation="90"/>
    </xf>
    <xf numFmtId="0" fontId="0" fillId="3" borderId="47" xfId="0" applyFill="1" applyBorder="1" applyAlignment="1">
      <alignment horizontal="center" textRotation="90"/>
    </xf>
    <xf numFmtId="0" fontId="0" fillId="3" borderId="12" xfId="0" applyFill="1" applyBorder="1" applyAlignment="1">
      <alignment horizontal="center" textRotation="90"/>
    </xf>
    <xf numFmtId="0" fontId="0" fillId="3" borderId="46" xfId="0" applyFill="1" applyBorder="1" applyAlignment="1">
      <alignment horizontal="center" textRotation="90"/>
    </xf>
    <xf numFmtId="0" fontId="0" fillId="9" borderId="29" xfId="0" applyFill="1" applyBorder="1" applyAlignment="1">
      <alignment horizontal="center"/>
    </xf>
    <xf numFmtId="0" fontId="0" fillId="9" borderId="30" xfId="0" applyFill="1" applyBorder="1" applyAlignment="1">
      <alignment horizontal="center"/>
    </xf>
    <xf numFmtId="0" fontId="0" fillId="9" borderId="31" xfId="0" applyFill="1" applyBorder="1" applyAlignment="1">
      <alignment horizontal="center"/>
    </xf>
    <xf numFmtId="0" fontId="0" fillId="8" borderId="27" xfId="0" applyFill="1" applyBorder="1" applyAlignment="1">
      <alignment horizontal="center"/>
    </xf>
    <xf numFmtId="0" fontId="0" fillId="4" borderId="27" xfId="0" applyFill="1" applyBorder="1" applyAlignment="1">
      <alignment horizontal="center" textRotation="90" wrapText="1"/>
    </xf>
    <xf numFmtId="0" fontId="0" fillId="5" borderId="27" xfId="0" applyFill="1" applyBorder="1" applyAlignment="1">
      <alignment horizontal="center" textRotation="90" wrapText="1"/>
    </xf>
    <xf numFmtId="0" fontId="0" fillId="6" borderId="27" xfId="0" applyFill="1" applyBorder="1" applyAlignment="1">
      <alignment horizontal="center" textRotation="90" wrapText="1"/>
    </xf>
    <xf numFmtId="0" fontId="0" fillId="32" borderId="29" xfId="0" applyFill="1" applyBorder="1" applyAlignment="1">
      <alignment horizontal="center" wrapText="1"/>
    </xf>
    <xf numFmtId="0" fontId="0" fillId="32" borderId="30" xfId="0" applyFill="1" applyBorder="1" applyAlignment="1">
      <alignment horizontal="center" wrapText="1"/>
    </xf>
    <xf numFmtId="0" fontId="0" fillId="32" borderId="31" xfId="0" applyFill="1" applyBorder="1" applyAlignment="1">
      <alignment horizontal="center" wrapText="1"/>
    </xf>
    <xf numFmtId="0" fontId="0" fillId="33" borderId="29" xfId="0" applyFill="1" applyBorder="1" applyAlignment="1">
      <alignment horizontal="center" wrapText="1"/>
    </xf>
    <xf numFmtId="0" fontId="0" fillId="33" borderId="30" xfId="0" applyFill="1" applyBorder="1" applyAlignment="1">
      <alignment horizontal="center" wrapText="1"/>
    </xf>
    <xf numFmtId="0" fontId="0" fillId="33" borderId="31" xfId="0" applyFill="1" applyBorder="1" applyAlignment="1">
      <alignment horizontal="center" wrapText="1"/>
    </xf>
    <xf numFmtId="0" fontId="12" fillId="11" borderId="2" xfId="0" applyFont="1" applyFill="1" applyBorder="1" applyAlignment="1">
      <alignment horizontal="center" vertical="center" wrapText="1"/>
    </xf>
    <xf numFmtId="0" fontId="12" fillId="11" borderId="8" xfId="0" applyFont="1" applyFill="1" applyBorder="1" applyAlignment="1">
      <alignment horizontal="center" vertical="center" wrapText="1"/>
    </xf>
    <xf numFmtId="0" fontId="12" fillId="11" borderId="3" xfId="0" applyFont="1" applyFill="1" applyBorder="1" applyAlignment="1">
      <alignment horizontal="center" vertical="center" wrapText="1"/>
    </xf>
    <xf numFmtId="0" fontId="12" fillId="11" borderId="35" xfId="0" applyFont="1" applyFill="1" applyBorder="1" applyAlignment="1">
      <alignment horizontal="center" vertical="center" wrapText="1"/>
    </xf>
    <xf numFmtId="0" fontId="12" fillId="11" borderId="19" xfId="0" applyFont="1" applyFill="1" applyBorder="1" applyAlignment="1">
      <alignment horizontal="center" vertical="center" wrapText="1"/>
    </xf>
    <xf numFmtId="0" fontId="12" fillId="11" borderId="36" xfId="0" applyFont="1" applyFill="1" applyBorder="1" applyAlignment="1">
      <alignment horizontal="center" vertical="center" wrapText="1"/>
    </xf>
    <xf numFmtId="0" fontId="12" fillId="11" borderId="1" xfId="0" applyFont="1" applyFill="1" applyBorder="1" applyAlignment="1">
      <alignment horizontal="center" vertical="center" wrapText="1"/>
    </xf>
    <xf numFmtId="166" fontId="25" fillId="40" borderId="0" xfId="6" applyNumberFormat="1" applyFont="1" applyFill="1" applyBorder="1" applyAlignment="1">
      <alignment horizontal="left" wrapText="1"/>
    </xf>
  </cellXfs>
  <cellStyles count="20">
    <cellStyle name="Calculation" xfId="9" builtinId="22"/>
    <cellStyle name="Comma" xfId="7" builtinId="3"/>
    <cellStyle name="Comma 2" xfId="1"/>
    <cellStyle name="Comma 3" xfId="16"/>
    <cellStyle name="Comma 4" xfId="17"/>
    <cellStyle name="Comma 4 10" xfId="10"/>
    <cellStyle name="Hyperlink" xfId="6" builtinId="8"/>
    <cellStyle name="Normal" xfId="0" builtinId="0"/>
    <cellStyle name="Normal 2" xfId="2"/>
    <cellStyle name="Normal 2 2" xfId="3"/>
    <cellStyle name="Normal 4" xfId="4"/>
    <cellStyle name="Normal 5" xfId="11"/>
    <cellStyle name="Normal 6" xfId="13"/>
    <cellStyle name="Normal_6_Village Tracts" xfId="18"/>
    <cellStyle name="Normal_Sheet1" xfId="15"/>
    <cellStyle name="Normal_Sheet1_1" xfId="19"/>
    <cellStyle name="Normal_Sheet11" xfId="5"/>
    <cellStyle name="Normal_Sheet3" xfId="14"/>
    <cellStyle name="Normal_Sheet3_1" xfId="12"/>
    <cellStyle name="Percent" xfId="8" builtinId="5"/>
  </cellStyles>
  <dxfs count="2241">
    <dxf>
      <numFmt numFmtId="165" formatCode="_-* #,##0_-;\-* #,##0_-;_-* &quot;-&quot;??_-;_-@_-"/>
    </dxf>
    <dxf>
      <numFmt numFmtId="165" formatCode="_-* #,##0_-;\-* #,##0_-;_-* &quot;-&quot;??_-;_-@_-"/>
    </dxf>
    <dxf>
      <numFmt numFmtId="3" formatCode="#,##0"/>
    </dxf>
    <dxf>
      <alignment wrapText="1" readingOrder="0"/>
    </dxf>
    <dxf>
      <alignment wrapText="1" readingOrder="0"/>
    </dxf>
    <dxf>
      <alignment vertical="top" readingOrder="0"/>
    </dxf>
    <dxf>
      <alignment vertical="top" readingOrder="0"/>
    </dxf>
    <dxf>
      <alignment horizontal="right" readingOrder="0"/>
    </dxf>
    <dxf>
      <alignment horizontal="left" readingOrder="0"/>
    </dxf>
    <dxf>
      <border>
        <left style="medium">
          <color indexed="64"/>
        </left>
        <right style="medium">
          <color indexed="64"/>
        </right>
        <top style="medium">
          <color indexed="64"/>
        </top>
        <bottom style="medium">
          <color indexed="64"/>
        </bottom>
      </border>
    </dxf>
    <dxf>
      <numFmt numFmtId="13" formatCode="0%"/>
    </dxf>
    <dxf>
      <numFmt numFmtId="165" formatCode="_-* #,##0_-;\-* #,##0_-;_-* &quot;-&quot;??_-;_-@_-"/>
    </dxf>
    <dxf>
      <numFmt numFmtId="170" formatCode="0.0%"/>
    </dxf>
    <dxf>
      <numFmt numFmtId="170" formatCode="0.0%"/>
    </dxf>
    <dxf>
      <numFmt numFmtId="165" formatCode="_-* #,##0_-;\-* #,##0_-;_-* &quot;-&quot;??_-;_-@_-"/>
    </dxf>
    <dxf>
      <fill>
        <patternFill patternType="solid">
          <bgColor rgb="FFFFC800"/>
        </patternFill>
      </fill>
    </dxf>
    <dxf>
      <fill>
        <patternFill patternType="solid">
          <bgColor rgb="FFFFC800"/>
        </patternFill>
      </fill>
    </dxf>
    <dxf>
      <border>
        <left style="thin">
          <color indexed="64"/>
        </left>
        <right style="thin">
          <color indexed="64"/>
        </right>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border>
    </dxf>
    <dxf>
      <border>
        <left style="thin">
          <color indexed="64"/>
        </left>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_-;\-* #,##0_-;_-* &quot;-&quot;??_-;_-@_-"/>
    </dxf>
    <dxf>
      <numFmt numFmtId="165" formatCode="_-* #,##0_-;\-* #,##0_-;_-* &quot;-&quot;??_-;_-@_-"/>
    </dxf>
    <dxf>
      <fill>
        <patternFill patternType="solid">
          <bgColor theme="1"/>
        </patternFill>
      </fill>
    </dxf>
    <dxf>
      <fill>
        <patternFill patternType="solid">
          <bgColor theme="1"/>
        </patternFill>
      </fill>
    </dxf>
    <dxf>
      <font>
        <color theme="0"/>
      </font>
    </dxf>
    <dxf>
      <font>
        <color theme="0"/>
      </font>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FFFFFF"/>
        </patternFill>
      </fill>
    </dxf>
    <dxf>
      <fill>
        <patternFill>
          <bgColor rgb="FFFFFFFF"/>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fill>
        <patternFill>
          <bgColor rgb="FFFFFFFF"/>
        </patternFill>
      </fill>
    </dxf>
    <dxf>
      <fill>
        <patternFill>
          <bgColor rgb="FFFFFFFF"/>
        </patternFill>
      </fill>
    </dxf>
    <dxf>
      <numFmt numFmtId="165" formatCode="_-* #,##0_-;\-* #,##0_-;_-* &quot;-&quot;??_-;_-@_-"/>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numFmt numFmtId="14" formatCode="0.00%"/>
    </dxf>
    <dxf>
      <numFmt numFmtId="13" formatCode="0%"/>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wrapText="1" readingOrder="0"/>
    </dxf>
    <dxf>
      <alignment wrapText="1" readingOrder="0"/>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wrapText="1" readingOrder="0"/>
    </dxf>
    <dxf>
      <alignment wrapText="1"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numFmt numFmtId="174" formatCode="m/d/yyyy"/>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69" formatCode="dd\-mmm\-yyyy"/>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ill>
        <patternFill patternType="solid">
          <fgColor indexed="64"/>
          <bgColor theme="3"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5" formatCode="_-* #,##0_-;\-* #,##0_-;_-* &quot;-&quot;??_-;_-@_-"/>
      <border diagonalUp="0" diagonalDown="0">
        <left style="thin">
          <color indexed="64"/>
        </left>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left" readingOrder="0"/>
    </dxf>
    <dxf>
      <alignment horizontal="right" readingOrder="0"/>
    </dxf>
    <dxf>
      <alignment vertical="top" readingOrder="0"/>
    </dxf>
    <dxf>
      <alignment vertical="top" readingOrder="0"/>
    </dxf>
    <dxf>
      <alignment wrapText="1" readingOrder="0"/>
    </dxf>
    <dxf>
      <alignment wrapText="1" readingOrder="0"/>
    </dxf>
    <dxf>
      <numFmt numFmtId="3" formatCode="#,##0"/>
    </dxf>
    <dxf>
      <numFmt numFmtId="165" formatCode="_-* #,##0_-;\-* #,##0_-;_-* &quot;-&quot;??_-;_-@_-"/>
    </dxf>
    <dxf>
      <numFmt numFmtId="165" formatCode="_-* #,##0_-;\-* #,##0_-;_-* &quot;-&quot;??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border>
    </dxf>
    <dxf>
      <border>
        <left style="thin">
          <color indexed="64"/>
        </lef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FFC800"/>
        </patternFill>
      </fill>
    </dxf>
    <dxf>
      <fill>
        <patternFill patternType="solid">
          <bgColor rgb="FFFFC800"/>
        </patternFill>
      </fill>
    </dxf>
    <dxf>
      <numFmt numFmtId="165" formatCode="_-* #,##0_-;\-* #,##0_-;_-* &quot;-&quot;??_-;_-@_-"/>
    </dxf>
    <dxf>
      <numFmt numFmtId="170" formatCode="0.0%"/>
    </dxf>
    <dxf>
      <numFmt numFmtId="170" formatCode="0.0%"/>
    </dxf>
    <dxf>
      <numFmt numFmtId="165" formatCode="_-* #,##0_-;\-* #,##0_-;_-* &quot;-&quot;??_-;_-@_-"/>
    </dxf>
    <dxf>
      <numFmt numFmtId="13" formatCode="0%"/>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numFmt numFmtId="1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alignment horizontal="left" readingOrder="0"/>
    </dxf>
    <dxf>
      <alignment vertical="top" readingOrder="0"/>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numFmt numFmtId="165" formatCode="_-* #,##0_-;\-* #,##0_-;_-* &quot;-&quot;??_-;_-@_-"/>
    </dxf>
    <dxf>
      <alignment horizontal="left" readingOrder="0"/>
    </dxf>
    <dxf>
      <alignment vertical="top" readingOrder="0"/>
    </dxf>
    <dxf>
      <border>
        <vertical style="thin">
          <color indexed="64"/>
        </vertical>
        <horizontal style="thin">
          <color indexed="64"/>
        </horizontal>
      </border>
    </dxf>
    <dxf>
      <border>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numFmt numFmtId="13"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13" formatCode="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20" formatCode="dd\-mmm\-yy"/>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numFmt numFmtId="13" formatCode="0%"/>
    </dxf>
    <dxf>
      <numFmt numFmtId="14" formatCode="0.00%"/>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numFmt numFmtId="165" formatCode="_-* #,##0_-;\-* #,##0_-;_-* &quot;-&quot;??_-;_-@_-"/>
    </dxf>
    <dxf>
      <fill>
        <patternFill>
          <bgColor rgb="FFFFFFFF"/>
        </patternFill>
      </fill>
    </dxf>
    <dxf>
      <fill>
        <patternFill>
          <bgColor rgb="FFFFFFFF"/>
        </patternFill>
      </fill>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numFmt numFmtId="171"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indexed="65"/>
        </patternFill>
      </fill>
      <alignment horizontal="general" vertical="center" textRotation="0" wrapText="0" indent="0" justifyLastLine="0" shrinkToFit="0" readingOrder="0"/>
      <protection locked="1" hidden="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alignment horizontal="right" vertical="center" textRotation="0" indent="0" justifyLastLine="0" shrinkToFit="0" readingOrder="0"/>
    </dxf>
    <dxf>
      <font>
        <strike val="0"/>
        <outline val="0"/>
        <shadow val="0"/>
        <u val="none"/>
        <vertAlign val="baseline"/>
        <sz val="11"/>
        <color auto="1"/>
        <name val="Calibri"/>
        <scheme val="minor"/>
      </font>
      <numFmt numFmtId="1" formatCode="0"/>
      <alignment horizontal="right" vertical="center" textRotation="0" indent="0" justifyLastLine="0" shrinkToFit="0" readingOrder="0"/>
    </dxf>
    <dxf>
      <font>
        <strike val="0"/>
        <outline val="0"/>
        <shadow val="0"/>
        <u val="none"/>
        <vertAlign val="baseline"/>
        <sz val="11"/>
        <color auto="1"/>
        <name val="Calibri"/>
        <scheme val="minor"/>
      </font>
      <numFmt numFmtId="174" formatCode="m/d/yyyy"/>
      <fill>
        <patternFill patternType="none">
          <fgColor indexed="64"/>
          <bgColor indexed="65"/>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FF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C800"/>
      <color rgb="FFFF0000"/>
      <color rgb="FFDCE6F1"/>
      <color rgb="FFFFFF00"/>
      <color rgb="FFFFFFFF"/>
      <color rgb="FFFD2361"/>
      <color rgb="FFFFEB00"/>
      <color rgb="FF00FF00"/>
      <color rgb="FFCC00CC"/>
      <color rgb="FFFF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9" Type="http://schemas.openxmlformats.org/officeDocument/2006/relationships/customXml" Target="../customXml/item7.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42" Type="http://schemas.openxmlformats.org/officeDocument/2006/relationships/customXml" Target="../customXml/item1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ustomXml" Target="../customXml/item1.xml"/><Relationship Id="rId38"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41"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alcChain" Target="calcChain.xml"/><Relationship Id="rId37" Type="http://schemas.openxmlformats.org/officeDocument/2006/relationships/customXml" Target="../customXml/item5.xml"/><Relationship Id="rId40" Type="http://schemas.openxmlformats.org/officeDocument/2006/relationships/customXml" Target="../customXml/item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4.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4"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3.xml"/><Relationship Id="rId30" Type="http://schemas.openxmlformats.org/officeDocument/2006/relationships/styles" Target="styles.xml"/><Relationship Id="rId35" Type="http://schemas.openxmlformats.org/officeDocument/2006/relationships/customXml" Target="../customXml/item3.xml"/><Relationship Id="rId43" Type="http://schemas.openxmlformats.org/officeDocument/2006/relationships/customXml" Target="../customXml/item1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November 2016.xlsx]Camp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pivotFmt>
    </c:pivotFmts>
    <c:plotArea>
      <c:layout>
        <c:manualLayout>
          <c:layoutTarget val="inner"/>
          <c:xMode val="edge"/>
          <c:yMode val="edge"/>
          <c:x val="0.18959818142938484"/>
          <c:y val="0.13559827434694499"/>
          <c:w val="0.75948171769126471"/>
          <c:h val="0.77055567472927888"/>
        </c:manualLayout>
      </c:layout>
      <c:barChart>
        <c:barDir val="bar"/>
        <c:grouping val="clustered"/>
        <c:varyColors val="0"/>
        <c:ser>
          <c:idx val="0"/>
          <c:order val="0"/>
          <c:tx>
            <c:strRef>
              <c:f>'Camp Analysis'!$Q$11</c:f>
              <c:strCache>
                <c:ptCount val="1"/>
                <c:pt idx="0">
                  <c:v>Total</c:v>
                </c:pt>
              </c:strCache>
            </c:strRef>
          </c:tx>
          <c:invertIfNegative val="0"/>
          <c:cat>
            <c:multiLvlStrRef>
              <c:f>'Camp Analysis'!$P$12:$P$47</c:f>
              <c:multiLvlStrCache>
                <c:ptCount val="22"/>
                <c:lvl>
                  <c:pt idx="0">
                    <c:v>Bhamo</c:v>
                  </c:pt>
                  <c:pt idx="1">
                    <c:v>Chipwi</c:v>
                  </c:pt>
                  <c:pt idx="2">
                    <c:v>Hpakant</c:v>
                  </c:pt>
                  <c:pt idx="3">
                    <c:v>Hseni</c:v>
                  </c:pt>
                  <c:pt idx="4">
                    <c:v>Injangyang</c:v>
                  </c:pt>
                  <c:pt idx="5">
                    <c:v>Khaunglanhpu</c:v>
                  </c:pt>
                  <c:pt idx="6">
                    <c:v>Machanbaw</c:v>
                  </c:pt>
                  <c:pt idx="7">
                    <c:v>Manton</c:v>
                  </c:pt>
                  <c:pt idx="8">
                    <c:v>Mogaung</c:v>
                  </c:pt>
                  <c:pt idx="9">
                    <c:v>Mohnyin</c:v>
                  </c:pt>
                  <c:pt idx="10">
                    <c:v>Muse</c:v>
                  </c:pt>
                  <c:pt idx="11">
                    <c:v>Namtu</c:v>
                  </c:pt>
                  <c:pt idx="12">
                    <c:v>Puta-O</c:v>
                  </c:pt>
                  <c:pt idx="13">
                    <c:v>Shwegu</c:v>
                  </c:pt>
                  <c:pt idx="14">
                    <c:v>Sumprabum</c:v>
                  </c:pt>
                  <c:pt idx="15">
                    <c:v>Kutkai</c:v>
                  </c:pt>
                  <c:pt idx="16">
                    <c:v>Mansi</c:v>
                  </c:pt>
                  <c:pt idx="17">
                    <c:v>Momauk</c:v>
                  </c:pt>
                  <c:pt idx="18">
                    <c:v>Myitkyina</c:v>
                  </c:pt>
                  <c:pt idx="19">
                    <c:v>Namhkan</c:v>
                  </c:pt>
                  <c:pt idx="20">
                    <c:v>Waingmaw</c:v>
                  </c:pt>
                  <c:pt idx="21">
                    <c:v>Hsipaw</c:v>
                  </c:pt>
                </c:lvl>
                <c:lvl>
                  <c:pt idx="0">
                    <c:v>Bhamo</c:v>
                  </c:pt>
                  <c:pt idx="1">
                    <c:v>Chipwi</c:v>
                  </c:pt>
                  <c:pt idx="2">
                    <c:v>Hpakant</c:v>
                  </c:pt>
                  <c:pt idx="3">
                    <c:v>Hseni</c:v>
                  </c:pt>
                  <c:pt idx="4">
                    <c:v>Injangyang</c:v>
                  </c:pt>
                  <c:pt idx="5">
                    <c:v>Group1</c:v>
                  </c:pt>
                  <c:pt idx="15">
                    <c:v>Kutkai</c:v>
                  </c:pt>
                  <c:pt idx="16">
                    <c:v>Mansi</c:v>
                  </c:pt>
                  <c:pt idx="17">
                    <c:v>Momauk</c:v>
                  </c:pt>
                  <c:pt idx="18">
                    <c:v>Myitkyina</c:v>
                  </c:pt>
                  <c:pt idx="19">
                    <c:v>Namhkan</c:v>
                  </c:pt>
                  <c:pt idx="20">
                    <c:v>Waingmaw</c:v>
                  </c:pt>
                  <c:pt idx="21">
                    <c:v>Hsipaw</c:v>
                  </c:pt>
                </c:lvl>
              </c:multiLvlStrCache>
            </c:multiLvlStrRef>
          </c:cat>
          <c:val>
            <c:numRef>
              <c:f>'Camp Analysis'!$Q$12:$Q$47</c:f>
              <c:numCache>
                <c:formatCode>General</c:formatCode>
                <c:ptCount val="22"/>
                <c:pt idx="0">
                  <c:v>8129</c:v>
                </c:pt>
                <c:pt idx="1">
                  <c:v>2628</c:v>
                </c:pt>
                <c:pt idx="2">
                  <c:v>3766</c:v>
                </c:pt>
                <c:pt idx="3">
                  <c:v>672</c:v>
                </c:pt>
                <c:pt idx="4">
                  <c:v>0</c:v>
                </c:pt>
                <c:pt idx="6">
                  <c:v>0</c:v>
                </c:pt>
                <c:pt idx="7">
                  <c:v>539</c:v>
                </c:pt>
                <c:pt idx="8">
                  <c:v>404</c:v>
                </c:pt>
                <c:pt idx="9">
                  <c:v>331</c:v>
                </c:pt>
                <c:pt idx="10">
                  <c:v>1851</c:v>
                </c:pt>
                <c:pt idx="11">
                  <c:v>1978</c:v>
                </c:pt>
                <c:pt idx="12">
                  <c:v>388</c:v>
                </c:pt>
                <c:pt idx="13">
                  <c:v>2230</c:v>
                </c:pt>
                <c:pt idx="14">
                  <c:v>1232</c:v>
                </c:pt>
                <c:pt idx="15">
                  <c:v>5032</c:v>
                </c:pt>
                <c:pt idx="16">
                  <c:v>12543</c:v>
                </c:pt>
                <c:pt idx="17">
                  <c:v>15683</c:v>
                </c:pt>
                <c:pt idx="18">
                  <c:v>5923</c:v>
                </c:pt>
                <c:pt idx="19">
                  <c:v>2777</c:v>
                </c:pt>
                <c:pt idx="20">
                  <c:v>37252</c:v>
                </c:pt>
                <c:pt idx="21">
                  <c:v>120</c:v>
                </c:pt>
              </c:numCache>
            </c:numRef>
          </c:val>
        </c:ser>
        <c:dLbls>
          <c:showLegendKey val="0"/>
          <c:showVal val="0"/>
          <c:showCatName val="0"/>
          <c:showSerName val="0"/>
          <c:showPercent val="0"/>
          <c:showBubbleSize val="0"/>
        </c:dLbls>
        <c:gapWidth val="150"/>
        <c:axId val="212598880"/>
        <c:axId val="214011680"/>
      </c:barChart>
      <c:catAx>
        <c:axId val="212598880"/>
        <c:scaling>
          <c:orientation val="minMax"/>
        </c:scaling>
        <c:delete val="0"/>
        <c:axPos val="l"/>
        <c:numFmt formatCode="General" sourceLinked="0"/>
        <c:majorTickMark val="out"/>
        <c:minorTickMark val="none"/>
        <c:tickLblPos val="nextTo"/>
        <c:crossAx val="214011680"/>
        <c:crosses val="autoZero"/>
        <c:auto val="1"/>
        <c:lblAlgn val="ctr"/>
        <c:lblOffset val="100"/>
        <c:noMultiLvlLbl val="1"/>
      </c:catAx>
      <c:valAx>
        <c:axId val="214011680"/>
        <c:scaling>
          <c:orientation val="minMax"/>
        </c:scaling>
        <c:delete val="0"/>
        <c:axPos val="b"/>
        <c:majorGridlines/>
        <c:numFmt formatCode="General" sourceLinked="1"/>
        <c:majorTickMark val="out"/>
        <c:minorTickMark val="none"/>
        <c:tickLblPos val="nextTo"/>
        <c:crossAx val="212598880"/>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November 2016.xlsx]Shelter Summary (by Agency)!PivotTable3</c:name>
    <c:fmtId val="4"/>
  </c:pivotSource>
  <c:chart>
    <c:title>
      <c:tx>
        <c:rich>
          <a:bodyPr/>
          <a:lstStyle/>
          <a:p>
            <a:pPr>
              <a:defRPr/>
            </a:pPr>
            <a:r>
              <a:rPr lang="en-US"/>
              <a:t># Shelters built/Agency</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pivotFmt>
      <c:pivotFmt>
        <c:idx val="13"/>
      </c:pivotFmt>
      <c:pivotFmt>
        <c:idx val="14"/>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5.1282061635788741E-3"/>
              <c:y val="-0.24119857774587364"/>
            </c:manualLayout>
          </c:layout>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5641030817894371E-3"/>
              <c:y val="-6.641699966915361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5.593010498455040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1282061635788741E-3"/>
              <c:y val="-6.641699966915361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9.438205216142882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0"/>
              <c:y val="-5.593010498455040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2.0189788045586118E-7"/>
              <c:y val="-4.893884186148160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7.6923092453684049E-3"/>
              <c:y val="-6.991263123068801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3"/>
        <c:dLbl>
          <c:idx val="0"/>
          <c:layout>
            <c:manualLayout>
              <c:x val="-5.1282061635788741E-3"/>
              <c:y val="-4.544321029994721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
              <c:y val="-4.1947578738412809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4.7008013458890184E-17"/>
              <c:y val="-5.243447342301600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0"/>
              <c:y val="-0.13632963089984163"/>
            </c:manualLayout>
          </c:layout>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7.340826279222234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2.5643049796698928E-3"/>
              <c:y val="-7.690389435375681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0"/>
              <c:y val="-2.96296382705273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0"/>
              <c:y val="-3.703704783815925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2.5672373615106838E-3"/>
              <c:y val="-3.70370478381591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0"/>
              <c:y val="-4.814816218960693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2.5672373615106838E-3"/>
              <c:y val="-3.333334305434326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0"/>
              <c:y val="-3.70370478381591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6"/>
        <c:dLbl>
          <c:idx val="0"/>
          <c:layout>
            <c:manualLayout>
              <c:x val="2.5732932683053345E-3"/>
              <c:y val="-7.734808873075760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7"/>
        <c:dLbl>
          <c:idx val="0"/>
          <c:layout>
            <c:manualLayout>
              <c:x val="0"/>
              <c:y val="-4.419890784614719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8"/>
        <c:dLbl>
          <c:idx val="0"/>
          <c:layout>
            <c:manualLayout>
              <c:x val="0"/>
              <c:y val="-0.1325967235384416"/>
            </c:manualLayout>
          </c:layout>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
              <c:y val="-3.683242320512266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
              <c:y val="-3.683242320512266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
              <c:y val="-6.629836176922079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0"/>
              <c:y val="-3.683242320512259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9.4352996530661547E-17"/>
              <c:y val="-4.788215016665953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2.5732932683053345E-3"/>
              <c:y val="-0.24309399315380956"/>
            </c:manualLayout>
          </c:layout>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9.4352996530661547E-17"/>
              <c:y val="-4.419890784614719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0"/>
              <c:y val="-4.051566552563486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7"/>
        <c:marker>
          <c:symbol val="none"/>
        </c:marker>
      </c:pivotFmt>
    </c:pivotFmts>
    <c:plotArea>
      <c:layout/>
      <c:barChart>
        <c:barDir val="col"/>
        <c:grouping val="stacked"/>
        <c:varyColors val="0"/>
        <c:ser>
          <c:idx val="0"/>
          <c:order val="0"/>
          <c:tx>
            <c:strRef>
              <c:f>'Shelter Summary (by Agency)'!$F$7</c:f>
              <c:strCache>
                <c:ptCount val="1"/>
                <c:pt idx="0">
                  <c:v>Total</c:v>
                </c:pt>
              </c:strCache>
            </c:strRef>
          </c:tx>
          <c:invertIfNegative val="0"/>
          <c:cat>
            <c:strRef>
              <c:f>'Shelter Summary (by Agency)'!$E$8:$E$22</c:f>
              <c:strCache>
                <c:ptCount val="14"/>
                <c:pt idx="0">
                  <c:v>Caritas</c:v>
                </c:pt>
                <c:pt idx="1">
                  <c:v>CC</c:v>
                </c:pt>
                <c:pt idx="2">
                  <c:v>COC</c:v>
                </c:pt>
                <c:pt idx="3">
                  <c:v>DFID</c:v>
                </c:pt>
                <c:pt idx="4">
                  <c:v>DRC</c:v>
                </c:pt>
                <c:pt idx="5">
                  <c:v>FSD</c:v>
                </c:pt>
                <c:pt idx="6">
                  <c:v>IRRC</c:v>
                </c:pt>
                <c:pt idx="7">
                  <c:v>KBC Zonal</c:v>
                </c:pt>
                <c:pt idx="8">
                  <c:v>Metta</c:v>
                </c:pt>
                <c:pt idx="9">
                  <c:v>Misereor</c:v>
                </c:pt>
                <c:pt idx="10">
                  <c:v>Oxfam</c:v>
                </c:pt>
                <c:pt idx="11">
                  <c:v>UNHCR</c:v>
                </c:pt>
                <c:pt idx="12">
                  <c:v>World Vision</c:v>
                </c:pt>
                <c:pt idx="13">
                  <c:v>Yedai Foundation</c:v>
                </c:pt>
              </c:strCache>
            </c:strRef>
          </c:cat>
          <c:val>
            <c:numRef>
              <c:f>'Shelter Summary (by Agency)'!$F$8:$F$22</c:f>
              <c:numCache>
                <c:formatCode>_-* #,##0_-;\-* #,##0_-;_-* "-"??_-;_-@_-</c:formatCode>
                <c:ptCount val="14"/>
                <c:pt idx="0">
                  <c:v>725</c:v>
                </c:pt>
                <c:pt idx="1">
                  <c:v>279</c:v>
                </c:pt>
                <c:pt idx="2">
                  <c:v>20</c:v>
                </c:pt>
                <c:pt idx="3">
                  <c:v>350</c:v>
                </c:pt>
                <c:pt idx="4">
                  <c:v>2603</c:v>
                </c:pt>
                <c:pt idx="5">
                  <c:v>269</c:v>
                </c:pt>
                <c:pt idx="6">
                  <c:v>32</c:v>
                </c:pt>
                <c:pt idx="7">
                  <c:v>205</c:v>
                </c:pt>
                <c:pt idx="8">
                  <c:v>900</c:v>
                </c:pt>
                <c:pt idx="9">
                  <c:v>12</c:v>
                </c:pt>
                <c:pt idx="10">
                  <c:v>405</c:v>
                </c:pt>
                <c:pt idx="11">
                  <c:v>6981</c:v>
                </c:pt>
                <c:pt idx="12">
                  <c:v>77</c:v>
                </c:pt>
                <c:pt idx="13">
                  <c:v>10</c:v>
                </c:pt>
              </c:numCache>
            </c:numRef>
          </c:val>
        </c:ser>
        <c:dLbls>
          <c:showLegendKey val="0"/>
          <c:showVal val="0"/>
          <c:showCatName val="0"/>
          <c:showSerName val="0"/>
          <c:showPercent val="0"/>
          <c:showBubbleSize val="0"/>
        </c:dLbls>
        <c:gapWidth val="150"/>
        <c:overlap val="100"/>
        <c:axId val="291809696"/>
        <c:axId val="291810088"/>
      </c:barChart>
      <c:catAx>
        <c:axId val="291809696"/>
        <c:scaling>
          <c:orientation val="minMax"/>
        </c:scaling>
        <c:delete val="0"/>
        <c:axPos val="b"/>
        <c:numFmt formatCode="General" sourceLinked="0"/>
        <c:majorTickMark val="out"/>
        <c:minorTickMark val="none"/>
        <c:tickLblPos val="nextTo"/>
        <c:crossAx val="291810088"/>
        <c:crosses val="autoZero"/>
        <c:auto val="1"/>
        <c:lblAlgn val="ctr"/>
        <c:lblOffset val="100"/>
        <c:noMultiLvlLbl val="0"/>
      </c:catAx>
      <c:valAx>
        <c:axId val="291810088"/>
        <c:scaling>
          <c:orientation val="minMax"/>
        </c:scaling>
        <c:delete val="0"/>
        <c:axPos val="l"/>
        <c:majorGridlines/>
        <c:title>
          <c:tx>
            <c:rich>
              <a:bodyPr rot="-5400000" vert="horz"/>
              <a:lstStyle/>
              <a:p>
                <a:pPr>
                  <a:defRPr/>
                </a:pPr>
                <a:r>
                  <a:rPr lang="en-US"/>
                  <a:t># of Individual Units</a:t>
                </a:r>
              </a:p>
            </c:rich>
          </c:tx>
          <c:overlay val="0"/>
        </c:title>
        <c:numFmt formatCode="_-* #,##0_-;\-* #,##0_-;_-* &quot;-&quot;??_-;_-@_-" sourceLinked="1"/>
        <c:majorTickMark val="out"/>
        <c:minorTickMark val="none"/>
        <c:tickLblPos val="nextTo"/>
        <c:crossAx val="291809696"/>
        <c:crosses val="autoZero"/>
        <c:crossBetween val="between"/>
        <c:majorUnit val="1000"/>
      </c:valAx>
    </c:plotArea>
    <c:plotVisOnly val="1"/>
    <c:dispBlanksAs val="gap"/>
    <c:showDLblsOverMax val="0"/>
  </c:chart>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Shelter Situation</a:t>
            </a:r>
          </a:p>
        </c:rich>
      </c:tx>
      <c:overlay val="0"/>
    </c:title>
    <c:autoTitleDeleted val="0"/>
    <c:plotArea>
      <c:layout>
        <c:manualLayout>
          <c:layoutTarget val="inner"/>
          <c:xMode val="edge"/>
          <c:yMode val="edge"/>
          <c:x val="1.5962553872270021E-2"/>
          <c:y val="0.34912111856482186"/>
          <c:w val="0.47600816279225672"/>
          <c:h val="0.44354925801697415"/>
        </c:manualLayout>
      </c:layout>
      <c:pieChart>
        <c:varyColors val="1"/>
        <c:ser>
          <c:idx val="0"/>
          <c:order val="0"/>
          <c:dPt>
            <c:idx val="0"/>
            <c:bubble3D val="0"/>
            <c:spPr>
              <a:solidFill>
                <a:schemeClr val="accent3">
                  <a:lumMod val="75000"/>
                </a:schemeClr>
              </a:solidFill>
            </c:spPr>
          </c:dPt>
          <c:dPt>
            <c:idx val="2"/>
            <c:bubble3D val="0"/>
            <c:spPr>
              <a:solidFill>
                <a:schemeClr val="tx1"/>
              </a:solidFill>
            </c:spPr>
          </c:dPt>
          <c:dLbls>
            <c:dLbl>
              <c:idx val="0"/>
              <c:tx>
                <c:rich>
                  <a:bodyPr/>
                  <a:lstStyle/>
                  <a:p>
                    <a:r>
                      <a:rPr lang="en-US"/>
                      <a:t>73%</a:t>
                    </a:r>
                  </a:p>
                </c:rich>
              </c:tx>
              <c:showLegendKey val="0"/>
              <c:showVal val="0"/>
              <c:showCatName val="0"/>
              <c:showSerName val="0"/>
              <c:showPercent val="1"/>
              <c:showBubbleSize val="0"/>
              <c:extLst>
                <c:ext xmlns:c15="http://schemas.microsoft.com/office/drawing/2012/chart" uri="{CE6537A1-D6FC-4f65-9D91-7224C49458BB}"/>
              </c:extLst>
            </c:dLbl>
            <c:dLbl>
              <c:idx val="1"/>
              <c:tx>
                <c:rich>
                  <a:bodyPr/>
                  <a:lstStyle/>
                  <a:p>
                    <a:r>
                      <a:rPr lang="en-US"/>
                      <a:t>27%</a:t>
                    </a:r>
                  </a:p>
                </c:rich>
              </c:tx>
              <c:showLegendKey val="0"/>
              <c:showVal val="0"/>
              <c:showCatName val="0"/>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a:noFill/>
              </a:ln>
              <a:effectLst/>
            </c:spPr>
            <c:txPr>
              <a:bodyPr/>
              <a:lstStyle/>
              <a:p>
                <a:pPr>
                  <a:defRPr sz="800">
                    <a:solidFill>
                      <a:schemeClr val="bg1"/>
                    </a:solidFill>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('Shelter Coverage &amp; Gaps'!$CG$7,'Shelter Coverage &amp; Gaps'!$CG$9,'Shelter Coverage &amp; Gaps'!$CG$10)</c:f>
              <c:strCache>
                <c:ptCount val="3"/>
                <c:pt idx="0">
                  <c:v>#Covered</c:v>
                </c:pt>
                <c:pt idx="1">
                  <c:v>#Gap</c:v>
                </c:pt>
                <c:pt idx="2">
                  <c:v>#Land Issue</c:v>
                </c:pt>
              </c:strCache>
            </c:strRef>
          </c:cat>
          <c:val>
            <c:numRef>
              <c:f>('Shelter Coverage &amp; Gaps'!$CH$7,'Shelter Coverage &amp; Gaps'!$CH$9,'Shelter Coverage &amp; Gaps'!$CH$10)</c:f>
              <c:numCache>
                <c:formatCode>_-* #,##0_-;\-* #,##0_-;_-* "-"??_-;_-@_-</c:formatCode>
                <c:ptCount val="3"/>
                <c:pt idx="0">
                  <c:v>11638</c:v>
                </c:pt>
                <c:pt idx="1">
                  <c:v>6242</c:v>
                </c:pt>
                <c:pt idx="2">
                  <c:v>80</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47182507263453438"/>
          <c:y val="0.33461126357337673"/>
          <c:w val="0.43437583290758552"/>
          <c:h val="0.51831633036161839"/>
        </c:manualLayout>
      </c:layout>
      <c:overlay val="0"/>
    </c:legend>
    <c:plotVisOnly val="1"/>
    <c:dispBlanksAs val="gap"/>
    <c:showDLblsOverMax val="0"/>
  </c:chart>
  <c:spPr>
    <a:solidFill>
      <a:schemeClr val="bg1">
        <a:lumMod val="95000"/>
      </a:schemeClr>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NFI Distribution in Rakhine State by Agency</a:t>
            </a:r>
          </a:p>
        </c:rich>
      </c:tx>
      <c:overlay val="0"/>
    </c:title>
    <c:autoTitleDeleted val="0"/>
    <c:plotArea>
      <c:layout/>
      <c:barChart>
        <c:barDir val="bar"/>
        <c:grouping val="clustered"/>
        <c:varyColors val="0"/>
        <c:ser>
          <c:idx val="0"/>
          <c:order val="0"/>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2"/>
          <c:order val="2"/>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3"/>
          <c:order val="3"/>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4"/>
          <c:order val="4"/>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5"/>
          <c:order val="5"/>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6"/>
          <c:order val="6"/>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7"/>
          <c:order val="7"/>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150"/>
        <c:axId val="292803480"/>
        <c:axId val="292803872"/>
      </c:barChart>
      <c:catAx>
        <c:axId val="292803480"/>
        <c:scaling>
          <c:orientation val="minMax"/>
        </c:scaling>
        <c:delete val="0"/>
        <c:axPos val="l"/>
        <c:majorTickMark val="none"/>
        <c:minorTickMark val="none"/>
        <c:tickLblPos val="nextTo"/>
        <c:crossAx val="292803872"/>
        <c:crosses val="autoZero"/>
        <c:auto val="1"/>
        <c:lblAlgn val="ctr"/>
        <c:lblOffset val="100"/>
        <c:noMultiLvlLbl val="0"/>
      </c:catAx>
      <c:valAx>
        <c:axId val="292803872"/>
        <c:scaling>
          <c:orientation val="minMax"/>
        </c:scaling>
        <c:delete val="0"/>
        <c:axPos val="b"/>
        <c:majorGridlines/>
        <c:numFmt formatCode="General" sourceLinked="1"/>
        <c:majorTickMark val="none"/>
        <c:minorTickMark val="none"/>
        <c:tickLblPos val="nextTo"/>
        <c:crossAx val="292803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100" b="1">
                <a:latin typeface="+mn-lt"/>
              </a:defRPr>
            </a:pPr>
            <a:r>
              <a:rPr lang="en-US" sz="1100" b="1">
                <a:latin typeface="+mn-lt"/>
              </a:rPr>
              <a:t>Coverage</a:t>
            </a:r>
            <a:r>
              <a:rPr lang="en-US" sz="1100" b="1" baseline="0">
                <a:latin typeface="+mn-lt"/>
              </a:rPr>
              <a:t> &amp; Gaps / Items</a:t>
            </a:r>
            <a:endParaRPr lang="en-US" sz="1100" b="1">
              <a:latin typeface="+mn-lt"/>
            </a:endParaRPr>
          </a:p>
        </c:rich>
      </c:tx>
      <c:layout>
        <c:manualLayout>
          <c:xMode val="edge"/>
          <c:yMode val="edge"/>
          <c:x val="0.2306514653125229"/>
          <c:y val="0"/>
        </c:manualLayout>
      </c:layout>
      <c:overlay val="0"/>
    </c:title>
    <c:autoTitleDeleted val="0"/>
    <c:plotArea>
      <c:layout>
        <c:manualLayout>
          <c:layoutTarget val="inner"/>
          <c:xMode val="edge"/>
          <c:yMode val="edge"/>
          <c:x val="0.14939203728374265"/>
          <c:y val="0.20269797903419415"/>
          <c:w val="0.6339556147360994"/>
          <c:h val="0.32959123111299371"/>
        </c:manualLayout>
      </c:layout>
      <c:barChart>
        <c:barDir val="col"/>
        <c:grouping val="stacked"/>
        <c:varyColors val="0"/>
        <c:ser>
          <c:idx val="1"/>
          <c:order val="0"/>
          <c:tx>
            <c:strRef>
              <c:f>'NFI Summary'!$G$11</c:f>
              <c:strCache>
                <c:ptCount val="1"/>
                <c:pt idx="0">
                  <c:v>% Distributed</c:v>
                </c:pt>
              </c:strCache>
            </c:strRef>
          </c:tx>
          <c:spPr>
            <a:solidFill>
              <a:srgbClr val="25FF88"/>
            </a:solidFill>
          </c:spPr>
          <c:invertIfNegative val="0"/>
          <c:cat>
            <c:strRef>
              <c:f>'NFI Summary'!$C$12:$C$18</c:f>
              <c:strCache>
                <c:ptCount val="7"/>
                <c:pt idx="0">
                  <c:v>Mosquito net</c:v>
                </c:pt>
                <c:pt idx="1">
                  <c:v>Tarpaulin</c:v>
                </c:pt>
                <c:pt idx="2">
                  <c:v>Blanket</c:v>
                </c:pt>
                <c:pt idx="3">
                  <c:v>Kitchen Set</c:v>
                </c:pt>
                <c:pt idx="4">
                  <c:v>Clothes Kit</c:v>
                </c:pt>
                <c:pt idx="5">
                  <c:v>Plastic Bucket</c:v>
                </c:pt>
                <c:pt idx="6">
                  <c:v>Plastic Mat</c:v>
                </c:pt>
              </c:strCache>
            </c:strRef>
          </c:cat>
          <c:val>
            <c:numRef>
              <c:f>'NFI Summary'!$G$12:$G$18</c:f>
              <c:numCache>
                <c:formatCode>0%</c:formatCode>
                <c:ptCount val="7"/>
                <c:pt idx="0">
                  <c:v>3.3364884051112161E-2</c:v>
                </c:pt>
                <c:pt idx="1">
                  <c:v>3.8807382867960247E-2</c:v>
                </c:pt>
                <c:pt idx="2">
                  <c:v>3.4074775201135825E-2</c:v>
                </c:pt>
                <c:pt idx="3">
                  <c:v>2.0823473734027449E-2</c:v>
                </c:pt>
                <c:pt idx="4">
                  <c:v>0</c:v>
                </c:pt>
                <c:pt idx="5">
                  <c:v>3.8807382867960247E-2</c:v>
                </c:pt>
                <c:pt idx="6">
                  <c:v>4.7799337434926648E-2</c:v>
                </c:pt>
              </c:numCache>
            </c:numRef>
          </c:val>
        </c:ser>
        <c:ser>
          <c:idx val="3"/>
          <c:order val="1"/>
          <c:tx>
            <c:strRef>
              <c:f>'NFI Summary'!$I$11</c:f>
              <c:strCache>
                <c:ptCount val="1"/>
                <c:pt idx="0">
                  <c:v>% In Stock</c:v>
                </c:pt>
              </c:strCache>
            </c:strRef>
          </c:tx>
          <c:spPr>
            <a:solidFill>
              <a:schemeClr val="accent1">
                <a:lumMod val="40000"/>
                <a:lumOff val="60000"/>
              </a:schemeClr>
            </a:solidFill>
            <a:ln>
              <a:noFill/>
            </a:ln>
          </c:spPr>
          <c:invertIfNegative val="0"/>
          <c:cat>
            <c:strRef>
              <c:f>'NFI Summary'!$C$12:$C$18</c:f>
              <c:strCache>
                <c:ptCount val="7"/>
                <c:pt idx="0">
                  <c:v>Mosquito net</c:v>
                </c:pt>
                <c:pt idx="1">
                  <c:v>Tarpaulin</c:v>
                </c:pt>
                <c:pt idx="2">
                  <c:v>Blanket</c:v>
                </c:pt>
                <c:pt idx="3">
                  <c:v>Kitchen Set</c:v>
                </c:pt>
                <c:pt idx="4">
                  <c:v>Clothes Kit</c:v>
                </c:pt>
                <c:pt idx="5">
                  <c:v>Plastic Bucket</c:v>
                </c:pt>
                <c:pt idx="6">
                  <c:v>Plastic Mat</c:v>
                </c:pt>
              </c:strCache>
            </c:strRef>
          </c:cat>
          <c:val>
            <c:numRef>
              <c:f>'NFI Summary'!$I$12:$I$18</c:f>
              <c:numCache>
                <c:formatCode>0%</c:formatCode>
                <c:ptCount val="7"/>
                <c:pt idx="0">
                  <c:v>0.69238050165641263</c:v>
                </c:pt>
                <c:pt idx="1">
                  <c:v>0.49976336961665879</c:v>
                </c:pt>
                <c:pt idx="2">
                  <c:v>1.2841930903928065</c:v>
                </c:pt>
                <c:pt idx="3">
                  <c:v>0.54566966398485561</c:v>
                </c:pt>
                <c:pt idx="4">
                  <c:v>0</c:v>
                </c:pt>
                <c:pt idx="5">
                  <c:v>0.51680075721722674</c:v>
                </c:pt>
                <c:pt idx="6">
                  <c:v>0.55399905347846667</c:v>
                </c:pt>
              </c:numCache>
            </c:numRef>
          </c:val>
        </c:ser>
        <c:ser>
          <c:idx val="0"/>
          <c:order val="2"/>
          <c:tx>
            <c:strRef>
              <c:f>'NFI Summary'!$J$11</c:f>
              <c:strCache>
                <c:ptCount val="1"/>
                <c:pt idx="0">
                  <c:v>% Gap</c:v>
                </c:pt>
              </c:strCache>
            </c:strRef>
          </c:tx>
          <c:spPr>
            <a:solidFill>
              <a:srgbClr val="FD2361"/>
            </a:solidFill>
          </c:spPr>
          <c:invertIfNegative val="0"/>
          <c:val>
            <c:numRef>
              <c:f>'NFI Summary'!$J$12:$J$18</c:f>
              <c:numCache>
                <c:formatCode>0%</c:formatCode>
                <c:ptCount val="7"/>
                <c:pt idx="0">
                  <c:v>0.27425461429247522</c:v>
                </c:pt>
                <c:pt idx="1">
                  <c:v>0.46142924751538095</c:v>
                </c:pt>
                <c:pt idx="2">
                  <c:v>0</c:v>
                </c:pt>
                <c:pt idx="3">
                  <c:v>0.4335068622811169</c:v>
                </c:pt>
                <c:pt idx="4">
                  <c:v>1</c:v>
                </c:pt>
                <c:pt idx="5">
                  <c:v>0.444391859914813</c:v>
                </c:pt>
                <c:pt idx="6">
                  <c:v>0.39820160908660673</c:v>
                </c:pt>
              </c:numCache>
            </c:numRef>
          </c:val>
        </c:ser>
        <c:dLbls>
          <c:showLegendKey val="0"/>
          <c:showVal val="0"/>
          <c:showCatName val="0"/>
          <c:showSerName val="0"/>
          <c:showPercent val="0"/>
          <c:showBubbleSize val="0"/>
        </c:dLbls>
        <c:gapWidth val="55"/>
        <c:overlap val="100"/>
        <c:axId val="292804656"/>
        <c:axId val="292805048"/>
      </c:barChart>
      <c:catAx>
        <c:axId val="292804656"/>
        <c:scaling>
          <c:orientation val="minMax"/>
        </c:scaling>
        <c:delete val="0"/>
        <c:axPos val="b"/>
        <c:numFmt formatCode="General" sourceLinked="1"/>
        <c:majorTickMark val="none"/>
        <c:minorTickMark val="none"/>
        <c:tickLblPos val="nextTo"/>
        <c:txPr>
          <a:bodyPr rot="-5400000" vert="horz" anchor="t" anchorCtr="0"/>
          <a:lstStyle/>
          <a:p>
            <a:pPr>
              <a:defRPr sz="800" b="0" i="0" u="none" strike="noStrike" baseline="0">
                <a:solidFill>
                  <a:srgbClr val="000000"/>
                </a:solidFill>
                <a:latin typeface="Calibri"/>
                <a:ea typeface="Calibri"/>
                <a:cs typeface="Calibri"/>
              </a:defRPr>
            </a:pPr>
            <a:endParaRPr lang="en-US"/>
          </a:p>
        </c:txPr>
        <c:crossAx val="292805048"/>
        <c:crosses val="autoZero"/>
        <c:auto val="1"/>
        <c:lblAlgn val="ctr"/>
        <c:lblOffset val="0"/>
        <c:noMultiLvlLbl val="0"/>
      </c:catAx>
      <c:valAx>
        <c:axId val="292805048"/>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292804656"/>
        <c:crosses val="autoZero"/>
        <c:crossBetween val="between"/>
        <c:majorUnit val="0.2"/>
      </c:valAx>
      <c:spPr>
        <a:noFill/>
        <a:ln w="25400">
          <a:noFill/>
        </a:ln>
      </c:spPr>
    </c:plotArea>
    <c:legend>
      <c:legendPos val="r"/>
      <c:overlay val="0"/>
      <c:txPr>
        <a:bodyPr/>
        <a:lstStyle/>
        <a:p>
          <a:pPr>
            <a:defRPr sz="8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November 2016.xlsx]NFI Distribution (by Tship)!PivotTable3</c:name>
    <c:fmtId val="5"/>
  </c:pivotSource>
  <c:chart>
    <c:title>
      <c:tx>
        <c:rich>
          <a:bodyPr/>
          <a:lstStyle/>
          <a:p>
            <a:pPr>
              <a:defRPr/>
            </a:pPr>
            <a:r>
              <a:rPr lang="en-US"/>
              <a:t>Per Oraganization</a:t>
            </a:r>
          </a:p>
        </c:rich>
      </c:tx>
      <c:layout>
        <c:manualLayout>
          <c:xMode val="edge"/>
          <c:yMode val="edge"/>
          <c:x val="0.30904386990904809"/>
          <c:y val="3.2689095681221664E-2"/>
        </c:manualLayout>
      </c:layout>
      <c:overlay val="1"/>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marker>
          <c:symbol val="none"/>
        </c:marker>
      </c:pivotFmt>
      <c:pivotFmt>
        <c:idx val="40"/>
        <c:marker>
          <c:symbol val="none"/>
        </c:marker>
      </c:pivotFmt>
      <c:pivotFmt>
        <c:idx val="41"/>
        <c:marker>
          <c:symbol val="none"/>
        </c:marker>
      </c:pivotFmt>
    </c:pivotFmts>
    <c:plotArea>
      <c:layout>
        <c:manualLayout>
          <c:layoutTarget val="inner"/>
          <c:xMode val="edge"/>
          <c:yMode val="edge"/>
          <c:x val="0.13372460706783282"/>
          <c:y val="0.1712043664996421"/>
          <c:w val="0.56123337707786525"/>
          <c:h val="0.68340359530308714"/>
        </c:manualLayout>
      </c:layout>
      <c:barChart>
        <c:barDir val="col"/>
        <c:grouping val="clustered"/>
        <c:varyColors val="0"/>
        <c:ser>
          <c:idx val="0"/>
          <c:order val="0"/>
          <c:tx>
            <c:strRef>
              <c:f>'NFI Distribution (by Tship)'!$B$63</c:f>
              <c:strCache>
                <c:ptCount val="1"/>
                <c:pt idx="0">
                  <c:v>Mosquito net </c:v>
                </c:pt>
              </c:strCache>
            </c:strRef>
          </c:tx>
          <c:invertIfNegative val="0"/>
          <c:cat>
            <c:strRef>
              <c:f>'NFI Distribution (by Tship)'!$A$64:$A$66</c:f>
              <c:strCache>
                <c:ptCount val="2"/>
                <c:pt idx="0">
                  <c:v>Solidarities</c:v>
                </c:pt>
                <c:pt idx="1">
                  <c:v>UNHCR</c:v>
                </c:pt>
              </c:strCache>
            </c:strRef>
          </c:cat>
          <c:val>
            <c:numRef>
              <c:f>'NFI Distribution (by Tship)'!$B$64:$B$66</c:f>
              <c:numCache>
                <c:formatCode>_-* #,##0_-;\-* #,##0_-;_-* "-"??_-;_-@_-</c:formatCode>
                <c:ptCount val="2"/>
                <c:pt idx="1">
                  <c:v>966</c:v>
                </c:pt>
              </c:numCache>
            </c:numRef>
          </c:val>
        </c:ser>
        <c:ser>
          <c:idx val="1"/>
          <c:order val="1"/>
          <c:tx>
            <c:strRef>
              <c:f>'NFI Distribution (by Tship)'!$C$63</c:f>
              <c:strCache>
                <c:ptCount val="1"/>
                <c:pt idx="0">
                  <c:v>Tarpaulin</c:v>
                </c:pt>
              </c:strCache>
            </c:strRef>
          </c:tx>
          <c:invertIfNegative val="0"/>
          <c:cat>
            <c:strRef>
              <c:f>'NFI Distribution (by Tship)'!$A$64:$A$66</c:f>
              <c:strCache>
                <c:ptCount val="2"/>
                <c:pt idx="0">
                  <c:v>Solidarities</c:v>
                </c:pt>
                <c:pt idx="1">
                  <c:v>UNHCR</c:v>
                </c:pt>
              </c:strCache>
            </c:strRef>
          </c:cat>
          <c:val>
            <c:numRef>
              <c:f>'NFI Distribution (by Tship)'!$C$64:$C$66</c:f>
              <c:numCache>
                <c:formatCode>_-* #,##0_-;\-* #,##0_-;_-* "-"??_-;_-@_-</c:formatCode>
                <c:ptCount val="2"/>
                <c:pt idx="1">
                  <c:v>525</c:v>
                </c:pt>
              </c:numCache>
            </c:numRef>
          </c:val>
        </c:ser>
        <c:ser>
          <c:idx val="2"/>
          <c:order val="2"/>
          <c:tx>
            <c:strRef>
              <c:f>'NFI Distribution (by Tship)'!$D$63</c:f>
              <c:strCache>
                <c:ptCount val="1"/>
                <c:pt idx="0">
                  <c:v>Blanket</c:v>
                </c:pt>
              </c:strCache>
            </c:strRef>
          </c:tx>
          <c:invertIfNegative val="0"/>
          <c:cat>
            <c:strRef>
              <c:f>'NFI Distribution (by Tship)'!$A$64:$A$66</c:f>
              <c:strCache>
                <c:ptCount val="2"/>
                <c:pt idx="0">
                  <c:v>Solidarities</c:v>
                </c:pt>
                <c:pt idx="1">
                  <c:v>UNHCR</c:v>
                </c:pt>
              </c:strCache>
            </c:strRef>
          </c:cat>
          <c:val>
            <c:numRef>
              <c:f>'NFI Distribution (by Tship)'!$D$64:$D$66</c:f>
              <c:numCache>
                <c:formatCode>_-* #,##0_-;\-* #,##0_-;_-* "-"??_-;_-@_-</c:formatCode>
                <c:ptCount val="2"/>
                <c:pt idx="1">
                  <c:v>1104</c:v>
                </c:pt>
              </c:numCache>
            </c:numRef>
          </c:val>
        </c:ser>
        <c:ser>
          <c:idx val="3"/>
          <c:order val="3"/>
          <c:tx>
            <c:strRef>
              <c:f>'NFI Distribution (by Tship)'!$E$63</c:f>
              <c:strCache>
                <c:ptCount val="1"/>
                <c:pt idx="0">
                  <c:v>Kitchen Set</c:v>
                </c:pt>
              </c:strCache>
            </c:strRef>
          </c:tx>
          <c:invertIfNegative val="0"/>
          <c:cat>
            <c:strRef>
              <c:f>'NFI Distribution (by Tship)'!$A$64:$A$66</c:f>
              <c:strCache>
                <c:ptCount val="2"/>
                <c:pt idx="0">
                  <c:v>Solidarities</c:v>
                </c:pt>
                <c:pt idx="1">
                  <c:v>UNHCR</c:v>
                </c:pt>
              </c:strCache>
            </c:strRef>
          </c:cat>
          <c:val>
            <c:numRef>
              <c:f>'NFI Distribution (by Tship)'!$E$64:$E$66</c:f>
              <c:numCache>
                <c:formatCode>_-* #,##0_-;\-* #,##0_-;_-* "-"??_-;_-@_-</c:formatCode>
                <c:ptCount val="2"/>
                <c:pt idx="1">
                  <c:v>287</c:v>
                </c:pt>
              </c:numCache>
            </c:numRef>
          </c:val>
        </c:ser>
        <c:ser>
          <c:idx val="4"/>
          <c:order val="4"/>
          <c:tx>
            <c:strRef>
              <c:f>'NFI Distribution (by Tship)'!$F$63</c:f>
              <c:strCache>
                <c:ptCount val="1"/>
                <c:pt idx="0">
                  <c:v>Plastic Bucket </c:v>
                </c:pt>
              </c:strCache>
            </c:strRef>
          </c:tx>
          <c:invertIfNegative val="0"/>
          <c:cat>
            <c:strRef>
              <c:f>'NFI Distribution (by Tship)'!$A$64:$A$66</c:f>
              <c:strCache>
                <c:ptCount val="2"/>
                <c:pt idx="0">
                  <c:v>Solidarities</c:v>
                </c:pt>
                <c:pt idx="1">
                  <c:v>UNHCR</c:v>
                </c:pt>
              </c:strCache>
            </c:strRef>
          </c:cat>
          <c:val>
            <c:numRef>
              <c:f>'NFI Distribution (by Tship)'!$F$64:$F$66</c:f>
              <c:numCache>
                <c:formatCode>_-* #,##0_-;\-* #,##0_-;_-* "-"??_-;_-@_-</c:formatCode>
                <c:ptCount val="2"/>
                <c:pt idx="1">
                  <c:v>325</c:v>
                </c:pt>
              </c:numCache>
            </c:numRef>
          </c:val>
        </c:ser>
        <c:ser>
          <c:idx val="5"/>
          <c:order val="5"/>
          <c:tx>
            <c:strRef>
              <c:f>'NFI Distribution (by Tship)'!$G$63</c:f>
              <c:strCache>
                <c:ptCount val="1"/>
                <c:pt idx="0">
                  <c:v>Plastic Mat </c:v>
                </c:pt>
              </c:strCache>
            </c:strRef>
          </c:tx>
          <c:invertIfNegative val="0"/>
          <c:cat>
            <c:strRef>
              <c:f>'NFI Distribution (by Tship)'!$A$64:$A$66</c:f>
              <c:strCache>
                <c:ptCount val="2"/>
                <c:pt idx="0">
                  <c:v>Solidarities</c:v>
                </c:pt>
                <c:pt idx="1">
                  <c:v>UNHCR</c:v>
                </c:pt>
              </c:strCache>
            </c:strRef>
          </c:cat>
          <c:val>
            <c:numRef>
              <c:f>'NFI Distribution (by Tship)'!$G$64:$G$66</c:f>
              <c:numCache>
                <c:formatCode>_-* #,##0_-;\-* #,##0_-;_-* "-"??_-;_-@_-</c:formatCode>
                <c:ptCount val="2"/>
                <c:pt idx="1">
                  <c:v>1272</c:v>
                </c:pt>
              </c:numCache>
            </c:numRef>
          </c:val>
        </c:ser>
        <c:dLbls>
          <c:showLegendKey val="0"/>
          <c:showVal val="0"/>
          <c:showCatName val="0"/>
          <c:showSerName val="0"/>
          <c:showPercent val="0"/>
          <c:showBubbleSize val="0"/>
        </c:dLbls>
        <c:gapWidth val="150"/>
        <c:axId val="292805832"/>
        <c:axId val="292806224"/>
      </c:barChart>
      <c:catAx>
        <c:axId val="292805832"/>
        <c:scaling>
          <c:orientation val="minMax"/>
        </c:scaling>
        <c:delete val="0"/>
        <c:axPos val="b"/>
        <c:numFmt formatCode="General" sourceLinked="0"/>
        <c:majorTickMark val="out"/>
        <c:minorTickMark val="none"/>
        <c:tickLblPos val="nextTo"/>
        <c:crossAx val="292806224"/>
        <c:crosses val="autoZero"/>
        <c:auto val="1"/>
        <c:lblAlgn val="ctr"/>
        <c:lblOffset val="100"/>
        <c:noMultiLvlLbl val="0"/>
      </c:catAx>
      <c:valAx>
        <c:axId val="292806224"/>
        <c:scaling>
          <c:orientation val="minMax"/>
          <c:max val="1200"/>
          <c:min val="0"/>
        </c:scaling>
        <c:delete val="0"/>
        <c:axPos val="l"/>
        <c:majorGridlines/>
        <c:numFmt formatCode="_-* #,##0_-;\-* #,##0_-;_-* &quot;-&quot;??_-;_-@_-" sourceLinked="1"/>
        <c:majorTickMark val="out"/>
        <c:minorTickMark val="none"/>
        <c:tickLblPos val="nextTo"/>
        <c:crossAx val="292805832"/>
        <c:crosses val="autoZero"/>
        <c:crossBetween val="between"/>
      </c:valAx>
    </c:plotArea>
    <c:legend>
      <c:legendPos val="r"/>
      <c:layout>
        <c:manualLayout>
          <c:xMode val="edge"/>
          <c:yMode val="edge"/>
          <c:x val="0.70043357218032565"/>
          <c:y val="2.6869178193169082E-2"/>
          <c:w val="0.29690288713910762"/>
          <c:h val="0.9391539292882507"/>
        </c:manualLayout>
      </c:layout>
      <c:overlay val="0"/>
    </c:legend>
    <c:plotVisOnly val="1"/>
    <c:dispBlanksAs val="gap"/>
    <c:showDLblsOverMax val="0"/>
  </c:chart>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November 2016.xlsx]NFI Distribution (by Tship)!PivotTable4</c:name>
    <c:fmtId val="10"/>
  </c:pivotSource>
  <c:chart>
    <c:title>
      <c:tx>
        <c:rich>
          <a:bodyPr/>
          <a:lstStyle/>
          <a:p>
            <a:pPr algn="ctr" rtl="0">
              <a:defRPr lang="en-US" sz="960" b="1" i="0" u="none" strike="noStrike" kern="1200" baseline="0">
                <a:solidFill>
                  <a:sysClr val="windowText" lastClr="000000"/>
                </a:solidFill>
                <a:latin typeface="+mn-lt"/>
                <a:ea typeface="+mn-ea"/>
                <a:cs typeface="+mn-cs"/>
              </a:defRPr>
            </a:pPr>
            <a:r>
              <a:rPr lang="en-US" sz="960" b="1" i="0" u="none" strike="noStrike" kern="1200" baseline="0">
                <a:solidFill>
                  <a:sysClr val="windowText" lastClr="000000"/>
                </a:solidFill>
                <a:latin typeface="+mn-lt"/>
                <a:ea typeface="+mn-ea"/>
                <a:cs typeface="+mn-cs"/>
              </a:rPr>
              <a:t>Per Organization</a:t>
            </a:r>
          </a:p>
        </c:rich>
      </c:tx>
      <c:layout>
        <c:manualLayout>
          <c:xMode val="edge"/>
          <c:yMode val="edge"/>
          <c:x val="0.28193757716714046"/>
          <c:y val="1.8491995650205377E-3"/>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s>
    <c:plotArea>
      <c:layout>
        <c:manualLayout>
          <c:layoutTarget val="inner"/>
          <c:xMode val="edge"/>
          <c:yMode val="edge"/>
          <c:x val="0.10722761076176529"/>
          <c:y val="0.12121204890715288"/>
          <c:w val="0.57053297728773655"/>
          <c:h val="0.51973841580862812"/>
        </c:manualLayout>
      </c:layout>
      <c:barChart>
        <c:barDir val="col"/>
        <c:grouping val="clustered"/>
        <c:varyColors val="0"/>
        <c:ser>
          <c:idx val="0"/>
          <c:order val="0"/>
          <c:tx>
            <c:strRef>
              <c:f>'NFI Distribution (by Tship)'!$B$73</c:f>
              <c:strCache>
                <c:ptCount val="1"/>
                <c:pt idx="0">
                  <c:v>Winter Clothes Adult </c:v>
                </c:pt>
              </c:strCache>
            </c:strRef>
          </c:tx>
          <c:invertIfNegative val="0"/>
          <c:cat>
            <c:strRef>
              <c:f>'NFI Distribution (by Tship)'!$A$74:$A$80</c:f>
              <c:strCache>
                <c:ptCount val="6"/>
                <c:pt idx="0">
                  <c:v>CRCS</c:v>
                </c:pt>
                <c:pt idx="1">
                  <c:v>DRC</c:v>
                </c:pt>
                <c:pt idx="2">
                  <c:v>ICRC</c:v>
                </c:pt>
                <c:pt idx="3">
                  <c:v>Plan-Myanmar</c:v>
                </c:pt>
                <c:pt idx="4">
                  <c:v>Solidarities</c:v>
                </c:pt>
                <c:pt idx="5">
                  <c:v>UNHCR</c:v>
                </c:pt>
              </c:strCache>
            </c:strRef>
          </c:cat>
          <c:val>
            <c:numRef>
              <c:f>'NFI Distribution (by Tship)'!$B$74:$B$80</c:f>
              <c:numCache>
                <c:formatCode>_-* #,##0_-;\-* #,##0_-;_-* "-"??_-;_-@_-</c:formatCode>
                <c:ptCount val="6"/>
                <c:pt idx="1">
                  <c:v>944</c:v>
                </c:pt>
                <c:pt idx="2">
                  <c:v>941</c:v>
                </c:pt>
                <c:pt idx="4">
                  <c:v>1155</c:v>
                </c:pt>
                <c:pt idx="5">
                  <c:v>2342</c:v>
                </c:pt>
              </c:numCache>
            </c:numRef>
          </c:val>
        </c:ser>
        <c:ser>
          <c:idx val="1"/>
          <c:order val="1"/>
          <c:tx>
            <c:strRef>
              <c:f>'NFI Distribution (by Tship)'!$C$73</c:f>
              <c:strCache>
                <c:ptCount val="1"/>
                <c:pt idx="0">
                  <c:v>Winter Clothes Children </c:v>
                </c:pt>
              </c:strCache>
            </c:strRef>
          </c:tx>
          <c:invertIfNegative val="0"/>
          <c:cat>
            <c:strRef>
              <c:f>'NFI Distribution (by Tship)'!$A$74:$A$80</c:f>
              <c:strCache>
                <c:ptCount val="6"/>
                <c:pt idx="0">
                  <c:v>CRCS</c:v>
                </c:pt>
                <c:pt idx="1">
                  <c:v>DRC</c:v>
                </c:pt>
                <c:pt idx="2">
                  <c:v>ICRC</c:v>
                </c:pt>
                <c:pt idx="3">
                  <c:v>Plan-Myanmar</c:v>
                </c:pt>
                <c:pt idx="4">
                  <c:v>Solidarities</c:v>
                </c:pt>
                <c:pt idx="5">
                  <c:v>UNHCR</c:v>
                </c:pt>
              </c:strCache>
            </c:strRef>
          </c:cat>
          <c:val>
            <c:numRef>
              <c:f>'NFI Distribution (by Tship)'!$C$74:$C$80</c:f>
              <c:numCache>
                <c:formatCode>_-* #,##0_-;\-* #,##0_-;_-* "-"??_-;_-@_-</c:formatCode>
                <c:ptCount val="6"/>
                <c:pt idx="1">
                  <c:v>553</c:v>
                </c:pt>
                <c:pt idx="2">
                  <c:v>619</c:v>
                </c:pt>
                <c:pt idx="3">
                  <c:v>1333</c:v>
                </c:pt>
                <c:pt idx="4">
                  <c:v>2263</c:v>
                </c:pt>
                <c:pt idx="5">
                  <c:v>3896</c:v>
                </c:pt>
              </c:numCache>
            </c:numRef>
          </c:val>
        </c:ser>
        <c:ser>
          <c:idx val="2"/>
          <c:order val="2"/>
          <c:tx>
            <c:strRef>
              <c:f>'NFI Distribution (by Tship)'!$D$73</c:f>
              <c:strCache>
                <c:ptCount val="1"/>
                <c:pt idx="0">
                  <c:v>Winter Blanket </c:v>
                </c:pt>
              </c:strCache>
            </c:strRef>
          </c:tx>
          <c:invertIfNegative val="0"/>
          <c:cat>
            <c:strRef>
              <c:f>'NFI Distribution (by Tship)'!$A$74:$A$80</c:f>
              <c:strCache>
                <c:ptCount val="6"/>
                <c:pt idx="0">
                  <c:v>CRCS</c:v>
                </c:pt>
                <c:pt idx="1">
                  <c:v>DRC</c:v>
                </c:pt>
                <c:pt idx="2">
                  <c:v>ICRC</c:v>
                </c:pt>
                <c:pt idx="3">
                  <c:v>Plan-Myanmar</c:v>
                </c:pt>
                <c:pt idx="4">
                  <c:v>Solidarities</c:v>
                </c:pt>
                <c:pt idx="5">
                  <c:v>UNHCR</c:v>
                </c:pt>
              </c:strCache>
            </c:strRef>
          </c:cat>
          <c:val>
            <c:numRef>
              <c:f>'NFI Distribution (by Tship)'!$D$74:$D$80</c:f>
              <c:numCache>
                <c:formatCode>_-* #,##0_-;\-* #,##0_-;_-* "-"??_-;_-@_-</c:formatCode>
                <c:ptCount val="6"/>
                <c:pt idx="0">
                  <c:v>684</c:v>
                </c:pt>
                <c:pt idx="2">
                  <c:v>549</c:v>
                </c:pt>
                <c:pt idx="4">
                  <c:v>3418</c:v>
                </c:pt>
                <c:pt idx="5">
                  <c:v>3416</c:v>
                </c:pt>
              </c:numCache>
            </c:numRef>
          </c:val>
        </c:ser>
        <c:dLbls>
          <c:showLegendKey val="0"/>
          <c:showVal val="0"/>
          <c:showCatName val="0"/>
          <c:showSerName val="0"/>
          <c:showPercent val="0"/>
          <c:showBubbleSize val="0"/>
        </c:dLbls>
        <c:gapWidth val="150"/>
        <c:axId val="292807008"/>
        <c:axId val="333784672"/>
      </c:barChart>
      <c:catAx>
        <c:axId val="292807008"/>
        <c:scaling>
          <c:orientation val="minMax"/>
        </c:scaling>
        <c:delete val="0"/>
        <c:axPos val="b"/>
        <c:numFmt formatCode="General" sourceLinked="0"/>
        <c:majorTickMark val="out"/>
        <c:minorTickMark val="none"/>
        <c:tickLblPos val="nextTo"/>
        <c:txPr>
          <a:bodyPr/>
          <a:lstStyle/>
          <a:p>
            <a:pPr>
              <a:defRPr sz="800"/>
            </a:pPr>
            <a:endParaRPr lang="en-US"/>
          </a:p>
        </c:txPr>
        <c:crossAx val="333784672"/>
        <c:crosses val="autoZero"/>
        <c:auto val="1"/>
        <c:lblAlgn val="ctr"/>
        <c:lblOffset val="100"/>
        <c:noMultiLvlLbl val="0"/>
      </c:catAx>
      <c:valAx>
        <c:axId val="333784672"/>
        <c:scaling>
          <c:orientation val="minMax"/>
        </c:scaling>
        <c:delete val="0"/>
        <c:axPos val="l"/>
        <c:majorGridlines/>
        <c:numFmt formatCode="_-* #,##0_-;\-* #,##0_-;_-* &quot;-&quot;??_-;_-@_-" sourceLinked="1"/>
        <c:majorTickMark val="out"/>
        <c:minorTickMark val="none"/>
        <c:tickLblPos val="nextTo"/>
        <c:txPr>
          <a:bodyPr/>
          <a:lstStyle/>
          <a:p>
            <a:pPr>
              <a:defRPr sz="800"/>
            </a:pPr>
            <a:endParaRPr lang="en-US"/>
          </a:p>
        </c:txPr>
        <c:crossAx val="292807008"/>
        <c:crosses val="autoZero"/>
        <c:crossBetween val="between"/>
        <c:majorUnit val="1000"/>
      </c:valAx>
    </c:plotArea>
    <c:legend>
      <c:legendPos val="r"/>
      <c:overlay val="0"/>
      <c:txPr>
        <a:bodyPr/>
        <a:lstStyle/>
        <a:p>
          <a:pPr>
            <a:defRPr sz="800"/>
          </a:pPr>
          <a:endParaRPr lang="en-US"/>
        </a:p>
      </c:txPr>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100" b="1">
                <a:latin typeface="+mn-lt"/>
              </a:defRPr>
            </a:pPr>
            <a:r>
              <a:rPr lang="en-US" sz="1100" b="1">
                <a:latin typeface="+mn-lt"/>
              </a:rPr>
              <a:t>Coverage</a:t>
            </a:r>
            <a:r>
              <a:rPr lang="en-US" sz="1100" b="1" baseline="0">
                <a:latin typeface="+mn-lt"/>
              </a:rPr>
              <a:t> &amp; Gaps / Items</a:t>
            </a:r>
            <a:endParaRPr lang="en-US" sz="1100" b="1">
              <a:latin typeface="+mn-lt"/>
            </a:endParaRPr>
          </a:p>
        </c:rich>
      </c:tx>
      <c:layout>
        <c:manualLayout>
          <c:xMode val="edge"/>
          <c:yMode val="edge"/>
          <c:x val="0.2306514653125229"/>
          <c:y val="0"/>
        </c:manualLayout>
      </c:layout>
      <c:overlay val="0"/>
    </c:title>
    <c:autoTitleDeleted val="0"/>
    <c:plotArea>
      <c:layout>
        <c:manualLayout>
          <c:layoutTarget val="inner"/>
          <c:xMode val="edge"/>
          <c:yMode val="edge"/>
          <c:x val="0.14939203728374265"/>
          <c:y val="0.20269797903419415"/>
          <c:w val="0.6339556147360994"/>
          <c:h val="0.32959123111299371"/>
        </c:manualLayout>
      </c:layout>
      <c:barChart>
        <c:barDir val="col"/>
        <c:grouping val="stacked"/>
        <c:varyColors val="0"/>
        <c:ser>
          <c:idx val="1"/>
          <c:order val="0"/>
          <c:tx>
            <c:strRef>
              <c:f>'NFI Summary'!$P$11</c:f>
              <c:strCache>
                <c:ptCount val="1"/>
                <c:pt idx="0">
                  <c:v>% Distributed</c:v>
                </c:pt>
              </c:strCache>
            </c:strRef>
          </c:tx>
          <c:spPr>
            <a:solidFill>
              <a:srgbClr val="25FF88"/>
            </a:solidFill>
          </c:spPr>
          <c:invertIfNegative val="0"/>
          <c:cat>
            <c:strRef>
              <c:f>'NFI Summary'!$L$12:$L$14</c:f>
              <c:strCache>
                <c:ptCount val="3"/>
                <c:pt idx="0">
                  <c:v>Winter Clothes Adult</c:v>
                </c:pt>
                <c:pt idx="1">
                  <c:v>Winter Clothes Children</c:v>
                </c:pt>
                <c:pt idx="2">
                  <c:v>Winter Blanket</c:v>
                </c:pt>
              </c:strCache>
            </c:strRef>
          </c:cat>
          <c:val>
            <c:numRef>
              <c:f>'NFI Summary'!$P$12:$P$14</c:f>
              <c:numCache>
                <c:formatCode>0%</c:formatCode>
                <c:ptCount val="3"/>
                <c:pt idx="0">
                  <c:v>0.19788182831661091</c:v>
                </c:pt>
                <c:pt idx="1">
                  <c:v>0.27406168710516537</c:v>
                </c:pt>
                <c:pt idx="2">
                  <c:v>9.6432552954292081E-2</c:v>
                </c:pt>
              </c:numCache>
            </c:numRef>
          </c:val>
        </c:ser>
        <c:ser>
          <c:idx val="3"/>
          <c:order val="1"/>
          <c:tx>
            <c:strRef>
              <c:f>'NFI Summary'!$R$11</c:f>
              <c:strCache>
                <c:ptCount val="1"/>
                <c:pt idx="0">
                  <c:v>% In Stock</c:v>
                </c:pt>
              </c:strCache>
            </c:strRef>
          </c:tx>
          <c:spPr>
            <a:solidFill>
              <a:schemeClr val="accent1">
                <a:lumMod val="40000"/>
                <a:lumOff val="60000"/>
              </a:schemeClr>
            </a:solidFill>
            <a:ln>
              <a:noFill/>
            </a:ln>
          </c:spPr>
          <c:invertIfNegative val="0"/>
          <c:cat>
            <c:strRef>
              <c:f>'NFI Summary'!$L$12:$L$14</c:f>
              <c:strCache>
                <c:ptCount val="3"/>
                <c:pt idx="0">
                  <c:v>Winter Clothes Adult</c:v>
                </c:pt>
                <c:pt idx="1">
                  <c:v>Winter Clothes Children</c:v>
                </c:pt>
                <c:pt idx="2">
                  <c:v>Winter Blanket</c:v>
                </c:pt>
              </c:strCache>
            </c:strRef>
          </c:cat>
          <c:val>
            <c:numRef>
              <c:f>'NFI Summary'!$R$12:$R$14</c:f>
              <c:numCache>
                <c:formatCode>0%</c:formatCode>
                <c:ptCount val="3"/>
                <c:pt idx="0">
                  <c:v>0</c:v>
                </c:pt>
                <c:pt idx="1">
                  <c:v>8.6399108138238576E-2</c:v>
                </c:pt>
                <c:pt idx="2">
                  <c:v>0.18171683389074694</c:v>
                </c:pt>
              </c:numCache>
            </c:numRef>
          </c:val>
        </c:ser>
        <c:ser>
          <c:idx val="0"/>
          <c:order val="2"/>
          <c:tx>
            <c:strRef>
              <c:f>'NFI Summary'!$S$11</c:f>
              <c:strCache>
                <c:ptCount val="1"/>
                <c:pt idx="0">
                  <c:v>% Gap</c:v>
                </c:pt>
              </c:strCache>
            </c:strRef>
          </c:tx>
          <c:spPr>
            <a:solidFill>
              <a:srgbClr val="FD2361"/>
            </a:solidFill>
          </c:spPr>
          <c:invertIfNegative val="0"/>
          <c:cat>
            <c:strRef>
              <c:f>'NFI Summary'!$L$12:$L$14</c:f>
              <c:strCache>
                <c:ptCount val="3"/>
                <c:pt idx="0">
                  <c:v>Winter Clothes Adult</c:v>
                </c:pt>
                <c:pt idx="1">
                  <c:v>Winter Clothes Children</c:v>
                </c:pt>
                <c:pt idx="2">
                  <c:v>Winter Blanket</c:v>
                </c:pt>
              </c:strCache>
            </c:strRef>
          </c:cat>
          <c:val>
            <c:numRef>
              <c:f>'NFI Summary'!$S$12:$S$14</c:f>
              <c:numCache>
                <c:formatCode>0%</c:formatCode>
                <c:ptCount val="3"/>
                <c:pt idx="0">
                  <c:v>0.80211817168338906</c:v>
                </c:pt>
                <c:pt idx="1">
                  <c:v>0.63953920475659609</c:v>
                </c:pt>
                <c:pt idx="2">
                  <c:v>0.72185061315496091</c:v>
                </c:pt>
              </c:numCache>
            </c:numRef>
          </c:val>
        </c:ser>
        <c:dLbls>
          <c:showLegendKey val="0"/>
          <c:showVal val="0"/>
          <c:showCatName val="0"/>
          <c:showSerName val="0"/>
          <c:showPercent val="0"/>
          <c:showBubbleSize val="0"/>
        </c:dLbls>
        <c:gapWidth val="55"/>
        <c:overlap val="100"/>
        <c:axId val="333785456"/>
        <c:axId val="333785848"/>
      </c:barChart>
      <c:catAx>
        <c:axId val="333785456"/>
        <c:scaling>
          <c:orientation val="minMax"/>
        </c:scaling>
        <c:delete val="0"/>
        <c:axPos val="b"/>
        <c:numFmt formatCode="General" sourceLinked="1"/>
        <c:majorTickMark val="none"/>
        <c:minorTickMark val="none"/>
        <c:tickLblPos val="nextTo"/>
        <c:txPr>
          <a:bodyPr rot="-5400000" vert="horz" anchor="t" anchorCtr="0"/>
          <a:lstStyle/>
          <a:p>
            <a:pPr>
              <a:defRPr sz="800" b="0" i="0" u="none" strike="noStrike" baseline="0">
                <a:solidFill>
                  <a:srgbClr val="000000"/>
                </a:solidFill>
                <a:latin typeface="Calibri"/>
                <a:ea typeface="Calibri"/>
                <a:cs typeface="Calibri"/>
              </a:defRPr>
            </a:pPr>
            <a:endParaRPr lang="en-US"/>
          </a:p>
        </c:txPr>
        <c:crossAx val="333785848"/>
        <c:crosses val="autoZero"/>
        <c:auto val="1"/>
        <c:lblAlgn val="ctr"/>
        <c:lblOffset val="0"/>
        <c:noMultiLvlLbl val="0"/>
      </c:catAx>
      <c:valAx>
        <c:axId val="333785848"/>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333785456"/>
        <c:crosses val="autoZero"/>
        <c:crossBetween val="between"/>
        <c:majorUnit val="0.2"/>
      </c:valAx>
      <c:spPr>
        <a:noFill/>
        <a:ln w="25400">
          <a:noFill/>
        </a:ln>
      </c:spPr>
    </c:plotArea>
    <c:legend>
      <c:legendPos val="r"/>
      <c:overlay val="0"/>
      <c:txPr>
        <a:bodyPr/>
        <a:lstStyle/>
        <a:p>
          <a:pPr>
            <a:defRPr sz="8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5031407086608"/>
          <c:y val="0.15663962176887972"/>
          <c:w val="0.8588819417282495"/>
          <c:h val="0.5499497192339885"/>
        </c:manualLayout>
      </c:layout>
      <c:barChart>
        <c:barDir val="col"/>
        <c:grouping val="stacked"/>
        <c:varyColors val="0"/>
        <c:ser>
          <c:idx val="3"/>
          <c:order val="0"/>
          <c:tx>
            <c:strRef>
              <c:f>'CCCM Dashboard'!$AJ$46</c:f>
              <c:strCache>
                <c:ptCount val="1"/>
                <c:pt idx="0">
                  <c:v>1-100</c:v>
                </c:pt>
              </c:strCache>
            </c:strRef>
          </c:tx>
          <c:invertIfNegative val="0"/>
          <c:cat>
            <c:strRef>
              <c:f>'CCCM Dashboard'!$AI$47:$AI$66</c:f>
              <c:strCache>
                <c:ptCount val="20"/>
                <c:pt idx="0">
                  <c:v>Bhamo</c:v>
                </c:pt>
                <c:pt idx="1">
                  <c:v>Chipwi</c:v>
                </c:pt>
                <c:pt idx="2">
                  <c:v>Hpakant</c:v>
                </c:pt>
                <c:pt idx="3">
                  <c:v>Khaunglanhpu</c:v>
                </c:pt>
                <c:pt idx="4">
                  <c:v>Kutkai</c:v>
                </c:pt>
                <c:pt idx="5">
                  <c:v>Mansi</c:v>
                </c:pt>
                <c:pt idx="6">
                  <c:v>Injangyang</c:v>
                </c:pt>
                <c:pt idx="7">
                  <c:v>Manton</c:v>
                </c:pt>
                <c:pt idx="8">
                  <c:v>Mogaung</c:v>
                </c:pt>
                <c:pt idx="9">
                  <c:v>Hseni</c:v>
                </c:pt>
                <c:pt idx="10">
                  <c:v>Mohnyin</c:v>
                </c:pt>
                <c:pt idx="11">
                  <c:v>Momauk</c:v>
                </c:pt>
                <c:pt idx="12">
                  <c:v>Muse</c:v>
                </c:pt>
                <c:pt idx="13">
                  <c:v>Myitkyina</c:v>
                </c:pt>
                <c:pt idx="14">
                  <c:v>Namhkan</c:v>
                </c:pt>
                <c:pt idx="15">
                  <c:v>Namtu</c:v>
                </c:pt>
                <c:pt idx="16">
                  <c:v>Puta-O</c:v>
                </c:pt>
                <c:pt idx="17">
                  <c:v>Shwegu</c:v>
                </c:pt>
                <c:pt idx="18">
                  <c:v>Sumprabum</c:v>
                </c:pt>
                <c:pt idx="19">
                  <c:v>Waingmaw</c:v>
                </c:pt>
              </c:strCache>
            </c:strRef>
          </c:cat>
          <c:val>
            <c:numRef>
              <c:f>'CCCM Dashboard'!$AJ$47:$AJ$66</c:f>
              <c:numCache>
                <c:formatCode>_-* #,##0_-;\-* #,##0_-;_-* "-"??_-;_-@_-</c:formatCode>
                <c:ptCount val="20"/>
                <c:pt idx="0">
                  <c:v>4</c:v>
                </c:pt>
                <c:pt idx="1">
                  <c:v>0</c:v>
                </c:pt>
                <c:pt idx="2">
                  <c:v>15</c:v>
                </c:pt>
                <c:pt idx="3">
                  <c:v>0</c:v>
                </c:pt>
                <c:pt idx="4">
                  <c:v>0</c:v>
                </c:pt>
                <c:pt idx="5">
                  <c:v>0</c:v>
                </c:pt>
                <c:pt idx="6">
                  <c:v>0</c:v>
                </c:pt>
                <c:pt idx="7">
                  <c:v>0</c:v>
                </c:pt>
                <c:pt idx="8">
                  <c:v>4</c:v>
                </c:pt>
                <c:pt idx="9">
                  <c:v>1</c:v>
                </c:pt>
                <c:pt idx="10">
                  <c:v>3</c:v>
                </c:pt>
                <c:pt idx="11">
                  <c:v>5</c:v>
                </c:pt>
                <c:pt idx="12">
                  <c:v>4</c:v>
                </c:pt>
                <c:pt idx="13">
                  <c:v>7</c:v>
                </c:pt>
                <c:pt idx="14">
                  <c:v>0</c:v>
                </c:pt>
                <c:pt idx="15">
                  <c:v>4</c:v>
                </c:pt>
                <c:pt idx="16">
                  <c:v>2</c:v>
                </c:pt>
                <c:pt idx="17">
                  <c:v>1</c:v>
                </c:pt>
                <c:pt idx="18">
                  <c:v>1</c:v>
                </c:pt>
                <c:pt idx="19">
                  <c:v>1</c:v>
                </c:pt>
              </c:numCache>
            </c:numRef>
          </c:val>
        </c:ser>
        <c:ser>
          <c:idx val="0"/>
          <c:order val="1"/>
          <c:tx>
            <c:strRef>
              <c:f>'CCCM Dashboard'!$AK$46</c:f>
              <c:strCache>
                <c:ptCount val="1"/>
                <c:pt idx="0">
                  <c:v>100-1k</c:v>
                </c:pt>
              </c:strCache>
            </c:strRef>
          </c:tx>
          <c:spPr>
            <a:solidFill>
              <a:srgbClr val="FFC000"/>
            </a:solidFill>
          </c:spPr>
          <c:invertIfNegative val="0"/>
          <c:cat>
            <c:strRef>
              <c:f>'CCCM Dashboard'!$AI$47:$AI$66</c:f>
              <c:strCache>
                <c:ptCount val="20"/>
                <c:pt idx="0">
                  <c:v>Bhamo</c:v>
                </c:pt>
                <c:pt idx="1">
                  <c:v>Chipwi</c:v>
                </c:pt>
                <c:pt idx="2">
                  <c:v>Hpakant</c:v>
                </c:pt>
                <c:pt idx="3">
                  <c:v>Khaunglanhpu</c:v>
                </c:pt>
                <c:pt idx="4">
                  <c:v>Kutkai</c:v>
                </c:pt>
                <c:pt idx="5">
                  <c:v>Mansi</c:v>
                </c:pt>
                <c:pt idx="6">
                  <c:v>Injangyang</c:v>
                </c:pt>
                <c:pt idx="7">
                  <c:v>Manton</c:v>
                </c:pt>
                <c:pt idx="8">
                  <c:v>Mogaung</c:v>
                </c:pt>
                <c:pt idx="9">
                  <c:v>Hseni</c:v>
                </c:pt>
                <c:pt idx="10">
                  <c:v>Mohnyin</c:v>
                </c:pt>
                <c:pt idx="11">
                  <c:v>Momauk</c:v>
                </c:pt>
                <c:pt idx="12">
                  <c:v>Muse</c:v>
                </c:pt>
                <c:pt idx="13">
                  <c:v>Myitkyina</c:v>
                </c:pt>
                <c:pt idx="14">
                  <c:v>Namhkan</c:v>
                </c:pt>
                <c:pt idx="15">
                  <c:v>Namtu</c:v>
                </c:pt>
                <c:pt idx="16">
                  <c:v>Puta-O</c:v>
                </c:pt>
                <c:pt idx="17">
                  <c:v>Shwegu</c:v>
                </c:pt>
                <c:pt idx="18">
                  <c:v>Sumprabum</c:v>
                </c:pt>
                <c:pt idx="19">
                  <c:v>Waingmaw</c:v>
                </c:pt>
              </c:strCache>
            </c:strRef>
          </c:cat>
          <c:val>
            <c:numRef>
              <c:f>'CCCM Dashboard'!$AK$47:$AK$66</c:f>
              <c:numCache>
                <c:formatCode>_-* #,##0_-;\-* #,##0_-;_-* "-"??_-;_-@_-</c:formatCode>
                <c:ptCount val="20"/>
                <c:pt idx="0">
                  <c:v>5</c:v>
                </c:pt>
                <c:pt idx="1">
                  <c:v>4</c:v>
                </c:pt>
                <c:pt idx="2">
                  <c:v>11</c:v>
                </c:pt>
                <c:pt idx="3">
                  <c:v>0</c:v>
                </c:pt>
                <c:pt idx="4">
                  <c:v>12</c:v>
                </c:pt>
                <c:pt idx="5">
                  <c:v>7</c:v>
                </c:pt>
                <c:pt idx="6">
                  <c:v>0</c:v>
                </c:pt>
                <c:pt idx="7">
                  <c:v>3</c:v>
                </c:pt>
                <c:pt idx="8">
                  <c:v>1</c:v>
                </c:pt>
                <c:pt idx="9">
                  <c:v>2</c:v>
                </c:pt>
                <c:pt idx="10">
                  <c:v>1</c:v>
                </c:pt>
                <c:pt idx="11">
                  <c:v>7</c:v>
                </c:pt>
                <c:pt idx="12">
                  <c:v>8</c:v>
                </c:pt>
                <c:pt idx="13">
                  <c:v>16</c:v>
                </c:pt>
                <c:pt idx="14">
                  <c:v>7</c:v>
                </c:pt>
                <c:pt idx="15">
                  <c:v>4</c:v>
                </c:pt>
                <c:pt idx="16">
                  <c:v>1</c:v>
                </c:pt>
                <c:pt idx="17">
                  <c:v>2</c:v>
                </c:pt>
                <c:pt idx="18">
                  <c:v>2</c:v>
                </c:pt>
                <c:pt idx="19">
                  <c:v>14</c:v>
                </c:pt>
              </c:numCache>
            </c:numRef>
          </c:val>
        </c:ser>
        <c:ser>
          <c:idx val="1"/>
          <c:order val="2"/>
          <c:tx>
            <c:strRef>
              <c:f>'CCCM Dashboard'!$AL$46</c:f>
              <c:strCache>
                <c:ptCount val="1"/>
                <c:pt idx="0">
                  <c:v>1k - 5k</c:v>
                </c:pt>
              </c:strCache>
            </c:strRef>
          </c:tx>
          <c:invertIfNegative val="0"/>
          <c:cat>
            <c:strRef>
              <c:f>'CCCM Dashboard'!$AI$47:$AI$66</c:f>
              <c:strCache>
                <c:ptCount val="20"/>
                <c:pt idx="0">
                  <c:v>Bhamo</c:v>
                </c:pt>
                <c:pt idx="1">
                  <c:v>Chipwi</c:v>
                </c:pt>
                <c:pt idx="2">
                  <c:v>Hpakant</c:v>
                </c:pt>
                <c:pt idx="3">
                  <c:v>Khaunglanhpu</c:v>
                </c:pt>
                <c:pt idx="4">
                  <c:v>Kutkai</c:v>
                </c:pt>
                <c:pt idx="5">
                  <c:v>Mansi</c:v>
                </c:pt>
                <c:pt idx="6">
                  <c:v>Injangyang</c:v>
                </c:pt>
                <c:pt idx="7">
                  <c:v>Manton</c:v>
                </c:pt>
                <c:pt idx="8">
                  <c:v>Mogaung</c:v>
                </c:pt>
                <c:pt idx="9">
                  <c:v>Hseni</c:v>
                </c:pt>
                <c:pt idx="10">
                  <c:v>Mohnyin</c:v>
                </c:pt>
                <c:pt idx="11">
                  <c:v>Momauk</c:v>
                </c:pt>
                <c:pt idx="12">
                  <c:v>Muse</c:v>
                </c:pt>
                <c:pt idx="13">
                  <c:v>Myitkyina</c:v>
                </c:pt>
                <c:pt idx="14">
                  <c:v>Namhkan</c:v>
                </c:pt>
                <c:pt idx="15">
                  <c:v>Namtu</c:v>
                </c:pt>
                <c:pt idx="16">
                  <c:v>Puta-O</c:v>
                </c:pt>
                <c:pt idx="17">
                  <c:v>Shwegu</c:v>
                </c:pt>
                <c:pt idx="18">
                  <c:v>Sumprabum</c:v>
                </c:pt>
                <c:pt idx="19">
                  <c:v>Waingmaw</c:v>
                </c:pt>
              </c:strCache>
            </c:strRef>
          </c:cat>
          <c:val>
            <c:numRef>
              <c:f>'CCCM Dashboard'!$AL$47:$AL$66</c:f>
              <c:numCache>
                <c:formatCode>_-* #,##0_-;\-* #,##0_-;_-* "-"??_-;_-@_-</c:formatCode>
                <c:ptCount val="20"/>
                <c:pt idx="0">
                  <c:v>2</c:v>
                </c:pt>
                <c:pt idx="1">
                  <c:v>1</c:v>
                </c:pt>
                <c:pt idx="2">
                  <c:v>0</c:v>
                </c:pt>
                <c:pt idx="3">
                  <c:v>0</c:v>
                </c:pt>
                <c:pt idx="4">
                  <c:v>0</c:v>
                </c:pt>
                <c:pt idx="5">
                  <c:v>4</c:v>
                </c:pt>
                <c:pt idx="6">
                  <c:v>0</c:v>
                </c:pt>
                <c:pt idx="7">
                  <c:v>0</c:v>
                </c:pt>
                <c:pt idx="8">
                  <c:v>0</c:v>
                </c:pt>
                <c:pt idx="9">
                  <c:v>0</c:v>
                </c:pt>
                <c:pt idx="10">
                  <c:v>0</c:v>
                </c:pt>
                <c:pt idx="11">
                  <c:v>7</c:v>
                </c:pt>
                <c:pt idx="12">
                  <c:v>0</c:v>
                </c:pt>
                <c:pt idx="13">
                  <c:v>1</c:v>
                </c:pt>
                <c:pt idx="14">
                  <c:v>0</c:v>
                </c:pt>
                <c:pt idx="15">
                  <c:v>0</c:v>
                </c:pt>
                <c:pt idx="16">
                  <c:v>0</c:v>
                </c:pt>
                <c:pt idx="17">
                  <c:v>1</c:v>
                </c:pt>
                <c:pt idx="18">
                  <c:v>0</c:v>
                </c:pt>
                <c:pt idx="19">
                  <c:v>6</c:v>
                </c:pt>
              </c:numCache>
            </c:numRef>
          </c:val>
        </c:ser>
        <c:ser>
          <c:idx val="2"/>
          <c:order val="3"/>
          <c:tx>
            <c:strRef>
              <c:f>'CCCM Dashboard'!$AM$46</c:f>
              <c:strCache>
                <c:ptCount val="1"/>
                <c:pt idx="0">
                  <c:v>5k-10k</c:v>
                </c:pt>
              </c:strCache>
            </c:strRef>
          </c:tx>
          <c:invertIfNegative val="0"/>
          <c:cat>
            <c:strRef>
              <c:f>'CCCM Dashboard'!$AI$47:$AI$66</c:f>
              <c:strCache>
                <c:ptCount val="20"/>
                <c:pt idx="0">
                  <c:v>Bhamo</c:v>
                </c:pt>
                <c:pt idx="1">
                  <c:v>Chipwi</c:v>
                </c:pt>
                <c:pt idx="2">
                  <c:v>Hpakant</c:v>
                </c:pt>
                <c:pt idx="3">
                  <c:v>Khaunglanhpu</c:v>
                </c:pt>
                <c:pt idx="4">
                  <c:v>Kutkai</c:v>
                </c:pt>
                <c:pt idx="5">
                  <c:v>Mansi</c:v>
                </c:pt>
                <c:pt idx="6">
                  <c:v>Injangyang</c:v>
                </c:pt>
                <c:pt idx="7">
                  <c:v>Manton</c:v>
                </c:pt>
                <c:pt idx="8">
                  <c:v>Mogaung</c:v>
                </c:pt>
                <c:pt idx="9">
                  <c:v>Hseni</c:v>
                </c:pt>
                <c:pt idx="10">
                  <c:v>Mohnyin</c:v>
                </c:pt>
                <c:pt idx="11">
                  <c:v>Momauk</c:v>
                </c:pt>
                <c:pt idx="12">
                  <c:v>Muse</c:v>
                </c:pt>
                <c:pt idx="13">
                  <c:v>Myitkyina</c:v>
                </c:pt>
                <c:pt idx="14">
                  <c:v>Namhkan</c:v>
                </c:pt>
                <c:pt idx="15">
                  <c:v>Namtu</c:v>
                </c:pt>
                <c:pt idx="16">
                  <c:v>Puta-O</c:v>
                </c:pt>
                <c:pt idx="17">
                  <c:v>Shwegu</c:v>
                </c:pt>
                <c:pt idx="18">
                  <c:v>Sumprabum</c:v>
                </c:pt>
                <c:pt idx="19">
                  <c:v>Waingmaw</c:v>
                </c:pt>
              </c:strCache>
            </c:strRef>
          </c:cat>
          <c:val>
            <c:numRef>
              <c:f>'CCCM Dashboard'!$AM$47:$AM$66</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c:v>
                </c:pt>
              </c:numCache>
            </c:numRef>
          </c:val>
        </c:ser>
        <c:ser>
          <c:idx val="4"/>
          <c:order val="4"/>
          <c:tx>
            <c:strRef>
              <c:f>'CCCM Dashboard'!$AN$46</c:f>
              <c:strCache>
                <c:ptCount val="1"/>
                <c:pt idx="0">
                  <c:v>Unknown</c:v>
                </c:pt>
              </c:strCache>
            </c:strRef>
          </c:tx>
          <c:spPr>
            <a:solidFill>
              <a:schemeClr val="tx1"/>
            </a:solidFill>
          </c:spPr>
          <c:invertIfNegative val="0"/>
          <c:cat>
            <c:strRef>
              <c:f>'CCCM Dashboard'!$AI$47:$AI$66</c:f>
              <c:strCache>
                <c:ptCount val="20"/>
                <c:pt idx="0">
                  <c:v>Bhamo</c:v>
                </c:pt>
                <c:pt idx="1">
                  <c:v>Chipwi</c:v>
                </c:pt>
                <c:pt idx="2">
                  <c:v>Hpakant</c:v>
                </c:pt>
                <c:pt idx="3">
                  <c:v>Khaunglanhpu</c:v>
                </c:pt>
                <c:pt idx="4">
                  <c:v>Kutkai</c:v>
                </c:pt>
                <c:pt idx="5">
                  <c:v>Mansi</c:v>
                </c:pt>
                <c:pt idx="6">
                  <c:v>Injangyang</c:v>
                </c:pt>
                <c:pt idx="7">
                  <c:v>Manton</c:v>
                </c:pt>
                <c:pt idx="8">
                  <c:v>Mogaung</c:v>
                </c:pt>
                <c:pt idx="9">
                  <c:v>Hseni</c:v>
                </c:pt>
                <c:pt idx="10">
                  <c:v>Mohnyin</c:v>
                </c:pt>
                <c:pt idx="11">
                  <c:v>Momauk</c:v>
                </c:pt>
                <c:pt idx="12">
                  <c:v>Muse</c:v>
                </c:pt>
                <c:pt idx="13">
                  <c:v>Myitkyina</c:v>
                </c:pt>
                <c:pt idx="14">
                  <c:v>Namhkan</c:v>
                </c:pt>
                <c:pt idx="15">
                  <c:v>Namtu</c:v>
                </c:pt>
                <c:pt idx="16">
                  <c:v>Puta-O</c:v>
                </c:pt>
                <c:pt idx="17">
                  <c:v>Shwegu</c:v>
                </c:pt>
                <c:pt idx="18">
                  <c:v>Sumprabum</c:v>
                </c:pt>
                <c:pt idx="19">
                  <c:v>Waingmaw</c:v>
                </c:pt>
              </c:strCache>
            </c:strRef>
          </c:cat>
          <c:val>
            <c:numRef>
              <c:f>'CCCM Dashboard'!$AN$47:$AN$66</c:f>
              <c:numCache>
                <c:formatCode>General</c:formatCode>
                <c:ptCount val="20"/>
                <c:pt idx="0">
                  <c:v>1</c:v>
                </c:pt>
                <c:pt idx="1">
                  <c:v>0</c:v>
                </c:pt>
                <c:pt idx="2">
                  <c:v>0</c:v>
                </c:pt>
                <c:pt idx="3">
                  <c:v>0</c:v>
                </c:pt>
                <c:pt idx="4">
                  <c:v>0</c:v>
                </c:pt>
                <c:pt idx="5">
                  <c:v>0</c:v>
                </c:pt>
                <c:pt idx="6">
                  <c:v>0</c:v>
                </c:pt>
                <c:pt idx="7">
                  <c:v>0</c:v>
                </c:pt>
                <c:pt idx="8">
                  <c:v>0</c:v>
                </c:pt>
                <c:pt idx="9">
                  <c:v>1</c:v>
                </c:pt>
                <c:pt idx="10">
                  <c:v>1</c:v>
                </c:pt>
                <c:pt idx="11">
                  <c:v>2</c:v>
                </c:pt>
                <c:pt idx="12">
                  <c:v>0</c:v>
                </c:pt>
                <c:pt idx="13">
                  <c:v>0</c:v>
                </c:pt>
                <c:pt idx="14">
                  <c:v>0</c:v>
                </c:pt>
                <c:pt idx="15">
                  <c:v>0</c:v>
                </c:pt>
                <c:pt idx="16">
                  <c:v>0</c:v>
                </c:pt>
                <c:pt idx="17">
                  <c:v>0</c:v>
                </c:pt>
                <c:pt idx="18">
                  <c:v>0</c:v>
                </c:pt>
                <c:pt idx="19">
                  <c:v>0</c:v>
                </c:pt>
              </c:numCache>
            </c:numRef>
          </c:val>
        </c:ser>
        <c:dLbls>
          <c:showLegendKey val="0"/>
          <c:showVal val="0"/>
          <c:showCatName val="0"/>
          <c:showSerName val="0"/>
          <c:showPercent val="0"/>
          <c:showBubbleSize val="0"/>
        </c:dLbls>
        <c:gapWidth val="150"/>
        <c:overlap val="100"/>
        <c:axId val="250171296"/>
        <c:axId val="251494216"/>
      </c:barChart>
      <c:catAx>
        <c:axId val="250171296"/>
        <c:scaling>
          <c:orientation val="minMax"/>
        </c:scaling>
        <c:delete val="0"/>
        <c:axPos val="b"/>
        <c:numFmt formatCode="General" sourceLinked="0"/>
        <c:majorTickMark val="out"/>
        <c:minorTickMark val="none"/>
        <c:tickLblPos val="nextTo"/>
        <c:txPr>
          <a:bodyPr/>
          <a:lstStyle/>
          <a:p>
            <a:pPr>
              <a:defRPr sz="900"/>
            </a:pPr>
            <a:endParaRPr lang="en-US"/>
          </a:p>
        </c:txPr>
        <c:crossAx val="251494216"/>
        <c:crosses val="autoZero"/>
        <c:auto val="1"/>
        <c:lblAlgn val="ctr"/>
        <c:lblOffset val="100"/>
        <c:noMultiLvlLbl val="0"/>
      </c:catAx>
      <c:valAx>
        <c:axId val="251494216"/>
        <c:scaling>
          <c:orientation val="minMax"/>
        </c:scaling>
        <c:delete val="0"/>
        <c:axPos val="l"/>
        <c:majorGridlines/>
        <c:numFmt formatCode="_-* #,##0_-;\-* #,##0_-;_-* &quot;-&quot;??_-;_-@_-" sourceLinked="1"/>
        <c:majorTickMark val="out"/>
        <c:minorTickMark val="none"/>
        <c:tickLblPos val="nextTo"/>
        <c:crossAx val="250171296"/>
        <c:crosses val="autoZero"/>
        <c:crossBetween val="between"/>
      </c:valAx>
    </c:plotArea>
    <c:legend>
      <c:legendPos val="b"/>
      <c:layout>
        <c:manualLayout>
          <c:xMode val="edge"/>
          <c:yMode val="edge"/>
          <c:x val="5.0000065859752973E-2"/>
          <c:y val="0.9084422693848786"/>
          <c:w val="0.89999978021446669"/>
          <c:h val="6.0339219428528192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10267035245554"/>
          <c:y val="0.1770041890321695"/>
          <c:w val="0.2598709240581844"/>
          <c:h val="0.79423849020717463"/>
        </c:manualLayout>
      </c:layout>
      <c:pieChart>
        <c:varyColors val="1"/>
        <c:ser>
          <c:idx val="0"/>
          <c:order val="0"/>
          <c:dPt>
            <c:idx val="0"/>
            <c:bubble3D val="0"/>
            <c:spPr>
              <a:solidFill>
                <a:schemeClr val="accent6">
                  <a:lumMod val="20000"/>
                  <a:lumOff val="80000"/>
                </a:schemeClr>
              </a:solidFill>
            </c:spPr>
          </c:dPt>
          <c:dPt>
            <c:idx val="1"/>
            <c:bubble3D val="0"/>
            <c:spPr>
              <a:solidFill>
                <a:schemeClr val="accent6">
                  <a:lumMod val="60000"/>
                  <a:lumOff val="40000"/>
                </a:schemeClr>
              </a:solidFill>
            </c:spPr>
          </c:dPt>
          <c:dPt>
            <c:idx val="2"/>
            <c:bubble3D val="0"/>
            <c:spPr>
              <a:solidFill>
                <a:schemeClr val="accent6">
                  <a:lumMod val="75000"/>
                </a:schemeClr>
              </a:solidFill>
            </c:spPr>
          </c:dPt>
          <c:dPt>
            <c:idx val="3"/>
            <c:bubble3D val="0"/>
            <c:spPr>
              <a:solidFill>
                <a:schemeClr val="accent6">
                  <a:lumMod val="50000"/>
                </a:schemeClr>
              </a:solidFill>
            </c:spPr>
          </c:dPt>
          <c:dLbls>
            <c:dLbl>
              <c:idx val="0"/>
              <c:layout>
                <c:manualLayout>
                  <c:x val="2.1713978625392136E-2"/>
                  <c:y val="5.1498977018922629E-2"/>
                </c:manualLayout>
              </c:layout>
              <c:showLegendKey val="0"/>
              <c:showVal val="0"/>
              <c:showCatName val="0"/>
              <c:showSerName val="0"/>
              <c:showPercent val="1"/>
              <c:showBubbleSize val="0"/>
              <c:extLst>
                <c:ext xmlns:c15="http://schemas.microsoft.com/office/drawing/2012/chart" uri="{CE6537A1-D6FC-4f65-9D91-7224C49458BB}">
                  <c15:layout/>
                </c:ext>
              </c:extLst>
            </c:dLbl>
            <c:dLbl>
              <c:idx val="1"/>
              <c:layout>
                <c:manualLayout>
                  <c:x val="-0.11531950979409314"/>
                  <c:y val="7.0274279476421106E-2"/>
                </c:manualLayout>
              </c:layout>
              <c:showLegendKey val="0"/>
              <c:showVal val="0"/>
              <c:showCatName val="0"/>
              <c:showSerName val="0"/>
              <c:showPercent val="1"/>
              <c:showBubbleSize val="0"/>
              <c:extLst>
                <c:ext xmlns:c15="http://schemas.microsoft.com/office/drawing/2012/chart" uri="{CE6537A1-D6FC-4f65-9D91-7224C49458BB}">
                  <c15:layout/>
                </c:ext>
              </c:extLst>
            </c:dLbl>
            <c:dLbl>
              <c:idx val="3"/>
              <c:layout>
                <c:manualLayout>
                  <c:x val="1.170659900033893E-2"/>
                  <c:y val="6.5171773602902355E-2"/>
                </c:manualLayout>
              </c:layou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'[1]CCCM Dashboard'!$AL$6:$AO$6</c:f>
              <c:strCache>
                <c:ptCount val="4"/>
                <c:pt idx="0">
                  <c:v>1-100</c:v>
                </c:pt>
                <c:pt idx="1">
                  <c:v>100-1k</c:v>
                </c:pt>
                <c:pt idx="2">
                  <c:v>1k-5k</c:v>
                </c:pt>
                <c:pt idx="3">
                  <c:v>5k-10k</c:v>
                </c:pt>
              </c:strCache>
            </c:strRef>
          </c:cat>
          <c:val>
            <c:numRef>
              <c:f>'[1]CCCM Dashboard'!$AL$29:$AO$29</c:f>
              <c:numCache>
                <c:formatCode>General</c:formatCode>
                <c:ptCount val="4"/>
                <c:pt idx="0">
                  <c:v>2.2813841879262439E-2</c:v>
                </c:pt>
                <c:pt idx="1">
                  <c:v>0.40213185147764585</c:v>
                </c:pt>
                <c:pt idx="2">
                  <c:v>0.41675170497600406</c:v>
                </c:pt>
                <c:pt idx="3">
                  <c:v>0.15830260166708765</c:v>
                </c:pt>
              </c:numCache>
            </c:numRef>
          </c:val>
        </c:ser>
        <c:dLbls>
          <c:showLegendKey val="0"/>
          <c:showVal val="0"/>
          <c:showCatName val="0"/>
          <c:showSerName val="0"/>
          <c:showPercent val="1"/>
          <c:showBubbleSize val="0"/>
          <c:showLeaderLines val="1"/>
        </c:dLbls>
        <c:firstSliceAng val="0"/>
      </c:pieChart>
      <c:spPr>
        <a:noFill/>
      </c:spPr>
    </c:plotArea>
    <c:legend>
      <c:legendPos val="t"/>
      <c:layout>
        <c:manualLayout>
          <c:xMode val="edge"/>
          <c:yMode val="edge"/>
          <c:x val="0.5423475469625233"/>
          <c:y val="0.15856269275199508"/>
          <c:w val="0.41963903879643244"/>
          <c:h val="0.78717706568002177"/>
        </c:manualLayout>
      </c:layout>
      <c:overlay val="0"/>
      <c:txPr>
        <a:bodyPr/>
        <a:lstStyle/>
        <a:p>
          <a:pPr rtl="0">
            <a:defRPr/>
          </a:pPr>
          <a:endParaRPr lang="en-US"/>
        </a:p>
      </c:txPr>
    </c:legend>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pop covered) in Rakhine State by Township</a:t>
            </a:r>
          </a:p>
        </c:rich>
      </c:tx>
      <c:overlay val="0"/>
    </c:title>
    <c:autoTitleDeleted val="0"/>
    <c:plotArea>
      <c:layout/>
      <c:barChart>
        <c:barDir val="col"/>
        <c:grouping val="clustered"/>
        <c:varyColors val="0"/>
        <c:ser>
          <c:idx val="5"/>
          <c:order val="0"/>
          <c:spPr>
            <a:solidFill>
              <a:srgbClr val="92D050"/>
            </a:solidFill>
          </c:spPr>
          <c:invertIfNegative val="0"/>
          <c:val>
            <c:numRef>
              <c:f>Shelter_Progress!#REF!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Shelter_Progress!#REF!</c15:sqref>
                        </c15:formulaRef>
                      </c:ext>
                    </c:extLst>
                  </c:multiLvlStrRef>
                </c15:cat>
              </c15:filteredCategoryTitle>
            </c:ext>
          </c:extLst>
        </c:ser>
        <c:dLbls>
          <c:showLegendKey val="0"/>
          <c:showVal val="0"/>
          <c:showCatName val="0"/>
          <c:showSerName val="0"/>
          <c:showPercent val="0"/>
          <c:showBubbleSize val="0"/>
        </c:dLbls>
        <c:gapWidth val="75"/>
        <c:axId val="252584672"/>
        <c:axId val="252585064"/>
      </c:barChart>
      <c:catAx>
        <c:axId val="252584672"/>
        <c:scaling>
          <c:orientation val="minMax"/>
        </c:scaling>
        <c:delete val="0"/>
        <c:axPos val="b"/>
        <c:majorTickMark val="none"/>
        <c:minorTickMark val="none"/>
        <c:tickLblPos val="nextTo"/>
        <c:crossAx val="252585064"/>
        <c:crosses val="autoZero"/>
        <c:auto val="1"/>
        <c:lblAlgn val="ctr"/>
        <c:lblOffset val="100"/>
        <c:noMultiLvlLbl val="0"/>
      </c:catAx>
      <c:valAx>
        <c:axId val="252585064"/>
        <c:scaling>
          <c:orientation val="minMax"/>
        </c:scaling>
        <c:delete val="0"/>
        <c:axPos val="l"/>
        <c:majorGridlines/>
        <c:numFmt formatCode="General" sourceLinked="1"/>
        <c:majorTickMark val="none"/>
        <c:minorTickMark val="none"/>
        <c:tickLblPos val="nextTo"/>
        <c:spPr>
          <a:ln w="9525">
            <a:noFill/>
          </a:ln>
        </c:spPr>
        <c:crossAx val="252584672"/>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pop covered) in Kachin  &amp; Northern Shan State  by township</a:t>
            </a:r>
          </a:p>
        </c:rich>
      </c:tx>
      <c:overlay val="0"/>
    </c:title>
    <c:autoTitleDeleted val="0"/>
    <c:plotArea>
      <c:layout/>
      <c:barChart>
        <c:barDir val="col"/>
        <c:grouping val="clustered"/>
        <c:varyColors val="0"/>
        <c:ser>
          <c:idx val="5"/>
          <c:order val="0"/>
          <c:tx>
            <c:strRef>
              <c:f>'Shelter Progress'!$N$6</c:f>
              <c:strCache>
                <c:ptCount val="1"/>
                <c:pt idx="0">
                  <c:v>Covered</c:v>
                </c:pt>
              </c:strCache>
            </c:strRef>
          </c:tx>
          <c:spPr>
            <a:solidFill>
              <a:srgbClr val="92D050"/>
            </a:solidFill>
          </c:spPr>
          <c:invertIfNegative val="0"/>
          <c:cat>
            <c:strRef>
              <c:f>'Shelter Progress'!$A$7:$A$28</c:f>
              <c:strCache>
                <c:ptCount val="22"/>
                <c:pt idx="0">
                  <c:v>Bhamo</c:v>
                </c:pt>
                <c:pt idx="1">
                  <c:v>Chipwi</c:v>
                </c:pt>
                <c:pt idx="2">
                  <c:v>Hpakant</c:v>
                </c:pt>
                <c:pt idx="3">
                  <c:v>Hseni</c:v>
                </c:pt>
                <c:pt idx="4">
                  <c:v>Hsipaw</c:v>
                </c:pt>
                <c:pt idx="5">
                  <c:v>Injangyang</c:v>
                </c:pt>
                <c:pt idx="6">
                  <c:v>Khaunglanhpu</c:v>
                </c:pt>
                <c:pt idx="7">
                  <c:v>Kutkai</c:v>
                </c:pt>
                <c:pt idx="8">
                  <c:v>Machanbaw</c:v>
                </c:pt>
                <c:pt idx="9">
                  <c:v>Mansi</c:v>
                </c:pt>
                <c:pt idx="10">
                  <c:v>Manton</c:v>
                </c:pt>
                <c:pt idx="11">
                  <c:v>Mogaung</c:v>
                </c:pt>
                <c:pt idx="12">
                  <c:v>Mohnyin</c:v>
                </c:pt>
                <c:pt idx="13">
                  <c:v>Momauk</c:v>
                </c:pt>
                <c:pt idx="14">
                  <c:v>Muse</c:v>
                </c:pt>
                <c:pt idx="15">
                  <c:v>Myitkyina</c:v>
                </c:pt>
                <c:pt idx="16">
                  <c:v>Namhkan</c:v>
                </c:pt>
                <c:pt idx="17">
                  <c:v>Namtu</c:v>
                </c:pt>
                <c:pt idx="18">
                  <c:v>Puta-O</c:v>
                </c:pt>
                <c:pt idx="19">
                  <c:v>Shwegu</c:v>
                </c:pt>
                <c:pt idx="20">
                  <c:v>Sumprabum</c:v>
                </c:pt>
                <c:pt idx="21">
                  <c:v>Waingmaw</c:v>
                </c:pt>
              </c:strCache>
            </c:strRef>
          </c:cat>
          <c:val>
            <c:numRef>
              <c:f>'Shelter Progress'!$N$7:$N$28</c:f>
              <c:numCache>
                <c:formatCode>0%</c:formatCode>
                <c:ptCount val="22"/>
                <c:pt idx="0">
                  <c:v>0.81932443047918302</c:v>
                </c:pt>
                <c:pt idx="1">
                  <c:v>0.3592814371257485</c:v>
                </c:pt>
                <c:pt idx="2">
                  <c:v>0.53366583541147128</c:v>
                </c:pt>
                <c:pt idx="3">
                  <c:v>0.60344827586206895</c:v>
                </c:pt>
                <c:pt idx="4">
                  <c:v>0</c:v>
                </c:pt>
                <c:pt idx="5">
                  <c:v>0</c:v>
                </c:pt>
                <c:pt idx="6">
                  <c:v>0</c:v>
                </c:pt>
                <c:pt idx="7">
                  <c:v>0.43106796116504853</c:v>
                </c:pt>
                <c:pt idx="8">
                  <c:v>0</c:v>
                </c:pt>
                <c:pt idx="9">
                  <c:v>0.59190283400809718</c:v>
                </c:pt>
                <c:pt idx="10">
                  <c:v>0.79207920792079212</c:v>
                </c:pt>
                <c:pt idx="11">
                  <c:v>1</c:v>
                </c:pt>
                <c:pt idx="12">
                  <c:v>1</c:v>
                </c:pt>
                <c:pt idx="13">
                  <c:v>1</c:v>
                </c:pt>
                <c:pt idx="14">
                  <c:v>1</c:v>
                </c:pt>
                <c:pt idx="15">
                  <c:v>0.94477485131690742</c:v>
                </c:pt>
                <c:pt idx="16">
                  <c:v>0.39173553719008264</c:v>
                </c:pt>
                <c:pt idx="17">
                  <c:v>2.6109660574412531E-2</c:v>
                </c:pt>
                <c:pt idx="18">
                  <c:v>1</c:v>
                </c:pt>
                <c:pt idx="19">
                  <c:v>0.69841269841269837</c:v>
                </c:pt>
                <c:pt idx="20">
                  <c:v>0</c:v>
                </c:pt>
                <c:pt idx="21">
                  <c:v>0.54891994917407883</c:v>
                </c:pt>
              </c:numCache>
            </c:numRef>
          </c:val>
        </c:ser>
        <c:dLbls>
          <c:showLegendKey val="0"/>
          <c:showVal val="0"/>
          <c:showCatName val="0"/>
          <c:showSerName val="0"/>
          <c:showPercent val="0"/>
          <c:showBubbleSize val="0"/>
        </c:dLbls>
        <c:gapWidth val="75"/>
        <c:axId val="252586240"/>
        <c:axId val="252586632"/>
      </c:barChart>
      <c:catAx>
        <c:axId val="252586240"/>
        <c:scaling>
          <c:orientation val="minMax"/>
        </c:scaling>
        <c:delete val="0"/>
        <c:axPos val="b"/>
        <c:numFmt formatCode="General" sourceLinked="0"/>
        <c:majorTickMark val="none"/>
        <c:minorTickMark val="none"/>
        <c:tickLblPos val="nextTo"/>
        <c:crossAx val="252586632"/>
        <c:crosses val="autoZero"/>
        <c:auto val="1"/>
        <c:lblAlgn val="ctr"/>
        <c:lblOffset val="100"/>
        <c:noMultiLvlLbl val="0"/>
      </c:catAx>
      <c:valAx>
        <c:axId val="252586632"/>
        <c:scaling>
          <c:orientation val="minMax"/>
        </c:scaling>
        <c:delete val="0"/>
        <c:axPos val="l"/>
        <c:majorGridlines/>
        <c:numFmt formatCode="0%" sourceLinked="1"/>
        <c:majorTickMark val="none"/>
        <c:minorTickMark val="none"/>
        <c:tickLblPos val="nextTo"/>
        <c:spPr>
          <a:ln w="9525">
            <a:noFill/>
          </a:ln>
        </c:spPr>
        <c:crossAx val="252586240"/>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[Myanmar_Shelter_NFI_CCCM_Cluster_Analysis Report_Kachin_V03 01-Apr-14.xlsm]Shelter_Progress!PivotTable3</c:name>
    <c:fmtId val="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s>
    <c:plotArea>
      <c:layout/>
      <c:barChart>
        <c:barDir val="col"/>
        <c:grouping val="stacked"/>
        <c:varyColors val="0"/>
        <c:ser>
          <c:idx val="0"/>
          <c:order val="0"/>
          <c:tx>
            <c:strRef>
              <c:f>Shelter_Progress!$B$83</c:f>
              <c:strCache>
                <c:ptCount val="1"/>
                <c:pt idx="0">
                  <c:v>Total</c:v>
                </c:pt>
              </c:strCache>
            </c:strRef>
          </c:tx>
          <c:invertIfNegative val="0"/>
          <c:cat>
            <c:strRef>
              <c:f>Shelter_Progress!$A$84:$A$97</c:f>
              <c:strCache>
                <c:ptCount val="13"/>
                <c:pt idx="0">
                  <c:v>DRC</c:v>
                </c:pt>
                <c:pt idx="1">
                  <c:v>UNHCR</c:v>
                </c:pt>
                <c:pt idx="2">
                  <c:v>World Vision</c:v>
                </c:pt>
                <c:pt idx="3">
                  <c:v>Oxfam</c:v>
                </c:pt>
                <c:pt idx="4">
                  <c:v>IRRC</c:v>
                </c:pt>
                <c:pt idx="5">
                  <c:v>Caritas</c:v>
                </c:pt>
                <c:pt idx="6">
                  <c:v>Metta</c:v>
                </c:pt>
                <c:pt idx="7">
                  <c:v>CC</c:v>
                </c:pt>
                <c:pt idx="8">
                  <c:v>KBC Zonal</c:v>
                </c:pt>
                <c:pt idx="9">
                  <c:v>Misereor</c:v>
                </c:pt>
                <c:pt idx="10">
                  <c:v>Yedai Foundation</c:v>
                </c:pt>
                <c:pt idx="11">
                  <c:v>ACTED</c:v>
                </c:pt>
                <c:pt idx="12">
                  <c:v>(blank)</c:v>
                </c:pt>
              </c:strCache>
            </c:strRef>
          </c:cat>
          <c:val>
            <c:numRef>
              <c:f>Shelter_Progress!$B$84:$B$97</c:f>
              <c:numCache>
                <c:formatCode>General</c:formatCode>
                <c:ptCount val="13"/>
                <c:pt idx="0">
                  <c:v>2144</c:v>
                </c:pt>
                <c:pt idx="1">
                  <c:v>5097</c:v>
                </c:pt>
                <c:pt idx="2">
                  <c:v>87</c:v>
                </c:pt>
                <c:pt idx="3">
                  <c:v>385</c:v>
                </c:pt>
                <c:pt idx="4">
                  <c:v>356</c:v>
                </c:pt>
                <c:pt idx="5">
                  <c:v>901</c:v>
                </c:pt>
                <c:pt idx="6">
                  <c:v>724</c:v>
                </c:pt>
                <c:pt idx="7">
                  <c:v>155</c:v>
                </c:pt>
                <c:pt idx="8">
                  <c:v>32</c:v>
                </c:pt>
                <c:pt idx="9">
                  <c:v>12</c:v>
                </c:pt>
                <c:pt idx="10">
                  <c:v>10</c:v>
                </c:pt>
                <c:pt idx="11">
                  <c:v>0</c:v>
                </c:pt>
                <c:pt idx="12">
                  <c:v>122</c:v>
                </c:pt>
              </c:numCache>
            </c:numRef>
          </c:val>
        </c:ser>
        <c:dLbls>
          <c:showLegendKey val="0"/>
          <c:showVal val="0"/>
          <c:showCatName val="0"/>
          <c:showSerName val="0"/>
          <c:showPercent val="0"/>
          <c:showBubbleSize val="0"/>
        </c:dLbls>
        <c:gapWidth val="150"/>
        <c:overlap val="100"/>
        <c:axId val="251390608"/>
        <c:axId val="251391000"/>
      </c:barChart>
      <c:catAx>
        <c:axId val="251390608"/>
        <c:scaling>
          <c:orientation val="minMax"/>
        </c:scaling>
        <c:delete val="0"/>
        <c:axPos val="b"/>
        <c:numFmt formatCode="General" sourceLinked="0"/>
        <c:majorTickMark val="out"/>
        <c:minorTickMark val="none"/>
        <c:tickLblPos val="nextTo"/>
        <c:crossAx val="251391000"/>
        <c:crosses val="autoZero"/>
        <c:auto val="1"/>
        <c:lblAlgn val="ctr"/>
        <c:lblOffset val="100"/>
        <c:noMultiLvlLbl val="0"/>
      </c:catAx>
      <c:valAx>
        <c:axId val="251391000"/>
        <c:scaling>
          <c:orientation val="minMax"/>
        </c:scaling>
        <c:delete val="0"/>
        <c:axPos val="l"/>
        <c:majorGridlines/>
        <c:numFmt formatCode="General" sourceLinked="1"/>
        <c:majorTickMark val="out"/>
        <c:minorTickMark val="none"/>
        <c:tickLblPos val="nextTo"/>
        <c:crossAx val="25139060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November 2016.xlsx]Shelter Progress!PivotTable3</c:name>
    <c:fmtId val="6"/>
  </c:pivotSource>
  <c:chart>
    <c:title>
      <c:tx>
        <c:rich>
          <a:bodyPr/>
          <a:lstStyle/>
          <a:p>
            <a:pPr>
              <a:defRPr/>
            </a:pPr>
            <a:r>
              <a:rPr lang="en-US" sz="1800" b="1" i="0" baseline="0">
                <a:effectLst/>
              </a:rPr>
              <a:t>Temporary Shelter Built in Kachin   &amp; Northern Shan States by Agency</a:t>
            </a:r>
            <a:r>
              <a:rPr lang="en-US" sz="1800" b="0" i="0" baseline="0">
                <a:effectLst/>
              </a:rPr>
              <a:t> </a:t>
            </a:r>
            <a:endParaRPr lang="en-US">
              <a:effectLst/>
            </a:endParaRP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rgbClr val="92D050"/>
          </a:solidFill>
        </c:spPr>
        <c:marker>
          <c:symbol val="none"/>
        </c:marker>
      </c:pivotFmt>
      <c:pivotFmt>
        <c:idx val="7"/>
        <c:marker>
          <c:symbol val="none"/>
        </c:marker>
      </c:pivotFmt>
      <c:pivotFmt>
        <c:idx val="8"/>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s>
    <c:plotArea>
      <c:layout/>
      <c:barChart>
        <c:barDir val="col"/>
        <c:grouping val="stacked"/>
        <c:varyColors val="0"/>
        <c:ser>
          <c:idx val="0"/>
          <c:order val="0"/>
          <c:tx>
            <c:strRef>
              <c:f>'Shelter Progress'!$B$84</c:f>
              <c:strCache>
                <c:ptCount val="1"/>
                <c:pt idx="0">
                  <c:v>Total</c:v>
                </c:pt>
              </c:strCache>
            </c:strRef>
          </c:tx>
          <c:invertIfNegative val="0"/>
          <c:cat>
            <c:strRef>
              <c:f>'Shelter Progress'!$A$85:$A$102</c:f>
              <c:strCache>
                <c:ptCount val="17"/>
                <c:pt idx="0">
                  <c:v>DRC</c:v>
                </c:pt>
                <c:pt idx="1">
                  <c:v>UNHCR</c:v>
                </c:pt>
                <c:pt idx="2">
                  <c:v>World Vision</c:v>
                </c:pt>
                <c:pt idx="3">
                  <c:v>Oxfam</c:v>
                </c:pt>
                <c:pt idx="4">
                  <c:v>IRRC</c:v>
                </c:pt>
                <c:pt idx="5">
                  <c:v>Caritas</c:v>
                </c:pt>
                <c:pt idx="6">
                  <c:v>Metta</c:v>
                </c:pt>
                <c:pt idx="7">
                  <c:v>CC</c:v>
                </c:pt>
                <c:pt idx="8">
                  <c:v>KBC Zonal</c:v>
                </c:pt>
                <c:pt idx="9">
                  <c:v>Misereor</c:v>
                </c:pt>
                <c:pt idx="10">
                  <c:v>Yedai Foundation</c:v>
                </c:pt>
                <c:pt idx="11">
                  <c:v>ACTED</c:v>
                </c:pt>
                <c:pt idx="12">
                  <c:v>(blank)</c:v>
                </c:pt>
                <c:pt idx="13">
                  <c:v>COC</c:v>
                </c:pt>
                <c:pt idx="14">
                  <c:v>FSD</c:v>
                </c:pt>
                <c:pt idx="15">
                  <c:v>DFID</c:v>
                </c:pt>
                <c:pt idx="16">
                  <c:v>UNOCHA</c:v>
                </c:pt>
              </c:strCache>
            </c:strRef>
          </c:cat>
          <c:val>
            <c:numRef>
              <c:f>'Shelter Progress'!$B$85:$B$102</c:f>
              <c:numCache>
                <c:formatCode>General</c:formatCode>
                <c:ptCount val="17"/>
                <c:pt idx="0">
                  <c:v>2603</c:v>
                </c:pt>
                <c:pt idx="1">
                  <c:v>6981</c:v>
                </c:pt>
                <c:pt idx="2">
                  <c:v>77</c:v>
                </c:pt>
                <c:pt idx="3">
                  <c:v>405</c:v>
                </c:pt>
                <c:pt idx="4">
                  <c:v>32</c:v>
                </c:pt>
                <c:pt idx="5">
                  <c:v>725</c:v>
                </c:pt>
                <c:pt idx="6">
                  <c:v>900</c:v>
                </c:pt>
                <c:pt idx="7">
                  <c:v>279</c:v>
                </c:pt>
                <c:pt idx="8">
                  <c:v>205</c:v>
                </c:pt>
                <c:pt idx="9">
                  <c:v>12</c:v>
                </c:pt>
                <c:pt idx="10">
                  <c:v>10</c:v>
                </c:pt>
                <c:pt idx="11">
                  <c:v>0</c:v>
                </c:pt>
                <c:pt idx="12">
                  <c:v>122</c:v>
                </c:pt>
                <c:pt idx="13">
                  <c:v>20</c:v>
                </c:pt>
                <c:pt idx="14">
                  <c:v>269</c:v>
                </c:pt>
                <c:pt idx="15">
                  <c:v>350</c:v>
                </c:pt>
                <c:pt idx="16">
                  <c:v>0</c:v>
                </c:pt>
              </c:numCache>
            </c:numRef>
          </c:val>
        </c:ser>
        <c:dLbls>
          <c:showLegendKey val="0"/>
          <c:showVal val="0"/>
          <c:showCatName val="0"/>
          <c:showSerName val="0"/>
          <c:showPercent val="0"/>
          <c:showBubbleSize val="0"/>
        </c:dLbls>
        <c:gapWidth val="150"/>
        <c:overlap val="100"/>
        <c:axId val="251391784"/>
        <c:axId val="251392176"/>
      </c:barChart>
      <c:catAx>
        <c:axId val="251391784"/>
        <c:scaling>
          <c:orientation val="minMax"/>
        </c:scaling>
        <c:delete val="0"/>
        <c:axPos val="b"/>
        <c:numFmt formatCode="General" sourceLinked="0"/>
        <c:majorTickMark val="out"/>
        <c:minorTickMark val="none"/>
        <c:tickLblPos val="nextTo"/>
        <c:crossAx val="251392176"/>
        <c:crosses val="autoZero"/>
        <c:auto val="1"/>
        <c:lblAlgn val="ctr"/>
        <c:lblOffset val="100"/>
        <c:noMultiLvlLbl val="0"/>
      </c:catAx>
      <c:valAx>
        <c:axId val="251392176"/>
        <c:scaling>
          <c:orientation val="minMax"/>
        </c:scaling>
        <c:delete val="0"/>
        <c:axPos val="l"/>
        <c:majorGridlines/>
        <c:numFmt formatCode="General" sourceLinked="1"/>
        <c:majorTickMark val="out"/>
        <c:minorTickMark val="none"/>
        <c:tickLblPos val="nextTo"/>
        <c:crossAx val="25139178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1"/>
    </mc:Choice>
    <mc:Fallback>
      <c:style val="21"/>
    </mc:Fallback>
  </mc:AlternateContent>
  <c:chart>
    <c:autoTitleDeleted val="1"/>
    <c:pivotFmts>
      <c:pivotFmt>
        <c:idx val="0"/>
        <c:spPr>
          <a:solidFill>
            <a:srgbClr val="FF0000">
              <a:alpha val="45000"/>
            </a:srgbClr>
          </a:solidFill>
        </c:spPr>
        <c:marker>
          <c:symbol val="none"/>
        </c:marker>
      </c:pivotFmt>
      <c:pivotFmt>
        <c:idx val="1"/>
        <c:spPr>
          <a:solidFill>
            <a:srgbClr val="00B0F0">
              <a:alpha val="45000"/>
            </a:srgbClr>
          </a:solidFill>
        </c:spPr>
        <c:marker>
          <c:symbol val="none"/>
        </c:marker>
      </c:pivotFmt>
      <c:pivotFmt>
        <c:idx val="2"/>
        <c:spPr>
          <a:solidFill>
            <a:srgbClr val="00B0F0">
              <a:alpha val="45000"/>
            </a:srgbClr>
          </a:solidFill>
          <a:ln>
            <a:solidFill>
              <a:schemeClr val="tx1">
                <a:alpha val="20000"/>
              </a:schemeClr>
            </a:solidFill>
          </a:ln>
        </c:spPr>
        <c:marker>
          <c:symbol val="none"/>
        </c:marker>
      </c:pivotFmt>
      <c:pivotFmt>
        <c:idx val="3"/>
        <c:spPr>
          <a:solidFill>
            <a:srgbClr val="FF0000">
              <a:alpha val="45000"/>
            </a:srgbClr>
          </a:solidFill>
          <a:ln>
            <a:solidFill>
              <a:schemeClr val="tx1">
                <a:alpha val="20000"/>
              </a:schemeClr>
            </a:solidFill>
          </a:ln>
        </c:spPr>
        <c:marker>
          <c:symbol val="none"/>
        </c:marker>
      </c:pivotFmt>
    </c:pivotFmts>
    <c:plotArea>
      <c:layout>
        <c:manualLayout>
          <c:layoutTarget val="inner"/>
          <c:xMode val="edge"/>
          <c:yMode val="edge"/>
          <c:x val="0.17247844331587769"/>
          <c:y val="0.12886224083038805"/>
          <c:w val="0.76165896262398292"/>
          <c:h val="0.66512276873211684"/>
        </c:manualLayout>
      </c:layout>
      <c:barChart>
        <c:barDir val="bar"/>
        <c:grouping val="stacked"/>
        <c:varyColors val="0"/>
        <c:ser>
          <c:idx val="10"/>
          <c:order val="0"/>
          <c:tx>
            <c:strRef>
              <c:f>'Shelter Progress'!$L$6</c:f>
              <c:strCache>
                <c:ptCount val="1"/>
                <c:pt idx="0">
                  <c:v> Coverage (in Pop)</c:v>
                </c:pt>
              </c:strCache>
            </c:strRef>
          </c:tx>
          <c:spPr>
            <a:solidFill>
              <a:srgbClr val="92D050"/>
            </a:solidFill>
          </c:spPr>
          <c:invertIfNegative val="0"/>
          <c:cat>
            <c:strRef>
              <c:f>'Shelter Progress'!$A$7:$A$28</c:f>
              <c:strCache>
                <c:ptCount val="22"/>
                <c:pt idx="0">
                  <c:v>Bhamo</c:v>
                </c:pt>
                <c:pt idx="1">
                  <c:v>Chipwi</c:v>
                </c:pt>
                <c:pt idx="2">
                  <c:v>Hpakant</c:v>
                </c:pt>
                <c:pt idx="3">
                  <c:v>Hseni</c:v>
                </c:pt>
                <c:pt idx="4">
                  <c:v>Hsipaw</c:v>
                </c:pt>
                <c:pt idx="5">
                  <c:v>Injangyang</c:v>
                </c:pt>
                <c:pt idx="6">
                  <c:v>Khaunglanhpu</c:v>
                </c:pt>
                <c:pt idx="7">
                  <c:v>Kutkai</c:v>
                </c:pt>
                <c:pt idx="8">
                  <c:v>Machanbaw</c:v>
                </c:pt>
                <c:pt idx="9">
                  <c:v>Mansi</c:v>
                </c:pt>
                <c:pt idx="10">
                  <c:v>Manton</c:v>
                </c:pt>
                <c:pt idx="11">
                  <c:v>Mogaung</c:v>
                </c:pt>
                <c:pt idx="12">
                  <c:v>Mohnyin</c:v>
                </c:pt>
                <c:pt idx="13">
                  <c:v>Momauk</c:v>
                </c:pt>
                <c:pt idx="14">
                  <c:v>Muse</c:v>
                </c:pt>
                <c:pt idx="15">
                  <c:v>Myitkyina</c:v>
                </c:pt>
                <c:pt idx="16">
                  <c:v>Namhkan</c:v>
                </c:pt>
                <c:pt idx="17">
                  <c:v>Namtu</c:v>
                </c:pt>
                <c:pt idx="18">
                  <c:v>Puta-O</c:v>
                </c:pt>
                <c:pt idx="19">
                  <c:v>Shwegu</c:v>
                </c:pt>
                <c:pt idx="20">
                  <c:v>Sumprabum</c:v>
                </c:pt>
                <c:pt idx="21">
                  <c:v>Waingmaw</c:v>
                </c:pt>
              </c:strCache>
            </c:strRef>
          </c:cat>
          <c:val>
            <c:numRef>
              <c:f>'Shelter Progress'!$L$7:$L$28</c:f>
              <c:numCache>
                <c:formatCode>_(* #,##0_);_(* \(#,##0\);_(* "-"??_);_(@_)</c:formatCode>
                <c:ptCount val="22"/>
                <c:pt idx="0">
                  <c:v>5849.9764336213666</c:v>
                </c:pt>
                <c:pt idx="1">
                  <c:v>944.19161676646706</c:v>
                </c:pt>
                <c:pt idx="2">
                  <c:v>2009.785536159601</c:v>
                </c:pt>
                <c:pt idx="3">
                  <c:v>168.9655172413793</c:v>
                </c:pt>
                <c:pt idx="4">
                  <c:v>0</c:v>
                </c:pt>
                <c:pt idx="5">
                  <c:v>0</c:v>
                </c:pt>
                <c:pt idx="6">
                  <c:v>0</c:v>
                </c:pt>
                <c:pt idx="7">
                  <c:v>2169.1339805825241</c:v>
                </c:pt>
                <c:pt idx="8">
                  <c:v>0</c:v>
                </c:pt>
                <c:pt idx="9">
                  <c:v>6779.0631578947368</c:v>
                </c:pt>
                <c:pt idx="10">
                  <c:v>426.93069306930693</c:v>
                </c:pt>
                <c:pt idx="11">
                  <c:v>366.85714285714283</c:v>
                </c:pt>
                <c:pt idx="12">
                  <c:v>219.54545454545456</c:v>
                </c:pt>
                <c:pt idx="13">
                  <c:v>21558.559453471196</c:v>
                </c:pt>
                <c:pt idx="14">
                  <c:v>1283.2105263157896</c:v>
                </c:pt>
                <c:pt idx="15">
                  <c:v>5595.9014443500419</c:v>
                </c:pt>
                <c:pt idx="16">
                  <c:v>1087.8495867768595</c:v>
                </c:pt>
                <c:pt idx="17">
                  <c:v>38.067885117493475</c:v>
                </c:pt>
                <c:pt idx="18">
                  <c:v>272.54237288135596</c:v>
                </c:pt>
                <c:pt idx="19">
                  <c:v>355.49206349206349</c:v>
                </c:pt>
                <c:pt idx="20">
                  <c:v>0</c:v>
                </c:pt>
                <c:pt idx="21">
                  <c:v>17430.952986022872</c:v>
                </c:pt>
              </c:numCache>
            </c:numRef>
          </c:val>
        </c:ser>
        <c:dLbls>
          <c:showLegendKey val="0"/>
          <c:showVal val="0"/>
          <c:showCatName val="0"/>
          <c:showSerName val="0"/>
          <c:showPercent val="0"/>
          <c:showBubbleSize val="0"/>
        </c:dLbls>
        <c:gapWidth val="75"/>
        <c:overlap val="100"/>
        <c:axId val="251392960"/>
        <c:axId val="251393352"/>
      </c:barChart>
      <c:catAx>
        <c:axId val="251392960"/>
        <c:scaling>
          <c:orientation val="minMax"/>
        </c:scaling>
        <c:delete val="0"/>
        <c:axPos val="l"/>
        <c:numFmt formatCode="General" sourceLinked="0"/>
        <c:majorTickMark val="none"/>
        <c:minorTickMark val="none"/>
        <c:tickLblPos val="nextTo"/>
        <c:crossAx val="251393352"/>
        <c:crosses val="autoZero"/>
        <c:auto val="1"/>
        <c:lblAlgn val="ctr"/>
        <c:lblOffset val="100"/>
        <c:noMultiLvlLbl val="0"/>
      </c:catAx>
      <c:valAx>
        <c:axId val="251393352"/>
        <c:scaling>
          <c:orientation val="minMax"/>
          <c:min val="0"/>
        </c:scaling>
        <c:delete val="0"/>
        <c:axPos val="b"/>
        <c:numFmt formatCode="#,##0" sourceLinked="0"/>
        <c:majorTickMark val="cross"/>
        <c:minorTickMark val="none"/>
        <c:tickLblPos val="low"/>
        <c:spPr>
          <a:ln w="9525">
            <a:solidFill>
              <a:schemeClr val="accent1"/>
            </a:solidFill>
          </a:ln>
        </c:spPr>
        <c:crossAx val="251392960"/>
        <c:crosses val="autoZero"/>
        <c:crossBetween val="between"/>
        <c:dispUnits>
          <c:builtInUnit val="thousands"/>
          <c:dispUnitsLbl/>
        </c:dispUnits>
      </c:valAx>
    </c:plotArea>
    <c:legend>
      <c:legendPos val="b"/>
      <c:layout>
        <c:manualLayout>
          <c:xMode val="edge"/>
          <c:yMode val="edge"/>
          <c:x val="0.37403278363789433"/>
          <c:y val="0.86115636330036516"/>
          <c:w val="0.27160766532401082"/>
          <c:h val="4.1467779513830266E-2"/>
        </c:manualLayout>
      </c:layout>
      <c:overlay val="0"/>
    </c:legend>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orientation="portrait"/>
  </c:printSettings>
  <c:userShapes r:id="rId1"/>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November 2016.xlsx]Shelter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s>
    <c:plotArea>
      <c:layout>
        <c:manualLayout>
          <c:layoutTarget val="inner"/>
          <c:xMode val="edge"/>
          <c:yMode val="edge"/>
          <c:x val="0.21971330435638536"/>
          <c:y val="0.10400020189783968"/>
          <c:w val="0.75070251906783347"/>
          <c:h val="0.82603028467595385"/>
        </c:manualLayout>
      </c:layout>
      <c:barChart>
        <c:barDir val="bar"/>
        <c:grouping val="clustered"/>
        <c:varyColors val="0"/>
        <c:ser>
          <c:idx val="0"/>
          <c:order val="0"/>
          <c:tx>
            <c:strRef>
              <c:f>'Shelter Summary (by Agency)'!$F$7</c:f>
              <c:strCache>
                <c:ptCount val="1"/>
                <c:pt idx="0">
                  <c:v>Total</c:v>
                </c:pt>
              </c:strCache>
            </c:strRef>
          </c:tx>
          <c:invertIfNegative val="0"/>
          <c:cat>
            <c:strRef>
              <c:f>'Shelter Summary (by Agency)'!$E$8:$E$22</c:f>
              <c:strCache>
                <c:ptCount val="14"/>
                <c:pt idx="0">
                  <c:v>Caritas</c:v>
                </c:pt>
                <c:pt idx="1">
                  <c:v>CC</c:v>
                </c:pt>
                <c:pt idx="2">
                  <c:v>COC</c:v>
                </c:pt>
                <c:pt idx="3">
                  <c:v>DFID</c:v>
                </c:pt>
                <c:pt idx="4">
                  <c:v>DRC</c:v>
                </c:pt>
                <c:pt idx="5">
                  <c:v>FSD</c:v>
                </c:pt>
                <c:pt idx="6">
                  <c:v>IRRC</c:v>
                </c:pt>
                <c:pt idx="7">
                  <c:v>KBC Zonal</c:v>
                </c:pt>
                <c:pt idx="8">
                  <c:v>Metta</c:v>
                </c:pt>
                <c:pt idx="9">
                  <c:v>Misereor</c:v>
                </c:pt>
                <c:pt idx="10">
                  <c:v>Oxfam</c:v>
                </c:pt>
                <c:pt idx="11">
                  <c:v>UNHCR</c:v>
                </c:pt>
                <c:pt idx="12">
                  <c:v>World Vision</c:v>
                </c:pt>
                <c:pt idx="13">
                  <c:v>Yedai Foundation</c:v>
                </c:pt>
              </c:strCache>
            </c:strRef>
          </c:cat>
          <c:val>
            <c:numRef>
              <c:f>'Shelter Summary (by Agency)'!$F$8:$F$22</c:f>
              <c:numCache>
                <c:formatCode>_-* #,##0_-;\-* #,##0_-;_-* "-"??_-;_-@_-</c:formatCode>
                <c:ptCount val="14"/>
                <c:pt idx="0">
                  <c:v>725</c:v>
                </c:pt>
                <c:pt idx="1">
                  <c:v>279</c:v>
                </c:pt>
                <c:pt idx="2">
                  <c:v>20</c:v>
                </c:pt>
                <c:pt idx="3">
                  <c:v>350</c:v>
                </c:pt>
                <c:pt idx="4">
                  <c:v>2603</c:v>
                </c:pt>
                <c:pt idx="5">
                  <c:v>269</c:v>
                </c:pt>
                <c:pt idx="6">
                  <c:v>32</c:v>
                </c:pt>
                <c:pt idx="7">
                  <c:v>205</c:v>
                </c:pt>
                <c:pt idx="8">
                  <c:v>900</c:v>
                </c:pt>
                <c:pt idx="9">
                  <c:v>12</c:v>
                </c:pt>
                <c:pt idx="10">
                  <c:v>405</c:v>
                </c:pt>
                <c:pt idx="11">
                  <c:v>6981</c:v>
                </c:pt>
                <c:pt idx="12">
                  <c:v>77</c:v>
                </c:pt>
                <c:pt idx="13">
                  <c:v>10</c:v>
                </c:pt>
              </c:numCache>
            </c:numRef>
          </c:val>
        </c:ser>
        <c:dLbls>
          <c:showLegendKey val="0"/>
          <c:showVal val="0"/>
          <c:showCatName val="0"/>
          <c:showSerName val="0"/>
          <c:showPercent val="0"/>
          <c:showBubbleSize val="0"/>
        </c:dLbls>
        <c:gapWidth val="55"/>
        <c:axId val="251390216"/>
        <c:axId val="252585848"/>
      </c:barChart>
      <c:catAx>
        <c:axId val="251390216"/>
        <c:scaling>
          <c:orientation val="minMax"/>
        </c:scaling>
        <c:delete val="0"/>
        <c:axPos val="l"/>
        <c:numFmt formatCode="General" sourceLinked="0"/>
        <c:majorTickMark val="out"/>
        <c:minorTickMark val="none"/>
        <c:tickLblPos val="nextTo"/>
        <c:spPr>
          <a:ln>
            <a:noFill/>
          </a:ln>
        </c:spPr>
        <c:crossAx val="252585848"/>
        <c:crosses val="autoZero"/>
        <c:auto val="1"/>
        <c:lblAlgn val="ctr"/>
        <c:lblOffset val="100"/>
        <c:noMultiLvlLbl val="0"/>
      </c:catAx>
      <c:valAx>
        <c:axId val="252585848"/>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5.4807767597606596E-2"/>
              <c:y val="0.91077615298087744"/>
            </c:manualLayout>
          </c:layout>
          <c:overlay val="0"/>
        </c:title>
        <c:numFmt formatCode="#,##0" sourceLinked="0"/>
        <c:majorTickMark val="out"/>
        <c:minorTickMark val="none"/>
        <c:tickLblPos val="nextTo"/>
        <c:crossAx val="251390216"/>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1"/>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 Tracking'!A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2" Type="http://schemas.openxmlformats.org/officeDocument/2006/relationships/hyperlink" Target="#'Camp List'!A1"/><Relationship Id="rId1" Type="http://schemas.openxmlformats.org/officeDocument/2006/relationships/hyperlink" Target="#'Camp 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0" Type="http://schemas.openxmlformats.org/officeDocument/2006/relationships/hyperlink" Target="#'Shelter Summary (by Agency)'!A1"/><Relationship Id="rId4" Type="http://schemas.openxmlformats.org/officeDocument/2006/relationships/hyperlink" Target="#'Shelter Progress'!A1"/><Relationship Id="rId9" Type="http://schemas.openxmlformats.org/officeDocument/2006/relationships/hyperlink" Target="#'NFI Distribution (by Tship)'!A1"/></Relationships>
</file>

<file path=xl/drawings/_rels/drawing10.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chart" Target="../charts/chart8.xml"/><Relationship Id="rId7" Type="http://schemas.openxmlformats.org/officeDocument/2006/relationships/hyperlink" Target="#'Shelter Summary (by Agency)'!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Shelter Tracking'!A1"/><Relationship Id="rId5" Type="http://schemas.openxmlformats.org/officeDocument/2006/relationships/hyperlink" Target="#'Shelter Progress'!A1"/><Relationship Id="rId4" Type="http://schemas.openxmlformats.org/officeDocument/2006/relationships/hyperlink" Target="#Home!A1"/><Relationship Id="rId9"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image" Target="../media/image9.png"/><Relationship Id="rId7" Type="http://schemas.openxmlformats.org/officeDocument/2006/relationships/hyperlink" Target="#'Shelter Summary (by Agency)'!A1"/><Relationship Id="rId2" Type="http://schemas.openxmlformats.org/officeDocument/2006/relationships/image" Target="../media/image6.png"/><Relationship Id="rId1" Type="http://schemas.openxmlformats.org/officeDocument/2006/relationships/image" Target="../media/image21.jpg"/><Relationship Id="rId6" Type="http://schemas.openxmlformats.org/officeDocument/2006/relationships/hyperlink" Target="#'Shelter Tracking'!A1"/><Relationship Id="rId5" Type="http://schemas.openxmlformats.org/officeDocument/2006/relationships/hyperlink" Target="#'Shelter Progress'!A1"/><Relationship Id="rId10" Type="http://schemas.openxmlformats.org/officeDocument/2006/relationships/chart" Target="../charts/chart11.xml"/><Relationship Id="rId4" Type="http://schemas.openxmlformats.org/officeDocument/2006/relationships/hyperlink" Target="#Home!A1"/><Relationship Id="rId9"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NFI Distribution (by Tship)'!A1"/><Relationship Id="rId5" Type="http://schemas.openxmlformats.org/officeDocument/2006/relationships/hyperlink" Target="#'NFI Summary'!A1"/><Relationship Id="rId4" Type="http://schemas.openxmlformats.org/officeDocument/2006/relationships/hyperlink" Target="#'NFI Tracking'!A1"/></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hyperlink" Target="#'NFI Distribution (by Tship)'!A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NFI Summary'!A1"/><Relationship Id="rId5" Type="http://schemas.openxmlformats.org/officeDocument/2006/relationships/hyperlink" Target="#'NFI Tracking'!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hyperlink" Target="#'NFI Distribution (by Tship)'!A1"/><Relationship Id="rId2" Type="http://schemas.openxmlformats.org/officeDocument/2006/relationships/image" Target="../media/image6.png"/><Relationship Id="rId1" Type="http://schemas.openxmlformats.org/officeDocument/2006/relationships/chart" Target="../charts/chart12.xml"/><Relationship Id="rId6" Type="http://schemas.openxmlformats.org/officeDocument/2006/relationships/hyperlink" Target="#'NFI Summary'!A1"/><Relationship Id="rId5" Type="http://schemas.openxmlformats.org/officeDocument/2006/relationships/hyperlink" Target="#'NFI Tracking'!A1"/><Relationship Id="rId4" Type="http://schemas.openxmlformats.org/officeDocument/2006/relationships/hyperlink" Target="#Home!A1"/></Relationships>
</file>

<file path=xl/drawings/_rels/drawing17.xml.rels><?xml version="1.0" encoding="UTF-8" standalone="yes"?>
<Relationships xmlns="http://schemas.openxmlformats.org/package/2006/relationships"><Relationship Id="rId8" Type="http://schemas.openxmlformats.org/officeDocument/2006/relationships/hyperlink" Target="#'NFI Distribution (by Tship)'!A1"/><Relationship Id="rId3" Type="http://schemas.openxmlformats.org/officeDocument/2006/relationships/image" Target="../media/image9.png"/><Relationship Id="rId7" Type="http://schemas.openxmlformats.org/officeDocument/2006/relationships/hyperlink" Target="#'NFI Summary'!A1"/><Relationship Id="rId2" Type="http://schemas.openxmlformats.org/officeDocument/2006/relationships/image" Target="../media/image6.png"/><Relationship Id="rId1" Type="http://schemas.openxmlformats.org/officeDocument/2006/relationships/chart" Target="../charts/chart13.xml"/><Relationship Id="rId6" Type="http://schemas.openxmlformats.org/officeDocument/2006/relationships/hyperlink" Target="#'NFI Tracking'!A1"/><Relationship Id="rId11" Type="http://schemas.openxmlformats.org/officeDocument/2006/relationships/chart" Target="../charts/chart16.xml"/><Relationship Id="rId5" Type="http://schemas.openxmlformats.org/officeDocument/2006/relationships/hyperlink" Target="#Home!A1"/><Relationship Id="rId10" Type="http://schemas.openxmlformats.org/officeDocument/2006/relationships/chart" Target="../charts/chart15.xml"/><Relationship Id="rId4" Type="http://schemas.openxmlformats.org/officeDocument/2006/relationships/hyperlink" Target="http://www.sheltercluster.org/library/standards-and-guidelines-nfi" TargetMode="External"/><Relationship Id="rId9"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hyperlink" Target="#'CCCM Dashboard'!A1"/><Relationship Id="rId7" Type="http://schemas.openxmlformats.org/officeDocument/2006/relationships/hyperlink" Target="#'Camp Analysis'!A1"/><Relationship Id="rId2" Type="http://schemas.openxmlformats.org/officeDocument/2006/relationships/image" Target="../media/image8.png"/><Relationship Id="rId1" Type="http://schemas.openxmlformats.org/officeDocument/2006/relationships/image" Target="../media/image6.png"/><Relationship Id="rId6" Type="http://schemas.openxmlformats.org/officeDocument/2006/relationships/hyperlink" Target="#'Camp List (printable)'!A1"/><Relationship Id="rId5" Type="http://schemas.openxmlformats.org/officeDocument/2006/relationships/hyperlink" Target="#'Camp List'!A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8" Type="http://schemas.openxmlformats.org/officeDocument/2006/relationships/hyperlink" Target="#'Camp Analysis'!A1"/><Relationship Id="rId3" Type="http://schemas.openxmlformats.org/officeDocument/2006/relationships/image" Target="../media/image9.png"/><Relationship Id="rId7" Type="http://schemas.openxmlformats.org/officeDocument/2006/relationships/hyperlink" Target="#'Camp List (printable)'!A1"/><Relationship Id="rId2" Type="http://schemas.openxmlformats.org/officeDocument/2006/relationships/image" Target="../media/image6.png"/><Relationship Id="rId1" Type="http://schemas.openxmlformats.org/officeDocument/2006/relationships/chart" Target="../charts/chart1.xml"/><Relationship Id="rId6" Type="http://schemas.openxmlformats.org/officeDocument/2006/relationships/hyperlink" Target="#'Camp List'!A1"/><Relationship Id="rId5" Type="http://schemas.openxmlformats.org/officeDocument/2006/relationships/hyperlink" Target="#Home!A1"/><Relationship Id="rId4" Type="http://schemas.openxmlformats.org/officeDocument/2006/relationships/hyperlink" Target="#'CCCM Dashboard'!A1"/></Relationships>
</file>

<file path=xl/drawings/_rels/drawing4.xml.rels><?xml version="1.0" encoding="UTF-8" standalone="yes"?>
<Relationships xmlns="http://schemas.openxmlformats.org/package/2006/relationships"><Relationship Id="rId3" Type="http://schemas.openxmlformats.org/officeDocument/2006/relationships/hyperlink" Target="#'CCCM Dashboard'!A1"/><Relationship Id="rId7" Type="http://schemas.openxmlformats.org/officeDocument/2006/relationships/hyperlink" Target="#'Camp Analysis'!A1"/><Relationship Id="rId2" Type="http://schemas.openxmlformats.org/officeDocument/2006/relationships/image" Target="../media/image10.png"/><Relationship Id="rId1" Type="http://schemas.openxmlformats.org/officeDocument/2006/relationships/image" Target="../media/image6.png"/><Relationship Id="rId6" Type="http://schemas.openxmlformats.org/officeDocument/2006/relationships/hyperlink" Target="#'Camp List (printable)'!A1"/><Relationship Id="rId5" Type="http://schemas.openxmlformats.org/officeDocument/2006/relationships/hyperlink" Target="#'Camp List'!A1"/><Relationship Id="rId4" Type="http://schemas.openxmlformats.org/officeDocument/2006/relationships/hyperlink" Target="#Home!A1"/></Relationships>
</file>

<file path=xl/drawings/_rels/drawing5.xml.rels><?xml version="1.0" encoding="UTF-8" standalone="yes"?>
<Relationships xmlns="http://schemas.openxmlformats.org/package/2006/relationships"><Relationship Id="rId8" Type="http://schemas.openxmlformats.org/officeDocument/2006/relationships/hyperlink" Target="#'Camp Analysis'!A1"/><Relationship Id="rId3" Type="http://schemas.openxmlformats.org/officeDocument/2006/relationships/chart" Target="../charts/chart2.xml"/><Relationship Id="rId7" Type="http://schemas.openxmlformats.org/officeDocument/2006/relationships/hyperlink" Target="#'Camp List (printable)'!A1"/><Relationship Id="rId2" Type="http://schemas.openxmlformats.org/officeDocument/2006/relationships/image" Target="../media/image11.png"/><Relationship Id="rId1" Type="http://schemas.openxmlformats.org/officeDocument/2006/relationships/image" Target="../media/image6.png"/><Relationship Id="rId6" Type="http://schemas.openxmlformats.org/officeDocument/2006/relationships/hyperlink" Target="#'Camp List'!A1"/><Relationship Id="rId5" Type="http://schemas.openxmlformats.org/officeDocument/2006/relationships/hyperlink" Target="#Home!A1"/><Relationship Id="rId10" Type="http://schemas.openxmlformats.org/officeDocument/2006/relationships/chart" Target="../charts/chart3.xml"/><Relationship Id="rId4" Type="http://schemas.openxmlformats.org/officeDocument/2006/relationships/hyperlink" Target="#'CCCM Dashboard'!A1"/><Relationship Id="rId9"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hyperlink" Target="#'Shelter Coverage &amp; Gaps'!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Shelter Summary (by Agency)'!A1"/><Relationship Id="rId5" Type="http://schemas.openxmlformats.org/officeDocument/2006/relationships/hyperlink" Target="#'Shelter Tracking'!A1"/><Relationship Id="rId4" Type="http://schemas.openxmlformats.org/officeDocument/2006/relationships/hyperlink" Target="#'Shelter Progress'!A1"/></Relationships>
</file>

<file path=xl/drawings/_rels/drawing9.xml.rels><?xml version="1.0" encoding="UTF-8" standalone="yes"?>
<Relationships xmlns="http://schemas.openxmlformats.org/package/2006/relationships"><Relationship Id="rId8" Type="http://schemas.openxmlformats.org/officeDocument/2006/relationships/hyperlink" Target="#'Shelter Tracking'!A1"/><Relationship Id="rId3" Type="http://schemas.openxmlformats.org/officeDocument/2006/relationships/chart" Target="../charts/chart6.xml"/><Relationship Id="rId7" Type="http://schemas.openxmlformats.org/officeDocument/2006/relationships/hyperlink" Target="#'Shelter Progress'!A1"/><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Home!A1"/><Relationship Id="rId11" Type="http://schemas.openxmlformats.org/officeDocument/2006/relationships/chart" Target="../charts/chart7.xml"/><Relationship Id="rId5" Type="http://schemas.openxmlformats.org/officeDocument/2006/relationships/image" Target="../media/image9.png"/><Relationship Id="rId10" Type="http://schemas.openxmlformats.org/officeDocument/2006/relationships/hyperlink" Target="#'Shelter Coverage &amp; Gaps'!A1"/><Relationship Id="rId4" Type="http://schemas.openxmlformats.org/officeDocument/2006/relationships/image" Target="../media/image6.png"/><Relationship Id="rId9" Type="http://schemas.openxmlformats.org/officeDocument/2006/relationships/hyperlink" Target="#'Shelter Summary (by Agency)'!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t>
          </a:r>
          <a:r>
            <a:rPr lang="en-US" sz="1100" b="1" i="1" baseline="0"/>
            <a:t>Township</a:t>
          </a:r>
          <a:endParaRPr lang="en-US" sz="1100" b="1" i="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237343</xdr:colOff>
      <xdr:row>3</xdr:row>
      <xdr:rowOff>11906</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25</xdr:col>
          <xdr:colOff>180975</xdr:colOff>
          <xdr:row>6</xdr:row>
          <xdr:rowOff>0</xdr:rowOff>
        </xdr:from>
        <xdr:to>
          <xdr:col>27</xdr:col>
          <xdr:colOff>476250</xdr:colOff>
          <xdr:row>8</xdr:row>
          <xdr:rowOff>47625</xdr:rowOff>
        </xdr:to>
        <xdr:sp macro="" textlink="">
          <xdr:nvSpPr>
            <xdr:cNvPr id="1025" name="Main_Export_Data"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10</xdr:row>
          <xdr:rowOff>9525</xdr:rowOff>
        </xdr:from>
        <xdr:to>
          <xdr:col>27</xdr:col>
          <xdr:colOff>504825</xdr:colOff>
          <xdr:row>11</xdr:row>
          <xdr:rowOff>133350</xdr:rowOff>
        </xdr:to>
        <xdr:sp macro="" textlink="">
          <xdr:nvSpPr>
            <xdr:cNvPr id="1026" name="Print_Report" hidden="1">
              <a:extLst>
                <a:ext uri="{63B3BB69-23CF-44E3-9099-C40C66FF867C}">
                  <a14:compatExt spid="_x0000_s1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4569619" y="722313"/>
          <a:ext cx="4006375" cy="44211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95250</xdr:colOff>
      <xdr:row>25</xdr:row>
      <xdr:rowOff>174625</xdr:rowOff>
    </xdr:from>
    <xdr:to>
      <xdr:col>3</xdr:col>
      <xdr:colOff>11906</xdr:colOff>
      <xdr:row>54</xdr:row>
      <xdr:rowOff>5763</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19050</xdr:rowOff>
    </xdr:from>
    <xdr:to>
      <xdr:col>1</xdr:col>
      <xdr:colOff>46969</xdr:colOff>
      <xdr:row>0</xdr:row>
      <xdr:rowOff>384810</xdr:rowOff>
    </xdr:to>
    <xdr:sp macro="" textlink="">
      <xdr:nvSpPr>
        <xdr:cNvPr id="16" name="Rounded Rectangle 15">
          <a:hlinkClick xmlns:r="http://schemas.openxmlformats.org/officeDocument/2006/relationships" r:id="rId4"/>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266711</xdr:colOff>
      <xdr:row>0</xdr:row>
      <xdr:rowOff>19050</xdr:rowOff>
    </xdr:from>
    <xdr:to>
      <xdr:col>2</xdr:col>
      <xdr:colOff>373211</xdr:colOff>
      <xdr:row>0</xdr:row>
      <xdr:rowOff>384810</xdr:rowOff>
    </xdr:to>
    <xdr:sp macro="" textlink="">
      <xdr:nvSpPr>
        <xdr:cNvPr id="12" name="Rounded Rectangle 11">
          <a:hlinkClick xmlns:r="http://schemas.openxmlformats.org/officeDocument/2006/relationships" r:id="rId5"/>
        </xdr:cNvPr>
        <xdr:cNvSpPr/>
      </xdr:nvSpPr>
      <xdr:spPr>
        <a:xfrm>
          <a:off x="1659742" y="19050"/>
          <a:ext cx="1606688"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3</xdr:col>
      <xdr:colOff>752479</xdr:colOff>
      <xdr:row>0</xdr:row>
      <xdr:rowOff>11906</xdr:rowOff>
    </xdr:from>
    <xdr:to>
      <xdr:col>4</xdr:col>
      <xdr:colOff>516079</xdr:colOff>
      <xdr:row>0</xdr:row>
      <xdr:rowOff>379644</xdr:rowOff>
    </xdr:to>
    <xdr:sp macro="" textlink="">
      <xdr:nvSpPr>
        <xdr:cNvPr id="13" name="Rounded Rectangle 12">
          <a:hlinkClick xmlns:r="http://schemas.openxmlformats.org/officeDocument/2006/relationships" r:id="rId6"/>
        </xdr:cNvPr>
        <xdr:cNvSpPr/>
      </xdr:nvSpPr>
      <xdr:spPr>
        <a:xfrm>
          <a:off x="5324479" y="11906"/>
          <a:ext cx="1442381"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2</xdr:col>
      <xdr:colOff>645330</xdr:colOff>
      <xdr:row>0</xdr:row>
      <xdr:rowOff>11908</xdr:rowOff>
    </xdr:from>
    <xdr:to>
      <xdr:col>3</xdr:col>
      <xdr:colOff>408930</xdr:colOff>
      <xdr:row>0</xdr:row>
      <xdr:rowOff>381002</xdr:rowOff>
    </xdr:to>
    <xdr:sp macro="" textlink="">
      <xdr:nvSpPr>
        <xdr:cNvPr id="14" name="Rounded Rectangle 13">
          <a:hlinkClick xmlns:r="http://schemas.openxmlformats.org/officeDocument/2006/relationships" r:id="rId7"/>
        </xdr:cNvPr>
        <xdr:cNvSpPr/>
      </xdr:nvSpPr>
      <xdr:spPr>
        <a:xfrm>
          <a:off x="3538549" y="11908"/>
          <a:ext cx="1442381"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4</xdr:col>
      <xdr:colOff>821543</xdr:colOff>
      <xdr:row>0</xdr:row>
      <xdr:rowOff>0</xdr:rowOff>
    </xdr:from>
    <xdr:to>
      <xdr:col>5</xdr:col>
      <xdr:colOff>889946</xdr:colOff>
      <xdr:row>0</xdr:row>
      <xdr:rowOff>365760</xdr:rowOff>
    </xdr:to>
    <xdr:sp macro="" textlink="">
      <xdr:nvSpPr>
        <xdr:cNvPr id="15" name="Rounded Rectangle 14">
          <a:hlinkClick xmlns:r="http://schemas.openxmlformats.org/officeDocument/2006/relationships" r:id="rId8"/>
        </xdr:cNvPr>
        <xdr:cNvSpPr/>
      </xdr:nvSpPr>
      <xdr:spPr>
        <a:xfrm>
          <a:off x="7072324" y="0"/>
          <a:ext cx="1747185"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3</xdr:col>
      <xdr:colOff>785812</xdr:colOff>
      <xdr:row>26</xdr:row>
      <xdr:rowOff>11906</xdr:rowOff>
    </xdr:from>
    <xdr:to>
      <xdr:col>6</xdr:col>
      <xdr:colOff>396874</xdr:colOff>
      <xdr:row>54</xdr:row>
      <xdr:rowOff>11906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c:userShapes xmlns:c="http://schemas.openxmlformats.org/drawingml/2006/chart">
  <cdr:absSizeAnchor xmlns:cdr="http://schemas.openxmlformats.org/drawingml/2006/chartDrawing">
    <cdr:from>
      <cdr:x>0</cdr:x>
      <cdr:y>0.00597</cdr:y>
    </cdr:from>
    <cdr:ext cx="4304506" cy="228598"/>
    <cdr:sp macro="" textlink="">
      <cdr:nvSpPr>
        <cdr:cNvPr id="4" name="TextBox 3"/>
        <cdr:cNvSpPr txBox="1">
          <a:spLocks xmlns:a="http://schemas.openxmlformats.org/drawingml/2006/main"/>
        </cdr:cNvSpPr>
      </cdr:nvSpPr>
      <cdr:spPr>
        <a:xfrm xmlns:a="http://schemas.openxmlformats.org/drawingml/2006/main">
          <a:off x="0" y="31859"/>
          <a:ext cx="4304506" cy="228598"/>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Shelter coverage by township (# of people)</a:t>
          </a:r>
          <a:endParaRPr lang="en-GB" sz="1400">
            <a:latin typeface="Franklin Gothic Medium Cond" pitchFamily="34" charset="0"/>
          </a:endParaRPr>
        </a:p>
      </cdr:txBody>
    </cdr:sp>
  </cdr:absSizeAnchor>
</c:userShapes>
</file>

<file path=xl/drawings/drawing12.xml><?xml version="1.0" encoding="utf-8"?>
<c:userShapes xmlns:c="http://schemas.openxmlformats.org/drawingml/2006/chart">
  <cdr:absSizeAnchor xmlns:cdr="http://schemas.openxmlformats.org/drawingml/2006/chartDrawing">
    <cdr:from>
      <cdr:x>0</cdr:x>
      <cdr:y>0.00923</cdr:y>
    </cdr:from>
    <cdr:ext cx="4416424" cy="240486"/>
    <cdr:sp macro="" textlink="">
      <cdr:nvSpPr>
        <cdr:cNvPr id="2" name="TextBox 3"/>
        <cdr:cNvSpPr txBox="1">
          <a:spLocks xmlns:a="http://schemas.openxmlformats.org/drawingml/2006/main"/>
        </cdr:cNvSpPr>
      </cdr:nvSpPr>
      <cdr:spPr>
        <a:xfrm xmlns:a="http://schemas.openxmlformats.org/drawingml/2006/main">
          <a:off x="0" y="49233"/>
          <a:ext cx="4416424" cy="240486"/>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3.xml><?xml version="1.0" encoding="utf-8"?>
<xdr:wsDr xmlns:xdr="http://schemas.openxmlformats.org/drawingml/2006/spreadsheetDrawing" xmlns:a="http://schemas.openxmlformats.org/drawingml/2006/main">
  <xdr:twoCellAnchor>
    <xdr:from>
      <xdr:col>2</xdr:col>
      <xdr:colOff>132655</xdr:colOff>
      <xdr:row>47</xdr:row>
      <xdr:rowOff>27388</xdr:rowOff>
    </xdr:from>
    <xdr:to>
      <xdr:col>7</xdr:col>
      <xdr:colOff>104775</xdr:colOff>
      <xdr:row>49</xdr:row>
      <xdr:rowOff>342236</xdr:rowOff>
    </xdr:to>
    <xdr:sp macro="" textlink="">
      <xdr:nvSpPr>
        <xdr:cNvPr id="48" name="TextBox 47"/>
        <xdr:cNvSpPr txBox="1"/>
      </xdr:nvSpPr>
      <xdr:spPr>
        <a:xfrm>
          <a:off x="418405" y="6875863"/>
          <a:ext cx="3315395" cy="419623"/>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b"/>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 &amp; other humanitarian organizations</a:t>
          </a:r>
          <a:endParaRPr lang="en-GB" sz="1000">
            <a:latin typeface="Franklin Gothic Book" pitchFamily="34" charset="0"/>
          </a:endParaRPr>
        </a:p>
      </xdr:txBody>
    </xdr:sp>
    <xdr:clientData/>
  </xdr:twoCellAnchor>
  <xdr:twoCellAnchor editAs="oneCell">
    <xdr:from>
      <xdr:col>8</xdr:col>
      <xdr:colOff>183599</xdr:colOff>
      <xdr:row>11</xdr:row>
      <xdr:rowOff>62700</xdr:rowOff>
    </xdr:from>
    <xdr:to>
      <xdr:col>14</xdr:col>
      <xdr:colOff>90859</xdr:colOff>
      <xdr:row>46</xdr:row>
      <xdr:rowOff>6275</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07924" y="1758150"/>
          <a:ext cx="4622135" cy="5496650"/>
        </a:xfrm>
        <a:prstGeom prst="rect">
          <a:avLst/>
        </a:prstGeom>
        <a:ln w="28575">
          <a:solidFill>
            <a:schemeClr val="tx2">
              <a:lumMod val="40000"/>
              <a:lumOff val="60000"/>
            </a:schemeClr>
          </a:solidFill>
        </a:ln>
      </xdr:spPr>
    </xdr:pic>
    <xdr:clientData/>
  </xdr:twoCellAnchor>
  <xdr:oneCellAnchor>
    <xdr:from>
      <xdr:col>9</xdr:col>
      <xdr:colOff>504825</xdr:colOff>
      <xdr:row>15</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9</xdr:col>
      <xdr:colOff>79648</xdr:colOff>
      <xdr:row>3</xdr:row>
      <xdr:rowOff>163114</xdr:rowOff>
    </xdr:from>
    <xdr:to>
      <xdr:col>13</xdr:col>
      <xdr:colOff>346576</xdr:colOff>
      <xdr:row>4</xdr:row>
      <xdr:rowOff>172639</xdr:rowOff>
    </xdr:to>
    <xdr:grpSp>
      <xdr:nvGrpSpPr>
        <xdr:cNvPr id="35" name="Group 34"/>
        <xdr:cNvGrpSpPr/>
      </xdr:nvGrpSpPr>
      <xdr:grpSpPr>
        <a:xfrm>
          <a:off x="5204098" y="325039"/>
          <a:ext cx="3591153" cy="304800"/>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139701</xdr:colOff>
      <xdr:row>6</xdr:row>
      <xdr:rowOff>47625</xdr:rowOff>
    </xdr:from>
    <xdr:to>
      <xdr:col>14</xdr:col>
      <xdr:colOff>90238</xdr:colOff>
      <xdr:row>10</xdr:row>
      <xdr:rowOff>44904</xdr:rowOff>
    </xdr:to>
    <xdr:sp macro="" textlink="">
      <xdr:nvSpPr>
        <xdr:cNvPr id="43" name="Rounded Rectangle 42"/>
        <xdr:cNvSpPr/>
      </xdr:nvSpPr>
      <xdr:spPr>
        <a:xfrm>
          <a:off x="6149976" y="1647825"/>
          <a:ext cx="4665412" cy="73070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t"/>
        <a:lstStyle/>
        <a:p>
          <a:pPr algn="l"/>
          <a:r>
            <a:rPr lang="en-US" sz="950">
              <a:solidFill>
                <a:sysClr val="windowText" lastClr="000000"/>
              </a:solidFill>
              <a:effectLst/>
              <a:latin typeface="+mn-lt"/>
              <a:ea typeface="+mn-ea"/>
              <a:cs typeface="+mn-cs"/>
            </a:rPr>
            <a:t>Shelter Cluster coverage is approximately 60% in Kachin and Northern Shan States. Churches and private organizations also built shelters. Some managed to build their own shelters. Due to these reasons,  the dispersal of sites and access issues, the total numbers of shelters built is not deemed totally exhaustive.</a:t>
          </a:r>
        </a:p>
        <a:p>
          <a:pPr algn="l"/>
          <a:r>
            <a:rPr lang="en-US" sz="1000">
              <a:solidFill>
                <a:schemeClr val="lt1"/>
              </a:solidFill>
              <a:effectLst/>
              <a:latin typeface="+mn-lt"/>
              <a:ea typeface="+mn-ea"/>
              <a:cs typeface="+mn-cs"/>
            </a:rPr>
            <a:t>.</a:t>
          </a:r>
          <a:endParaRPr lang="en-US" sz="1000">
            <a:solidFill>
              <a:sysClr val="windowText" lastClr="000000"/>
            </a:solidFill>
          </a:endParaRPr>
        </a:p>
      </xdr:txBody>
    </xdr:sp>
    <xdr:clientData/>
  </xdr:twoCellAnchor>
  <xdr:twoCellAnchor>
    <xdr:from>
      <xdr:col>7</xdr:col>
      <xdr:colOff>342900</xdr:colOff>
      <xdr:row>49</xdr:row>
      <xdr:rowOff>59188</xdr:rowOff>
    </xdr:from>
    <xdr:to>
      <xdr:col>11</xdr:col>
      <xdr:colOff>57150</xdr:colOff>
      <xdr:row>49</xdr:row>
      <xdr:rowOff>295275</xdr:rowOff>
    </xdr:to>
    <xdr:sp macro="" textlink="">
      <xdr:nvSpPr>
        <xdr:cNvPr id="49" name="TextBox 48"/>
        <xdr:cNvSpPr txBox="1">
          <a:spLocks/>
        </xdr:cNvSpPr>
      </xdr:nvSpPr>
      <xdr:spPr>
        <a:xfrm>
          <a:off x="3971925" y="7012438"/>
          <a:ext cx="3343275" cy="236087"/>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clientData/>
  </xdr:twoCellAnchor>
  <xdr:twoCellAnchor>
    <xdr:from>
      <xdr:col>11</xdr:col>
      <xdr:colOff>116768</xdr:colOff>
      <xdr:row>49</xdr:row>
      <xdr:rowOff>66943</xdr:rowOff>
    </xdr:from>
    <xdr:to>
      <xdr:col>14</xdr:col>
      <xdr:colOff>49684</xdr:colOff>
      <xdr:row>49</xdr:row>
      <xdr:rowOff>227712</xdr:rowOff>
    </xdr:to>
    <xdr:sp macro="" textlink="">
      <xdr:nvSpPr>
        <xdr:cNvPr id="50" name="TextBox 49"/>
        <xdr:cNvSpPr txBox="1"/>
      </xdr:nvSpPr>
      <xdr:spPr>
        <a:xfrm>
          <a:off x="7374818" y="7020193"/>
          <a:ext cx="1514066" cy="16076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clientData/>
  </xdr:twoCellAnchor>
  <xdr:twoCellAnchor>
    <xdr:from>
      <xdr:col>2</xdr:col>
      <xdr:colOff>0</xdr:colOff>
      <xdr:row>2</xdr:row>
      <xdr:rowOff>28575</xdr:rowOff>
    </xdr:from>
    <xdr:to>
      <xdr:col>3</xdr:col>
      <xdr:colOff>293775</xdr:colOff>
      <xdr:row>2</xdr:row>
      <xdr:rowOff>352575</xdr:rowOff>
    </xdr:to>
    <xdr:sp macro="" textlink="">
      <xdr:nvSpPr>
        <xdr:cNvPr id="60" name="Rounded Rectangle 59">
          <a:hlinkClick xmlns:r="http://schemas.openxmlformats.org/officeDocument/2006/relationships" r:id="rId4"/>
        </xdr:cNvPr>
        <xdr:cNvSpPr/>
      </xdr:nvSpPr>
      <xdr:spPr>
        <a:xfrm>
          <a:off x="0" y="28575"/>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293775</xdr:colOff>
      <xdr:row>2</xdr:row>
      <xdr:rowOff>28575</xdr:rowOff>
    </xdr:from>
    <xdr:to>
      <xdr:col>5</xdr:col>
      <xdr:colOff>139875</xdr:colOff>
      <xdr:row>2</xdr:row>
      <xdr:rowOff>352575</xdr:rowOff>
    </xdr:to>
    <xdr:sp macro="" textlink="">
      <xdr:nvSpPr>
        <xdr:cNvPr id="34" name="Rounded Rectangle 33">
          <a:hlinkClick xmlns:r="http://schemas.openxmlformats.org/officeDocument/2006/relationships" r:id="rId5"/>
        </xdr:cNvPr>
        <xdr:cNvSpPr/>
      </xdr:nvSpPr>
      <xdr:spPr>
        <a:xfrm>
          <a:off x="1332000" y="28575"/>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6</xdr:col>
      <xdr:colOff>643200</xdr:colOff>
      <xdr:row>2</xdr:row>
      <xdr:rowOff>26597</xdr:rowOff>
    </xdr:from>
    <xdr:to>
      <xdr:col>7</xdr:col>
      <xdr:colOff>689325</xdr:colOff>
      <xdr:row>2</xdr:row>
      <xdr:rowOff>350597</xdr:rowOff>
    </xdr:to>
    <xdr:sp macro="" textlink="">
      <xdr:nvSpPr>
        <xdr:cNvPr id="37" name="Rounded Rectangle 36">
          <a:hlinkClick xmlns:r="http://schemas.openxmlformats.org/officeDocument/2006/relationships" r:id="rId6"/>
        </xdr:cNvPr>
        <xdr:cNvSpPr/>
      </xdr:nvSpPr>
      <xdr:spPr>
        <a:xfrm>
          <a:off x="3996000" y="26597"/>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139875</xdr:colOff>
      <xdr:row>2</xdr:row>
      <xdr:rowOff>25241</xdr:rowOff>
    </xdr:from>
    <xdr:to>
      <xdr:col>6</xdr:col>
      <xdr:colOff>643200</xdr:colOff>
      <xdr:row>2</xdr:row>
      <xdr:rowOff>349241</xdr:rowOff>
    </xdr:to>
    <xdr:sp macro="" textlink="">
      <xdr:nvSpPr>
        <xdr:cNvPr id="38" name="Rounded Rectangle 37">
          <a:hlinkClick xmlns:r="http://schemas.openxmlformats.org/officeDocument/2006/relationships" r:id="rId7"/>
        </xdr:cNvPr>
        <xdr:cNvSpPr/>
      </xdr:nvSpPr>
      <xdr:spPr>
        <a:xfrm>
          <a:off x="2664000" y="25241"/>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7</xdr:col>
      <xdr:colOff>689325</xdr:colOff>
      <xdr:row>2</xdr:row>
      <xdr:rowOff>25241</xdr:rowOff>
    </xdr:from>
    <xdr:to>
      <xdr:col>8</xdr:col>
      <xdr:colOff>525900</xdr:colOff>
      <xdr:row>2</xdr:row>
      <xdr:rowOff>349241</xdr:rowOff>
    </xdr:to>
    <xdr:sp macro="" textlink="">
      <xdr:nvSpPr>
        <xdr:cNvPr id="39" name="Rounded Rectangle 38">
          <a:hlinkClick xmlns:r="http://schemas.openxmlformats.org/officeDocument/2006/relationships" r:id="rId8"/>
        </xdr:cNvPr>
        <xdr:cNvSpPr/>
      </xdr:nvSpPr>
      <xdr:spPr>
        <a:xfrm>
          <a:off x="5328000" y="25241"/>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1</xdr:col>
      <xdr:colOff>116418</xdr:colOff>
      <xdr:row>33</xdr:row>
      <xdr:rowOff>52920</xdr:rowOff>
    </xdr:from>
    <xdr:to>
      <xdr:col>7</xdr:col>
      <xdr:colOff>518585</xdr:colOff>
      <xdr:row>45</xdr:row>
      <xdr:rowOff>80682</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95250</xdr:colOff>
      <xdr:row>6</xdr:row>
      <xdr:rowOff>45893</xdr:rowOff>
    </xdr:from>
    <xdr:to>
      <xdr:col>7</xdr:col>
      <xdr:colOff>482601</xdr:colOff>
      <xdr:row>14</xdr:row>
      <xdr:rowOff>9163</xdr:rowOff>
    </xdr:to>
    <xdr:grpSp>
      <xdr:nvGrpSpPr>
        <xdr:cNvPr id="4" name="Group 3"/>
        <xdr:cNvGrpSpPr/>
      </xdr:nvGrpSpPr>
      <xdr:grpSpPr>
        <a:xfrm>
          <a:off x="257175" y="722168"/>
          <a:ext cx="3854451" cy="953870"/>
          <a:chOff x="13464536" y="3170464"/>
          <a:chExt cx="5303561" cy="1295551"/>
        </a:xfrm>
      </xdr:grpSpPr>
      <xdr:grpSp>
        <xdr:nvGrpSpPr>
          <xdr:cNvPr id="3" name="Group 2"/>
          <xdr:cNvGrpSpPr/>
        </xdr:nvGrpSpPr>
        <xdr:grpSpPr>
          <a:xfrm>
            <a:off x="13464536" y="3170464"/>
            <a:ext cx="4320000" cy="1295551"/>
            <a:chOff x="13299490" y="3238499"/>
            <a:chExt cx="4320000" cy="1295551"/>
          </a:xfrm>
        </xdr:grpSpPr>
        <xdr:sp macro="" textlink="">
          <xdr:nvSpPr>
            <xdr:cNvPr id="54" name="Rectangle 53"/>
            <xdr:cNvSpPr/>
          </xdr:nvSpPr>
          <xdr:spPr>
            <a:xfrm>
              <a:off x="13299490" y="323849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Camps</a:t>
              </a:r>
            </a:p>
          </xdr:txBody>
        </xdr:sp>
        <xdr:sp macro="" textlink="">
          <xdr:nvSpPr>
            <xdr:cNvPr id="62" name="Rectangle 61"/>
            <xdr:cNvSpPr/>
          </xdr:nvSpPr>
          <xdr:spPr>
            <a:xfrm>
              <a:off x="13299490" y="356234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Households</a:t>
              </a:r>
            </a:p>
          </xdr:txBody>
        </xdr:sp>
        <xdr:sp macro="" textlink="">
          <xdr:nvSpPr>
            <xdr:cNvPr id="63" name="Rectangle 62"/>
            <xdr:cNvSpPr/>
          </xdr:nvSpPr>
          <xdr:spPr>
            <a:xfrm>
              <a:off x="13299490" y="388619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Ins="0" rtlCol="0" anchor="ctr"/>
            <a:lstStyle/>
            <a:p>
              <a:pPr marL="0" indent="0" algn="l"/>
              <a:r>
                <a:rPr lang="en-GB" sz="1200" b="1">
                  <a:solidFill>
                    <a:schemeClr val="dk1"/>
                  </a:solidFill>
                  <a:latin typeface="+mn-lt"/>
                  <a:ea typeface="+mn-ea"/>
                  <a:cs typeface="+mn-cs"/>
                </a:rPr>
                <a:t>#</a:t>
              </a:r>
              <a:r>
                <a:rPr lang="en-GB" sz="1200" b="1" baseline="0">
                  <a:solidFill>
                    <a:schemeClr val="dk1"/>
                  </a:solidFill>
                  <a:latin typeface="+mn-lt"/>
                  <a:ea typeface="+mn-ea"/>
                  <a:cs typeface="+mn-cs"/>
                </a:rPr>
                <a:t> Households still not covered by the Cluster</a:t>
              </a:r>
              <a:endParaRPr lang="en-GB" sz="1200" b="1">
                <a:solidFill>
                  <a:schemeClr val="dk1"/>
                </a:solidFill>
                <a:latin typeface="+mn-lt"/>
                <a:ea typeface="+mn-ea"/>
                <a:cs typeface="+mn-cs"/>
              </a:endParaRPr>
            </a:p>
          </xdr:txBody>
        </xdr:sp>
        <xdr:sp macro="" textlink="">
          <xdr:nvSpPr>
            <xdr:cNvPr id="64" name="Rectangle 63"/>
            <xdr:cNvSpPr/>
          </xdr:nvSpPr>
          <xdr:spPr>
            <a:xfrm>
              <a:off x="13299490" y="4210050"/>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Identified shelters to be built</a:t>
              </a:r>
              <a:r>
                <a:rPr lang="en-GB" sz="1400" b="1" baseline="0">
                  <a:solidFill>
                    <a:schemeClr val="dk1"/>
                  </a:solidFill>
                  <a:latin typeface="+mn-lt"/>
                  <a:ea typeface="+mn-ea"/>
                  <a:cs typeface="+mn-cs"/>
                </a:rPr>
                <a:t> </a:t>
              </a:r>
              <a:endParaRPr lang="en-GB" sz="1400" b="1">
                <a:solidFill>
                  <a:schemeClr val="dk1"/>
                </a:solidFill>
                <a:latin typeface="+mn-lt"/>
                <a:ea typeface="+mn-ea"/>
                <a:cs typeface="+mn-cs"/>
              </a:endParaRPr>
            </a:p>
          </xdr:txBody>
        </xdr:sp>
      </xdr:grpSp>
      <xdr:grpSp>
        <xdr:nvGrpSpPr>
          <xdr:cNvPr id="65" name="Group 64"/>
          <xdr:cNvGrpSpPr/>
        </xdr:nvGrpSpPr>
        <xdr:grpSpPr>
          <a:xfrm>
            <a:off x="17784536" y="3170464"/>
            <a:ext cx="983561" cy="1295551"/>
            <a:chOff x="13299490" y="3238499"/>
            <a:chExt cx="983561" cy="1295551"/>
          </a:xfrm>
        </xdr:grpSpPr>
        <xdr:sp macro="" textlink="$CH$5">
          <xdr:nvSpPr>
            <xdr:cNvPr id="66" name="Rectangle 65"/>
            <xdr:cNvSpPr/>
          </xdr:nvSpPr>
          <xdr:spPr>
            <a:xfrm>
              <a:off x="13299490" y="3238499"/>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DBCCC494-A7D7-4F64-A0D4-1D5F0C8B219D}" type="TxLink">
                <a:rPr lang="en-GB" sz="1400" b="1">
                  <a:solidFill>
                    <a:schemeClr val="dk1"/>
                  </a:solidFill>
                  <a:latin typeface="+mn-lt"/>
                  <a:ea typeface="+mn-ea"/>
                  <a:cs typeface="+mn-cs"/>
                </a:rPr>
                <a:pPr marL="0" indent="0" algn="r"/>
                <a:t> 161 </a:t>
              </a:fld>
              <a:endParaRPr lang="en-GB" sz="1400" b="1">
                <a:solidFill>
                  <a:schemeClr val="dk1"/>
                </a:solidFill>
                <a:latin typeface="+mn-lt"/>
                <a:ea typeface="+mn-ea"/>
                <a:cs typeface="+mn-cs"/>
              </a:endParaRPr>
            </a:p>
          </xdr:txBody>
        </xdr:sp>
        <xdr:sp macro="" textlink="$CH$4">
          <xdr:nvSpPr>
            <xdr:cNvPr id="67" name="Rectangle 66"/>
            <xdr:cNvSpPr/>
          </xdr:nvSpPr>
          <xdr:spPr>
            <a:xfrm>
              <a:off x="13299490" y="3562349"/>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F2E79470-5447-4600-A2E1-F8E30C0A7E02}" type="TxLink">
                <a:rPr lang="en-GB" sz="1400" b="1">
                  <a:solidFill>
                    <a:schemeClr val="dk1"/>
                  </a:solidFill>
                  <a:latin typeface="+mn-lt"/>
                  <a:ea typeface="+mn-ea"/>
                  <a:cs typeface="+mn-cs"/>
                </a:rPr>
                <a:pPr marL="0" indent="0" algn="r"/>
                <a:t> 17,960 </a:t>
              </a:fld>
              <a:endParaRPr lang="en-GB" sz="1400" b="1">
                <a:solidFill>
                  <a:schemeClr val="dk1"/>
                </a:solidFill>
                <a:latin typeface="+mn-lt"/>
                <a:ea typeface="+mn-ea"/>
                <a:cs typeface="+mn-cs"/>
              </a:endParaRPr>
            </a:p>
          </xdr:txBody>
        </xdr:sp>
        <xdr:sp macro="" textlink="$CH$8">
          <xdr:nvSpPr>
            <xdr:cNvPr id="68" name="Rectangle 67"/>
            <xdr:cNvSpPr/>
          </xdr:nvSpPr>
          <xdr:spPr>
            <a:xfrm>
              <a:off x="13299490" y="3886199"/>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2F401146-2B21-436F-8867-1B210D59D5EE}" type="TxLink">
                <a:rPr lang="en-GB" sz="1400" b="1">
                  <a:solidFill>
                    <a:schemeClr val="dk1"/>
                  </a:solidFill>
                  <a:latin typeface="+mn-lt"/>
                  <a:ea typeface="+mn-ea"/>
                  <a:cs typeface="+mn-cs"/>
                </a:rPr>
                <a:pPr marL="0" indent="0" algn="r"/>
                <a:t> 6,322 </a:t>
              </a:fld>
              <a:endParaRPr lang="en-GB" sz="1400" b="1">
                <a:solidFill>
                  <a:schemeClr val="dk1"/>
                </a:solidFill>
                <a:latin typeface="+mn-lt"/>
                <a:ea typeface="+mn-ea"/>
                <a:cs typeface="+mn-cs"/>
              </a:endParaRPr>
            </a:p>
          </xdr:txBody>
        </xdr:sp>
        <xdr:sp macro="" textlink="$CH$9">
          <xdr:nvSpPr>
            <xdr:cNvPr id="69" name="Rectangle 68"/>
            <xdr:cNvSpPr/>
          </xdr:nvSpPr>
          <xdr:spPr>
            <a:xfrm>
              <a:off x="13299490" y="4210050"/>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10044934-3A2E-4F32-A429-28F138646F7A}" type="TxLink">
                <a:rPr lang="en-GB" sz="1400" b="1">
                  <a:solidFill>
                    <a:schemeClr val="dk1"/>
                  </a:solidFill>
                  <a:latin typeface="+mn-lt"/>
                  <a:ea typeface="+mn-ea"/>
                  <a:cs typeface="+mn-cs"/>
                </a:rPr>
                <a:pPr marL="0" indent="0" algn="r"/>
                <a:t> 6,242 </a:t>
              </a:fld>
              <a:endParaRPr lang="en-GB" sz="1400" b="1">
                <a:solidFill>
                  <a:schemeClr val="dk1"/>
                </a:solidFill>
                <a:latin typeface="+mn-lt"/>
                <a:ea typeface="+mn-ea"/>
                <a:cs typeface="+mn-cs"/>
              </a:endParaRPr>
            </a:p>
          </xdr:txBody>
        </xdr:sp>
      </xdr:grpSp>
    </xdr:grpSp>
    <xdr:clientData/>
  </xdr:twoCellAnchor>
  <mc:AlternateContent xmlns:mc="http://schemas.openxmlformats.org/markup-compatibility/2006">
    <mc:Choice xmlns:a14="http://schemas.microsoft.com/office/drawing/2010/main" Requires="a14">
      <xdr:twoCellAnchor editAs="oneCell">
        <xdr:from>
          <xdr:col>25</xdr:col>
          <xdr:colOff>0</xdr:colOff>
          <xdr:row>32</xdr:row>
          <xdr:rowOff>66675</xdr:rowOff>
        </xdr:from>
        <xdr:to>
          <xdr:col>26</xdr:col>
          <xdr:colOff>523875</xdr:colOff>
          <xdr:row>33</xdr:row>
          <xdr:rowOff>161925</xdr:rowOff>
        </xdr:to>
        <xdr:sp macro="" textlink="">
          <xdr:nvSpPr>
            <xdr:cNvPr id="9217" name="CommandButton1" hidden="1">
              <a:extLst>
                <a:ext uri="{63B3BB69-23CF-44E3-9099-C40C66FF867C}">
                  <a14:compatExt spid="_x0000_s9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958838</xdr:colOff>
      <xdr:row>36</xdr:row>
      <xdr:rowOff>130000</xdr:rowOff>
    </xdr:from>
    <xdr:to>
      <xdr:col>10</xdr:col>
      <xdr:colOff>37362</xdr:colOff>
      <xdr:row>38</xdr:row>
      <xdr:rowOff>143970</xdr:rowOff>
    </xdr:to>
    <xdr:grpSp>
      <xdr:nvGrpSpPr>
        <xdr:cNvPr id="78" name="Bhamo"/>
        <xdr:cNvGrpSpPr/>
      </xdr:nvGrpSpPr>
      <xdr:grpSpPr>
        <a:xfrm>
          <a:off x="6083288" y="5121100"/>
          <a:ext cx="145324" cy="394970"/>
          <a:chOff x="13959520" y="6484956"/>
          <a:chExt cx="235841" cy="545656"/>
        </a:xfrm>
      </xdr:grpSpPr>
      <xdr:sp macro="" textlink="">
        <xdr:nvSpPr>
          <xdr:cNvPr id="79" name="V_1"/>
          <xdr:cNvSpPr/>
        </xdr:nvSpPr>
        <xdr:spPr>
          <a:xfrm>
            <a:off x="13959520" y="6484956"/>
            <a:ext cx="54004" cy="545656"/>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0" name="V_2"/>
          <xdr:cNvSpPr/>
        </xdr:nvSpPr>
        <xdr:spPr>
          <a:xfrm flipH="1">
            <a:off x="14050441" y="6872687"/>
            <a:ext cx="54004" cy="157907"/>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1" name="V_3"/>
          <xdr:cNvSpPr/>
        </xdr:nvSpPr>
        <xdr:spPr>
          <a:xfrm>
            <a:off x="14141357" y="6989656"/>
            <a:ext cx="54004" cy="40938"/>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455066</xdr:colOff>
      <xdr:row>25</xdr:row>
      <xdr:rowOff>108229</xdr:rowOff>
    </xdr:from>
    <xdr:to>
      <xdr:col>11</xdr:col>
      <xdr:colOff>582408</xdr:colOff>
      <xdr:row>26</xdr:row>
      <xdr:rowOff>97964</xdr:rowOff>
    </xdr:to>
    <xdr:grpSp>
      <xdr:nvGrpSpPr>
        <xdr:cNvPr id="82" name="Chipwi"/>
        <xdr:cNvGrpSpPr/>
      </xdr:nvGrpSpPr>
      <xdr:grpSpPr>
        <a:xfrm>
          <a:off x="7713116" y="3118129"/>
          <a:ext cx="127342" cy="161185"/>
          <a:chOff x="13959520" y="7676046"/>
          <a:chExt cx="235841" cy="229501"/>
        </a:xfrm>
      </xdr:grpSpPr>
      <xdr:sp macro="" textlink="">
        <xdr:nvSpPr>
          <xdr:cNvPr id="83" name="V_1"/>
          <xdr:cNvSpPr/>
        </xdr:nvSpPr>
        <xdr:spPr>
          <a:xfrm>
            <a:off x="13959520" y="7761028"/>
            <a:ext cx="53992" cy="108496"/>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4" name="V_2"/>
          <xdr:cNvSpPr/>
        </xdr:nvSpPr>
        <xdr:spPr>
          <a:xfrm flipH="1">
            <a:off x="14050442" y="7676046"/>
            <a:ext cx="53992" cy="19348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5" name="V_3"/>
          <xdr:cNvSpPr/>
        </xdr:nvSpPr>
        <xdr:spPr>
          <a:xfrm>
            <a:off x="14141369" y="7905547"/>
            <a:ext cx="53992"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9</xdr:col>
      <xdr:colOff>112005</xdr:colOff>
      <xdr:row>27</xdr:row>
      <xdr:rowOff>82756</xdr:rowOff>
    </xdr:from>
    <xdr:to>
      <xdr:col>9</xdr:col>
      <xdr:colOff>364301</xdr:colOff>
      <xdr:row>28</xdr:row>
      <xdr:rowOff>102290</xdr:rowOff>
    </xdr:to>
    <xdr:grpSp>
      <xdr:nvGrpSpPr>
        <xdr:cNvPr id="86" name="Hpakant"/>
        <xdr:cNvGrpSpPr/>
      </xdr:nvGrpSpPr>
      <xdr:grpSpPr>
        <a:xfrm>
          <a:off x="5236455" y="3435556"/>
          <a:ext cx="252296" cy="190984"/>
          <a:chOff x="13959520" y="11492246"/>
          <a:chExt cx="235841" cy="342802"/>
        </a:xfrm>
      </xdr:grpSpPr>
      <xdr:sp macro="" textlink="">
        <xdr:nvSpPr>
          <xdr:cNvPr id="87" name="V_1"/>
          <xdr:cNvSpPr/>
        </xdr:nvSpPr>
        <xdr:spPr>
          <a:xfrm>
            <a:off x="13959520" y="11499812"/>
            <a:ext cx="54000" cy="30090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8" name="V_2"/>
          <xdr:cNvSpPr/>
        </xdr:nvSpPr>
        <xdr:spPr>
          <a:xfrm flipH="1">
            <a:off x="14050441" y="11492246"/>
            <a:ext cx="54000" cy="30849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9" name="V_3"/>
          <xdr:cNvSpPr/>
        </xdr:nvSpPr>
        <xdr:spPr>
          <a:xfrm>
            <a:off x="14141361" y="11835048"/>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230974</xdr:colOff>
      <xdr:row>41</xdr:row>
      <xdr:rowOff>18911</xdr:rowOff>
    </xdr:from>
    <xdr:to>
      <xdr:col>11</xdr:col>
      <xdr:colOff>462509</xdr:colOff>
      <xdr:row>42</xdr:row>
      <xdr:rowOff>135932</xdr:rowOff>
    </xdr:to>
    <xdr:grpSp>
      <xdr:nvGrpSpPr>
        <xdr:cNvPr id="90" name="Kutkai"/>
        <xdr:cNvGrpSpPr/>
      </xdr:nvGrpSpPr>
      <xdr:grpSpPr>
        <a:xfrm>
          <a:off x="7489024" y="5962511"/>
          <a:ext cx="231535" cy="307521"/>
          <a:chOff x="13959520" y="3966103"/>
          <a:chExt cx="235841" cy="458251"/>
        </a:xfrm>
      </xdr:grpSpPr>
      <xdr:sp macro="" textlink="">
        <xdr:nvSpPr>
          <xdr:cNvPr id="91" name="V_1"/>
          <xdr:cNvSpPr/>
        </xdr:nvSpPr>
        <xdr:spPr>
          <a:xfrm>
            <a:off x="13959520" y="4144000"/>
            <a:ext cx="54000" cy="23593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92" name="V_2"/>
          <xdr:cNvSpPr/>
        </xdr:nvSpPr>
        <xdr:spPr>
          <a:xfrm flipH="1">
            <a:off x="14050442" y="3966103"/>
            <a:ext cx="54000" cy="413824"/>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3" name="V_3"/>
          <xdr:cNvSpPr/>
        </xdr:nvSpPr>
        <xdr:spPr>
          <a:xfrm>
            <a:off x="14141361" y="4424354"/>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134225</xdr:colOff>
      <xdr:row>37</xdr:row>
      <xdr:rowOff>37357</xdr:rowOff>
    </xdr:from>
    <xdr:to>
      <xdr:col>10</xdr:col>
      <xdr:colOff>373544</xdr:colOff>
      <xdr:row>40</xdr:row>
      <xdr:rowOff>101136</xdr:rowOff>
    </xdr:to>
    <xdr:grpSp>
      <xdr:nvGrpSpPr>
        <xdr:cNvPr id="94" name="mansi"/>
        <xdr:cNvGrpSpPr/>
      </xdr:nvGrpSpPr>
      <xdr:grpSpPr>
        <a:xfrm>
          <a:off x="6325475" y="5218957"/>
          <a:ext cx="239319" cy="635279"/>
          <a:chOff x="13959520" y="7609349"/>
          <a:chExt cx="235841" cy="783314"/>
        </a:xfrm>
      </xdr:grpSpPr>
      <xdr:sp macro="" textlink="">
        <xdr:nvSpPr>
          <xdr:cNvPr id="95" name="V_1"/>
          <xdr:cNvSpPr/>
        </xdr:nvSpPr>
        <xdr:spPr>
          <a:xfrm>
            <a:off x="13959520" y="7609349"/>
            <a:ext cx="54000" cy="763134"/>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96" name="V_2"/>
          <xdr:cNvSpPr/>
        </xdr:nvSpPr>
        <xdr:spPr>
          <a:xfrm flipH="1">
            <a:off x="14050441" y="7846337"/>
            <a:ext cx="54000" cy="52615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7" name="V_3"/>
          <xdr:cNvSpPr/>
        </xdr:nvSpPr>
        <xdr:spPr>
          <a:xfrm>
            <a:off x="14141361" y="8392663"/>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188362</xdr:colOff>
      <xdr:row>31</xdr:row>
      <xdr:rowOff>55284</xdr:rowOff>
    </xdr:from>
    <xdr:to>
      <xdr:col>10</xdr:col>
      <xdr:colOff>431994</xdr:colOff>
      <xdr:row>36</xdr:row>
      <xdr:rowOff>133015</xdr:rowOff>
    </xdr:to>
    <xdr:grpSp>
      <xdr:nvGrpSpPr>
        <xdr:cNvPr id="98" name="Momauk"/>
        <xdr:cNvGrpSpPr/>
      </xdr:nvGrpSpPr>
      <xdr:grpSpPr>
        <a:xfrm>
          <a:off x="6379612" y="4093884"/>
          <a:ext cx="243632" cy="1030231"/>
          <a:chOff x="13959520" y="7342006"/>
          <a:chExt cx="235841" cy="1566095"/>
        </a:xfrm>
      </xdr:grpSpPr>
      <xdr:sp macro="" textlink="">
        <xdr:nvSpPr>
          <xdr:cNvPr id="99" name="V_1"/>
          <xdr:cNvSpPr/>
        </xdr:nvSpPr>
        <xdr:spPr>
          <a:xfrm>
            <a:off x="13959520" y="7342006"/>
            <a:ext cx="54000" cy="1546392"/>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0" name="V_2"/>
          <xdr:cNvSpPr/>
        </xdr:nvSpPr>
        <xdr:spPr>
          <a:xfrm flipH="1">
            <a:off x="14050441" y="8692120"/>
            <a:ext cx="54000" cy="19627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1" name="V_3"/>
          <xdr:cNvSpPr/>
        </xdr:nvSpPr>
        <xdr:spPr>
          <a:xfrm>
            <a:off x="14141361" y="8908101"/>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76705</xdr:colOff>
      <xdr:row>28</xdr:row>
      <xdr:rowOff>2821</xdr:rowOff>
    </xdr:from>
    <xdr:to>
      <xdr:col>10</xdr:col>
      <xdr:colOff>315529</xdr:colOff>
      <xdr:row>30</xdr:row>
      <xdr:rowOff>81533</xdr:rowOff>
    </xdr:to>
    <xdr:grpSp>
      <xdr:nvGrpSpPr>
        <xdr:cNvPr id="102" name="Myitkyina"/>
        <xdr:cNvGrpSpPr/>
      </xdr:nvGrpSpPr>
      <xdr:grpSpPr>
        <a:xfrm>
          <a:off x="6267955" y="3527071"/>
          <a:ext cx="238824" cy="421612"/>
          <a:chOff x="13959520" y="12418368"/>
          <a:chExt cx="235841" cy="582936"/>
        </a:xfrm>
      </xdr:grpSpPr>
      <xdr:sp macro="" textlink="">
        <xdr:nvSpPr>
          <xdr:cNvPr id="103" name="V_1"/>
          <xdr:cNvSpPr/>
        </xdr:nvSpPr>
        <xdr:spPr>
          <a:xfrm>
            <a:off x="13959520" y="12418368"/>
            <a:ext cx="54000" cy="551368"/>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4" name="V_2"/>
          <xdr:cNvSpPr/>
        </xdr:nvSpPr>
        <xdr:spPr>
          <a:xfrm flipH="1">
            <a:off x="14050441" y="12838046"/>
            <a:ext cx="54000" cy="13169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5" name="V_3"/>
          <xdr:cNvSpPr/>
        </xdr:nvSpPr>
        <xdr:spPr>
          <a:xfrm>
            <a:off x="14141361" y="12995451"/>
            <a:ext cx="54000" cy="5853"/>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498442</xdr:colOff>
      <xdr:row>41</xdr:row>
      <xdr:rowOff>19769</xdr:rowOff>
    </xdr:from>
    <xdr:to>
      <xdr:col>10</xdr:col>
      <xdr:colOff>734283</xdr:colOff>
      <xdr:row>42</xdr:row>
      <xdr:rowOff>11237</xdr:rowOff>
    </xdr:to>
    <xdr:grpSp>
      <xdr:nvGrpSpPr>
        <xdr:cNvPr id="106" name="Namhkan"/>
        <xdr:cNvGrpSpPr/>
      </xdr:nvGrpSpPr>
      <xdr:grpSpPr>
        <a:xfrm>
          <a:off x="6689692" y="5963369"/>
          <a:ext cx="235841" cy="181968"/>
          <a:chOff x="13959520" y="4337315"/>
          <a:chExt cx="235841" cy="236626"/>
        </a:xfrm>
      </xdr:grpSpPr>
      <xdr:sp macro="" textlink="">
        <xdr:nvSpPr>
          <xdr:cNvPr id="107" name="V_1"/>
          <xdr:cNvSpPr/>
        </xdr:nvSpPr>
        <xdr:spPr>
          <a:xfrm>
            <a:off x="13959520" y="4435851"/>
            <a:ext cx="54000" cy="117254"/>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8" name="V_2"/>
          <xdr:cNvSpPr/>
        </xdr:nvSpPr>
        <xdr:spPr>
          <a:xfrm flipH="1">
            <a:off x="14050441" y="4337315"/>
            <a:ext cx="54000" cy="21579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9" name="V_3"/>
          <xdr:cNvSpPr/>
        </xdr:nvSpPr>
        <xdr:spPr>
          <a:xfrm>
            <a:off x="14141361" y="4573941"/>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611078</xdr:colOff>
      <xdr:row>20</xdr:row>
      <xdr:rowOff>497955</xdr:rowOff>
    </xdr:from>
    <xdr:to>
      <xdr:col>10</xdr:col>
      <xdr:colOff>846919</xdr:colOff>
      <xdr:row>31</xdr:row>
      <xdr:rowOff>52555</xdr:rowOff>
    </xdr:to>
    <xdr:grpSp>
      <xdr:nvGrpSpPr>
        <xdr:cNvPr id="110" name="Waingmaw"/>
        <xdr:cNvGrpSpPr/>
      </xdr:nvGrpSpPr>
      <xdr:grpSpPr>
        <a:xfrm>
          <a:off x="6802328" y="2250555"/>
          <a:ext cx="235841" cy="1840600"/>
          <a:chOff x="13959520" y="8841069"/>
          <a:chExt cx="235841" cy="2261917"/>
        </a:xfrm>
      </xdr:grpSpPr>
      <xdr:sp macro="" textlink="">
        <xdr:nvSpPr>
          <xdr:cNvPr id="111" name="V_1"/>
          <xdr:cNvSpPr/>
        </xdr:nvSpPr>
        <xdr:spPr>
          <a:xfrm>
            <a:off x="13959520" y="8841069"/>
            <a:ext cx="54000" cy="2244814"/>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2" name="V_2"/>
          <xdr:cNvSpPr/>
        </xdr:nvSpPr>
        <xdr:spPr>
          <a:xfrm flipH="1">
            <a:off x="14050441" y="10050622"/>
            <a:ext cx="54000" cy="1035268"/>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3" name="V_3"/>
          <xdr:cNvSpPr/>
        </xdr:nvSpPr>
        <xdr:spPr>
          <a:xfrm>
            <a:off x="14141361" y="11102986"/>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211601</xdr:colOff>
      <xdr:row>44</xdr:row>
      <xdr:rowOff>127290</xdr:rowOff>
    </xdr:from>
    <xdr:to>
      <xdr:col>11</xdr:col>
      <xdr:colOff>447442</xdr:colOff>
      <xdr:row>44</xdr:row>
      <xdr:rowOff>159281</xdr:rowOff>
    </xdr:to>
    <xdr:grpSp>
      <xdr:nvGrpSpPr>
        <xdr:cNvPr id="74" name="Hseni"/>
        <xdr:cNvGrpSpPr/>
      </xdr:nvGrpSpPr>
      <xdr:grpSpPr>
        <a:xfrm>
          <a:off x="7469651" y="6642390"/>
          <a:ext cx="235841" cy="31991"/>
          <a:chOff x="13959520" y="6046431"/>
          <a:chExt cx="235841" cy="48297"/>
        </a:xfrm>
      </xdr:grpSpPr>
      <xdr:sp macro="" textlink="">
        <xdr:nvSpPr>
          <xdr:cNvPr id="75" name="V_1"/>
          <xdr:cNvSpPr/>
        </xdr:nvSpPr>
        <xdr:spPr>
          <a:xfrm>
            <a:off x="13959520" y="6046431"/>
            <a:ext cx="54000" cy="22369"/>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76" name="V_2"/>
          <xdr:cNvSpPr/>
        </xdr:nvSpPr>
        <xdr:spPr>
          <a:xfrm flipH="1">
            <a:off x="14050441" y="6057080"/>
            <a:ext cx="54000" cy="147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77" name="V_3"/>
          <xdr:cNvSpPr/>
        </xdr:nvSpPr>
        <xdr:spPr>
          <a:xfrm>
            <a:off x="14141361" y="6094728"/>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85</xdr:col>
      <xdr:colOff>3138</xdr:colOff>
      <xdr:row>40</xdr:row>
      <xdr:rowOff>150159</xdr:rowOff>
    </xdr:from>
    <xdr:to>
      <xdr:col>85</xdr:col>
      <xdr:colOff>3138</xdr:colOff>
      <xdr:row>42</xdr:row>
      <xdr:rowOff>129160</xdr:rowOff>
    </xdr:to>
    <xdr:grpSp>
      <xdr:nvGrpSpPr>
        <xdr:cNvPr id="73" name="Shelter_Situation_Group"/>
        <xdr:cNvGrpSpPr/>
      </xdr:nvGrpSpPr>
      <xdr:grpSpPr>
        <a:xfrm>
          <a:off x="51438138" y="5903259"/>
          <a:ext cx="0" cy="360001"/>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84</xdr:col>
      <xdr:colOff>5827</xdr:colOff>
      <xdr:row>41</xdr:row>
      <xdr:rowOff>0</xdr:rowOff>
    </xdr:from>
    <xdr:to>
      <xdr:col>85</xdr:col>
      <xdr:colOff>405</xdr:colOff>
      <xdr:row>42</xdr:row>
      <xdr:rowOff>169501</xdr:rowOff>
    </xdr:to>
    <xdr:grpSp>
      <xdr:nvGrpSpPr>
        <xdr:cNvPr id="117" name="Mansi"/>
        <xdr:cNvGrpSpPr/>
      </xdr:nvGrpSpPr>
      <xdr:grpSpPr>
        <a:xfrm>
          <a:off x="50907427" y="5943600"/>
          <a:ext cx="527978" cy="360001"/>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xdr:col>
      <xdr:colOff>179294</xdr:colOff>
      <xdr:row>11</xdr:row>
      <xdr:rowOff>49866</xdr:rowOff>
    </xdr:from>
    <xdr:to>
      <xdr:col>9</xdr:col>
      <xdr:colOff>939351</xdr:colOff>
      <xdr:row>27</xdr:row>
      <xdr:rowOff>71958</xdr:rowOff>
    </xdr:to>
    <xdr:graphicFrame macro="">
      <xdr:nvGraphicFramePr>
        <xdr:cNvPr id="123" name="Chart 1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9525</xdr:colOff>
      <xdr:row>48</xdr:row>
      <xdr:rowOff>28575</xdr:rowOff>
    </xdr:from>
    <xdr:to>
      <xdr:col>14</xdr:col>
      <xdr:colOff>200025</xdr:colOff>
      <xdr:row>48</xdr:row>
      <xdr:rowOff>28575</xdr:rowOff>
    </xdr:to>
    <xdr:cxnSp macro="">
      <xdr:nvCxnSpPr>
        <xdr:cNvPr id="10" name="Straight Connector 9"/>
        <xdr:cNvCxnSpPr/>
      </xdr:nvCxnSpPr>
      <xdr:spPr>
        <a:xfrm>
          <a:off x="171450" y="7000875"/>
          <a:ext cx="8867775" cy="0"/>
        </a:xfrm>
        <a:prstGeom prst="line">
          <a:avLst/>
        </a:prstGeom>
        <a:ln w="12700">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170</xdr:col>
      <xdr:colOff>158676</xdr:colOff>
      <xdr:row>45</xdr:row>
      <xdr:rowOff>56909</xdr:rowOff>
    </xdr:from>
    <xdr:to>
      <xdr:col>170</xdr:col>
      <xdr:colOff>158676</xdr:colOff>
      <xdr:row>49</xdr:row>
      <xdr:rowOff>146583</xdr:rowOff>
    </xdr:to>
    <xdr:grpSp>
      <xdr:nvGrpSpPr>
        <xdr:cNvPr id="121" name="Hsipaw"/>
        <xdr:cNvGrpSpPr/>
      </xdr:nvGrpSpPr>
      <xdr:grpSpPr>
        <a:xfrm>
          <a:off x="103181076" y="6762509"/>
          <a:ext cx="0" cy="346849"/>
          <a:chOff x="51590538" y="6415660"/>
          <a:chExt cx="0" cy="346849"/>
        </a:xfrm>
      </xdr:grpSpPr>
      <xdr:sp macro="" textlink="">
        <xdr:nvSpPr>
          <xdr:cNvPr id="122" name="V_1"/>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1942042</xdr:colOff>
      <xdr:row>0</xdr:row>
      <xdr:rowOff>285750</xdr:rowOff>
    </xdr:from>
    <xdr:to>
      <xdr:col>17</xdr:col>
      <xdr:colOff>105833</xdr:colOff>
      <xdr:row>2</xdr:row>
      <xdr:rowOff>95250</xdr:rowOff>
    </xdr:to>
    <xdr:grpSp>
      <xdr:nvGrpSpPr>
        <xdr:cNvPr id="10" name="Group 9"/>
        <xdr:cNvGrpSpPr/>
      </xdr:nvGrpSpPr>
      <xdr:grpSpPr>
        <a:xfrm>
          <a:off x="7380817" y="285750"/>
          <a:ext cx="7574491" cy="685800"/>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9525</xdr:rowOff>
    </xdr:from>
    <xdr:to>
      <xdr:col>1</xdr:col>
      <xdr:colOff>658939</xdr:colOff>
      <xdr:row>1</xdr:row>
      <xdr:rowOff>50863</xdr:rowOff>
    </xdr:to>
    <xdr:sp macro="" textlink="">
      <xdr:nvSpPr>
        <xdr:cNvPr id="19" name="Rounded Rectangle 18">
          <a:hlinkClick xmlns:r="http://schemas.openxmlformats.org/officeDocument/2006/relationships" r:id="rId3"/>
        </xdr:cNvPr>
        <xdr:cNvSpPr/>
      </xdr:nvSpPr>
      <xdr:spPr>
        <a:xfrm>
          <a:off x="0" y="9525"/>
          <a:ext cx="1439989" cy="4985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661181</xdr:colOff>
      <xdr:row>0</xdr:row>
      <xdr:rowOff>9525</xdr:rowOff>
    </xdr:from>
    <xdr:to>
      <xdr:col>6</xdr:col>
      <xdr:colOff>1079487</xdr:colOff>
      <xdr:row>1</xdr:row>
      <xdr:rowOff>50863</xdr:rowOff>
    </xdr:to>
    <xdr:sp macro="" textlink="">
      <xdr:nvSpPr>
        <xdr:cNvPr id="20" name="Rounded Rectangle 19">
          <a:hlinkClick xmlns:r="http://schemas.openxmlformats.org/officeDocument/2006/relationships" r:id="rId4"/>
        </xdr:cNvPr>
        <xdr:cNvSpPr/>
      </xdr:nvSpPr>
      <xdr:spPr>
        <a:xfrm>
          <a:off x="5275514" y="9525"/>
          <a:ext cx="1339056" cy="496421"/>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2</xdr:col>
      <xdr:colOff>47095</xdr:colOff>
      <xdr:row>0</xdr:row>
      <xdr:rowOff>9525</xdr:rowOff>
    </xdr:from>
    <xdr:to>
      <xdr:col>3</xdr:col>
      <xdr:colOff>479816</xdr:colOff>
      <xdr:row>1</xdr:row>
      <xdr:rowOff>50863</xdr:rowOff>
    </xdr:to>
    <xdr:sp macro="" textlink="">
      <xdr:nvSpPr>
        <xdr:cNvPr id="21" name="Rounded Rectangle 20">
          <a:hlinkClick xmlns:r="http://schemas.openxmlformats.org/officeDocument/2006/relationships" r:id="rId5"/>
        </xdr:cNvPr>
        <xdr:cNvSpPr/>
      </xdr:nvSpPr>
      <xdr:spPr>
        <a:xfrm>
          <a:off x="1828270" y="9525"/>
          <a:ext cx="1442371" cy="4985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4</xdr:col>
      <xdr:colOff>263</xdr:colOff>
      <xdr:row>0</xdr:row>
      <xdr:rowOff>9525</xdr:rowOff>
    </xdr:from>
    <xdr:to>
      <xdr:col>5</xdr:col>
      <xdr:colOff>275166</xdr:colOff>
      <xdr:row>1</xdr:row>
      <xdr:rowOff>50863</xdr:rowOff>
    </xdr:to>
    <xdr:sp macro="" textlink="">
      <xdr:nvSpPr>
        <xdr:cNvPr id="22" name="Rounded Rectangle 21">
          <a:hlinkClick xmlns:r="http://schemas.openxmlformats.org/officeDocument/2006/relationships" r:id="rId6"/>
        </xdr:cNvPr>
        <xdr:cNvSpPr/>
      </xdr:nvSpPr>
      <xdr:spPr>
        <a:xfrm>
          <a:off x="3662096" y="9525"/>
          <a:ext cx="1227403" cy="496421"/>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15</xdr:col>
      <xdr:colOff>202406</xdr:colOff>
      <xdr:row>1</xdr:row>
      <xdr:rowOff>257969</xdr:rowOff>
    </xdr:from>
    <xdr:to>
      <xdr:col>25</xdr:col>
      <xdr:colOff>91281</xdr:colOff>
      <xdr:row>2</xdr:row>
      <xdr:rowOff>37307</xdr:rowOff>
    </xdr:to>
    <xdr:grpSp>
      <xdr:nvGrpSpPr>
        <xdr:cNvPr id="10" name="Group 9"/>
        <xdr:cNvGrpSpPr/>
      </xdr:nvGrpSpPr>
      <xdr:grpSpPr>
        <a:xfrm>
          <a:off x="7643812" y="710407"/>
          <a:ext cx="5449094" cy="612775"/>
          <a:chOff x="6500812" y="317500"/>
          <a:chExt cx="6186806" cy="575469"/>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692277</xdr:colOff>
      <xdr:row>1</xdr:row>
      <xdr:rowOff>64770</xdr:rowOff>
    </xdr:to>
    <xdr:sp macro="" textlink="">
      <xdr:nvSpPr>
        <xdr:cNvPr id="17" name="Rounded Rectangle 16">
          <a:hlinkClick xmlns:r="http://schemas.openxmlformats.org/officeDocument/2006/relationships" r:id="rId4"/>
        </xdr:cNvPr>
        <xdr:cNvSpPr/>
      </xdr:nvSpPr>
      <xdr:spPr>
        <a:xfrm>
          <a:off x="0" y="19050"/>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16</xdr:col>
      <xdr:colOff>380206</xdr:colOff>
      <xdr:row>0</xdr:row>
      <xdr:rowOff>19050</xdr:rowOff>
    </xdr:from>
    <xdr:to>
      <xdr:col>19</xdr:col>
      <xdr:colOff>53308</xdr:colOff>
      <xdr:row>1</xdr:row>
      <xdr:rowOff>64770</xdr:rowOff>
    </xdr:to>
    <xdr:sp macro="" textlink="">
      <xdr:nvSpPr>
        <xdr:cNvPr id="13" name="Rounded Rectangle 12">
          <a:hlinkClick xmlns:r="http://schemas.openxmlformats.org/officeDocument/2006/relationships" r:id="rId5"/>
        </xdr:cNvPr>
        <xdr:cNvSpPr/>
      </xdr:nvSpPr>
      <xdr:spPr>
        <a:xfrm>
          <a:off x="5609431" y="19050"/>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2</xdr:col>
      <xdr:colOff>286277</xdr:colOff>
      <xdr:row>0</xdr:row>
      <xdr:rowOff>19050</xdr:rowOff>
    </xdr:from>
    <xdr:to>
      <xdr:col>4</xdr:col>
      <xdr:colOff>87967</xdr:colOff>
      <xdr:row>1</xdr:row>
      <xdr:rowOff>64770</xdr:rowOff>
    </xdr:to>
    <xdr:sp macro="" textlink="">
      <xdr:nvSpPr>
        <xdr:cNvPr id="14" name="Rounded Rectangle 13">
          <a:hlinkClick xmlns:r="http://schemas.openxmlformats.org/officeDocument/2006/relationships" r:id="rId6"/>
        </xdr:cNvPr>
        <xdr:cNvSpPr/>
      </xdr:nvSpPr>
      <xdr:spPr>
        <a:xfrm>
          <a:off x="1607871" y="19050"/>
          <a:ext cx="956596" cy="49815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4</xdr:col>
      <xdr:colOff>386817</xdr:colOff>
      <xdr:row>0</xdr:row>
      <xdr:rowOff>19050</xdr:rowOff>
    </xdr:from>
    <xdr:to>
      <xdr:col>16</xdr:col>
      <xdr:colOff>81350</xdr:colOff>
      <xdr:row>1</xdr:row>
      <xdr:rowOff>64770</xdr:rowOff>
    </xdr:to>
    <xdr:sp macro="" textlink="">
      <xdr:nvSpPr>
        <xdr:cNvPr id="15" name="Rounded Rectangle 14">
          <a:hlinkClick xmlns:r="http://schemas.openxmlformats.org/officeDocument/2006/relationships" r:id="rId7"/>
        </xdr:cNvPr>
        <xdr:cNvSpPr/>
      </xdr:nvSpPr>
      <xdr:spPr>
        <a:xfrm>
          <a:off x="2863317" y="19050"/>
          <a:ext cx="1623346" cy="49815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23</xdr:col>
      <xdr:colOff>79375</xdr:colOff>
      <xdr:row>4</xdr:row>
      <xdr:rowOff>0</xdr:rowOff>
    </xdr:from>
    <xdr:to>
      <xdr:col>33</xdr:col>
      <xdr:colOff>431799</xdr:colOff>
      <xdr:row>4</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889000</xdr:colOff>
      <xdr:row>0</xdr:row>
      <xdr:rowOff>317500</xdr:rowOff>
    </xdr:from>
    <xdr:to>
      <xdr:col>13</xdr:col>
      <xdr:colOff>360362</xdr:colOff>
      <xdr:row>2</xdr:row>
      <xdr:rowOff>136071</xdr:rowOff>
    </xdr:to>
    <xdr:grpSp>
      <xdr:nvGrpSpPr>
        <xdr:cNvPr id="16" name="Group 15"/>
        <xdr:cNvGrpSpPr/>
      </xdr:nvGrpSpPr>
      <xdr:grpSpPr>
        <a:xfrm>
          <a:off x="11965214" y="317500"/>
          <a:ext cx="2492148" cy="716642"/>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9525</xdr:rowOff>
    </xdr:from>
    <xdr:to>
      <xdr:col>1</xdr:col>
      <xdr:colOff>130302</xdr:colOff>
      <xdr:row>1</xdr:row>
      <xdr:rowOff>55245</xdr:rowOff>
    </xdr:to>
    <xdr:sp macro="" textlink="">
      <xdr:nvSpPr>
        <xdr:cNvPr id="20" name="Rounded Rectangle 19">
          <a:hlinkClick xmlns:r="http://schemas.openxmlformats.org/officeDocument/2006/relationships" r:id="rId4"/>
        </xdr:cNvPr>
        <xdr:cNvSpPr/>
      </xdr:nvSpPr>
      <xdr:spPr>
        <a:xfrm>
          <a:off x="0"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208756</xdr:colOff>
      <xdr:row>0</xdr:row>
      <xdr:rowOff>9525</xdr:rowOff>
    </xdr:from>
    <xdr:to>
      <xdr:col>5</xdr:col>
      <xdr:colOff>1653508</xdr:colOff>
      <xdr:row>1</xdr:row>
      <xdr:rowOff>55245</xdr:rowOff>
    </xdr:to>
    <xdr:sp macro="" textlink="">
      <xdr:nvSpPr>
        <xdr:cNvPr id="13" name="Rounded Rectangle 12">
          <a:hlinkClick xmlns:r="http://schemas.openxmlformats.org/officeDocument/2006/relationships" r:id="rId5"/>
        </xdr:cNvPr>
        <xdr:cNvSpPr/>
      </xdr:nvSpPr>
      <xdr:spPr>
        <a:xfrm>
          <a:off x="5657056"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1</xdr:col>
      <xdr:colOff>571235</xdr:colOff>
      <xdr:row>0</xdr:row>
      <xdr:rowOff>9525</xdr:rowOff>
    </xdr:from>
    <xdr:to>
      <xdr:col>2</xdr:col>
      <xdr:colOff>739637</xdr:colOff>
      <xdr:row>1</xdr:row>
      <xdr:rowOff>55245</xdr:rowOff>
    </xdr:to>
    <xdr:sp macro="" textlink="">
      <xdr:nvSpPr>
        <xdr:cNvPr id="14" name="Rounded Rectangle 13">
          <a:hlinkClick xmlns:r="http://schemas.openxmlformats.org/officeDocument/2006/relationships" r:id="rId6"/>
        </xdr:cNvPr>
        <xdr:cNvSpPr/>
      </xdr:nvSpPr>
      <xdr:spPr>
        <a:xfrm>
          <a:off x="1885685"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3</xdr:col>
      <xdr:colOff>247120</xdr:colOff>
      <xdr:row>0</xdr:row>
      <xdr:rowOff>9525</xdr:rowOff>
    </xdr:from>
    <xdr:to>
      <xdr:col>4</xdr:col>
      <xdr:colOff>891772</xdr:colOff>
      <xdr:row>1</xdr:row>
      <xdr:rowOff>55245</xdr:rowOff>
    </xdr:to>
    <xdr:sp macro="" textlink="">
      <xdr:nvSpPr>
        <xdr:cNvPr id="15" name="Rounded Rectangle 14">
          <a:hlinkClick xmlns:r="http://schemas.openxmlformats.org/officeDocument/2006/relationships" r:id="rId7"/>
        </xdr:cNvPr>
        <xdr:cNvSpPr/>
      </xdr:nvSpPr>
      <xdr:spPr>
        <a:xfrm>
          <a:off x="3771370"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18</xdr:row>
      <xdr:rowOff>47625</xdr:rowOff>
    </xdr:from>
    <xdr:to>
      <xdr:col>10</xdr:col>
      <xdr:colOff>276676</xdr:colOff>
      <xdr:row>25</xdr:row>
      <xdr:rowOff>177165</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1050925</xdr:colOff>
      <xdr:row>3</xdr:row>
      <xdr:rowOff>1</xdr:rowOff>
    </xdr:from>
    <xdr:to>
      <xdr:col>18</xdr:col>
      <xdr:colOff>438150</xdr:colOff>
      <xdr:row>4</xdr:row>
      <xdr:rowOff>129722</xdr:rowOff>
    </xdr:to>
    <xdr:grpSp>
      <xdr:nvGrpSpPr>
        <xdr:cNvPr id="22" name="Group 21"/>
        <xdr:cNvGrpSpPr/>
      </xdr:nvGrpSpPr>
      <xdr:grpSpPr>
        <a:xfrm>
          <a:off x="6013450" y="628651"/>
          <a:ext cx="3378200" cy="444046"/>
          <a:chOff x="6500812" y="317500"/>
          <a:chExt cx="6186806" cy="575469"/>
        </a:xfrm>
      </xdr:grpSpPr>
      <xdr:pic>
        <xdr:nvPicPr>
          <xdr:cNvPr id="23" name="Picture 22"/>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5</xdr:row>
      <xdr:rowOff>9525</xdr:rowOff>
    </xdr:from>
    <xdr:to>
      <xdr:col>18</xdr:col>
      <xdr:colOff>438150</xdr:colOff>
      <xdr:row>5</xdr:row>
      <xdr:rowOff>504825</xdr:rowOff>
    </xdr:to>
    <xdr:sp macro="" textlink="">
      <xdr:nvSpPr>
        <xdr:cNvPr id="31" name="Rounded Rectangle 30">
          <a:hlinkClick xmlns:r="http://schemas.openxmlformats.org/officeDocument/2006/relationships" r:id="rId4"/>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 sand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xdr:from>
      <xdr:col>1</xdr:col>
      <xdr:colOff>0</xdr:colOff>
      <xdr:row>36</xdr:row>
      <xdr:rowOff>63521</xdr:rowOff>
    </xdr:from>
    <xdr:to>
      <xdr:col>20</xdr:col>
      <xdr:colOff>0</xdr:colOff>
      <xdr:row>36</xdr:row>
      <xdr:rowOff>63521</xdr:rowOff>
    </xdr:to>
    <xdr:sp macro="" textlink="">
      <xdr:nvSpPr>
        <xdr:cNvPr id="33" name="Line 2"/>
        <xdr:cNvSpPr>
          <a:spLocks noChangeShapeType="1"/>
        </xdr:cNvSpPr>
      </xdr:nvSpPr>
      <xdr:spPr bwMode="auto">
        <a:xfrm>
          <a:off x="161925" y="6902471"/>
          <a:ext cx="9334500" cy="0"/>
        </a:xfrm>
        <a:prstGeom prst="line">
          <a:avLst/>
        </a:prstGeom>
        <a:solidFill>
          <a:srgbClr val="FFFFFF"/>
        </a:solidFill>
        <a:ln w="12700">
          <a:solidFill>
            <a:srgbClr val="808080"/>
          </a:solidFill>
          <a:round/>
          <a:headEnd/>
          <a:tailEnd/>
        </a:ln>
        <a:extLst/>
      </xdr:spPr>
    </xdr:sp>
    <xdr:clientData/>
  </xdr:twoCellAnchor>
  <xdr:twoCellAnchor>
    <xdr:from>
      <xdr:col>2</xdr:col>
      <xdr:colOff>0</xdr:colOff>
      <xdr:row>36</xdr:row>
      <xdr:rowOff>117130</xdr:rowOff>
    </xdr:from>
    <xdr:to>
      <xdr:col>18</xdr:col>
      <xdr:colOff>306935</xdr:colOff>
      <xdr:row>38</xdr:row>
      <xdr:rowOff>57142</xdr:rowOff>
    </xdr:to>
    <xdr:grpSp>
      <xdr:nvGrpSpPr>
        <xdr:cNvPr id="34" name="Group 33"/>
        <xdr:cNvGrpSpPr/>
      </xdr:nvGrpSpPr>
      <xdr:grpSpPr>
        <a:xfrm>
          <a:off x="266700" y="6956080"/>
          <a:ext cx="8993735" cy="359112"/>
          <a:chOff x="6083301" y="9224126"/>
          <a:chExt cx="7302023" cy="224693"/>
        </a:xfrm>
        <a:solidFill>
          <a:srgbClr val="FFFFFF"/>
        </a:solidFill>
      </xdr:grpSpPr>
      <xdr:sp macro="" textlink="">
        <xdr:nvSpPr>
          <xdr:cNvPr id="35" name="TextBox 34"/>
          <xdr:cNvSpPr txBox="1"/>
        </xdr:nvSpPr>
        <xdr:spPr>
          <a:xfrm>
            <a:off x="6083301" y="9224126"/>
            <a:ext cx="3601345" cy="22469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36" name="TextBox 35"/>
          <xdr:cNvSpPr txBox="1">
            <a:spLocks/>
          </xdr:cNvSpPr>
        </xdr:nvSpPr>
        <xdr:spPr>
          <a:xfrm>
            <a:off x="9170777" y="9231783"/>
            <a:ext cx="3212009" cy="12648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37" name="TextBox 36"/>
          <xdr:cNvSpPr txBox="1"/>
        </xdr:nvSpPr>
        <xdr:spPr>
          <a:xfrm>
            <a:off x="12373053" y="9231783"/>
            <a:ext cx="1012271" cy="12318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clientData/>
  </xdr:twoCellAnchor>
  <xdr:twoCellAnchor>
    <xdr:from>
      <xdr:col>2</xdr:col>
      <xdr:colOff>0</xdr:colOff>
      <xdr:row>2</xdr:row>
      <xdr:rowOff>13575</xdr:rowOff>
    </xdr:from>
    <xdr:to>
      <xdr:col>2</xdr:col>
      <xdr:colOff>1263777</xdr:colOff>
      <xdr:row>2</xdr:row>
      <xdr:rowOff>379335</xdr:rowOff>
    </xdr:to>
    <xdr:sp macro="" textlink="">
      <xdr:nvSpPr>
        <xdr:cNvPr id="40" name="Rounded Rectangle 39">
          <a:hlinkClick xmlns:r="http://schemas.openxmlformats.org/officeDocument/2006/relationships" r:id="rId5"/>
        </xdr:cNvPr>
        <xdr:cNvSpPr/>
      </xdr:nvSpPr>
      <xdr:spPr>
        <a:xfrm>
          <a:off x="0" y="13575"/>
          <a:ext cx="144475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9</xdr:col>
      <xdr:colOff>342106</xdr:colOff>
      <xdr:row>2</xdr:row>
      <xdr:rowOff>14979</xdr:rowOff>
    </xdr:from>
    <xdr:to>
      <xdr:col>12</xdr:col>
      <xdr:colOff>424783</xdr:colOff>
      <xdr:row>2</xdr:row>
      <xdr:rowOff>380739</xdr:rowOff>
    </xdr:to>
    <xdr:sp macro="" textlink="">
      <xdr:nvSpPr>
        <xdr:cNvPr id="18" name="Rounded Rectangle 17">
          <a:hlinkClick xmlns:r="http://schemas.openxmlformats.org/officeDocument/2006/relationships" r:id="rId6"/>
        </xdr:cNvPr>
        <xdr:cNvSpPr/>
      </xdr:nvSpPr>
      <xdr:spPr>
        <a:xfrm>
          <a:off x="4266406" y="405504"/>
          <a:ext cx="213055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3</xdr:col>
      <xdr:colOff>344145</xdr:colOff>
      <xdr:row>2</xdr:row>
      <xdr:rowOff>21075</xdr:rowOff>
    </xdr:from>
    <xdr:to>
      <xdr:col>5</xdr:col>
      <xdr:colOff>360147</xdr:colOff>
      <xdr:row>2</xdr:row>
      <xdr:rowOff>386835</xdr:rowOff>
    </xdr:to>
    <xdr:sp macro="" textlink="">
      <xdr:nvSpPr>
        <xdr:cNvPr id="19" name="Rounded Rectangle 18">
          <a:hlinkClick xmlns:r="http://schemas.openxmlformats.org/officeDocument/2006/relationships" r:id="rId7"/>
        </xdr:cNvPr>
        <xdr:cNvSpPr/>
      </xdr:nvSpPr>
      <xdr:spPr>
        <a:xfrm>
          <a:off x="1525245" y="411600"/>
          <a:ext cx="93040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6</xdr:col>
      <xdr:colOff>216919</xdr:colOff>
      <xdr:row>2</xdr:row>
      <xdr:rowOff>14979</xdr:rowOff>
    </xdr:from>
    <xdr:to>
      <xdr:col>8</xdr:col>
      <xdr:colOff>423421</xdr:colOff>
      <xdr:row>2</xdr:row>
      <xdr:rowOff>380739</xdr:rowOff>
    </xdr:to>
    <xdr:sp macro="" textlink="">
      <xdr:nvSpPr>
        <xdr:cNvPr id="20" name="Rounded Rectangle 19">
          <a:hlinkClick xmlns:r="http://schemas.openxmlformats.org/officeDocument/2006/relationships" r:id="rId8"/>
        </xdr:cNvPr>
        <xdr:cNvSpPr/>
      </xdr:nvSpPr>
      <xdr:spPr>
        <a:xfrm>
          <a:off x="2769619" y="405504"/>
          <a:ext cx="112090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twoCellAnchor>
    <xdr:from>
      <xdr:col>2</xdr:col>
      <xdr:colOff>1</xdr:colOff>
      <xdr:row>26</xdr:row>
      <xdr:rowOff>49530</xdr:rowOff>
    </xdr:from>
    <xdr:to>
      <xdr:col>10</xdr:col>
      <xdr:colOff>276676</xdr:colOff>
      <xdr:row>35</xdr:row>
      <xdr:rowOff>11430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38101</xdr:colOff>
      <xdr:row>26</xdr:row>
      <xdr:rowOff>49529</xdr:rowOff>
    </xdr:from>
    <xdr:to>
      <xdr:col>19</xdr:col>
      <xdr:colOff>451</xdr:colOff>
      <xdr:row>35</xdr:row>
      <xdr:rowOff>11430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38100</xdr:colOff>
      <xdr:row>7</xdr:row>
      <xdr:rowOff>9524</xdr:rowOff>
    </xdr:from>
    <xdr:to>
      <xdr:col>10</xdr:col>
      <xdr:colOff>0</xdr:colOff>
      <xdr:row>9</xdr:row>
      <xdr:rowOff>114300</xdr:rowOff>
    </xdr:to>
    <xdr:sp macro="" textlink="">
      <xdr:nvSpPr>
        <xdr:cNvPr id="25" name="Rounded Rectangle 24"/>
        <xdr:cNvSpPr/>
      </xdr:nvSpPr>
      <xdr:spPr>
        <a:xfrm>
          <a:off x="304800" y="1790699"/>
          <a:ext cx="4200525" cy="428626"/>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algn="l"/>
          <a:r>
            <a:rPr lang="en-US" sz="800">
              <a:solidFill>
                <a:schemeClr val="tx2">
                  <a:lumMod val="40000"/>
                  <a:lumOff val="60000"/>
                </a:schemeClr>
              </a:solidFill>
              <a:latin typeface="Franklin Gothic Demi" pitchFamily="34" charset="0"/>
            </a:rPr>
            <a:t>NFI Core Kit : #  targetted households</a:t>
          </a:r>
          <a:r>
            <a:rPr lang="en-US" sz="800" baseline="0">
              <a:solidFill>
                <a:schemeClr val="tx2">
                  <a:lumMod val="40000"/>
                  <a:lumOff val="60000"/>
                </a:schemeClr>
              </a:solidFill>
              <a:latin typeface="Franklin Gothic Demi" pitchFamily="34" charset="0"/>
            </a:rPr>
            <a:t> </a:t>
          </a:r>
          <a:endParaRPr lang="en-US" sz="800">
            <a:solidFill>
              <a:schemeClr val="tx2">
                <a:lumMod val="40000"/>
                <a:lumOff val="60000"/>
              </a:schemeClr>
            </a:solidFill>
            <a:latin typeface="Franklin Gothic Demi" pitchFamily="34" charset="0"/>
          </a:endParaRPr>
        </a:p>
      </xdr:txBody>
    </xdr:sp>
    <xdr:clientData/>
  </xdr:twoCellAnchor>
  <xdr:twoCellAnchor>
    <xdr:from>
      <xdr:col>11</xdr:col>
      <xdr:colOff>9525</xdr:colOff>
      <xdr:row>7</xdr:row>
      <xdr:rowOff>19050</xdr:rowOff>
    </xdr:from>
    <xdr:to>
      <xdr:col>18</xdr:col>
      <xdr:colOff>447675</xdr:colOff>
      <xdr:row>9</xdr:row>
      <xdr:rowOff>123826</xdr:rowOff>
    </xdr:to>
    <xdr:sp macro="" textlink="">
      <xdr:nvSpPr>
        <xdr:cNvPr id="28" name="Rounded Rectangle 27"/>
        <xdr:cNvSpPr/>
      </xdr:nvSpPr>
      <xdr:spPr>
        <a:xfrm>
          <a:off x="4972050" y="1800225"/>
          <a:ext cx="4429125" cy="428626"/>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algn="l"/>
          <a:r>
            <a:rPr lang="en-US" sz="800">
              <a:solidFill>
                <a:schemeClr val="tx2">
                  <a:lumMod val="40000"/>
                  <a:lumOff val="60000"/>
                </a:schemeClr>
              </a:solidFill>
              <a:latin typeface="Franklin Gothic Demi" pitchFamily="34" charset="0"/>
            </a:rPr>
            <a:t>Winter</a:t>
          </a:r>
          <a:r>
            <a:rPr lang="en-US" sz="800" baseline="0">
              <a:solidFill>
                <a:schemeClr val="tx2">
                  <a:lumMod val="40000"/>
                  <a:lumOff val="60000"/>
                </a:schemeClr>
              </a:solidFill>
              <a:latin typeface="Franklin Gothic Demi" pitchFamily="34" charset="0"/>
            </a:rPr>
            <a:t> Items : # targetted households</a:t>
          </a:r>
          <a:endParaRPr lang="en-US" sz="800">
            <a:solidFill>
              <a:schemeClr val="tx2">
                <a:lumMod val="40000"/>
                <a:lumOff val="60000"/>
              </a:schemeClr>
            </a:solidFill>
            <a:latin typeface="Franklin Gothic Demi" pitchFamily="34" charset="0"/>
          </a:endParaRPr>
        </a:p>
      </xdr:txBody>
    </xdr:sp>
    <xdr:clientData/>
  </xdr:twoCellAnchor>
  <xdr:twoCellAnchor>
    <xdr:from>
      <xdr:col>11</xdr:col>
      <xdr:colOff>38101</xdr:colOff>
      <xdr:row>18</xdr:row>
      <xdr:rowOff>38100</xdr:rowOff>
    </xdr:from>
    <xdr:to>
      <xdr:col>18</xdr:col>
      <xdr:colOff>468630</xdr:colOff>
      <xdr:row>25</xdr:row>
      <xdr:rowOff>167640</xdr:rowOff>
    </xdr:to>
    <xdr:graphicFrame macro="">
      <xdr:nvGraphicFramePr>
        <xdr:cNvPr id="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152401</xdr:colOff>
      <xdr:row>6</xdr:row>
      <xdr:rowOff>47624</xdr:rowOff>
    </xdr:from>
    <xdr:to>
      <xdr:col>6</xdr:col>
      <xdr:colOff>247651</xdr:colOff>
      <xdr:row>10</xdr:row>
      <xdr:rowOff>0</xdr:rowOff>
    </xdr:to>
    <xdr:sp macro="" textlink="$W$4">
      <xdr:nvSpPr>
        <xdr:cNvPr id="39" name="Rounded Rectangle 38"/>
        <xdr:cNvSpPr/>
      </xdr:nvSpPr>
      <xdr:spPr>
        <a:xfrm>
          <a:off x="2152651" y="1733549"/>
          <a:ext cx="704850" cy="543600"/>
        </a:xfrm>
        <a:prstGeom prst="roundRect">
          <a:avLst>
            <a:gd name="adj" fmla="val 32437"/>
          </a:avLst>
        </a:prstGeom>
        <a:no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algn="l"/>
          <a:fld id="{866AAD63-F696-4B61-B8A1-8F667A21ADA1}" type="TxLink">
            <a:rPr lang="en-US" sz="800">
              <a:solidFill>
                <a:schemeClr val="tx2">
                  <a:lumMod val="40000"/>
                  <a:lumOff val="60000"/>
                </a:schemeClr>
              </a:solidFill>
              <a:latin typeface="Franklin Gothic Demi" pitchFamily="34" charset="0"/>
            </a:rPr>
            <a:pPr algn="l"/>
            <a:t> 2,113 </a:t>
          </a:fld>
          <a:endParaRPr lang="en-US" sz="800">
            <a:solidFill>
              <a:schemeClr val="tx2">
                <a:lumMod val="40000"/>
                <a:lumOff val="60000"/>
              </a:schemeClr>
            </a:solidFill>
            <a:latin typeface="Franklin Gothic Demi" pitchFamily="34" charset="0"/>
          </a:endParaRPr>
        </a:p>
      </xdr:txBody>
    </xdr:sp>
    <xdr:clientData/>
  </xdr:twoCellAnchor>
  <xdr:twoCellAnchor>
    <xdr:from>
      <xdr:col>13</xdr:col>
      <xdr:colOff>342900</xdr:colOff>
      <xdr:row>6</xdr:row>
      <xdr:rowOff>85725</xdr:rowOff>
    </xdr:from>
    <xdr:to>
      <xdr:col>14</xdr:col>
      <xdr:colOff>438150</xdr:colOff>
      <xdr:row>10</xdr:row>
      <xdr:rowOff>0</xdr:rowOff>
    </xdr:to>
    <xdr:sp macro="" textlink="$W$5">
      <xdr:nvSpPr>
        <xdr:cNvPr id="41" name="Rounded Rectangle 40"/>
        <xdr:cNvSpPr/>
      </xdr:nvSpPr>
      <xdr:spPr>
        <a:xfrm>
          <a:off x="6896100" y="1771650"/>
          <a:ext cx="590550" cy="543600"/>
        </a:xfrm>
        <a:prstGeom prst="roundRect">
          <a:avLst/>
        </a:prstGeom>
        <a:no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indent="0" algn="l"/>
          <a:fld id="{51CE7971-745A-4014-873E-EC6C604327F5}" type="TxLink">
            <a:rPr lang="en-US" sz="800">
              <a:solidFill>
                <a:schemeClr val="tx2">
                  <a:lumMod val="40000"/>
                  <a:lumOff val="60000"/>
                </a:schemeClr>
              </a:solidFill>
              <a:latin typeface="Franklin Gothic Demi" pitchFamily="34" charset="0"/>
              <a:ea typeface="+mn-ea"/>
              <a:cs typeface="+mn-cs"/>
            </a:rPr>
            <a:pPr marL="0" indent="0" algn="l"/>
            <a:t> 1,794 </a:t>
          </a:fld>
          <a:endParaRPr lang="en-US" sz="800">
            <a:solidFill>
              <a:schemeClr val="tx2">
                <a:lumMod val="40000"/>
                <a:lumOff val="60000"/>
              </a:schemeClr>
            </a:solidFill>
            <a:latin typeface="Franklin Gothic Demi" pitchFamily="34" charset="0"/>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700353</xdr:colOff>
      <xdr:row>1</xdr:row>
      <xdr:rowOff>31856</xdr:rowOff>
    </xdr:from>
    <xdr:to>
      <xdr:col>7</xdr:col>
      <xdr:colOff>1166813</xdr:colOff>
      <xdr:row>2</xdr:row>
      <xdr:rowOff>67469</xdr:rowOff>
    </xdr:to>
    <xdr:grpSp>
      <xdr:nvGrpSpPr>
        <xdr:cNvPr id="6" name="Group 5"/>
        <xdr:cNvGrpSpPr/>
      </xdr:nvGrpSpPr>
      <xdr:grpSpPr>
        <a:xfrm>
          <a:off x="4672278" y="555731"/>
          <a:ext cx="2876285" cy="226113"/>
          <a:chOff x="6500812" y="296130"/>
          <a:chExt cx="6668867" cy="596839"/>
        </a:xfrm>
      </xdr:grpSpPr>
      <xdr:pic>
        <xdr:nvPicPr>
          <xdr:cNvPr id="4" name="Picture 3"/>
          <xdr:cNvPicPr>
            <a:picLocks noChangeAspect="1"/>
          </xdr:cNvPicPr>
        </xdr:nvPicPr>
        <xdr:blipFill>
          <a:blip xmlns:r="http://schemas.openxmlformats.org/officeDocument/2006/relationships" r:embed="rId1"/>
          <a:stretch>
            <a:fillRect/>
          </a:stretch>
        </xdr:blipFill>
        <xdr:spPr>
          <a:xfrm>
            <a:off x="9226312" y="296130"/>
            <a:ext cx="3943367" cy="594384"/>
          </a:xfrm>
          <a:prstGeom prst="rect">
            <a:avLst/>
          </a:prstGeom>
        </xdr:spPr>
      </xdr:pic>
      <xdr:pic>
        <xdr:nvPicPr>
          <xdr:cNvPr id="5" name="Picture 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5482</xdr:colOff>
      <xdr:row>0</xdr:row>
      <xdr:rowOff>16402</xdr:rowOff>
    </xdr:from>
    <xdr:to>
      <xdr:col>10</xdr:col>
      <xdr:colOff>267607</xdr:colOff>
      <xdr:row>0</xdr:row>
      <xdr:rowOff>376991</xdr:rowOff>
    </xdr:to>
    <xdr:sp macro="" textlink="">
      <xdr:nvSpPr>
        <xdr:cNvPr id="12" name="Rounded Rectangle 11">
          <a:hlinkClick xmlns:r="http://schemas.openxmlformats.org/officeDocument/2006/relationships" r:id="rId3"/>
        </xdr:cNvPr>
        <xdr:cNvSpPr/>
      </xdr:nvSpPr>
      <xdr:spPr>
        <a:xfrm>
          <a:off x="8577982" y="16402"/>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47626</xdr:colOff>
      <xdr:row>0</xdr:row>
      <xdr:rowOff>33262</xdr:rowOff>
    </xdr:from>
    <xdr:to>
      <xdr:col>5</xdr:col>
      <xdr:colOff>35907</xdr:colOff>
      <xdr:row>0</xdr:row>
      <xdr:rowOff>393851</xdr:rowOff>
    </xdr:to>
    <xdr:sp macro="" textlink="">
      <xdr:nvSpPr>
        <xdr:cNvPr id="13" name="Rounded Rectangle 12">
          <a:hlinkClick xmlns:r="http://schemas.openxmlformats.org/officeDocument/2006/relationships" r:id="rId4"/>
        </xdr:cNvPr>
        <xdr:cNvSpPr/>
      </xdr:nvSpPr>
      <xdr:spPr>
        <a:xfrm>
          <a:off x="47626" y="33262"/>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346793</xdr:colOff>
      <xdr:row>0</xdr:row>
      <xdr:rowOff>28310</xdr:rowOff>
    </xdr:from>
    <xdr:to>
      <xdr:col>6</xdr:col>
      <xdr:colOff>1047747</xdr:colOff>
      <xdr:row>0</xdr:row>
      <xdr:rowOff>388899</xdr:rowOff>
    </xdr:to>
    <xdr:sp macro="" textlink="">
      <xdr:nvSpPr>
        <xdr:cNvPr id="14" name="Rounded Rectangle 13">
          <a:hlinkClick xmlns:r="http://schemas.openxmlformats.org/officeDocument/2006/relationships" r:id="rId5"/>
        </xdr:cNvPr>
        <xdr:cNvSpPr/>
      </xdr:nvSpPr>
      <xdr:spPr>
        <a:xfrm>
          <a:off x="2001762" y="28310"/>
          <a:ext cx="1986829"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7</xdr:col>
      <xdr:colOff>71438</xdr:colOff>
      <xdr:row>0</xdr:row>
      <xdr:rowOff>28309</xdr:rowOff>
    </xdr:from>
    <xdr:to>
      <xdr:col>7</xdr:col>
      <xdr:colOff>1619438</xdr:colOff>
      <xdr:row>0</xdr:row>
      <xdr:rowOff>388898</xdr:rowOff>
    </xdr:to>
    <xdr:sp macro="" textlink="">
      <xdr:nvSpPr>
        <xdr:cNvPr id="15" name="Rounded Rectangle 14">
          <a:hlinkClick xmlns:r="http://schemas.openxmlformats.org/officeDocument/2006/relationships" r:id="rId6"/>
        </xdr:cNvPr>
        <xdr:cNvSpPr/>
      </xdr:nvSpPr>
      <xdr:spPr>
        <a:xfrm>
          <a:off x="4298157" y="28309"/>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7</xdr:col>
      <xdr:colOff>1993913</xdr:colOff>
      <xdr:row>0</xdr:row>
      <xdr:rowOff>28308</xdr:rowOff>
    </xdr:from>
    <xdr:to>
      <xdr:col>8</xdr:col>
      <xdr:colOff>869156</xdr:colOff>
      <xdr:row>0</xdr:row>
      <xdr:rowOff>388897</xdr:rowOff>
    </xdr:to>
    <xdr:sp macro="" textlink="">
      <xdr:nvSpPr>
        <xdr:cNvPr id="16" name="Rounded Rectangle 15">
          <a:hlinkClick xmlns:r="http://schemas.openxmlformats.org/officeDocument/2006/relationships" r:id="rId7"/>
        </xdr:cNvPr>
        <xdr:cNvSpPr/>
      </xdr:nvSpPr>
      <xdr:spPr>
        <a:xfrm>
          <a:off x="6220632" y="28308"/>
          <a:ext cx="1935149"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133071</xdr:colOff>
      <xdr:row>5</xdr:row>
      <xdr:rowOff>52667</xdr:rowOff>
    </xdr:from>
    <xdr:to>
      <xdr:col>10</xdr:col>
      <xdr:colOff>487176</xdr:colOff>
      <xdr:row>42</xdr:row>
      <xdr:rowOff>78441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xdr:colOff>
      <xdr:row>1</xdr:row>
      <xdr:rowOff>412750</xdr:rowOff>
    </xdr:from>
    <xdr:to>
      <xdr:col>10</xdr:col>
      <xdr:colOff>714375</xdr:colOff>
      <xdr:row>2</xdr:row>
      <xdr:rowOff>31750</xdr:rowOff>
    </xdr:to>
    <xdr:grpSp>
      <xdr:nvGrpSpPr>
        <xdr:cNvPr id="7" name="Group 6"/>
        <xdr:cNvGrpSpPr/>
      </xdr:nvGrpSpPr>
      <xdr:grpSpPr>
        <a:xfrm>
          <a:off x="3712882" y="872191"/>
          <a:ext cx="4757084" cy="425824"/>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285145</xdr:colOff>
      <xdr:row>0</xdr:row>
      <xdr:rowOff>21166</xdr:rowOff>
    </xdr:from>
    <xdr:to>
      <xdr:col>10</xdr:col>
      <xdr:colOff>491657</xdr:colOff>
      <xdr:row>0</xdr:row>
      <xdr:rowOff>381755</xdr:rowOff>
    </xdr:to>
    <xdr:sp macro="" textlink="">
      <xdr:nvSpPr>
        <xdr:cNvPr id="10" name="Rounded Rectangle 9">
          <a:hlinkClick xmlns:r="http://schemas.openxmlformats.org/officeDocument/2006/relationships" r:id="rId4"/>
        </xdr:cNvPr>
        <xdr:cNvSpPr/>
      </xdr:nvSpPr>
      <xdr:spPr>
        <a:xfrm>
          <a:off x="7000270" y="21166"/>
          <a:ext cx="1444762"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0</xdr:colOff>
      <xdr:row>0</xdr:row>
      <xdr:rowOff>33262</xdr:rowOff>
    </xdr:from>
    <xdr:to>
      <xdr:col>1</xdr:col>
      <xdr:colOff>499406</xdr:colOff>
      <xdr:row>0</xdr:row>
      <xdr:rowOff>393851</xdr:rowOff>
    </xdr:to>
    <xdr:sp macro="" textlink="">
      <xdr:nvSpPr>
        <xdr:cNvPr id="11" name="Rounded Rectangle 10">
          <a:hlinkClick xmlns:r="http://schemas.openxmlformats.org/officeDocument/2006/relationships" r:id="rId5"/>
        </xdr:cNvPr>
        <xdr:cNvSpPr/>
      </xdr:nvSpPr>
      <xdr:spPr>
        <a:xfrm>
          <a:off x="0" y="33262"/>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777535</xdr:colOff>
      <xdr:row>0</xdr:row>
      <xdr:rowOff>30691</xdr:rowOff>
    </xdr:from>
    <xdr:to>
      <xdr:col>3</xdr:col>
      <xdr:colOff>707823</xdr:colOff>
      <xdr:row>0</xdr:row>
      <xdr:rowOff>391280</xdr:rowOff>
    </xdr:to>
    <xdr:sp macro="" textlink="">
      <xdr:nvSpPr>
        <xdr:cNvPr id="12" name="Rounded Rectangle 11">
          <a:hlinkClick xmlns:r="http://schemas.openxmlformats.org/officeDocument/2006/relationships" r:id="rId6"/>
        </xdr:cNvPr>
        <xdr:cNvSpPr/>
      </xdr:nvSpPr>
      <xdr:spPr>
        <a:xfrm>
          <a:off x="1749085" y="30691"/>
          <a:ext cx="1740038"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4</xdr:col>
      <xdr:colOff>47625</xdr:colOff>
      <xdr:row>0</xdr:row>
      <xdr:rowOff>11641</xdr:rowOff>
    </xdr:from>
    <xdr:to>
      <xdr:col>6</xdr:col>
      <xdr:colOff>35915</xdr:colOff>
      <xdr:row>0</xdr:row>
      <xdr:rowOff>372230</xdr:rowOff>
    </xdr:to>
    <xdr:sp macro="" textlink="">
      <xdr:nvSpPr>
        <xdr:cNvPr id="13" name="Rounded Rectangle 12">
          <a:hlinkClick xmlns:r="http://schemas.openxmlformats.org/officeDocument/2006/relationships" r:id="rId7"/>
        </xdr:cNvPr>
        <xdr:cNvSpPr/>
      </xdr:nvSpPr>
      <xdr:spPr>
        <a:xfrm>
          <a:off x="3724275" y="11641"/>
          <a:ext cx="120749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l"/>
          <a:r>
            <a:rPr lang="en-US" sz="1100" b="1"/>
            <a:t>Camp List - Printable</a:t>
          </a:r>
        </a:p>
      </xdr:txBody>
    </xdr:sp>
    <xdr:clientData/>
  </xdr:twoCellAnchor>
  <xdr:twoCellAnchor>
    <xdr:from>
      <xdr:col>6</xdr:col>
      <xdr:colOff>229914</xdr:colOff>
      <xdr:row>0</xdr:row>
      <xdr:rowOff>21166</xdr:rowOff>
    </xdr:from>
    <xdr:to>
      <xdr:col>8</xdr:col>
      <xdr:colOff>176870</xdr:colOff>
      <xdr:row>0</xdr:row>
      <xdr:rowOff>381755</xdr:rowOff>
    </xdr:to>
    <xdr:sp macro="" textlink="">
      <xdr:nvSpPr>
        <xdr:cNvPr id="14" name="Rounded Rectangle 13">
          <a:hlinkClick xmlns:r="http://schemas.openxmlformats.org/officeDocument/2006/relationships" r:id="rId8"/>
        </xdr:cNvPr>
        <xdr:cNvSpPr/>
      </xdr:nvSpPr>
      <xdr:spPr>
        <a:xfrm>
          <a:off x="5449614" y="21166"/>
          <a:ext cx="1442381"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1233770</xdr:colOff>
      <xdr:row>1</xdr:row>
      <xdr:rowOff>288552</xdr:rowOff>
    </xdr:from>
    <xdr:to>
      <xdr:col>7</xdr:col>
      <xdr:colOff>652745</xdr:colOff>
      <xdr:row>2</xdr:row>
      <xdr:rowOff>240926</xdr:rowOff>
    </xdr:to>
    <xdr:grpSp>
      <xdr:nvGrpSpPr>
        <xdr:cNvPr id="2" name="Group 1"/>
        <xdr:cNvGrpSpPr/>
      </xdr:nvGrpSpPr>
      <xdr:grpSpPr>
        <a:xfrm>
          <a:off x="5973858" y="568699"/>
          <a:ext cx="3206563" cy="31096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633088</xdr:colOff>
      <xdr:row>0</xdr:row>
      <xdr:rowOff>43578</xdr:rowOff>
    </xdr:from>
    <xdr:to>
      <xdr:col>6</xdr:col>
      <xdr:colOff>415738</xdr:colOff>
      <xdr:row>1</xdr:row>
      <xdr:rowOff>23167</xdr:rowOff>
    </xdr:to>
    <xdr:sp macro="" textlink="">
      <xdr:nvSpPr>
        <xdr:cNvPr id="5" name="Rounded Rectangle 4">
          <a:hlinkClick xmlns:r="http://schemas.openxmlformats.org/officeDocument/2006/relationships" r:id="rId3"/>
        </xdr:cNvPr>
        <xdr:cNvSpPr/>
      </xdr:nvSpPr>
      <xdr:spPr>
        <a:xfrm>
          <a:off x="6650647" y="43578"/>
          <a:ext cx="1575591" cy="25973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56030</xdr:colOff>
      <xdr:row>0</xdr:row>
      <xdr:rowOff>55674</xdr:rowOff>
    </xdr:from>
    <xdr:to>
      <xdr:col>1</xdr:col>
      <xdr:colOff>743555</xdr:colOff>
      <xdr:row>1</xdr:row>
      <xdr:rowOff>21816</xdr:rowOff>
    </xdr:to>
    <xdr:sp macro="" textlink="">
      <xdr:nvSpPr>
        <xdr:cNvPr id="6" name="Rounded Rectangle 5">
          <a:hlinkClick xmlns:r="http://schemas.openxmlformats.org/officeDocument/2006/relationships" r:id="rId4"/>
        </xdr:cNvPr>
        <xdr:cNvSpPr/>
      </xdr:nvSpPr>
      <xdr:spPr>
        <a:xfrm>
          <a:off x="56030" y="55674"/>
          <a:ext cx="1438319" cy="2462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2</xdr:col>
      <xdr:colOff>38368</xdr:colOff>
      <xdr:row>0</xdr:row>
      <xdr:rowOff>43578</xdr:rowOff>
    </xdr:from>
    <xdr:to>
      <xdr:col>2</xdr:col>
      <xdr:colOff>1591236</xdr:colOff>
      <xdr:row>1</xdr:row>
      <xdr:rowOff>31937</xdr:rowOff>
    </xdr:to>
    <xdr:sp macro="" textlink="">
      <xdr:nvSpPr>
        <xdr:cNvPr id="7" name="Rounded Rectangle 6">
          <a:hlinkClick xmlns:r="http://schemas.openxmlformats.org/officeDocument/2006/relationships" r:id="rId5"/>
        </xdr:cNvPr>
        <xdr:cNvSpPr/>
      </xdr:nvSpPr>
      <xdr:spPr>
        <a:xfrm>
          <a:off x="1640809" y="43578"/>
          <a:ext cx="1552868" cy="26850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2</xdr:col>
      <xdr:colOff>1734461</xdr:colOff>
      <xdr:row>0</xdr:row>
      <xdr:rowOff>43578</xdr:rowOff>
    </xdr:from>
    <xdr:to>
      <xdr:col>3</xdr:col>
      <xdr:colOff>40736</xdr:colOff>
      <xdr:row>1</xdr:row>
      <xdr:rowOff>23167</xdr:rowOff>
    </xdr:to>
    <xdr:sp macro="" textlink="">
      <xdr:nvSpPr>
        <xdr:cNvPr id="8" name="Rounded Rectangle 7">
          <a:hlinkClick xmlns:r="http://schemas.openxmlformats.org/officeDocument/2006/relationships" r:id="rId6"/>
        </xdr:cNvPr>
        <xdr:cNvSpPr/>
      </xdr:nvSpPr>
      <xdr:spPr>
        <a:xfrm>
          <a:off x="3336902" y="43578"/>
          <a:ext cx="1443922" cy="25973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3</xdr:col>
      <xdr:colOff>212225</xdr:colOff>
      <xdr:row>0</xdr:row>
      <xdr:rowOff>43578</xdr:rowOff>
    </xdr:from>
    <xdr:to>
      <xdr:col>4</xdr:col>
      <xdr:colOff>442550</xdr:colOff>
      <xdr:row>1</xdr:row>
      <xdr:rowOff>23167</xdr:rowOff>
    </xdr:to>
    <xdr:sp macro="" textlink="">
      <xdr:nvSpPr>
        <xdr:cNvPr id="9" name="Rounded Rectangle 8">
          <a:hlinkClick xmlns:r="http://schemas.openxmlformats.org/officeDocument/2006/relationships" r:id="rId7"/>
        </xdr:cNvPr>
        <xdr:cNvSpPr/>
      </xdr:nvSpPr>
      <xdr:spPr>
        <a:xfrm>
          <a:off x="4952313" y="43578"/>
          <a:ext cx="1507796" cy="25973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16</xdr:col>
      <xdr:colOff>504825</xdr:colOff>
      <xdr:row>14</xdr:row>
      <xdr:rowOff>0</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104738</xdr:colOff>
      <xdr:row>6</xdr:row>
      <xdr:rowOff>20305</xdr:rowOff>
    </xdr:from>
    <xdr:to>
      <xdr:col>5</xdr:col>
      <xdr:colOff>15306</xdr:colOff>
      <xdr:row>11</xdr:row>
      <xdr:rowOff>98639</xdr:rowOff>
    </xdr:to>
    <xdr:grpSp>
      <xdr:nvGrpSpPr>
        <xdr:cNvPr id="2" name="Group 1"/>
        <xdr:cNvGrpSpPr/>
      </xdr:nvGrpSpPr>
      <xdr:grpSpPr>
        <a:xfrm>
          <a:off x="76163" y="1140893"/>
          <a:ext cx="3872408" cy="862746"/>
          <a:chOff x="15065416" y="1681076"/>
          <a:chExt cx="2498964" cy="813877"/>
        </a:xfrm>
      </xdr:grpSpPr>
      <xdr:grpSp>
        <xdr:nvGrpSpPr>
          <xdr:cNvPr id="3" name="Group 2"/>
          <xdr:cNvGrpSpPr/>
        </xdr:nvGrpSpPr>
        <xdr:grpSpPr>
          <a:xfrm>
            <a:off x="15065416" y="2093370"/>
            <a:ext cx="2498964" cy="401583"/>
            <a:chOff x="3977473" y="11269984"/>
            <a:chExt cx="1399822" cy="231681"/>
          </a:xfrm>
          <a:effectLst>
            <a:outerShdw blurRad="63500" sx="102000" sy="102000" algn="ctr" rotWithShape="0">
              <a:prstClr val="black">
                <a:alpha val="40000"/>
              </a:prstClr>
            </a:outerShdw>
          </a:effectLst>
        </xdr:grpSpPr>
        <xdr:sp macro="" textlink="">
          <xdr:nvSpPr>
            <xdr:cNvPr id="4" name="Rectangle 3"/>
            <xdr:cNvSpPr/>
          </xdr:nvSpPr>
          <xdr:spPr>
            <a:xfrm>
              <a:off x="3988722" y="11300453"/>
              <a:ext cx="766298"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77473" y="11269984"/>
              <a:ext cx="781372" cy="23168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D$42">
          <xdr:nvSpPr>
            <xdr:cNvPr id="6" name="Rectangle 5"/>
            <xdr:cNvSpPr/>
          </xdr:nvSpPr>
          <xdr:spPr>
            <a:xfrm>
              <a:off x="4764600" y="11296634"/>
              <a:ext cx="61269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50412A58-192A-471B-BB97-8A951D7DFE16}" type="TxLink">
                <a:rPr lang="en-US" sz="1800" b="1">
                  <a:latin typeface="+mn-lt"/>
                </a:rPr>
                <a:pPr algn="ctr"/>
                <a:t> 99,028 </a:t>
              </a:fld>
              <a:endParaRPr lang="en-US" sz="1800" b="1">
                <a:latin typeface="+mn-lt"/>
              </a:endParaRPr>
            </a:p>
          </xdr:txBody>
        </xdr:sp>
      </xdr:grpSp>
      <xdr:grpSp>
        <xdr:nvGrpSpPr>
          <xdr:cNvPr id="15" name="Group 14"/>
          <xdr:cNvGrpSpPr/>
        </xdr:nvGrpSpPr>
        <xdr:grpSpPr>
          <a:xfrm>
            <a:off x="15085240" y="1681076"/>
            <a:ext cx="2474309" cy="454426"/>
            <a:chOff x="3988722" y="11269189"/>
            <a:chExt cx="1398677" cy="224198"/>
          </a:xfrm>
          <a:effectLst>
            <a:outerShdw blurRad="63500" sx="102000" sy="102000" algn="ctr" rotWithShape="0">
              <a:prstClr val="black">
                <a:alpha val="40000"/>
              </a:prstClr>
            </a:outerShdw>
          </a:effectLst>
        </xdr:grpSpPr>
        <xdr:sp macro="" textlink="$E$42">
          <xdr:nvSpPr>
            <xdr:cNvPr id="16" name="Rectangle 15"/>
            <xdr:cNvSpPr/>
          </xdr:nvSpPr>
          <xdr:spPr>
            <a:xfrm>
              <a:off x="4776648" y="11296623"/>
              <a:ext cx="61075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555A21FF-3166-4546-AE99-55E11AE0837A}" type="TxLink">
                <a:rPr lang="en-US" sz="1800" b="1">
                  <a:latin typeface="+mn-lt"/>
                </a:rPr>
                <a:pPr algn="ctr"/>
                <a:t> 188 </a:t>
              </a:fld>
              <a:endParaRPr lang="en-US" sz="1800" b="1">
                <a:latin typeface="+mn-lt"/>
              </a:endParaRPr>
            </a:p>
          </xdr:txBody>
        </xdr:sp>
        <xdr:sp macro="" textlink="">
          <xdr:nvSpPr>
            <xdr:cNvPr id="17" name="Rectangle 16"/>
            <xdr:cNvSpPr/>
          </xdr:nvSpPr>
          <xdr:spPr>
            <a:xfrm>
              <a:off x="3988722" y="11300449"/>
              <a:ext cx="773400"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8" name="TextBox 17"/>
            <xdr:cNvSpPr txBox="1"/>
          </xdr:nvSpPr>
          <xdr:spPr>
            <a:xfrm>
              <a:off x="3989053" y="11269189"/>
              <a:ext cx="773069" cy="2241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 of IDP</a:t>
              </a:r>
              <a:r>
                <a:rPr lang="en-GB" sz="1100" b="1" baseline="0">
                  <a:solidFill>
                    <a:schemeClr val="dk1"/>
                  </a:solidFill>
                  <a:effectLst/>
                  <a:latin typeface="+mn-lt"/>
                  <a:ea typeface="+mn-ea"/>
                  <a:cs typeface="Calibri" pitchFamily="34" charset="0"/>
                </a:rPr>
                <a:t> Locations </a:t>
              </a:r>
              <a:r>
                <a:rPr lang="en-GB" sz="1100" b="1">
                  <a:solidFill>
                    <a:schemeClr val="dk1"/>
                  </a:solidFill>
                  <a:effectLst/>
                  <a:latin typeface="+mn-lt"/>
                  <a:ea typeface="+mn-ea"/>
                  <a:cs typeface="Calibri" pitchFamily="34" charset="0"/>
                </a:rPr>
                <a:t>(host families &amp; Camps)</a:t>
              </a:r>
              <a:endParaRPr lang="en-GB" sz="1100" b="1">
                <a:effectLst/>
                <a:latin typeface="+mn-lt"/>
                <a:cs typeface="Calibri" pitchFamily="34" charset="0"/>
              </a:endParaRPr>
            </a:p>
          </xdr:txBody>
        </xdr:sp>
      </xdr:grpSp>
    </xdr:grpSp>
    <xdr:clientData/>
  </xdr:twoCellAnchor>
  <xdr:twoCellAnchor>
    <xdr:from>
      <xdr:col>0</xdr:col>
      <xdr:colOff>0</xdr:colOff>
      <xdr:row>49</xdr:row>
      <xdr:rowOff>93498</xdr:rowOff>
    </xdr:from>
    <xdr:to>
      <xdr:col>18</xdr:col>
      <xdr:colOff>58615</xdr:colOff>
      <xdr:row>49</xdr:row>
      <xdr:rowOff>93498</xdr:rowOff>
    </xdr:to>
    <xdr:sp macro="" textlink="">
      <xdr:nvSpPr>
        <xdr:cNvPr id="13" name="Line 2"/>
        <xdr:cNvSpPr>
          <a:spLocks noChangeShapeType="1"/>
        </xdr:cNvSpPr>
      </xdr:nvSpPr>
      <xdr:spPr bwMode="auto">
        <a:xfrm>
          <a:off x="0" y="9025017"/>
          <a:ext cx="12250615" cy="0"/>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103787</xdr:colOff>
      <xdr:row>50</xdr:row>
      <xdr:rowOff>65072</xdr:rowOff>
    </xdr:from>
    <xdr:to>
      <xdr:col>9</xdr:col>
      <xdr:colOff>443237</xdr:colOff>
      <xdr:row>51</xdr:row>
      <xdr:rowOff>0</xdr:rowOff>
    </xdr:to>
    <xdr:sp macro="" textlink="">
      <xdr:nvSpPr>
        <xdr:cNvPr id="20" name="TextBox 19"/>
        <xdr:cNvSpPr txBox="1"/>
      </xdr:nvSpPr>
      <xdr:spPr>
        <a:xfrm>
          <a:off x="182228" y="9063396"/>
          <a:ext cx="6670774" cy="215075"/>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  &amp; other humanitarian organizations</a:t>
          </a:r>
          <a:endParaRPr lang="en-GB" sz="1000">
            <a:latin typeface="Franklin Gothic Book" pitchFamily="34" charset="0"/>
          </a:endParaRPr>
        </a:p>
      </xdr:txBody>
    </xdr:sp>
    <xdr:clientData/>
  </xdr:twoCellAnchor>
  <xdr:twoCellAnchor>
    <xdr:from>
      <xdr:col>9</xdr:col>
      <xdr:colOff>433869</xdr:colOff>
      <xdr:row>50</xdr:row>
      <xdr:rowOff>46541</xdr:rowOff>
    </xdr:from>
    <xdr:to>
      <xdr:col>17</xdr:col>
      <xdr:colOff>251321</xdr:colOff>
      <xdr:row>50</xdr:row>
      <xdr:rowOff>269454</xdr:rowOff>
    </xdr:to>
    <xdr:sp macro="" textlink="">
      <xdr:nvSpPr>
        <xdr:cNvPr id="21" name="TextBox 20"/>
        <xdr:cNvSpPr txBox="1">
          <a:spLocks/>
        </xdr:cNvSpPr>
      </xdr:nvSpPr>
      <xdr:spPr>
        <a:xfrm>
          <a:off x="6843634" y="9044865"/>
          <a:ext cx="3829158" cy="222913"/>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ctr">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clientData/>
  </xdr:twoCellAnchor>
  <xdr:twoCellAnchor>
    <xdr:from>
      <xdr:col>17</xdr:col>
      <xdr:colOff>242404</xdr:colOff>
      <xdr:row>50</xdr:row>
      <xdr:rowOff>59918</xdr:rowOff>
    </xdr:from>
    <xdr:to>
      <xdr:col>17</xdr:col>
      <xdr:colOff>1669544</xdr:colOff>
      <xdr:row>50</xdr:row>
      <xdr:rowOff>250673</xdr:rowOff>
    </xdr:to>
    <xdr:sp macro="" textlink="">
      <xdr:nvSpPr>
        <xdr:cNvPr id="22" name="TextBox 21"/>
        <xdr:cNvSpPr txBox="1"/>
      </xdr:nvSpPr>
      <xdr:spPr>
        <a:xfrm>
          <a:off x="10692690" y="9598525"/>
          <a:ext cx="1427140" cy="190755"/>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clientData/>
  </xdr:twoCellAnchor>
  <xdr:twoCellAnchor>
    <xdr:from>
      <xdr:col>11</xdr:col>
      <xdr:colOff>313207</xdr:colOff>
      <xdr:row>4</xdr:row>
      <xdr:rowOff>0</xdr:rowOff>
    </xdr:from>
    <xdr:to>
      <xdr:col>17</xdr:col>
      <xdr:colOff>1723631</xdr:colOff>
      <xdr:row>5</xdr:row>
      <xdr:rowOff>224118</xdr:rowOff>
    </xdr:to>
    <xdr:grpSp>
      <xdr:nvGrpSpPr>
        <xdr:cNvPr id="223" name="Group 222"/>
        <xdr:cNvGrpSpPr/>
      </xdr:nvGrpSpPr>
      <xdr:grpSpPr>
        <a:xfrm>
          <a:off x="7787531" y="571500"/>
          <a:ext cx="4357571" cy="515471"/>
          <a:chOff x="6500812" y="317500"/>
          <a:chExt cx="6186806" cy="575469"/>
        </a:xfrm>
      </xdr:grpSpPr>
      <xdr:pic>
        <xdr:nvPicPr>
          <xdr:cNvPr id="224" name="Picture 22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13</xdr:col>
      <xdr:colOff>121020</xdr:colOff>
      <xdr:row>42</xdr:row>
      <xdr:rowOff>78441</xdr:rowOff>
    </xdr:from>
    <xdr:to>
      <xdr:col>17</xdr:col>
      <xdr:colOff>1746248</xdr:colOff>
      <xdr:row>48</xdr:row>
      <xdr:rowOff>168087</xdr:rowOff>
    </xdr:to>
    <xdr:sp macro="" textlink="">
      <xdr:nvSpPr>
        <xdr:cNvPr id="8" name="Rounded Rectangle 7"/>
        <xdr:cNvSpPr/>
      </xdr:nvSpPr>
      <xdr:spPr>
        <a:xfrm>
          <a:off x="8592667" y="7295029"/>
          <a:ext cx="3575052" cy="1389529"/>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43%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5</xdr:col>
      <xdr:colOff>473389</xdr:colOff>
      <xdr:row>14</xdr:row>
      <xdr:rowOff>44789</xdr:rowOff>
    </xdr:from>
    <xdr:to>
      <xdr:col>11</xdr:col>
      <xdr:colOff>600634</xdr:colOff>
      <xdr:row>30</xdr:row>
      <xdr:rowOff>71719</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211452</xdr:colOff>
      <xdr:row>2</xdr:row>
      <xdr:rowOff>21166</xdr:rowOff>
    </xdr:from>
    <xdr:to>
      <xdr:col>15</xdr:col>
      <xdr:colOff>22030</xdr:colOff>
      <xdr:row>3</xdr:row>
      <xdr:rowOff>755</xdr:rowOff>
    </xdr:to>
    <xdr:sp macro="" textlink="">
      <xdr:nvSpPr>
        <xdr:cNvPr id="27" name="Rounded Rectangle 26">
          <a:hlinkClick xmlns:r="http://schemas.openxmlformats.org/officeDocument/2006/relationships" r:id="rId4"/>
        </xdr:cNvPr>
        <xdr:cNvSpPr/>
      </xdr:nvSpPr>
      <xdr:spPr>
        <a:xfrm>
          <a:off x="8307702" y="292262"/>
          <a:ext cx="1444482"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1</xdr:col>
      <xdr:colOff>67236</xdr:colOff>
      <xdr:row>2</xdr:row>
      <xdr:rowOff>33262</xdr:rowOff>
    </xdr:from>
    <xdr:to>
      <xdr:col>3</xdr:col>
      <xdr:colOff>211836</xdr:colOff>
      <xdr:row>3</xdr:row>
      <xdr:rowOff>3326</xdr:rowOff>
    </xdr:to>
    <xdr:sp macro="" textlink="">
      <xdr:nvSpPr>
        <xdr:cNvPr id="28" name="Rounded Rectangle 27">
          <a:hlinkClick xmlns:r="http://schemas.openxmlformats.org/officeDocument/2006/relationships" r:id="rId5"/>
        </xdr:cNvPr>
        <xdr:cNvSpPr/>
      </xdr:nvSpPr>
      <xdr:spPr>
        <a:xfrm>
          <a:off x="145677" y="313409"/>
          <a:ext cx="2206483" cy="35106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454282</xdr:colOff>
      <xdr:row>2</xdr:row>
      <xdr:rowOff>21166</xdr:rowOff>
    </xdr:from>
    <xdr:to>
      <xdr:col>5</xdr:col>
      <xdr:colOff>303607</xdr:colOff>
      <xdr:row>3</xdr:row>
      <xdr:rowOff>755</xdr:rowOff>
    </xdr:to>
    <xdr:sp macro="" textlink="">
      <xdr:nvSpPr>
        <xdr:cNvPr id="29" name="Rounded Rectangle 28">
          <a:hlinkClick xmlns:r="http://schemas.openxmlformats.org/officeDocument/2006/relationships" r:id="rId6"/>
        </xdr:cNvPr>
        <xdr:cNvSpPr/>
      </xdr:nvSpPr>
      <xdr:spPr>
        <a:xfrm>
          <a:off x="2579090" y="292262"/>
          <a:ext cx="1637094"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6</xdr:col>
      <xdr:colOff>155756</xdr:colOff>
      <xdr:row>2</xdr:row>
      <xdr:rowOff>21166</xdr:rowOff>
    </xdr:from>
    <xdr:to>
      <xdr:col>9</xdr:col>
      <xdr:colOff>102528</xdr:colOff>
      <xdr:row>3</xdr:row>
      <xdr:rowOff>755</xdr:rowOff>
    </xdr:to>
    <xdr:sp macro="" textlink="">
      <xdr:nvSpPr>
        <xdr:cNvPr id="32" name="Rounded Rectangle 31">
          <a:hlinkClick xmlns:r="http://schemas.openxmlformats.org/officeDocument/2006/relationships" r:id="rId7"/>
        </xdr:cNvPr>
        <xdr:cNvSpPr/>
      </xdr:nvSpPr>
      <xdr:spPr>
        <a:xfrm>
          <a:off x="4456660" y="292262"/>
          <a:ext cx="2034945"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9</xdr:col>
      <xdr:colOff>342111</xdr:colOff>
      <xdr:row>2</xdr:row>
      <xdr:rowOff>21166</xdr:rowOff>
    </xdr:from>
    <xdr:to>
      <xdr:col>11</xdr:col>
      <xdr:colOff>620819</xdr:colOff>
      <xdr:row>3</xdr:row>
      <xdr:rowOff>755</xdr:rowOff>
    </xdr:to>
    <xdr:sp macro="" textlink="">
      <xdr:nvSpPr>
        <xdr:cNvPr id="33" name="Rounded Rectangle 32">
          <a:hlinkClick xmlns:r="http://schemas.openxmlformats.org/officeDocument/2006/relationships" r:id="rId8"/>
        </xdr:cNvPr>
        <xdr:cNvSpPr/>
      </xdr:nvSpPr>
      <xdr:spPr>
        <a:xfrm>
          <a:off x="6731188" y="292262"/>
          <a:ext cx="1341112"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9</xdr:col>
      <xdr:colOff>161365</xdr:colOff>
      <xdr:row>37</xdr:row>
      <xdr:rowOff>170318</xdr:rowOff>
    </xdr:from>
    <xdr:to>
      <xdr:col>12</xdr:col>
      <xdr:colOff>0</xdr:colOff>
      <xdr:row>48</xdr:row>
      <xdr:rowOff>206182</xdr:rowOff>
    </xdr:to>
    <xdr:sp macro="" textlink="">
      <xdr:nvSpPr>
        <xdr:cNvPr id="36" name="Rounded Rectangle 35"/>
        <xdr:cNvSpPr/>
      </xdr:nvSpPr>
      <xdr:spPr>
        <a:xfrm>
          <a:off x="5997389" y="6920742"/>
          <a:ext cx="1559858" cy="2034993"/>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a:t>
          </a:r>
          <a:r>
            <a:rPr lang="en-US" sz="1100" baseline="0">
              <a:solidFill>
                <a:sysClr val="windowText" lastClr="000000"/>
              </a:solidFill>
              <a:effectLst/>
              <a:latin typeface="+mn-lt"/>
              <a:ea typeface="+mn-ea"/>
              <a:cs typeface="+mn-cs"/>
            </a:rPr>
            <a:t> majority of IDP locations are in or near (less than 5km) urban areas.</a:t>
          </a:r>
          <a:endParaRPr lang="en-US" sz="1100">
            <a:solidFill>
              <a:sysClr val="windowText" lastClr="000000"/>
            </a:solidFill>
            <a:effectLst/>
            <a:latin typeface="+mn-lt"/>
            <a:ea typeface="+mn-ea"/>
            <a:cs typeface="+mn-cs"/>
          </a:endParaRPr>
        </a:p>
      </xdr:txBody>
    </xdr:sp>
    <xdr:clientData/>
  </xdr:twoCellAnchor>
  <xdr:twoCellAnchor>
    <xdr:from>
      <xdr:col>6</xdr:col>
      <xdr:colOff>121540</xdr:colOff>
      <xdr:row>14</xdr:row>
      <xdr:rowOff>102491</xdr:rowOff>
    </xdr:from>
    <xdr:to>
      <xdr:col>11</xdr:col>
      <xdr:colOff>654424</xdr:colOff>
      <xdr:row>16</xdr:row>
      <xdr:rowOff>6119</xdr:rowOff>
    </xdr:to>
    <xdr:sp macro="" textlink="">
      <xdr:nvSpPr>
        <xdr:cNvPr id="39" name="Rounded Rectangle 38"/>
        <xdr:cNvSpPr/>
      </xdr:nvSpPr>
      <xdr:spPr>
        <a:xfrm>
          <a:off x="4048081" y="2594679"/>
          <a:ext cx="3500202" cy="271181"/>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 of camps by size of population in different townships</a:t>
          </a:r>
        </a:p>
      </xdr:txBody>
    </xdr:sp>
    <xdr:clientData/>
  </xdr:twoCellAnchor>
  <xdr:twoCellAnchor>
    <xdr:from>
      <xdr:col>5</xdr:col>
      <xdr:colOff>502870</xdr:colOff>
      <xdr:row>30</xdr:row>
      <xdr:rowOff>116539</xdr:rowOff>
    </xdr:from>
    <xdr:to>
      <xdr:col>11</xdr:col>
      <xdr:colOff>663387</xdr:colOff>
      <xdr:row>31</xdr:row>
      <xdr:rowOff>179293</xdr:rowOff>
    </xdr:to>
    <xdr:sp macro="" textlink="">
      <xdr:nvSpPr>
        <xdr:cNvPr id="40" name="Rounded Rectangle 39"/>
        <xdr:cNvSpPr/>
      </xdr:nvSpPr>
      <xdr:spPr>
        <a:xfrm>
          <a:off x="4563882" y="5289174"/>
          <a:ext cx="3647787" cy="242048"/>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Size of Locations</a:t>
          </a:r>
        </a:p>
      </xdr:txBody>
    </xdr:sp>
    <xdr:clientData/>
  </xdr:twoCellAnchor>
  <xdr:twoCellAnchor>
    <xdr:from>
      <xdr:col>12</xdr:col>
      <xdr:colOff>80840</xdr:colOff>
      <xdr:row>6</xdr:row>
      <xdr:rowOff>122464</xdr:rowOff>
    </xdr:from>
    <xdr:to>
      <xdr:col>17</xdr:col>
      <xdr:colOff>1755320</xdr:colOff>
      <xdr:row>9</xdr:row>
      <xdr:rowOff>149678</xdr:rowOff>
    </xdr:to>
    <xdr:sp macro="" textlink="">
      <xdr:nvSpPr>
        <xdr:cNvPr id="35" name="TextBox 1"/>
        <xdr:cNvSpPr txBox="1">
          <a:spLocks/>
        </xdr:cNvSpPr>
      </xdr:nvSpPr>
      <xdr:spPr>
        <a:xfrm>
          <a:off x="8231519" y="1238250"/>
          <a:ext cx="3974087" cy="476249"/>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50" b="1" baseline="0">
              <a:latin typeface="+mn-lt"/>
            </a:rPr>
            <a:t>Kachin and Northern Shan</a:t>
          </a:r>
        </a:p>
        <a:p>
          <a:pPr algn="ctr"/>
          <a:r>
            <a:rPr lang="en-GB" sz="1050" b="1" baseline="0">
              <a:latin typeface="+mn-lt"/>
            </a:rPr>
            <a:t># of IDPs by Towship</a:t>
          </a:r>
          <a:endParaRPr lang="en-GB" sz="1050" b="1">
            <a:latin typeface="+mn-lt"/>
          </a:endParaRPr>
        </a:p>
      </xdr:txBody>
    </xdr:sp>
    <xdr:clientData/>
  </xdr:twoCellAnchor>
  <xdr:twoCellAnchor editAs="oneCell">
    <xdr:from>
      <xdr:col>12</xdr:col>
      <xdr:colOff>46741</xdr:colOff>
      <xdr:row>11</xdr:row>
      <xdr:rowOff>33181</xdr:rowOff>
    </xdr:from>
    <xdr:to>
      <xdr:col>18</xdr:col>
      <xdr:colOff>7694</xdr:colOff>
      <xdr:row>41</xdr:row>
      <xdr:rowOff>149678</xdr:rowOff>
    </xdr:to>
    <xdr:pic>
      <xdr:nvPicPr>
        <xdr:cNvPr id="49" name="Picture 48"/>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97420" y="1897360"/>
          <a:ext cx="4029488" cy="53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503023</xdr:colOff>
      <xdr:row>36</xdr:row>
      <xdr:rowOff>61243</xdr:rowOff>
    </xdr:from>
    <xdr:to>
      <xdr:col>12</xdr:col>
      <xdr:colOff>38417</xdr:colOff>
      <xdr:row>37</xdr:row>
      <xdr:rowOff>152380</xdr:rowOff>
    </xdr:to>
    <xdr:sp macro="" textlink="">
      <xdr:nvSpPr>
        <xdr:cNvPr id="44" name="Rounded Rectangle 43"/>
        <xdr:cNvSpPr/>
      </xdr:nvSpPr>
      <xdr:spPr>
        <a:xfrm>
          <a:off x="3918576" y="6632372"/>
          <a:ext cx="3677088" cy="270432"/>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Distance</a:t>
          </a:r>
          <a:r>
            <a:rPr lang="en-US" sz="1000" b="1" baseline="0">
              <a:solidFill>
                <a:sysClr val="windowText" lastClr="000000"/>
              </a:solidFill>
              <a:effectLst/>
              <a:latin typeface="+mn-lt"/>
              <a:ea typeface="+mn-ea"/>
              <a:cs typeface="+mn-cs"/>
            </a:rPr>
            <a:t> to the nearest town</a:t>
          </a:r>
          <a:endParaRPr lang="en-US" sz="1000" b="1">
            <a:solidFill>
              <a:sysClr val="windowText" lastClr="000000"/>
            </a:solidFill>
            <a:effectLst/>
            <a:latin typeface="+mn-lt"/>
            <a:ea typeface="+mn-ea"/>
            <a:cs typeface="+mn-cs"/>
          </a:endParaRPr>
        </a:p>
      </xdr:txBody>
    </xdr:sp>
    <xdr:clientData/>
  </xdr:twoCellAnchor>
  <xdr:twoCellAnchor>
    <xdr:from>
      <xdr:col>6</xdr:col>
      <xdr:colOff>116543</xdr:colOff>
      <xdr:row>6</xdr:row>
      <xdr:rowOff>17929</xdr:rowOff>
    </xdr:from>
    <xdr:to>
      <xdr:col>11</xdr:col>
      <xdr:colOff>618565</xdr:colOff>
      <xdr:row>13</xdr:row>
      <xdr:rowOff>170330</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c:userShapes xmlns:c="http://schemas.openxmlformats.org/drawingml/2006/chart">
  <cdr:absSizeAnchor xmlns:cdr="http://schemas.openxmlformats.org/drawingml/2006/chartDrawing">
    <cdr:from>
      <cdr:x>0.25169</cdr:x>
      <cdr:y>0.03162</cdr:y>
    </cdr:from>
    <cdr:ext cx="1891241" cy="88087"/>
    <cdr:sp macro="" textlink="">
      <cdr:nvSpPr>
        <cdr:cNvPr id="4" name="TextBox 3"/>
        <cdr:cNvSpPr txBox="1">
          <a:spLocks xmlns:a="http://schemas.openxmlformats.org/drawingml/2006/main"/>
        </cdr:cNvSpPr>
      </cdr:nvSpPr>
      <cdr:spPr>
        <a:xfrm xmlns:a="http://schemas.openxmlformats.org/drawingml/2006/main">
          <a:off x="918883" y="37774"/>
          <a:ext cx="1891241" cy="8808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000" baseline="0">
              <a:latin typeface="Franklin Gothic Medium Cond" pitchFamily="34" charset="0"/>
            </a:rPr>
            <a:t>IDP Camp Sizes by %</a:t>
          </a:r>
          <a:endParaRPr lang="en-GB" sz="1000">
            <a:latin typeface="Franklin Gothic Medium Cond" pitchFamily="34" charset="0"/>
          </a:endParaRPr>
        </a:p>
      </cdr:txBody>
    </cdr:sp>
  </cdr:absSizeAnchor>
</c:userShapes>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136525</xdr:colOff>
      <xdr:row>38</xdr:row>
      <xdr:rowOff>29333</xdr:rowOff>
    </xdr:to>
    <xdr:pic>
      <xdr:nvPicPr>
        <xdr:cNvPr id="9" name="Kachin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85000" cy="9078083"/>
        </a:xfrm>
        <a:prstGeom prst="rect">
          <a:avLst/>
        </a:prstGeom>
        <a:ln>
          <a:solidFill>
            <a:srgbClr val="C00000"/>
          </a:solidFill>
        </a:ln>
      </xdr:spPr>
    </xdr:pic>
    <xdr:clientData/>
  </xdr:twoCellAnchor>
  <xdr:twoCellAnchor>
    <xdr:from>
      <xdr:col>33</xdr:col>
      <xdr:colOff>752908</xdr:colOff>
      <xdr:row>0</xdr:row>
      <xdr:rowOff>132306</xdr:rowOff>
    </xdr:from>
    <xdr:to>
      <xdr:col>37</xdr:col>
      <xdr:colOff>326930</xdr:colOff>
      <xdr:row>6</xdr:row>
      <xdr:rowOff>4045</xdr:rowOff>
    </xdr:to>
    <xdr:grpSp>
      <xdr:nvGrpSpPr>
        <xdr:cNvPr id="3" name="Group 2"/>
        <xdr:cNvGrpSpPr/>
      </xdr:nvGrpSpPr>
      <xdr:grpSpPr>
        <a:xfrm>
          <a:off x="26660908" y="132306"/>
          <a:ext cx="3536422" cy="133477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133350</xdr:rowOff>
        </xdr:from>
        <xdr:to>
          <xdr:col>18</xdr:col>
          <xdr:colOff>1419225</xdr:colOff>
          <xdr:row>5</xdr:row>
          <xdr:rowOff>47625</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24</xdr:row>
      <xdr:rowOff>26908</xdr:rowOff>
    </xdr:from>
    <xdr:to>
      <xdr:col>18</xdr:col>
      <xdr:colOff>2151413</xdr:colOff>
      <xdr:row>25</xdr:row>
      <xdr:rowOff>169783</xdr:rowOff>
    </xdr:to>
    <xdr:grpSp>
      <xdr:nvGrpSpPr>
        <xdr:cNvPr id="10" name="Location"/>
        <xdr:cNvGrpSpPr/>
      </xdr:nvGrpSpPr>
      <xdr:grpSpPr>
        <a:xfrm>
          <a:off x="10177813" y="5879068"/>
          <a:ext cx="1270000" cy="38671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0</xdr:col>
      <xdr:colOff>170393</xdr:colOff>
      <xdr:row>0</xdr:row>
      <xdr:rowOff>154517</xdr:rowOff>
    </xdr:from>
    <xdr:to>
      <xdr:col>2</xdr:col>
      <xdr:colOff>513293</xdr:colOff>
      <xdr:row>6</xdr:row>
      <xdr:rowOff>87842</xdr:rowOff>
    </xdr:to>
    <xdr:grpSp>
      <xdr:nvGrpSpPr>
        <xdr:cNvPr id="7" name="Group 6"/>
        <xdr:cNvGrpSpPr/>
      </xdr:nvGrpSpPr>
      <xdr:grpSpPr>
        <a:xfrm>
          <a:off x="170393" y="154517"/>
          <a:ext cx="2065020" cy="139636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6" name="Label 4"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3</xdr:col>
      <xdr:colOff>60325</xdr:colOff>
      <xdr:row>26</xdr:row>
      <xdr:rowOff>102235</xdr:rowOff>
    </xdr:from>
    <xdr:to>
      <xdr:col>5</xdr:col>
      <xdr:colOff>120650</xdr:colOff>
      <xdr:row>29</xdr:row>
      <xdr:rowOff>158426</xdr:rowOff>
    </xdr:to>
    <xdr:grpSp>
      <xdr:nvGrpSpPr>
        <xdr:cNvPr id="294" name="Bhamo_G"/>
        <xdr:cNvGrpSpPr/>
      </xdr:nvGrpSpPr>
      <xdr:grpSpPr>
        <a:xfrm>
          <a:off x="2376805" y="6442075"/>
          <a:ext cx="1310005" cy="787711"/>
          <a:chOff x="12380951" y="1658202"/>
          <a:chExt cx="1893717" cy="2381154"/>
        </a:xfrm>
      </xdr:grpSpPr>
      <xdr:sp macro="" textlink="">
        <xdr:nvSpPr>
          <xdr:cNvPr id="295" name="Oval"/>
          <xdr:cNvSpPr/>
        </xdr:nvSpPr>
        <xdr:spPr>
          <a:xfrm>
            <a:off x="13054955" y="2287380"/>
            <a:ext cx="545709" cy="112279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296"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273BA99-35D0-4BB9-8F42-CC06738440F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8,129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297"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C42A23B-2DF2-4863-8133-53944486F123}"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3">
        <xdr:nvSpPr>
          <xdr:cNvPr id="298"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799850D-7B89-4F18-806B-B80FE2056D55}"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99" name="Cluster"/>
          <xdr:cNvGrpSpPr/>
        </xdr:nvGrpSpPr>
        <xdr:grpSpPr>
          <a:xfrm>
            <a:off x="12477748" y="2348604"/>
            <a:ext cx="1732609" cy="380242"/>
            <a:chOff x="12477748" y="2348604"/>
            <a:chExt cx="1732609" cy="380242"/>
          </a:xfrm>
        </xdr:grpSpPr>
        <xdr:grpSp>
          <xdr:nvGrpSpPr>
            <xdr:cNvPr id="300" name="Shelter_G"/>
            <xdr:cNvGrpSpPr/>
          </xdr:nvGrpSpPr>
          <xdr:grpSpPr>
            <a:xfrm>
              <a:off x="12477748" y="2367654"/>
              <a:ext cx="332972" cy="361192"/>
              <a:chOff x="8585625" y="4782769"/>
              <a:chExt cx="147154" cy="166659"/>
            </a:xfrm>
          </xdr:grpSpPr>
          <xdr:pic>
            <xdr:nvPicPr>
              <xdr:cNvPr id="30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0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01" name="NFI_G"/>
            <xdr:cNvGrpSpPr/>
          </xdr:nvGrpSpPr>
          <xdr:grpSpPr>
            <a:xfrm>
              <a:off x="13877376" y="2348604"/>
              <a:ext cx="332981" cy="361192"/>
              <a:chOff x="8250078" y="5375644"/>
              <a:chExt cx="147158" cy="166659"/>
            </a:xfrm>
          </xdr:grpSpPr>
          <xdr:pic>
            <xdr:nvPicPr>
              <xdr:cNvPr id="30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0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54610</xdr:rowOff>
    </xdr:from>
    <xdr:to>
      <xdr:col>8</xdr:col>
      <xdr:colOff>339725</xdr:colOff>
      <xdr:row>18</xdr:row>
      <xdr:rowOff>110801</xdr:rowOff>
    </xdr:to>
    <xdr:grpSp>
      <xdr:nvGrpSpPr>
        <xdr:cNvPr id="306" name="Chipwi_G"/>
        <xdr:cNvGrpSpPr/>
      </xdr:nvGrpSpPr>
      <xdr:grpSpPr>
        <a:xfrm>
          <a:off x="4436110" y="3712210"/>
          <a:ext cx="1298575" cy="787711"/>
          <a:chOff x="12380951" y="1658202"/>
          <a:chExt cx="1893717" cy="2381154"/>
        </a:xfrm>
      </xdr:grpSpPr>
      <xdr:sp macro="" textlink="">
        <xdr:nvSpPr>
          <xdr:cNvPr id="307" name="Oval"/>
          <xdr:cNvSpPr/>
        </xdr:nvSpPr>
        <xdr:spPr>
          <a:xfrm>
            <a:off x="13176636" y="2537739"/>
            <a:ext cx="302349" cy="62208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308" name="Pop" hidden="1"/>
          <xdr:cNvSpPr txBox="1"/>
        </xdr:nvSpPr>
        <xdr:spPr>
          <a:xfrm>
            <a:off x="12959413" y="1658202"/>
            <a:ext cx="708965"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78EA4B-D679-4915-AB8F-5A3D0489AE7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2,628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309" name="N_Camp" hidden="1"/>
          <xdr:cNvSpPr txBox="1"/>
        </xdr:nvSpPr>
        <xdr:spPr>
          <a:xfrm>
            <a:off x="13337142" y="2423689"/>
            <a:ext cx="83605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F36904A-63C6-4AA7-B666-E490224A523D}"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4">
        <xdr:nvSpPr>
          <xdr:cNvPr id="310"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D6F3DDB-E7D0-4E0D-A69C-AD2A728D88CF}"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11" name="Cluster"/>
          <xdr:cNvGrpSpPr/>
        </xdr:nvGrpSpPr>
        <xdr:grpSpPr>
          <a:xfrm>
            <a:off x="12477748" y="2348604"/>
            <a:ext cx="1732609" cy="380242"/>
            <a:chOff x="12477748" y="2348604"/>
            <a:chExt cx="1732609" cy="380242"/>
          </a:xfrm>
        </xdr:grpSpPr>
        <xdr:grpSp>
          <xdr:nvGrpSpPr>
            <xdr:cNvPr id="312" name="Shelter_G"/>
            <xdr:cNvGrpSpPr/>
          </xdr:nvGrpSpPr>
          <xdr:grpSpPr>
            <a:xfrm>
              <a:off x="12477748" y="2367654"/>
              <a:ext cx="332972" cy="361192"/>
              <a:chOff x="8585625" y="4782769"/>
              <a:chExt cx="147154" cy="166659"/>
            </a:xfrm>
          </xdr:grpSpPr>
          <xdr:pic>
            <xdr:nvPicPr>
              <xdr:cNvPr id="31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1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13" name="NFI_G"/>
            <xdr:cNvGrpSpPr/>
          </xdr:nvGrpSpPr>
          <xdr:grpSpPr>
            <a:xfrm>
              <a:off x="13877376" y="2348604"/>
              <a:ext cx="332981" cy="361192"/>
              <a:chOff x="8250078" y="5375644"/>
              <a:chExt cx="147158" cy="166659"/>
            </a:xfrm>
          </xdr:grpSpPr>
          <xdr:pic>
            <xdr:nvPicPr>
              <xdr:cNvPr id="31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1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80010</xdr:rowOff>
    </xdr:from>
    <xdr:to>
      <xdr:col>3</xdr:col>
      <xdr:colOff>88900</xdr:colOff>
      <xdr:row>18</xdr:row>
      <xdr:rowOff>136201</xdr:rowOff>
    </xdr:to>
    <xdr:grpSp>
      <xdr:nvGrpSpPr>
        <xdr:cNvPr id="318" name="Hpakant_G"/>
        <xdr:cNvGrpSpPr/>
      </xdr:nvGrpSpPr>
      <xdr:grpSpPr>
        <a:xfrm>
          <a:off x="1087755" y="3737610"/>
          <a:ext cx="1317625" cy="787711"/>
          <a:chOff x="12380951" y="1658202"/>
          <a:chExt cx="1893717" cy="2381154"/>
        </a:xfrm>
      </xdr:grpSpPr>
      <xdr:sp macro="" textlink="">
        <xdr:nvSpPr>
          <xdr:cNvPr id="319" name="Oval"/>
          <xdr:cNvSpPr/>
        </xdr:nvSpPr>
        <xdr:spPr>
          <a:xfrm>
            <a:off x="13148668" y="2480197"/>
            <a:ext cx="358282" cy="73716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320" name="Pop" hidden="1"/>
          <xdr:cNvSpPr txBox="1"/>
        </xdr:nvSpPr>
        <xdr:spPr>
          <a:xfrm>
            <a:off x="12959413" y="1658202"/>
            <a:ext cx="708963"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E2ADA57-BD98-4C51-952F-15622A29B7C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3,766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321"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9666F59-CCC9-4969-A589-D8EDCA998D08}" type="TxLink">
              <a:rPr lang="en-US" sz="1600" b="0" i="0" u="none" strike="noStrike">
                <a:solidFill>
                  <a:srgbClr val="000000"/>
                </a:solidFill>
                <a:latin typeface="Calibri"/>
                <a:cs typeface="Arial" pitchFamily="34" charset="0"/>
              </a:rPr>
              <a:pPr algn="r"/>
              <a:t>26 cps</a:t>
            </a:fld>
            <a:endParaRPr lang="en-US" sz="600" i="1">
              <a:solidFill>
                <a:schemeClr val="tx1"/>
              </a:solidFill>
              <a:latin typeface="Arial" pitchFamily="34" charset="0"/>
              <a:cs typeface="Arial" pitchFamily="34" charset="0"/>
            </a:endParaRPr>
          </a:p>
        </xdr:txBody>
      </xdr:sp>
      <xdr:sp macro="" textlink="U5">
        <xdr:nvSpPr>
          <xdr:cNvPr id="322"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981D535-3090-48D8-8735-6310CA7A62F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23" name="Cluster"/>
          <xdr:cNvGrpSpPr/>
        </xdr:nvGrpSpPr>
        <xdr:grpSpPr>
          <a:xfrm>
            <a:off x="12477748" y="2348604"/>
            <a:ext cx="1732609" cy="380242"/>
            <a:chOff x="12477748" y="2348604"/>
            <a:chExt cx="1732609" cy="380242"/>
          </a:xfrm>
        </xdr:grpSpPr>
        <xdr:grpSp>
          <xdr:nvGrpSpPr>
            <xdr:cNvPr id="324" name="Shelter_G"/>
            <xdr:cNvGrpSpPr/>
          </xdr:nvGrpSpPr>
          <xdr:grpSpPr>
            <a:xfrm>
              <a:off x="12477748" y="2367654"/>
              <a:ext cx="332972" cy="361192"/>
              <a:chOff x="8585625" y="4782769"/>
              <a:chExt cx="147154" cy="166659"/>
            </a:xfrm>
          </xdr:grpSpPr>
          <xdr:pic>
            <xdr:nvPicPr>
              <xdr:cNvPr id="32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2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25" name="NFI_G"/>
            <xdr:cNvGrpSpPr/>
          </xdr:nvGrpSpPr>
          <xdr:grpSpPr>
            <a:xfrm>
              <a:off x="13877376" y="2348604"/>
              <a:ext cx="332981" cy="361192"/>
              <a:chOff x="8250078" y="5375644"/>
              <a:chExt cx="147158" cy="166659"/>
            </a:xfrm>
          </xdr:grpSpPr>
          <xdr:pic>
            <xdr:nvPicPr>
              <xdr:cNvPr id="32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2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533400</xdr:colOff>
      <xdr:row>36</xdr:row>
      <xdr:rowOff>35494</xdr:rowOff>
    </xdr:to>
    <xdr:grpSp>
      <xdr:nvGrpSpPr>
        <xdr:cNvPr id="330" name="Hseni_G"/>
        <xdr:cNvGrpSpPr/>
      </xdr:nvGrpSpPr>
      <xdr:grpSpPr>
        <a:xfrm>
          <a:off x="4039235" y="8176895"/>
          <a:ext cx="1310005" cy="636839"/>
          <a:chOff x="12380951" y="1748589"/>
          <a:chExt cx="1893717" cy="1902836"/>
        </a:xfrm>
      </xdr:grpSpPr>
      <xdr:sp macro="" textlink="">
        <xdr:nvSpPr>
          <xdr:cNvPr id="331" name="Oval"/>
          <xdr:cNvSpPr/>
        </xdr:nvSpPr>
        <xdr:spPr>
          <a:xfrm>
            <a:off x="13256163" y="2552372"/>
            <a:ext cx="143293" cy="2928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332" name="Pop" hidden="1"/>
          <xdr:cNvSpPr txBox="1"/>
        </xdr:nvSpPr>
        <xdr:spPr>
          <a:xfrm>
            <a:off x="12959414" y="2046131"/>
            <a:ext cx="708964" cy="160529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FA05A17-44EA-4A65-984E-CFCA4E4E723D}"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672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333"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98AC4AF-437C-41AF-8C64-E5C8A980E40F}"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6">
        <xdr:nvSpPr>
          <xdr:cNvPr id="334"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E3BB1E8-7AF1-4E4B-8A50-705FC252EE9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35" name="Cluster"/>
          <xdr:cNvGrpSpPr/>
        </xdr:nvGrpSpPr>
        <xdr:grpSpPr>
          <a:xfrm>
            <a:off x="12477748" y="2348604"/>
            <a:ext cx="1732609" cy="380242"/>
            <a:chOff x="12477748" y="2348604"/>
            <a:chExt cx="1732609" cy="380242"/>
          </a:xfrm>
        </xdr:grpSpPr>
        <xdr:grpSp>
          <xdr:nvGrpSpPr>
            <xdr:cNvPr id="336" name="Shelter_G"/>
            <xdr:cNvGrpSpPr/>
          </xdr:nvGrpSpPr>
          <xdr:grpSpPr>
            <a:xfrm>
              <a:off x="12477748" y="2367654"/>
              <a:ext cx="332972" cy="361192"/>
              <a:chOff x="8585625" y="4782769"/>
              <a:chExt cx="147154" cy="166659"/>
            </a:xfrm>
          </xdr:grpSpPr>
          <xdr:pic>
            <xdr:nvPicPr>
              <xdr:cNvPr id="34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4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37" name="NFI_G"/>
            <xdr:cNvGrpSpPr/>
          </xdr:nvGrpSpPr>
          <xdr:grpSpPr>
            <a:xfrm>
              <a:off x="13877376" y="2348604"/>
              <a:ext cx="332981" cy="361192"/>
              <a:chOff x="8250078" y="5375644"/>
              <a:chExt cx="147158" cy="166659"/>
            </a:xfrm>
          </xdr:grpSpPr>
          <xdr:pic>
            <xdr:nvPicPr>
              <xdr:cNvPr id="33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3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13756</xdr:rowOff>
    </xdr:from>
    <xdr:to>
      <xdr:col>7</xdr:col>
      <xdr:colOff>190500</xdr:colOff>
      <xdr:row>15</xdr:row>
      <xdr:rowOff>38231</xdr:rowOff>
    </xdr:to>
    <xdr:grpSp>
      <xdr:nvGrpSpPr>
        <xdr:cNvPr id="342" name="Injangyang_G"/>
        <xdr:cNvGrpSpPr/>
      </xdr:nvGrpSpPr>
      <xdr:grpSpPr>
        <a:xfrm>
          <a:off x="3696335" y="3183676"/>
          <a:ext cx="1310005" cy="512155"/>
          <a:chOff x="12380951" y="1742182"/>
          <a:chExt cx="1893717" cy="1548606"/>
        </a:xfrm>
      </xdr:grpSpPr>
      <xdr:sp macro="" textlink="">
        <xdr:nvSpPr>
          <xdr:cNvPr id="343" name="Oval"/>
          <xdr:cNvSpPr/>
        </xdr:nvSpPr>
        <xdr:spPr>
          <a:xfrm>
            <a:off x="13327810" y="2516484"/>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344" name="Pop" hidden="1"/>
          <xdr:cNvSpPr txBox="1"/>
        </xdr:nvSpPr>
        <xdr:spPr>
          <a:xfrm>
            <a:off x="12959414" y="2415174"/>
            <a:ext cx="708964" cy="86721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154C8BB-DB81-4D26-9446-29926BA608BD}"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345" name="N_Camp" hidden="1"/>
          <xdr:cNvSpPr txBox="1"/>
        </xdr:nvSpPr>
        <xdr:spPr>
          <a:xfrm>
            <a:off x="13337141" y="2423574"/>
            <a:ext cx="836058" cy="867214"/>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5704D7C-F784-4D49-8B35-70ECAD78DDC8}"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7">
        <xdr:nvSpPr>
          <xdr:cNvPr id="346" name="Site"/>
          <xdr:cNvSpPr txBox="1"/>
        </xdr:nvSpPr>
        <xdr:spPr>
          <a:xfrm>
            <a:off x="12380951" y="1742182"/>
            <a:ext cx="1893717" cy="867214"/>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C2DAE86-425B-4532-8937-40A0EC43A17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47" name="Cluster"/>
          <xdr:cNvGrpSpPr/>
        </xdr:nvGrpSpPr>
        <xdr:grpSpPr>
          <a:xfrm>
            <a:off x="12477748" y="2348604"/>
            <a:ext cx="1732609" cy="380242"/>
            <a:chOff x="12477748" y="2348604"/>
            <a:chExt cx="1732609" cy="380242"/>
          </a:xfrm>
        </xdr:grpSpPr>
        <xdr:grpSp>
          <xdr:nvGrpSpPr>
            <xdr:cNvPr id="348" name="Shelter_G"/>
            <xdr:cNvGrpSpPr/>
          </xdr:nvGrpSpPr>
          <xdr:grpSpPr>
            <a:xfrm>
              <a:off x="12477748" y="2367654"/>
              <a:ext cx="332972" cy="361192"/>
              <a:chOff x="8585625" y="4782769"/>
              <a:chExt cx="147154" cy="166659"/>
            </a:xfrm>
          </xdr:grpSpPr>
          <xdr:pic>
            <xdr:nvPicPr>
              <xdr:cNvPr id="35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5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49" name="NFI_G"/>
            <xdr:cNvGrpSpPr/>
          </xdr:nvGrpSpPr>
          <xdr:grpSpPr>
            <a:xfrm>
              <a:off x="13877376" y="2348604"/>
              <a:ext cx="332981" cy="361192"/>
              <a:chOff x="8250078" y="5375644"/>
              <a:chExt cx="147158" cy="166659"/>
            </a:xfrm>
          </xdr:grpSpPr>
          <xdr:pic>
            <xdr:nvPicPr>
              <xdr:cNvPr id="35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5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237490</xdr:colOff>
      <xdr:row>7</xdr:row>
      <xdr:rowOff>32202</xdr:rowOff>
    </xdr:from>
    <xdr:to>
      <xdr:col>8</xdr:col>
      <xdr:colOff>374015</xdr:colOff>
      <xdr:row>9</xdr:row>
      <xdr:rowOff>181885</xdr:rowOff>
    </xdr:to>
    <xdr:grpSp>
      <xdr:nvGrpSpPr>
        <xdr:cNvPr id="354" name="Khaunglanhpu_G"/>
        <xdr:cNvGrpSpPr/>
      </xdr:nvGrpSpPr>
      <xdr:grpSpPr>
        <a:xfrm>
          <a:off x="4489450" y="1739082"/>
          <a:ext cx="1279525" cy="637363"/>
          <a:chOff x="12380951" y="1363461"/>
          <a:chExt cx="1893717" cy="1927365"/>
        </a:xfrm>
      </xdr:grpSpPr>
      <xdr:sp macro="" textlink="">
        <xdr:nvSpPr>
          <xdr:cNvPr id="355" name="Oval"/>
          <xdr:cNvSpPr/>
        </xdr:nvSpPr>
        <xdr:spPr>
          <a:xfrm>
            <a:off x="13315371" y="2304143"/>
            <a:ext cx="24878" cy="5163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356" name="Pop" hidden="1"/>
          <xdr:cNvSpPr txBox="1"/>
        </xdr:nvSpPr>
        <xdr:spPr>
          <a:xfrm>
            <a:off x="12959414" y="2415133"/>
            <a:ext cx="708964" cy="86728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209EFBD-2612-4A2A-93E7-81A834783C7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357" name="N_Camp" hidden="1"/>
          <xdr:cNvSpPr txBox="1"/>
        </xdr:nvSpPr>
        <xdr:spPr>
          <a:xfrm>
            <a:off x="13337142" y="2423537"/>
            <a:ext cx="836058" cy="86728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E3D3C4E-8817-4DE6-B09A-9206B31BDA85}"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8">
        <xdr:nvSpPr>
          <xdr:cNvPr id="358" name="Site"/>
          <xdr:cNvSpPr txBox="1"/>
        </xdr:nvSpPr>
        <xdr:spPr>
          <a:xfrm>
            <a:off x="12380951" y="1363461"/>
            <a:ext cx="1893717" cy="162465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587CE569-387A-4BD7-8936-E7DC52A8737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59" name="Cluster"/>
          <xdr:cNvGrpSpPr/>
        </xdr:nvGrpSpPr>
        <xdr:grpSpPr>
          <a:xfrm>
            <a:off x="12477748" y="2348604"/>
            <a:ext cx="1732609" cy="380242"/>
            <a:chOff x="12477748" y="2348604"/>
            <a:chExt cx="1732609" cy="380242"/>
          </a:xfrm>
        </xdr:grpSpPr>
        <xdr:grpSp>
          <xdr:nvGrpSpPr>
            <xdr:cNvPr id="360" name="Shelter_G"/>
            <xdr:cNvGrpSpPr/>
          </xdr:nvGrpSpPr>
          <xdr:grpSpPr>
            <a:xfrm>
              <a:off x="12477748" y="2367654"/>
              <a:ext cx="332972" cy="361192"/>
              <a:chOff x="8585625" y="4782769"/>
              <a:chExt cx="147154" cy="166659"/>
            </a:xfrm>
          </xdr:grpSpPr>
          <xdr:pic>
            <xdr:nvPicPr>
              <xdr:cNvPr id="36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6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61" name="NFI_G"/>
            <xdr:cNvGrpSpPr/>
          </xdr:nvGrpSpPr>
          <xdr:grpSpPr>
            <a:xfrm>
              <a:off x="13877376" y="2348604"/>
              <a:ext cx="332981" cy="361192"/>
              <a:chOff x="8250078" y="5375644"/>
              <a:chExt cx="147158" cy="166659"/>
            </a:xfrm>
          </xdr:grpSpPr>
          <xdr:pic>
            <xdr:nvPicPr>
              <xdr:cNvPr id="36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6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143510</xdr:rowOff>
    </xdr:from>
    <xdr:to>
      <xdr:col>7</xdr:col>
      <xdr:colOff>533400</xdr:colOff>
      <xdr:row>34</xdr:row>
      <xdr:rowOff>199701</xdr:rowOff>
    </xdr:to>
    <xdr:grpSp>
      <xdr:nvGrpSpPr>
        <xdr:cNvPr id="366" name="Kutkai_G"/>
        <xdr:cNvGrpSpPr/>
      </xdr:nvGrpSpPr>
      <xdr:grpSpPr>
        <a:xfrm>
          <a:off x="4039235" y="7702550"/>
          <a:ext cx="1310005" cy="787711"/>
          <a:chOff x="12380951" y="1658202"/>
          <a:chExt cx="1893717" cy="2381154"/>
        </a:xfrm>
      </xdr:grpSpPr>
      <xdr:sp macro="" textlink="">
        <xdr:nvSpPr>
          <xdr:cNvPr id="367" name="Oval"/>
          <xdr:cNvSpPr/>
        </xdr:nvSpPr>
        <xdr:spPr>
          <a:xfrm>
            <a:off x="13152494" y="2488067"/>
            <a:ext cx="350631" cy="7214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368"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C21CCCB-597E-419F-B643-0A3F40DDAC2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5,032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369"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8D79E92-A487-4336-A586-BF1F75BEA5E8}" type="TxLink">
              <a:rPr lang="en-US" sz="1600" b="0" i="0" u="none" strike="noStrike">
                <a:solidFill>
                  <a:srgbClr val="000000"/>
                </a:solidFill>
                <a:latin typeface="Calibri"/>
                <a:cs typeface="Arial" pitchFamily="34" charset="0"/>
              </a:rPr>
              <a:pPr algn="r"/>
              <a:t>12 cps</a:t>
            </a:fld>
            <a:endParaRPr lang="en-US" sz="600" i="1">
              <a:solidFill>
                <a:schemeClr val="tx1"/>
              </a:solidFill>
              <a:latin typeface="Arial" pitchFamily="34" charset="0"/>
              <a:cs typeface="Arial" pitchFamily="34" charset="0"/>
            </a:endParaRPr>
          </a:p>
        </xdr:txBody>
      </xdr:sp>
      <xdr:sp macro="" textlink="U9">
        <xdr:nvSpPr>
          <xdr:cNvPr id="370"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5C76600-EBC3-44AE-86E9-B08BC527DE6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71" name="Cluster"/>
          <xdr:cNvGrpSpPr/>
        </xdr:nvGrpSpPr>
        <xdr:grpSpPr>
          <a:xfrm>
            <a:off x="12477748" y="2348604"/>
            <a:ext cx="1732609" cy="380242"/>
            <a:chOff x="12477748" y="2348604"/>
            <a:chExt cx="1732609" cy="380242"/>
          </a:xfrm>
        </xdr:grpSpPr>
        <xdr:grpSp>
          <xdr:nvGrpSpPr>
            <xdr:cNvPr id="372" name="Shelter_G"/>
            <xdr:cNvGrpSpPr/>
          </xdr:nvGrpSpPr>
          <xdr:grpSpPr>
            <a:xfrm>
              <a:off x="12477748" y="2367654"/>
              <a:ext cx="332972" cy="361192"/>
              <a:chOff x="8585625" y="4782769"/>
              <a:chExt cx="147154" cy="166659"/>
            </a:xfrm>
          </xdr:grpSpPr>
          <xdr:pic>
            <xdr:nvPicPr>
              <xdr:cNvPr id="37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7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73" name="NFI_G"/>
            <xdr:cNvGrpSpPr/>
          </xdr:nvGrpSpPr>
          <xdr:grpSpPr>
            <a:xfrm>
              <a:off x="13877376" y="2348604"/>
              <a:ext cx="332981" cy="361192"/>
              <a:chOff x="8250078" y="5375644"/>
              <a:chExt cx="147158" cy="166659"/>
            </a:xfrm>
          </xdr:grpSpPr>
          <xdr:pic>
            <xdr:nvPicPr>
              <xdr:cNvPr id="37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7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80845</xdr:rowOff>
    </xdr:from>
    <xdr:to>
      <xdr:col>7</xdr:col>
      <xdr:colOff>165100</xdr:colOff>
      <xdr:row>8</xdr:row>
      <xdr:rowOff>231207</xdr:rowOff>
    </xdr:to>
    <xdr:grpSp>
      <xdr:nvGrpSpPr>
        <xdr:cNvPr id="378" name="Machanbaw_G"/>
        <xdr:cNvGrpSpPr/>
      </xdr:nvGrpSpPr>
      <xdr:grpSpPr>
        <a:xfrm>
          <a:off x="3670935" y="1543885"/>
          <a:ext cx="1310005" cy="638042"/>
          <a:chOff x="12380951" y="1743449"/>
          <a:chExt cx="1893717" cy="1923611"/>
        </a:xfrm>
      </xdr:grpSpPr>
      <xdr:sp macro="" textlink="">
        <xdr:nvSpPr>
          <xdr:cNvPr id="379" name="Oval"/>
          <xdr:cNvSpPr/>
        </xdr:nvSpPr>
        <xdr:spPr>
          <a:xfrm>
            <a:off x="13327810" y="2703009"/>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380" name="Pop" hidden="1"/>
          <xdr:cNvSpPr txBox="1"/>
        </xdr:nvSpPr>
        <xdr:spPr>
          <a:xfrm>
            <a:off x="12959414" y="2416439"/>
            <a:ext cx="708964" cy="8646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0F6553B-0D4D-4E9F-8358-322F36CBB60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381" name="N_Camp" hidden="1"/>
          <xdr:cNvSpPr txBox="1"/>
        </xdr:nvSpPr>
        <xdr:spPr>
          <a:xfrm>
            <a:off x="13337141" y="2047299"/>
            <a:ext cx="836058" cy="161976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C565053-30C0-4F00-9F0B-D9AD3FE9DD8F}" type="TxLink">
              <a:rPr lang="en-US" sz="1600" b="0" i="0" u="none" strike="noStrike">
                <a:solidFill>
                  <a:srgbClr val="000000"/>
                </a:solidFill>
                <a:latin typeface="Calibri"/>
                <a:cs typeface="Arial" pitchFamily="34" charset="0"/>
              </a:rPr>
              <a:pPr algn="r"/>
              <a:t>Bhamo</a:t>
            </a:fld>
            <a:endParaRPr lang="en-US" sz="600" i="1">
              <a:solidFill>
                <a:schemeClr val="tx1"/>
              </a:solidFill>
              <a:latin typeface="Arial" pitchFamily="34" charset="0"/>
              <a:cs typeface="Arial" pitchFamily="34" charset="0"/>
            </a:endParaRPr>
          </a:p>
        </xdr:txBody>
      </xdr:sp>
      <xdr:sp macro="" textlink="U10">
        <xdr:nvSpPr>
          <xdr:cNvPr id="382" name="Site"/>
          <xdr:cNvSpPr txBox="1"/>
        </xdr:nvSpPr>
        <xdr:spPr>
          <a:xfrm>
            <a:off x="12380951" y="1743449"/>
            <a:ext cx="1893717" cy="86467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425D6CF-9F5C-4528-AF6D-171A9A443DD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83" name="Cluster"/>
          <xdr:cNvGrpSpPr/>
        </xdr:nvGrpSpPr>
        <xdr:grpSpPr>
          <a:xfrm>
            <a:off x="12477748" y="2348604"/>
            <a:ext cx="1732609" cy="380242"/>
            <a:chOff x="12477748" y="2348604"/>
            <a:chExt cx="1732609" cy="380242"/>
          </a:xfrm>
        </xdr:grpSpPr>
        <xdr:grpSp>
          <xdr:nvGrpSpPr>
            <xdr:cNvPr id="384" name="Shelter_G"/>
            <xdr:cNvGrpSpPr/>
          </xdr:nvGrpSpPr>
          <xdr:grpSpPr>
            <a:xfrm>
              <a:off x="12477748" y="2367654"/>
              <a:ext cx="332972" cy="361192"/>
              <a:chOff x="8585625" y="4782769"/>
              <a:chExt cx="147154" cy="166659"/>
            </a:xfrm>
          </xdr:grpSpPr>
          <xdr:pic>
            <xdr:nvPicPr>
              <xdr:cNvPr id="38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8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85" name="NFI_G"/>
            <xdr:cNvGrpSpPr/>
          </xdr:nvGrpSpPr>
          <xdr:grpSpPr>
            <a:xfrm>
              <a:off x="13877376" y="2348604"/>
              <a:ext cx="332981" cy="361192"/>
              <a:chOff x="8250078" y="5375644"/>
              <a:chExt cx="147158" cy="166659"/>
            </a:xfrm>
          </xdr:grpSpPr>
          <xdr:pic>
            <xdr:nvPicPr>
              <xdr:cNvPr id="38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8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121285</xdr:rowOff>
    </xdr:from>
    <xdr:to>
      <xdr:col>5</xdr:col>
      <xdr:colOff>527050</xdr:colOff>
      <xdr:row>31</xdr:row>
      <xdr:rowOff>177476</xdr:rowOff>
    </xdr:to>
    <xdr:grpSp>
      <xdr:nvGrpSpPr>
        <xdr:cNvPr id="390" name="Mansi_G"/>
        <xdr:cNvGrpSpPr/>
      </xdr:nvGrpSpPr>
      <xdr:grpSpPr>
        <a:xfrm>
          <a:off x="2783205" y="6948805"/>
          <a:ext cx="1310005" cy="787711"/>
          <a:chOff x="12380951" y="1658202"/>
          <a:chExt cx="1893717" cy="2381154"/>
        </a:xfrm>
      </xdr:grpSpPr>
      <xdr:sp macro="" textlink="">
        <xdr:nvSpPr>
          <xdr:cNvPr id="391" name="Oval"/>
          <xdr:cNvSpPr/>
        </xdr:nvSpPr>
        <xdr:spPr>
          <a:xfrm>
            <a:off x="12987466" y="2148526"/>
            <a:ext cx="680688" cy="140051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392"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00E090D-4D79-403D-8E45-D6D1D744A4F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12,543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393"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A05BDB6-6366-489D-A742-E65D239C4F16}"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11">
        <xdr:nvSpPr>
          <xdr:cNvPr id="394"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EE1E35F-AF0A-4A79-B6DD-91A6587DB19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95" name="Cluster"/>
          <xdr:cNvGrpSpPr/>
        </xdr:nvGrpSpPr>
        <xdr:grpSpPr>
          <a:xfrm>
            <a:off x="12477748" y="2348604"/>
            <a:ext cx="1732609" cy="380242"/>
            <a:chOff x="12477748" y="2348604"/>
            <a:chExt cx="1732609" cy="380242"/>
          </a:xfrm>
        </xdr:grpSpPr>
        <xdr:grpSp>
          <xdr:nvGrpSpPr>
            <xdr:cNvPr id="396" name="Shelter_G"/>
            <xdr:cNvGrpSpPr/>
          </xdr:nvGrpSpPr>
          <xdr:grpSpPr>
            <a:xfrm>
              <a:off x="12477748" y="2367654"/>
              <a:ext cx="332972" cy="361192"/>
              <a:chOff x="8585625" y="4782769"/>
              <a:chExt cx="147154" cy="166659"/>
            </a:xfrm>
          </xdr:grpSpPr>
          <xdr:pic>
            <xdr:nvPicPr>
              <xdr:cNvPr id="40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0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97" name="NFI_G"/>
            <xdr:cNvGrpSpPr/>
          </xdr:nvGrpSpPr>
          <xdr:grpSpPr>
            <a:xfrm>
              <a:off x="13877376" y="2348604"/>
              <a:ext cx="332981" cy="361192"/>
              <a:chOff x="8250078" y="5375644"/>
              <a:chExt cx="147158" cy="166659"/>
            </a:xfrm>
          </xdr:grpSpPr>
          <xdr:pic>
            <xdr:nvPicPr>
              <xdr:cNvPr id="39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9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14162</xdr:rowOff>
    </xdr:from>
    <xdr:to>
      <xdr:col>5</xdr:col>
      <xdr:colOff>361950</xdr:colOff>
      <xdr:row>35</xdr:row>
      <xdr:rowOff>161726</xdr:rowOff>
    </xdr:to>
    <xdr:grpSp>
      <xdr:nvGrpSpPr>
        <xdr:cNvPr id="402" name="Manton_G"/>
        <xdr:cNvGrpSpPr/>
      </xdr:nvGrpSpPr>
      <xdr:grpSpPr>
        <a:xfrm>
          <a:off x="2618105" y="8060882"/>
          <a:ext cx="1310005" cy="635244"/>
          <a:chOff x="12380951" y="1743424"/>
          <a:chExt cx="1893717" cy="1915280"/>
        </a:xfrm>
      </xdr:grpSpPr>
      <xdr:sp macro="" textlink="">
        <xdr:nvSpPr>
          <xdr:cNvPr id="403" name="Oval"/>
          <xdr:cNvSpPr/>
        </xdr:nvSpPr>
        <xdr:spPr>
          <a:xfrm>
            <a:off x="13272018" y="2584778"/>
            <a:ext cx="111584" cy="22806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404" name="Pop" hidden="1"/>
          <xdr:cNvSpPr txBox="1"/>
        </xdr:nvSpPr>
        <xdr:spPr>
          <a:xfrm>
            <a:off x="12959414" y="2038855"/>
            <a:ext cx="708964" cy="161984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A3C2285-B6C3-482D-9AD6-8E904E32D7C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539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405" name="N_Camp" hidden="1"/>
          <xdr:cNvSpPr txBox="1"/>
        </xdr:nvSpPr>
        <xdr:spPr>
          <a:xfrm>
            <a:off x="13337141" y="2424815"/>
            <a:ext cx="836058"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E61D1FE-5A7F-4C58-95BD-A37D9870D813}"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2">
        <xdr:nvSpPr>
          <xdr:cNvPr id="406" name="Site"/>
          <xdr:cNvSpPr txBox="1"/>
        </xdr:nvSpPr>
        <xdr:spPr>
          <a:xfrm>
            <a:off x="12380951" y="1743424"/>
            <a:ext cx="1893717"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BD80E13-EA6B-478D-A6F6-42A2A7AFB5B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07" name="Cluster"/>
          <xdr:cNvGrpSpPr/>
        </xdr:nvGrpSpPr>
        <xdr:grpSpPr>
          <a:xfrm>
            <a:off x="12477748" y="2348604"/>
            <a:ext cx="1732609" cy="380242"/>
            <a:chOff x="12477748" y="2348604"/>
            <a:chExt cx="1732609" cy="380242"/>
          </a:xfrm>
        </xdr:grpSpPr>
        <xdr:grpSp>
          <xdr:nvGrpSpPr>
            <xdr:cNvPr id="408" name="Shelter_G"/>
            <xdr:cNvGrpSpPr/>
          </xdr:nvGrpSpPr>
          <xdr:grpSpPr>
            <a:xfrm>
              <a:off x="12477748" y="2367654"/>
              <a:ext cx="332972" cy="361192"/>
              <a:chOff x="8585625" y="4782769"/>
              <a:chExt cx="147154" cy="166659"/>
            </a:xfrm>
          </xdr:grpSpPr>
          <xdr:pic>
            <xdr:nvPicPr>
              <xdr:cNvPr id="41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1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09" name="NFI_G"/>
            <xdr:cNvGrpSpPr/>
          </xdr:nvGrpSpPr>
          <xdr:grpSpPr>
            <a:xfrm>
              <a:off x="13877376" y="2348604"/>
              <a:ext cx="332981" cy="361192"/>
              <a:chOff x="8250078" y="5375644"/>
              <a:chExt cx="147158" cy="166659"/>
            </a:xfrm>
          </xdr:grpSpPr>
          <xdr:pic>
            <xdr:nvPicPr>
              <xdr:cNvPr id="41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1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263525</xdr:colOff>
      <xdr:row>18</xdr:row>
      <xdr:rowOff>196850</xdr:rowOff>
    </xdr:from>
    <xdr:to>
      <xdr:col>4</xdr:col>
      <xdr:colOff>381000</xdr:colOff>
      <xdr:row>21</xdr:row>
      <xdr:rowOff>101367</xdr:rowOff>
    </xdr:to>
    <xdr:grpSp>
      <xdr:nvGrpSpPr>
        <xdr:cNvPr id="414" name="Mogaung_G"/>
        <xdr:cNvGrpSpPr/>
      </xdr:nvGrpSpPr>
      <xdr:grpSpPr>
        <a:xfrm>
          <a:off x="1985645" y="4585970"/>
          <a:ext cx="1306195" cy="636037"/>
          <a:chOff x="12380951" y="1748589"/>
          <a:chExt cx="1893717" cy="1900439"/>
        </a:xfrm>
      </xdr:grpSpPr>
      <xdr:sp macro="" textlink="">
        <xdr:nvSpPr>
          <xdr:cNvPr id="415" name="Oval"/>
          <xdr:cNvSpPr/>
        </xdr:nvSpPr>
        <xdr:spPr>
          <a:xfrm>
            <a:off x="13264384" y="2569172"/>
            <a:ext cx="126852" cy="25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416"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0819632-6E9F-46B6-90A8-D7966FD2EAB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404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417"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54A35EC-F181-4D82-ACAC-55D07E62E091}"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13">
        <xdr:nvSpPr>
          <xdr:cNvPr id="418"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2E4D2EB-50B3-479E-B6E1-50BD1D00DA8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19" name="Cluster"/>
          <xdr:cNvGrpSpPr/>
        </xdr:nvGrpSpPr>
        <xdr:grpSpPr>
          <a:xfrm>
            <a:off x="12477748" y="2348604"/>
            <a:ext cx="1732609" cy="380242"/>
            <a:chOff x="12477748" y="2348604"/>
            <a:chExt cx="1732609" cy="380242"/>
          </a:xfrm>
        </xdr:grpSpPr>
        <xdr:grpSp>
          <xdr:nvGrpSpPr>
            <xdr:cNvPr id="420" name="Shelter_G"/>
            <xdr:cNvGrpSpPr/>
          </xdr:nvGrpSpPr>
          <xdr:grpSpPr>
            <a:xfrm>
              <a:off x="12477748" y="2367654"/>
              <a:ext cx="332972" cy="361192"/>
              <a:chOff x="8585625" y="4782769"/>
              <a:chExt cx="147154" cy="166659"/>
            </a:xfrm>
          </xdr:grpSpPr>
          <xdr:pic>
            <xdr:nvPicPr>
              <xdr:cNvPr id="42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2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21" name="NFI_G"/>
            <xdr:cNvGrpSpPr/>
          </xdr:nvGrpSpPr>
          <xdr:grpSpPr>
            <a:xfrm>
              <a:off x="13877376" y="2348604"/>
              <a:ext cx="332981" cy="361192"/>
              <a:chOff x="8250078" y="5375644"/>
              <a:chExt cx="147158" cy="166659"/>
            </a:xfrm>
          </xdr:grpSpPr>
          <xdr:pic>
            <xdr:nvPicPr>
              <xdr:cNvPr id="42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2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88900</xdr:colOff>
      <xdr:row>24</xdr:row>
      <xdr:rowOff>123592</xdr:rowOff>
    </xdr:to>
    <xdr:grpSp>
      <xdr:nvGrpSpPr>
        <xdr:cNvPr id="426" name="Mohnyin_G"/>
        <xdr:cNvGrpSpPr/>
      </xdr:nvGrpSpPr>
      <xdr:grpSpPr>
        <a:xfrm>
          <a:off x="1087755" y="5339715"/>
          <a:ext cx="1317625" cy="636037"/>
          <a:chOff x="12380951" y="1748589"/>
          <a:chExt cx="1893717" cy="1900439"/>
        </a:xfrm>
      </xdr:grpSpPr>
      <xdr:sp macro="" textlink="">
        <xdr:nvSpPr>
          <xdr:cNvPr id="427" name="Oval"/>
          <xdr:cNvSpPr/>
        </xdr:nvSpPr>
        <xdr:spPr>
          <a:xfrm>
            <a:off x="13269623" y="2579880"/>
            <a:ext cx="116375" cy="23785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428"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A7EB202-13DF-4C19-955F-EEEC32D876B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331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429"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97EB979-1E78-4DAC-BE30-C4ADEB4D6842}"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4">
        <xdr:nvSpPr>
          <xdr:cNvPr id="43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63DA4D7-9FAA-4B9F-9F4F-F73C78FDC2B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31" name="Cluster"/>
          <xdr:cNvGrpSpPr/>
        </xdr:nvGrpSpPr>
        <xdr:grpSpPr>
          <a:xfrm>
            <a:off x="12477748" y="2348604"/>
            <a:ext cx="1732609" cy="380242"/>
            <a:chOff x="12477748" y="2348604"/>
            <a:chExt cx="1732609" cy="380242"/>
          </a:xfrm>
        </xdr:grpSpPr>
        <xdr:grpSp>
          <xdr:nvGrpSpPr>
            <xdr:cNvPr id="432" name="Shelter_G"/>
            <xdr:cNvGrpSpPr/>
          </xdr:nvGrpSpPr>
          <xdr:grpSpPr>
            <a:xfrm>
              <a:off x="12477748" y="2367654"/>
              <a:ext cx="332972" cy="361192"/>
              <a:chOff x="8585625" y="4782769"/>
              <a:chExt cx="147154" cy="166659"/>
            </a:xfrm>
          </xdr:grpSpPr>
          <xdr:pic>
            <xdr:nvPicPr>
              <xdr:cNvPr id="43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3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33" name="NFI_G"/>
            <xdr:cNvGrpSpPr/>
          </xdr:nvGrpSpPr>
          <xdr:grpSpPr>
            <a:xfrm>
              <a:off x="13877376" y="2348604"/>
              <a:ext cx="332981" cy="361192"/>
              <a:chOff x="8250078" y="5375644"/>
              <a:chExt cx="147158" cy="166659"/>
            </a:xfrm>
          </xdr:grpSpPr>
          <xdr:pic>
            <xdr:nvPicPr>
              <xdr:cNvPr id="43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3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83185</xdr:rowOff>
    </xdr:from>
    <xdr:to>
      <xdr:col>5</xdr:col>
      <xdr:colOff>654050</xdr:colOff>
      <xdr:row>27</xdr:row>
      <xdr:rowOff>139376</xdr:rowOff>
    </xdr:to>
    <xdr:grpSp>
      <xdr:nvGrpSpPr>
        <xdr:cNvPr id="438" name="Momauk_G"/>
        <xdr:cNvGrpSpPr/>
      </xdr:nvGrpSpPr>
      <xdr:grpSpPr>
        <a:xfrm>
          <a:off x="2933065" y="5935345"/>
          <a:ext cx="1287145" cy="787711"/>
          <a:chOff x="12380951" y="1658202"/>
          <a:chExt cx="1893717" cy="2381154"/>
        </a:xfrm>
      </xdr:grpSpPr>
      <xdr:sp macro="" textlink="">
        <xdr:nvSpPr>
          <xdr:cNvPr id="439" name="Oval"/>
          <xdr:cNvSpPr/>
        </xdr:nvSpPr>
        <xdr:spPr>
          <a:xfrm>
            <a:off x="12952310" y="2076193"/>
            <a:ext cx="750997" cy="15451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440" name="Pop" hidden="1"/>
          <xdr:cNvSpPr txBox="1"/>
        </xdr:nvSpPr>
        <xdr:spPr>
          <a:xfrm>
            <a:off x="12959414" y="1658202"/>
            <a:ext cx="708963"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D9FDB76-CA73-4706-AE25-A6B14A5CCAB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15,683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441"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19F351D-7854-4EFE-9622-44A9B06C74A1}" type="TxLink">
              <a:rPr lang="en-US" sz="1600" b="0" i="0" u="none" strike="noStrike">
                <a:solidFill>
                  <a:srgbClr val="000000"/>
                </a:solidFill>
                <a:latin typeface="Calibri"/>
                <a:cs typeface="Arial" pitchFamily="34" charset="0"/>
              </a:rPr>
              <a:pPr algn="r"/>
              <a:t>20 cps</a:t>
            </a:fld>
            <a:endParaRPr lang="en-US" sz="600" i="1">
              <a:solidFill>
                <a:schemeClr val="tx1"/>
              </a:solidFill>
              <a:latin typeface="Arial" pitchFamily="34" charset="0"/>
              <a:cs typeface="Arial" pitchFamily="34" charset="0"/>
            </a:endParaRPr>
          </a:p>
        </xdr:txBody>
      </xdr:sp>
      <xdr:sp macro="" textlink="U15">
        <xdr:nvSpPr>
          <xdr:cNvPr id="442"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9CD2D33-424F-4A57-BC67-2F793236880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3" name="Cluster"/>
          <xdr:cNvGrpSpPr/>
        </xdr:nvGrpSpPr>
        <xdr:grpSpPr>
          <a:xfrm>
            <a:off x="12477748" y="2348604"/>
            <a:ext cx="1732609" cy="380242"/>
            <a:chOff x="12477748" y="2348604"/>
            <a:chExt cx="1732609" cy="380242"/>
          </a:xfrm>
        </xdr:grpSpPr>
        <xdr:grpSp>
          <xdr:nvGrpSpPr>
            <xdr:cNvPr id="444" name="Shelter_G"/>
            <xdr:cNvGrpSpPr/>
          </xdr:nvGrpSpPr>
          <xdr:grpSpPr>
            <a:xfrm>
              <a:off x="12477748" y="2367654"/>
              <a:ext cx="332972" cy="361192"/>
              <a:chOff x="8585625" y="4782769"/>
              <a:chExt cx="147154" cy="166659"/>
            </a:xfrm>
          </xdr:grpSpPr>
          <xdr:pic>
            <xdr:nvPicPr>
              <xdr:cNvPr id="44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4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45" name="NFI_G"/>
            <xdr:cNvGrpSpPr/>
          </xdr:nvGrpSpPr>
          <xdr:grpSpPr>
            <a:xfrm>
              <a:off x="13877376" y="2348604"/>
              <a:ext cx="332981" cy="361192"/>
              <a:chOff x="8250078" y="5375644"/>
              <a:chExt cx="147158" cy="166659"/>
            </a:xfrm>
          </xdr:grpSpPr>
          <xdr:pic>
            <xdr:nvPicPr>
              <xdr:cNvPr id="44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172085</xdr:rowOff>
    </xdr:from>
    <xdr:to>
      <xdr:col>8</xdr:col>
      <xdr:colOff>9525</xdr:colOff>
      <xdr:row>31</xdr:row>
      <xdr:rowOff>228276</xdr:rowOff>
    </xdr:to>
    <xdr:grpSp>
      <xdr:nvGrpSpPr>
        <xdr:cNvPr id="450" name="Muse_G"/>
        <xdr:cNvGrpSpPr/>
      </xdr:nvGrpSpPr>
      <xdr:grpSpPr>
        <a:xfrm>
          <a:off x="4077335" y="6999605"/>
          <a:ext cx="1327150" cy="787711"/>
          <a:chOff x="12380951" y="1658202"/>
          <a:chExt cx="1893717" cy="2381154"/>
        </a:xfrm>
      </xdr:grpSpPr>
      <xdr:sp macro="" textlink="">
        <xdr:nvSpPr>
          <xdr:cNvPr id="451" name="Oval"/>
          <xdr:cNvSpPr/>
        </xdr:nvSpPr>
        <xdr:spPr>
          <a:xfrm>
            <a:off x="13231790" y="2651221"/>
            <a:ext cx="192039" cy="395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452" name="Pop" hidden="1"/>
          <xdr:cNvSpPr txBox="1"/>
        </xdr:nvSpPr>
        <xdr:spPr>
          <a:xfrm>
            <a:off x="12959414" y="1658202"/>
            <a:ext cx="708963"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1763F66-929D-400E-989B-BD6833374E3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1,851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453"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556CFBA-5EE3-4350-85E3-4564BF771167}" type="TxLink">
              <a:rPr lang="en-US" sz="1600" b="0" i="0" u="none" strike="noStrike">
                <a:solidFill>
                  <a:srgbClr val="000000"/>
                </a:solidFill>
                <a:latin typeface="Calibri"/>
                <a:cs typeface="Arial" pitchFamily="34" charset="0"/>
              </a:rPr>
              <a:pPr algn="r"/>
              <a:t>14 cps</a:t>
            </a:fld>
            <a:endParaRPr lang="en-US" sz="600" i="1">
              <a:solidFill>
                <a:schemeClr val="tx1"/>
              </a:solidFill>
              <a:latin typeface="Arial" pitchFamily="34" charset="0"/>
              <a:cs typeface="Arial" pitchFamily="34" charset="0"/>
            </a:endParaRPr>
          </a:p>
        </xdr:txBody>
      </xdr:sp>
      <xdr:sp macro="" textlink="U16">
        <xdr:nvSpPr>
          <xdr:cNvPr id="454"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041007B-BB24-4605-8256-C7FEAB06C8F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5" name="Cluster"/>
          <xdr:cNvGrpSpPr/>
        </xdr:nvGrpSpPr>
        <xdr:grpSpPr>
          <a:xfrm>
            <a:off x="12477748" y="2348604"/>
            <a:ext cx="1732609" cy="380242"/>
            <a:chOff x="12477748" y="2348604"/>
            <a:chExt cx="1732609" cy="380242"/>
          </a:xfrm>
        </xdr:grpSpPr>
        <xdr:grpSp>
          <xdr:nvGrpSpPr>
            <xdr:cNvPr id="456" name="Shelter_G"/>
            <xdr:cNvGrpSpPr/>
          </xdr:nvGrpSpPr>
          <xdr:grpSpPr>
            <a:xfrm>
              <a:off x="12477748" y="2367654"/>
              <a:ext cx="332972" cy="361192"/>
              <a:chOff x="8585625" y="4782769"/>
              <a:chExt cx="147154" cy="166659"/>
            </a:xfrm>
          </xdr:grpSpPr>
          <xdr:pic>
            <xdr:nvPicPr>
              <xdr:cNvPr id="46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57" name="NFI_G"/>
            <xdr:cNvGrpSpPr/>
          </xdr:nvGrpSpPr>
          <xdr:grpSpPr>
            <a:xfrm>
              <a:off x="13877376" y="2348604"/>
              <a:ext cx="332981" cy="361192"/>
              <a:chOff x="8250078" y="5375644"/>
              <a:chExt cx="147158" cy="166659"/>
            </a:xfrm>
          </xdr:grpSpPr>
          <xdr:pic>
            <xdr:nvPicPr>
              <xdr:cNvPr id="45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5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412750</xdr:colOff>
      <xdr:row>23</xdr:row>
      <xdr:rowOff>32061</xdr:rowOff>
    </xdr:to>
    <xdr:grpSp>
      <xdr:nvGrpSpPr>
        <xdr:cNvPr id="462" name="Myitkyina_G"/>
        <xdr:cNvGrpSpPr/>
      </xdr:nvGrpSpPr>
      <xdr:grpSpPr>
        <a:xfrm>
          <a:off x="2668905" y="4858385"/>
          <a:ext cx="1310005" cy="781996"/>
          <a:chOff x="12380951" y="1675478"/>
          <a:chExt cx="1893717" cy="2346603"/>
        </a:xfrm>
      </xdr:grpSpPr>
      <xdr:sp macro="" textlink="">
        <xdr:nvSpPr>
          <xdr:cNvPr id="463" name="Oval"/>
          <xdr:cNvSpPr/>
        </xdr:nvSpPr>
        <xdr:spPr>
          <a:xfrm>
            <a:off x="13072195" y="2322851"/>
            <a:ext cx="511230" cy="105185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464"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8FC295D-A524-4874-8E91-C337A0124E0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5,923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465"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8639554-9367-403C-940B-334DA2D232B2}" type="TxLink">
              <a:rPr lang="en-US" sz="1600" b="0" i="0" u="none" strike="noStrike">
                <a:solidFill>
                  <a:srgbClr val="000000"/>
                </a:solidFill>
                <a:latin typeface="Calibri"/>
                <a:cs typeface="Arial" pitchFamily="34" charset="0"/>
              </a:rPr>
              <a:pPr algn="r"/>
              <a:t>24 cps</a:t>
            </a:fld>
            <a:endParaRPr lang="en-US" sz="600" i="1">
              <a:solidFill>
                <a:schemeClr val="tx1"/>
              </a:solidFill>
              <a:latin typeface="Arial" pitchFamily="34" charset="0"/>
              <a:cs typeface="Arial" pitchFamily="34" charset="0"/>
            </a:endParaRPr>
          </a:p>
        </xdr:txBody>
      </xdr:sp>
      <xdr:sp macro="" textlink="U17">
        <xdr:nvSpPr>
          <xdr:cNvPr id="466"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3F6B1EB-88B0-4469-9267-E0E0C9D59DA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7" name="Cluster"/>
          <xdr:cNvGrpSpPr/>
        </xdr:nvGrpSpPr>
        <xdr:grpSpPr>
          <a:xfrm>
            <a:off x="12477748" y="2348604"/>
            <a:ext cx="1732609" cy="380242"/>
            <a:chOff x="12477748" y="2348604"/>
            <a:chExt cx="1732609" cy="380242"/>
          </a:xfrm>
        </xdr:grpSpPr>
        <xdr:grpSp>
          <xdr:nvGrpSpPr>
            <xdr:cNvPr id="468" name="Shelter_G"/>
            <xdr:cNvGrpSpPr/>
          </xdr:nvGrpSpPr>
          <xdr:grpSpPr>
            <a:xfrm>
              <a:off x="12477748" y="2367654"/>
              <a:ext cx="332972" cy="361192"/>
              <a:chOff x="8585625" y="4782769"/>
              <a:chExt cx="147154" cy="166659"/>
            </a:xfrm>
          </xdr:grpSpPr>
          <xdr:pic>
            <xdr:nvPicPr>
              <xdr:cNvPr id="47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69" name="NFI_G"/>
            <xdr:cNvGrpSpPr/>
          </xdr:nvGrpSpPr>
          <xdr:grpSpPr>
            <a:xfrm>
              <a:off x="13877376" y="2348604"/>
              <a:ext cx="332981" cy="361192"/>
              <a:chOff x="8250078" y="5375644"/>
              <a:chExt cx="147158" cy="166659"/>
            </a:xfrm>
          </xdr:grpSpPr>
          <xdr:pic>
            <xdr:nvPicPr>
              <xdr:cNvPr id="47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140335</xdr:rowOff>
    </xdr:from>
    <xdr:to>
      <xdr:col>6</xdr:col>
      <xdr:colOff>288925</xdr:colOff>
      <xdr:row>33</xdr:row>
      <xdr:rowOff>196526</xdr:rowOff>
    </xdr:to>
    <xdr:grpSp>
      <xdr:nvGrpSpPr>
        <xdr:cNvPr id="474" name="Namhkan_G"/>
        <xdr:cNvGrpSpPr/>
      </xdr:nvGrpSpPr>
      <xdr:grpSpPr>
        <a:xfrm>
          <a:off x="3225165" y="7455535"/>
          <a:ext cx="1315720" cy="787711"/>
          <a:chOff x="12380951" y="1658202"/>
          <a:chExt cx="1893717" cy="2381154"/>
        </a:xfrm>
      </xdr:grpSpPr>
      <xdr:sp macro="" textlink="">
        <xdr:nvSpPr>
          <xdr:cNvPr id="475" name="Oval"/>
          <xdr:cNvSpPr/>
        </xdr:nvSpPr>
        <xdr:spPr>
          <a:xfrm>
            <a:off x="13202002" y="2589933"/>
            <a:ext cx="251613" cy="51769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476" name="Pop" hidden="1"/>
          <xdr:cNvSpPr txBox="1"/>
        </xdr:nvSpPr>
        <xdr:spPr>
          <a:xfrm>
            <a:off x="12959415"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5137A44-FED8-4CB9-93B7-F766FC80441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2,777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477"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AF5849F-4C78-44A2-BB4A-7CEE5837CEDD}" type="TxLink">
              <a:rPr lang="en-US" sz="1600" b="0" i="0" u="none" strike="noStrike">
                <a:solidFill>
                  <a:srgbClr val="000000"/>
                </a:solidFill>
                <a:latin typeface="Calibri"/>
                <a:cs typeface="Arial" pitchFamily="34" charset="0"/>
              </a:rPr>
              <a:pPr algn="r"/>
              <a:t>7 cps</a:t>
            </a:fld>
            <a:endParaRPr lang="en-US" sz="600" i="1">
              <a:solidFill>
                <a:schemeClr val="tx1"/>
              </a:solidFill>
              <a:latin typeface="Arial" pitchFamily="34" charset="0"/>
              <a:cs typeface="Arial" pitchFamily="34" charset="0"/>
            </a:endParaRPr>
          </a:p>
        </xdr:txBody>
      </xdr:sp>
      <xdr:sp macro="" textlink="U18">
        <xdr:nvSpPr>
          <xdr:cNvPr id="478"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B1DE833-B89A-4817-82DE-624589FC96B2}"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79" name="Cluster"/>
          <xdr:cNvGrpSpPr/>
        </xdr:nvGrpSpPr>
        <xdr:grpSpPr>
          <a:xfrm>
            <a:off x="12477748" y="2348604"/>
            <a:ext cx="1732609" cy="380242"/>
            <a:chOff x="12477748" y="2348604"/>
            <a:chExt cx="1732609" cy="380242"/>
          </a:xfrm>
        </xdr:grpSpPr>
        <xdr:grpSp>
          <xdr:nvGrpSpPr>
            <xdr:cNvPr id="480" name="Shelter_G"/>
            <xdr:cNvGrpSpPr/>
          </xdr:nvGrpSpPr>
          <xdr:grpSpPr>
            <a:xfrm>
              <a:off x="12477748" y="2367654"/>
              <a:ext cx="332972" cy="361192"/>
              <a:chOff x="8585625" y="4782769"/>
              <a:chExt cx="147154" cy="166659"/>
            </a:xfrm>
          </xdr:grpSpPr>
          <xdr:pic>
            <xdr:nvPicPr>
              <xdr:cNvPr id="48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81" name="NFI_G"/>
            <xdr:cNvGrpSpPr/>
          </xdr:nvGrpSpPr>
          <xdr:grpSpPr>
            <a:xfrm>
              <a:off x="13877376" y="2348604"/>
              <a:ext cx="332981" cy="361192"/>
              <a:chOff x="8250078" y="5375644"/>
              <a:chExt cx="147158" cy="166659"/>
            </a:xfrm>
          </xdr:grpSpPr>
          <xdr:pic>
            <xdr:nvPicPr>
              <xdr:cNvPr id="48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84012</xdr:rowOff>
    </xdr:from>
    <xdr:to>
      <xdr:col>6</xdr:col>
      <xdr:colOff>47625</xdr:colOff>
      <xdr:row>37</xdr:row>
      <xdr:rowOff>231576</xdr:rowOff>
    </xdr:to>
    <xdr:grpSp>
      <xdr:nvGrpSpPr>
        <xdr:cNvPr id="486" name="Namtu_G"/>
        <xdr:cNvGrpSpPr/>
      </xdr:nvGrpSpPr>
      <xdr:grpSpPr>
        <a:xfrm>
          <a:off x="2983865" y="8618412"/>
          <a:ext cx="1315720" cy="635244"/>
          <a:chOff x="12380951" y="1743424"/>
          <a:chExt cx="1893717" cy="1915280"/>
        </a:xfrm>
      </xdr:grpSpPr>
      <xdr:sp macro="" textlink="">
        <xdr:nvSpPr>
          <xdr:cNvPr id="487" name="Oval"/>
          <xdr:cNvSpPr/>
        </xdr:nvSpPr>
        <xdr:spPr>
          <a:xfrm>
            <a:off x="13256609" y="2553284"/>
            <a:ext cx="142400" cy="29105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488" name="Pop" hidden="1"/>
          <xdr:cNvSpPr txBox="1"/>
        </xdr:nvSpPr>
        <xdr:spPr>
          <a:xfrm>
            <a:off x="12959415" y="2038855"/>
            <a:ext cx="708964" cy="161984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00E13C5-A2F3-48F3-9819-075D179A217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1,978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489" name="N_Camp" hidden="1"/>
          <xdr:cNvSpPr txBox="1"/>
        </xdr:nvSpPr>
        <xdr:spPr>
          <a:xfrm>
            <a:off x="13337142" y="2424815"/>
            <a:ext cx="836058"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3874BE3-F5C7-4FCC-B31B-25271B68CEC7}" type="TxLink">
              <a:rPr lang="en-US" sz="1600" b="0" i="0" u="none" strike="noStrike">
                <a:solidFill>
                  <a:srgbClr val="000000"/>
                </a:solidFill>
                <a:latin typeface="Calibri"/>
                <a:cs typeface="Arial" pitchFamily="34" charset="0"/>
              </a:rPr>
              <a:pPr algn="r"/>
              <a:t>8 cps</a:t>
            </a:fld>
            <a:endParaRPr lang="en-US" sz="600" i="1">
              <a:solidFill>
                <a:schemeClr val="tx1"/>
              </a:solidFill>
              <a:latin typeface="Arial" pitchFamily="34" charset="0"/>
              <a:cs typeface="Arial" pitchFamily="34" charset="0"/>
            </a:endParaRPr>
          </a:p>
        </xdr:txBody>
      </xdr:sp>
      <xdr:sp macro="" textlink="U19">
        <xdr:nvSpPr>
          <xdr:cNvPr id="490" name="Site"/>
          <xdr:cNvSpPr txBox="1"/>
        </xdr:nvSpPr>
        <xdr:spPr>
          <a:xfrm>
            <a:off x="12380951" y="1743424"/>
            <a:ext cx="1893717"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43138C5-D66B-44CD-A9FF-43A2A9CAC02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1" name="Cluster"/>
          <xdr:cNvGrpSpPr/>
        </xdr:nvGrpSpPr>
        <xdr:grpSpPr>
          <a:xfrm>
            <a:off x="12477748" y="2348604"/>
            <a:ext cx="1732609" cy="380242"/>
            <a:chOff x="12477748" y="2348604"/>
            <a:chExt cx="1732609" cy="380242"/>
          </a:xfrm>
        </xdr:grpSpPr>
        <xdr:grpSp>
          <xdr:nvGrpSpPr>
            <xdr:cNvPr id="492" name="Shelter_G"/>
            <xdr:cNvGrpSpPr/>
          </xdr:nvGrpSpPr>
          <xdr:grpSpPr>
            <a:xfrm>
              <a:off x="12477748" y="2367654"/>
              <a:ext cx="332972" cy="361192"/>
              <a:chOff x="8585625" y="4782769"/>
              <a:chExt cx="147154" cy="166659"/>
            </a:xfrm>
          </xdr:grpSpPr>
          <xdr:pic>
            <xdr:nvPicPr>
              <xdr:cNvPr id="49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93" name="NFI_G"/>
            <xdr:cNvGrpSpPr/>
          </xdr:nvGrpSpPr>
          <xdr:grpSpPr>
            <a:xfrm>
              <a:off x="13877376" y="2348604"/>
              <a:ext cx="332981" cy="361192"/>
              <a:chOff x="8250078" y="5375644"/>
              <a:chExt cx="147158" cy="166659"/>
            </a:xfrm>
          </xdr:grpSpPr>
          <xdr:pic>
            <xdr:nvPicPr>
              <xdr:cNvPr id="49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641350</xdr:colOff>
      <xdr:row>8</xdr:row>
      <xdr:rowOff>9292</xdr:rowOff>
    </xdr:to>
    <xdr:grpSp>
      <xdr:nvGrpSpPr>
        <xdr:cNvPr id="498" name="Puta-O_G"/>
        <xdr:cNvGrpSpPr/>
      </xdr:nvGrpSpPr>
      <xdr:grpSpPr>
        <a:xfrm>
          <a:off x="2920365" y="1323975"/>
          <a:ext cx="1287145" cy="636037"/>
          <a:chOff x="12380951" y="1748589"/>
          <a:chExt cx="1893717" cy="1900439"/>
        </a:xfrm>
      </xdr:grpSpPr>
      <xdr:sp macro="" textlink="">
        <xdr:nvSpPr>
          <xdr:cNvPr id="499" name="Oval"/>
          <xdr:cNvSpPr/>
        </xdr:nvSpPr>
        <xdr:spPr>
          <a:xfrm>
            <a:off x="13270968" y="2582631"/>
            <a:ext cx="113684" cy="2323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500"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E946F4D-8A17-4DA2-9EB9-BFD18621849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388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501"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DCAF1E-8C8F-4374-B5D0-EE8C95FD621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0">
        <xdr:nvSpPr>
          <xdr:cNvPr id="502"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3FD74A0-B647-4E03-B2B2-C11359086B0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3" name="Cluster"/>
          <xdr:cNvGrpSpPr/>
        </xdr:nvGrpSpPr>
        <xdr:grpSpPr>
          <a:xfrm>
            <a:off x="12477748" y="2348604"/>
            <a:ext cx="1732609" cy="380242"/>
            <a:chOff x="12477748" y="2348604"/>
            <a:chExt cx="1732609" cy="380242"/>
          </a:xfrm>
        </xdr:grpSpPr>
        <xdr:grpSp>
          <xdr:nvGrpSpPr>
            <xdr:cNvPr id="504" name="Shelter_G"/>
            <xdr:cNvGrpSpPr/>
          </xdr:nvGrpSpPr>
          <xdr:grpSpPr>
            <a:xfrm>
              <a:off x="12477748" y="2367654"/>
              <a:ext cx="332972" cy="361192"/>
              <a:chOff x="8585625" y="4782769"/>
              <a:chExt cx="147154" cy="166659"/>
            </a:xfrm>
          </xdr:grpSpPr>
          <xdr:pic>
            <xdr:nvPicPr>
              <xdr:cNvPr id="50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0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05" name="NFI_G"/>
            <xdr:cNvGrpSpPr/>
          </xdr:nvGrpSpPr>
          <xdr:grpSpPr>
            <a:xfrm>
              <a:off x="13877376" y="2348604"/>
              <a:ext cx="332981" cy="361192"/>
              <a:chOff x="8250078" y="5375644"/>
              <a:chExt cx="147158" cy="166659"/>
            </a:xfrm>
          </xdr:grpSpPr>
          <xdr:pic>
            <xdr:nvPicPr>
              <xdr:cNvPr id="50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22225</xdr:colOff>
      <xdr:row>25</xdr:row>
      <xdr:rowOff>175260</xdr:rowOff>
    </xdr:from>
    <xdr:to>
      <xdr:col>4</xdr:col>
      <xdr:colOff>139700</xdr:colOff>
      <xdr:row>28</xdr:row>
      <xdr:rowOff>231451</xdr:rowOff>
    </xdr:to>
    <xdr:grpSp>
      <xdr:nvGrpSpPr>
        <xdr:cNvPr id="510" name="Shwegu_G"/>
        <xdr:cNvGrpSpPr/>
      </xdr:nvGrpSpPr>
      <xdr:grpSpPr>
        <a:xfrm>
          <a:off x="1744345" y="6271260"/>
          <a:ext cx="1306195" cy="787711"/>
          <a:chOff x="12380951" y="1658202"/>
          <a:chExt cx="1893717" cy="2381154"/>
        </a:xfrm>
      </xdr:grpSpPr>
      <xdr:sp macro="" textlink="">
        <xdr:nvSpPr>
          <xdr:cNvPr id="511" name="Oval"/>
          <xdr:cNvSpPr/>
        </xdr:nvSpPr>
        <xdr:spPr>
          <a:xfrm>
            <a:off x="13186887" y="2558830"/>
            <a:ext cx="281846" cy="5798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512"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7E36E41-45E6-4C28-B056-058AC9FAF7C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2,230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513" name="N_Camp" hidden="1"/>
          <xdr:cNvSpPr txBox="1"/>
        </xdr:nvSpPr>
        <xdr:spPr>
          <a:xfrm>
            <a:off x="13337143" y="2423689"/>
            <a:ext cx="836059"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CE1AB00-952B-4A47-B2CB-65C20DA4CED1}"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1">
        <xdr:nvSpPr>
          <xdr:cNvPr id="514"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5B0F8E2A-1062-4AC3-9375-407D88B651FA}"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5" name="Cluster"/>
          <xdr:cNvGrpSpPr/>
        </xdr:nvGrpSpPr>
        <xdr:grpSpPr>
          <a:xfrm>
            <a:off x="12477748" y="2348604"/>
            <a:ext cx="1732609" cy="380242"/>
            <a:chOff x="12477748" y="2348604"/>
            <a:chExt cx="1732609" cy="380242"/>
          </a:xfrm>
        </xdr:grpSpPr>
        <xdr:grpSp>
          <xdr:nvGrpSpPr>
            <xdr:cNvPr id="516" name="Shelter_G"/>
            <xdr:cNvGrpSpPr/>
          </xdr:nvGrpSpPr>
          <xdr:grpSpPr>
            <a:xfrm>
              <a:off x="12477748" y="2367654"/>
              <a:ext cx="332972" cy="361192"/>
              <a:chOff x="8585625" y="4782769"/>
              <a:chExt cx="147154" cy="166659"/>
            </a:xfrm>
          </xdr:grpSpPr>
          <xdr:pic>
            <xdr:nvPicPr>
              <xdr:cNvPr id="52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17" name="NFI_G"/>
            <xdr:cNvGrpSpPr/>
          </xdr:nvGrpSpPr>
          <xdr:grpSpPr>
            <a:xfrm>
              <a:off x="13877376" y="2348604"/>
              <a:ext cx="332981" cy="361192"/>
              <a:chOff x="8250078" y="5375644"/>
              <a:chExt cx="147158" cy="166659"/>
            </a:xfrm>
          </xdr:grpSpPr>
          <xdr:pic>
            <xdr:nvPicPr>
              <xdr:cNvPr id="51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1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41910</xdr:rowOff>
    </xdr:from>
    <xdr:to>
      <xdr:col>6</xdr:col>
      <xdr:colOff>85725</xdr:colOff>
      <xdr:row>14</xdr:row>
      <xdr:rowOff>98101</xdr:rowOff>
    </xdr:to>
    <xdr:grpSp>
      <xdr:nvGrpSpPr>
        <xdr:cNvPr id="522" name="Sumprabum_G"/>
        <xdr:cNvGrpSpPr/>
      </xdr:nvGrpSpPr>
      <xdr:grpSpPr>
        <a:xfrm>
          <a:off x="3021965" y="2724150"/>
          <a:ext cx="1315720" cy="787711"/>
          <a:chOff x="12380951" y="1658202"/>
          <a:chExt cx="1893717" cy="2381154"/>
        </a:xfrm>
      </xdr:grpSpPr>
      <xdr:sp macro="" textlink="">
        <xdr:nvSpPr>
          <xdr:cNvPr id="523" name="Oval"/>
          <xdr:cNvSpPr/>
        </xdr:nvSpPr>
        <xdr:spPr>
          <a:xfrm>
            <a:off x="13221918" y="2630909"/>
            <a:ext cx="211782" cy="43574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524" name="Pop" hidden="1"/>
          <xdr:cNvSpPr txBox="1"/>
        </xdr:nvSpPr>
        <xdr:spPr>
          <a:xfrm>
            <a:off x="12959415"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C0A70E0-F4E4-44FB-9229-CAF5E578F5A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1,232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525"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33C1306-DAF7-44EA-80F8-172B64DC504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526"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3187E28-A528-40F0-9FA8-53A6DC5B1BB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7" name="Cluster"/>
          <xdr:cNvGrpSpPr/>
        </xdr:nvGrpSpPr>
        <xdr:grpSpPr>
          <a:xfrm>
            <a:off x="12477748" y="2348604"/>
            <a:ext cx="1732609" cy="380242"/>
            <a:chOff x="12477748" y="2348604"/>
            <a:chExt cx="1732609" cy="380242"/>
          </a:xfrm>
        </xdr:grpSpPr>
        <xdr:grpSp>
          <xdr:nvGrpSpPr>
            <xdr:cNvPr id="528" name="Shelter_G"/>
            <xdr:cNvGrpSpPr/>
          </xdr:nvGrpSpPr>
          <xdr:grpSpPr>
            <a:xfrm>
              <a:off x="12477748" y="2367654"/>
              <a:ext cx="332972" cy="361192"/>
              <a:chOff x="8585625" y="4782769"/>
              <a:chExt cx="147154" cy="166659"/>
            </a:xfrm>
          </xdr:grpSpPr>
          <xdr:pic>
            <xdr:nvPicPr>
              <xdr:cNvPr id="53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29" name="NFI_G"/>
            <xdr:cNvGrpSpPr/>
          </xdr:nvGrpSpPr>
          <xdr:grpSpPr>
            <a:xfrm>
              <a:off x="13877376" y="2348604"/>
              <a:ext cx="332981" cy="361192"/>
              <a:chOff x="8250078" y="5375644"/>
              <a:chExt cx="147158" cy="166659"/>
            </a:xfrm>
          </xdr:grpSpPr>
          <xdr:pic>
            <xdr:nvPicPr>
              <xdr:cNvPr id="53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26035</xdr:rowOff>
    </xdr:from>
    <xdr:to>
      <xdr:col>7</xdr:col>
      <xdr:colOff>38100</xdr:colOff>
      <xdr:row>21</xdr:row>
      <xdr:rowOff>82226</xdr:rowOff>
    </xdr:to>
    <xdr:grpSp>
      <xdr:nvGrpSpPr>
        <xdr:cNvPr id="534" name="Waingmaw_G"/>
        <xdr:cNvGrpSpPr/>
      </xdr:nvGrpSpPr>
      <xdr:grpSpPr>
        <a:xfrm>
          <a:off x="3517265" y="4415155"/>
          <a:ext cx="1336675" cy="787711"/>
          <a:chOff x="12380951" y="1658202"/>
          <a:chExt cx="1893717" cy="2381154"/>
        </a:xfrm>
      </xdr:grpSpPr>
      <xdr:sp macro="" textlink="">
        <xdr:nvSpPr>
          <xdr:cNvPr id="535" name="Oval"/>
          <xdr:cNvSpPr/>
        </xdr:nvSpPr>
        <xdr:spPr>
          <a:xfrm>
            <a:off x="12782326" y="1726448"/>
            <a:ext cx="1090968" cy="22446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536" name="Pop" hidden="1"/>
          <xdr:cNvSpPr txBox="1"/>
        </xdr:nvSpPr>
        <xdr:spPr>
          <a:xfrm>
            <a:off x="12959415"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8FE780A-96D8-4C34-8D1E-F6FCCF960D4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32,802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537"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1BC6D6-5D6C-4F00-A01A-0AF72FF53391}" type="TxLink">
              <a:rPr lang="en-US" sz="1600" b="0" i="0" u="none" strike="noStrike">
                <a:solidFill>
                  <a:srgbClr val="000000"/>
                </a:solidFill>
                <a:latin typeface="Calibri"/>
                <a:cs typeface="Arial" pitchFamily="34" charset="0"/>
              </a:rPr>
              <a:pPr algn="r"/>
              <a:t>23 cps</a:t>
            </a:fld>
            <a:endParaRPr lang="en-US" sz="600" i="1">
              <a:solidFill>
                <a:schemeClr val="tx1"/>
              </a:solidFill>
              <a:latin typeface="Arial" pitchFamily="34" charset="0"/>
              <a:cs typeface="Arial" pitchFamily="34" charset="0"/>
            </a:endParaRPr>
          </a:p>
        </xdr:txBody>
      </xdr:sp>
      <xdr:sp macro="" textlink="U23">
        <xdr:nvSpPr>
          <xdr:cNvPr id="538"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C997E84-61B6-4855-AF83-FA7A27F3591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39" name="Cluster"/>
          <xdr:cNvGrpSpPr/>
        </xdr:nvGrpSpPr>
        <xdr:grpSpPr>
          <a:xfrm>
            <a:off x="12477748" y="2348604"/>
            <a:ext cx="1732609" cy="380242"/>
            <a:chOff x="12477748" y="2348604"/>
            <a:chExt cx="1732609" cy="380242"/>
          </a:xfrm>
        </xdr:grpSpPr>
        <xdr:grpSp>
          <xdr:nvGrpSpPr>
            <xdr:cNvPr id="540" name="Shelter_G"/>
            <xdr:cNvGrpSpPr/>
          </xdr:nvGrpSpPr>
          <xdr:grpSpPr>
            <a:xfrm>
              <a:off x="12477748" y="2367654"/>
              <a:ext cx="332972" cy="361192"/>
              <a:chOff x="8585625" y="4782769"/>
              <a:chExt cx="147154" cy="166659"/>
            </a:xfrm>
          </xdr:grpSpPr>
          <xdr:pic>
            <xdr:nvPicPr>
              <xdr:cNvPr id="54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41" name="NFI_G"/>
            <xdr:cNvGrpSpPr/>
          </xdr:nvGrpSpPr>
          <xdr:grpSpPr>
            <a:xfrm>
              <a:off x="13877376" y="2348604"/>
              <a:ext cx="332981" cy="361192"/>
              <a:chOff x="8250078" y="5375644"/>
              <a:chExt cx="147158" cy="166659"/>
            </a:xfrm>
          </xdr:grpSpPr>
          <xdr:pic>
            <xdr:nvPicPr>
              <xdr:cNvPr id="54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0</xdr:col>
      <xdr:colOff>330200</xdr:colOff>
      <xdr:row>28</xdr:row>
      <xdr:rowOff>237257</xdr:rowOff>
    </xdr:from>
    <xdr:to>
      <xdr:col>1</xdr:col>
      <xdr:colOff>742950</xdr:colOff>
      <xdr:row>34</xdr:row>
      <xdr:rowOff>41183</xdr:rowOff>
    </xdr:to>
    <xdr:grpSp>
      <xdr:nvGrpSpPr>
        <xdr:cNvPr id="546" name="Kachin/Shan_G"/>
        <xdr:cNvGrpSpPr/>
      </xdr:nvGrpSpPr>
      <xdr:grpSpPr>
        <a:xfrm>
          <a:off x="330200" y="7064777"/>
          <a:ext cx="1281430" cy="1266966"/>
          <a:chOff x="12380951" y="940641"/>
          <a:chExt cx="1893717" cy="3816275"/>
        </a:xfrm>
      </xdr:grpSpPr>
      <xdr:sp macro="" textlink="">
        <xdr:nvSpPr>
          <xdr:cNvPr id="547" name="Oval"/>
          <xdr:cNvSpPr/>
        </xdr:nvSpPr>
        <xdr:spPr>
          <a:xfrm>
            <a:off x="12400401" y="940641"/>
            <a:ext cx="1854814" cy="38162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548" name="Pop" hidden="1"/>
          <xdr:cNvSpPr txBox="1"/>
        </xdr:nvSpPr>
        <xdr:spPr>
          <a:xfrm>
            <a:off x="12959414" y="1662433"/>
            <a:ext cx="708964" cy="237269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F65F049-7D2E-4F1B-A560-F02AC8D7074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98,908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549" name="N_Camp" hidden="1"/>
          <xdr:cNvSpPr txBox="1"/>
        </xdr:nvSpPr>
        <xdr:spPr>
          <a:xfrm>
            <a:off x="13337142" y="2048029"/>
            <a:ext cx="836058" cy="161829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B638263-BC3C-45F6-9ECD-584A92CFBCD4}" type="TxLink">
              <a:rPr lang="en-US" sz="1600" b="0" i="0" u="none" strike="noStrike">
                <a:solidFill>
                  <a:srgbClr val="000000"/>
                </a:solidFill>
                <a:latin typeface="Calibri"/>
                <a:cs typeface="Arial" pitchFamily="34" charset="0"/>
              </a:rPr>
              <a:pPr algn="r"/>
              <a:t>187 camps</a:t>
            </a:fld>
            <a:endParaRPr lang="en-US" sz="600" i="1">
              <a:solidFill>
                <a:schemeClr val="tx1"/>
              </a:solidFill>
              <a:latin typeface="Arial" pitchFamily="34" charset="0"/>
              <a:cs typeface="Arial" pitchFamily="34" charset="0"/>
            </a:endParaRPr>
          </a:p>
        </xdr:txBody>
      </xdr:sp>
      <xdr:sp macro="" textlink="U24">
        <xdr:nvSpPr>
          <xdr:cNvPr id="550" name="Site"/>
          <xdr:cNvSpPr txBox="1"/>
        </xdr:nvSpPr>
        <xdr:spPr>
          <a:xfrm>
            <a:off x="12380951" y="1743839"/>
            <a:ext cx="1893717" cy="8638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4DF677A-AB44-48B8-AB19-00629A9739D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xdr:cNvGrpSpPr/>
        </xdr:nvGrpSpPr>
        <xdr:grpSpPr>
          <a:xfrm>
            <a:off x="12477748" y="2348604"/>
            <a:ext cx="1732609" cy="380242"/>
            <a:chOff x="12477748" y="2348604"/>
            <a:chExt cx="1732609" cy="380242"/>
          </a:xfrm>
        </xdr:grpSpPr>
        <xdr:grpSp>
          <xdr:nvGrpSpPr>
            <xdr:cNvPr id="552" name="Shelter_G"/>
            <xdr:cNvGrpSpPr/>
          </xdr:nvGrpSpPr>
          <xdr:grpSpPr>
            <a:xfrm>
              <a:off x="12477748" y="2367654"/>
              <a:ext cx="332972" cy="361192"/>
              <a:chOff x="8585625" y="4782769"/>
              <a:chExt cx="147154" cy="166659"/>
            </a:xfrm>
          </xdr:grpSpPr>
          <xdr:pic>
            <xdr:nvPicPr>
              <xdr:cNvPr id="55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xdr:cNvGrpSpPr/>
          </xdr:nvGrpSpPr>
          <xdr:grpSpPr>
            <a:xfrm>
              <a:off x="13877376" y="2348604"/>
              <a:ext cx="332981" cy="361192"/>
              <a:chOff x="8250078" y="5375644"/>
              <a:chExt cx="147158" cy="166659"/>
            </a:xfrm>
          </xdr:grpSpPr>
          <xdr:pic>
            <xdr:nvPicPr>
              <xdr:cNvPr id="55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108857</xdr:colOff>
      <xdr:row>0</xdr:row>
      <xdr:rowOff>340179</xdr:rowOff>
    </xdr:from>
    <xdr:to>
      <xdr:col>15</xdr:col>
      <xdr:colOff>1288235</xdr:colOff>
      <xdr:row>1</xdr:row>
      <xdr:rowOff>453005</xdr:rowOff>
    </xdr:to>
    <xdr:grpSp>
      <xdr:nvGrpSpPr>
        <xdr:cNvPr id="5" name="Group 4"/>
        <xdr:cNvGrpSpPr/>
      </xdr:nvGrpSpPr>
      <xdr:grpSpPr>
        <a:xfrm>
          <a:off x="11774181" y="340179"/>
          <a:ext cx="8528755" cy="572267"/>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392250</xdr:colOff>
      <xdr:row>0</xdr:row>
      <xdr:rowOff>384810</xdr:rowOff>
    </xdr:to>
    <xdr:sp macro="" textlink="">
      <xdr:nvSpPr>
        <xdr:cNvPr id="8" name="Rounded Rectangle 7">
          <a:hlinkClick xmlns:r="http://schemas.openxmlformats.org/officeDocument/2006/relationships" r:id="rId3"/>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595311</xdr:colOff>
      <xdr:row>0</xdr:row>
      <xdr:rowOff>11907</xdr:rowOff>
    </xdr:from>
    <xdr:to>
      <xdr:col>3</xdr:col>
      <xdr:colOff>292236</xdr:colOff>
      <xdr:row>0</xdr:row>
      <xdr:rowOff>377667</xdr:rowOff>
    </xdr:to>
    <xdr:sp macro="" textlink="">
      <xdr:nvSpPr>
        <xdr:cNvPr id="9" name="Rounded Rectangle 8">
          <a:hlinkClick xmlns:r="http://schemas.openxmlformats.org/officeDocument/2006/relationships" r:id="rId4"/>
        </xdr:cNvPr>
        <xdr:cNvSpPr/>
      </xdr:nvSpPr>
      <xdr:spPr>
        <a:xfrm>
          <a:off x="2047874" y="11907"/>
          <a:ext cx="1732893"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5</xdr:col>
      <xdr:colOff>71437</xdr:colOff>
      <xdr:row>0</xdr:row>
      <xdr:rowOff>0</xdr:rowOff>
    </xdr:from>
    <xdr:to>
      <xdr:col>5</xdr:col>
      <xdr:colOff>1511437</xdr:colOff>
      <xdr:row>0</xdr:row>
      <xdr:rowOff>367738</xdr:rowOff>
    </xdr:to>
    <xdr:sp macro="" textlink="">
      <xdr:nvSpPr>
        <xdr:cNvPr id="10" name="Rounded Rectangle 9">
          <a:hlinkClick xmlns:r="http://schemas.openxmlformats.org/officeDocument/2006/relationships" r:id="rId5"/>
        </xdr:cNvPr>
        <xdr:cNvSpPr/>
      </xdr:nvSpPr>
      <xdr:spPr>
        <a:xfrm>
          <a:off x="5110162" y="0"/>
          <a:ext cx="1440000"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3</xdr:col>
      <xdr:colOff>552452</xdr:colOff>
      <xdr:row>0</xdr:row>
      <xdr:rowOff>11908</xdr:rowOff>
    </xdr:from>
    <xdr:to>
      <xdr:col>4</xdr:col>
      <xdr:colOff>1097102</xdr:colOff>
      <xdr:row>0</xdr:row>
      <xdr:rowOff>381002</xdr:rowOff>
    </xdr:to>
    <xdr:sp macro="" textlink="">
      <xdr:nvSpPr>
        <xdr:cNvPr id="11" name="Rounded Rectangle 10">
          <a:hlinkClick xmlns:r="http://schemas.openxmlformats.org/officeDocument/2006/relationships" r:id="rId6"/>
        </xdr:cNvPr>
        <xdr:cNvSpPr/>
      </xdr:nvSpPr>
      <xdr:spPr>
        <a:xfrm>
          <a:off x="3552827" y="11908"/>
          <a:ext cx="1440000"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5</xdr:col>
      <xdr:colOff>1633539</xdr:colOff>
      <xdr:row>0</xdr:row>
      <xdr:rowOff>0</xdr:rowOff>
    </xdr:from>
    <xdr:to>
      <xdr:col>6</xdr:col>
      <xdr:colOff>539889</xdr:colOff>
      <xdr:row>0</xdr:row>
      <xdr:rowOff>365760</xdr:rowOff>
    </xdr:to>
    <xdr:sp macro="" textlink="">
      <xdr:nvSpPr>
        <xdr:cNvPr id="12" name="Rounded Rectangle 11">
          <a:hlinkClick xmlns:r="http://schemas.openxmlformats.org/officeDocument/2006/relationships" r:id="rId7"/>
        </xdr:cNvPr>
        <xdr:cNvSpPr/>
      </xdr:nvSpPr>
      <xdr:spPr>
        <a:xfrm>
          <a:off x="6672264" y="0"/>
          <a:ext cx="23925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171450</xdr:colOff>
      <xdr:row>33</xdr:row>
      <xdr:rowOff>57149</xdr:rowOff>
    </xdr:from>
    <xdr:to>
      <xdr:col>16</xdr:col>
      <xdr:colOff>9525</xdr:colOff>
      <xdr:row>52</xdr:row>
      <xdr:rowOff>28574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107157</xdr:colOff>
      <xdr:row>57</xdr:row>
      <xdr:rowOff>357188</xdr:rowOff>
    </xdr:from>
    <xdr:to>
      <xdr:col>16</xdr:col>
      <xdr:colOff>11906</xdr:colOff>
      <xdr:row>75</xdr:row>
      <xdr:rowOff>114300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59531</xdr:colOff>
      <xdr:row>33</xdr:row>
      <xdr:rowOff>71437</xdr:rowOff>
    </xdr:from>
    <xdr:to>
      <xdr:col>7</xdr:col>
      <xdr:colOff>154781</xdr:colOff>
      <xdr:row>52</xdr:row>
      <xdr:rowOff>47625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2063750</xdr:colOff>
      <xdr:row>1</xdr:row>
      <xdr:rowOff>127000</xdr:rowOff>
    </xdr:from>
    <xdr:to>
      <xdr:col>14</xdr:col>
      <xdr:colOff>773431</xdr:colOff>
      <xdr:row>1</xdr:row>
      <xdr:rowOff>702469</xdr:rowOff>
    </xdr:to>
    <xdr:grpSp>
      <xdr:nvGrpSpPr>
        <xdr:cNvPr id="11" name="Group 10"/>
        <xdr:cNvGrpSpPr/>
      </xdr:nvGrpSpPr>
      <xdr:grpSpPr>
        <a:xfrm>
          <a:off x="9850438" y="579438"/>
          <a:ext cx="4960462" cy="327819"/>
          <a:chOff x="6500812" y="317500"/>
          <a:chExt cx="6186806" cy="575469"/>
        </a:xfrm>
      </xdr:grpSpPr>
      <xdr:pic>
        <xdr:nvPicPr>
          <xdr:cNvPr id="12" name="Picture 11"/>
          <xdr:cNvPicPr>
            <a:picLocks noChangeAspect="1"/>
          </xdr:cNvPicPr>
        </xdr:nvPicPr>
        <xdr:blipFill>
          <a:blip xmlns:r="http://schemas.openxmlformats.org/officeDocument/2006/relationships" r:embed="rId4"/>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122375</xdr:colOff>
      <xdr:row>0</xdr:row>
      <xdr:rowOff>384810</xdr:rowOff>
    </xdr:to>
    <xdr:sp macro="" textlink="">
      <xdr:nvSpPr>
        <xdr:cNvPr id="24" name="Rounded Rectangle 23">
          <a:hlinkClick xmlns:r="http://schemas.openxmlformats.org/officeDocument/2006/relationships" r:id="rId6"/>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670832</xdr:colOff>
      <xdr:row>0</xdr:row>
      <xdr:rowOff>19050</xdr:rowOff>
    </xdr:from>
    <xdr:to>
      <xdr:col>2</xdr:col>
      <xdr:colOff>569143</xdr:colOff>
      <xdr:row>0</xdr:row>
      <xdr:rowOff>384810</xdr:rowOff>
    </xdr:to>
    <xdr:sp macro="" textlink="">
      <xdr:nvSpPr>
        <xdr:cNvPr id="18" name="Rounded Rectangle 17">
          <a:hlinkClick xmlns:r="http://schemas.openxmlformats.org/officeDocument/2006/relationships" r:id="rId7"/>
        </xdr:cNvPr>
        <xdr:cNvSpPr/>
      </xdr:nvSpPr>
      <xdr:spPr>
        <a:xfrm>
          <a:off x="1895475" y="19050"/>
          <a:ext cx="1435918"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4</xdr:col>
      <xdr:colOff>519795</xdr:colOff>
      <xdr:row>0</xdr:row>
      <xdr:rowOff>0</xdr:rowOff>
    </xdr:from>
    <xdr:to>
      <xdr:col>6</xdr:col>
      <xdr:colOff>9891</xdr:colOff>
      <xdr:row>0</xdr:row>
      <xdr:rowOff>367738</xdr:rowOff>
    </xdr:to>
    <xdr:sp macro="" textlink="">
      <xdr:nvSpPr>
        <xdr:cNvPr id="19" name="Rounded Rectangle 18">
          <a:hlinkClick xmlns:r="http://schemas.openxmlformats.org/officeDocument/2006/relationships" r:id="rId8"/>
        </xdr:cNvPr>
        <xdr:cNvSpPr/>
      </xdr:nvSpPr>
      <xdr:spPr>
        <a:xfrm>
          <a:off x="5704116" y="0"/>
          <a:ext cx="1435918"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2</xdr:col>
      <xdr:colOff>1040270</xdr:colOff>
      <xdr:row>0</xdr:row>
      <xdr:rowOff>11908</xdr:rowOff>
    </xdr:from>
    <xdr:to>
      <xdr:col>4</xdr:col>
      <xdr:colOff>55477</xdr:colOff>
      <xdr:row>0</xdr:row>
      <xdr:rowOff>381002</xdr:rowOff>
    </xdr:to>
    <xdr:sp macro="" textlink="">
      <xdr:nvSpPr>
        <xdr:cNvPr id="20" name="Rounded Rectangle 19">
          <a:hlinkClick xmlns:r="http://schemas.openxmlformats.org/officeDocument/2006/relationships" r:id="rId9"/>
        </xdr:cNvPr>
        <xdr:cNvSpPr/>
      </xdr:nvSpPr>
      <xdr:spPr>
        <a:xfrm>
          <a:off x="3802520" y="11908"/>
          <a:ext cx="1437278"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6</xdr:col>
      <xdr:colOff>472171</xdr:colOff>
      <xdr:row>0</xdr:row>
      <xdr:rowOff>13608</xdr:rowOff>
    </xdr:from>
    <xdr:to>
      <xdr:col>8</xdr:col>
      <xdr:colOff>835846</xdr:colOff>
      <xdr:row>0</xdr:row>
      <xdr:rowOff>379368</xdr:rowOff>
    </xdr:to>
    <xdr:sp macro="" textlink="">
      <xdr:nvSpPr>
        <xdr:cNvPr id="21" name="Rounded Rectangle 20">
          <a:hlinkClick xmlns:r="http://schemas.openxmlformats.org/officeDocument/2006/relationships" r:id="rId10"/>
        </xdr:cNvPr>
        <xdr:cNvSpPr/>
      </xdr:nvSpPr>
      <xdr:spPr>
        <a:xfrm>
          <a:off x="7602314" y="13608"/>
          <a:ext cx="2363925"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0</xdr:col>
      <xdr:colOff>11907</xdr:colOff>
      <xdr:row>57</xdr:row>
      <xdr:rowOff>346983</xdr:rowOff>
    </xdr:from>
    <xdr:to>
      <xdr:col>5</xdr:col>
      <xdr:colOff>71438</xdr:colOff>
      <xdr:row>75</xdr:row>
      <xdr:rowOff>108858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lwint\AppData\Local\Microsoft\Windows\Temporary%20Internet%20Files\Content.Outlook\60CNULBQ\Aug_CAR\Shelter-NFI-CCCM%20Kachin%20Northern%20Shan%20Cluster%20Analysis%20Report_Aug_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amp List"/>
      <sheetName val="DistanceToCamp"/>
      <sheetName val="Camp Analysis"/>
      <sheetName val="Camp List (printable)"/>
      <sheetName val="CCCM Dashboard"/>
      <sheetName val="ForGIS"/>
      <sheetName val="Shelter Cross Check"/>
      <sheetName val="Map"/>
      <sheetName val="Shelter Tracking"/>
      <sheetName val="Shelter Progress"/>
      <sheetName val="Shelter Summary (by Agency)"/>
      <sheetName val="Shelter Coverage Camp"/>
      <sheetName val="Shelter Coverage &amp; Gaps"/>
      <sheetName val="NFI Tracking"/>
      <sheetName val="NFI Pipeline"/>
      <sheetName val="Sheet2"/>
      <sheetName val="NFI Distribution (by Tship)"/>
      <sheetName val="Winter Item"/>
      <sheetName val="NFI Summary"/>
      <sheetName val="Define_TCL"/>
      <sheetName val="File_Details"/>
      <sheetName val="Definition"/>
      <sheetName val="Shelter-NFI-CCCM Kachin Norther"/>
    </sheetNames>
    <sheetDataSet>
      <sheetData sheetId="0"/>
      <sheetData sheetId="1"/>
      <sheetData sheetId="2"/>
      <sheetData sheetId="3"/>
      <sheetData sheetId="4"/>
      <sheetData sheetId="5">
        <row r="6">
          <cell r="AL6" t="str">
            <v>1-100</v>
          </cell>
          <cell r="AM6" t="str">
            <v>100-1k</v>
          </cell>
          <cell r="AN6" t="str">
            <v>1k-5k</v>
          </cell>
          <cell r="AO6" t="str">
            <v>5k-10k</v>
          </cell>
        </row>
        <row r="29">
          <cell r="AL29">
            <v>2.2813841879262439E-2</v>
          </cell>
          <cell r="AM29">
            <v>0.40213185147764585</v>
          </cell>
          <cell r="AN29">
            <v>0.41675170497600406</v>
          </cell>
          <cell r="AO29">
            <v>0.15830260166708765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Soe Paing" refreshedDate="42768.696713425925" missingItemsLimit="0" createdVersion="4" refreshedVersion="5" minRefreshableVersion="3" recordCount="363">
  <cacheSource type="worksheet">
    <worksheetSource name="Table_Shelter"/>
  </cacheSource>
  <cacheFields count="23">
    <cacheField name="Update Date" numFmtId="15">
      <sharedItems containsNonDate="0" containsDate="1" containsString="0" containsBlank="1" minDate="2013-12-01T00:00:00" maxDate="2017-01-11T00:00:00"/>
    </cacheField>
    <cacheField name="Organization" numFmtId="0">
      <sharedItems containsBlank="1" count="17">
        <s v="UNHCR"/>
        <s v="UNOCHA"/>
        <s v="DRC"/>
        <s v="World Vision"/>
        <s v="KBC Zonal"/>
        <s v="Metta"/>
        <s v="ACTED"/>
        <s v="IRRC"/>
        <m/>
        <s v="CC"/>
        <s v="Oxfam"/>
        <s v="Caritas"/>
        <s v="FSD"/>
        <s v="Yedai Foundation"/>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Waingmaw"/>
        <s v="Chipwi"/>
        <s v="Myitkyina"/>
        <s v="Hpakant"/>
        <s v="Bhamo"/>
        <s v="Mansi"/>
        <s v="Momauk"/>
        <s v="Kutkai"/>
        <s v="Namhkan"/>
        <s v="Puta-O"/>
        <s v="Mogaung"/>
        <s v="Muse"/>
        <s v="Hseni"/>
        <s v="Manton"/>
        <s v="Namtu"/>
        <s v="Mohnyin"/>
        <s v="Shwegu"/>
      </sharedItems>
    </cacheField>
    <cacheField name="CampName" numFmtId="0">
      <sharedItems containsBlank="1" count="146">
        <s v="Border Post 8"/>
        <s v="Pan Wa"/>
        <s v="Nan Kway St. John Catholic Church"/>
        <s v="Saw Zam"/>
        <s v="Maw Hpawng Lhaovo Baptist Church"/>
        <s v="Qtr. 2 Lhaovo Baptist Church"/>
        <s v="Lhaovao Baptist Church (LBC)"/>
        <s v="Chipwi KBC camp"/>
        <s v="AG Church, Hmaw Si Sa"/>
        <s v="AG Church, Maw Wan"/>
        <s v="Chin Church, Seik Mu"/>
        <s v="Dhama Rakhita, Nyein Chan Tar Yar Ward(Lon Khin)"/>
        <s v="Lisu Baptist Church, Maw Shan Vil,. Seik Mu"/>
        <s v="Lisu Boarding-House"/>
        <s v="Lana Zup Ja "/>
        <s v="Man Wing Catholic Church"/>
        <s v="Maw Hpawng Hka Nan Baptist Church"/>
        <s v="Robert Church"/>
        <s v="Loi Je Lisu Camp"/>
        <s v="Nyaung Na Pin "/>
        <s v="Seng Ja "/>
        <s v="Mungji Pa Dabang (Catholic Church)"/>
        <s v="Nam Hkam Catholic Church ( St. Thomas I)"/>
        <s v="Hkau Shau (BP 12)"/>
        <s v="Hpare Hkyer - BP6"/>
        <s v="Pajau - Jan Mai"/>
        <s v="Shing Jai"/>
        <s v="Zai Awng - Mung Ga Zup"/>
        <s v="Dum Bung "/>
        <s v="Jan Mai Kawng Baptist Church"/>
        <s v="Lung Sut"/>
        <s v="Maina Lawang Baptist Church"/>
        <s v="Maing Khaung"/>
        <s v="Qtr. 2 Myoma Baptist Church"/>
        <s v="Tat Kone Baptist Church"/>
        <s v="Tat Kone Galile Baptist Church"/>
        <s v="Tat Kone San Pya Baptist Church"/>
        <s v="Nhkawng Pa "/>
        <s v="Post 6 Camp"/>
        <s v="Je Yang Hka "/>
        <s v="Pa Kahtawng "/>
        <s v="Sar Hmaw - KBC"/>
        <s v="5 Ward RC Church(lon Khin)"/>
        <s v="Du Kahtawng Qtr. 14"/>
        <s v="Hpun Lum Yang "/>
        <s v="Le Kone Ziun Baptist Church "/>
        <s v="Nam Hkam (KBC Jaw Wang) II"/>
        <s v="Nam Hkawng"/>
        <s v="Nam Sa Larp"/>
        <s v="Namhkan - Pang Long KBC"/>
        <s v="Pa Dauk Myaing(Pa La Na)"/>
        <s v="Shatapru Sut Ngai Tawng"/>
        <s v="Shwe Zet Baptist Church"/>
        <s v="Tat Kone COC Baptist - Tat Kone Htoi San"/>
        <s v="Zup Aung Camp"/>
        <s v="Baptist Church, Naung Hmee VT"/>
        <s v="Bum Tsit Pa "/>
        <s v="Bum Tsit Pa Camp II"/>
        <s v="Lisu Baptist Church, Maw Wan Ward"/>
        <s v="Loi Je Catholic Church"/>
        <s v="Muse Baptist Church"/>
        <s v="Nam Ma Phyit, COC"/>
        <s v="Nawng Hee Village"/>
        <s v="Thargaya Lisu Baptist Church"/>
        <s v="Hkat Cho "/>
        <s v="Man Bung Catholic compound"/>
        <s v="Mansi Baptist Church"/>
        <s v="Momauk Baptist Church"/>
        <s v="Mu-yin Baptist Church"/>
        <s v="Phan Khar Kone"/>
        <s v="Qtr. 3 Mu-yin  Baptist Church"/>
        <s v="Man Kawng Baptist Church"/>
        <s v="5 Ward Baptist Church(lon Khin)"/>
        <s v="Baptist Church, Hmaw Si Sar(Lon Khin)"/>
        <s v="Hmaw Wan, Anglican"/>
        <s v="Lagatyan "/>
        <s v="Maina AG Church"/>
        <s v="Mandung - Jinghpaw"/>
        <s v="Mandung - RC"/>
        <s v="Maw Wan, Mu-yin Baptist Church"/>
        <s v="Mungji Pa Dabang (Baptist Church)         "/>
        <s v="Nga Pyaw Taw Baptist Nursery School "/>
        <s v="Ni Thaw Ka Monestry"/>
        <s v="Rawan Baptist Church, Maw Shan Vil., Seik Mu"/>
        <s v="Sai Nai Baptish Church, Maw Shan Vil., Seki Mu"/>
        <s v="Ta Gun Taing Monastery (Shwe Kyi Na)"/>
        <s v="Waingmaw AG Church"/>
        <s v="Ward 2 Sai Taung Baptist Church, Seik Mu "/>
        <s v="Woi Chyai "/>
        <s v="Yoe Kyi Monastery"/>
        <s v="AD-2000 Tharthana Compound"/>
        <s v="Aung Thar Church"/>
        <s v="Du Kahtawng Qtr. 4"/>
        <s v="Du Kahtawng Qtr. 5"/>
        <s v="Howa"/>
        <s v="Htoi San Church"/>
        <s v="Jan Mai Kawng Catholic Church"/>
        <s v="Kone Khem Camp"/>
        <s v="Ku Day Maw KBC"/>
        <s v="Kutkai downtown (KBC Church)"/>
        <s v="Kutkai downtown (RC Church)"/>
        <s v="Kyun Pin Thar Baptist Church"/>
        <s v="Kyun Taw Baptist Church "/>
        <s v="Le Kone Bethlehem Church"/>
        <s v="Loi Je Baptist Church"/>
        <s v="Lung Kawk  ( Hka Hkye Zup)"/>
        <s v="Mading Baptist Church"/>
        <s v="Maga Yang "/>
        <s v="Mai Khat "/>
        <s v="Maina Catholic Church (St. Joseph)"/>
        <s v="Maina KBC (Bawng Ring)"/>
        <s v="Maing Khaung Catholic Church"/>
        <s v="Maliyang Baptist Church"/>
        <s v="Man Hkring Baptist Church"/>
        <s v="Man Wing Baptist Church"/>
        <s v="Mandalay Monestry"/>
        <s v="Mang Hawng Baptist Church"/>
        <s v="Mashi Kahtawng Baptist  Church"/>
        <s v="Mine Yu Lay village"/>
        <s v="Momauk Catholic Church (St. Patrick)"/>
        <s v="Mung Baw "/>
        <s v="Mung Ding Pa  (Boarder)"/>
        <s v="Muse Catholic Church"/>
        <s v="Nam Hkam - Nay Win Ni (Palawng)"/>
        <s v="Nam Hkam (KBC Jaw Wang)"/>
        <s v="Nam Hpak Ka Mare "/>
        <s v="Nam Lim Pa"/>
        <s v="Nam Tu Baptist"/>
        <s v="Nant Hlaing Church"/>
        <s v="Nant Ma Hpit Catholic Church"/>
        <s v="Nat Gyi Kone Baptist Church "/>
        <s v="Nawng Ing (Indawgyi) Baptist Church  "/>
        <s v="Njang Dung Baptist Church "/>
        <s v="Qtr. 4 Monestry (Thargaya Thayett Taw)"/>
        <s v="RRD Office"/>
        <s v="Shwe Gu Baptist Church"/>
        <s v="Shwe Gu Catholic Church"/>
        <s v="St. Patrick Catholic Church "/>
        <s v="Tat Kone Emanuel Church"/>
        <s v="Tharthana Ahlin Yaung New Monastery"/>
        <s v="Waingmaw Baptist Zonal Office"/>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0" maxValue="7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4">
        <s v="MMR001CMP113"/>
        <s v="MMR001CMP210"/>
        <s v="MMR001CMP024"/>
        <s v="MMR001CMP225"/>
        <s v="MMR001CMP021"/>
        <s v="MMR001CMP032"/>
        <s v="MMR001CMP195"/>
        <s v="MMR001CMP042"/>
        <s v="MMR001CMP176"/>
        <s v="MMR001CMP190"/>
        <s v="MMR001CMP109"/>
        <s v="MMR001CMP174"/>
        <s v="MMR001CMP181"/>
        <s v="MMR001CMP049"/>
        <s v="MMR001CMP128"/>
        <s v="MMR001CMP132"/>
        <s v="MMR001CMP020"/>
        <s v="MMR001CMP047"/>
        <s v="MMR001CMP070"/>
        <s v="MMR001CMP072"/>
        <s v="MMR001CMP073"/>
        <s v="MMR015CMP217"/>
        <s v="MMR015CMP003"/>
        <s v="MMR001CMP115"/>
        <s v="MMR001CMP043"/>
        <s v="MMR001CMP120"/>
        <s v="MMR001CMP041"/>
        <s v="MMR001CMP111"/>
        <s v="MMR001CMP123"/>
        <s v="MMR001CMP018"/>
        <s v="MMR001CMP234"/>
        <s v="MMR001CMP039"/>
        <s v="MMR001CMP218"/>
        <s v="MMR001CMP025"/>
        <s v="MMR001CMP001"/>
        <s v="MMR001CMP003"/>
        <s v="MMR001CMP005"/>
        <s v="MMR001CMP131"/>
        <s v="MMR001CMP160"/>
        <s v="MMR001CMP121"/>
        <s v="MMR001CMP126"/>
        <s v="MMR001CMP236"/>
        <s v="MMR001CMP168"/>
        <s v="MMR001CMP012"/>
        <s v="MMR001CMP122"/>
        <s v="MMR001CMP014"/>
        <s v="MMR015CMP214"/>
        <s v="MMR015CMP139"/>
        <s v="MMR015CMP218"/>
        <s v="MMR015CMP215"/>
        <s v="MMR001CMP162"/>
        <s v="MMR001CMP006"/>
        <s v="MMR001CMP009"/>
        <s v="MMR001CMP023"/>
        <s v="MMR015CMP020"/>
        <s v="MMR001CMP188"/>
        <s v="MMR001CMP129"/>
        <s v="MMR001CMP226"/>
        <s v="MMR001CMP167"/>
        <s v="MMR001CMP069"/>
        <s v="MMR015CMP213"/>
        <s v="MMR001CMP192"/>
        <s v="MMR001CMP033"/>
        <s v="MMR001CMP037"/>
        <s v="MMR001CMP028"/>
        <s v="MMR001CMP062"/>
        <s v="MMR001CMP066"/>
        <s v="MMR001CMP056"/>
        <s v="MMR001CMP051"/>
        <s v="MMR001CMP193"/>
        <s v="MMR001CMP030"/>
        <s v="MMR001CMP212"/>
        <s v="MMR001CMP179"/>
        <s v="MMR001CMP169"/>
        <s v="MMR001CMP191"/>
        <s v="MMR001CMP202"/>
        <s v="MMR001CMP031"/>
        <s v="MMR015CMP009"/>
        <s v="MMR015CMP209"/>
        <s v="MMR001CMP091"/>
        <s v="MMR015CMP006"/>
        <s v="MMR001CMP082"/>
        <s v="MMR001CMP059"/>
        <s v="MMR001CMP182"/>
        <s v="MMR001CMP183"/>
        <s v="MMR001CMP055"/>
        <s v="MMR001CMP038"/>
        <s v="MMR001CMP184"/>
        <s v="MMR001CMP116"/>
        <s v="MMR001CMP053"/>
        <s v="MMR001CMP050"/>
        <s v="MMR001CMP194"/>
        <s v="MMR001CMP010"/>
        <s v="MMR001CMP011"/>
        <s v="MMR015CMP010"/>
        <s v="MMR001CMP052"/>
        <s v="MMR001CMP019"/>
        <s v="MMR015CMP015"/>
        <s v="MMR001CMP231"/>
        <s v="MMR015CMP016"/>
        <s v="MMR015CMP017"/>
        <s v="MMR001CMP013"/>
        <s v="MMR001CMP078"/>
        <s v="MMR001CMP015"/>
        <s v="MMR001CMP071"/>
        <s v="MMR001CMP135"/>
        <s v="MMR001CMP027"/>
        <s v="MMR001CMP119"/>
        <s v="MMR001CMP064"/>
        <s v="MMR001CMP029"/>
        <s v="MMR001CMP040"/>
        <s v="MMR001CMP223"/>
        <s v="MMR001CMP016"/>
        <s v="MMR001CMP008"/>
        <s v="MMR001CMP133"/>
        <s v="MMR001CMP058"/>
        <s v="MMR001CMP077"/>
        <s v="MMR001CMP094"/>
        <s v="MMR015CMP018"/>
        <s v="MMR001CMP057"/>
        <s v="MMR015CMP005"/>
        <s v="MMR001CMP203"/>
        <s v="MMR015CMP216"/>
        <s v="MMR015CMP004"/>
        <s v="MMR015CMP001"/>
        <s v="MMR015CMP007"/>
        <s v="MMR001CMP204"/>
        <s v="MMR015CMP014"/>
        <s v="MMR001CMP054"/>
        <s v="MMR001CMP103"/>
        <s v="MMR001CMP079"/>
        <s v="MMR001CMP152"/>
        <s v="MMR001CMP002"/>
        <s v="MMR001CMP026"/>
        <s v=""/>
        <s v="MMR001CMP067"/>
        <s v="MMR001CMP068"/>
        <s v="MMR001CMP080"/>
        <s v="MMR001CMP004"/>
        <s v="MMR001CMP224"/>
        <s v="MMR001CMP036"/>
        <s v="MMR001CMP185"/>
        <s v="MMR001CMP022"/>
        <s v="MMR001CMP105"/>
      </sharedItems>
    </cacheField>
    <cacheField name="Status" numFmtId="0">
      <sharedItems count="3">
        <s v="Open"/>
        <s v="Closed"/>
        <s v=""/>
      </sharedItems>
    </cacheField>
    <cacheField name="Coverage" numFmtId="9">
      <sharedItems containsMixedTypes="1" containsNumber="1" minValue="0" maxValue="46"/>
    </cacheField>
    <cacheField name="Replacement (YES/NO)" numFmtId="0">
      <sharedItems/>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Soe Paing" refreshedDate="42768.696714583333" createdVersion="4" refreshedVersion="5" minRefreshableVersion="3" recordCount="167">
  <cacheSource type="worksheet">
    <worksheetSource name="Table10"/>
  </cacheSource>
  <cacheFields count="14">
    <cacheField name="Pcode" numFmtId="0">
      <sharedItems/>
    </cacheField>
    <cacheField name="Priority" numFmtId="0">
      <sharedItems count="4">
        <s v="P1"/>
        <s v="P2"/>
        <s v="P3"/>
        <s v="P4"/>
      </sharedItems>
    </cacheField>
    <cacheField name="Camp" numFmtId="0">
      <sharedItems/>
    </cacheField>
    <cacheField name="Township" numFmtId="0">
      <sharedItems/>
    </cacheField>
    <cacheField name="HH" numFmtId="0">
      <sharedItems containsSemiMixedTypes="0" containsString="0" containsNumber="1" containsInteger="1" minValue="0" maxValue="1649"/>
    </cacheField>
    <cacheField name="Ind" numFmtId="0">
      <sharedItems containsSemiMixedTypes="0" containsString="0" containsNumber="1" containsInteger="1" minValue="0" maxValue="8965"/>
    </cacheField>
    <cacheField name="Winter Clothes Adult " numFmtId="0">
      <sharedItems containsSemiMixedTypes="0" containsString="0" containsNumber="1" containsInteger="1" minValue="0" maxValue="380"/>
    </cacheField>
    <cacheField name="Winter Clothes Children " numFmtId="0">
      <sharedItems containsSemiMixedTypes="0" containsString="0" containsNumber="1" containsInteger="1" minValue="0" maxValue="1145"/>
    </cacheField>
    <cacheField name="Winter Items Other " numFmtId="0">
      <sharedItems containsSemiMixedTypes="0" containsString="0" containsNumber="1" containsInteger="1" minValue="0" maxValue="0"/>
    </cacheField>
    <cacheField name="WC_Adult_Gap" numFmtId="0">
      <sharedItems containsSemiMixedTypes="0" containsString="0" containsNumber="1" containsInteger="1" minValue="0" maxValue="3298"/>
    </cacheField>
    <cacheField name="WC_Child_Gap" numFmtId="0">
      <sharedItems containsSemiMixedTypes="0" containsString="0" containsNumber="1" containsInteger="1" minValue="0" maxValue="1649"/>
    </cacheField>
    <cacheField name="WI_Other_Gap" numFmtId="0">
      <sharedItems containsSemiMixedTypes="0" containsString="0" containsNumber="1" containsInteger="1" minValue="0" maxValue="1649"/>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Thi Thi Lwin" refreshedDate="42774.378870138891" missingItemsLimit="0" createdVersion="4" refreshedVersion="5" minRefreshableVersion="3" recordCount="1334">
  <cacheSource type="worksheet">
    <worksheetSource name="Table_NFI"/>
  </cacheSource>
  <cacheFields count="49">
    <cacheField name="Months" numFmtId="1">
      <sharedItems containsMixedTypes="1" containsNumber="1" minValue="-0.96666666666666667" maxValue="60.866666666666667"/>
    </cacheField>
    <cacheField name="Distribution Date" numFmtId="169">
      <sharedItems containsNonDate="0" containsDate="1" containsString="0" containsBlank="1" minDate="2011-11-02T00:00:00" maxDate="2016-12-01T00:00:00"/>
    </cacheField>
    <cacheField name="Organization" numFmtId="0">
      <sharedItems containsBlank="1" count="14">
        <s v="Solidarities"/>
        <s v="UNHCR"/>
        <s v="UNHCR "/>
        <s v="ICRC"/>
        <s v="Plan-Myanmar"/>
        <s v="CRCS"/>
        <s v="DRC"/>
        <s v="CRC"/>
        <s v="Save the Children"/>
        <s v="FSD"/>
        <s v="MRCS"/>
        <s v="DFID"/>
        <s v="World Vision"/>
        <m/>
      </sharedItems>
    </cacheField>
    <cacheField name="Implementing Partner" numFmtId="0">
      <sharedItems containsBlank="1"/>
    </cacheField>
    <cacheField name="State" numFmtId="0">
      <sharedItems containsBlank="1"/>
    </cacheField>
    <cacheField name="Township" numFmtId="0">
      <sharedItems containsBlank="1"/>
    </cacheField>
    <cacheField name="Camp Name" numFmtId="0">
      <sharedItems containsBlank="1"/>
    </cacheField>
    <cacheField name="Hygiene Kit" numFmtId="0">
      <sharedItems containsString="0" containsBlank="1" containsNumber="1" containsInteger="1" minValue="1" maxValue="5228"/>
    </cacheField>
    <cacheField name="NFI Core Kit" numFmtId="0">
      <sharedItems containsString="0" containsBlank="1" containsNumber="1" containsInteger="1" minValue="4" maxValue="200"/>
    </cacheField>
    <cacheField name="Sanitary Kit" numFmtId="0">
      <sharedItems containsString="0" containsBlank="1" containsNumber="1" containsInteger="1" minValue="1" maxValue="2350"/>
    </cacheField>
    <cacheField name="Mosquito net" numFmtId="0">
      <sharedItems containsString="0" containsBlank="1" containsNumber="1" containsInteger="1" minValue="0" maxValue="3256"/>
    </cacheField>
    <cacheField name="Tarpaulin" numFmtId="0">
      <sharedItems containsString="0" containsBlank="1" containsNumber="1" containsInteger="1" minValue="0" maxValue="1628"/>
    </cacheField>
    <cacheField name="Blanket" numFmtId="0">
      <sharedItems containsString="0" containsBlank="1" containsNumber="1" containsInteger="1" minValue="0" maxValue="3256"/>
    </cacheField>
    <cacheField name="Kitchen Set" numFmtId="0">
      <sharedItems containsString="0" containsBlank="1" containsNumber="1" containsInteger="1" minValue="0" maxValue="1628"/>
    </cacheField>
    <cacheField name="Clothes Kit" numFmtId="0">
      <sharedItems containsString="0" containsBlank="1" containsNumber="1" containsInteger="1" minValue="0" maxValue="760"/>
    </cacheField>
    <cacheField name="Plastic Bucket" numFmtId="0">
      <sharedItems containsString="0" containsBlank="1" containsNumber="1" containsInteger="1" minValue="0" maxValue="1628"/>
    </cacheField>
    <cacheField name="Plastic Mat" numFmtId="0">
      <sharedItems containsString="0" containsBlank="1" containsNumber="1" containsInteger="1" minValue="0" maxValue="5268"/>
    </cacheField>
    <cacheField name="Winter Clothes Adult" numFmtId="0">
      <sharedItems containsString="0" containsBlank="1" containsNumber="1" containsInteger="1" minValue="2" maxValue="2676"/>
    </cacheField>
    <cacheField name="Winter Clothes Children" numFmtId="0">
      <sharedItems containsString="0" containsBlank="1" containsNumber="1" containsInteger="1" minValue="8" maxValue="3600"/>
    </cacheField>
    <cacheField name="Winter Items Other" numFmtId="0">
      <sharedItems containsString="0" containsBlank="1" containsNumber="1" containsInteger="1" minValue="0" maxValue="3816"/>
    </cacheField>
    <cacheField name="Winter Blanket" numFmtId="0">
      <sharedItems containsString="0" containsBlank="1" containsNumber="1" containsInteger="1" minValue="10" maxValue="3186"/>
    </cacheField>
    <cacheField name="Jerry Can" numFmtId="0">
      <sharedItems containsString="0" containsBlank="1" containsNumber="1" containsInteger="1" minValue="1" maxValue="405"/>
    </cacheField>
    <cacheField name="Shelter Tool kit" numFmtId="0">
      <sharedItems containsString="0" containsBlank="1" containsNumber="1" containsInteger="1" minValue="1" maxValue="152"/>
    </cacheField>
    <cacheField name="Tent" numFmtId="0">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1807"/>
    </cacheField>
    <cacheField name="Mosquito net_LS" numFmtId="0">
      <sharedItems containsString="0" containsBlank="1" containsNumber="1" containsInteger="1" minValue="0" maxValue="600"/>
    </cacheField>
    <cacheField name="Tarpaulin_LS" numFmtId="0">
      <sharedItems containsString="0" containsBlank="1" containsNumber="1" containsInteger="1" minValue="0" maxValue="53"/>
    </cacheField>
    <cacheField name="Blanket_LS" numFmtId="0">
      <sharedItems containsString="0" containsBlank="1" containsNumber="1" containsInteger="1" minValue="0" maxValue="670"/>
    </cacheField>
    <cacheField name="Kitchen Set_LS" numFmtId="0">
      <sharedItems containsString="0" containsBlank="1" containsNumber="1" containsInteger="1" minValue="0" maxValue="64"/>
    </cacheField>
    <cacheField name="Clothes Kit_LS" numFmtId="0">
      <sharedItems containsString="0" containsBlank="1" containsNumber="1" containsInteger="1" minValue="0" maxValue="7"/>
    </cacheField>
    <cacheField name="Plastic Bucket _LS" numFmtId="0">
      <sharedItems containsString="0" containsBlank="1" containsNumber="1" containsInteger="1" minValue="0" maxValue="345"/>
    </cacheField>
    <cacheField name="Plastic  Mat_LS" numFmtId="0">
      <sharedItems containsString="0" containsBlank="1" containsNumber="1" minValue="0" maxValue="327.5"/>
    </cacheField>
    <cacheField name="Winter Clothes Adult_LS" numFmtId="0">
      <sharedItems containsString="0" containsBlank="1" containsNumber="1" containsInteger="1" minValue="0" maxValue="380"/>
    </cacheField>
    <cacheField name="Winter Clothes Children_LS" numFmtId="0">
      <sharedItems containsString="0" containsBlank="1" containsNumber="1" containsInteger="1" minValue="0" maxValue="765"/>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346"/>
    </cacheField>
    <cacheField name="Winter" numFmtId="0">
      <sharedItems containsString="0" containsBlank="1" containsNumber="1" containsInteger="1" minValue="0" maxValue="1" count="3">
        <n v="0"/>
        <m/>
        <n v="1"/>
      </sharedItems>
    </cacheField>
    <cacheField name="Jerry Can_LS" numFmtId="0">
      <sharedItems containsString="0" containsBlank="1" containsNumber="1" containsInteger="1" minValue="0" maxValue="64"/>
    </cacheField>
    <cacheField name="Shelter Tool kit_LS" numFmtId="0">
      <sharedItems containsSemiMixedTypes="0" containsString="0" containsNumber="1" containsInteger="1" minValue="0" maxValue="152"/>
    </cacheField>
    <cacheField name="Tent_LS" numFmtId="0">
      <sharedItems containsSemiMixedTypes="0" containsString="0" containsNumber="1" containsInteger="1" minValue="0" maxValue="71"/>
    </cacheField>
    <cacheField name="Pcode" numFmtId="0">
      <sharedItems/>
    </cacheField>
    <cacheField name="opening_date" numFmtId="1">
      <sharedItems containsBlank="1" containsMixedTypes="1" containsNumber="1" containsInteger="1" minValue="0" maxValue="1" count="4">
        <n v="0"/>
        <n v="1"/>
        <m/>
        <s v=""/>
      </sharedItems>
    </cacheField>
    <cacheField name="Status" numFmtId="0">
      <sharedItems count="3">
        <s v="Open"/>
        <s v=""/>
        <s v="Closed"/>
      </sharedItems>
    </cacheField>
    <cacheField name="Priority" numFmtId="0">
      <sharedItems containsBlank="1" containsMixedTypes="1" containsNumber="1" containsInteger="1" minValue="0" maxValue="0" count="7">
        <s v="P4"/>
        <s v="P3"/>
        <n v="0"/>
        <m/>
        <s v=""/>
        <s v="P1"/>
        <s v="P2"/>
      </sharedItems>
    </cacheField>
    <cacheField name="Coverage" numFmtId="9">
      <sharedItems containsBlank="1" containsMixedTypes="1" containsNumber="1" minValue="0" maxValue="4.25"/>
    </cacheField>
    <cacheField name="Planned Distribution" numFmtId="0">
      <sharedItems containsBlank="1"/>
    </cacheField>
    <cacheField name="Comment"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Thi Thi Lwin" refreshedDate="42774.378870601853" missingItemsLimit="0" createdVersion="4" refreshedVersion="5" minRefreshableVersion="3" recordCount="274">
  <cacheSource type="worksheet">
    <worksheetSource name="AllData_CampList"/>
  </cacheSource>
  <cacheFields count="42">
    <cacheField name="Status" numFmtId="0">
      <sharedItems count="2">
        <s v="Open"/>
        <s v="Closed"/>
      </sharedItems>
    </cacheField>
    <cacheField name="State" numFmtId="0">
      <sharedItems count="2">
        <s v="Kachin"/>
        <s v="Shan_North"/>
      </sharedItems>
    </cacheField>
    <cacheField name="S_Pcode" numFmtId="0">
      <sharedItems/>
    </cacheField>
    <cacheField name="District" numFmtId="0">
      <sharedItems/>
    </cacheField>
    <cacheField name="D_Pcode" numFmtId="0">
      <sharedItems/>
    </cacheField>
    <cacheField name="Township" numFmtId="0">
      <sharedItems count="22">
        <s v="Myitkyina"/>
        <s v="Waingmaw"/>
        <s v="Chipwi"/>
        <s v="Bhamo"/>
        <s v="Momauk"/>
        <s v="Mansi"/>
        <s v="Shwegu"/>
        <s v="Khaunglanhpu"/>
        <s v="Puta-O"/>
        <s v="Mogaung"/>
        <s v="Mohnyin"/>
        <s v="Hpakant"/>
        <s v="Injangyang"/>
        <s v="Sumprabum"/>
        <s v="Machanbaw"/>
        <s v="Namhkan"/>
        <s v="Muse"/>
        <s v="Kutkai"/>
        <s v="Manton"/>
        <s v="Namtu"/>
        <s v="Hseni"/>
        <s v="Hsipaw"/>
      </sharedItems>
      <fieldGroup par="38"/>
    </cacheField>
    <cacheField name="T_Pcode" numFmtId="0">
      <sharedItems/>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85" maxValue="220512"/>
    </cacheField>
    <cacheField name="Camp" numFmtId="0">
      <sharedItems count="271">
        <s v="Tat Kone Baptist Church"/>
        <s v="Njang Dung Baptist Church "/>
        <s v="Tat Kone Galile Baptist Church"/>
        <s v="Tat Kone Emanuel Church"/>
        <s v="Tat Kone San Pya Baptist Church"/>
        <s v="Shatapru Sut Ngai Tawng"/>
        <s v="Shatapru Thida Aye Baptist Church"/>
        <s v="Man Hkring Baptist Church"/>
        <s v="Shwe Zet Baptist Church"/>
        <s v="Du Kahtawng Qtr. 4"/>
        <s v="Du Kahtawng Qtr. 5"/>
        <s v="Du Kahtawng Qtr. 14"/>
        <s v="Kyun Pin Thar Baptist Church"/>
        <s v="Le Kone Ziun Baptist Church "/>
        <s v="Le Kone Bethlehem Church"/>
        <s v="Maliyang Baptist Church"/>
        <s v="Myay Myint Baptist Church"/>
        <s v="Jan Mai Kawng Baptist Church"/>
        <s v="Jan Mai Kawng Catholic Church"/>
        <s v="Maw Hpawng Hka Nan Baptist Church"/>
        <s v="Maw Hpawng Lhaovo Baptist Church"/>
        <s v="Wun Tho Buddhist Monastery"/>
        <s v="Tat Kone COC Baptist - Tat Kone Htoi San"/>
        <s v="Nan Kway St. John Catholic Church"/>
        <s v="Qtr. 2 Myoma Baptist Church"/>
        <s v="Qtr. 4 Monestry (Thargaya Thayett Taw)"/>
        <s v="Mading Baptist Church"/>
        <s v="Hkat Cho "/>
        <s v="Maina Catholic Church (St. Joseph)"/>
        <s v="Qtr. 3 Mu-yin  Baptist Church"/>
        <s v="Maina AG Church"/>
        <s v="Qtr. 2 Lhaovo Baptist Church"/>
        <s v="Nawng Hee Village"/>
        <s v="Nawng Si Paw Village - Inn Lay"/>
        <s v="Moke Lwe Village - Hkar Shi"/>
        <s v="Waingmaw Baptist Zonal Office"/>
        <s v="Thargaya Lisu Baptist Church"/>
        <s v="Waingmaw AG Church"/>
        <s v="Maina Lawang Baptist Church"/>
        <s v="Maina KBC (Bawng Ring)"/>
        <s v="Shing Jai"/>
        <s v="Chipwi KBC camp"/>
        <s v="Hpare Hkyer - BP6"/>
        <s v="Women's Affairs Association Building"/>
        <s v="Lan Jaw "/>
        <s v="Gant Gwin"/>
        <s v="Robert Church"/>
        <s v="Kannar Yeik Thar"/>
        <s v="Lisu Boarding-House"/>
        <s v="AD-2000 Tharthana Compound"/>
        <s v="Mu-yin Baptist Church"/>
        <s v="Htoi San Church"/>
        <s v="Yoe Kyi Monastery"/>
        <s v="Nant Hlaing Church"/>
        <s v="Ta Gun Taing Monastery (Shwe Kyi Na)"/>
        <s v="Momauk Baptist Church"/>
        <s v="Momauk Catholic Church (St. Patrick)"/>
        <s v="Mandalay Monestry"/>
        <s v="Ni Thaw Ka Monestry"/>
        <s v="Tarli "/>
        <s v="Myo Thit "/>
        <s v="Man Bung Catholic compound"/>
        <s v="Man Nawng "/>
        <s v="Mai Khat "/>
        <s v="Phar Kay/Nant Waing "/>
        <s v="Mansi Baptist Church"/>
        <s v="Shwe Gu Baptist Church"/>
        <s v="Shwe Gu Catholic Church"/>
        <s v="Loi Je Catholic Church"/>
        <s v="Loi Je Lisu Camp"/>
        <s v="Loi Je Baptist Church"/>
        <s v="Nyaung Na Pin "/>
        <s v="Seng Ja "/>
        <s v="La Ja"/>
        <s v="Tote Tan Ward"/>
        <s v="Mang Hawng Baptist Church"/>
        <s v="Kyun Taw Baptist Church "/>
        <s v="Nat Gyi Kone Baptist Church "/>
        <s v="St. Patrick Catholic Church "/>
        <s v="Nant Mun"/>
        <s v="Nga Pyaw Taw Baptist Nursery School "/>
        <s v="Nga Pyaw Taw Roman Catholic Church"/>
        <s v="Maw Wan, Kyauk Hlaing Gu Pagoda Compound"/>
        <s v="Maw Wan, Kachin Baptist Church"/>
        <s v="Chin(Zomi) Baptist Church"/>
        <s v="Maw Wan, Myo Oo Pagoda"/>
        <s v="Maw Wan, Catholic Church"/>
        <s v="Maw Wan, Mu-yin Baptist Church"/>
        <s v="Aye Mya Tharyar Church of Christ "/>
        <s v="Mashi Kahtawng Catholic Church"/>
        <s v="Mashi Kahtawng Baptist  Church"/>
        <s v="Mashi Kahtawng Rakhine traditional group"/>
        <s v="Mashi Kahtawng Evangelical Church"/>
        <s v="Mashi Kahtawng Yaung Chi Oo Thi la shin Monestry"/>
        <s v="Mashi Kahtawng Municipal Dammar Yone"/>
        <s v="Mashi Kahtawng Myo Oo Taw Ya Monestry"/>
        <s v="Mashi Kahtawng Shan Traditional Monestry"/>
        <s v="Thiri Mingalar Manizay Yone, Myoma Quarter"/>
        <s v="Parami, Charity Office, MyoMa Quarter"/>
        <s v="Nant Ma Hpit Catholic Church"/>
        <s v="San Kyel, Masoe Yein Monestry"/>
        <s v="Yumar Baptist Church"/>
        <s v="Maw Si Zar, Thiriyardanar Sein, Damma Compound, Lone Khin"/>
        <s v="Ma Mon Buddhist Monastery"/>
        <s v="Sa Baw Sarsana Parla Monastery"/>
        <s v="Chin Church, Seik Mu"/>
        <s v="Tar Ma Hkan Buddhist Monastery, Haung Par"/>
        <s v="Zai Awng - Mung Ga Zup"/>
        <s v="Border Post 8"/>
        <s v="Border Post 10"/>
        <s v="Hkau Shau (BP 12)"/>
        <s v="Woi Chyai "/>
        <s v="Laiza Market 3 - Laiza Gat"/>
        <s v="Manau Compound"/>
        <s v="Maga Yang "/>
        <s v="Pajau - Jan Mai"/>
        <s v="Je Yang Hka "/>
        <s v="Hpun Lum Yang "/>
        <s v="Dum Bung "/>
        <s v="Pa Kahtawng "/>
        <s v="Lana Zup Ja "/>
        <s v="Bum Tsit Pa "/>
        <s v="Nhkawng Pa "/>
        <s v="Man Wing Catholic Church"/>
        <s v="Man Wing Baptist Church"/>
        <s v="Man Wing Host Families"/>
        <s v="Lung Kawk  ( Hka Hkye Zup)"/>
        <s v="Nam Hka Mare (west of Man Wing)"/>
        <s v="Nam Lim Pa - Scattered IDPs in forest"/>
        <s v="Lawk Hkawng Ginwang"/>
        <s v="Lawk Awng Mare D. (Sinbo Area)"/>
        <s v="Hlaing Naung Baptist"/>
        <s v="Laiza Muklum Hpyen  Yen Mungshawa ni"/>
        <s v="Nawng Ing (Indawgyi) Baptist Church  "/>
        <s v="Daw Hpum Yang Ninghtawn"/>
        <s v="Post 6 Camp"/>
        <s v="Pa Dauk Myaing(Pa La Na)"/>
        <s v="Host Families"/>
        <s v="Lisu Baptist Church, Maw Wan Ward"/>
        <s v="5 Ward RC Church(lon Khin)"/>
        <s v="Baptist Church, Hmaw Si Sar(Lon Khin)"/>
        <s v="Away Yar Rama Monastery, Ka Day village"/>
        <s v="1 Ward, Sein Yadanar Company(Lon Khin)"/>
        <s v="Baptist Church, Sai Ra village"/>
        <s v="Anglican Church, Hmaw Si Sar"/>
        <s v="Dhama Rakhita, Nyein Chan Tar Yar Ward(Lon Khin)"/>
        <s v="Wrad(5) Christian Association"/>
        <s v="AG Church, Hmaw Si Sa"/>
        <s v="Muring Baptist Church, Awng Ra, Wa Ra Zut VT"/>
        <s v="May Di Ka Rama Monastery(Lon Khin)"/>
        <s v="5 Ward Baptist Church(lon Khin)"/>
        <s v="Ei Wan Gali Asso., Ward 1, Seik Mu"/>
        <s v="Lisu Baptist Church, Maw Shan Vil,. Seik Mu"/>
        <s v="Rawan Baptist Church, Maw Shan Vil., Seik Mu"/>
        <s v="Sai Nai Baptish Church, Maw Shan Vil., Seki Mu"/>
        <s v="Ward 2 Sai Taung Baptist Church, Seik Mu "/>
        <s v="Ward 2 Cahotlic Church, Seik Mu"/>
        <s v="Free Christian Asso., Ward 1, Seik Mu"/>
        <s v="Baptist Church, Naung Hmee VT"/>
        <s v="Hmaw Wan, Baptist Christian Church"/>
        <s v="AG Church, Maw Wan"/>
        <s v="Hmaw Wan, Anglican"/>
        <s v="Nam Ma Phyit, COC"/>
        <s v="Phan Khar Kone"/>
        <s v="Aung Thar Church"/>
        <s v="Lhaovao Baptist Church (LBC)"/>
        <s v="Man Ting"/>
        <s v="Khun Sint Village"/>
        <s v="Zomee Baptist Church camp, Hmaw Wan"/>
        <s v="Lagatyan "/>
        <s v="Mung Ding Pa  (Boarder)"/>
        <s v="Nam Lim Pa"/>
        <s v="Sumprabum"/>
        <s v="IDP Boarding School, A Len Bum"/>
        <s v="Nam Lim Pa    (Boarding School)"/>
        <s v="Pan Wa"/>
        <s v="Thu Kha Waddy"/>
        <s v="Man Kawng Baptist Church"/>
        <s v="Man Kawng Catholic Church"/>
        <s v="Ban Hkung Yang (Boarding School)"/>
        <s v="Ban Hkung (School)"/>
        <s v="Ban Hkung Yang"/>
        <s v="IDPs scattered in South Mansi"/>
        <s v="Maing Khaung"/>
        <s v="Si Hkan Gyi"/>
        <s v="Naung Khaing"/>
        <s v="Machanbaw - KBC"/>
        <s v="St. Patrick Church, Bhamo"/>
        <s v="Maing Khaung Catholic Church"/>
        <s v="Tharthana Ahlin Yaung New Monastery"/>
        <s v="Saw Zam"/>
        <s v="Bum Tsit Pa Camp II"/>
        <s v="Inn Lel Yan - Host Families"/>
        <s v="Man Wing Catholic Church II"/>
        <s v="Hpakant Baptist Church, Nam Ma Hpit"/>
        <s v="Man Wing Baptist Church Cultural Compound"/>
        <s v="Ku Day Maw KBC"/>
        <s v="Hopin Host Families"/>
        <s v="Moenyin Host Families"/>
        <s v="Lung Sut"/>
        <s v="Sar Hmaw - ICM"/>
        <s v="Sar Hmaw - KBC"/>
        <s v="Ma Hawng RC "/>
        <s v="Ndup Yang"/>
        <s v="Salang Yang"/>
        <s v="Dawthponeyan Boarding School"/>
        <s v="Mung Ding Pa "/>
        <s v="Wara Zup KBC Church"/>
        <s v="A Lo Taw Pyae monastery"/>
        <s v="Shar Du Zut KBC church "/>
        <s v="Thar Ta Na Aung San monastery"/>
        <s v="Shar Du Zut RC church"/>
        <s v="Muyin church (Aung Yar pre-school compound)"/>
        <s v="Nam Hkam (KBC Jaw Wang)"/>
        <s v="Nam Hkam Malut Jak "/>
        <s v="Nam Hkam Catholic Church ( St. Thomas I)"/>
        <s v="Nam Hkam - Nay Win Ni (Palawng)"/>
        <s v="Mung Baw "/>
        <s v="Mungji Pa Dabang (Baptist Church)         "/>
        <s v="Nam Hpak Ka Mare "/>
        <s v="Mandung - Jinghpaw"/>
        <s v="Howa"/>
        <s v="Nam Hkyet"/>
        <s v="Munekoe Pa (Giwang) - Hka San (Mung  Go  Pa ) "/>
        <s v="Nam Tu Baptist"/>
        <s v="Kone Khem Camp"/>
        <s v="Kutkai downtown (KBC Church)"/>
        <s v="Kutkai downtown (RC Church)"/>
        <s v="Mine Yu Lay village"/>
        <s v="Mungji Pa Dabang (RC Church)         "/>
        <s v="Zup Aung Camp"/>
        <s v="Hpai Kawng Mare"/>
        <s v="Nam Hkam Catholic Church ( St. Thomas II)"/>
        <s v="Nam Hkawng"/>
        <s v="Narte"/>
        <s v="Mandung - RC"/>
        <s v="Nam Tu RC"/>
        <s v="Galeng (Kachin)"/>
        <s v="Galeng (Palaung)"/>
        <s v="Muse Baptist Church"/>
        <s v="Nam Hkam (KBC Jaw Wang) II"/>
        <s v="Namhkan - Pang Long KBC"/>
        <s v="Muse Catholic Church"/>
        <s v="Mungji Pa Dabang (Catholic Church)"/>
        <s v="Nam Sa Larp"/>
        <s v="New Pang Ku "/>
        <s v="Mai Yu Lay Ta'ang"/>
        <s v="Pan Ta Pyae"/>
        <s v="Man Sa"/>
        <s v="Mong Wee Ta'ang"/>
        <s v="Mong Wee Shan"/>
        <s v="Nam Hpak Ka Ta'ang"/>
        <s v="Tsan Lun - Namjarap"/>
        <s v="Mung Hawm "/>
        <s v="Shwe Myint Thar Monastry "/>
        <s v="Namtu RC"/>
        <s v="Namtu KBC 1"/>
        <s v="Namtu KBC 2"/>
        <s v="Lisu Church Namtu"/>
        <s v="KBC (Ho Mun Ward)"/>
        <s v="Monastery (Myauk Kyaung)_North ward"/>
        <s v="Kamahtan Kyaung_(South ward)"/>
        <s v="Jwan Jaw KBC"/>
        <s v="Aung Mingalar_(Swan Saw ward)"/>
        <s v="Namt Hkun monastery"/>
        <s v="St. Peter Church (Ho Mun ward)"/>
        <s v="Gawrakha Youth Association"/>
        <s v="B.E.H.S 2 (Ho Mun ward)"/>
        <s v="B.E.H.S 4 (Ho Mun ward)"/>
        <s v="Wein Sai Church "/>
        <s v="Man Kaung/Naung Ti Kyar Village"/>
      </sharedItems>
    </cacheField>
    <cacheField name="CP_Pcode" numFmtId="0">
      <sharedItems count="274">
        <s v="MMR001CMP001"/>
        <s v="MMR001CMP002"/>
        <s v="MMR001CMP003"/>
        <s v="MMR001CMP004"/>
        <s v="MMR001CMP005"/>
        <s v="MMR001CMP006"/>
        <s v="MMR001CMP007"/>
        <s v="MMR001CMP008"/>
        <s v="MMR001CMP009"/>
        <s v="MMR001CMP010"/>
        <s v="MMR001CMP011"/>
        <s v="MMR001CMP012"/>
        <s v="MMR001CMP013"/>
        <s v="MMR001CMP014"/>
        <s v="MMR001CMP015"/>
        <s v="MMR001CMP016"/>
        <s v="MMR001CMP017"/>
        <s v="MMR001CMP018"/>
        <s v="MMR001CMP019"/>
        <s v="MMR001CMP020"/>
        <s v="MMR001CMP021"/>
        <s v="MMR001CMP022"/>
        <s v="MMR001CMP023"/>
        <s v="MMR001CMP024"/>
        <s v="MMR001CMP025"/>
        <s v="MMR001CMP026"/>
        <s v="MMR001CMP027"/>
        <s v="MMR001CMP028"/>
        <s v="MMR001CMP029"/>
        <s v="MMR001CMP030"/>
        <s v="MMR001CMP031"/>
        <s v="MMR001CMP032"/>
        <s v="MMR001CMP033"/>
        <s v="MMR001CMP034"/>
        <s v="MMR001CMP035"/>
        <s v="MMR001CMP036"/>
        <s v="MMR001CMP037"/>
        <s v="MMR001CMP038"/>
        <s v="MMR001CMP039"/>
        <s v="MMR001CMP040"/>
        <s v="MMR001CMP041"/>
        <s v="MMR001CMP042"/>
        <s v="MMR001CMP043"/>
        <s v="MMR001CMP044"/>
        <s v="MMR001CMP045"/>
        <s v="MMR001CMP046"/>
        <s v="MMR001CMP047"/>
        <s v="MMR001CMP048"/>
        <s v="MMR001CMP049"/>
        <s v="MMR001CMP050"/>
        <s v="MMR001CMP051"/>
        <s v="MMR001CMP052"/>
        <s v="MMR001CMP053"/>
        <s v="MMR001CMP054"/>
        <s v="MMR001CMP055"/>
        <s v="MMR001CMP056"/>
        <s v="MMR001CMP057"/>
        <s v="MMR001CMP058"/>
        <s v="MMR001CMP059"/>
        <s v="MMR001CMP060"/>
        <s v="MMR001CMP061"/>
        <s v="MMR001CMP062"/>
        <s v="MMR001CMP063"/>
        <s v="MMR001CMP064"/>
        <s v="MMR001CMP065"/>
        <s v="MMR001CMP066"/>
        <s v="MMR001CMP067"/>
        <s v="MMR001CMP068"/>
        <s v="MMR001CMP069"/>
        <s v="MMR001CMP070"/>
        <s v="MMR001CMP071"/>
        <s v="MMR001CMP072"/>
        <s v="MMR001CMP073"/>
        <s v="MMR001CMP074"/>
        <s v="MMR001CMP075"/>
        <s v="MMR001CMP077"/>
        <s v="MMR001CMP078"/>
        <s v="MMR001CMP079"/>
        <s v="MMR001CMP080"/>
        <s v="MMR001CMP081"/>
        <s v="MMR001CMP082"/>
        <s v="MMR001CMP083"/>
        <s v="MMR001CMP084"/>
        <s v="MMR001CMP085"/>
        <s v="MMR001CMP086"/>
        <s v="MMR001CMP088"/>
        <s v="MMR001CMP090"/>
        <s v="MMR001CMP091"/>
        <s v="MMR001CMP092"/>
        <s v="MMR001CMP093"/>
        <s v="MMR001CMP094"/>
        <s v="MMR001CMP095"/>
        <s v="MMR001CMP096"/>
        <s v="MMR001CMP097"/>
        <s v="MMR001CMP098"/>
        <s v="MMR001CMP099"/>
        <s v="MMR001CMP100"/>
        <s v="MMR001CMP101"/>
        <s v="MMR001CMP102"/>
        <s v="MMR001CMP103"/>
        <s v="MMR001CMP104"/>
        <s v="MMR001CMP105"/>
        <s v="MMR001CMP106"/>
        <s v="MMR001CMP107"/>
        <s v="MMR001CMP108"/>
        <s v="MMR001CMP109"/>
        <s v="MMR001CMP110"/>
        <s v="MMR001CMP111"/>
        <s v="MMR001CMP113"/>
        <s v="MMR001CMP114"/>
        <s v="MMR001CMP115"/>
        <s v="MMR001CMP116"/>
        <s v="MMR001CMP117"/>
        <s v="MMR001CMP118"/>
        <s v="MMR001CMP119"/>
        <s v="MMR001CMP120"/>
        <s v="MMR001CMP121"/>
        <s v="MMR001CMP122"/>
        <s v="MMR001CMP123"/>
        <s v="MMR001CMP126"/>
        <s v="MMR001CMP128"/>
        <s v="MMR001CMP129"/>
        <s v="MMR001CMP131"/>
        <s v="MMR001CMP132"/>
        <s v="MMR001CMP133"/>
        <s v="MMR001CMP134"/>
        <s v="MMR001CMP135"/>
        <s v="MMR001CMP136"/>
        <s v="MMR001CMP137"/>
        <s v="MMR001CMP146"/>
        <s v="MMR001CMP147"/>
        <s v="MMR001CMP148"/>
        <s v="MMR001CMP149"/>
        <s v="MMR001CMP152"/>
        <s v="MMR001CMP153"/>
        <s v="MMR001CMP160"/>
        <s v="MMR001CMP162"/>
        <s v="MMR001CMP163"/>
        <s v="MMR001CMP167"/>
        <s v="MMR001CMP168"/>
        <s v="MMR001CMP169"/>
        <s v="MMR001CMP170"/>
        <s v="MMR001CMP171"/>
        <s v="MMR001CMP172"/>
        <s v="MMR001CMP173"/>
        <s v="MMR001CMP174"/>
        <s v="MMR001CMP175"/>
        <s v="MMR001CMP176"/>
        <s v="MMR001CMP177"/>
        <s v="MMR001CMP178"/>
        <s v="MMR001CMP179"/>
        <s v="MMR001CMP180"/>
        <s v="MMR001CMP181"/>
        <s v="MMR001CMP182"/>
        <s v="MMR001CMP183"/>
        <s v="MMR001CMP184"/>
        <s v="MMR001CMP185"/>
        <s v="MMR001CMP186"/>
        <s v="MMR001CMP188"/>
        <s v="MMR001CMP189"/>
        <s v="MMR001CMP190"/>
        <s v="MMR001CMP191"/>
        <s v="MMR001CMP192"/>
        <s v="MMR001CMP193"/>
        <s v="MMR001CMP194"/>
        <s v="MMR001CMP195"/>
        <s v="MMR001CMP196"/>
        <s v="MMR001CMP197"/>
        <s v="MMR001CMP198"/>
        <s v="MMR001CMP199"/>
        <s v="MMR001CMP200"/>
        <s v="MMR001CMP201"/>
        <s v="MMR001CMP202"/>
        <s v="MMR001CMP203"/>
        <s v="MMR001CMP204"/>
        <s v="MMR001CMP206"/>
        <s v="MMR001CMP208"/>
        <s v="MMR001CMP209"/>
        <s v="MMR001CMP210"/>
        <s v="MMR001CMP211"/>
        <s v="MMR001CMP212"/>
        <s v="MMR001CMP213"/>
        <s v="MMR001CMP214"/>
        <s v="MMR001CMP215"/>
        <s v="MMR001CMP216"/>
        <s v="MMR001CMP217"/>
        <s v="MMR001CMP218"/>
        <s v="MMR001CMP219"/>
        <s v="MMR001CMP220"/>
        <s v="MMR001CMP221"/>
        <s v="MMR001CMP222"/>
        <s v="MMR001CMP223"/>
        <s v="MMR001CMP224"/>
        <s v="MMR001CMP225"/>
        <s v="MMR001CMP226"/>
        <s v="MMR001CMP227"/>
        <s v="MMR001CMP228"/>
        <s v="MMR001CMP229"/>
        <s v="MMR001CMP230"/>
        <s v="MMR001CMP231"/>
        <s v="MMR001CMP232"/>
        <s v="MMR001CMP233"/>
        <s v="MMR001CMP234"/>
        <s v="MMR001CMP235"/>
        <s v="MMR001CMP236"/>
        <s v="MMR001CMP237"/>
        <s v="MMR001CMP238"/>
        <s v="MMR001CMP239"/>
        <s v="MMR001CMP240"/>
        <s v="MMR001CMP241"/>
        <s v="MMR001CMP242"/>
        <s v="MMR001CMP243"/>
        <s v="MMR001CMP244"/>
        <s v="MMR001CMP245"/>
        <s v="MMR001CMP246"/>
        <s v="MMR001CMP247"/>
        <s v="MMR015CMP001"/>
        <s v="MMR015CMP002"/>
        <s v="MMR015CMP003"/>
        <s v="MMR015CMP004"/>
        <s v="MMR015CMP005"/>
        <s v="MMR015CMP006"/>
        <s v="MMR015CMP007"/>
        <s v="MMR015CMP009"/>
        <s v="MMR015CMP010"/>
        <s v="MMR015CMP011"/>
        <s v="MMR015CMP012"/>
        <s v="MMR015CMP014"/>
        <s v="MMR015CMP015"/>
        <s v="MMR015CMP016"/>
        <s v="MMR015CMP017"/>
        <s v="MMR015CMP018"/>
        <s v="MMR015CMP019"/>
        <s v="MMR015CMP020"/>
        <s v="MMR015CMP022"/>
        <s v="MMR015CMP024"/>
        <s v="MMR015CMP139"/>
        <s v="MMR015CMP207"/>
        <s v="MMR015CMP209"/>
        <s v="MMR015CMP210"/>
        <s v="MMR015CMP211"/>
        <s v="MMR015CMP212"/>
        <s v="MMR015CMP213"/>
        <s v="MMR015CMP214"/>
        <s v="MMR015CMP215"/>
        <s v="MMR015CMP216"/>
        <s v="MMR015CMP217"/>
        <s v="MMR015CMP218"/>
        <s v="MMR015CMP219"/>
        <s v="MMR015CMP220"/>
        <s v="MMR015CMP221"/>
        <s v="MMR015CMP222"/>
        <s v="MMR015CMP223"/>
        <s v="MMR015CMP224"/>
        <s v="MMR015CMP225"/>
        <s v="MMR015CMP226"/>
        <s v="MMR015CMP227"/>
        <s v="MMR015CMP228"/>
        <s v="MMR015CMP229"/>
        <s v="MMR015CMP230"/>
        <s v="MMR015CMP231"/>
        <s v="MMR015CMP232"/>
        <s v="MMR015CMP233"/>
        <s v="MMR015CMP234"/>
        <s v="MMR015CMP235"/>
        <s v="MMR015CMP236"/>
        <s v="MMR015CMP237"/>
        <s v="MMR015CMP238"/>
        <s v="MMR015CMP239"/>
        <s v="MMR015CMP240"/>
        <s v="MMR015CMP241"/>
        <s v="MMR015CMP242"/>
        <s v="MMR015CMP243"/>
        <s v="MMR015CMP244"/>
      </sharedItems>
    </cacheField>
    <cacheField name="Longitude" numFmtId="0">
      <sharedItems containsBlank="1" containsMixedTypes="1" containsNumber="1" minValue="96.269199999999998" maxValue="98.475719999999995" count="200">
        <n v="97.386718999999999"/>
        <n v="97.394547000000003"/>
        <n v="97.377662999999998"/>
        <n v="97.389778000000007"/>
        <n v="97.382192000000003"/>
        <n v="97.399628000000007"/>
        <n v="97.418004999999994"/>
        <n v="97.418694000000002"/>
        <n v="97.419403000000003"/>
        <n v="97.382997575757599"/>
        <n v="97.381325000000004"/>
        <n v="97.384729629629604"/>
        <n v="97.405202777777802"/>
        <n v="97.403402307692303"/>
        <n v="97.409035000000003"/>
        <n v="97.4113064583333"/>
        <n v="97.376671999999999"/>
        <n v="97.373361000000003"/>
        <n v="97.379594999999995"/>
        <n v="97.2843958974359"/>
        <n v="97.290952037037002"/>
        <n v="97.403878500000005"/>
        <s v="97°22'48.10"/>
        <n v="97.359320179999997"/>
        <n v="97.438432380952406"/>
        <n v="97.432495000000003"/>
        <n v="97.451965000000001"/>
        <n v="97.404195925926004"/>
        <n v="97.437782499999997"/>
        <n v="97.437472666666693"/>
        <n v="97.433419259259296"/>
        <n v="97.441166388888902"/>
        <n v="97.345039"/>
        <m/>
        <n v="97.421104"/>
        <n v="97.438259000000002"/>
        <n v="97.428251153846105"/>
        <n v="97.444283730158702"/>
        <n v="97.426536944444507"/>
        <n v="97.434855869565197"/>
        <n v="98.025662999999994"/>
        <n v="98.131550000000004"/>
        <n v="98.475719999999995"/>
        <n v="98.354146999999998"/>
        <n v="97.229116811594196"/>
        <n v="97.221556500999995"/>
        <n v="97.240183461538507"/>
        <n v="97.238829999999993"/>
        <n v="97.234200000000001"/>
        <n v="97.236919999999998"/>
        <n v="97.240639999999999"/>
        <n v="97.315860000000001"/>
        <n v="97.227789999999999"/>
        <n v="97.344359999999995"/>
        <n v="97.346950000000007"/>
        <n v="97.346940000000004"/>
        <n v="97.347740000000002"/>
        <n v="97.416826999999998"/>
        <n v="97.407787999999996"/>
        <n v="97.325019999999995"/>
        <n v="97.321659999999994"/>
        <n v="97.409474000000003"/>
        <n v="97.429860000000005"/>
        <n v="97.291820000000001"/>
        <n v="96.807353000000006"/>
        <n v="97.724566999999993"/>
        <n v="97.717133000000004"/>
        <n v="97.718582999999995"/>
        <n v="97.724483000000006"/>
        <n v="97.710864000000001"/>
        <n v="98.144502500000002"/>
        <n v="97.415289999999999"/>
        <n v="96.942279999999997"/>
        <n v="96.922619999999995"/>
        <n v="96.948740000000001"/>
        <n v="96.367059999999995"/>
        <n v="96.364949999999993"/>
        <n v="96.312790000000007"/>
        <n v="96.31326"/>
        <n v="96.316210999999996"/>
        <n v="96.319829999999996"/>
        <n v="96.310928000000004"/>
        <n v="96.341352999999998"/>
        <n v="96.306910999999999"/>
        <n v="96.343350000000001"/>
        <n v="96.283377000000002"/>
        <n v="97.756789999999995"/>
        <n v="97.915833000000006"/>
        <n v="97.837778"/>
        <n v="97.807182999999995"/>
        <n v="97.546893999999995"/>
        <n v="97.551507000000001"/>
        <n v="97.550267000000005"/>
        <n v="97.715230000000005"/>
        <n v="97.751389000000003"/>
        <n v="97.568331999999998"/>
        <n v="97.573126000000002"/>
        <n v="97.537099999999995"/>
        <n v="97.752667000000002"/>
        <n v="97.625617000000005"/>
        <n v="97.609832999999995"/>
        <n v="97.669366999999994"/>
        <n v="97.578490000000002"/>
        <n v="97.589979999999997"/>
        <n v="97.588291999999996"/>
        <n v="97.585667000000001"/>
        <n v="97.132339999999999"/>
        <n v="96.705960000000005"/>
        <n v="97.718008999999995"/>
        <n v="97.990555999999998"/>
        <n v="97.4345"/>
        <n v="97.228835000000004"/>
        <n v="96.316400000000002"/>
        <n v="96.353070000000002"/>
        <n v="96.346469999999997"/>
        <n v="96.339870000000005"/>
        <n v="96.359549999999999"/>
        <n v="96.35257"/>
        <n v="96.345569999999995"/>
        <n v="96.354159999999993"/>
        <n v="96.359309999999994"/>
        <n v="96.355270000000004"/>
        <n v="96.269199999999998"/>
        <n v="96.279200000000003"/>
        <n v="96.353030000000004"/>
        <n v="96.286680000000004"/>
        <n v="96.288250000000005"/>
        <n v="96.673805000000002"/>
        <n v="96.317350000000005"/>
        <n v="96.316564"/>
        <n v="96.339590000000001"/>
        <n v="97.252650000000003"/>
        <n v="98.129990000000006"/>
        <n v="97.298055000000005"/>
        <n v="97.348405"/>
        <n v="97.276591999999994"/>
        <n v="96.793177"/>
        <n v="97.343406999999999"/>
        <n v="96.315601999999998"/>
        <n v="97.601243999999994"/>
        <n v="96.808850000000007"/>
        <n v="97.568836000000005"/>
        <n v="97.541793999999996"/>
        <n v="98.377780000000001"/>
        <n v="97.710989999999995"/>
        <n v="97.225881000000001"/>
        <n v="97.58184"/>
        <n v="97.586470000000006"/>
        <n v="97.227057000000002"/>
        <n v="97.239130000000003"/>
        <n v="98.356260000000006"/>
        <n v="97.608249999999998"/>
        <n v="97.561105999999995"/>
        <n v="97.578367"/>
        <n v="97.590767"/>
        <n v="96.637"/>
        <n v="96.52534"/>
        <n v="96.366919999999993"/>
        <n v="97.416121000000004"/>
        <n v="96.793999999999997"/>
        <n v="97.745480999999998"/>
        <n v="97.75609"/>
        <n v="97.461271999999994"/>
        <n v="97.174999999999997"/>
        <n v="96.662092000000001"/>
        <n v="97.669557999999995"/>
        <n v="97.670360000000002"/>
        <n v="97.681970000000007"/>
        <n v="98.054946000000001"/>
        <n v="98.220614999999995"/>
        <n v="97.818979999999996"/>
        <n v="97.124403000000001"/>
        <n v="98.116817999999995"/>
        <n v="98.129380999999995"/>
        <n v="98.320651999999995"/>
        <n v="97.404089999999997"/>
        <n v="97.848529999999997"/>
        <n v="97.926813999999993"/>
        <n v="97.947360000000003"/>
        <n v="97.793019999999999"/>
        <n v="98.213958000000005"/>
        <n v="97.837040000000002"/>
        <n v="98.115809999999996"/>
        <n v="97.678299999999993"/>
        <n v="98.352670000000003"/>
        <n v="97.116680000000002"/>
        <n v="97.398989"/>
        <n v="97.909400000000005"/>
        <n v="97.700940000000003"/>
        <n v="97.709879999999998"/>
        <n v="97.911647000000002"/>
        <n v="98.248999999999995"/>
        <n v="98.218626999999998"/>
        <n v="97.868876999999998"/>
        <n v="97.796999999999997"/>
        <n v="97.358999999999995"/>
        <n v="97.504999999999995"/>
        <n v="97.506"/>
        <n v="98.221000000000004"/>
        <n v="98.337999999999994"/>
      </sharedItems>
    </cacheField>
    <cacheField name="Latitude" numFmtId="0">
      <sharedItems containsBlank="1" containsMixedTypes="1" containsNumber="1" minValue="22.765999999999998"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649"/>
    </cacheField>
    <cacheField name="Total" numFmtId="0">
      <sharedItems containsString="0" containsBlank="1" containsNumber="1" containsInteger="1" minValue="0" maxValue="8965"/>
    </cacheField>
    <cacheField name="Avg" numFmtId="2">
      <sharedItems containsMixedTypes="1" containsNumber="1" minValue="0" maxValue="12.535211267605634"/>
    </cacheField>
    <cacheField name="Accessibility" numFmtId="0">
      <sharedItems count="2">
        <s v="GCA"/>
        <s v="NGCA"/>
      </sharedItems>
    </cacheField>
    <cacheField name="Affected Population" numFmtId="49">
      <sharedItems count="2">
        <s v="IDP"/>
        <s v="Crisis Affected"/>
      </sharedItems>
    </cacheField>
    <cacheField name="Type of Accomodation" numFmtId="0">
      <sharedItems count="5">
        <s v="Camp"/>
        <s v="Boarding School"/>
        <s v="Host Families"/>
        <s v="Village"/>
        <s v="Rural"/>
      </sharedItems>
    </cacheField>
    <cacheField name="Type of Location" numFmtId="0">
      <sharedItems containsBlank="1" count="4">
        <s v="Urban"/>
        <s v="Rural"/>
        <m/>
        <s v="Forest/bush"/>
      </sharedItems>
    </cacheField>
    <cacheField name="Opening Date" numFmtId="14">
      <sharedItems containsNonDate="0" containsDate="1" containsString="0" containsBlank="1" minDate="2011-03-01T00:00:00" maxDate="2016-08-03T00:00:00"/>
    </cacheField>
    <cacheField name="CM/FP" numFmtId="1">
      <sharedItems containsString="0" containsBlank="1" containsNumber="1" containsInteger="1" minValue="1" maxValue="7"/>
    </cacheField>
    <cacheField name="Responsible Agency" numFmtId="0">
      <sharedItems containsBlank="1" count="6">
        <s v="KBC"/>
        <s v="Shalom"/>
        <s v="KMSS-MYT"/>
        <m/>
        <s v="KMSS-BMO"/>
        <s v="KMSS-LSO"/>
      </sharedItems>
    </cacheField>
    <cacheField name="Source" numFmtId="0">
      <sharedItems containsBlank="1"/>
    </cacheField>
    <cacheField name="Method" numFmtId="0">
      <sharedItems containsBlank="1"/>
    </cacheField>
    <cacheField name="Update Date" numFmtId="0">
      <sharedItems containsNonDate="0" containsDate="1" containsString="0" containsBlank="1" minDate="2013-01-15T00:00:00" maxDate="2017-02-03T00:00:00"/>
    </cacheField>
    <cacheField name="Comment" numFmtId="0">
      <sharedItems containsBlank="1" longText="1"/>
    </cacheField>
    <cacheField name="Priority" numFmtId="1">
      <sharedItems containsBlank="1"/>
    </cacheField>
    <cacheField name="Shelter Gap" numFmtId="0">
      <sharedItems containsSemiMixedTypes="0" containsString="0" containsNumber="1" containsInteger="1" minValue="0" maxValue="1211"/>
    </cacheField>
    <cacheField name="Land Status" numFmtId="0">
      <sharedItems containsString="0" containsBlank="1" containsNumber="1" containsInteger="1" minValue="0" maxValue="20"/>
    </cacheField>
    <cacheField name="Shelter Possible" numFmtId="0">
      <sharedItems containsMixedTypes="1" containsNumber="1" containsInteger="1" minValue="0" maxValue="1211"/>
    </cacheField>
    <cacheField name="Nearest_Town" numFmtId="0">
      <sharedItems containsBlank="1"/>
    </cacheField>
    <cacheField name="Distance" numFmtId="165">
      <sharedItems containsBlank="1" containsMixedTypes="1" containsNumber="1" minValue="0" maxValue="34.344689881690819"/>
    </cacheField>
    <cacheField name="Distance_Cat" numFmtId="0">
      <sharedItems containsBlank="1" containsMixedTypes="1" containsNumber="1" containsInteger="1" minValue="1" maxValue="7"/>
    </cacheField>
    <cacheField name="Field2" numFmtId="0" formula="'Shelter Possible'/HH" databaseField="0"/>
    <cacheField name="Township2" numFmtId="0" databaseField="0">
      <fieldGroup base="5">
        <discretePr count="22">
          <x v="9"/>
          <x v="2"/>
          <x v="8"/>
          <x v="3"/>
          <x v="6"/>
          <x v="1"/>
          <x v="11"/>
          <x v="11"/>
          <x v="11"/>
          <x v="11"/>
          <x v="11"/>
          <x v="0"/>
          <x v="5"/>
          <x v="11"/>
          <x v="11"/>
          <x v="7"/>
          <x v="11"/>
          <x v="4"/>
          <x v="11"/>
          <x v="11"/>
          <x v="10"/>
          <x v="12"/>
        </discretePr>
        <groupItems count="13">
          <s v="Hpakant"/>
          <s v="Mansi"/>
          <s v="Waingmaw"/>
          <s v="Bhamo"/>
          <s v="Kutkai"/>
          <s v="Injangyang"/>
          <s v="Momauk"/>
          <s v="Namhkan"/>
          <s v="Chipwi"/>
          <s v="Myitkyina"/>
          <s v="Hseni"/>
          <s v="Group1"/>
          <s v="Hsipaw"/>
        </groupItems>
      </fieldGroup>
    </cacheField>
    <cacheField name="Field1" numFmtId="0" formula="'Shelter Gap'/HH" databaseField="0"/>
    <cacheField name="Coverage" numFmtId="0" formula="HH-'Shelter Gap'" databaseField="0"/>
    <cacheField name="Field3" numFmtId="0" formula="'Shelter Gap'-'Shelter Possible'"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363">
  <r>
    <d v="2017-01-10T00:00:00"/>
    <x v="0"/>
    <s v="KMSS_MKN"/>
    <x v="0"/>
    <x v="0"/>
    <x v="0"/>
    <n v="1"/>
    <m/>
    <m/>
    <n v="130"/>
    <m/>
    <n v="70"/>
    <m/>
    <m/>
    <m/>
    <n v="0"/>
    <m/>
    <m/>
    <x v="0"/>
    <x v="0"/>
    <n v="0"/>
    <s v="YES"/>
    <m/>
  </r>
  <r>
    <d v="2017-01-10T00:00:00"/>
    <x v="0"/>
    <s v="KMSS_MKN"/>
    <x v="0"/>
    <x v="1"/>
    <x v="1"/>
    <n v="1"/>
    <m/>
    <m/>
    <m/>
    <m/>
    <m/>
    <m/>
    <m/>
    <m/>
    <n v="0"/>
    <n v="31"/>
    <m/>
    <x v="1"/>
    <x v="0"/>
    <n v="0"/>
    <s v="NO"/>
    <m/>
  </r>
  <r>
    <d v="2017-01-10T00:00:00"/>
    <x v="0"/>
    <s v="KMSS_MKN"/>
    <x v="0"/>
    <x v="2"/>
    <x v="2"/>
    <n v="1"/>
    <m/>
    <m/>
    <m/>
    <m/>
    <m/>
    <m/>
    <m/>
    <m/>
    <n v="0"/>
    <n v="30"/>
    <m/>
    <x v="2"/>
    <x v="0"/>
    <n v="0"/>
    <s v="NO"/>
    <m/>
  </r>
  <r>
    <d v="2017-01-10T00:00:00"/>
    <x v="0"/>
    <s v="KMSS_MKN"/>
    <x v="0"/>
    <x v="1"/>
    <x v="3"/>
    <n v="1"/>
    <m/>
    <m/>
    <m/>
    <m/>
    <m/>
    <m/>
    <m/>
    <m/>
    <n v="0"/>
    <n v="10"/>
    <m/>
    <x v="3"/>
    <x v="0"/>
    <n v="0"/>
    <s v="NO"/>
    <m/>
  </r>
  <r>
    <d v="2017-01-10T00:00:00"/>
    <x v="1"/>
    <s v="Shalom"/>
    <x v="0"/>
    <x v="2"/>
    <x v="4"/>
    <n v="1"/>
    <m/>
    <m/>
    <m/>
    <m/>
    <m/>
    <m/>
    <m/>
    <m/>
    <n v="0"/>
    <n v="10"/>
    <m/>
    <x v="4"/>
    <x v="0"/>
    <n v="0"/>
    <s v="NO"/>
    <m/>
  </r>
  <r>
    <d v="2017-01-10T00:00:00"/>
    <x v="1"/>
    <s v="Shalom"/>
    <x v="0"/>
    <x v="0"/>
    <x v="5"/>
    <n v="1"/>
    <m/>
    <m/>
    <n v="10"/>
    <m/>
    <m/>
    <m/>
    <m/>
    <m/>
    <n v="0"/>
    <n v="20"/>
    <m/>
    <x v="5"/>
    <x v="0"/>
    <n v="0"/>
    <s v="YES"/>
    <m/>
  </r>
  <r>
    <d v="2017-01-10T00:00:00"/>
    <x v="1"/>
    <s v="Shalom"/>
    <x v="0"/>
    <x v="1"/>
    <x v="6"/>
    <n v="1"/>
    <m/>
    <m/>
    <n v="20"/>
    <m/>
    <m/>
    <m/>
    <m/>
    <m/>
    <n v="0"/>
    <n v="20"/>
    <m/>
    <x v="6"/>
    <x v="0"/>
    <n v="0"/>
    <s v="YES"/>
    <m/>
  </r>
  <r>
    <d v="2017-01-10T00:00:00"/>
    <x v="1"/>
    <s v="Shalom"/>
    <x v="0"/>
    <x v="1"/>
    <x v="7"/>
    <n v="1"/>
    <m/>
    <m/>
    <n v="5"/>
    <m/>
    <m/>
    <m/>
    <m/>
    <m/>
    <n v="0"/>
    <n v="30"/>
    <m/>
    <x v="7"/>
    <x v="0"/>
    <n v="0"/>
    <s v="YES"/>
    <m/>
  </r>
  <r>
    <d v="2017-01-10T00:00:00"/>
    <x v="1"/>
    <s v="Shalom"/>
    <x v="0"/>
    <x v="3"/>
    <x v="8"/>
    <n v="1"/>
    <m/>
    <m/>
    <m/>
    <m/>
    <m/>
    <m/>
    <m/>
    <m/>
    <n v="0"/>
    <n v="20"/>
    <m/>
    <x v="8"/>
    <x v="0"/>
    <n v="0"/>
    <s v="YES"/>
    <m/>
  </r>
  <r>
    <d v="2017-01-10T00:00:00"/>
    <x v="1"/>
    <s v="Shalom"/>
    <x v="0"/>
    <x v="3"/>
    <x v="9"/>
    <n v="1"/>
    <m/>
    <m/>
    <n v="4"/>
    <m/>
    <m/>
    <m/>
    <m/>
    <m/>
    <n v="0"/>
    <m/>
    <m/>
    <x v="9"/>
    <x v="0"/>
    <n v="0"/>
    <s v="NO"/>
    <m/>
  </r>
  <r>
    <d v="2017-01-10T00:00:00"/>
    <x v="1"/>
    <s v="Shalom"/>
    <x v="0"/>
    <x v="3"/>
    <x v="10"/>
    <n v="1"/>
    <m/>
    <m/>
    <m/>
    <m/>
    <m/>
    <m/>
    <m/>
    <m/>
    <n v="0"/>
    <n v="5"/>
    <m/>
    <x v="10"/>
    <x v="0"/>
    <n v="0"/>
    <s v="YES"/>
    <m/>
  </r>
  <r>
    <d v="2017-01-10T00:00:00"/>
    <x v="1"/>
    <s v="Shalom"/>
    <x v="0"/>
    <x v="3"/>
    <x v="11"/>
    <n v="1"/>
    <m/>
    <m/>
    <m/>
    <m/>
    <m/>
    <m/>
    <m/>
    <m/>
    <n v="0"/>
    <n v="20"/>
    <m/>
    <x v="11"/>
    <x v="0"/>
    <n v="0"/>
    <s v="YES"/>
    <m/>
  </r>
  <r>
    <d v="2017-01-10T00:00:00"/>
    <x v="1"/>
    <s v="Shalom"/>
    <x v="0"/>
    <x v="3"/>
    <x v="12"/>
    <n v="1"/>
    <m/>
    <m/>
    <n v="5"/>
    <m/>
    <m/>
    <m/>
    <m/>
    <m/>
    <n v="0"/>
    <m/>
    <m/>
    <x v="12"/>
    <x v="0"/>
    <n v="0"/>
    <s v="NO"/>
    <m/>
  </r>
  <r>
    <d v="2017-01-10T00:00:00"/>
    <x v="1"/>
    <s v="Shalom"/>
    <x v="0"/>
    <x v="4"/>
    <x v="13"/>
    <n v="1"/>
    <m/>
    <m/>
    <n v="5"/>
    <m/>
    <m/>
    <m/>
    <m/>
    <m/>
    <n v="0"/>
    <m/>
    <m/>
    <x v="13"/>
    <x v="0"/>
    <n v="0"/>
    <s v="YES"/>
    <m/>
  </r>
  <r>
    <d v="2016-10-21T00:00:00"/>
    <x v="0"/>
    <s v="KMSS_Bhamo"/>
    <x v="0"/>
    <x v="5"/>
    <x v="14"/>
    <n v="1"/>
    <m/>
    <m/>
    <n v="40"/>
    <m/>
    <n v="40"/>
    <m/>
    <m/>
    <m/>
    <n v="40"/>
    <m/>
    <m/>
    <x v="14"/>
    <x v="0"/>
    <n v="7.3260073260073263E-2"/>
    <s v="NO"/>
    <m/>
  </r>
  <r>
    <d v="2016-10-21T00:00:00"/>
    <x v="0"/>
    <s v="KMSS_Bhamo"/>
    <x v="0"/>
    <x v="5"/>
    <x v="15"/>
    <n v="1"/>
    <m/>
    <m/>
    <m/>
    <m/>
    <m/>
    <m/>
    <m/>
    <m/>
    <n v="0"/>
    <n v="30"/>
    <m/>
    <x v="15"/>
    <x v="0"/>
    <n v="0"/>
    <s v="NO"/>
    <m/>
  </r>
  <r>
    <d v="2016-10-21T00:00:00"/>
    <x v="0"/>
    <s v="Shalom"/>
    <x v="0"/>
    <x v="1"/>
    <x v="6"/>
    <m/>
    <m/>
    <m/>
    <m/>
    <m/>
    <m/>
    <m/>
    <m/>
    <m/>
    <n v="0"/>
    <n v="30"/>
    <m/>
    <x v="6"/>
    <x v="0"/>
    <n v="0"/>
    <s v="NO"/>
    <m/>
  </r>
  <r>
    <d v="2016-10-21T00:00:00"/>
    <x v="0"/>
    <s v="Shalom"/>
    <x v="0"/>
    <x v="2"/>
    <x v="16"/>
    <m/>
    <m/>
    <m/>
    <m/>
    <m/>
    <m/>
    <m/>
    <m/>
    <m/>
    <n v="0"/>
    <n v="10"/>
    <m/>
    <x v="16"/>
    <x v="0"/>
    <n v="0"/>
    <s v="NO"/>
    <m/>
  </r>
  <r>
    <d v="2016-10-21T00:00:00"/>
    <x v="0"/>
    <s v="Shalom"/>
    <x v="0"/>
    <x v="1"/>
    <x v="7"/>
    <n v="1"/>
    <m/>
    <m/>
    <m/>
    <m/>
    <m/>
    <m/>
    <m/>
    <m/>
    <n v="0"/>
    <n v="10"/>
    <m/>
    <x v="7"/>
    <x v="0"/>
    <n v="0"/>
    <s v="NO"/>
    <m/>
  </r>
  <r>
    <d v="2016-09-09T00:00:00"/>
    <x v="0"/>
    <s v="KBC"/>
    <x v="0"/>
    <x v="4"/>
    <x v="17"/>
    <n v="1"/>
    <m/>
    <m/>
    <n v="5"/>
    <n v="0"/>
    <m/>
    <m/>
    <m/>
    <m/>
    <n v="0"/>
    <m/>
    <m/>
    <x v="17"/>
    <x v="0"/>
    <n v="0"/>
    <s v="YES"/>
    <m/>
  </r>
  <r>
    <d v="2016-09-09T00:00:00"/>
    <x v="0"/>
    <s v="KBC"/>
    <x v="0"/>
    <x v="6"/>
    <x v="18"/>
    <n v="1"/>
    <m/>
    <m/>
    <n v="10"/>
    <m/>
    <m/>
    <m/>
    <m/>
    <m/>
    <n v="0"/>
    <m/>
    <m/>
    <x v="18"/>
    <x v="0"/>
    <n v="0"/>
    <s v="YES"/>
    <m/>
  </r>
  <r>
    <d v="2016-09-09T00:00:00"/>
    <x v="0"/>
    <s v="KBC"/>
    <x v="0"/>
    <x v="6"/>
    <x v="19"/>
    <n v="1"/>
    <m/>
    <m/>
    <m/>
    <m/>
    <m/>
    <m/>
    <m/>
    <m/>
    <n v="0"/>
    <n v="45"/>
    <n v="0"/>
    <x v="19"/>
    <x v="0"/>
    <n v="0"/>
    <s v="YES"/>
    <m/>
  </r>
  <r>
    <d v="2016-09-09T00:00:00"/>
    <x v="2"/>
    <s v="KBC"/>
    <x v="0"/>
    <x v="6"/>
    <x v="20"/>
    <n v="1"/>
    <m/>
    <m/>
    <n v="41"/>
    <m/>
    <m/>
    <m/>
    <m/>
    <m/>
    <n v="0"/>
    <m/>
    <m/>
    <x v="20"/>
    <x v="0"/>
    <n v="0"/>
    <s v="YES"/>
    <s v="Implementing with DRC"/>
  </r>
  <r>
    <d v="2016-09-01T00:00:00"/>
    <x v="0"/>
    <s v="KMSS-LSO"/>
    <x v="1"/>
    <x v="7"/>
    <x v="21"/>
    <n v="1"/>
    <n v="30"/>
    <m/>
    <m/>
    <m/>
    <m/>
    <m/>
    <m/>
    <m/>
    <n v="0"/>
    <m/>
    <m/>
    <x v="21"/>
    <x v="0"/>
    <n v="0"/>
    <s v="NO"/>
    <m/>
  </r>
  <r>
    <d v="2016-09-01T00:00:00"/>
    <x v="0"/>
    <s v="KMSS-LSO"/>
    <x v="1"/>
    <x v="8"/>
    <x v="22"/>
    <n v="1"/>
    <n v="20"/>
    <m/>
    <m/>
    <m/>
    <m/>
    <m/>
    <m/>
    <m/>
    <n v="0"/>
    <m/>
    <m/>
    <x v="22"/>
    <x v="0"/>
    <n v="0"/>
    <s v="NO"/>
    <m/>
  </r>
  <r>
    <d v="2016-07-20T00:00:00"/>
    <x v="0"/>
    <s v="Shalom"/>
    <x v="0"/>
    <x v="1"/>
    <x v="7"/>
    <m/>
    <m/>
    <m/>
    <m/>
    <m/>
    <m/>
    <m/>
    <m/>
    <m/>
    <n v="0"/>
    <n v="10"/>
    <m/>
    <x v="7"/>
    <x v="0"/>
    <n v="0"/>
    <s v="NO"/>
    <m/>
  </r>
  <r>
    <d v="2016-07-18T00:00:00"/>
    <x v="3"/>
    <s v="KBC"/>
    <x v="0"/>
    <x v="0"/>
    <x v="23"/>
    <n v="1"/>
    <m/>
    <m/>
    <m/>
    <m/>
    <m/>
    <m/>
    <m/>
    <m/>
    <n v="0"/>
    <n v="18"/>
    <n v="18"/>
    <x v="23"/>
    <x v="0"/>
    <n v="0"/>
    <s v="NO"/>
    <m/>
  </r>
  <r>
    <d v="2016-07-18T00:00:00"/>
    <x v="3"/>
    <s v="KBC"/>
    <x v="0"/>
    <x v="1"/>
    <x v="24"/>
    <n v="1"/>
    <m/>
    <m/>
    <m/>
    <m/>
    <m/>
    <m/>
    <m/>
    <m/>
    <n v="0"/>
    <n v="51"/>
    <n v="51"/>
    <x v="24"/>
    <x v="0"/>
    <n v="0"/>
    <s v="NO"/>
    <m/>
  </r>
  <r>
    <d v="2016-07-18T00:00:00"/>
    <x v="3"/>
    <s v="KBC"/>
    <x v="0"/>
    <x v="0"/>
    <x v="25"/>
    <n v="1"/>
    <m/>
    <m/>
    <m/>
    <m/>
    <m/>
    <m/>
    <m/>
    <m/>
    <n v="0"/>
    <n v="32"/>
    <n v="32"/>
    <x v="25"/>
    <x v="0"/>
    <n v="0"/>
    <s v="NO"/>
    <m/>
  </r>
  <r>
    <d v="2016-07-18T00:00:00"/>
    <x v="0"/>
    <s v="KBC"/>
    <x v="0"/>
    <x v="4"/>
    <x v="17"/>
    <n v="1"/>
    <m/>
    <m/>
    <m/>
    <m/>
    <m/>
    <m/>
    <m/>
    <m/>
    <n v="0"/>
    <n v="20"/>
    <n v="30"/>
    <x v="17"/>
    <x v="0"/>
    <n v="0"/>
    <s v="NO"/>
    <m/>
  </r>
  <r>
    <d v="2016-07-18T00:00:00"/>
    <x v="3"/>
    <s v="KBC"/>
    <x v="0"/>
    <x v="0"/>
    <x v="26"/>
    <n v="1"/>
    <m/>
    <m/>
    <m/>
    <m/>
    <m/>
    <m/>
    <m/>
    <m/>
    <n v="0"/>
    <n v="5"/>
    <n v="5"/>
    <x v="26"/>
    <x v="0"/>
    <n v="0"/>
    <s v="NO"/>
    <m/>
  </r>
  <r>
    <d v="2016-07-18T00:00:00"/>
    <x v="3"/>
    <s v="KBC"/>
    <x v="0"/>
    <x v="0"/>
    <x v="27"/>
    <n v="1"/>
    <m/>
    <m/>
    <m/>
    <m/>
    <m/>
    <m/>
    <m/>
    <m/>
    <n v="0"/>
    <n v="40"/>
    <n v="40"/>
    <x v="27"/>
    <x v="0"/>
    <n v="0"/>
    <s v="NO"/>
    <m/>
  </r>
  <r>
    <d v="2016-07-14T00:00:00"/>
    <x v="0"/>
    <s v="KMSS"/>
    <x v="0"/>
    <x v="6"/>
    <x v="28"/>
    <n v="1"/>
    <m/>
    <m/>
    <n v="42"/>
    <n v="42"/>
    <m/>
    <m/>
    <m/>
    <m/>
    <n v="0"/>
    <m/>
    <m/>
    <x v="28"/>
    <x v="0"/>
    <n v="0"/>
    <s v="YES"/>
    <s v="21 twin shelters = 42 units"/>
  </r>
  <r>
    <d v="2016-05-12T00:00:00"/>
    <x v="0"/>
    <s v="KBC"/>
    <x v="0"/>
    <x v="2"/>
    <x v="29"/>
    <n v="1"/>
    <m/>
    <m/>
    <m/>
    <m/>
    <m/>
    <m/>
    <m/>
    <m/>
    <n v="0"/>
    <n v="10"/>
    <m/>
    <x v="29"/>
    <x v="0"/>
    <n v="0"/>
    <s v="NO"/>
    <m/>
  </r>
  <r>
    <d v="2016-05-12T00:00:00"/>
    <x v="0"/>
    <s v="KBC"/>
    <x v="0"/>
    <x v="9"/>
    <x v="30"/>
    <n v="1"/>
    <m/>
    <m/>
    <m/>
    <m/>
    <m/>
    <m/>
    <m/>
    <m/>
    <n v="0"/>
    <n v="2"/>
    <m/>
    <x v="30"/>
    <x v="0"/>
    <n v="0"/>
    <s v="NO"/>
    <m/>
  </r>
  <r>
    <d v="2016-05-12T00:00:00"/>
    <x v="0"/>
    <s v="KBC"/>
    <x v="0"/>
    <x v="0"/>
    <x v="31"/>
    <n v="1"/>
    <m/>
    <m/>
    <m/>
    <m/>
    <m/>
    <m/>
    <m/>
    <m/>
    <n v="0"/>
    <n v="30"/>
    <m/>
    <x v="31"/>
    <x v="0"/>
    <n v="0"/>
    <s v="NO"/>
    <m/>
  </r>
  <r>
    <d v="2016-05-12T00:00:00"/>
    <x v="0"/>
    <s v="KBC"/>
    <x v="0"/>
    <x v="5"/>
    <x v="32"/>
    <n v="1"/>
    <m/>
    <m/>
    <n v="85"/>
    <n v="85"/>
    <m/>
    <m/>
    <m/>
    <m/>
    <n v="85"/>
    <m/>
    <m/>
    <x v="32"/>
    <x v="0"/>
    <n v="0.22727272727272727"/>
    <s v="NO"/>
    <m/>
  </r>
  <r>
    <d v="2016-05-12T00:00:00"/>
    <x v="0"/>
    <s v="KBC"/>
    <x v="0"/>
    <x v="0"/>
    <x v="33"/>
    <n v="1"/>
    <m/>
    <m/>
    <m/>
    <m/>
    <m/>
    <m/>
    <m/>
    <m/>
    <n v="0"/>
    <n v="20"/>
    <m/>
    <x v="33"/>
    <x v="0"/>
    <n v="0"/>
    <s v="NO"/>
    <m/>
  </r>
  <r>
    <d v="2016-05-12T00:00:00"/>
    <x v="0"/>
    <s v="KBC"/>
    <x v="0"/>
    <x v="2"/>
    <x v="34"/>
    <n v="1"/>
    <m/>
    <m/>
    <m/>
    <m/>
    <m/>
    <m/>
    <m/>
    <m/>
    <n v="0"/>
    <n v="10"/>
    <m/>
    <x v="34"/>
    <x v="0"/>
    <n v="0"/>
    <s v="NO"/>
    <m/>
  </r>
  <r>
    <d v="2016-05-12T00:00:00"/>
    <x v="0"/>
    <s v="KBC"/>
    <x v="0"/>
    <x v="2"/>
    <x v="35"/>
    <n v="1"/>
    <m/>
    <m/>
    <m/>
    <m/>
    <m/>
    <m/>
    <m/>
    <m/>
    <n v="0"/>
    <n v="5"/>
    <m/>
    <x v="35"/>
    <x v="0"/>
    <n v="0"/>
    <s v="NO"/>
    <m/>
  </r>
  <r>
    <d v="2016-05-12T00:00:00"/>
    <x v="0"/>
    <s v="KBC"/>
    <x v="0"/>
    <x v="2"/>
    <x v="36"/>
    <n v="1"/>
    <m/>
    <m/>
    <m/>
    <m/>
    <m/>
    <m/>
    <m/>
    <m/>
    <n v="0"/>
    <n v="3"/>
    <m/>
    <x v="36"/>
    <x v="0"/>
    <n v="0"/>
    <s v="NO"/>
    <m/>
  </r>
  <r>
    <d v="2016-05-12T00:00:00"/>
    <x v="0"/>
    <s v="KBC"/>
    <x v="0"/>
    <x v="0"/>
    <x v="27"/>
    <n v="1"/>
    <m/>
    <m/>
    <m/>
    <m/>
    <m/>
    <m/>
    <m/>
    <m/>
    <n v="0"/>
    <n v="40"/>
    <m/>
    <x v="27"/>
    <x v="0"/>
    <n v="0"/>
    <s v="NO"/>
    <m/>
  </r>
  <r>
    <d v="2016-05-10T00:00:00"/>
    <x v="2"/>
    <s v="DRC"/>
    <x v="0"/>
    <x v="6"/>
    <x v="37"/>
    <n v="1"/>
    <m/>
    <m/>
    <n v="170"/>
    <n v="170"/>
    <m/>
    <m/>
    <m/>
    <m/>
    <n v="170"/>
    <m/>
    <m/>
    <x v="37"/>
    <x v="0"/>
    <n v="0.47887323943661969"/>
    <s v="NO"/>
    <m/>
  </r>
  <r>
    <d v="2016-05-10T00:00:00"/>
    <x v="2"/>
    <s v="KMSS"/>
    <x v="0"/>
    <x v="0"/>
    <x v="38"/>
    <n v="1"/>
    <m/>
    <m/>
    <n v="60"/>
    <n v="65"/>
    <m/>
    <m/>
    <m/>
    <m/>
    <n v="65"/>
    <m/>
    <m/>
    <x v="38"/>
    <x v="0"/>
    <n v="0.66326530612244894"/>
    <s v="NO"/>
    <m/>
  </r>
  <r>
    <d v="2016-02-22T00:00:00"/>
    <x v="2"/>
    <m/>
    <x v="0"/>
    <x v="6"/>
    <x v="39"/>
    <n v="1"/>
    <m/>
    <m/>
    <n v="118"/>
    <n v="118"/>
    <m/>
    <m/>
    <m/>
    <m/>
    <n v="0"/>
    <m/>
    <m/>
    <x v="39"/>
    <x v="0"/>
    <n v="0"/>
    <s v="YES"/>
    <m/>
  </r>
  <r>
    <d v="2016-02-22T00:00:00"/>
    <x v="2"/>
    <m/>
    <x v="0"/>
    <x v="6"/>
    <x v="37"/>
    <n v="1"/>
    <m/>
    <m/>
    <n v="170"/>
    <n v="170"/>
    <m/>
    <m/>
    <m/>
    <m/>
    <n v="0"/>
    <m/>
    <m/>
    <x v="37"/>
    <x v="0"/>
    <n v="0"/>
    <s v="YES"/>
    <m/>
  </r>
  <r>
    <d v="2016-02-22T00:00:00"/>
    <x v="2"/>
    <m/>
    <x v="0"/>
    <x v="6"/>
    <x v="40"/>
    <n v="1"/>
    <m/>
    <m/>
    <n v="254"/>
    <n v="254"/>
    <m/>
    <m/>
    <m/>
    <m/>
    <n v="0"/>
    <m/>
    <m/>
    <x v="40"/>
    <x v="0"/>
    <n v="0"/>
    <s v="YES"/>
    <m/>
  </r>
  <r>
    <d v="2016-02-22T00:00:00"/>
    <x v="2"/>
    <m/>
    <x v="0"/>
    <x v="0"/>
    <x v="38"/>
    <n v="1"/>
    <m/>
    <m/>
    <n v="66"/>
    <n v="66"/>
    <m/>
    <m/>
    <m/>
    <m/>
    <n v="0"/>
    <m/>
    <m/>
    <x v="38"/>
    <x v="0"/>
    <n v="0"/>
    <s v="YES"/>
    <m/>
  </r>
  <r>
    <d v="2016-02-22T00:00:00"/>
    <x v="4"/>
    <m/>
    <x v="0"/>
    <x v="10"/>
    <x v="41"/>
    <n v="1"/>
    <m/>
    <m/>
    <n v="40"/>
    <n v="40"/>
    <m/>
    <m/>
    <m/>
    <m/>
    <n v="40"/>
    <m/>
    <m/>
    <x v="41"/>
    <x v="0"/>
    <n v="1.3333333333333333"/>
    <s v="NO"/>
    <m/>
  </r>
  <r>
    <d v="2016-02-16T00:00:00"/>
    <x v="0"/>
    <s v="KMSS"/>
    <x v="0"/>
    <x v="3"/>
    <x v="42"/>
    <n v="1"/>
    <m/>
    <m/>
    <n v="12"/>
    <n v="12"/>
    <m/>
    <m/>
    <m/>
    <m/>
    <n v="12"/>
    <m/>
    <m/>
    <x v="42"/>
    <x v="0"/>
    <n v="0.15584415584415584"/>
    <s v="NO"/>
    <m/>
  </r>
  <r>
    <d v="2016-02-16T00:00:00"/>
    <x v="0"/>
    <s v="Shalom"/>
    <x v="0"/>
    <x v="3"/>
    <x v="8"/>
    <n v="1"/>
    <m/>
    <m/>
    <n v="15"/>
    <n v="15"/>
    <m/>
    <m/>
    <m/>
    <m/>
    <n v="15"/>
    <m/>
    <m/>
    <x v="8"/>
    <x v="0"/>
    <n v="0.22388059701492538"/>
    <s v="NO"/>
    <m/>
  </r>
  <r>
    <d v="2016-02-16T00:00:00"/>
    <x v="0"/>
    <s v="KBC"/>
    <x v="0"/>
    <x v="2"/>
    <x v="43"/>
    <n v="1"/>
    <m/>
    <m/>
    <m/>
    <m/>
    <m/>
    <m/>
    <m/>
    <m/>
    <n v="0"/>
    <n v="13"/>
    <n v="13"/>
    <x v="43"/>
    <x v="0"/>
    <n v="0"/>
    <s v="NO"/>
    <s v="Du Kahtawng Qtr. 14,4,5 (combined as one camp)"/>
  </r>
  <r>
    <d v="2016-02-16T00:00:00"/>
    <x v="0"/>
    <s v="KMSS"/>
    <x v="0"/>
    <x v="6"/>
    <x v="28"/>
    <n v="1"/>
    <m/>
    <m/>
    <n v="82"/>
    <n v="82"/>
    <m/>
    <m/>
    <m/>
    <m/>
    <n v="82"/>
    <m/>
    <m/>
    <x v="28"/>
    <x v="0"/>
    <n v="0.75229357798165142"/>
    <s v="NO"/>
    <m/>
  </r>
  <r>
    <d v="2016-02-16T00:00:00"/>
    <x v="0"/>
    <s v="KMSS"/>
    <x v="0"/>
    <x v="6"/>
    <x v="44"/>
    <n v="1"/>
    <m/>
    <m/>
    <m/>
    <m/>
    <m/>
    <m/>
    <m/>
    <m/>
    <n v="0"/>
    <n v="338"/>
    <n v="338"/>
    <x v="44"/>
    <x v="0"/>
    <n v="0"/>
    <s v="NO"/>
    <m/>
  </r>
  <r>
    <d v="2016-02-16T00:00:00"/>
    <x v="0"/>
    <s v="KMSS"/>
    <x v="0"/>
    <x v="6"/>
    <x v="39"/>
    <n v="1"/>
    <m/>
    <m/>
    <m/>
    <m/>
    <m/>
    <m/>
    <m/>
    <m/>
    <n v="0"/>
    <n v="220"/>
    <n v="220"/>
    <x v="39"/>
    <x v="0"/>
    <n v="0"/>
    <s v="NO"/>
    <m/>
  </r>
  <r>
    <d v="2016-02-16T00:00:00"/>
    <x v="0"/>
    <s v="KBC"/>
    <x v="0"/>
    <x v="2"/>
    <x v="45"/>
    <n v="1"/>
    <m/>
    <m/>
    <m/>
    <m/>
    <m/>
    <m/>
    <m/>
    <m/>
    <n v="0"/>
    <n v="5"/>
    <n v="5"/>
    <x v="45"/>
    <x v="0"/>
    <n v="0"/>
    <s v="NO"/>
    <m/>
  </r>
  <r>
    <d v="2016-02-16T00:00:00"/>
    <x v="0"/>
    <s v="Shalom"/>
    <x v="0"/>
    <x v="4"/>
    <x v="13"/>
    <n v="1"/>
    <m/>
    <m/>
    <n v="15"/>
    <n v="15"/>
    <m/>
    <m/>
    <m/>
    <m/>
    <n v="15"/>
    <m/>
    <m/>
    <x v="13"/>
    <x v="0"/>
    <n v="0.12931034482758622"/>
    <s v="NO"/>
    <m/>
  </r>
  <r>
    <d v="2016-02-16T00:00:00"/>
    <x v="4"/>
    <m/>
    <x v="0"/>
    <x v="9"/>
    <x v="30"/>
    <n v="1"/>
    <m/>
    <m/>
    <n v="60"/>
    <n v="60"/>
    <m/>
    <m/>
    <m/>
    <m/>
    <n v="60"/>
    <m/>
    <m/>
    <x v="30"/>
    <x v="0"/>
    <n v="1.0169491525423728"/>
    <s v="NO"/>
    <m/>
  </r>
  <r>
    <d v="2016-02-16T00:00:00"/>
    <x v="5"/>
    <m/>
    <x v="1"/>
    <x v="8"/>
    <x v="46"/>
    <n v="1"/>
    <m/>
    <m/>
    <n v="25"/>
    <n v="25"/>
    <m/>
    <m/>
    <m/>
    <m/>
    <n v="25"/>
    <m/>
    <m/>
    <x v="46"/>
    <x v="0"/>
    <n v="0.69444444444444442"/>
    <s v="NO"/>
    <m/>
  </r>
  <r>
    <d v="2016-02-16T00:00:00"/>
    <x v="5"/>
    <m/>
    <x v="1"/>
    <x v="11"/>
    <x v="47"/>
    <n v="1"/>
    <m/>
    <m/>
    <n v="9"/>
    <n v="9"/>
    <m/>
    <m/>
    <m/>
    <m/>
    <n v="0"/>
    <m/>
    <m/>
    <x v="47"/>
    <x v="1"/>
    <s v=""/>
    <s v="NO"/>
    <m/>
  </r>
  <r>
    <d v="2016-02-16T00:00:00"/>
    <x v="5"/>
    <m/>
    <x v="1"/>
    <x v="12"/>
    <x v="48"/>
    <n v="1"/>
    <m/>
    <m/>
    <n v="25"/>
    <n v="25"/>
    <m/>
    <m/>
    <m/>
    <m/>
    <n v="25"/>
    <m/>
    <m/>
    <x v="48"/>
    <x v="0"/>
    <n v="0.65789473684210531"/>
    <s v="NO"/>
    <m/>
  </r>
  <r>
    <d v="2016-02-16T00:00:00"/>
    <x v="5"/>
    <m/>
    <x v="1"/>
    <x v="8"/>
    <x v="49"/>
    <n v="1"/>
    <m/>
    <m/>
    <n v="36"/>
    <n v="36"/>
    <m/>
    <m/>
    <m/>
    <m/>
    <n v="36"/>
    <m/>
    <m/>
    <x v="49"/>
    <x v="0"/>
    <n v="0.2975206611570248"/>
    <s v="NO"/>
    <m/>
  </r>
  <r>
    <d v="2016-02-16T00:00:00"/>
    <x v="0"/>
    <s v="KMSS"/>
    <x v="0"/>
    <x v="2"/>
    <x v="50"/>
    <n v="1"/>
    <m/>
    <m/>
    <n v="14"/>
    <n v="14"/>
    <m/>
    <m/>
    <m/>
    <m/>
    <n v="14"/>
    <m/>
    <m/>
    <x v="50"/>
    <x v="0"/>
    <n v="0.30434782608695654"/>
    <s v="NO"/>
    <m/>
  </r>
  <r>
    <d v="2016-02-16T00:00:00"/>
    <x v="0"/>
    <s v="KBC"/>
    <x v="0"/>
    <x v="2"/>
    <x v="51"/>
    <n v="1"/>
    <m/>
    <m/>
    <m/>
    <m/>
    <m/>
    <m/>
    <m/>
    <m/>
    <n v="0"/>
    <n v="30"/>
    <n v="30"/>
    <x v="51"/>
    <x v="0"/>
    <n v="0"/>
    <s v="NO"/>
    <m/>
  </r>
  <r>
    <d v="2016-02-16T00:00:00"/>
    <x v="4"/>
    <m/>
    <x v="0"/>
    <x v="0"/>
    <x v="26"/>
    <n v="1"/>
    <m/>
    <m/>
    <n v="73"/>
    <n v="73"/>
    <m/>
    <m/>
    <m/>
    <m/>
    <n v="73"/>
    <m/>
    <m/>
    <x v="26"/>
    <x v="0"/>
    <n v="0.40782122905027934"/>
    <s v="NO"/>
    <m/>
  </r>
  <r>
    <d v="2016-02-16T00:00:00"/>
    <x v="0"/>
    <s v="KBC"/>
    <x v="0"/>
    <x v="2"/>
    <x v="52"/>
    <n v="1"/>
    <m/>
    <m/>
    <m/>
    <m/>
    <m/>
    <m/>
    <m/>
    <m/>
    <n v="0"/>
    <n v="46"/>
    <n v="46"/>
    <x v="52"/>
    <x v="0"/>
    <n v="0"/>
    <s v="NO"/>
    <m/>
  </r>
  <r>
    <d v="2016-02-16T00:00:00"/>
    <x v="0"/>
    <s v="KBC"/>
    <x v="0"/>
    <x v="2"/>
    <x v="34"/>
    <n v="1"/>
    <m/>
    <m/>
    <m/>
    <m/>
    <m/>
    <m/>
    <m/>
    <m/>
    <n v="0"/>
    <n v="37"/>
    <n v="37"/>
    <x v="34"/>
    <x v="0"/>
    <n v="0"/>
    <s v="NO"/>
    <m/>
  </r>
  <r>
    <d v="2016-02-16T00:00:00"/>
    <x v="0"/>
    <s v="Shalom"/>
    <x v="0"/>
    <x v="2"/>
    <x v="53"/>
    <n v="1"/>
    <m/>
    <m/>
    <n v="10"/>
    <n v="10"/>
    <m/>
    <m/>
    <m/>
    <m/>
    <n v="10"/>
    <m/>
    <m/>
    <x v="53"/>
    <x v="0"/>
    <n v="0.18518518518518517"/>
    <s v="NO"/>
    <m/>
  </r>
  <r>
    <d v="2016-02-16T00:00:00"/>
    <x v="0"/>
    <s v="KBC"/>
    <x v="0"/>
    <x v="0"/>
    <x v="27"/>
    <n v="1"/>
    <m/>
    <m/>
    <m/>
    <m/>
    <m/>
    <m/>
    <m/>
    <m/>
    <n v="0"/>
    <n v="8"/>
    <n v="8"/>
    <x v="27"/>
    <x v="0"/>
    <n v="0"/>
    <s v="NO"/>
    <m/>
  </r>
  <r>
    <d v="2016-02-16T00:00:00"/>
    <x v="5"/>
    <m/>
    <x v="1"/>
    <x v="7"/>
    <x v="54"/>
    <n v="1"/>
    <m/>
    <m/>
    <n v="16"/>
    <n v="16"/>
    <m/>
    <m/>
    <m/>
    <m/>
    <n v="16"/>
    <m/>
    <m/>
    <x v="54"/>
    <x v="0"/>
    <n v="8.4210526315789472E-2"/>
    <s v="NO"/>
    <m/>
  </r>
  <r>
    <d v="2014-12-30T00:00:00"/>
    <x v="0"/>
    <s v="KBC"/>
    <x v="0"/>
    <x v="0"/>
    <x v="26"/>
    <n v="1"/>
    <n v="90"/>
    <m/>
    <m/>
    <m/>
    <m/>
    <m/>
    <m/>
    <m/>
    <n v="0"/>
    <m/>
    <m/>
    <x v="26"/>
    <x v="0"/>
    <n v="0"/>
    <s v="NO"/>
    <m/>
  </r>
  <r>
    <d v="2014-12-01T00:00:00"/>
    <x v="0"/>
    <s v="Shalom"/>
    <x v="0"/>
    <x v="3"/>
    <x v="8"/>
    <n v="1"/>
    <m/>
    <m/>
    <n v="15"/>
    <n v="15"/>
    <m/>
    <m/>
    <m/>
    <m/>
    <n v="15"/>
    <m/>
    <m/>
    <x v="8"/>
    <x v="0"/>
    <n v="0.22388059701492538"/>
    <s v="NO"/>
    <m/>
  </r>
  <r>
    <d v="2014-12-01T00:00:00"/>
    <x v="0"/>
    <s v="Shalom"/>
    <x v="0"/>
    <x v="3"/>
    <x v="9"/>
    <n v="1"/>
    <m/>
    <m/>
    <n v="5"/>
    <n v="5"/>
    <m/>
    <m/>
    <m/>
    <m/>
    <n v="5"/>
    <m/>
    <m/>
    <x v="9"/>
    <x v="0"/>
    <n v="0.35714285714285715"/>
    <s v="NO"/>
    <m/>
  </r>
  <r>
    <d v="2014-12-01T00:00:00"/>
    <x v="0"/>
    <s v="Shalom"/>
    <x v="0"/>
    <x v="3"/>
    <x v="55"/>
    <n v="1"/>
    <m/>
    <m/>
    <n v="5"/>
    <n v="5"/>
    <m/>
    <m/>
    <m/>
    <m/>
    <n v="0"/>
    <m/>
    <m/>
    <x v="55"/>
    <x v="1"/>
    <s v=""/>
    <s v="NO"/>
    <m/>
  </r>
  <r>
    <d v="2014-12-01T00:00:00"/>
    <x v="0"/>
    <s v="KBC"/>
    <x v="0"/>
    <x v="5"/>
    <x v="56"/>
    <n v="1"/>
    <m/>
    <m/>
    <n v="90"/>
    <n v="90"/>
    <m/>
    <m/>
    <m/>
    <m/>
    <n v="90"/>
    <m/>
    <m/>
    <x v="56"/>
    <x v="0"/>
    <n v="0.20454545454545456"/>
    <s v="NO"/>
    <m/>
  </r>
  <r>
    <d v="2014-12-01T00:00:00"/>
    <x v="0"/>
    <s v="KBC"/>
    <x v="0"/>
    <x v="5"/>
    <x v="57"/>
    <n v="1"/>
    <m/>
    <m/>
    <n v="120"/>
    <n v="120"/>
    <m/>
    <m/>
    <m/>
    <m/>
    <n v="0"/>
    <m/>
    <m/>
    <x v="57"/>
    <x v="1"/>
    <s v=""/>
    <s v="NO"/>
    <m/>
  </r>
  <r>
    <d v="2014-12-01T00:00:00"/>
    <x v="0"/>
    <s v="Shalom"/>
    <x v="0"/>
    <x v="3"/>
    <x v="10"/>
    <n v="1"/>
    <m/>
    <m/>
    <n v="2"/>
    <n v="2"/>
    <m/>
    <m/>
    <m/>
    <m/>
    <n v="2"/>
    <m/>
    <m/>
    <x v="10"/>
    <x v="0"/>
    <n v="0.33333333333333331"/>
    <s v="NO"/>
    <m/>
  </r>
  <r>
    <d v="2014-12-01T00:00:00"/>
    <x v="0"/>
    <s v="Shalom"/>
    <x v="0"/>
    <x v="1"/>
    <x v="7"/>
    <n v="1"/>
    <m/>
    <m/>
    <n v="5"/>
    <n v="5"/>
    <m/>
    <m/>
    <m/>
    <m/>
    <n v="5"/>
    <m/>
    <m/>
    <x v="7"/>
    <x v="0"/>
    <n v="4.5454545454545456E-2"/>
    <s v="NO"/>
    <m/>
  </r>
  <r>
    <d v="2014-12-01T00:00:00"/>
    <x v="0"/>
    <s v="Shalom"/>
    <x v="0"/>
    <x v="3"/>
    <x v="11"/>
    <n v="1"/>
    <m/>
    <m/>
    <n v="45"/>
    <n v="45"/>
    <m/>
    <m/>
    <m/>
    <m/>
    <n v="45"/>
    <m/>
    <m/>
    <x v="11"/>
    <x v="0"/>
    <n v="0.68181818181818177"/>
    <s v="NO"/>
    <m/>
  </r>
  <r>
    <d v="2014-12-01T00:00:00"/>
    <x v="0"/>
    <s v="KMSS"/>
    <x v="0"/>
    <x v="6"/>
    <x v="44"/>
    <n v="1"/>
    <m/>
    <m/>
    <n v="280"/>
    <n v="280"/>
    <m/>
    <m/>
    <m/>
    <m/>
    <n v="280"/>
    <m/>
    <m/>
    <x v="44"/>
    <x v="0"/>
    <n v="0.43681747269890797"/>
    <s v="NO"/>
    <m/>
  </r>
  <r>
    <d v="2014-12-01T00:00:00"/>
    <x v="0"/>
    <s v="KMSS"/>
    <x v="0"/>
    <x v="6"/>
    <x v="39"/>
    <n v="1"/>
    <m/>
    <m/>
    <n v="278"/>
    <n v="278"/>
    <m/>
    <m/>
    <m/>
    <m/>
    <n v="278"/>
    <m/>
    <m/>
    <x v="39"/>
    <x v="0"/>
    <n v="0.16858702243784113"/>
    <s v="NO"/>
    <m/>
  </r>
  <r>
    <d v="2014-12-01T00:00:00"/>
    <x v="0"/>
    <s v="KBC"/>
    <x v="0"/>
    <x v="5"/>
    <x v="14"/>
    <n v="1"/>
    <m/>
    <m/>
    <n v="118"/>
    <n v="118"/>
    <m/>
    <m/>
    <m/>
    <m/>
    <n v="118"/>
    <m/>
    <m/>
    <x v="14"/>
    <x v="0"/>
    <n v="0.21611721611721613"/>
    <s v="NO"/>
    <m/>
  </r>
  <r>
    <d v="2014-12-01T00:00:00"/>
    <x v="0"/>
    <s v="Shalom"/>
    <x v="0"/>
    <x v="1"/>
    <x v="6"/>
    <n v="1"/>
    <m/>
    <m/>
    <n v="35"/>
    <n v="35"/>
    <m/>
    <m/>
    <m/>
    <m/>
    <n v="35"/>
    <m/>
    <m/>
    <x v="6"/>
    <x v="0"/>
    <n v="0.24475524475524477"/>
    <s v="NO"/>
    <m/>
  </r>
  <r>
    <d v="2014-12-01T00:00:00"/>
    <x v="0"/>
    <s v="Shalom"/>
    <x v="0"/>
    <x v="3"/>
    <x v="12"/>
    <n v="1"/>
    <m/>
    <m/>
    <n v="5"/>
    <n v="5"/>
    <m/>
    <m/>
    <m/>
    <m/>
    <n v="5"/>
    <m/>
    <m/>
    <x v="12"/>
    <x v="0"/>
    <n v="0.2"/>
    <s v="NO"/>
    <m/>
  </r>
  <r>
    <d v="2014-12-01T00:00:00"/>
    <x v="0"/>
    <s v="Shalom"/>
    <x v="0"/>
    <x v="3"/>
    <x v="58"/>
    <n v="1"/>
    <m/>
    <m/>
    <n v="15"/>
    <n v="15"/>
    <m/>
    <m/>
    <m/>
    <m/>
    <n v="15"/>
    <m/>
    <m/>
    <x v="58"/>
    <x v="0"/>
    <n v="1"/>
    <s v="NO"/>
    <m/>
  </r>
  <r>
    <d v="2014-12-01T00:00:00"/>
    <x v="0"/>
    <s v="Shalom"/>
    <x v="0"/>
    <x v="4"/>
    <x v="13"/>
    <n v="1"/>
    <m/>
    <m/>
    <n v="15"/>
    <n v="15"/>
    <m/>
    <m/>
    <m/>
    <m/>
    <n v="15"/>
    <n v="8"/>
    <m/>
    <x v="13"/>
    <x v="0"/>
    <n v="0.12931034482758622"/>
    <s v="NO"/>
    <m/>
  </r>
  <r>
    <d v="2014-12-01T00:00:00"/>
    <x v="0"/>
    <s v="KBC"/>
    <x v="0"/>
    <x v="6"/>
    <x v="59"/>
    <n v="1"/>
    <m/>
    <m/>
    <n v="21"/>
    <n v="21"/>
    <m/>
    <m/>
    <m/>
    <m/>
    <n v="21"/>
    <m/>
    <m/>
    <x v="59"/>
    <x v="0"/>
    <n v="0.16935483870967741"/>
    <s v="NO"/>
    <m/>
  </r>
  <r>
    <d v="2014-12-01T00:00:00"/>
    <x v="5"/>
    <m/>
    <x v="1"/>
    <x v="11"/>
    <x v="60"/>
    <n v="1"/>
    <m/>
    <m/>
    <n v="44"/>
    <n v="44"/>
    <m/>
    <m/>
    <m/>
    <m/>
    <n v="44"/>
    <m/>
    <m/>
    <x v="60"/>
    <x v="0"/>
    <n v="0.86274509803921573"/>
    <s v="NO"/>
    <m/>
  </r>
  <r>
    <d v="2014-12-01T00:00:00"/>
    <x v="0"/>
    <s v="Shalom"/>
    <x v="0"/>
    <x v="3"/>
    <x v="61"/>
    <n v="1"/>
    <m/>
    <m/>
    <n v="5"/>
    <n v="5"/>
    <m/>
    <m/>
    <m/>
    <m/>
    <n v="5"/>
    <m/>
    <m/>
    <x v="61"/>
    <x v="0"/>
    <n v="0.41666666666666669"/>
    <s v="NO"/>
    <m/>
  </r>
  <r>
    <d v="2014-12-01T00:00:00"/>
    <x v="0"/>
    <s v="Shalom"/>
    <x v="0"/>
    <x v="0"/>
    <x v="62"/>
    <n v="1"/>
    <m/>
    <m/>
    <n v="9"/>
    <n v="9"/>
    <m/>
    <m/>
    <m/>
    <m/>
    <n v="9"/>
    <m/>
    <m/>
    <x v="62"/>
    <x v="0"/>
    <n v="0.5"/>
    <s v="NO"/>
    <m/>
  </r>
  <r>
    <d v="2014-12-01T00:00:00"/>
    <x v="2"/>
    <m/>
    <x v="0"/>
    <x v="6"/>
    <x v="40"/>
    <n v="1"/>
    <m/>
    <m/>
    <n v="394"/>
    <n v="140"/>
    <m/>
    <m/>
    <m/>
    <m/>
    <n v="140"/>
    <m/>
    <m/>
    <x v="40"/>
    <x v="0"/>
    <n v="0.20926756352765322"/>
    <s v="NO"/>
    <m/>
  </r>
  <r>
    <d v="2014-12-01T00:00:00"/>
    <x v="0"/>
    <s v="Shalom"/>
    <x v="0"/>
    <x v="0"/>
    <x v="5"/>
    <n v="1"/>
    <m/>
    <m/>
    <n v="21"/>
    <n v="21"/>
    <m/>
    <m/>
    <m/>
    <m/>
    <n v="21"/>
    <m/>
    <m/>
    <x v="5"/>
    <x v="0"/>
    <n v="0.23076923076923078"/>
    <s v="NO"/>
    <m/>
  </r>
  <r>
    <d v="2014-12-01T00:00:00"/>
    <x v="0"/>
    <s v="Shalom"/>
    <x v="0"/>
    <x v="2"/>
    <x v="53"/>
    <n v="1"/>
    <m/>
    <m/>
    <n v="5"/>
    <n v="5"/>
    <m/>
    <m/>
    <m/>
    <m/>
    <n v="5"/>
    <m/>
    <m/>
    <x v="53"/>
    <x v="0"/>
    <n v="9.2592592592592587E-2"/>
    <s v="NO"/>
    <m/>
  </r>
  <r>
    <d v="2014-12-01T00:00:00"/>
    <x v="0"/>
    <s v="Shalom"/>
    <x v="0"/>
    <x v="0"/>
    <x v="63"/>
    <n v="1"/>
    <m/>
    <m/>
    <n v="5"/>
    <n v="5"/>
    <m/>
    <m/>
    <m/>
    <m/>
    <n v="5"/>
    <m/>
    <m/>
    <x v="63"/>
    <x v="0"/>
    <n v="0.11363636363636363"/>
    <s v="NO"/>
    <m/>
  </r>
  <r>
    <d v="2014-06-19T00:00:00"/>
    <x v="2"/>
    <s v="Shalom"/>
    <x v="0"/>
    <x v="0"/>
    <x v="64"/>
    <n v="1"/>
    <m/>
    <m/>
    <n v="50"/>
    <n v="55"/>
    <m/>
    <m/>
    <m/>
    <m/>
    <n v="55"/>
    <m/>
    <m/>
    <x v="64"/>
    <x v="0"/>
    <n v="0.55555555555555558"/>
    <s v="NO"/>
    <m/>
  </r>
  <r>
    <d v="2014-06-19T00:00:00"/>
    <x v="0"/>
    <s v="KBSS"/>
    <x v="0"/>
    <x v="6"/>
    <x v="65"/>
    <n v="1"/>
    <m/>
    <m/>
    <n v="80"/>
    <n v="80"/>
    <m/>
    <m/>
    <m/>
    <m/>
    <n v="80"/>
    <m/>
    <m/>
    <x v="65"/>
    <x v="0"/>
    <n v="0.30418250950570341"/>
    <s v="NO"/>
    <m/>
  </r>
  <r>
    <d v="2014-06-19T00:00:00"/>
    <x v="5"/>
    <m/>
    <x v="0"/>
    <x v="5"/>
    <x v="66"/>
    <n v="1"/>
    <m/>
    <m/>
    <n v="56"/>
    <n v="60"/>
    <m/>
    <m/>
    <m/>
    <m/>
    <n v="60"/>
    <m/>
    <m/>
    <x v="66"/>
    <x v="0"/>
    <n v="0.30456852791878175"/>
    <s v="NO"/>
    <m/>
  </r>
  <r>
    <d v="2014-06-01T00:00:00"/>
    <x v="0"/>
    <s v="KMSS"/>
    <x v="0"/>
    <x v="5"/>
    <x v="56"/>
    <n v="1"/>
    <m/>
    <m/>
    <n v="100"/>
    <n v="100"/>
    <m/>
    <m/>
    <m/>
    <m/>
    <n v="100"/>
    <m/>
    <m/>
    <x v="56"/>
    <x v="0"/>
    <n v="0.22727272727272727"/>
    <s v="NO"/>
    <m/>
  </r>
  <r>
    <d v="2014-06-01T00:00:00"/>
    <x v="0"/>
    <s v="Shalom"/>
    <x v="0"/>
    <x v="3"/>
    <x v="11"/>
    <n v="1"/>
    <m/>
    <m/>
    <n v="20"/>
    <n v="20"/>
    <m/>
    <m/>
    <m/>
    <m/>
    <n v="20"/>
    <m/>
    <m/>
    <x v="11"/>
    <x v="0"/>
    <n v="0.30303030303030304"/>
    <s v="NO"/>
    <m/>
  </r>
  <r>
    <d v="2014-06-01T00:00:00"/>
    <x v="0"/>
    <s v="Shalom"/>
    <x v="0"/>
    <x v="1"/>
    <x v="6"/>
    <n v="1"/>
    <m/>
    <m/>
    <n v="5"/>
    <n v="5"/>
    <m/>
    <m/>
    <m/>
    <m/>
    <n v="5"/>
    <m/>
    <m/>
    <x v="6"/>
    <x v="0"/>
    <n v="3.4965034965034968E-2"/>
    <s v="NO"/>
    <m/>
  </r>
  <r>
    <d v="2014-06-01T00:00:00"/>
    <x v="0"/>
    <s v="Shalom"/>
    <x v="0"/>
    <x v="3"/>
    <x v="12"/>
    <n v="1"/>
    <m/>
    <m/>
    <n v="2"/>
    <n v="2"/>
    <m/>
    <m/>
    <m/>
    <m/>
    <n v="2"/>
    <m/>
    <m/>
    <x v="12"/>
    <x v="0"/>
    <n v="0.08"/>
    <s v="NO"/>
    <m/>
  </r>
  <r>
    <d v="2014-06-01T00:00:00"/>
    <x v="0"/>
    <s v="KBC"/>
    <x v="0"/>
    <x v="6"/>
    <x v="18"/>
    <n v="1"/>
    <m/>
    <m/>
    <n v="25"/>
    <n v="25"/>
    <m/>
    <m/>
    <m/>
    <m/>
    <n v="25"/>
    <m/>
    <m/>
    <x v="18"/>
    <x v="0"/>
    <n v="0.13020833333333334"/>
    <s v="NO"/>
    <m/>
  </r>
  <r>
    <d v="2014-06-01T00:00:00"/>
    <x v="0"/>
    <s v="KBC"/>
    <x v="0"/>
    <x v="5"/>
    <x v="32"/>
    <n v="1"/>
    <m/>
    <m/>
    <n v="60"/>
    <n v="60"/>
    <m/>
    <m/>
    <m/>
    <m/>
    <n v="60"/>
    <m/>
    <m/>
    <x v="32"/>
    <x v="0"/>
    <n v="0.16042780748663102"/>
    <s v="NO"/>
    <m/>
  </r>
  <r>
    <d v="2014-06-01T00:00:00"/>
    <x v="0"/>
    <s v="KBC"/>
    <x v="0"/>
    <x v="5"/>
    <x v="66"/>
    <n v="1"/>
    <m/>
    <m/>
    <n v="15"/>
    <n v="15"/>
    <m/>
    <m/>
    <m/>
    <m/>
    <n v="15"/>
    <m/>
    <m/>
    <x v="66"/>
    <x v="0"/>
    <n v="7.6142131979695438E-2"/>
    <s v="NO"/>
    <m/>
  </r>
  <r>
    <d v="2014-06-01T00:00:00"/>
    <x v="0"/>
    <s v="Shalom"/>
    <x v="0"/>
    <x v="2"/>
    <x v="16"/>
    <n v="1"/>
    <m/>
    <m/>
    <n v="5"/>
    <n v="5"/>
    <m/>
    <m/>
    <m/>
    <m/>
    <n v="5"/>
    <m/>
    <m/>
    <x v="16"/>
    <x v="0"/>
    <n v="0.23809523809523808"/>
    <s v="NO"/>
    <m/>
  </r>
  <r>
    <d v="2014-06-01T00:00:00"/>
    <x v="0"/>
    <s v="KBC"/>
    <x v="0"/>
    <x v="6"/>
    <x v="67"/>
    <n v="1"/>
    <m/>
    <m/>
    <n v="10"/>
    <n v="10"/>
    <m/>
    <m/>
    <m/>
    <m/>
    <n v="10"/>
    <m/>
    <m/>
    <x v="67"/>
    <x v="0"/>
    <n v="4.4247787610619468E-2"/>
    <s v="NO"/>
    <m/>
  </r>
  <r>
    <d v="2014-06-01T00:00:00"/>
    <x v="0"/>
    <s v="Shalom"/>
    <x v="0"/>
    <x v="4"/>
    <x v="68"/>
    <n v="1"/>
    <m/>
    <m/>
    <n v="5"/>
    <n v="5"/>
    <m/>
    <m/>
    <m/>
    <m/>
    <n v="5"/>
    <m/>
    <m/>
    <x v="68"/>
    <x v="0"/>
    <n v="0.35714285714285715"/>
    <s v="NO"/>
    <m/>
  </r>
  <r>
    <d v="2014-06-01T00:00:00"/>
    <x v="0"/>
    <s v="KBC"/>
    <x v="0"/>
    <x v="4"/>
    <x v="69"/>
    <n v="1"/>
    <m/>
    <m/>
    <n v="10"/>
    <n v="10"/>
    <m/>
    <m/>
    <m/>
    <m/>
    <n v="10"/>
    <m/>
    <m/>
    <x v="69"/>
    <x v="0"/>
    <n v="6.6666666666666666E-2"/>
    <s v="NO"/>
    <m/>
  </r>
  <r>
    <d v="2014-06-01T00:00:00"/>
    <x v="0"/>
    <s v="Shalom"/>
    <x v="0"/>
    <x v="0"/>
    <x v="70"/>
    <n v="1"/>
    <m/>
    <m/>
    <n v="3"/>
    <n v="3"/>
    <m/>
    <m/>
    <m/>
    <m/>
    <n v="3"/>
    <m/>
    <m/>
    <x v="70"/>
    <x v="0"/>
    <n v="9.6774193548387094E-2"/>
    <s v="NO"/>
    <m/>
  </r>
  <r>
    <d v="2014-06-01T00:00:00"/>
    <x v="0"/>
    <s v="Shalom"/>
    <x v="0"/>
    <x v="2"/>
    <x v="53"/>
    <n v="1"/>
    <m/>
    <m/>
    <n v="10"/>
    <n v="10"/>
    <m/>
    <m/>
    <m/>
    <m/>
    <n v="10"/>
    <m/>
    <m/>
    <x v="53"/>
    <x v="0"/>
    <n v="0.18518518518518517"/>
    <s v="NO"/>
    <m/>
  </r>
  <r>
    <d v="2014-05-11T00:00:00"/>
    <x v="0"/>
    <m/>
    <x v="1"/>
    <x v="11"/>
    <x v="60"/>
    <n v="1"/>
    <n v="110"/>
    <n v="110"/>
    <m/>
    <m/>
    <m/>
    <m/>
    <m/>
    <m/>
    <n v="0"/>
    <m/>
    <m/>
    <x v="60"/>
    <x v="0"/>
    <n v="0"/>
    <s v="NO"/>
    <m/>
  </r>
  <r>
    <d v="2014-04-20T00:00:00"/>
    <x v="0"/>
    <m/>
    <x v="0"/>
    <x v="5"/>
    <x v="71"/>
    <n v="1"/>
    <n v="200"/>
    <n v="200"/>
    <m/>
    <m/>
    <m/>
    <m/>
    <m/>
    <m/>
    <n v="0"/>
    <m/>
    <m/>
    <x v="71"/>
    <x v="1"/>
    <s v=""/>
    <s v="NO"/>
    <m/>
  </r>
  <r>
    <d v="2014-04-19T00:00:00"/>
    <x v="0"/>
    <m/>
    <x v="0"/>
    <x v="5"/>
    <x v="15"/>
    <n v="1"/>
    <n v="200"/>
    <n v="200"/>
    <m/>
    <m/>
    <m/>
    <m/>
    <m/>
    <m/>
    <n v="0"/>
    <m/>
    <m/>
    <x v="15"/>
    <x v="0"/>
    <n v="0"/>
    <s v="NO"/>
    <m/>
  </r>
  <r>
    <d v="2013-12-01T00:00:00"/>
    <x v="0"/>
    <s v="KBC"/>
    <x v="0"/>
    <x v="3"/>
    <x v="72"/>
    <n v="1"/>
    <m/>
    <m/>
    <n v="20"/>
    <n v="20"/>
    <m/>
    <m/>
    <m/>
    <m/>
    <n v="20"/>
    <m/>
    <m/>
    <x v="72"/>
    <x v="0"/>
    <n v="0.29850746268656714"/>
    <s v="NO"/>
    <m/>
  </r>
  <r>
    <d v="2013-12-01T00:00:00"/>
    <x v="0"/>
    <s v="Shalom"/>
    <x v="0"/>
    <x v="3"/>
    <x v="8"/>
    <n v="1"/>
    <m/>
    <m/>
    <n v="25"/>
    <n v="25"/>
    <m/>
    <m/>
    <m/>
    <m/>
    <n v="25"/>
    <m/>
    <m/>
    <x v="8"/>
    <x v="0"/>
    <n v="0.37313432835820898"/>
    <s v="NO"/>
    <m/>
  </r>
  <r>
    <d v="2013-12-01T00:00:00"/>
    <x v="0"/>
    <s v="Shalom"/>
    <x v="0"/>
    <x v="3"/>
    <x v="9"/>
    <n v="1"/>
    <m/>
    <m/>
    <n v="5"/>
    <n v="5"/>
    <m/>
    <m/>
    <m/>
    <m/>
    <n v="5"/>
    <m/>
    <m/>
    <x v="9"/>
    <x v="0"/>
    <n v="0.35714285714285715"/>
    <s v="NO"/>
    <m/>
  </r>
  <r>
    <d v="2013-12-01T00:00:00"/>
    <x v="0"/>
    <s v="KBC"/>
    <x v="0"/>
    <x v="3"/>
    <x v="73"/>
    <n v="1"/>
    <m/>
    <m/>
    <n v="20"/>
    <n v="20"/>
    <m/>
    <m/>
    <m/>
    <m/>
    <n v="20"/>
    <m/>
    <m/>
    <x v="73"/>
    <x v="0"/>
    <n v="0.52631578947368418"/>
    <s v="NO"/>
    <m/>
  </r>
  <r>
    <d v="2013-12-01T00:00:00"/>
    <x v="0"/>
    <s v="Shalom"/>
    <x v="0"/>
    <x v="3"/>
    <x v="55"/>
    <n v="1"/>
    <m/>
    <m/>
    <n v="10"/>
    <n v="10"/>
    <m/>
    <m/>
    <m/>
    <m/>
    <n v="0"/>
    <m/>
    <m/>
    <x v="55"/>
    <x v="1"/>
    <s v=""/>
    <s v="NO"/>
    <m/>
  </r>
  <r>
    <d v="2013-12-01T00:00:00"/>
    <x v="0"/>
    <s v="KMSS"/>
    <x v="0"/>
    <x v="0"/>
    <x v="0"/>
    <n v="1"/>
    <m/>
    <m/>
    <n v="35"/>
    <n v="35"/>
    <m/>
    <m/>
    <m/>
    <m/>
    <n v="35"/>
    <m/>
    <m/>
    <x v="0"/>
    <x v="0"/>
    <n v="0.21739130434782608"/>
    <s v="NO"/>
    <m/>
  </r>
  <r>
    <d v="2013-12-01T00:00:00"/>
    <x v="0"/>
    <s v="Shalom"/>
    <x v="0"/>
    <x v="3"/>
    <x v="10"/>
    <n v="1"/>
    <m/>
    <m/>
    <n v="4"/>
    <n v="4"/>
    <m/>
    <m/>
    <m/>
    <m/>
    <n v="4"/>
    <m/>
    <m/>
    <x v="10"/>
    <x v="0"/>
    <n v="0.66666666666666663"/>
    <s v="NO"/>
    <m/>
  </r>
  <r>
    <d v="2013-12-01T00:00:00"/>
    <x v="0"/>
    <s v="Shalom"/>
    <x v="0"/>
    <x v="0"/>
    <x v="64"/>
    <n v="1"/>
    <m/>
    <m/>
    <n v="5"/>
    <n v="5"/>
    <m/>
    <m/>
    <m/>
    <m/>
    <n v="5"/>
    <m/>
    <m/>
    <x v="64"/>
    <x v="0"/>
    <n v="5.0505050505050504E-2"/>
    <s v="NO"/>
    <m/>
  </r>
  <r>
    <d v="2013-12-01T00:00:00"/>
    <x v="0"/>
    <s v="Shalom"/>
    <x v="0"/>
    <x v="3"/>
    <x v="74"/>
    <n v="1"/>
    <m/>
    <m/>
    <n v="10"/>
    <n v="10"/>
    <m/>
    <m/>
    <m/>
    <m/>
    <n v="10"/>
    <m/>
    <m/>
    <x v="74"/>
    <x v="0"/>
    <n v="2"/>
    <s v="NO"/>
    <m/>
  </r>
  <r>
    <d v="2013-12-01T00:00:00"/>
    <x v="0"/>
    <s v="KBC"/>
    <x v="0"/>
    <x v="2"/>
    <x v="29"/>
    <n v="1"/>
    <m/>
    <m/>
    <n v="30"/>
    <n v="30"/>
    <m/>
    <m/>
    <m/>
    <m/>
    <n v="30"/>
    <m/>
    <m/>
    <x v="29"/>
    <x v="0"/>
    <n v="0.15151515151515152"/>
    <s v="NO"/>
    <m/>
  </r>
  <r>
    <d v="2013-12-01T00:00:00"/>
    <x v="0"/>
    <s v="KBSS"/>
    <x v="0"/>
    <x v="5"/>
    <x v="75"/>
    <n v="1"/>
    <m/>
    <m/>
    <n v="60"/>
    <n v="60"/>
    <m/>
    <m/>
    <m/>
    <m/>
    <n v="0"/>
    <m/>
    <m/>
    <x v="75"/>
    <x v="1"/>
    <s v=""/>
    <s v="NO"/>
    <m/>
  </r>
  <r>
    <d v="2013-12-01T00:00:00"/>
    <x v="0"/>
    <s v="Shalom"/>
    <x v="0"/>
    <x v="3"/>
    <x v="12"/>
    <n v="1"/>
    <m/>
    <m/>
    <n v="18"/>
    <n v="18"/>
    <m/>
    <m/>
    <m/>
    <m/>
    <n v="18"/>
    <m/>
    <m/>
    <x v="12"/>
    <x v="0"/>
    <n v="0.72"/>
    <s v="NO"/>
    <m/>
  </r>
  <r>
    <d v="2013-12-01T00:00:00"/>
    <x v="0"/>
    <s v="Shalom"/>
    <x v="0"/>
    <x v="4"/>
    <x v="13"/>
    <n v="1"/>
    <m/>
    <m/>
    <n v="10"/>
    <n v="10"/>
    <m/>
    <m/>
    <m/>
    <m/>
    <n v="10"/>
    <m/>
    <m/>
    <x v="13"/>
    <x v="0"/>
    <n v="8.6206896551724144E-2"/>
    <s v="NO"/>
    <m/>
  </r>
  <r>
    <d v="2013-12-01T00:00:00"/>
    <x v="0"/>
    <s v="Shalom"/>
    <x v="0"/>
    <x v="0"/>
    <x v="76"/>
    <n v="1"/>
    <m/>
    <m/>
    <n v="35"/>
    <n v="35"/>
    <m/>
    <m/>
    <m/>
    <m/>
    <n v="35"/>
    <m/>
    <m/>
    <x v="76"/>
    <x v="0"/>
    <n v="0.2348993288590604"/>
    <s v="NO"/>
    <m/>
  </r>
  <r>
    <d v="2013-12-01T00:00:00"/>
    <x v="0"/>
    <s v="KBC"/>
    <x v="1"/>
    <x v="13"/>
    <x v="77"/>
    <n v="1"/>
    <m/>
    <m/>
    <n v="10"/>
    <n v="10"/>
    <m/>
    <m/>
    <m/>
    <m/>
    <n v="10"/>
    <m/>
    <m/>
    <x v="77"/>
    <x v="0"/>
    <n v="0.27777777777777779"/>
    <s v="NO"/>
    <m/>
  </r>
  <r>
    <d v="2013-12-01T00:00:00"/>
    <x v="0"/>
    <s v="KMSS"/>
    <x v="1"/>
    <x v="13"/>
    <x v="78"/>
    <n v="1"/>
    <m/>
    <m/>
    <n v="30"/>
    <n v="30"/>
    <m/>
    <m/>
    <m/>
    <m/>
    <n v="30"/>
    <m/>
    <m/>
    <x v="78"/>
    <x v="0"/>
    <n v="1.0344827586206897"/>
    <s v="NO"/>
    <m/>
  </r>
  <r>
    <d v="2013-12-01T00:00:00"/>
    <x v="0"/>
    <s v="KBC"/>
    <x v="0"/>
    <x v="5"/>
    <x v="66"/>
    <n v="1"/>
    <m/>
    <m/>
    <n v="20"/>
    <n v="20"/>
    <m/>
    <m/>
    <m/>
    <m/>
    <n v="20"/>
    <m/>
    <m/>
    <x v="66"/>
    <x v="0"/>
    <n v="0.10152284263959391"/>
    <s v="NO"/>
    <m/>
  </r>
  <r>
    <d v="2013-12-01T00:00:00"/>
    <x v="0"/>
    <s v="Shalom"/>
    <x v="0"/>
    <x v="2"/>
    <x v="4"/>
    <n v="1"/>
    <m/>
    <m/>
    <n v="15"/>
    <n v="15"/>
    <m/>
    <m/>
    <m/>
    <m/>
    <n v="15"/>
    <m/>
    <m/>
    <x v="4"/>
    <x v="0"/>
    <n v="1.0714285714285714"/>
    <s v="NO"/>
    <m/>
  </r>
  <r>
    <d v="2013-12-01T00:00:00"/>
    <x v="0"/>
    <s v="Shalom"/>
    <x v="0"/>
    <x v="3"/>
    <x v="79"/>
    <n v="1"/>
    <m/>
    <m/>
    <n v="5"/>
    <n v="5"/>
    <m/>
    <m/>
    <m/>
    <m/>
    <n v="5"/>
    <m/>
    <m/>
    <x v="79"/>
    <x v="0"/>
    <n v="1.25"/>
    <s v="NO"/>
    <m/>
  </r>
  <r>
    <d v="2013-12-01T00:00:00"/>
    <x v="0"/>
    <m/>
    <x v="0"/>
    <x v="6"/>
    <x v="67"/>
    <n v="1"/>
    <m/>
    <m/>
    <n v="50"/>
    <n v="50"/>
    <m/>
    <m/>
    <m/>
    <m/>
    <n v="50"/>
    <m/>
    <m/>
    <x v="67"/>
    <x v="0"/>
    <n v="0.22123893805309736"/>
    <s v="NO"/>
    <m/>
  </r>
  <r>
    <d v="2013-12-01T00:00:00"/>
    <x v="0"/>
    <s v="KBC"/>
    <x v="1"/>
    <x v="7"/>
    <x v="80"/>
    <n v="1"/>
    <m/>
    <m/>
    <n v="5"/>
    <n v="5"/>
    <m/>
    <m/>
    <m/>
    <m/>
    <n v="5"/>
    <m/>
    <m/>
    <x v="80"/>
    <x v="0"/>
    <n v="0.10204081632653061"/>
    <s v="NO"/>
    <m/>
  </r>
  <r>
    <d v="2013-12-01T00:00:00"/>
    <x v="0"/>
    <s v="Shalom"/>
    <x v="0"/>
    <x v="4"/>
    <x v="68"/>
    <n v="1"/>
    <m/>
    <m/>
    <n v="13"/>
    <n v="13"/>
    <m/>
    <m/>
    <m/>
    <m/>
    <n v="13"/>
    <m/>
    <m/>
    <x v="68"/>
    <x v="0"/>
    <n v="0.9285714285714286"/>
    <s v="NO"/>
    <m/>
  </r>
  <r>
    <d v="2013-12-01T00:00:00"/>
    <x v="0"/>
    <s v="Shalom"/>
    <x v="0"/>
    <x v="3"/>
    <x v="61"/>
    <n v="1"/>
    <m/>
    <m/>
    <n v="10"/>
    <n v="10"/>
    <m/>
    <m/>
    <m/>
    <m/>
    <n v="10"/>
    <m/>
    <m/>
    <x v="61"/>
    <x v="0"/>
    <n v="0.83333333333333337"/>
    <s v="NO"/>
    <m/>
  </r>
  <r>
    <d v="2013-12-01T00:00:00"/>
    <x v="0"/>
    <s v="Shalom"/>
    <x v="0"/>
    <x v="0"/>
    <x v="62"/>
    <n v="1"/>
    <m/>
    <m/>
    <n v="10"/>
    <n v="10"/>
    <m/>
    <m/>
    <m/>
    <m/>
    <n v="10"/>
    <m/>
    <m/>
    <x v="62"/>
    <x v="0"/>
    <n v="0.55555555555555558"/>
    <s v="NO"/>
    <m/>
  </r>
  <r>
    <d v="2013-12-01T00:00:00"/>
    <x v="0"/>
    <s v="Shalom"/>
    <x v="0"/>
    <x v="3"/>
    <x v="81"/>
    <n v="1"/>
    <m/>
    <m/>
    <n v="40"/>
    <n v="40"/>
    <m/>
    <m/>
    <m/>
    <m/>
    <n v="0"/>
    <m/>
    <m/>
    <x v="81"/>
    <x v="1"/>
    <s v=""/>
    <s v="NO"/>
    <m/>
  </r>
  <r>
    <d v="2013-12-01T00:00:00"/>
    <x v="0"/>
    <s v="Shalom"/>
    <x v="0"/>
    <x v="6"/>
    <x v="82"/>
    <n v="1"/>
    <m/>
    <m/>
    <n v="4"/>
    <n v="4"/>
    <m/>
    <m/>
    <m/>
    <m/>
    <n v="0"/>
    <n v="5"/>
    <m/>
    <x v="82"/>
    <x v="1"/>
    <s v=""/>
    <s v="NO"/>
    <m/>
  </r>
  <r>
    <d v="2013-12-01T00:00:00"/>
    <x v="0"/>
    <s v="KBC"/>
    <x v="0"/>
    <x v="0"/>
    <x v="25"/>
    <n v="1"/>
    <m/>
    <m/>
    <n v="11"/>
    <n v="11"/>
    <m/>
    <m/>
    <m/>
    <m/>
    <n v="11"/>
    <m/>
    <m/>
    <x v="25"/>
    <x v="0"/>
    <n v="6.1111111111111109E-2"/>
    <s v="NO"/>
    <m/>
  </r>
  <r>
    <d v="2013-12-01T00:00:00"/>
    <x v="0"/>
    <s v="KBC"/>
    <x v="0"/>
    <x v="4"/>
    <x v="69"/>
    <n v="1"/>
    <m/>
    <m/>
    <n v="50"/>
    <n v="50"/>
    <m/>
    <m/>
    <m/>
    <m/>
    <n v="50"/>
    <m/>
    <m/>
    <x v="69"/>
    <x v="0"/>
    <n v="0.33333333333333331"/>
    <s v="NO"/>
    <m/>
  </r>
  <r>
    <d v="2013-12-01T00:00:00"/>
    <x v="0"/>
    <s v="Shalom"/>
    <x v="0"/>
    <x v="0"/>
    <x v="5"/>
    <n v="1"/>
    <m/>
    <m/>
    <n v="10"/>
    <n v="10"/>
    <m/>
    <m/>
    <m/>
    <m/>
    <n v="10"/>
    <m/>
    <m/>
    <x v="5"/>
    <x v="0"/>
    <n v="0.10989010989010989"/>
    <s v="NO"/>
    <m/>
  </r>
  <r>
    <d v="2013-12-01T00:00:00"/>
    <x v="0"/>
    <s v="Shalom"/>
    <x v="0"/>
    <x v="0"/>
    <x v="70"/>
    <n v="1"/>
    <m/>
    <m/>
    <n v="10"/>
    <n v="10"/>
    <m/>
    <m/>
    <m/>
    <m/>
    <n v="10"/>
    <m/>
    <m/>
    <x v="70"/>
    <x v="0"/>
    <n v="0.32258064516129031"/>
    <s v="NO"/>
    <m/>
  </r>
  <r>
    <d v="2013-12-01T00:00:00"/>
    <x v="0"/>
    <s v="Shalom"/>
    <x v="0"/>
    <x v="3"/>
    <x v="83"/>
    <n v="1"/>
    <m/>
    <m/>
    <n v="10"/>
    <n v="10"/>
    <m/>
    <m/>
    <m/>
    <m/>
    <n v="10"/>
    <m/>
    <m/>
    <x v="83"/>
    <x v="0"/>
    <n v="1"/>
    <s v="NO"/>
    <m/>
  </r>
  <r>
    <d v="2013-12-01T00:00:00"/>
    <x v="0"/>
    <s v="KBC"/>
    <x v="0"/>
    <x v="4"/>
    <x v="17"/>
    <n v="1"/>
    <m/>
    <m/>
    <n v="30"/>
    <n v="30"/>
    <m/>
    <m/>
    <m/>
    <m/>
    <n v="30"/>
    <m/>
    <m/>
    <x v="17"/>
    <x v="0"/>
    <n v="4.7923322683706068E-2"/>
    <s v="NO"/>
    <m/>
  </r>
  <r>
    <d v="2013-12-01T00:00:00"/>
    <x v="0"/>
    <s v="KBC"/>
    <x v="0"/>
    <x v="3"/>
    <x v="84"/>
    <n v="1"/>
    <m/>
    <m/>
    <n v="5"/>
    <n v="5"/>
    <m/>
    <m/>
    <m/>
    <m/>
    <n v="5"/>
    <m/>
    <m/>
    <x v="84"/>
    <x v="0"/>
    <n v="0.625"/>
    <s v="NO"/>
    <m/>
  </r>
  <r>
    <d v="2013-12-01T00:00:00"/>
    <x v="0"/>
    <s v="KBC"/>
    <x v="0"/>
    <x v="0"/>
    <x v="26"/>
    <n v="1"/>
    <m/>
    <m/>
    <n v="18"/>
    <n v="18"/>
    <m/>
    <m/>
    <m/>
    <m/>
    <n v="18"/>
    <m/>
    <m/>
    <x v="26"/>
    <x v="0"/>
    <n v="0.1005586592178771"/>
    <s v="NO"/>
    <m/>
  </r>
  <r>
    <d v="2013-12-01T00:00:00"/>
    <x v="0"/>
    <s v="Shalom"/>
    <x v="0"/>
    <x v="4"/>
    <x v="85"/>
    <n v="1"/>
    <m/>
    <m/>
    <n v="15"/>
    <n v="15"/>
    <m/>
    <m/>
    <m/>
    <m/>
    <n v="15"/>
    <n v="10"/>
    <m/>
    <x v="85"/>
    <x v="0"/>
    <n v="0.7142857142857143"/>
    <s v="NO"/>
    <m/>
  </r>
  <r>
    <d v="2013-12-01T00:00:00"/>
    <x v="0"/>
    <s v="Shalom"/>
    <x v="0"/>
    <x v="2"/>
    <x v="53"/>
    <n v="1"/>
    <m/>
    <m/>
    <n v="30"/>
    <n v="30"/>
    <m/>
    <m/>
    <m/>
    <m/>
    <n v="30"/>
    <m/>
    <m/>
    <x v="53"/>
    <x v="0"/>
    <n v="0.55555555555555558"/>
    <s v="NO"/>
    <m/>
  </r>
  <r>
    <d v="2013-12-01T00:00:00"/>
    <x v="0"/>
    <s v="Shalom"/>
    <x v="0"/>
    <x v="0"/>
    <x v="63"/>
    <n v="1"/>
    <m/>
    <m/>
    <n v="5"/>
    <n v="5"/>
    <m/>
    <m/>
    <m/>
    <m/>
    <n v="5"/>
    <m/>
    <m/>
    <x v="63"/>
    <x v="0"/>
    <n v="0.11363636363636363"/>
    <s v="NO"/>
    <m/>
  </r>
  <r>
    <d v="2013-12-01T00:00:00"/>
    <x v="0"/>
    <s v="Shalom"/>
    <x v="0"/>
    <x v="0"/>
    <x v="86"/>
    <n v="1"/>
    <m/>
    <m/>
    <n v="6"/>
    <n v="6"/>
    <m/>
    <m/>
    <m/>
    <m/>
    <n v="6"/>
    <m/>
    <m/>
    <x v="86"/>
    <x v="0"/>
    <n v="8.5714285714285715E-2"/>
    <s v="NO"/>
    <m/>
  </r>
  <r>
    <d v="2013-12-01T00:00:00"/>
    <x v="0"/>
    <s v="KBC"/>
    <x v="0"/>
    <x v="3"/>
    <x v="87"/>
    <n v="1"/>
    <m/>
    <m/>
    <n v="15"/>
    <n v="15"/>
    <m/>
    <m/>
    <m/>
    <m/>
    <n v="15"/>
    <m/>
    <m/>
    <x v="87"/>
    <x v="0"/>
    <n v="0.42857142857142855"/>
    <s v="NO"/>
    <m/>
  </r>
  <r>
    <d v="2013-12-01T00:00:00"/>
    <x v="0"/>
    <s v="KMSS"/>
    <x v="0"/>
    <x v="0"/>
    <x v="88"/>
    <n v="1"/>
    <m/>
    <m/>
    <n v="160"/>
    <n v="160"/>
    <m/>
    <m/>
    <m/>
    <m/>
    <n v="160"/>
    <m/>
    <m/>
    <x v="88"/>
    <x v="0"/>
    <n v="0.11670313639679067"/>
    <s v="NO"/>
    <m/>
  </r>
  <r>
    <d v="2013-12-01T00:00:00"/>
    <x v="0"/>
    <m/>
    <x v="0"/>
    <x v="4"/>
    <x v="89"/>
    <n v="1"/>
    <m/>
    <m/>
    <n v="5"/>
    <n v="5"/>
    <m/>
    <m/>
    <m/>
    <m/>
    <n v="5"/>
    <m/>
    <m/>
    <x v="89"/>
    <x v="0"/>
    <n v="0.33333333333333331"/>
    <s v="NO"/>
    <m/>
  </r>
  <r>
    <d v="2013-12-01T00:00:00"/>
    <x v="0"/>
    <s v="KBC"/>
    <x v="0"/>
    <x v="0"/>
    <x v="27"/>
    <n v="1"/>
    <m/>
    <m/>
    <n v="76"/>
    <n v="76"/>
    <m/>
    <m/>
    <m/>
    <m/>
    <n v="76"/>
    <m/>
    <m/>
    <x v="27"/>
    <x v="0"/>
    <n v="0.12582781456953643"/>
    <s v="NO"/>
    <m/>
  </r>
  <r>
    <m/>
    <x v="6"/>
    <m/>
    <x v="0"/>
    <x v="3"/>
    <x v="72"/>
    <n v="1"/>
    <n v="25"/>
    <n v="25"/>
    <m/>
    <m/>
    <m/>
    <m/>
    <m/>
    <m/>
    <n v="0"/>
    <m/>
    <m/>
    <x v="72"/>
    <x v="0"/>
    <n v="0"/>
    <s v="NO"/>
    <m/>
  </r>
  <r>
    <m/>
    <x v="0"/>
    <s v="KMSS"/>
    <x v="0"/>
    <x v="3"/>
    <x v="72"/>
    <n v="1"/>
    <m/>
    <m/>
    <m/>
    <m/>
    <m/>
    <m/>
    <m/>
    <m/>
    <n v="0"/>
    <n v="44"/>
    <m/>
    <x v="72"/>
    <x v="0"/>
    <n v="0"/>
    <s v="NO"/>
    <m/>
  </r>
  <r>
    <m/>
    <x v="7"/>
    <s v="KBSS"/>
    <x v="0"/>
    <x v="4"/>
    <x v="90"/>
    <n v="1"/>
    <m/>
    <m/>
    <n v="6"/>
    <n v="6"/>
    <m/>
    <m/>
    <m/>
    <m/>
    <n v="6"/>
    <m/>
    <m/>
    <x v="90"/>
    <x v="0"/>
    <n v="2.3076923076923078E-2"/>
    <s v="NO"/>
    <m/>
  </r>
  <r>
    <m/>
    <x v="0"/>
    <s v="KBSS"/>
    <x v="0"/>
    <x v="4"/>
    <x v="90"/>
    <n v="1"/>
    <m/>
    <m/>
    <n v="144"/>
    <n v="144"/>
    <m/>
    <m/>
    <m/>
    <m/>
    <n v="144"/>
    <m/>
    <m/>
    <x v="90"/>
    <x v="0"/>
    <n v="0.55384615384615388"/>
    <s v="NO"/>
    <m/>
  </r>
  <r>
    <m/>
    <x v="0"/>
    <m/>
    <x v="0"/>
    <x v="4"/>
    <x v="90"/>
    <n v="1"/>
    <m/>
    <m/>
    <n v="20"/>
    <n v="20"/>
    <m/>
    <m/>
    <m/>
    <m/>
    <n v="20"/>
    <m/>
    <m/>
    <x v="90"/>
    <x v="0"/>
    <n v="7.6923076923076927E-2"/>
    <s v="NO"/>
    <m/>
  </r>
  <r>
    <m/>
    <x v="6"/>
    <m/>
    <x v="0"/>
    <x v="3"/>
    <x v="8"/>
    <n v="1"/>
    <n v="10"/>
    <n v="10"/>
    <m/>
    <m/>
    <m/>
    <m/>
    <m/>
    <m/>
    <n v="0"/>
    <m/>
    <m/>
    <x v="8"/>
    <x v="0"/>
    <n v="0"/>
    <s v="NO"/>
    <m/>
  </r>
  <r>
    <m/>
    <x v="0"/>
    <s v="Shalom"/>
    <x v="0"/>
    <x v="3"/>
    <x v="8"/>
    <n v="1"/>
    <m/>
    <m/>
    <n v="5"/>
    <n v="5"/>
    <m/>
    <m/>
    <m/>
    <m/>
    <n v="5"/>
    <m/>
    <m/>
    <x v="8"/>
    <x v="0"/>
    <n v="7.4626865671641784E-2"/>
    <s v="NO"/>
    <m/>
  </r>
  <r>
    <m/>
    <x v="0"/>
    <s v="KBSS"/>
    <x v="0"/>
    <x v="4"/>
    <x v="91"/>
    <n v="1"/>
    <m/>
    <m/>
    <n v="32"/>
    <n v="32"/>
    <m/>
    <m/>
    <m/>
    <m/>
    <n v="32"/>
    <m/>
    <m/>
    <x v="91"/>
    <x v="0"/>
    <n v="2.6666666666666665"/>
    <s v="NO"/>
    <m/>
  </r>
  <r>
    <m/>
    <x v="0"/>
    <m/>
    <x v="0"/>
    <x v="4"/>
    <x v="91"/>
    <n v="1"/>
    <m/>
    <m/>
    <n v="10"/>
    <n v="10"/>
    <m/>
    <m/>
    <m/>
    <m/>
    <n v="10"/>
    <m/>
    <m/>
    <x v="91"/>
    <x v="0"/>
    <n v="0.83333333333333337"/>
    <s v="NO"/>
    <m/>
  </r>
  <r>
    <m/>
    <x v="6"/>
    <m/>
    <x v="0"/>
    <x v="3"/>
    <x v="73"/>
    <n v="1"/>
    <n v="10"/>
    <n v="10"/>
    <m/>
    <m/>
    <m/>
    <m/>
    <m/>
    <m/>
    <n v="0"/>
    <m/>
    <m/>
    <x v="73"/>
    <x v="0"/>
    <n v="0"/>
    <s v="NO"/>
    <m/>
  </r>
  <r>
    <m/>
    <x v="8"/>
    <m/>
    <x v="0"/>
    <x v="3"/>
    <x v="55"/>
    <n v="1"/>
    <m/>
    <m/>
    <n v="10"/>
    <n v="10"/>
    <m/>
    <m/>
    <m/>
    <m/>
    <n v="0"/>
    <m/>
    <m/>
    <x v="55"/>
    <x v="1"/>
    <s v=""/>
    <s v="NO"/>
    <m/>
  </r>
  <r>
    <m/>
    <x v="6"/>
    <m/>
    <x v="0"/>
    <x v="0"/>
    <x v="0"/>
    <n v="1"/>
    <n v="41"/>
    <n v="41"/>
    <m/>
    <m/>
    <m/>
    <m/>
    <m/>
    <m/>
    <n v="0"/>
    <m/>
    <m/>
    <x v="0"/>
    <x v="0"/>
    <n v="0"/>
    <s v="NO"/>
    <m/>
  </r>
  <r>
    <m/>
    <x v="0"/>
    <s v="KMSS"/>
    <x v="0"/>
    <x v="0"/>
    <x v="0"/>
    <n v="1"/>
    <m/>
    <m/>
    <n v="202"/>
    <n v="202"/>
    <m/>
    <m/>
    <m/>
    <m/>
    <n v="202"/>
    <m/>
    <m/>
    <x v="0"/>
    <x v="0"/>
    <n v="1.2546583850931676"/>
    <s v="NO"/>
    <m/>
  </r>
  <r>
    <m/>
    <x v="0"/>
    <m/>
    <x v="0"/>
    <x v="5"/>
    <x v="56"/>
    <n v="1"/>
    <m/>
    <m/>
    <n v="150"/>
    <m/>
    <m/>
    <m/>
    <m/>
    <m/>
    <n v="0"/>
    <m/>
    <m/>
    <x v="56"/>
    <x v="0"/>
    <n v="0"/>
    <s v="NO"/>
    <m/>
  </r>
  <r>
    <m/>
    <x v="2"/>
    <s v="Shalom"/>
    <x v="0"/>
    <x v="1"/>
    <x v="7"/>
    <n v="1"/>
    <m/>
    <m/>
    <n v="82"/>
    <n v="82"/>
    <m/>
    <m/>
    <m/>
    <m/>
    <n v="82"/>
    <m/>
    <m/>
    <x v="7"/>
    <x v="0"/>
    <n v="0.74545454545454548"/>
    <s v="NO"/>
    <m/>
  </r>
  <r>
    <m/>
    <x v="0"/>
    <s v="Shalom"/>
    <x v="0"/>
    <x v="1"/>
    <x v="7"/>
    <n v="1"/>
    <m/>
    <m/>
    <n v="20"/>
    <n v="20"/>
    <m/>
    <m/>
    <m/>
    <m/>
    <n v="20"/>
    <m/>
    <m/>
    <x v="7"/>
    <x v="0"/>
    <n v="0.18181818181818182"/>
    <s v="NO"/>
    <m/>
  </r>
  <r>
    <m/>
    <x v="6"/>
    <m/>
    <x v="0"/>
    <x v="3"/>
    <x v="11"/>
    <n v="1"/>
    <n v="5"/>
    <n v="5"/>
    <m/>
    <m/>
    <m/>
    <m/>
    <m/>
    <m/>
    <n v="0"/>
    <m/>
    <m/>
    <x v="11"/>
    <x v="0"/>
    <n v="0"/>
    <s v="NO"/>
    <m/>
  </r>
  <r>
    <m/>
    <x v="0"/>
    <s v="Shalom"/>
    <x v="0"/>
    <x v="3"/>
    <x v="11"/>
    <n v="1"/>
    <m/>
    <m/>
    <n v="10"/>
    <n v="10"/>
    <m/>
    <m/>
    <m/>
    <m/>
    <n v="10"/>
    <m/>
    <m/>
    <x v="11"/>
    <x v="0"/>
    <n v="0.15151515151515152"/>
    <s v="NO"/>
    <m/>
  </r>
  <r>
    <m/>
    <x v="0"/>
    <m/>
    <x v="0"/>
    <x v="2"/>
    <x v="43"/>
    <n v="1"/>
    <m/>
    <m/>
    <n v="3"/>
    <n v="3"/>
    <m/>
    <m/>
    <m/>
    <m/>
    <n v="3"/>
    <m/>
    <m/>
    <x v="43"/>
    <x v="0"/>
    <n v="0.5"/>
    <s v="NO"/>
    <m/>
  </r>
  <r>
    <m/>
    <x v="0"/>
    <m/>
    <x v="0"/>
    <x v="2"/>
    <x v="92"/>
    <n v="1"/>
    <m/>
    <m/>
    <n v="6"/>
    <n v="6"/>
    <m/>
    <m/>
    <m/>
    <m/>
    <n v="6"/>
    <m/>
    <m/>
    <x v="92"/>
    <x v="0"/>
    <n v="1"/>
    <s v="NO"/>
    <m/>
  </r>
  <r>
    <m/>
    <x v="0"/>
    <m/>
    <x v="0"/>
    <x v="2"/>
    <x v="93"/>
    <n v="1"/>
    <m/>
    <m/>
    <n v="3"/>
    <n v="3"/>
    <m/>
    <m/>
    <m/>
    <m/>
    <n v="3"/>
    <m/>
    <m/>
    <x v="93"/>
    <x v="0"/>
    <n v="0.15"/>
    <s v="NO"/>
    <m/>
  </r>
  <r>
    <m/>
    <x v="0"/>
    <s v="KMSS"/>
    <x v="0"/>
    <x v="6"/>
    <x v="28"/>
    <n v="1"/>
    <m/>
    <m/>
    <n v="123"/>
    <n v="123"/>
    <m/>
    <m/>
    <m/>
    <m/>
    <n v="123"/>
    <m/>
    <m/>
    <x v="28"/>
    <x v="0"/>
    <n v="1.128440366972477"/>
    <s v="NO"/>
    <m/>
  </r>
  <r>
    <m/>
    <x v="0"/>
    <s v="Shalom"/>
    <x v="0"/>
    <x v="0"/>
    <x v="64"/>
    <n v="1"/>
    <m/>
    <m/>
    <n v="45"/>
    <n v="45"/>
    <m/>
    <m/>
    <m/>
    <m/>
    <n v="45"/>
    <m/>
    <m/>
    <x v="64"/>
    <x v="0"/>
    <n v="0.45454545454545453"/>
    <s v="NO"/>
    <m/>
  </r>
  <r>
    <m/>
    <x v="2"/>
    <s v="Shalom"/>
    <x v="0"/>
    <x v="0"/>
    <x v="23"/>
    <n v="1"/>
    <m/>
    <m/>
    <n v="100"/>
    <n v="100"/>
    <m/>
    <m/>
    <m/>
    <m/>
    <n v="100"/>
    <m/>
    <m/>
    <x v="23"/>
    <x v="0"/>
    <n v="0.67567567567567566"/>
    <s v="NO"/>
    <m/>
  </r>
  <r>
    <m/>
    <x v="6"/>
    <m/>
    <x v="0"/>
    <x v="3"/>
    <x v="74"/>
    <n v="1"/>
    <n v="20"/>
    <n v="20"/>
    <m/>
    <m/>
    <m/>
    <m/>
    <m/>
    <m/>
    <n v="0"/>
    <m/>
    <m/>
    <x v="74"/>
    <x v="0"/>
    <n v="0"/>
    <s v="NO"/>
    <m/>
  </r>
  <r>
    <m/>
    <x v="0"/>
    <s v="Shalom"/>
    <x v="0"/>
    <x v="3"/>
    <x v="74"/>
    <n v="1"/>
    <m/>
    <m/>
    <n v="5"/>
    <n v="5"/>
    <m/>
    <m/>
    <m/>
    <m/>
    <n v="5"/>
    <m/>
    <m/>
    <x v="74"/>
    <x v="0"/>
    <n v="1"/>
    <s v="NO"/>
    <m/>
  </r>
  <r>
    <m/>
    <x v="0"/>
    <s v="KBC"/>
    <x v="1"/>
    <x v="13"/>
    <x v="94"/>
    <n v="1"/>
    <m/>
    <m/>
    <n v="10"/>
    <n v="10"/>
    <m/>
    <m/>
    <m/>
    <m/>
    <n v="10"/>
    <m/>
    <m/>
    <x v="94"/>
    <x v="0"/>
    <n v="0.3125"/>
    <s v="NO"/>
    <m/>
  </r>
  <r>
    <m/>
    <x v="2"/>
    <s v="KMSS"/>
    <x v="0"/>
    <x v="6"/>
    <x v="44"/>
    <n v="1"/>
    <m/>
    <m/>
    <n v="338"/>
    <n v="338"/>
    <m/>
    <m/>
    <m/>
    <m/>
    <n v="338"/>
    <m/>
    <m/>
    <x v="44"/>
    <x v="0"/>
    <n v="0.5273010920436817"/>
    <s v="NO"/>
    <m/>
  </r>
  <r>
    <m/>
    <x v="5"/>
    <m/>
    <x v="0"/>
    <x v="4"/>
    <x v="95"/>
    <n v="1"/>
    <m/>
    <m/>
    <n v="38"/>
    <n v="38"/>
    <m/>
    <m/>
    <m/>
    <m/>
    <n v="38"/>
    <m/>
    <m/>
    <x v="95"/>
    <x v="0"/>
    <n v="1"/>
    <s v="NO"/>
    <m/>
  </r>
  <r>
    <m/>
    <x v="0"/>
    <m/>
    <x v="0"/>
    <x v="4"/>
    <x v="95"/>
    <n v="1"/>
    <m/>
    <m/>
    <n v="5"/>
    <m/>
    <m/>
    <m/>
    <m/>
    <m/>
    <n v="0"/>
    <m/>
    <m/>
    <x v="95"/>
    <x v="0"/>
    <n v="0"/>
    <s v="NO"/>
    <m/>
  </r>
  <r>
    <m/>
    <x v="9"/>
    <s v="KMSS"/>
    <x v="0"/>
    <x v="2"/>
    <x v="29"/>
    <n v="1"/>
    <m/>
    <m/>
    <n v="20"/>
    <n v="20"/>
    <m/>
    <m/>
    <m/>
    <m/>
    <n v="20"/>
    <m/>
    <m/>
    <x v="29"/>
    <x v="0"/>
    <n v="0.10101010101010101"/>
    <s v="NO"/>
    <m/>
  </r>
  <r>
    <m/>
    <x v="10"/>
    <s v="KBC"/>
    <x v="0"/>
    <x v="2"/>
    <x v="29"/>
    <n v="1"/>
    <m/>
    <m/>
    <n v="60"/>
    <n v="60"/>
    <m/>
    <m/>
    <m/>
    <m/>
    <n v="60"/>
    <m/>
    <m/>
    <x v="29"/>
    <x v="0"/>
    <n v="0.30303030303030304"/>
    <s v="NO"/>
    <m/>
  </r>
  <r>
    <m/>
    <x v="0"/>
    <m/>
    <x v="0"/>
    <x v="2"/>
    <x v="29"/>
    <n v="1"/>
    <m/>
    <m/>
    <n v="50"/>
    <n v="50"/>
    <m/>
    <m/>
    <m/>
    <m/>
    <n v="50"/>
    <m/>
    <m/>
    <x v="29"/>
    <x v="0"/>
    <n v="0.25252525252525254"/>
    <s v="NO"/>
    <m/>
  </r>
  <r>
    <m/>
    <x v="11"/>
    <s v="KMSS"/>
    <x v="0"/>
    <x v="2"/>
    <x v="96"/>
    <n v="1"/>
    <m/>
    <m/>
    <n v="60"/>
    <n v="60"/>
    <m/>
    <m/>
    <m/>
    <m/>
    <n v="60"/>
    <m/>
    <m/>
    <x v="96"/>
    <x v="0"/>
    <n v="0.60606060606060608"/>
    <s v="NO"/>
    <m/>
  </r>
  <r>
    <m/>
    <x v="0"/>
    <s v="KMSS"/>
    <x v="0"/>
    <x v="2"/>
    <x v="96"/>
    <n v="1"/>
    <m/>
    <m/>
    <n v="20"/>
    <n v="20"/>
    <m/>
    <m/>
    <m/>
    <m/>
    <n v="20"/>
    <m/>
    <m/>
    <x v="96"/>
    <x v="0"/>
    <n v="0.20202020202020202"/>
    <s v="NO"/>
    <m/>
  </r>
  <r>
    <m/>
    <x v="2"/>
    <s v="KMSS"/>
    <x v="0"/>
    <x v="6"/>
    <x v="39"/>
    <n v="1"/>
    <m/>
    <m/>
    <n v="700"/>
    <n v="700"/>
    <m/>
    <m/>
    <m/>
    <m/>
    <n v="700"/>
    <m/>
    <m/>
    <x v="39"/>
    <x v="0"/>
    <n v="0.42449969678593086"/>
    <s v="NO"/>
    <m/>
  </r>
  <r>
    <m/>
    <x v="0"/>
    <s v="KBSS"/>
    <x v="0"/>
    <x v="6"/>
    <x v="39"/>
    <n v="1"/>
    <m/>
    <m/>
    <n v="217"/>
    <n v="217"/>
    <m/>
    <m/>
    <m/>
    <m/>
    <n v="217"/>
    <m/>
    <m/>
    <x v="39"/>
    <x v="0"/>
    <n v="0.13159490600363857"/>
    <s v="NO"/>
    <m/>
  </r>
  <r>
    <m/>
    <x v="12"/>
    <s v="MDCG"/>
    <x v="1"/>
    <x v="7"/>
    <x v="97"/>
    <n v="1"/>
    <m/>
    <m/>
    <n v="121"/>
    <n v="121"/>
    <m/>
    <m/>
    <m/>
    <m/>
    <n v="121"/>
    <m/>
    <m/>
    <x v="97"/>
    <x v="0"/>
    <n v="1.375"/>
    <s v="NO"/>
    <m/>
  </r>
  <r>
    <m/>
    <x v="0"/>
    <s v="KBC"/>
    <x v="0"/>
    <x v="3"/>
    <x v="98"/>
    <n v="1"/>
    <m/>
    <m/>
    <n v="50"/>
    <n v="50"/>
    <m/>
    <m/>
    <m/>
    <m/>
    <n v="50"/>
    <m/>
    <m/>
    <x v="98"/>
    <x v="0"/>
    <n v="0.96153846153846156"/>
    <s v="NO"/>
    <m/>
  </r>
  <r>
    <m/>
    <x v="5"/>
    <m/>
    <x v="1"/>
    <x v="7"/>
    <x v="99"/>
    <n v="1"/>
    <m/>
    <m/>
    <n v="80"/>
    <n v="80"/>
    <m/>
    <m/>
    <m/>
    <m/>
    <n v="80"/>
    <m/>
    <m/>
    <x v="99"/>
    <x v="0"/>
    <n v="1.3114754098360655"/>
    <s v="NO"/>
    <m/>
  </r>
  <r>
    <m/>
    <x v="5"/>
    <m/>
    <x v="1"/>
    <x v="7"/>
    <x v="100"/>
    <n v="1"/>
    <m/>
    <m/>
    <n v="48"/>
    <n v="48"/>
    <m/>
    <m/>
    <m/>
    <m/>
    <n v="48"/>
    <m/>
    <m/>
    <x v="100"/>
    <x v="0"/>
    <n v="1.6"/>
    <s v="NO"/>
    <m/>
  </r>
  <r>
    <m/>
    <x v="0"/>
    <s v="KBC"/>
    <x v="0"/>
    <x v="2"/>
    <x v="101"/>
    <n v="1"/>
    <m/>
    <m/>
    <n v="5"/>
    <n v="5"/>
    <m/>
    <m/>
    <m/>
    <m/>
    <n v="5"/>
    <m/>
    <m/>
    <x v="101"/>
    <x v="0"/>
    <n v="0.29411764705882354"/>
    <s v="NO"/>
    <m/>
  </r>
  <r>
    <m/>
    <x v="0"/>
    <s v="KBC"/>
    <x v="0"/>
    <x v="10"/>
    <x v="102"/>
    <n v="1"/>
    <m/>
    <m/>
    <n v="15"/>
    <n v="15"/>
    <m/>
    <m/>
    <m/>
    <m/>
    <n v="15"/>
    <m/>
    <m/>
    <x v="102"/>
    <x v="0"/>
    <n v="1.1538461538461537"/>
    <s v="NO"/>
    <m/>
  </r>
  <r>
    <m/>
    <x v="11"/>
    <s v="KBSS"/>
    <x v="0"/>
    <x v="5"/>
    <x v="75"/>
    <n v="1"/>
    <m/>
    <m/>
    <n v="100"/>
    <n v="100"/>
    <m/>
    <m/>
    <m/>
    <m/>
    <n v="0"/>
    <m/>
    <m/>
    <x v="75"/>
    <x v="1"/>
    <s v=""/>
    <s v="NO"/>
    <m/>
  </r>
  <r>
    <m/>
    <x v="7"/>
    <m/>
    <x v="0"/>
    <x v="5"/>
    <x v="14"/>
    <n v="1"/>
    <m/>
    <m/>
    <n v="26"/>
    <n v="26"/>
    <m/>
    <m/>
    <m/>
    <m/>
    <n v="26"/>
    <m/>
    <m/>
    <x v="14"/>
    <x v="0"/>
    <n v="4.7619047619047616E-2"/>
    <s v="NO"/>
    <m/>
  </r>
  <r>
    <m/>
    <x v="0"/>
    <s v="KBSS"/>
    <x v="0"/>
    <x v="5"/>
    <x v="14"/>
    <n v="1"/>
    <m/>
    <m/>
    <n v="350"/>
    <n v="350"/>
    <m/>
    <m/>
    <m/>
    <m/>
    <n v="350"/>
    <m/>
    <m/>
    <x v="14"/>
    <x v="0"/>
    <n v="0.64102564102564108"/>
    <s v="NO"/>
    <m/>
  </r>
  <r>
    <m/>
    <x v="0"/>
    <m/>
    <x v="0"/>
    <x v="5"/>
    <x v="14"/>
    <n v="1"/>
    <m/>
    <m/>
    <n v="150"/>
    <m/>
    <m/>
    <m/>
    <m/>
    <m/>
    <n v="0"/>
    <m/>
    <m/>
    <x v="14"/>
    <x v="0"/>
    <n v="0"/>
    <s v="NO"/>
    <m/>
  </r>
  <r>
    <m/>
    <x v="9"/>
    <s v="KBC"/>
    <x v="0"/>
    <x v="2"/>
    <x v="103"/>
    <n v="1"/>
    <m/>
    <m/>
    <n v="9"/>
    <n v="9"/>
    <m/>
    <m/>
    <m/>
    <m/>
    <n v="9"/>
    <m/>
    <m/>
    <x v="103"/>
    <x v="0"/>
    <n v="0.3"/>
    <s v="NO"/>
    <m/>
  </r>
  <r>
    <m/>
    <x v="10"/>
    <s v="KBC"/>
    <x v="0"/>
    <x v="2"/>
    <x v="103"/>
    <n v="1"/>
    <m/>
    <m/>
    <n v="5"/>
    <n v="5"/>
    <m/>
    <m/>
    <m/>
    <m/>
    <n v="5"/>
    <m/>
    <m/>
    <x v="103"/>
    <x v="0"/>
    <n v="0.16666666666666666"/>
    <s v="NO"/>
    <m/>
  </r>
  <r>
    <m/>
    <x v="0"/>
    <s v="KBC"/>
    <x v="0"/>
    <x v="2"/>
    <x v="103"/>
    <n v="1"/>
    <m/>
    <m/>
    <n v="10"/>
    <n v="10"/>
    <m/>
    <m/>
    <m/>
    <m/>
    <n v="10"/>
    <m/>
    <m/>
    <x v="103"/>
    <x v="0"/>
    <n v="0.33333333333333331"/>
    <s v="NO"/>
    <m/>
  </r>
  <r>
    <m/>
    <x v="10"/>
    <s v="KBC"/>
    <x v="0"/>
    <x v="2"/>
    <x v="45"/>
    <n v="1"/>
    <m/>
    <m/>
    <n v="60"/>
    <n v="60"/>
    <m/>
    <m/>
    <m/>
    <m/>
    <n v="60"/>
    <m/>
    <m/>
    <x v="45"/>
    <x v="0"/>
    <n v="0.70588235294117652"/>
    <s v="NO"/>
    <m/>
  </r>
  <r>
    <m/>
    <x v="0"/>
    <s v="KBC"/>
    <x v="0"/>
    <x v="2"/>
    <x v="45"/>
    <n v="1"/>
    <m/>
    <m/>
    <n v="60"/>
    <n v="60"/>
    <m/>
    <m/>
    <m/>
    <m/>
    <n v="60"/>
    <m/>
    <m/>
    <x v="45"/>
    <x v="0"/>
    <n v="0.70588235294117652"/>
    <s v="NO"/>
    <m/>
  </r>
  <r>
    <m/>
    <x v="0"/>
    <m/>
    <x v="0"/>
    <x v="2"/>
    <x v="45"/>
    <n v="1"/>
    <m/>
    <m/>
    <n v="5"/>
    <n v="5"/>
    <m/>
    <m/>
    <m/>
    <m/>
    <n v="5"/>
    <m/>
    <m/>
    <x v="45"/>
    <x v="0"/>
    <n v="5.8823529411764705E-2"/>
    <s v="NO"/>
    <m/>
  </r>
  <r>
    <m/>
    <x v="0"/>
    <s v="Shalom"/>
    <x v="0"/>
    <x v="1"/>
    <x v="6"/>
    <n v="1"/>
    <m/>
    <m/>
    <n v="33"/>
    <n v="33"/>
    <m/>
    <m/>
    <m/>
    <m/>
    <n v="33"/>
    <m/>
    <m/>
    <x v="6"/>
    <x v="0"/>
    <n v="0.23076923076923078"/>
    <s v="NO"/>
    <m/>
  </r>
  <r>
    <m/>
    <x v="5"/>
    <m/>
    <x v="0"/>
    <x v="4"/>
    <x v="13"/>
    <n v="1"/>
    <m/>
    <m/>
    <n v="12"/>
    <n v="12"/>
    <m/>
    <m/>
    <m/>
    <m/>
    <n v="12"/>
    <m/>
    <m/>
    <x v="13"/>
    <x v="0"/>
    <n v="0.10344827586206896"/>
    <s v="NO"/>
    <m/>
  </r>
  <r>
    <m/>
    <x v="0"/>
    <s v="Metta"/>
    <x v="0"/>
    <x v="4"/>
    <x v="13"/>
    <n v="1"/>
    <m/>
    <m/>
    <n v="30"/>
    <n v="30"/>
    <m/>
    <m/>
    <m/>
    <m/>
    <n v="30"/>
    <m/>
    <m/>
    <x v="13"/>
    <x v="0"/>
    <n v="0.25862068965517243"/>
    <s v="NO"/>
    <m/>
  </r>
  <r>
    <m/>
    <x v="0"/>
    <m/>
    <x v="0"/>
    <x v="4"/>
    <x v="13"/>
    <n v="1"/>
    <m/>
    <m/>
    <n v="15"/>
    <n v="15"/>
    <m/>
    <m/>
    <m/>
    <m/>
    <n v="15"/>
    <m/>
    <m/>
    <x v="13"/>
    <x v="0"/>
    <n v="0.12931034482758622"/>
    <s v="NO"/>
    <m/>
  </r>
  <r>
    <m/>
    <x v="0"/>
    <s v="Shalom"/>
    <x v="0"/>
    <x v="4"/>
    <x v="13"/>
    <n v="1"/>
    <m/>
    <m/>
    <n v="5"/>
    <n v="5"/>
    <m/>
    <m/>
    <m/>
    <m/>
    <n v="5"/>
    <m/>
    <m/>
    <x v="13"/>
    <x v="0"/>
    <n v="4.3103448275862072E-2"/>
    <s v="NO"/>
    <m/>
  </r>
  <r>
    <m/>
    <x v="0"/>
    <m/>
    <x v="0"/>
    <x v="6"/>
    <x v="104"/>
    <n v="1"/>
    <m/>
    <m/>
    <n v="12"/>
    <n v="12"/>
    <m/>
    <m/>
    <m/>
    <m/>
    <n v="12"/>
    <m/>
    <m/>
    <x v="104"/>
    <x v="0"/>
    <n v="0.30769230769230771"/>
    <s v="NO"/>
    <m/>
  </r>
  <r>
    <m/>
    <x v="0"/>
    <s v="KBC"/>
    <x v="0"/>
    <x v="6"/>
    <x v="104"/>
    <n v="1"/>
    <m/>
    <m/>
    <n v="27"/>
    <n v="27"/>
    <m/>
    <m/>
    <m/>
    <m/>
    <n v="27"/>
    <m/>
    <m/>
    <x v="104"/>
    <x v="0"/>
    <n v="0.69230769230769229"/>
    <s v="NO"/>
    <m/>
  </r>
  <r>
    <m/>
    <x v="11"/>
    <m/>
    <x v="0"/>
    <x v="6"/>
    <x v="59"/>
    <n v="1"/>
    <m/>
    <m/>
    <n v="40"/>
    <n v="40"/>
    <m/>
    <m/>
    <m/>
    <m/>
    <n v="40"/>
    <m/>
    <m/>
    <x v="59"/>
    <x v="0"/>
    <n v="0.32258064516129031"/>
    <s v="NO"/>
    <m/>
  </r>
  <r>
    <m/>
    <x v="0"/>
    <m/>
    <x v="0"/>
    <x v="6"/>
    <x v="59"/>
    <n v="1"/>
    <m/>
    <m/>
    <n v="6"/>
    <n v="6"/>
    <m/>
    <m/>
    <m/>
    <m/>
    <n v="6"/>
    <m/>
    <m/>
    <x v="59"/>
    <x v="0"/>
    <n v="4.8387096774193547E-2"/>
    <s v="NO"/>
    <m/>
  </r>
  <r>
    <m/>
    <x v="0"/>
    <m/>
    <x v="0"/>
    <x v="6"/>
    <x v="18"/>
    <n v="1"/>
    <m/>
    <m/>
    <n v="5"/>
    <n v="57"/>
    <m/>
    <m/>
    <m/>
    <m/>
    <n v="57"/>
    <m/>
    <m/>
    <x v="18"/>
    <x v="0"/>
    <n v="0.296875"/>
    <s v="NO"/>
    <m/>
  </r>
  <r>
    <m/>
    <x v="11"/>
    <s v="KBSS"/>
    <x v="0"/>
    <x v="5"/>
    <x v="105"/>
    <n v="1"/>
    <m/>
    <m/>
    <n v="100"/>
    <n v="100"/>
    <m/>
    <m/>
    <m/>
    <m/>
    <n v="0"/>
    <m/>
    <m/>
    <x v="105"/>
    <x v="1"/>
    <s v=""/>
    <s v="NO"/>
    <m/>
  </r>
  <r>
    <m/>
    <x v="0"/>
    <s v="Shalom"/>
    <x v="0"/>
    <x v="0"/>
    <x v="106"/>
    <n v="1"/>
    <m/>
    <m/>
    <n v="25"/>
    <n v="25"/>
    <m/>
    <m/>
    <m/>
    <m/>
    <n v="25"/>
    <m/>
    <m/>
    <x v="106"/>
    <x v="0"/>
    <n v="0.83333333333333337"/>
    <s v="NO"/>
    <m/>
  </r>
  <r>
    <m/>
    <x v="2"/>
    <s v="KMSS"/>
    <x v="0"/>
    <x v="0"/>
    <x v="107"/>
    <n v="1"/>
    <m/>
    <m/>
    <n v="604"/>
    <n v="604"/>
    <m/>
    <m/>
    <m/>
    <m/>
    <n v="604"/>
    <m/>
    <m/>
    <x v="107"/>
    <x v="0"/>
    <n v="1.0324786324786326"/>
    <s v="NO"/>
    <m/>
  </r>
  <r>
    <m/>
    <x v="8"/>
    <m/>
    <x v="0"/>
    <x v="6"/>
    <x v="108"/>
    <n v="1"/>
    <m/>
    <m/>
    <n v="92"/>
    <n v="92"/>
    <m/>
    <m/>
    <m/>
    <m/>
    <n v="92"/>
    <m/>
    <m/>
    <x v="108"/>
    <x v="0"/>
    <n v="46"/>
    <s v="NO"/>
    <m/>
  </r>
  <r>
    <m/>
    <x v="0"/>
    <s v="Shalom"/>
    <x v="0"/>
    <x v="0"/>
    <x v="76"/>
    <n v="1"/>
    <m/>
    <m/>
    <n v="54"/>
    <n v="54"/>
    <m/>
    <m/>
    <m/>
    <m/>
    <n v="54"/>
    <m/>
    <m/>
    <x v="76"/>
    <x v="0"/>
    <n v="0.36241610738255031"/>
    <s v="NO"/>
    <m/>
  </r>
  <r>
    <m/>
    <x v="3"/>
    <m/>
    <x v="0"/>
    <x v="0"/>
    <x v="76"/>
    <n v="1"/>
    <m/>
    <m/>
    <n v="18"/>
    <n v="18"/>
    <m/>
    <m/>
    <m/>
    <m/>
    <n v="18"/>
    <m/>
    <m/>
    <x v="76"/>
    <x v="0"/>
    <n v="0.12080536912751678"/>
    <s v="NO"/>
    <m/>
  </r>
  <r>
    <m/>
    <x v="2"/>
    <s v="KMSS"/>
    <x v="0"/>
    <x v="0"/>
    <x v="109"/>
    <n v="1"/>
    <m/>
    <m/>
    <n v="12"/>
    <n v="12"/>
    <m/>
    <m/>
    <m/>
    <m/>
    <n v="12"/>
    <m/>
    <m/>
    <x v="109"/>
    <x v="0"/>
    <n v="5.3811659192825115E-2"/>
    <s v="NO"/>
    <m/>
  </r>
  <r>
    <m/>
    <x v="0"/>
    <s v="KMSS"/>
    <x v="0"/>
    <x v="0"/>
    <x v="109"/>
    <n v="1"/>
    <m/>
    <m/>
    <n v="78"/>
    <n v="78"/>
    <m/>
    <m/>
    <m/>
    <m/>
    <n v="78"/>
    <n v="138"/>
    <m/>
    <x v="109"/>
    <x v="0"/>
    <n v="0.34977578475336324"/>
    <s v="NO"/>
    <m/>
  </r>
  <r>
    <m/>
    <x v="0"/>
    <m/>
    <x v="0"/>
    <x v="0"/>
    <x v="109"/>
    <n v="1"/>
    <m/>
    <m/>
    <n v="120"/>
    <n v="120"/>
    <m/>
    <m/>
    <m/>
    <m/>
    <n v="120"/>
    <m/>
    <m/>
    <x v="109"/>
    <x v="0"/>
    <n v="0.53811659192825112"/>
    <s v="NO"/>
    <m/>
  </r>
  <r>
    <m/>
    <x v="10"/>
    <s v="KBC"/>
    <x v="0"/>
    <x v="0"/>
    <x v="110"/>
    <n v="1"/>
    <m/>
    <m/>
    <n v="50"/>
    <n v="50"/>
    <m/>
    <m/>
    <m/>
    <m/>
    <n v="50"/>
    <m/>
    <m/>
    <x v="110"/>
    <x v="0"/>
    <n v="0.12195121951219512"/>
    <s v="NO"/>
    <m/>
  </r>
  <r>
    <m/>
    <x v="0"/>
    <s v="KBC"/>
    <x v="0"/>
    <x v="0"/>
    <x v="110"/>
    <n v="1"/>
    <m/>
    <m/>
    <n v="400"/>
    <n v="400"/>
    <m/>
    <m/>
    <m/>
    <m/>
    <n v="400"/>
    <m/>
    <m/>
    <x v="110"/>
    <x v="0"/>
    <n v="0.97560975609756095"/>
    <s v="NO"/>
    <m/>
  </r>
  <r>
    <m/>
    <x v="13"/>
    <s v="KBC"/>
    <x v="0"/>
    <x v="0"/>
    <x v="110"/>
    <n v="1"/>
    <m/>
    <m/>
    <n v="10"/>
    <n v="10"/>
    <m/>
    <m/>
    <m/>
    <m/>
    <n v="10"/>
    <m/>
    <m/>
    <x v="110"/>
    <x v="0"/>
    <n v="2.4390243902439025E-2"/>
    <s v="NO"/>
    <m/>
  </r>
  <r>
    <m/>
    <x v="0"/>
    <s v="KBC"/>
    <x v="0"/>
    <x v="0"/>
    <x v="31"/>
    <n v="1"/>
    <m/>
    <m/>
    <n v="30"/>
    <n v="30"/>
    <m/>
    <m/>
    <m/>
    <m/>
    <n v="30"/>
    <m/>
    <m/>
    <x v="31"/>
    <x v="0"/>
    <n v="0.78947368421052633"/>
    <s v="NO"/>
    <m/>
  </r>
  <r>
    <m/>
    <x v="3"/>
    <m/>
    <x v="0"/>
    <x v="0"/>
    <x v="31"/>
    <n v="1"/>
    <m/>
    <m/>
    <n v="10"/>
    <n v="10"/>
    <m/>
    <m/>
    <m/>
    <m/>
    <n v="10"/>
    <m/>
    <m/>
    <x v="31"/>
    <x v="0"/>
    <n v="0.26315789473684209"/>
    <s v="NO"/>
    <m/>
  </r>
  <r>
    <m/>
    <x v="9"/>
    <s v="KBC"/>
    <x v="0"/>
    <x v="5"/>
    <x v="32"/>
    <n v="1"/>
    <m/>
    <m/>
    <n v="20"/>
    <n v="20"/>
    <m/>
    <m/>
    <m/>
    <m/>
    <n v="20"/>
    <m/>
    <m/>
    <x v="32"/>
    <x v="0"/>
    <n v="5.3475935828877004E-2"/>
    <s v="NO"/>
    <m/>
  </r>
  <r>
    <m/>
    <x v="2"/>
    <m/>
    <x v="0"/>
    <x v="5"/>
    <x v="32"/>
    <n v="1"/>
    <m/>
    <m/>
    <n v="144"/>
    <n v="144"/>
    <m/>
    <m/>
    <m/>
    <m/>
    <n v="144"/>
    <m/>
    <m/>
    <x v="32"/>
    <x v="0"/>
    <n v="0.38502673796791442"/>
    <s v="NO"/>
    <m/>
  </r>
  <r>
    <m/>
    <x v="14"/>
    <m/>
    <x v="0"/>
    <x v="5"/>
    <x v="111"/>
    <n v="1"/>
    <m/>
    <m/>
    <n v="20"/>
    <n v="20"/>
    <m/>
    <m/>
    <m/>
    <m/>
    <n v="20"/>
    <m/>
    <m/>
    <x v="111"/>
    <x v="0"/>
    <n v="0.14285714285714285"/>
    <s v="NO"/>
    <m/>
  </r>
  <r>
    <m/>
    <x v="8"/>
    <m/>
    <x v="0"/>
    <x v="5"/>
    <x v="111"/>
    <n v="1"/>
    <m/>
    <m/>
    <n v="30"/>
    <n v="30"/>
    <m/>
    <m/>
    <m/>
    <m/>
    <n v="30"/>
    <m/>
    <m/>
    <x v="111"/>
    <x v="0"/>
    <n v="0.21428571428571427"/>
    <s v="NO"/>
    <m/>
  </r>
  <r>
    <m/>
    <x v="0"/>
    <s v="KBC"/>
    <x v="0"/>
    <x v="2"/>
    <x v="112"/>
    <n v="1"/>
    <m/>
    <m/>
    <n v="20"/>
    <n v="20"/>
    <m/>
    <m/>
    <m/>
    <m/>
    <n v="20"/>
    <m/>
    <m/>
    <x v="112"/>
    <x v="0"/>
    <n v="0.33333333333333331"/>
    <s v="NO"/>
    <m/>
  </r>
  <r>
    <m/>
    <x v="5"/>
    <m/>
    <x v="0"/>
    <x v="6"/>
    <x v="65"/>
    <n v="1"/>
    <m/>
    <m/>
    <n v="18"/>
    <n v="18"/>
    <m/>
    <m/>
    <m/>
    <m/>
    <n v="18"/>
    <m/>
    <m/>
    <x v="65"/>
    <x v="0"/>
    <n v="6.8441064638783272E-2"/>
    <s v="NO"/>
    <m/>
  </r>
  <r>
    <m/>
    <x v="0"/>
    <m/>
    <x v="0"/>
    <x v="6"/>
    <x v="65"/>
    <n v="1"/>
    <m/>
    <m/>
    <n v="55"/>
    <n v="55"/>
    <m/>
    <m/>
    <m/>
    <m/>
    <n v="55"/>
    <m/>
    <m/>
    <x v="65"/>
    <x v="0"/>
    <n v="0.20912547528517111"/>
    <s v="NO"/>
    <m/>
  </r>
  <r>
    <m/>
    <x v="0"/>
    <s v="KBC"/>
    <x v="0"/>
    <x v="2"/>
    <x v="113"/>
    <n v="1"/>
    <m/>
    <m/>
    <n v="60"/>
    <n v="60"/>
    <m/>
    <m/>
    <m/>
    <m/>
    <n v="60"/>
    <m/>
    <m/>
    <x v="113"/>
    <x v="0"/>
    <n v="0.65217391304347827"/>
    <s v="NO"/>
    <m/>
  </r>
  <r>
    <m/>
    <x v="0"/>
    <m/>
    <x v="0"/>
    <x v="2"/>
    <x v="113"/>
    <n v="1"/>
    <m/>
    <m/>
    <n v="20"/>
    <n v="20"/>
    <m/>
    <m/>
    <m/>
    <m/>
    <n v="20"/>
    <m/>
    <m/>
    <x v="113"/>
    <x v="0"/>
    <n v="0.21739130434782608"/>
    <s v="NO"/>
    <m/>
  </r>
  <r>
    <m/>
    <x v="2"/>
    <s v="KBC"/>
    <x v="0"/>
    <x v="5"/>
    <x v="114"/>
    <n v="1"/>
    <m/>
    <m/>
    <n v="39"/>
    <n v="39"/>
    <m/>
    <m/>
    <m/>
    <m/>
    <n v="39"/>
    <m/>
    <m/>
    <x v="114"/>
    <x v="0"/>
    <n v="0.3644859813084112"/>
    <s v="NO"/>
    <m/>
  </r>
  <r>
    <m/>
    <x v="5"/>
    <m/>
    <x v="0"/>
    <x v="5"/>
    <x v="114"/>
    <n v="1"/>
    <m/>
    <m/>
    <n v="15"/>
    <n v="15"/>
    <m/>
    <m/>
    <m/>
    <m/>
    <n v="15"/>
    <m/>
    <m/>
    <x v="114"/>
    <x v="0"/>
    <n v="0.14018691588785046"/>
    <s v="NO"/>
    <m/>
  </r>
  <r>
    <m/>
    <x v="0"/>
    <s v="KBC"/>
    <x v="0"/>
    <x v="5"/>
    <x v="114"/>
    <n v="1"/>
    <m/>
    <m/>
    <n v="20"/>
    <n v="20"/>
    <m/>
    <m/>
    <m/>
    <m/>
    <n v="20"/>
    <m/>
    <m/>
    <x v="114"/>
    <x v="0"/>
    <n v="0.18691588785046728"/>
    <s v="NO"/>
    <m/>
  </r>
  <r>
    <m/>
    <x v="0"/>
    <s v="KBSS"/>
    <x v="0"/>
    <x v="5"/>
    <x v="15"/>
    <n v="1"/>
    <m/>
    <m/>
    <n v="200"/>
    <n v="200"/>
    <m/>
    <m/>
    <m/>
    <m/>
    <n v="200"/>
    <m/>
    <m/>
    <x v="15"/>
    <x v="0"/>
    <n v="0.45454545454545453"/>
    <s v="NO"/>
    <m/>
  </r>
  <r>
    <m/>
    <x v="5"/>
    <m/>
    <x v="0"/>
    <x v="6"/>
    <x v="115"/>
    <n v="1"/>
    <m/>
    <m/>
    <n v="6"/>
    <n v="6"/>
    <m/>
    <m/>
    <m/>
    <m/>
    <n v="0"/>
    <m/>
    <m/>
    <x v="115"/>
    <x v="1"/>
    <s v=""/>
    <s v="NO"/>
    <m/>
  </r>
  <r>
    <m/>
    <x v="0"/>
    <s v="Shalom"/>
    <x v="0"/>
    <x v="6"/>
    <x v="115"/>
    <n v="1"/>
    <m/>
    <m/>
    <m/>
    <m/>
    <m/>
    <m/>
    <m/>
    <m/>
    <n v="0"/>
    <n v="5"/>
    <m/>
    <x v="115"/>
    <x v="1"/>
    <s v=""/>
    <s v="NO"/>
    <m/>
  </r>
  <r>
    <m/>
    <x v="0"/>
    <s v="KBC"/>
    <x v="1"/>
    <x v="13"/>
    <x v="77"/>
    <n v="1"/>
    <m/>
    <m/>
    <n v="30"/>
    <n v="30"/>
    <m/>
    <m/>
    <m/>
    <m/>
    <n v="30"/>
    <m/>
    <m/>
    <x v="77"/>
    <x v="0"/>
    <n v="0.83333333333333337"/>
    <s v="NO"/>
    <m/>
  </r>
  <r>
    <m/>
    <x v="0"/>
    <s v="KBC"/>
    <x v="0"/>
    <x v="10"/>
    <x v="116"/>
    <n v="1"/>
    <m/>
    <m/>
    <n v="10"/>
    <n v="10"/>
    <m/>
    <m/>
    <m/>
    <m/>
    <n v="10"/>
    <m/>
    <m/>
    <x v="116"/>
    <x v="0"/>
    <n v="0.66666666666666663"/>
    <s v="NO"/>
    <m/>
  </r>
  <r>
    <m/>
    <x v="0"/>
    <m/>
    <x v="0"/>
    <x v="5"/>
    <x v="66"/>
    <n v="1"/>
    <m/>
    <m/>
    <n v="41"/>
    <n v="10"/>
    <m/>
    <m/>
    <m/>
    <m/>
    <n v="10"/>
    <m/>
    <m/>
    <x v="66"/>
    <x v="0"/>
    <n v="5.0761421319796954E-2"/>
    <s v="NO"/>
    <m/>
  </r>
  <r>
    <m/>
    <x v="9"/>
    <s v="CC"/>
    <x v="0"/>
    <x v="3"/>
    <x v="117"/>
    <n v="1"/>
    <m/>
    <m/>
    <n v="10"/>
    <n v="10"/>
    <m/>
    <m/>
    <m/>
    <m/>
    <n v="0"/>
    <m/>
    <m/>
    <x v="117"/>
    <x v="1"/>
    <s v=""/>
    <s v="NO"/>
    <m/>
  </r>
  <r>
    <m/>
    <x v="0"/>
    <s v="Shalom"/>
    <x v="0"/>
    <x v="3"/>
    <x v="117"/>
    <n v="1"/>
    <m/>
    <m/>
    <n v="10"/>
    <n v="10"/>
    <m/>
    <m/>
    <m/>
    <m/>
    <n v="0"/>
    <m/>
    <m/>
    <x v="117"/>
    <x v="1"/>
    <s v=""/>
    <s v="NO"/>
    <m/>
  </r>
  <r>
    <m/>
    <x v="0"/>
    <s v="Shalom"/>
    <x v="0"/>
    <x v="2"/>
    <x v="16"/>
    <n v="1"/>
    <m/>
    <m/>
    <n v="27"/>
    <n v="27"/>
    <m/>
    <m/>
    <m/>
    <m/>
    <n v="27"/>
    <m/>
    <m/>
    <x v="16"/>
    <x v="0"/>
    <n v="1.2857142857142858"/>
    <s v="NO"/>
    <m/>
  </r>
  <r>
    <m/>
    <x v="0"/>
    <s v="Shalom"/>
    <x v="0"/>
    <x v="2"/>
    <x v="4"/>
    <n v="1"/>
    <m/>
    <m/>
    <n v="4"/>
    <n v="4"/>
    <m/>
    <m/>
    <m/>
    <m/>
    <n v="4"/>
    <m/>
    <m/>
    <x v="4"/>
    <x v="0"/>
    <n v="0.2857142857142857"/>
    <s v="NO"/>
    <m/>
  </r>
  <r>
    <m/>
    <x v="0"/>
    <s v="Shalom"/>
    <x v="0"/>
    <x v="3"/>
    <x v="79"/>
    <n v="1"/>
    <m/>
    <m/>
    <n v="5"/>
    <n v="5"/>
    <m/>
    <m/>
    <m/>
    <m/>
    <n v="5"/>
    <m/>
    <m/>
    <x v="79"/>
    <x v="0"/>
    <n v="1.25"/>
    <s v="NO"/>
    <m/>
  </r>
  <r>
    <m/>
    <x v="12"/>
    <s v="MDCG"/>
    <x v="1"/>
    <x v="7"/>
    <x v="118"/>
    <n v="1"/>
    <m/>
    <m/>
    <n v="63"/>
    <n v="63"/>
    <m/>
    <m/>
    <m/>
    <m/>
    <n v="63"/>
    <m/>
    <m/>
    <x v="118"/>
    <x v="0"/>
    <n v="0.91304347826086951"/>
    <s v="NO"/>
    <m/>
  </r>
  <r>
    <m/>
    <x v="9"/>
    <s v="Metta"/>
    <x v="0"/>
    <x v="6"/>
    <x v="67"/>
    <n v="1"/>
    <m/>
    <m/>
    <n v="32"/>
    <n v="32"/>
    <m/>
    <m/>
    <m/>
    <m/>
    <n v="32"/>
    <m/>
    <m/>
    <x v="67"/>
    <x v="0"/>
    <n v="0.1415929203539823"/>
    <s v="NO"/>
    <m/>
  </r>
  <r>
    <m/>
    <x v="5"/>
    <m/>
    <x v="0"/>
    <x v="6"/>
    <x v="67"/>
    <n v="1"/>
    <m/>
    <m/>
    <n v="144"/>
    <n v="144"/>
    <m/>
    <m/>
    <m/>
    <m/>
    <n v="144"/>
    <m/>
    <m/>
    <x v="67"/>
    <x v="0"/>
    <n v="0.63716814159292035"/>
    <s v="NO"/>
    <m/>
  </r>
  <r>
    <m/>
    <x v="0"/>
    <s v="KBC"/>
    <x v="0"/>
    <x v="6"/>
    <x v="67"/>
    <n v="1"/>
    <m/>
    <m/>
    <n v="40"/>
    <n v="40"/>
    <m/>
    <m/>
    <m/>
    <m/>
    <n v="40"/>
    <m/>
    <m/>
    <x v="67"/>
    <x v="0"/>
    <n v="0.17699115044247787"/>
    <s v="NO"/>
    <m/>
  </r>
  <r>
    <m/>
    <x v="11"/>
    <s v="KBSS"/>
    <x v="0"/>
    <x v="6"/>
    <x v="119"/>
    <n v="1"/>
    <m/>
    <m/>
    <n v="92"/>
    <n v="92"/>
    <m/>
    <m/>
    <m/>
    <m/>
    <n v="0"/>
    <m/>
    <m/>
    <x v="119"/>
    <x v="1"/>
    <s v=""/>
    <s v="NO"/>
    <m/>
  </r>
  <r>
    <m/>
    <x v="0"/>
    <s v="KBC"/>
    <x v="1"/>
    <x v="11"/>
    <x v="120"/>
    <n v="1"/>
    <m/>
    <m/>
    <n v="10"/>
    <n v="10"/>
    <m/>
    <m/>
    <m/>
    <m/>
    <n v="10"/>
    <m/>
    <m/>
    <x v="120"/>
    <x v="0"/>
    <n v="8.1300813008130079E-2"/>
    <s v="NO"/>
    <m/>
  </r>
  <r>
    <m/>
    <x v="11"/>
    <s v="KBSS"/>
    <x v="0"/>
    <x v="5"/>
    <x v="121"/>
    <n v="1"/>
    <m/>
    <m/>
    <n v="24"/>
    <n v="24"/>
    <m/>
    <m/>
    <m/>
    <m/>
    <n v="0"/>
    <m/>
    <m/>
    <x v="121"/>
    <x v="1"/>
    <s v=""/>
    <s v="NO"/>
    <m/>
  </r>
  <r>
    <m/>
    <x v="5"/>
    <m/>
    <x v="1"/>
    <x v="11"/>
    <x v="122"/>
    <n v="1"/>
    <m/>
    <m/>
    <n v="20"/>
    <n v="20"/>
    <m/>
    <m/>
    <m/>
    <m/>
    <n v="20"/>
    <m/>
    <m/>
    <x v="122"/>
    <x v="0"/>
    <n v="0.8"/>
    <s v="NO"/>
    <m/>
  </r>
  <r>
    <m/>
    <x v="0"/>
    <s v="KMSS-LSO"/>
    <x v="1"/>
    <x v="11"/>
    <x v="122"/>
    <n v="1"/>
    <m/>
    <m/>
    <n v="10"/>
    <n v="10"/>
    <m/>
    <m/>
    <m/>
    <m/>
    <n v="10"/>
    <m/>
    <m/>
    <x v="122"/>
    <x v="0"/>
    <n v="0.4"/>
    <s v="NO"/>
    <m/>
  </r>
  <r>
    <m/>
    <x v="2"/>
    <s v="KBC"/>
    <x v="1"/>
    <x v="8"/>
    <x v="123"/>
    <n v="1"/>
    <m/>
    <m/>
    <n v="78"/>
    <n v="78"/>
    <m/>
    <m/>
    <m/>
    <m/>
    <n v="78"/>
    <m/>
    <m/>
    <x v="123"/>
    <x v="0"/>
    <n v="1.04"/>
    <s v="NO"/>
    <m/>
  </r>
  <r>
    <m/>
    <x v="0"/>
    <s v="KBC"/>
    <x v="1"/>
    <x v="8"/>
    <x v="123"/>
    <n v="1"/>
    <m/>
    <m/>
    <n v="20"/>
    <n v="20"/>
    <m/>
    <m/>
    <m/>
    <m/>
    <n v="20"/>
    <m/>
    <m/>
    <x v="123"/>
    <x v="0"/>
    <n v="0.26666666666666666"/>
    <s v="NO"/>
    <m/>
  </r>
  <r>
    <m/>
    <x v="2"/>
    <s v="KBC"/>
    <x v="1"/>
    <x v="8"/>
    <x v="124"/>
    <n v="1"/>
    <m/>
    <m/>
    <n v="30"/>
    <n v="30"/>
    <m/>
    <m/>
    <m/>
    <m/>
    <n v="30"/>
    <m/>
    <m/>
    <x v="124"/>
    <x v="0"/>
    <n v="0.43478260869565216"/>
    <s v="NO"/>
    <m/>
  </r>
  <r>
    <m/>
    <x v="5"/>
    <m/>
    <x v="1"/>
    <x v="8"/>
    <x v="46"/>
    <n v="1"/>
    <m/>
    <m/>
    <n v="24"/>
    <n v="12"/>
    <m/>
    <m/>
    <m/>
    <m/>
    <n v="12"/>
    <m/>
    <m/>
    <x v="46"/>
    <x v="0"/>
    <n v="0.33333333333333331"/>
    <s v="NO"/>
    <m/>
  </r>
  <r>
    <m/>
    <x v="0"/>
    <s v="KBC"/>
    <x v="1"/>
    <x v="7"/>
    <x v="125"/>
    <n v="1"/>
    <m/>
    <m/>
    <n v="20"/>
    <n v="20"/>
    <m/>
    <m/>
    <m/>
    <m/>
    <n v="20"/>
    <m/>
    <m/>
    <x v="125"/>
    <x v="0"/>
    <n v="0.3125"/>
    <s v="NO"/>
    <m/>
  </r>
  <r>
    <m/>
    <x v="0"/>
    <s v="Metta"/>
    <x v="1"/>
    <x v="7"/>
    <x v="125"/>
    <n v="1"/>
    <m/>
    <m/>
    <n v="6"/>
    <n v="6"/>
    <m/>
    <m/>
    <m/>
    <m/>
    <n v="6"/>
    <m/>
    <m/>
    <x v="125"/>
    <x v="0"/>
    <n v="9.375E-2"/>
    <s v="NO"/>
    <m/>
  </r>
  <r>
    <m/>
    <x v="0"/>
    <s v="KBSS"/>
    <x v="0"/>
    <x v="5"/>
    <x v="126"/>
    <n v="1"/>
    <m/>
    <m/>
    <n v="36"/>
    <n v="36"/>
    <m/>
    <m/>
    <m/>
    <m/>
    <n v="0"/>
    <m/>
    <m/>
    <x v="126"/>
    <x v="1"/>
    <s v=""/>
    <s v="NO"/>
    <m/>
  </r>
  <r>
    <m/>
    <x v="6"/>
    <m/>
    <x v="0"/>
    <x v="3"/>
    <x v="61"/>
    <n v="1"/>
    <n v="8"/>
    <n v="8"/>
    <m/>
    <m/>
    <m/>
    <m/>
    <m/>
    <m/>
    <n v="0"/>
    <m/>
    <m/>
    <x v="61"/>
    <x v="0"/>
    <n v="0"/>
    <s v="NO"/>
    <m/>
  </r>
  <r>
    <m/>
    <x v="0"/>
    <s v="KBC"/>
    <x v="1"/>
    <x v="12"/>
    <x v="48"/>
    <n v="1"/>
    <m/>
    <m/>
    <n v="10"/>
    <n v="10"/>
    <m/>
    <m/>
    <m/>
    <m/>
    <n v="10"/>
    <m/>
    <m/>
    <x v="48"/>
    <x v="0"/>
    <n v="0.26315789473684209"/>
    <s v="NO"/>
    <m/>
  </r>
  <r>
    <m/>
    <x v="0"/>
    <s v="KBC"/>
    <x v="1"/>
    <x v="14"/>
    <x v="127"/>
    <n v="1"/>
    <m/>
    <m/>
    <n v="10"/>
    <n v="10"/>
    <m/>
    <m/>
    <m/>
    <m/>
    <n v="10"/>
    <m/>
    <m/>
    <x v="127"/>
    <x v="0"/>
    <n v="1.25"/>
    <s v="NO"/>
    <m/>
  </r>
  <r>
    <m/>
    <x v="5"/>
    <m/>
    <x v="1"/>
    <x v="8"/>
    <x v="49"/>
    <n v="1"/>
    <m/>
    <m/>
    <n v="50"/>
    <n v="36"/>
    <m/>
    <m/>
    <m/>
    <m/>
    <n v="36"/>
    <m/>
    <m/>
    <x v="49"/>
    <x v="0"/>
    <n v="0.2975206611570248"/>
    <s v="NO"/>
    <m/>
  </r>
  <r>
    <m/>
    <x v="6"/>
    <m/>
    <x v="0"/>
    <x v="2"/>
    <x v="2"/>
    <n v="1"/>
    <n v="1"/>
    <n v="1"/>
    <m/>
    <m/>
    <m/>
    <m/>
    <m/>
    <m/>
    <n v="0"/>
    <m/>
    <m/>
    <x v="2"/>
    <x v="0"/>
    <n v="0"/>
    <s v="NO"/>
    <m/>
  </r>
  <r>
    <m/>
    <x v="2"/>
    <s v="KMSS"/>
    <x v="0"/>
    <x v="2"/>
    <x v="2"/>
    <n v="1"/>
    <m/>
    <m/>
    <n v="46"/>
    <n v="46"/>
    <m/>
    <m/>
    <m/>
    <m/>
    <n v="46"/>
    <m/>
    <m/>
    <x v="2"/>
    <x v="0"/>
    <n v="0.67647058823529416"/>
    <s v="NO"/>
    <m/>
  </r>
  <r>
    <m/>
    <x v="0"/>
    <s v="KMSS"/>
    <x v="0"/>
    <x v="2"/>
    <x v="2"/>
    <n v="1"/>
    <m/>
    <m/>
    <n v="21"/>
    <n v="21"/>
    <m/>
    <m/>
    <m/>
    <m/>
    <n v="21"/>
    <n v="21"/>
    <m/>
    <x v="2"/>
    <x v="0"/>
    <n v="0.30882352941176472"/>
    <s v="NO"/>
    <m/>
  </r>
  <r>
    <m/>
    <x v="0"/>
    <m/>
    <x v="0"/>
    <x v="4"/>
    <x v="128"/>
    <n v="1"/>
    <m/>
    <m/>
    <n v="10"/>
    <n v="10"/>
    <m/>
    <m/>
    <m/>
    <m/>
    <n v="10"/>
    <m/>
    <m/>
    <x v="128"/>
    <x v="0"/>
    <n v="0.47619047619047616"/>
    <s v="NO"/>
    <m/>
  </r>
  <r>
    <m/>
    <x v="0"/>
    <s v="KBC"/>
    <x v="0"/>
    <x v="3"/>
    <x v="129"/>
    <n v="1"/>
    <m/>
    <m/>
    <n v="40"/>
    <n v="40"/>
    <m/>
    <m/>
    <m/>
    <m/>
    <n v="40"/>
    <m/>
    <m/>
    <x v="129"/>
    <x v="0"/>
    <n v="0.78431372549019607"/>
    <s v="NO"/>
    <m/>
  </r>
  <r>
    <m/>
    <x v="0"/>
    <s v="Shalom"/>
    <x v="0"/>
    <x v="3"/>
    <x v="129"/>
    <n v="1"/>
    <m/>
    <m/>
    <n v="15"/>
    <n v="15"/>
    <m/>
    <m/>
    <m/>
    <m/>
    <n v="15"/>
    <m/>
    <m/>
    <x v="129"/>
    <x v="0"/>
    <n v="0.29411764705882354"/>
    <s v="NO"/>
    <m/>
  </r>
  <r>
    <m/>
    <x v="0"/>
    <s v="KBC"/>
    <x v="0"/>
    <x v="10"/>
    <x v="130"/>
    <n v="1"/>
    <m/>
    <m/>
    <n v="15"/>
    <n v="15"/>
    <m/>
    <m/>
    <m/>
    <m/>
    <n v="15"/>
    <m/>
    <m/>
    <x v="130"/>
    <x v="0"/>
    <n v="1.25"/>
    <s v="NO"/>
    <m/>
  </r>
  <r>
    <m/>
    <x v="10"/>
    <s v="KBC"/>
    <x v="0"/>
    <x v="15"/>
    <x v="131"/>
    <n v="1"/>
    <m/>
    <m/>
    <n v="10"/>
    <n v="10"/>
    <m/>
    <m/>
    <m/>
    <m/>
    <n v="10"/>
    <m/>
    <m/>
    <x v="131"/>
    <x v="0"/>
    <n v="1"/>
    <s v="NO"/>
    <m/>
  </r>
  <r>
    <m/>
    <x v="0"/>
    <s v="KBC"/>
    <x v="0"/>
    <x v="15"/>
    <x v="131"/>
    <n v="1"/>
    <m/>
    <m/>
    <n v="20"/>
    <n v="20"/>
    <m/>
    <m/>
    <m/>
    <m/>
    <n v="20"/>
    <m/>
    <m/>
    <x v="131"/>
    <x v="0"/>
    <n v="2"/>
    <s v="NO"/>
    <m/>
  </r>
  <r>
    <m/>
    <x v="6"/>
    <m/>
    <x v="0"/>
    <x v="3"/>
    <x v="81"/>
    <n v="1"/>
    <n v="50"/>
    <n v="50"/>
    <m/>
    <m/>
    <m/>
    <m/>
    <m/>
    <m/>
    <n v="0"/>
    <m/>
    <m/>
    <x v="81"/>
    <x v="1"/>
    <s v=""/>
    <s v="NO"/>
    <m/>
  </r>
  <r>
    <m/>
    <x v="0"/>
    <s v="Shalom"/>
    <x v="0"/>
    <x v="3"/>
    <x v="81"/>
    <n v="1"/>
    <m/>
    <m/>
    <n v="20"/>
    <n v="20"/>
    <m/>
    <m/>
    <m/>
    <m/>
    <n v="0"/>
    <m/>
    <m/>
    <x v="81"/>
    <x v="1"/>
    <s v=""/>
    <s v="NO"/>
    <m/>
  </r>
  <r>
    <m/>
    <x v="0"/>
    <s v="KBC"/>
    <x v="0"/>
    <x v="3"/>
    <x v="81"/>
    <n v="1"/>
    <m/>
    <m/>
    <n v="15"/>
    <n v="15"/>
    <m/>
    <m/>
    <m/>
    <m/>
    <n v="0"/>
    <m/>
    <m/>
    <x v="81"/>
    <x v="1"/>
    <s v=""/>
    <s v="NO"/>
    <m/>
  </r>
  <r>
    <m/>
    <x v="11"/>
    <s v="KBSS"/>
    <x v="0"/>
    <x v="6"/>
    <x v="37"/>
    <n v="1"/>
    <m/>
    <m/>
    <n v="100"/>
    <n v="100"/>
    <m/>
    <m/>
    <m/>
    <m/>
    <n v="100"/>
    <m/>
    <m/>
    <x v="37"/>
    <x v="0"/>
    <n v="0.28169014084507044"/>
    <s v="NO"/>
    <m/>
  </r>
  <r>
    <m/>
    <x v="15"/>
    <s v="KBSS"/>
    <x v="0"/>
    <x v="6"/>
    <x v="37"/>
    <n v="1"/>
    <m/>
    <m/>
    <n v="350"/>
    <n v="350"/>
    <m/>
    <m/>
    <m/>
    <m/>
    <n v="350"/>
    <m/>
    <m/>
    <x v="37"/>
    <x v="0"/>
    <n v="0.9859154929577465"/>
    <s v="NO"/>
    <m/>
  </r>
  <r>
    <m/>
    <x v="5"/>
    <m/>
    <x v="0"/>
    <x v="6"/>
    <x v="82"/>
    <n v="1"/>
    <m/>
    <m/>
    <n v="18"/>
    <n v="18"/>
    <m/>
    <m/>
    <m/>
    <m/>
    <n v="0"/>
    <m/>
    <m/>
    <x v="82"/>
    <x v="1"/>
    <s v=""/>
    <s v="NO"/>
    <m/>
  </r>
  <r>
    <m/>
    <x v="0"/>
    <m/>
    <x v="0"/>
    <x v="6"/>
    <x v="82"/>
    <n v="1"/>
    <m/>
    <m/>
    <n v="9"/>
    <n v="9"/>
    <m/>
    <m/>
    <m/>
    <m/>
    <n v="0"/>
    <m/>
    <m/>
    <x v="82"/>
    <x v="1"/>
    <s v=""/>
    <s v="NO"/>
    <m/>
  </r>
  <r>
    <m/>
    <x v="4"/>
    <s v="KBC"/>
    <x v="0"/>
    <x v="2"/>
    <x v="132"/>
    <n v="1"/>
    <m/>
    <m/>
    <n v="32"/>
    <n v="32"/>
    <m/>
    <m/>
    <m/>
    <m/>
    <n v="32"/>
    <m/>
    <m/>
    <x v="132"/>
    <x v="0"/>
    <n v="0.5161290322580645"/>
    <s v="NO"/>
    <m/>
  </r>
  <r>
    <m/>
    <x v="0"/>
    <s v="KBC"/>
    <x v="0"/>
    <x v="2"/>
    <x v="132"/>
    <n v="1"/>
    <m/>
    <m/>
    <n v="20"/>
    <n v="20"/>
    <m/>
    <m/>
    <m/>
    <m/>
    <n v="20"/>
    <m/>
    <m/>
    <x v="132"/>
    <x v="0"/>
    <n v="0.32258064516129031"/>
    <s v="NO"/>
    <m/>
  </r>
  <r>
    <m/>
    <x v="0"/>
    <m/>
    <x v="0"/>
    <x v="6"/>
    <x v="19"/>
    <n v="1"/>
    <m/>
    <m/>
    <n v="45"/>
    <n v="45"/>
    <m/>
    <m/>
    <m/>
    <m/>
    <n v="45"/>
    <m/>
    <m/>
    <x v="19"/>
    <x v="0"/>
    <n v="0.91836734693877553"/>
    <s v="NO"/>
    <m/>
  </r>
  <r>
    <m/>
    <x v="11"/>
    <s v="KMSS"/>
    <x v="0"/>
    <x v="2"/>
    <x v="50"/>
    <n v="1"/>
    <m/>
    <m/>
    <n v="30"/>
    <n v="30"/>
    <m/>
    <m/>
    <m/>
    <m/>
    <n v="30"/>
    <m/>
    <m/>
    <x v="50"/>
    <x v="0"/>
    <n v="0.65217391304347827"/>
    <s v="NO"/>
    <m/>
  </r>
  <r>
    <m/>
    <x v="11"/>
    <s v="IRRC"/>
    <x v="0"/>
    <x v="6"/>
    <x v="40"/>
    <n v="1"/>
    <m/>
    <m/>
    <n v="447"/>
    <n v="447"/>
    <m/>
    <m/>
    <m/>
    <m/>
    <n v="447"/>
    <m/>
    <m/>
    <x v="40"/>
    <x v="0"/>
    <n v="0.66816143497757852"/>
    <s v="NO"/>
    <m/>
  </r>
  <r>
    <m/>
    <x v="0"/>
    <s v="KBSS"/>
    <x v="0"/>
    <x v="6"/>
    <x v="40"/>
    <n v="1"/>
    <m/>
    <m/>
    <n v="130"/>
    <n v="130"/>
    <m/>
    <m/>
    <m/>
    <m/>
    <n v="130"/>
    <m/>
    <m/>
    <x v="40"/>
    <x v="0"/>
    <n v="0.19431988041853512"/>
    <s v="NO"/>
    <m/>
  </r>
  <r>
    <m/>
    <x v="0"/>
    <s v="KBC"/>
    <x v="0"/>
    <x v="0"/>
    <x v="25"/>
    <n v="1"/>
    <m/>
    <m/>
    <n v="24"/>
    <n v="24"/>
    <m/>
    <m/>
    <m/>
    <m/>
    <n v="24"/>
    <m/>
    <m/>
    <x v="25"/>
    <x v="0"/>
    <n v="0.13333333333333333"/>
    <s v="NO"/>
    <m/>
  </r>
  <r>
    <m/>
    <x v="5"/>
    <m/>
    <x v="0"/>
    <x v="4"/>
    <x v="69"/>
    <n v="1"/>
    <m/>
    <m/>
    <n v="36"/>
    <n v="36"/>
    <m/>
    <m/>
    <m/>
    <m/>
    <n v="36"/>
    <m/>
    <m/>
    <x v="69"/>
    <x v="0"/>
    <n v="0.24"/>
    <s v="NO"/>
    <m/>
  </r>
  <r>
    <m/>
    <x v="0"/>
    <m/>
    <x v="0"/>
    <x v="4"/>
    <x v="69"/>
    <n v="1"/>
    <m/>
    <m/>
    <n v="30"/>
    <n v="30"/>
    <m/>
    <m/>
    <m/>
    <m/>
    <n v="30"/>
    <m/>
    <m/>
    <x v="69"/>
    <x v="0"/>
    <n v="0.2"/>
    <s v="NO"/>
    <m/>
  </r>
  <r>
    <m/>
    <x v="6"/>
    <m/>
    <x v="0"/>
    <x v="0"/>
    <x v="38"/>
    <n v="1"/>
    <n v="207"/>
    <n v="207"/>
    <m/>
    <m/>
    <m/>
    <m/>
    <m/>
    <m/>
    <n v="0"/>
    <m/>
    <m/>
    <x v="38"/>
    <x v="0"/>
    <n v="0"/>
    <s v="NO"/>
    <m/>
  </r>
  <r>
    <m/>
    <x v="0"/>
    <s v="Shalom"/>
    <x v="0"/>
    <x v="0"/>
    <x v="5"/>
    <n v="1"/>
    <m/>
    <m/>
    <n v="45"/>
    <n v="45"/>
    <m/>
    <m/>
    <m/>
    <m/>
    <n v="45"/>
    <n v="10"/>
    <m/>
    <x v="5"/>
    <x v="0"/>
    <n v="0.49450549450549453"/>
    <s v="NO"/>
    <m/>
  </r>
  <r>
    <m/>
    <x v="0"/>
    <m/>
    <x v="0"/>
    <x v="0"/>
    <x v="5"/>
    <n v="1"/>
    <m/>
    <m/>
    <n v="5"/>
    <n v="5"/>
    <m/>
    <m/>
    <m/>
    <m/>
    <n v="5"/>
    <m/>
    <m/>
    <x v="5"/>
    <x v="0"/>
    <n v="5.4945054945054944E-2"/>
    <s v="NO"/>
    <m/>
  </r>
  <r>
    <m/>
    <x v="3"/>
    <m/>
    <x v="0"/>
    <x v="0"/>
    <x v="5"/>
    <n v="1"/>
    <m/>
    <m/>
    <n v="10"/>
    <n v="10"/>
    <m/>
    <m/>
    <m/>
    <m/>
    <n v="10"/>
    <m/>
    <m/>
    <x v="5"/>
    <x v="0"/>
    <n v="0.10989010989010989"/>
    <s v="NO"/>
    <m/>
  </r>
  <r>
    <m/>
    <x v="0"/>
    <s v="Shalom"/>
    <x v="0"/>
    <x v="0"/>
    <x v="5"/>
    <n v="1"/>
    <m/>
    <m/>
    <n v="5"/>
    <n v="5"/>
    <m/>
    <m/>
    <m/>
    <m/>
    <n v="5"/>
    <m/>
    <m/>
    <x v="5"/>
    <x v="0"/>
    <n v="5.4945054945054944E-2"/>
    <s v="NO"/>
    <m/>
  </r>
  <r>
    <m/>
    <x v="9"/>
    <s v="KBC"/>
    <x v="0"/>
    <x v="0"/>
    <x v="33"/>
    <n v="1"/>
    <m/>
    <m/>
    <n v="8"/>
    <n v="8"/>
    <m/>
    <m/>
    <m/>
    <m/>
    <n v="8"/>
    <m/>
    <m/>
    <x v="33"/>
    <x v="0"/>
    <n v="0.25806451612903225"/>
    <s v="NO"/>
    <m/>
  </r>
  <r>
    <m/>
    <x v="0"/>
    <s v="KBC"/>
    <x v="0"/>
    <x v="0"/>
    <x v="33"/>
    <n v="1"/>
    <m/>
    <m/>
    <n v="10"/>
    <n v="10"/>
    <m/>
    <m/>
    <m/>
    <m/>
    <n v="10"/>
    <m/>
    <m/>
    <x v="33"/>
    <x v="0"/>
    <n v="0.32258064516129031"/>
    <s v="NO"/>
    <m/>
  </r>
  <r>
    <m/>
    <x v="0"/>
    <m/>
    <x v="0"/>
    <x v="0"/>
    <x v="33"/>
    <n v="1"/>
    <m/>
    <m/>
    <n v="20"/>
    <n v="20"/>
    <m/>
    <m/>
    <m/>
    <m/>
    <n v="20"/>
    <m/>
    <m/>
    <x v="33"/>
    <x v="0"/>
    <n v="0.64516129032258063"/>
    <s v="NO"/>
    <m/>
  </r>
  <r>
    <m/>
    <x v="0"/>
    <s v="Shalom"/>
    <x v="0"/>
    <x v="0"/>
    <x v="70"/>
    <n v="1"/>
    <m/>
    <m/>
    <n v="23"/>
    <n v="23"/>
    <m/>
    <m/>
    <m/>
    <m/>
    <n v="23"/>
    <m/>
    <m/>
    <x v="70"/>
    <x v="0"/>
    <n v="0.74193548387096775"/>
    <s v="NO"/>
    <m/>
  </r>
  <r>
    <m/>
    <x v="0"/>
    <s v="Shalom"/>
    <x v="0"/>
    <x v="0"/>
    <x v="70"/>
    <n v="1"/>
    <m/>
    <m/>
    <n v="3"/>
    <n v="3"/>
    <m/>
    <m/>
    <m/>
    <m/>
    <n v="3"/>
    <m/>
    <m/>
    <x v="70"/>
    <x v="0"/>
    <n v="9.6774193548387094E-2"/>
    <s v="NO"/>
    <m/>
  </r>
  <r>
    <m/>
    <x v="0"/>
    <s v="Shalom"/>
    <x v="0"/>
    <x v="0"/>
    <x v="133"/>
    <n v="1"/>
    <m/>
    <m/>
    <n v="100"/>
    <n v="100"/>
    <m/>
    <m/>
    <m/>
    <m/>
    <n v="100"/>
    <n v="15"/>
    <m/>
    <x v="133"/>
    <x v="0"/>
    <n v="1.1494252873563218"/>
    <s v="NO"/>
    <m/>
  </r>
  <r>
    <m/>
    <x v="6"/>
    <m/>
    <x v="0"/>
    <x v="3"/>
    <x v="83"/>
    <n v="1"/>
    <n v="9"/>
    <n v="9"/>
    <m/>
    <m/>
    <m/>
    <m/>
    <m/>
    <m/>
    <n v="0"/>
    <m/>
    <m/>
    <x v="83"/>
    <x v="0"/>
    <n v="0"/>
    <s v="NO"/>
    <m/>
  </r>
  <r>
    <m/>
    <x v="9"/>
    <m/>
    <x v="0"/>
    <x v="4"/>
    <x v="17"/>
    <n v="1"/>
    <m/>
    <m/>
    <n v="162"/>
    <n v="162"/>
    <m/>
    <m/>
    <m/>
    <m/>
    <n v="162"/>
    <m/>
    <m/>
    <x v="17"/>
    <x v="0"/>
    <n v="0.25878594249201275"/>
    <s v="NO"/>
    <m/>
  </r>
  <r>
    <m/>
    <x v="5"/>
    <m/>
    <x v="0"/>
    <x v="4"/>
    <x v="17"/>
    <n v="1"/>
    <m/>
    <m/>
    <n v="163"/>
    <n v="163"/>
    <m/>
    <m/>
    <m/>
    <m/>
    <n v="163"/>
    <m/>
    <m/>
    <x v="17"/>
    <x v="0"/>
    <n v="0.26038338658146964"/>
    <s v="NO"/>
    <m/>
  </r>
  <r>
    <m/>
    <x v="0"/>
    <m/>
    <x v="0"/>
    <x v="4"/>
    <x v="17"/>
    <n v="1"/>
    <m/>
    <m/>
    <n v="70"/>
    <n v="70"/>
    <m/>
    <m/>
    <m/>
    <m/>
    <n v="70"/>
    <m/>
    <m/>
    <x v="17"/>
    <x v="0"/>
    <n v="0.11182108626198083"/>
    <s v="NO"/>
    <m/>
  </r>
  <r>
    <m/>
    <x v="6"/>
    <m/>
    <x v="0"/>
    <x v="2"/>
    <x v="134"/>
    <n v="1"/>
    <n v="1"/>
    <n v="1"/>
    <m/>
    <m/>
    <m/>
    <m/>
    <m/>
    <m/>
    <n v="0"/>
    <m/>
    <m/>
    <x v="134"/>
    <x v="2"/>
    <s v=""/>
    <s v="NO"/>
    <m/>
  </r>
  <r>
    <m/>
    <x v="6"/>
    <m/>
    <x v="0"/>
    <x v="3"/>
    <x v="84"/>
    <n v="1"/>
    <n v="7"/>
    <n v="7"/>
    <m/>
    <m/>
    <m/>
    <m/>
    <m/>
    <m/>
    <n v="0"/>
    <m/>
    <m/>
    <x v="84"/>
    <x v="0"/>
    <n v="0"/>
    <s v="NO"/>
    <m/>
  </r>
  <r>
    <m/>
    <x v="0"/>
    <m/>
    <x v="0"/>
    <x v="6"/>
    <x v="20"/>
    <n v="1"/>
    <m/>
    <m/>
    <n v="40"/>
    <n v="40"/>
    <m/>
    <m/>
    <m/>
    <m/>
    <n v="40"/>
    <m/>
    <m/>
    <x v="20"/>
    <x v="0"/>
    <n v="0.97560975609756095"/>
    <s v="NO"/>
    <m/>
  </r>
  <r>
    <m/>
    <x v="9"/>
    <s v="Shalom"/>
    <x v="0"/>
    <x v="2"/>
    <x v="51"/>
    <n v="1"/>
    <m/>
    <m/>
    <n v="14"/>
    <n v="14"/>
    <m/>
    <m/>
    <m/>
    <m/>
    <n v="14"/>
    <m/>
    <m/>
    <x v="51"/>
    <x v="0"/>
    <n v="0.15909090909090909"/>
    <s v="NO"/>
    <m/>
  </r>
  <r>
    <m/>
    <x v="0"/>
    <s v="KBC"/>
    <x v="0"/>
    <x v="2"/>
    <x v="51"/>
    <n v="1"/>
    <m/>
    <m/>
    <n v="10"/>
    <n v="10"/>
    <m/>
    <m/>
    <m/>
    <m/>
    <n v="10"/>
    <m/>
    <m/>
    <x v="51"/>
    <x v="0"/>
    <n v="0.11363636363636363"/>
    <s v="NO"/>
    <m/>
  </r>
  <r>
    <m/>
    <x v="0"/>
    <m/>
    <x v="0"/>
    <x v="2"/>
    <x v="51"/>
    <n v="1"/>
    <m/>
    <m/>
    <n v="40"/>
    <n v="40"/>
    <m/>
    <m/>
    <m/>
    <m/>
    <n v="40"/>
    <m/>
    <m/>
    <x v="51"/>
    <x v="0"/>
    <n v="0.45454545454545453"/>
    <s v="NO"/>
    <m/>
  </r>
  <r>
    <m/>
    <x v="0"/>
    <s v="KBC"/>
    <x v="0"/>
    <x v="0"/>
    <x v="26"/>
    <n v="1"/>
    <m/>
    <m/>
    <n v="170"/>
    <n v="170"/>
    <m/>
    <m/>
    <m/>
    <m/>
    <n v="170"/>
    <m/>
    <m/>
    <x v="26"/>
    <x v="0"/>
    <n v="0.94972067039106145"/>
    <s v="NO"/>
    <m/>
  </r>
  <r>
    <m/>
    <x v="5"/>
    <m/>
    <x v="0"/>
    <x v="16"/>
    <x v="135"/>
    <n v="1"/>
    <m/>
    <m/>
    <n v="42"/>
    <n v="42"/>
    <m/>
    <m/>
    <m/>
    <m/>
    <n v="42"/>
    <m/>
    <m/>
    <x v="135"/>
    <x v="0"/>
    <n v="0.48837209302325579"/>
    <s v="NO"/>
    <m/>
  </r>
  <r>
    <m/>
    <x v="11"/>
    <s v="KBSS"/>
    <x v="0"/>
    <x v="16"/>
    <x v="136"/>
    <n v="1"/>
    <m/>
    <m/>
    <n v="36"/>
    <n v="36"/>
    <m/>
    <m/>
    <m/>
    <m/>
    <n v="36"/>
    <m/>
    <m/>
    <x v="136"/>
    <x v="0"/>
    <n v="0.9"/>
    <s v="NO"/>
    <m/>
  </r>
  <r>
    <m/>
    <x v="0"/>
    <s v="KBSS"/>
    <x v="0"/>
    <x v="16"/>
    <x v="136"/>
    <n v="1"/>
    <m/>
    <m/>
    <n v="10"/>
    <n v="10"/>
    <m/>
    <m/>
    <m/>
    <m/>
    <n v="10"/>
    <m/>
    <m/>
    <x v="136"/>
    <x v="0"/>
    <n v="0.25"/>
    <s v="NO"/>
    <m/>
  </r>
  <r>
    <m/>
    <x v="0"/>
    <s v="KBC"/>
    <x v="0"/>
    <x v="2"/>
    <x v="52"/>
    <n v="1"/>
    <m/>
    <m/>
    <n v="50"/>
    <n v="50"/>
    <m/>
    <m/>
    <m/>
    <m/>
    <n v="50"/>
    <m/>
    <m/>
    <x v="52"/>
    <x v="0"/>
    <n v="0.68493150684931503"/>
    <s v="NO"/>
    <m/>
  </r>
  <r>
    <m/>
    <x v="11"/>
    <s v="KMSS"/>
    <x v="0"/>
    <x v="15"/>
    <x v="137"/>
    <n v="1"/>
    <m/>
    <m/>
    <n v="12"/>
    <n v="12"/>
    <m/>
    <m/>
    <m/>
    <m/>
    <n v="12"/>
    <m/>
    <m/>
    <x v="137"/>
    <x v="0"/>
    <n v="1"/>
    <s v="NO"/>
    <m/>
  </r>
  <r>
    <m/>
    <x v="0"/>
    <m/>
    <x v="0"/>
    <x v="4"/>
    <x v="85"/>
    <n v="1"/>
    <m/>
    <m/>
    <n v="40"/>
    <n v="40"/>
    <m/>
    <m/>
    <m/>
    <m/>
    <n v="40"/>
    <m/>
    <m/>
    <x v="85"/>
    <x v="0"/>
    <n v="1.9047619047619047"/>
    <s v="NO"/>
    <m/>
  </r>
  <r>
    <m/>
    <x v="0"/>
    <s v="KBC"/>
    <x v="0"/>
    <x v="2"/>
    <x v="34"/>
    <n v="1"/>
    <m/>
    <m/>
    <n v="60"/>
    <n v="60"/>
    <m/>
    <m/>
    <m/>
    <m/>
    <n v="60"/>
    <m/>
    <m/>
    <x v="34"/>
    <x v="0"/>
    <n v="1.25"/>
    <s v="NO"/>
    <m/>
  </r>
  <r>
    <m/>
    <x v="16"/>
    <s v="Shalom"/>
    <x v="0"/>
    <x v="2"/>
    <x v="53"/>
    <n v="1"/>
    <m/>
    <m/>
    <n v="12"/>
    <n v="12"/>
    <m/>
    <m/>
    <m/>
    <m/>
    <n v="12"/>
    <m/>
    <m/>
    <x v="53"/>
    <x v="0"/>
    <n v="0.22222222222222221"/>
    <s v="NO"/>
    <m/>
  </r>
  <r>
    <m/>
    <x v="0"/>
    <s v="Shalom"/>
    <x v="0"/>
    <x v="2"/>
    <x v="53"/>
    <n v="1"/>
    <m/>
    <m/>
    <n v="40"/>
    <n v="40"/>
    <m/>
    <m/>
    <m/>
    <m/>
    <n v="40"/>
    <m/>
    <m/>
    <x v="53"/>
    <x v="0"/>
    <n v="0.7407407407407407"/>
    <s v="NO"/>
    <m/>
  </r>
  <r>
    <m/>
    <x v="0"/>
    <s v="Shalom"/>
    <x v="0"/>
    <x v="2"/>
    <x v="53"/>
    <n v="1"/>
    <m/>
    <m/>
    <n v="20"/>
    <n v="20"/>
    <m/>
    <m/>
    <m/>
    <m/>
    <n v="20"/>
    <m/>
    <m/>
    <x v="53"/>
    <x v="0"/>
    <n v="0.37037037037037035"/>
    <s v="NO"/>
    <m/>
  </r>
  <r>
    <m/>
    <x v="0"/>
    <s v="Shalom"/>
    <x v="0"/>
    <x v="2"/>
    <x v="138"/>
    <n v="1"/>
    <m/>
    <m/>
    <n v="10"/>
    <n v="10"/>
    <m/>
    <m/>
    <m/>
    <m/>
    <n v="10"/>
    <m/>
    <m/>
    <x v="138"/>
    <x v="0"/>
    <n v="2.5"/>
    <s v="NO"/>
    <m/>
  </r>
  <r>
    <m/>
    <x v="0"/>
    <m/>
    <x v="0"/>
    <x v="2"/>
    <x v="138"/>
    <n v="1"/>
    <m/>
    <m/>
    <n v="5"/>
    <n v="5"/>
    <m/>
    <m/>
    <m/>
    <m/>
    <n v="5"/>
    <m/>
    <m/>
    <x v="138"/>
    <x v="0"/>
    <n v="1.25"/>
    <s v="NO"/>
    <m/>
  </r>
  <r>
    <m/>
    <x v="0"/>
    <s v="KBC"/>
    <x v="0"/>
    <x v="2"/>
    <x v="35"/>
    <n v="1"/>
    <m/>
    <m/>
    <n v="20"/>
    <n v="20"/>
    <m/>
    <m/>
    <m/>
    <m/>
    <n v="20"/>
    <m/>
    <m/>
    <x v="35"/>
    <x v="0"/>
    <n v="0.76923076923076927"/>
    <s v="NO"/>
    <m/>
  </r>
  <r>
    <m/>
    <x v="9"/>
    <s v="KBC"/>
    <x v="0"/>
    <x v="2"/>
    <x v="36"/>
    <n v="1"/>
    <m/>
    <m/>
    <n v="14"/>
    <n v="14"/>
    <m/>
    <m/>
    <m/>
    <m/>
    <n v="14"/>
    <m/>
    <m/>
    <x v="36"/>
    <x v="0"/>
    <n v="0.45161290322580644"/>
    <s v="NO"/>
    <m/>
  </r>
  <r>
    <m/>
    <x v="0"/>
    <s v="KBC"/>
    <x v="0"/>
    <x v="2"/>
    <x v="36"/>
    <n v="1"/>
    <m/>
    <m/>
    <n v="10"/>
    <n v="10"/>
    <m/>
    <m/>
    <m/>
    <m/>
    <n v="10"/>
    <m/>
    <m/>
    <x v="36"/>
    <x v="0"/>
    <n v="0.32258064516129031"/>
    <s v="NO"/>
    <m/>
  </r>
  <r>
    <m/>
    <x v="0"/>
    <s v="KBC"/>
    <x v="0"/>
    <x v="2"/>
    <x v="36"/>
    <n v="1"/>
    <m/>
    <m/>
    <n v="8"/>
    <n v="8"/>
    <m/>
    <m/>
    <m/>
    <m/>
    <n v="8"/>
    <m/>
    <m/>
    <x v="36"/>
    <x v="0"/>
    <n v="0.25806451612903225"/>
    <s v="NO"/>
    <m/>
  </r>
  <r>
    <m/>
    <x v="0"/>
    <s v="Shalom"/>
    <x v="0"/>
    <x v="0"/>
    <x v="63"/>
    <n v="1"/>
    <m/>
    <m/>
    <n v="45"/>
    <n v="45"/>
    <m/>
    <m/>
    <m/>
    <m/>
    <n v="45"/>
    <m/>
    <m/>
    <x v="63"/>
    <x v="0"/>
    <n v="1.0227272727272727"/>
    <s v="NO"/>
    <m/>
  </r>
  <r>
    <m/>
    <x v="3"/>
    <m/>
    <x v="0"/>
    <x v="0"/>
    <x v="63"/>
    <n v="1"/>
    <m/>
    <m/>
    <n v="24"/>
    <n v="24"/>
    <m/>
    <m/>
    <m/>
    <m/>
    <n v="24"/>
    <m/>
    <m/>
    <x v="63"/>
    <x v="0"/>
    <n v="0.54545454545454541"/>
    <s v="NO"/>
    <m/>
  </r>
  <r>
    <m/>
    <x v="0"/>
    <s v="Shalom"/>
    <x v="0"/>
    <x v="4"/>
    <x v="139"/>
    <n v="1"/>
    <m/>
    <m/>
    <n v="6"/>
    <m/>
    <m/>
    <m/>
    <m/>
    <m/>
    <n v="0"/>
    <m/>
    <m/>
    <x v="139"/>
    <x v="1"/>
    <s v=""/>
    <s v="NO"/>
    <m/>
  </r>
  <r>
    <m/>
    <x v="0"/>
    <m/>
    <x v="0"/>
    <x v="4"/>
    <x v="139"/>
    <n v="1"/>
    <m/>
    <m/>
    <n v="5"/>
    <m/>
    <m/>
    <m/>
    <m/>
    <m/>
    <n v="0"/>
    <m/>
    <m/>
    <x v="139"/>
    <x v="1"/>
    <s v=""/>
    <s v="NO"/>
    <m/>
  </r>
  <r>
    <m/>
    <x v="0"/>
    <s v="Shalom"/>
    <x v="0"/>
    <x v="0"/>
    <x v="86"/>
    <n v="1"/>
    <m/>
    <m/>
    <n v="34"/>
    <n v="34"/>
    <m/>
    <m/>
    <m/>
    <m/>
    <n v="34"/>
    <m/>
    <m/>
    <x v="86"/>
    <x v="0"/>
    <n v="0.48571428571428571"/>
    <s v="NO"/>
    <m/>
  </r>
  <r>
    <m/>
    <x v="3"/>
    <m/>
    <x v="0"/>
    <x v="0"/>
    <x v="86"/>
    <n v="1"/>
    <m/>
    <m/>
    <n v="15"/>
    <n v="15"/>
    <m/>
    <m/>
    <m/>
    <m/>
    <n v="15"/>
    <m/>
    <m/>
    <x v="86"/>
    <x v="0"/>
    <n v="0.21428571428571427"/>
    <s v="NO"/>
    <m/>
  </r>
  <r>
    <m/>
    <x v="0"/>
    <s v="KBC"/>
    <x v="0"/>
    <x v="0"/>
    <x v="140"/>
    <n v="1"/>
    <m/>
    <m/>
    <n v="10"/>
    <n v="10"/>
    <m/>
    <m/>
    <m/>
    <m/>
    <n v="0"/>
    <m/>
    <m/>
    <x v="140"/>
    <x v="1"/>
    <s v=""/>
    <s v="NO"/>
    <m/>
  </r>
  <r>
    <m/>
    <x v="0"/>
    <m/>
    <x v="0"/>
    <x v="0"/>
    <x v="140"/>
    <n v="1"/>
    <m/>
    <m/>
    <n v="5"/>
    <n v="5"/>
    <m/>
    <m/>
    <m/>
    <m/>
    <n v="0"/>
    <m/>
    <m/>
    <x v="140"/>
    <x v="1"/>
    <s v=""/>
    <s v="NO"/>
    <m/>
  </r>
  <r>
    <m/>
    <x v="3"/>
    <m/>
    <x v="0"/>
    <x v="0"/>
    <x v="140"/>
    <n v="1"/>
    <m/>
    <m/>
    <n v="10"/>
    <n v="10"/>
    <m/>
    <m/>
    <m/>
    <m/>
    <n v="0"/>
    <m/>
    <m/>
    <x v="140"/>
    <x v="1"/>
    <s v=""/>
    <s v="NO"/>
    <m/>
  </r>
  <r>
    <m/>
    <x v="0"/>
    <s v="KMSS"/>
    <x v="0"/>
    <x v="3"/>
    <x v="141"/>
    <n v="1"/>
    <m/>
    <m/>
    <m/>
    <m/>
    <m/>
    <m/>
    <m/>
    <m/>
    <n v="0"/>
    <n v="14"/>
    <m/>
    <x v="141"/>
    <x v="1"/>
    <s v=""/>
    <s v="NO"/>
    <m/>
  </r>
  <r>
    <m/>
    <x v="6"/>
    <m/>
    <x v="0"/>
    <x v="3"/>
    <x v="87"/>
    <n v="1"/>
    <n v="7"/>
    <n v="7"/>
    <m/>
    <m/>
    <m/>
    <m/>
    <m/>
    <m/>
    <n v="0"/>
    <m/>
    <m/>
    <x v="87"/>
    <x v="0"/>
    <n v="0"/>
    <s v="NO"/>
    <m/>
  </r>
  <r>
    <m/>
    <x v="6"/>
    <m/>
    <x v="0"/>
    <x v="3"/>
    <x v="142"/>
    <n v="1"/>
    <n v="47"/>
    <n v="47"/>
    <m/>
    <m/>
    <m/>
    <m/>
    <m/>
    <m/>
    <n v="0"/>
    <m/>
    <m/>
    <x v="134"/>
    <x v="2"/>
    <s v=""/>
    <s v="NO"/>
    <m/>
  </r>
  <r>
    <m/>
    <x v="5"/>
    <m/>
    <x v="0"/>
    <x v="0"/>
    <x v="88"/>
    <n v="1"/>
    <m/>
    <m/>
    <n v="300"/>
    <m/>
    <m/>
    <m/>
    <m/>
    <m/>
    <n v="0"/>
    <m/>
    <m/>
    <x v="88"/>
    <x v="0"/>
    <n v="0"/>
    <s v="NO"/>
    <m/>
  </r>
  <r>
    <m/>
    <x v="0"/>
    <s v="Shalom"/>
    <x v="0"/>
    <x v="2"/>
    <x v="143"/>
    <n v="1"/>
    <m/>
    <m/>
    <n v="24"/>
    <n v="24"/>
    <m/>
    <m/>
    <m/>
    <m/>
    <n v="24"/>
    <m/>
    <m/>
    <x v="142"/>
    <x v="0"/>
    <n v="3.4285714285714284"/>
    <s v="NO"/>
    <m/>
  </r>
  <r>
    <m/>
    <x v="5"/>
    <m/>
    <x v="0"/>
    <x v="4"/>
    <x v="89"/>
    <n v="1"/>
    <m/>
    <m/>
    <n v="30"/>
    <n v="30"/>
    <m/>
    <m/>
    <m/>
    <m/>
    <n v="30"/>
    <m/>
    <m/>
    <x v="89"/>
    <x v="0"/>
    <n v="2"/>
    <s v="NO"/>
    <m/>
  </r>
  <r>
    <m/>
    <x v="0"/>
    <s v="Metta"/>
    <x v="0"/>
    <x v="4"/>
    <x v="89"/>
    <n v="1"/>
    <m/>
    <m/>
    <n v="12"/>
    <n v="12"/>
    <m/>
    <m/>
    <m/>
    <m/>
    <n v="12"/>
    <m/>
    <m/>
    <x v="89"/>
    <x v="0"/>
    <n v="0.8"/>
    <s v="NO"/>
    <m/>
  </r>
  <r>
    <m/>
    <x v="0"/>
    <s v="Shalom"/>
    <x v="0"/>
    <x v="4"/>
    <x v="89"/>
    <n v="1"/>
    <m/>
    <m/>
    <n v="10"/>
    <n v="10"/>
    <m/>
    <m/>
    <m/>
    <m/>
    <n v="10"/>
    <m/>
    <m/>
    <x v="89"/>
    <x v="0"/>
    <n v="0.66666666666666663"/>
    <s v="NO"/>
    <m/>
  </r>
  <r>
    <m/>
    <x v="0"/>
    <m/>
    <x v="0"/>
    <x v="4"/>
    <x v="89"/>
    <n v="1"/>
    <m/>
    <m/>
    <n v="6"/>
    <m/>
    <m/>
    <m/>
    <m/>
    <m/>
    <n v="0"/>
    <m/>
    <m/>
    <x v="89"/>
    <x v="0"/>
    <n v="0"/>
    <s v="NO"/>
    <m/>
  </r>
  <r>
    <m/>
    <x v="0"/>
    <s v="Shalom"/>
    <x v="0"/>
    <x v="3"/>
    <x v="144"/>
    <n v="1"/>
    <m/>
    <m/>
    <n v="10"/>
    <n v="10"/>
    <m/>
    <m/>
    <m/>
    <m/>
    <n v="10"/>
    <m/>
    <m/>
    <x v="143"/>
    <x v="0"/>
    <n v="0.83333333333333337"/>
    <s v="NO"/>
    <m/>
  </r>
  <r>
    <m/>
    <x v="10"/>
    <s v="KBC"/>
    <x v="0"/>
    <x v="0"/>
    <x v="27"/>
    <n v="1"/>
    <m/>
    <m/>
    <n v="220"/>
    <n v="220"/>
    <m/>
    <m/>
    <m/>
    <m/>
    <n v="220"/>
    <m/>
    <m/>
    <x v="27"/>
    <x v="0"/>
    <n v="0.36423841059602646"/>
    <s v="NO"/>
    <m/>
  </r>
  <r>
    <m/>
    <x v="0"/>
    <s v="KBC"/>
    <x v="0"/>
    <x v="0"/>
    <x v="27"/>
    <n v="1"/>
    <m/>
    <m/>
    <n v="325"/>
    <n v="325"/>
    <m/>
    <m/>
    <m/>
    <m/>
    <n v="325"/>
    <m/>
    <m/>
    <x v="27"/>
    <x v="0"/>
    <n v="0.53807947019867552"/>
    <s v="NO"/>
    <m/>
  </r>
  <r>
    <m/>
    <x v="12"/>
    <s v="MDCG"/>
    <x v="1"/>
    <x v="7"/>
    <x v="54"/>
    <n v="1"/>
    <m/>
    <m/>
    <n v="85"/>
    <n v="85"/>
    <m/>
    <m/>
    <m/>
    <m/>
    <n v="85"/>
    <m/>
    <m/>
    <x v="54"/>
    <x v="0"/>
    <n v="0.44736842105263158"/>
    <s v="NO"/>
    <m/>
  </r>
  <r>
    <m/>
    <x v="0"/>
    <m/>
    <x v="0"/>
    <x v="3"/>
    <x v="145"/>
    <n v="1"/>
    <n v="30"/>
    <n v="30"/>
    <m/>
    <m/>
    <m/>
    <m/>
    <m/>
    <m/>
    <n v="0"/>
    <m/>
    <m/>
    <x v="134"/>
    <x v="2"/>
    <s v=""/>
    <s v="NO"/>
    <m/>
  </r>
  <r>
    <m/>
    <x v="10"/>
    <s v="KBC"/>
    <x v="0"/>
    <x v="2"/>
    <x v="145"/>
    <n v="1"/>
    <m/>
    <m/>
    <n v="15"/>
    <n v="15"/>
    <m/>
    <m/>
    <m/>
    <m/>
    <n v="0"/>
    <m/>
    <m/>
    <x v="134"/>
    <x v="2"/>
    <s v=""/>
    <s v="NO"/>
    <m/>
  </r>
  <r>
    <m/>
    <x v="0"/>
    <m/>
    <x v="0"/>
    <x v="9"/>
    <x v="145"/>
    <n v="1"/>
    <n v="55"/>
    <n v="55"/>
    <m/>
    <m/>
    <m/>
    <m/>
    <m/>
    <m/>
    <n v="0"/>
    <m/>
    <m/>
    <x v="134"/>
    <x v="2"/>
    <s v=""/>
    <s v="NO"/>
    <m/>
  </r>
</pivotCacheRecords>
</file>

<file path=xl/pivotCache/pivotCacheRecords2.xml><?xml version="1.0" encoding="utf-8"?>
<pivotCacheRecords xmlns="http://schemas.openxmlformats.org/spreadsheetml/2006/main" xmlns:r="http://schemas.openxmlformats.org/officeDocument/2006/relationships" count="167">
  <r>
    <s v="MMR001CMP042"/>
    <x v="0"/>
    <s v="Chipwi KBC camp"/>
    <s v="Chipwi"/>
    <n v="110"/>
    <n v="516"/>
    <n v="0"/>
    <n v="0"/>
    <n v="0"/>
    <n v="220"/>
    <n v="110"/>
    <n v="110"/>
    <s v=""/>
    <n v="0"/>
  </r>
  <r>
    <s v="MMR001CMP046"/>
    <x v="0"/>
    <s v="Gant Gwin"/>
    <s v="Chipwi"/>
    <n v="0"/>
    <n v="0"/>
    <n v="0"/>
    <n v="0"/>
    <n v="0"/>
    <n v="0"/>
    <n v="0"/>
    <n v="0"/>
    <s v=""/>
    <n v="0"/>
  </r>
  <r>
    <s v="MMR001CMP043"/>
    <x v="0"/>
    <s v="Hpare Hkyer - BP6"/>
    <s v="Chipwi"/>
    <n v="156"/>
    <n v="1022"/>
    <n v="380"/>
    <n v="1145"/>
    <n v="0"/>
    <n v="0"/>
    <n v="0"/>
    <n v="156"/>
    <s v="No"/>
    <n v="0"/>
  </r>
  <r>
    <s v="MMR001CMP045"/>
    <x v="0"/>
    <s v="Lan Jaw "/>
    <s v="Chipwi"/>
    <n v="0"/>
    <n v="0"/>
    <n v="0"/>
    <n v="0"/>
    <n v="0"/>
    <n v="0"/>
    <n v="0"/>
    <n v="0"/>
    <s v=""/>
    <n v="0"/>
  </r>
  <r>
    <s v="MMR001CMP195"/>
    <x v="0"/>
    <s v="Lhaovao Baptist Church (LBC)"/>
    <s v="Chipwi"/>
    <n v="143"/>
    <n v="637"/>
    <n v="0"/>
    <n v="0"/>
    <n v="0"/>
    <n v="286"/>
    <n v="143"/>
    <n v="143"/>
    <s v=""/>
    <n v="0"/>
  </r>
  <r>
    <s v="MMR001CMP225"/>
    <x v="0"/>
    <s v="Saw Zam"/>
    <s v="Chipwi"/>
    <n v="31"/>
    <n v="180"/>
    <n v="0"/>
    <n v="0"/>
    <n v="0"/>
    <n v="62"/>
    <n v="31"/>
    <n v="31"/>
    <s v=""/>
    <n v="0"/>
  </r>
  <r>
    <s v="MMR001CMP210"/>
    <x v="0"/>
    <s v="Pan Wa"/>
    <s v="Chipwi"/>
    <n v="61"/>
    <n v="273"/>
    <n v="0"/>
    <n v="0"/>
    <n v="0"/>
    <n v="122"/>
    <n v="61"/>
    <n v="61"/>
    <s v=""/>
    <n v="0"/>
  </r>
  <r>
    <s v="MMR001CMP115"/>
    <x v="0"/>
    <s v="Hkau Shau (BP 12)"/>
    <s v="Waingmaw"/>
    <n v="148"/>
    <n v="1076"/>
    <n v="0"/>
    <n v="0"/>
    <n v="0"/>
    <n v="296"/>
    <n v="148"/>
    <n v="148"/>
    <s v=""/>
    <n v="0"/>
  </r>
  <r>
    <s v="MMR001CMP120"/>
    <x v="0"/>
    <s v="Pajau - Jan Mai"/>
    <s v="Waingmaw"/>
    <n v="180"/>
    <n v="857"/>
    <n v="330"/>
    <n v="330"/>
    <n v="0"/>
    <n v="30"/>
    <n v="0"/>
    <n v="180"/>
    <s v="No"/>
    <n v="0"/>
  </r>
  <r>
    <s v="MMR001CMP160"/>
    <x v="0"/>
    <s v="Post 6 Camp"/>
    <s v="Waingmaw"/>
    <n v="98"/>
    <n v="563"/>
    <n v="0"/>
    <n v="0"/>
    <n v="0"/>
    <n v="196"/>
    <n v="98"/>
    <n v="98"/>
    <s v=""/>
    <n v="0"/>
  </r>
  <r>
    <s v="MMR001CMP113"/>
    <x v="0"/>
    <s v="Border Post 8"/>
    <s v="Waingmaw"/>
    <n v="161"/>
    <n v="637"/>
    <n v="0"/>
    <n v="0"/>
    <n v="0"/>
    <n v="322"/>
    <n v="161"/>
    <n v="161"/>
    <s v=""/>
    <n v="0"/>
  </r>
  <r>
    <s v="MMR001CMP041"/>
    <x v="0"/>
    <s v="Shing Jai"/>
    <s v="Waingmaw"/>
    <n v="179"/>
    <n v="947"/>
    <n v="0"/>
    <n v="0"/>
    <n v="0"/>
    <n v="358"/>
    <n v="179"/>
    <n v="179"/>
    <s v=""/>
    <n v="0"/>
  </r>
  <r>
    <s v="MMR001CMP131"/>
    <x v="0"/>
    <s v="Nhkawng Pa "/>
    <s v="Momauk"/>
    <n v="355"/>
    <n v="1678"/>
    <n v="0"/>
    <n v="0"/>
    <n v="0"/>
    <n v="710"/>
    <n v="355"/>
    <n v="355"/>
    <s v=""/>
    <n v="0"/>
  </r>
  <r>
    <s v="MMR015CMP006"/>
    <x v="0"/>
    <s v="Mungji Pa Dabang (Baptist Church)         "/>
    <s v="Kutkai"/>
    <n v="49"/>
    <n v="267"/>
    <n v="0"/>
    <n v="0"/>
    <n v="0"/>
    <n v="98"/>
    <n v="49"/>
    <n v="49"/>
    <s v=""/>
    <n v="0"/>
  </r>
  <r>
    <s v="MMR015CMP005"/>
    <x v="0"/>
    <s v="Mung Baw "/>
    <s v="Muse"/>
    <n v="123"/>
    <n v="503"/>
    <n v="0"/>
    <n v="0"/>
    <n v="0"/>
    <n v="246"/>
    <n v="123"/>
    <n v="123"/>
    <s v=""/>
    <n v="0"/>
  </r>
  <r>
    <s v="MMR015CMP012"/>
    <x v="0"/>
    <s v="Munekoe Pa (Giwang) - Hka San (Mung  Go  Pa ) "/>
    <s v="Muse"/>
    <n v="0"/>
    <n v="0"/>
    <n v="0"/>
    <n v="0"/>
    <n v="0"/>
    <n v="0"/>
    <n v="0"/>
    <n v="0"/>
    <s v=""/>
    <n v="0"/>
  </r>
  <r>
    <s v="MMR001CMP129"/>
    <x v="1"/>
    <s v="Bum Tsit Pa "/>
    <s v="Mansi"/>
    <n v="440"/>
    <n v="1957"/>
    <n v="0"/>
    <n v="0"/>
    <n v="0"/>
    <n v="880"/>
    <n v="440"/>
    <n v="440"/>
    <s v=""/>
    <n v="0"/>
  </r>
  <r>
    <s v="MMR001CMP226"/>
    <x v="1"/>
    <s v="Bum Tsit Pa Camp II"/>
    <s v="Mansi"/>
    <n v="0"/>
    <n v="0"/>
    <n v="0"/>
    <n v="0"/>
    <n v="0"/>
    <n v="0"/>
    <n v="0"/>
    <n v="0"/>
    <s v=""/>
    <n v="0"/>
  </r>
  <r>
    <s v="MMR001CMP128"/>
    <x v="1"/>
    <s v="Lana Zup Ja "/>
    <s v="Mansi"/>
    <n v="546"/>
    <n v="2514"/>
    <n v="0"/>
    <n v="0"/>
    <n v="0"/>
    <n v="1092"/>
    <n v="546"/>
    <n v="546"/>
    <s v=""/>
    <n v="0"/>
  </r>
  <r>
    <s v="MMR001CMP135"/>
    <x v="1"/>
    <s v="Lung Kawk  ( Hka Hkye Zup)"/>
    <s v="Mansi"/>
    <n v="0"/>
    <n v="0"/>
    <n v="0"/>
    <n v="0"/>
    <n v="0"/>
    <n v="0"/>
    <n v="0"/>
    <n v="0"/>
    <s v=""/>
    <n v="0"/>
  </r>
  <r>
    <s v="MMR001CMP122"/>
    <x v="1"/>
    <s v="Hpun Lum Yang "/>
    <s v="Momauk"/>
    <n v="641"/>
    <n v="2862"/>
    <n v="0"/>
    <n v="0"/>
    <n v="0"/>
    <n v="1282"/>
    <n v="641"/>
    <n v="641"/>
    <s v=""/>
    <n v="0"/>
  </r>
  <r>
    <s v="MMR001CMP121"/>
    <x v="1"/>
    <s v="Je Yang Hka "/>
    <s v="Waingmaw"/>
    <n v="1649"/>
    <n v="8965"/>
    <n v="0"/>
    <n v="0"/>
    <n v="0"/>
    <n v="3298"/>
    <n v="1649"/>
    <n v="1649"/>
    <s v=""/>
    <n v="0"/>
  </r>
  <r>
    <s v="MMR001CMP126"/>
    <x v="1"/>
    <s v="Pa Kahtawng "/>
    <s v="Momauk"/>
    <n v="669"/>
    <n v="3643"/>
    <n v="0"/>
    <n v="0"/>
    <n v="0"/>
    <n v="1338"/>
    <n v="669"/>
    <n v="669"/>
    <s v=""/>
    <n v="0"/>
  </r>
  <r>
    <s v="MMR001CMP123"/>
    <x v="1"/>
    <s v="Dum Bung "/>
    <s v="Momauk"/>
    <n v="109"/>
    <n v="408"/>
    <n v="0"/>
    <n v="0"/>
    <n v="0"/>
    <n v="218"/>
    <n v="109"/>
    <n v="109"/>
    <s v=""/>
    <n v="0"/>
  </r>
  <r>
    <s v="MMR001CMP208"/>
    <x v="1"/>
    <s v="IDP Boarding School, A Len Bum"/>
    <s v="Waingmaw"/>
    <n v="0"/>
    <n v="1047"/>
    <n v="0"/>
    <n v="0"/>
    <n v="0"/>
    <n v="0"/>
    <n v="0"/>
    <n v="0"/>
    <s v=""/>
    <n v="0"/>
  </r>
  <r>
    <s v="MMR001CMP117"/>
    <x v="1"/>
    <s v="Laiza Market 3 - Laiza Gat"/>
    <s v="Waingmaw"/>
    <n v="0"/>
    <n v="0"/>
    <n v="0"/>
    <n v="0"/>
    <n v="0"/>
    <n v="0"/>
    <n v="0"/>
    <n v="0"/>
    <s v=""/>
    <n v="0"/>
  </r>
  <r>
    <s v="MMR001CMP111"/>
    <x v="1"/>
    <s v="Zai Awng - Mung Ga Zup"/>
    <s v="Waingmaw"/>
    <n v="604"/>
    <n v="2785"/>
    <n v="0"/>
    <n v="0"/>
    <n v="0"/>
    <n v="1208"/>
    <n v="604"/>
    <n v="604"/>
    <s v=""/>
    <n v="0"/>
  </r>
  <r>
    <s v="MMR001CMP119"/>
    <x v="1"/>
    <s v="Maga Yang "/>
    <s v="Waingmaw"/>
    <n v="585"/>
    <n v="2585"/>
    <n v="0"/>
    <n v="0"/>
    <n v="0"/>
    <n v="1170"/>
    <n v="585"/>
    <n v="585"/>
    <s v=""/>
    <n v="0"/>
  </r>
  <r>
    <s v="MMR015CMP009"/>
    <x v="1"/>
    <s v="Mandung - Jinghpaw"/>
    <s v="Manton"/>
    <n v="36"/>
    <n v="173"/>
    <n v="0"/>
    <n v="0"/>
    <n v="0"/>
    <n v="72"/>
    <n v="36"/>
    <n v="36"/>
    <s v=""/>
    <n v="0"/>
  </r>
  <r>
    <s v="MMR015CMP139"/>
    <x v="1"/>
    <s v="Nam Hkawng"/>
    <s v="Muse"/>
    <n v="0"/>
    <n v="0"/>
    <n v="0"/>
    <n v="0"/>
    <n v="0"/>
    <n v="0"/>
    <n v="0"/>
    <n v="0"/>
    <s v=""/>
    <n v="0"/>
  </r>
  <r>
    <s v="MMR001CMP071"/>
    <x v="2"/>
    <s v="Loi Je Baptist Church"/>
    <s v="Momauk"/>
    <n v="39"/>
    <n v="233"/>
    <n v="0"/>
    <n v="0"/>
    <n v="0"/>
    <n v="78"/>
    <n v="39"/>
    <n v="39"/>
    <s v=""/>
    <n v="0"/>
  </r>
  <r>
    <s v="MMR001CMP069"/>
    <x v="2"/>
    <s v="Loi Je Catholic Church"/>
    <s v="Momauk"/>
    <n v="124"/>
    <n v="651"/>
    <n v="0"/>
    <n v="0"/>
    <n v="0"/>
    <n v="248"/>
    <n v="124"/>
    <n v="124"/>
    <s v=""/>
    <n v="0"/>
  </r>
  <r>
    <s v="MMR001CMP070"/>
    <x v="2"/>
    <s v="Loi Je Lisu Camp"/>
    <s v="Momauk"/>
    <n v="192"/>
    <n v="1044"/>
    <n v="0"/>
    <n v="0"/>
    <n v="0"/>
    <n v="384"/>
    <n v="192"/>
    <n v="192"/>
    <s v=""/>
    <n v="0"/>
  </r>
  <r>
    <s v="MMR001CMP073"/>
    <x v="2"/>
    <s v="Seng Ja "/>
    <s v="Momauk"/>
    <n v="41"/>
    <n v="258"/>
    <n v="0"/>
    <n v="0"/>
    <n v="0"/>
    <n v="82"/>
    <n v="41"/>
    <n v="41"/>
    <s v=""/>
    <n v="0"/>
  </r>
  <r>
    <s v="MMR001CMP072"/>
    <x v="2"/>
    <s v="Nyaung Na Pin "/>
    <s v="Momauk"/>
    <n v="49"/>
    <n v="295"/>
    <n v="0"/>
    <n v="0"/>
    <n v="0"/>
    <n v="98"/>
    <n v="49"/>
    <n v="49"/>
    <s v=""/>
    <n v="0"/>
  </r>
  <r>
    <s v="MMR001CMP221"/>
    <x v="2"/>
    <s v="Machanbaw - KBC"/>
    <s v="Machanbaw"/>
    <n v="0"/>
    <n v="0"/>
    <n v="0"/>
    <n v="0"/>
    <n v="0"/>
    <n v="0"/>
    <n v="0"/>
    <n v="0"/>
    <s v=""/>
    <n v="0"/>
  </r>
  <r>
    <s v="MMR001CMP227"/>
    <x v="2"/>
    <s v="Inn Lel Yan - Host Families"/>
    <s v="Puta-O"/>
    <n v="10"/>
    <n v="56"/>
    <n v="0"/>
    <n v="0"/>
    <n v="0"/>
    <n v="20"/>
    <n v="10"/>
    <n v="10"/>
    <s v=""/>
    <n v="0"/>
  </r>
  <r>
    <s v="MMR001CMP220"/>
    <x v="2"/>
    <s v="Naung Khaing"/>
    <s v="Puta-O"/>
    <n v="0"/>
    <n v="0"/>
    <n v="0"/>
    <n v="0"/>
    <n v="0"/>
    <n v="0"/>
    <n v="0"/>
    <n v="0"/>
    <s v=""/>
    <n v="0"/>
  </r>
  <r>
    <s v="MMR001CMP075"/>
    <x v="2"/>
    <s v="Tote Tan Ward"/>
    <s v="Puta-O"/>
    <n v="14"/>
    <n v="64"/>
    <n v="0"/>
    <n v="0"/>
    <n v="0"/>
    <n v="28"/>
    <n v="14"/>
    <n v="14"/>
    <s v=""/>
    <n v="0"/>
  </r>
  <r>
    <s v="MMR015CMP015"/>
    <x v="2"/>
    <s v="Kone Khem Camp"/>
    <s v="Kutkai"/>
    <n v="88"/>
    <n v="505"/>
    <n v="0"/>
    <n v="0"/>
    <n v="0"/>
    <n v="176"/>
    <n v="88"/>
    <n v="88"/>
    <s v=""/>
    <n v="0"/>
  </r>
  <r>
    <s v="MMR015CMP016"/>
    <x v="2"/>
    <s v="Kutkai downtown (KBC Church)"/>
    <s v="Kutkai"/>
    <n v="61"/>
    <n v="289"/>
    <n v="0"/>
    <n v="0"/>
    <n v="0"/>
    <n v="122"/>
    <n v="61"/>
    <n v="61"/>
    <s v=""/>
    <n v="0"/>
  </r>
  <r>
    <s v="MMR015CMP017"/>
    <x v="2"/>
    <s v="Kutkai downtown (RC Church)"/>
    <s v="Kutkai"/>
    <n v="30"/>
    <n v="138"/>
    <n v="0"/>
    <n v="0"/>
    <n v="0"/>
    <n v="60"/>
    <n v="30"/>
    <n v="30"/>
    <s v=""/>
    <n v="0"/>
  </r>
  <r>
    <s v="MMR015CMP018"/>
    <x v="2"/>
    <s v="Mine Yu Lay village"/>
    <s v="Kutkai"/>
    <n v="69"/>
    <n v="306"/>
    <n v="0"/>
    <n v="0"/>
    <n v="0"/>
    <n v="138"/>
    <n v="69"/>
    <n v="69"/>
    <s v=""/>
    <n v="0"/>
  </r>
  <r>
    <s v="MMR015CMP007"/>
    <x v="2"/>
    <s v="Nam Hpak Ka Mare "/>
    <s v="Kutkai"/>
    <n v="64"/>
    <n v="285"/>
    <n v="0"/>
    <n v="0"/>
    <n v="0"/>
    <n v="128"/>
    <n v="64"/>
    <n v="64"/>
    <s v=""/>
    <n v="0"/>
  </r>
  <r>
    <s v="MMR015CMP020"/>
    <x v="2"/>
    <s v="Zup Aung Camp"/>
    <s v="Kutkai"/>
    <n v="190"/>
    <n v="917"/>
    <n v="0"/>
    <n v="0"/>
    <n v="0"/>
    <n v="380"/>
    <n v="190"/>
    <n v="190"/>
    <s v=""/>
    <n v="0"/>
  </r>
  <r>
    <s v="MMR015CMP209"/>
    <x v="2"/>
    <s v="Mandung - RC"/>
    <s v="Manton"/>
    <n v="29"/>
    <n v="178"/>
    <n v="0"/>
    <n v="0"/>
    <n v="0"/>
    <n v="58"/>
    <n v="29"/>
    <n v="29"/>
    <s v=""/>
    <n v="0"/>
  </r>
  <r>
    <s v="MMR015CMP010"/>
    <x v="2"/>
    <s v="Howa"/>
    <s v="Muse"/>
    <n v="32"/>
    <n v="0"/>
    <n v="0"/>
    <n v="0"/>
    <n v="0"/>
    <n v="64"/>
    <n v="32"/>
    <n v="32"/>
    <s v=""/>
    <n v="0"/>
  </r>
  <r>
    <s v="MMR015CMP011"/>
    <x v="2"/>
    <s v="Nam Hkyet"/>
    <s v="Muse"/>
    <n v="6"/>
    <n v="0"/>
    <n v="0"/>
    <n v="0"/>
    <n v="0"/>
    <n v="12"/>
    <n v="6"/>
    <n v="6"/>
    <s v=""/>
    <n v="0"/>
  </r>
  <r>
    <s v="MMR015CMP004"/>
    <x v="2"/>
    <s v="Nam Hkam - Nay Win Ni (Palawng)"/>
    <s v="Namhkan"/>
    <n v="75"/>
    <n v="373"/>
    <n v="0"/>
    <n v="0"/>
    <n v="0"/>
    <n v="150"/>
    <n v="75"/>
    <n v="75"/>
    <s v=""/>
    <n v="0"/>
  </r>
  <r>
    <s v="MMR015CMP001"/>
    <x v="2"/>
    <s v="Nam Hkam (KBC Jaw Wang)"/>
    <s v="Namhkan"/>
    <n v="69"/>
    <n v="344"/>
    <n v="0"/>
    <n v="0"/>
    <n v="0"/>
    <n v="138"/>
    <n v="69"/>
    <n v="69"/>
    <s v=""/>
    <n v="0"/>
  </r>
  <r>
    <s v="MMR015CMP003"/>
    <x v="2"/>
    <s v="Nam Hkam Catholic Church ( St. Thomas I)"/>
    <s v="Namhkan"/>
    <n v="43"/>
    <n v="215"/>
    <n v="0"/>
    <n v="0"/>
    <n v="0"/>
    <n v="86"/>
    <n v="43"/>
    <n v="43"/>
    <s v=""/>
    <n v="0"/>
  </r>
  <r>
    <s v="MMR015CMP014"/>
    <x v="2"/>
    <s v="Nam Tu Baptist"/>
    <s v="Namtu"/>
    <n v="8"/>
    <n v="39"/>
    <n v="0"/>
    <n v="0"/>
    <n v="0"/>
    <n v="16"/>
    <n v="8"/>
    <n v="8"/>
    <s v=""/>
    <n v="0"/>
  </r>
  <r>
    <s v="MMR015CMP210"/>
    <x v="2"/>
    <s v="Nam Tu RC"/>
    <s v="Namtu"/>
    <n v="118"/>
    <n v="520"/>
    <n v="0"/>
    <n v="0"/>
    <n v="0"/>
    <n v="236"/>
    <n v="118"/>
    <n v="118"/>
    <s v=""/>
    <n v="0"/>
  </r>
  <r>
    <s v="MMR001CMP179"/>
    <x v="3"/>
    <s v="5 Ward Baptist Church(lon Khin)"/>
    <s v="Hpakant"/>
    <n v="67"/>
    <n v="350"/>
    <n v="0"/>
    <n v="0"/>
    <n v="0"/>
    <n v="134"/>
    <n v="67"/>
    <n v="67"/>
    <s v=""/>
    <n v="0"/>
  </r>
  <r>
    <s v="MMR001CMP168"/>
    <x v="3"/>
    <s v="5 Ward RC Church(lon Khin)"/>
    <s v="Hpakant"/>
    <n v="77"/>
    <n v="411"/>
    <n v="0"/>
    <n v="0"/>
    <n v="0"/>
    <n v="154"/>
    <n v="77"/>
    <n v="77"/>
    <s v=""/>
    <n v="0"/>
  </r>
  <r>
    <s v="MMR001CMP050"/>
    <x v="3"/>
    <s v="AD-2000 Tharthana Compound"/>
    <s v="Bhamo"/>
    <n v="260"/>
    <n v="1263"/>
    <n v="0"/>
    <n v="0"/>
    <n v="0"/>
    <n v="520"/>
    <n v="260"/>
    <n v="260"/>
    <s v=""/>
    <n v="0"/>
  </r>
  <r>
    <s v="MMR001CMP176"/>
    <x v="3"/>
    <s v="AG Church, Hmaw Si Sa"/>
    <s v="Hpakant"/>
    <n v="67"/>
    <n v="353"/>
    <n v="0"/>
    <n v="0"/>
    <n v="0"/>
    <n v="134"/>
    <n v="67"/>
    <n v="67"/>
    <s v=""/>
    <n v="0"/>
  </r>
  <r>
    <s v="MMR001CMP190"/>
    <x v="3"/>
    <s v="AG Church, Maw Wan"/>
    <s v="Hpakant"/>
    <n v="14"/>
    <n v="83"/>
    <n v="0"/>
    <n v="0"/>
    <n v="0"/>
    <n v="28"/>
    <n v="14"/>
    <n v="14"/>
    <s v=""/>
    <n v="0"/>
  </r>
  <r>
    <s v="MMR001CMP194"/>
    <x v="3"/>
    <s v="Aung Thar Church"/>
    <s v="Bhamo"/>
    <n v="12"/>
    <n v="56"/>
    <n v="0"/>
    <n v="0"/>
    <n v="0"/>
    <n v="24"/>
    <n v="12"/>
    <n v="12"/>
    <s v=""/>
    <n v="0"/>
  </r>
  <r>
    <s v="MMR001CMP216"/>
    <x v="3"/>
    <s v="Ban Hkung Yang"/>
    <s v="Mansi"/>
    <n v="0"/>
    <n v="0"/>
    <n v="0"/>
    <n v="0"/>
    <n v="0"/>
    <n v="0"/>
    <n v="0"/>
    <n v="0"/>
    <s v=""/>
    <n v="0"/>
  </r>
  <r>
    <s v="MMR001CMP169"/>
    <x v="3"/>
    <s v="Baptist Church, Hmaw Si Sar(Lon Khin)"/>
    <s v="Hpakant"/>
    <n v="38"/>
    <n v="233"/>
    <n v="0"/>
    <n v="0"/>
    <n v="0"/>
    <n v="76"/>
    <n v="38"/>
    <n v="38"/>
    <s v=""/>
    <n v="0"/>
  </r>
  <r>
    <s v="MMR001CMP188"/>
    <x v="3"/>
    <s v="Baptist Church, Naung Hmee VT"/>
    <s v="Hpakant"/>
    <n v="0"/>
    <n v="0"/>
    <n v="0"/>
    <n v="0"/>
    <n v="0"/>
    <n v="0"/>
    <n v="0"/>
    <n v="0"/>
    <s v=""/>
    <n v="0"/>
  </r>
  <r>
    <s v="MMR001CMP109"/>
    <x v="3"/>
    <s v="Chin Church, Seik Mu"/>
    <s v="Hpakant"/>
    <n v="6"/>
    <n v="30"/>
    <n v="0"/>
    <n v="0"/>
    <n v="0"/>
    <n v="12"/>
    <n v="6"/>
    <n v="6"/>
    <s v=""/>
    <n v="0"/>
  </r>
  <r>
    <s v="MMR001CMP174"/>
    <x v="3"/>
    <s v="Dhama Rakhita, Nyein Chan Tar Yar Ward(Lon Khin)"/>
    <s v="Hpakant"/>
    <n v="66"/>
    <n v="362"/>
    <n v="0"/>
    <n v="0"/>
    <n v="0"/>
    <n v="132"/>
    <n v="66"/>
    <n v="66"/>
    <s v=""/>
    <n v="0"/>
  </r>
  <r>
    <s v="MMR001CMP012"/>
    <x v="3"/>
    <s v="Du Kahtawng Qtr. 14"/>
    <s v="Myitkyina"/>
    <n v="6"/>
    <n v="28"/>
    <n v="0"/>
    <n v="0"/>
    <n v="0"/>
    <n v="12"/>
    <n v="6"/>
    <n v="6"/>
    <s v=""/>
    <n v="0"/>
  </r>
  <r>
    <s v="MMR001CMP010"/>
    <x v="3"/>
    <s v="Du Kahtawng Qtr. 4"/>
    <s v="Myitkyina"/>
    <n v="6"/>
    <n v="39"/>
    <n v="0"/>
    <n v="0"/>
    <n v="0"/>
    <n v="12"/>
    <n v="6"/>
    <n v="6"/>
    <s v=""/>
    <n v="0"/>
  </r>
  <r>
    <s v="MMR001CMP011"/>
    <x v="3"/>
    <s v="Du Kahtawng Qtr. 5"/>
    <s v="Myitkyina"/>
    <n v="20"/>
    <n v="105"/>
    <n v="0"/>
    <n v="0"/>
    <n v="0"/>
    <n v="40"/>
    <n v="20"/>
    <n v="20"/>
    <s v=""/>
    <n v="0"/>
  </r>
  <r>
    <s v="MMR001CMP028"/>
    <x v="3"/>
    <s v="Hkat Cho "/>
    <s v="Waingmaw"/>
    <n v="99"/>
    <n v="472"/>
    <n v="0"/>
    <n v="0"/>
    <n v="0"/>
    <n v="198"/>
    <n v="99"/>
    <n v="99"/>
    <s v=""/>
    <n v="0"/>
  </r>
  <r>
    <s v="MMR001CMP148"/>
    <x v="3"/>
    <s v="Hlaing Naung Baptist"/>
    <s v="Hpakant"/>
    <n v="13"/>
    <n v="46"/>
    <n v="0"/>
    <n v="0"/>
    <n v="0"/>
    <n v="26"/>
    <n v="13"/>
    <n v="13"/>
    <s v=""/>
    <n v="0"/>
  </r>
  <r>
    <s v="MMR001CMP191"/>
    <x v="3"/>
    <s v="Hmaw Wan, Anglican"/>
    <s v="Hpakant"/>
    <n v="5"/>
    <n v="34"/>
    <n v="0"/>
    <n v="0"/>
    <n v="0"/>
    <n v="10"/>
    <n v="5"/>
    <n v="5"/>
    <s v=""/>
    <n v="0"/>
  </r>
  <r>
    <s v="MMR001CMP163"/>
    <x v="3"/>
    <s v="Host Families"/>
    <s v="Bhamo"/>
    <n v="211"/>
    <n v="989"/>
    <n v="0"/>
    <n v="0"/>
    <n v="0"/>
    <n v="422"/>
    <n v="211"/>
    <n v="211"/>
    <s v=""/>
    <n v="0"/>
  </r>
  <r>
    <s v="MMR001CMP196"/>
    <x v="3"/>
    <s v="Host Families"/>
    <s v="Mansi"/>
    <n v="76"/>
    <n v="256"/>
    <n v="0"/>
    <n v="0"/>
    <n v="0"/>
    <n v="152"/>
    <n v="76"/>
    <n v="76"/>
    <s v=""/>
    <n v="0"/>
  </r>
  <r>
    <s v="MMR001CMP197"/>
    <x v="3"/>
    <s v="Host Families"/>
    <s v="Momauk"/>
    <n v="320"/>
    <n v="1125"/>
    <n v="0"/>
    <n v="0"/>
    <n v="0"/>
    <n v="640"/>
    <n v="320"/>
    <n v="320"/>
    <s v=""/>
    <n v="0"/>
  </r>
  <r>
    <s v="MMR001CMP199"/>
    <x v="3"/>
    <s v="Host Families"/>
    <s v="Shwegu"/>
    <n v="9"/>
    <n v="30"/>
    <n v="0"/>
    <n v="0"/>
    <n v="0"/>
    <n v="18"/>
    <n v="9"/>
    <n v="9"/>
    <s v=""/>
    <n v="0"/>
  </r>
  <r>
    <s v="MMR015CMP022"/>
    <x v="3"/>
    <s v="Hpai Kawng Mare"/>
    <s v="Muse"/>
    <n v="32"/>
    <n v="187"/>
    <n v="0"/>
    <n v="0"/>
    <n v="0"/>
    <n v="64"/>
    <n v="32"/>
    <n v="32"/>
    <s v=""/>
    <n v="0"/>
  </r>
  <r>
    <s v="MMR001CMP229"/>
    <x v="3"/>
    <s v="Hpakant Baptist Church, Nam Ma Hpit"/>
    <s v="Hpakant"/>
    <n v="103"/>
    <n v="489"/>
    <n v="0"/>
    <n v="0"/>
    <n v="0"/>
    <n v="206"/>
    <n v="103"/>
    <n v="103"/>
    <s v=""/>
    <n v="0"/>
  </r>
  <r>
    <s v="MMR001CMP052"/>
    <x v="3"/>
    <s v="Htoi San Church"/>
    <s v="Bhamo"/>
    <n v="38"/>
    <n v="231"/>
    <n v="0"/>
    <n v="0"/>
    <n v="0"/>
    <n v="76"/>
    <n v="38"/>
    <n v="38"/>
    <s v=""/>
    <n v="0"/>
  </r>
  <r>
    <s v="MMR001CMP018"/>
    <x v="3"/>
    <s v="Jan Mai Kawng Baptist Church"/>
    <s v="Myitkyina"/>
    <n v="198"/>
    <n v="1107"/>
    <n v="0"/>
    <n v="0"/>
    <n v="0"/>
    <n v="396"/>
    <n v="198"/>
    <n v="198"/>
    <s v=""/>
    <n v="0"/>
  </r>
  <r>
    <s v="MMR001CMP019"/>
    <x v="3"/>
    <s v="Jan Mai Kawng Catholic Church"/>
    <s v="Myitkyina"/>
    <n v="99"/>
    <n v="454"/>
    <n v="0"/>
    <n v="0"/>
    <n v="0"/>
    <n v="198"/>
    <n v="99"/>
    <n v="99"/>
    <s v=""/>
    <n v="0"/>
  </r>
  <r>
    <s v="MMR001CMP200"/>
    <x v="3"/>
    <s v="Khun Sint Village"/>
    <s v="Momauk"/>
    <n v="4"/>
    <n v="26"/>
    <n v="0"/>
    <n v="0"/>
    <n v="0"/>
    <n v="8"/>
    <n v="4"/>
    <n v="4"/>
    <s v=""/>
    <n v="0"/>
  </r>
  <r>
    <s v="MMR001CMP013"/>
    <x v="3"/>
    <s v="Kyun Pin Thar Baptist Church"/>
    <s v="Myitkyina"/>
    <n v="17"/>
    <n v="68"/>
    <n v="0"/>
    <n v="0"/>
    <n v="0"/>
    <n v="34"/>
    <n v="17"/>
    <n v="17"/>
    <s v=""/>
    <n v="0"/>
  </r>
  <r>
    <s v="MMR001CMP078"/>
    <x v="3"/>
    <s v="Kyun Taw Baptist Church "/>
    <s v="Mogaung"/>
    <n v="13"/>
    <n v="65"/>
    <n v="0"/>
    <n v="0"/>
    <n v="0"/>
    <n v="26"/>
    <n v="13"/>
    <n v="13"/>
    <s v=""/>
    <n v="0"/>
  </r>
  <r>
    <s v="MMR001CMP074"/>
    <x v="3"/>
    <s v="La Ja"/>
    <s v="Khaunglanhpu"/>
    <n v="0"/>
    <n v="0"/>
    <n v="0"/>
    <n v="0"/>
    <n v="0"/>
    <n v="0"/>
    <n v="0"/>
    <n v="0"/>
    <s v=""/>
    <n v="0"/>
  </r>
  <r>
    <s v="MMR001CMP202"/>
    <x v="3"/>
    <s v="Lagatyan "/>
    <s v="Mansi"/>
    <n v="0"/>
    <n v="0"/>
    <n v="0"/>
    <n v="0"/>
    <n v="0"/>
    <n v="0"/>
    <n v="0"/>
    <n v="0"/>
    <s v=""/>
    <n v="0"/>
  </r>
  <r>
    <s v="MMR001CMP149"/>
    <x v="3"/>
    <s v="Laiza Muklum Hpyen  Yen Mungshawa ni"/>
    <s v="Waingmaw"/>
    <n v="355"/>
    <n v="4450"/>
    <n v="0"/>
    <n v="0"/>
    <n v="0"/>
    <n v="710"/>
    <n v="355"/>
    <n v="355"/>
    <s v=""/>
    <n v="0"/>
  </r>
  <r>
    <s v="MMR001CMP147"/>
    <x v="3"/>
    <s v="Lawk Awng Mare D. (Sinbo Area)"/>
    <s v="Shwegu"/>
    <n v="375"/>
    <n v="1691"/>
    <n v="0"/>
    <n v="0"/>
    <n v="0"/>
    <n v="750"/>
    <n v="375"/>
    <n v="375"/>
    <s v=""/>
    <n v="0"/>
  </r>
  <r>
    <s v="MMR001CMP015"/>
    <x v="3"/>
    <s v="Le Kone Bethlehem Church"/>
    <s v="Myitkyina"/>
    <n v="30"/>
    <n v="178"/>
    <n v="0"/>
    <n v="0"/>
    <n v="0"/>
    <n v="60"/>
    <n v="30"/>
    <n v="30"/>
    <s v=""/>
    <n v="0"/>
  </r>
  <r>
    <s v="MMR001CMP014"/>
    <x v="3"/>
    <s v="Le Kone Ziun Baptist Church "/>
    <s v="Myitkyina"/>
    <n v="85"/>
    <n v="437"/>
    <n v="0"/>
    <n v="0"/>
    <n v="0"/>
    <n v="170"/>
    <n v="85"/>
    <n v="85"/>
    <s v=""/>
    <n v="0"/>
  </r>
  <r>
    <s v="MMR001CMP181"/>
    <x v="3"/>
    <s v="Lisu Baptist Church, Maw Shan Vil,. Seik Mu"/>
    <s v="Hpakant"/>
    <n v="25"/>
    <n v="118"/>
    <n v="0"/>
    <n v="0"/>
    <n v="0"/>
    <n v="50"/>
    <n v="25"/>
    <n v="25"/>
    <s v=""/>
    <n v="0"/>
  </r>
  <r>
    <s v="MMR001CMP167"/>
    <x v="3"/>
    <s v="Lisu Baptist Church, Maw Wan Ward"/>
    <s v="Hpakant"/>
    <n v="15"/>
    <n v="73"/>
    <n v="0"/>
    <n v="0"/>
    <n v="0"/>
    <n v="30"/>
    <n v="15"/>
    <n v="15"/>
    <s v=""/>
    <n v="0"/>
  </r>
  <r>
    <s v="MMR001CMP049"/>
    <x v="3"/>
    <s v="Lisu Boarding-House"/>
    <s v="Bhamo"/>
    <n v="116"/>
    <n v="659"/>
    <n v="0"/>
    <n v="0"/>
    <n v="0"/>
    <n v="232"/>
    <n v="116"/>
    <n v="116"/>
    <s v=""/>
    <n v="0"/>
  </r>
  <r>
    <s v="MMR001CMP027"/>
    <x v="3"/>
    <s v="Mading Baptist Church"/>
    <s v="Waingmaw"/>
    <n v="30"/>
    <n v="113"/>
    <n v="0"/>
    <n v="0"/>
    <n v="0"/>
    <n v="60"/>
    <n v="30"/>
    <n v="30"/>
    <s v=""/>
    <n v="0"/>
  </r>
  <r>
    <s v="MMR001CMP064"/>
    <x v="3"/>
    <s v="Mai Khat "/>
    <s v="Momauk"/>
    <n v="2"/>
    <n v="9"/>
    <n v="0"/>
    <n v="0"/>
    <n v="0"/>
    <n v="4"/>
    <n v="2"/>
    <n v="2"/>
    <s v=""/>
    <n v="0"/>
  </r>
  <r>
    <s v="MMR001CMP031"/>
    <x v="3"/>
    <s v="Maina AG Church"/>
    <s v="Waingmaw"/>
    <n v="149"/>
    <n v="841"/>
    <n v="0"/>
    <n v="0"/>
    <n v="0"/>
    <n v="298"/>
    <n v="149"/>
    <n v="149"/>
    <s v=""/>
    <n v="0"/>
  </r>
  <r>
    <s v="MMR001CMP029"/>
    <x v="3"/>
    <s v="Maina Catholic Church (St. Joseph)"/>
    <s v="Waingmaw"/>
    <n v="223"/>
    <n v="1228"/>
    <n v="0"/>
    <n v="0"/>
    <n v="0"/>
    <n v="446"/>
    <n v="223"/>
    <n v="223"/>
    <s v=""/>
    <n v="0"/>
  </r>
  <r>
    <s v="MMR001CMP040"/>
    <x v="3"/>
    <s v="Maina KBC (Bawng Ring)"/>
    <s v="Waingmaw"/>
    <n v="410"/>
    <n v="2135"/>
    <n v="0"/>
    <n v="0"/>
    <n v="0"/>
    <n v="820"/>
    <n v="410"/>
    <n v="410"/>
    <s v=""/>
    <n v="0"/>
  </r>
  <r>
    <s v="MMR001CMP039"/>
    <x v="3"/>
    <s v="Maina Lawang Baptist Church"/>
    <s v="Waingmaw"/>
    <n v="38"/>
    <n v="148"/>
    <n v="0"/>
    <n v="0"/>
    <n v="0"/>
    <n v="76"/>
    <n v="38"/>
    <n v="38"/>
    <s v=""/>
    <n v="0"/>
  </r>
  <r>
    <s v="MMR001CMP218"/>
    <x v="3"/>
    <s v="Maing Khaung"/>
    <s v="Mansi"/>
    <n v="374"/>
    <n v="1662"/>
    <n v="0"/>
    <n v="0"/>
    <n v="0"/>
    <n v="748"/>
    <n v="374"/>
    <n v="374"/>
    <s v=""/>
    <n v="0"/>
  </r>
  <r>
    <s v="MMR001CMP223"/>
    <x v="3"/>
    <s v="Maing Khaung Catholic Church"/>
    <s v="Mansi"/>
    <n v="140"/>
    <n v="639"/>
    <n v="0"/>
    <n v="0"/>
    <n v="0"/>
    <n v="280"/>
    <n v="140"/>
    <n v="140"/>
    <s v=""/>
    <n v="0"/>
  </r>
  <r>
    <s v="MMR001CMP016"/>
    <x v="3"/>
    <s v="Maliyang Baptist Church"/>
    <s v="Myitkyina"/>
    <n v="60"/>
    <n v="294"/>
    <n v="0"/>
    <n v="0"/>
    <n v="0"/>
    <n v="120"/>
    <n v="60"/>
    <n v="60"/>
    <s v=""/>
    <n v="0"/>
  </r>
  <r>
    <s v="MMR001CMP062"/>
    <x v="3"/>
    <s v="Man Bung Catholic compound"/>
    <s v="Momauk"/>
    <n v="263"/>
    <n v="1169"/>
    <n v="0"/>
    <n v="0"/>
    <n v="0"/>
    <n v="526"/>
    <n v="263"/>
    <n v="263"/>
    <s v=""/>
    <n v="0"/>
  </r>
  <r>
    <s v="MMR001CMP008"/>
    <x v="3"/>
    <s v="Man Hkring Baptist Church"/>
    <s v="Myitkyina"/>
    <n v="92"/>
    <n v="391"/>
    <n v="0"/>
    <n v="0"/>
    <n v="0"/>
    <n v="184"/>
    <n v="92"/>
    <n v="92"/>
    <s v=""/>
    <n v="0"/>
  </r>
  <r>
    <s v="MMR001CMP063"/>
    <x v="3"/>
    <s v="Man Nawng "/>
    <s v="Momauk"/>
    <n v="28"/>
    <n v="136"/>
    <n v="0"/>
    <n v="0"/>
    <n v="0"/>
    <n v="56"/>
    <n v="28"/>
    <n v="28"/>
    <s v=""/>
    <n v="0"/>
  </r>
  <r>
    <s v="MMR001CMP198"/>
    <x v="3"/>
    <s v="Man Ting"/>
    <s v="Momauk"/>
    <n v="0"/>
    <n v="0"/>
    <n v="0"/>
    <n v="0"/>
    <n v="0"/>
    <n v="0"/>
    <n v="0"/>
    <n v="0"/>
    <s v=""/>
    <n v="0"/>
  </r>
  <r>
    <s v="MMR001CMP133"/>
    <x v="3"/>
    <s v="Man Wing Baptist Church"/>
    <s v="Mansi"/>
    <n v="107"/>
    <n v="528"/>
    <n v="0"/>
    <n v="0"/>
    <n v="0"/>
    <n v="214"/>
    <n v="107"/>
    <n v="107"/>
    <s v=""/>
    <n v="0"/>
  </r>
  <r>
    <s v="MMR001CMP132"/>
    <x v="3"/>
    <s v="Man Wing Catholic Church"/>
    <s v="Mansi"/>
    <n v="440"/>
    <n v="2236"/>
    <n v="0"/>
    <n v="0"/>
    <n v="0"/>
    <n v="880"/>
    <n v="440"/>
    <n v="440"/>
    <s v=""/>
    <n v="0"/>
  </r>
  <r>
    <s v="MMR001CMP228"/>
    <x v="3"/>
    <s v="Man Wing Catholic Church II"/>
    <s v="Mansi"/>
    <n v="112"/>
    <n v="524"/>
    <n v="0"/>
    <n v="0"/>
    <n v="0"/>
    <n v="224"/>
    <n v="112"/>
    <n v="112"/>
    <s v=""/>
    <n v="0"/>
  </r>
  <r>
    <s v="MMR001CMP134"/>
    <x v="3"/>
    <s v="Man Wing Host Families"/>
    <s v="Mansi"/>
    <n v="175"/>
    <n v="834"/>
    <n v="0"/>
    <n v="0"/>
    <n v="0"/>
    <n v="350"/>
    <n v="175"/>
    <n v="175"/>
    <s v=""/>
    <n v="0"/>
  </r>
  <r>
    <s v="MMR001CMP058"/>
    <x v="3"/>
    <s v="Mandalay Monestry"/>
    <s v="Momauk"/>
    <n v="0"/>
    <n v="0"/>
    <n v="0"/>
    <n v="0"/>
    <n v="0"/>
    <n v="0"/>
    <n v="0"/>
    <n v="0"/>
    <s v=""/>
    <n v="0"/>
  </r>
  <r>
    <s v="MMR001CMP077"/>
    <x v="3"/>
    <s v="Mang Hawng Baptist Church"/>
    <s v="Mogaung"/>
    <n v="15"/>
    <n v="70"/>
    <n v="0"/>
    <n v="0"/>
    <n v="0"/>
    <n v="30"/>
    <n v="15"/>
    <n v="15"/>
    <s v=""/>
    <n v="0"/>
  </r>
  <r>
    <s v="MMR001CMP066"/>
    <x v="3"/>
    <s v="Mansi Baptist Church"/>
    <s v="Mansi"/>
    <n v="197"/>
    <n v="878"/>
    <n v="0"/>
    <n v="0"/>
    <n v="0"/>
    <n v="394"/>
    <n v="197"/>
    <n v="197"/>
    <s v=""/>
    <n v="0"/>
  </r>
  <r>
    <s v="MMR001CMP020"/>
    <x v="3"/>
    <s v="Maw Hpawng Hka Nan Baptist Church"/>
    <s v="Myitkyina"/>
    <n v="21"/>
    <n v="98"/>
    <n v="0"/>
    <n v="0"/>
    <n v="0"/>
    <n v="42"/>
    <n v="21"/>
    <n v="21"/>
    <s v=""/>
    <n v="0"/>
  </r>
  <r>
    <s v="MMR001CMP021"/>
    <x v="3"/>
    <s v="Maw Hpawng Lhaovo Baptist Church"/>
    <s v="Myitkyina"/>
    <n v="14"/>
    <n v="71"/>
    <n v="0"/>
    <n v="0"/>
    <n v="0"/>
    <n v="28"/>
    <n v="14"/>
    <n v="14"/>
    <s v=""/>
    <n v="0"/>
  </r>
  <r>
    <s v="MMR001CMP091"/>
    <x v="3"/>
    <s v="Maw Wan, Mu-yin Baptist Church"/>
    <s v="Hpakant"/>
    <n v="4"/>
    <n v="22"/>
    <n v="0"/>
    <n v="0"/>
    <n v="0"/>
    <n v="8"/>
    <n v="4"/>
    <n v="4"/>
    <s v=""/>
    <n v="0"/>
  </r>
  <r>
    <s v="MMR001CMP056"/>
    <x v="3"/>
    <s v="Momauk Baptist Church"/>
    <s v="Momauk"/>
    <n v="226"/>
    <n v="1830"/>
    <n v="0"/>
    <n v="0"/>
    <n v="0"/>
    <n v="452"/>
    <n v="226"/>
    <n v="226"/>
    <s v=""/>
    <n v="0"/>
  </r>
  <r>
    <s v="MMR001CMP057"/>
    <x v="3"/>
    <s v="Momauk Catholic Church (St. Patrick)"/>
    <s v="Momauk"/>
    <n v="0"/>
    <n v="0"/>
    <n v="0"/>
    <n v="0"/>
    <n v="0"/>
    <n v="0"/>
    <n v="0"/>
    <n v="0"/>
    <s v=""/>
    <n v="0"/>
  </r>
  <r>
    <s v="MMR015CMP213"/>
    <x v="3"/>
    <s v="Muse Baptist Church"/>
    <s v="Muse"/>
    <n v="51"/>
    <n v="209"/>
    <n v="0"/>
    <n v="0"/>
    <n v="0"/>
    <n v="102"/>
    <n v="51"/>
    <n v="51"/>
    <s v=""/>
    <n v="0"/>
  </r>
  <r>
    <s v="MMR015CMP216"/>
    <x v="3"/>
    <s v="Muse Catholic Church"/>
    <s v="Muse"/>
    <n v="25"/>
    <n v="113"/>
    <n v="0"/>
    <n v="0"/>
    <n v="0"/>
    <n v="50"/>
    <n v="25"/>
    <n v="25"/>
    <s v=""/>
    <n v="0"/>
  </r>
  <r>
    <s v="MMR001CMP051"/>
    <x v="3"/>
    <s v="Mu-yin Baptist Church"/>
    <s v="Bhamo"/>
    <n v="14"/>
    <n v="61"/>
    <n v="0"/>
    <n v="0"/>
    <n v="0"/>
    <n v="28"/>
    <n v="14"/>
    <n v="14"/>
    <s v=""/>
    <n v="0"/>
  </r>
  <r>
    <s v="MMR001CMP017"/>
    <x v="3"/>
    <s v="Myay Myint Baptist Church"/>
    <s v="Myitkyina"/>
    <n v="0"/>
    <n v="0"/>
    <n v="0"/>
    <n v="0"/>
    <n v="0"/>
    <n v="0"/>
    <n v="0"/>
    <n v="0"/>
    <s v=""/>
    <n v="0"/>
  </r>
  <r>
    <s v="MMR001CMP061"/>
    <x v="3"/>
    <s v="Myo Thit "/>
    <s v="Momauk"/>
    <n v="13"/>
    <n v="53"/>
    <n v="0"/>
    <n v="0"/>
    <n v="0"/>
    <n v="26"/>
    <n v="13"/>
    <n v="13"/>
    <s v=""/>
    <n v="0"/>
  </r>
  <r>
    <s v="MMR015CMP214"/>
    <x v="3"/>
    <s v="Nam Hkam (KBC Jaw Wang) II"/>
    <s v="Namhkan"/>
    <n v="36"/>
    <n v="201"/>
    <n v="0"/>
    <n v="0"/>
    <n v="0"/>
    <n v="72"/>
    <n v="36"/>
    <n v="36"/>
    <s v=""/>
    <n v="0"/>
  </r>
  <r>
    <s v="MMR001CMP192"/>
    <x v="3"/>
    <s v="Nam Ma Phyit, COC"/>
    <s v="Hpakant"/>
    <n v="12"/>
    <n v="50"/>
    <n v="0"/>
    <n v="0"/>
    <n v="0"/>
    <n v="24"/>
    <n v="12"/>
    <n v="12"/>
    <s v=""/>
    <n v="0"/>
  </r>
  <r>
    <s v="MMR015CMP215"/>
    <x v="3"/>
    <s v="Namhkan - Pang Long KBC"/>
    <s v="Namhkan"/>
    <n v="121"/>
    <n v="570"/>
    <n v="0"/>
    <n v="0"/>
    <n v="0"/>
    <n v="242"/>
    <n v="121"/>
    <n v="121"/>
    <s v=""/>
    <n v="0"/>
  </r>
  <r>
    <s v="MMR001CMP024"/>
    <x v="3"/>
    <s v="Nan Kway St. John Catholic Church"/>
    <s v="Myitkyina"/>
    <n v="68"/>
    <n v="333"/>
    <n v="0"/>
    <n v="0"/>
    <n v="0"/>
    <n v="136"/>
    <n v="68"/>
    <n v="68"/>
    <s v=""/>
    <n v="0"/>
  </r>
  <r>
    <s v="MMR001CMP054"/>
    <x v="3"/>
    <s v="Nant Hlaing Church"/>
    <s v="Bhamo"/>
    <n v="21"/>
    <n v="111"/>
    <n v="0"/>
    <n v="0"/>
    <n v="0"/>
    <n v="42"/>
    <n v="21"/>
    <n v="21"/>
    <s v=""/>
    <n v="0"/>
  </r>
  <r>
    <s v="MMR001CMP103"/>
    <x v="3"/>
    <s v="Nant Ma Hpit Catholic Church"/>
    <s v="Hpakant"/>
    <n v="51"/>
    <n v="225"/>
    <n v="0"/>
    <n v="0"/>
    <n v="0"/>
    <n v="102"/>
    <n v="51"/>
    <n v="51"/>
    <s v=""/>
    <n v="0"/>
  </r>
  <r>
    <s v="MMR001CMP081"/>
    <x v="3"/>
    <s v="Nant Mun"/>
    <s v="Mohnyin"/>
    <n v="0"/>
    <n v="0"/>
    <n v="0"/>
    <n v="0"/>
    <n v="0"/>
    <n v="0"/>
    <n v="0"/>
    <n v="0"/>
    <s v=""/>
    <n v="0"/>
  </r>
  <r>
    <s v="MMR015CMP207"/>
    <x v="3"/>
    <s v="Narte"/>
    <s v="Hseni"/>
    <n v="67"/>
    <n v="392"/>
    <n v="0"/>
    <n v="0"/>
    <n v="0"/>
    <n v="134"/>
    <n v="67"/>
    <n v="67"/>
    <s v=""/>
    <n v="0"/>
  </r>
  <r>
    <s v="MMR001CMP079"/>
    <x v="3"/>
    <s v="Nat Gyi Kone Baptist Church "/>
    <s v="Mogaung"/>
    <n v="12"/>
    <n v="46"/>
    <n v="0"/>
    <n v="0"/>
    <n v="0"/>
    <n v="24"/>
    <n v="12"/>
    <n v="12"/>
    <s v=""/>
    <n v="0"/>
  </r>
  <r>
    <s v="MMR001CMP033"/>
    <x v="3"/>
    <s v="Nawng Hee Village"/>
    <s v="Waingmaw"/>
    <n v="18"/>
    <n v="82"/>
    <n v="0"/>
    <n v="0"/>
    <n v="0"/>
    <n v="36"/>
    <n v="18"/>
    <n v="18"/>
    <s v=""/>
    <n v="0"/>
  </r>
  <r>
    <s v="MMR001CMP152"/>
    <x v="3"/>
    <s v="Nawng Ing (Indawgyi) Baptist Church  "/>
    <s v="Mohnyin"/>
    <n v="10"/>
    <n v="60"/>
    <n v="0"/>
    <n v="0"/>
    <n v="0"/>
    <n v="20"/>
    <n v="10"/>
    <n v="10"/>
    <s v=""/>
    <n v="0"/>
  </r>
  <r>
    <s v="MMR001CMP059"/>
    <x v="3"/>
    <s v="Ni Thaw Ka Monestry"/>
    <s v="Momauk"/>
    <n v="0"/>
    <n v="0"/>
    <n v="0"/>
    <n v="0"/>
    <n v="0"/>
    <n v="0"/>
    <n v="0"/>
    <n v="0"/>
    <s v=""/>
    <n v="0"/>
  </r>
  <r>
    <s v="MMR001CMP002"/>
    <x v="3"/>
    <s v="Njang Dung Baptist Church "/>
    <s v="Myitkyina"/>
    <n v="62"/>
    <n v="264"/>
    <n v="0"/>
    <n v="0"/>
    <n v="0"/>
    <n v="124"/>
    <n v="62"/>
    <n v="62"/>
    <s v=""/>
    <n v="0"/>
  </r>
  <r>
    <s v="MMR001CMP162"/>
    <x v="3"/>
    <s v="Pa Dauk Myaing(Pa La Na)"/>
    <s v="Myitkyina"/>
    <n v="46"/>
    <n v="278"/>
    <n v="0"/>
    <n v="0"/>
    <n v="0"/>
    <n v="92"/>
    <n v="46"/>
    <n v="46"/>
    <s v=""/>
    <n v="0"/>
  </r>
  <r>
    <s v="MMR001CMP193"/>
    <x v="3"/>
    <s v="Phan Khar Kone"/>
    <s v="Bhamo"/>
    <n v="150"/>
    <n v="761"/>
    <n v="0"/>
    <n v="0"/>
    <n v="0"/>
    <n v="300"/>
    <n v="150"/>
    <n v="150"/>
    <s v=""/>
    <n v="0"/>
  </r>
  <r>
    <s v="MMR001CMP065"/>
    <x v="3"/>
    <s v="Phar Kay/Nant Waing "/>
    <s v="Momauk"/>
    <n v="39"/>
    <n v="176"/>
    <n v="0"/>
    <n v="0"/>
    <n v="0"/>
    <n v="78"/>
    <n v="39"/>
    <n v="39"/>
    <s v=""/>
    <n v="0"/>
  </r>
  <r>
    <s v="MMR001CMP032"/>
    <x v="3"/>
    <s v="Qtr. 2 Lhaovo Baptist Church"/>
    <s v="Waingmaw"/>
    <n v="91"/>
    <n v="329"/>
    <n v="0"/>
    <n v="0"/>
    <n v="0"/>
    <n v="182"/>
    <n v="91"/>
    <n v="91"/>
    <s v=""/>
    <n v="0"/>
  </r>
  <r>
    <s v="MMR001CMP025"/>
    <x v="3"/>
    <s v="Qtr. 2 Myoma Baptist Church"/>
    <s v="Waingmaw"/>
    <n v="31"/>
    <n v="170"/>
    <n v="0"/>
    <n v="0"/>
    <n v="0"/>
    <n v="62"/>
    <n v="31"/>
    <n v="31"/>
    <s v=""/>
    <n v="0"/>
  </r>
  <r>
    <s v="MMR001CMP030"/>
    <x v="3"/>
    <s v="Qtr. 3 Mu-yin  Baptist Church"/>
    <s v="Waingmaw"/>
    <n v="31"/>
    <n v="172"/>
    <n v="0"/>
    <n v="0"/>
    <n v="0"/>
    <n v="62"/>
    <n v="31"/>
    <n v="31"/>
    <s v=""/>
    <n v="0"/>
  </r>
  <r>
    <s v="MMR001CMP026"/>
    <x v="3"/>
    <s v="Qtr. 4 Monestry (Thargaya Thayett Taw)"/>
    <s v="Waingmaw"/>
    <n v="87"/>
    <n v="479"/>
    <n v="0"/>
    <n v="0"/>
    <n v="0"/>
    <n v="174"/>
    <n v="87"/>
    <n v="87"/>
    <s v=""/>
    <n v="0"/>
  </r>
  <r>
    <s v="MMR001CMP182"/>
    <x v="3"/>
    <s v="Rawan Baptist Church, Maw Shan Vil., Seik Mu"/>
    <s v="Hpakant"/>
    <n v="10"/>
    <n v="39"/>
    <n v="0"/>
    <n v="0"/>
    <n v="0"/>
    <n v="20"/>
    <n v="10"/>
    <n v="10"/>
    <s v=""/>
    <n v="0"/>
  </r>
  <r>
    <s v="MMR001CMP047"/>
    <x v="3"/>
    <s v="Robert Church"/>
    <s v="Bhamo"/>
    <n v="626"/>
    <n v="3828"/>
    <n v="0"/>
    <n v="0"/>
    <n v="0"/>
    <n v="1252"/>
    <n v="626"/>
    <n v="626"/>
    <s v=""/>
    <n v="0"/>
  </r>
  <r>
    <s v="MMR001CMP183"/>
    <x v="3"/>
    <s v="Sai Nai Baptish Church, Maw Shan Vil., Seki Mu"/>
    <s v="Hpakant"/>
    <n v="8"/>
    <n v="36"/>
    <n v="0"/>
    <n v="0"/>
    <n v="0"/>
    <n v="16"/>
    <n v="8"/>
    <n v="8"/>
    <s v=""/>
    <n v="0"/>
  </r>
  <r>
    <s v="MMR001CMP006"/>
    <x v="3"/>
    <s v="Shatapru Sut Ngai Tawng"/>
    <s v="Myitkyina"/>
    <n v="88"/>
    <n v="394"/>
    <n v="0"/>
    <n v="0"/>
    <n v="0"/>
    <n v="176"/>
    <n v="88"/>
    <n v="88"/>
    <s v=""/>
    <n v="0"/>
  </r>
  <r>
    <s v="MMR001CMP007"/>
    <x v="3"/>
    <s v="Shatapru Thida Aye Baptist Church"/>
    <s v="Myitkyina"/>
    <n v="22"/>
    <n v="111"/>
    <n v="0"/>
    <n v="0"/>
    <n v="0"/>
    <n v="44"/>
    <n v="22"/>
    <n v="22"/>
    <s v=""/>
    <n v="0"/>
  </r>
  <r>
    <s v="MMR001CMP067"/>
    <x v="3"/>
    <s v="Shwe Gu Baptist Church"/>
    <s v="Shwegu"/>
    <n v="86"/>
    <n v="313"/>
    <n v="0"/>
    <n v="0"/>
    <n v="0"/>
    <n v="172"/>
    <n v="86"/>
    <n v="86"/>
    <s v=""/>
    <n v="0"/>
  </r>
  <r>
    <s v="MMR001CMP068"/>
    <x v="3"/>
    <s v="Shwe Gu Catholic Church"/>
    <s v="Shwegu"/>
    <n v="40"/>
    <n v="196"/>
    <n v="0"/>
    <n v="0"/>
    <n v="0"/>
    <n v="80"/>
    <n v="40"/>
    <n v="40"/>
    <s v=""/>
    <n v="0"/>
  </r>
  <r>
    <s v="MMR001CMP009"/>
    <x v="3"/>
    <s v="Shwe Zet Baptist Church"/>
    <s v="Myitkyina"/>
    <n v="73"/>
    <n v="416"/>
    <n v="0"/>
    <n v="0"/>
    <n v="0"/>
    <n v="146"/>
    <n v="73"/>
    <n v="73"/>
    <s v=""/>
    <n v="0"/>
  </r>
  <r>
    <s v="MMR001CMP080"/>
    <x v="3"/>
    <s v="St. Patrick Catholic Church "/>
    <s v="Mohnyin"/>
    <n v="12"/>
    <n v="55"/>
    <n v="0"/>
    <n v="0"/>
    <n v="0"/>
    <n v="24"/>
    <n v="12"/>
    <n v="12"/>
    <s v=""/>
    <n v="0"/>
  </r>
  <r>
    <s v="MMR001CMP206"/>
    <x v="3"/>
    <s v="Sumprabum"/>
    <s v="Sumprabum"/>
    <n v="5"/>
    <n v="32"/>
    <n v="0"/>
    <n v="0"/>
    <n v="0"/>
    <n v="10"/>
    <n v="5"/>
    <n v="5"/>
    <s v=""/>
    <n v="0"/>
  </r>
  <r>
    <s v="MMR001CMP055"/>
    <x v="3"/>
    <s v="Ta Gun Taing Monastery (Shwe Kyi Na)"/>
    <s v="Bhamo"/>
    <n v="21"/>
    <n v="95"/>
    <n v="0"/>
    <n v="0"/>
    <n v="0"/>
    <n v="42"/>
    <n v="21"/>
    <n v="21"/>
    <s v=""/>
    <n v="0"/>
  </r>
  <r>
    <s v="MMR001CMP060"/>
    <x v="3"/>
    <s v="Tarli "/>
    <s v="Momauk"/>
    <n v="10"/>
    <n v="38"/>
    <n v="0"/>
    <n v="0"/>
    <n v="0"/>
    <n v="20"/>
    <n v="10"/>
    <n v="10"/>
    <s v=""/>
    <n v="0"/>
  </r>
  <r>
    <s v="MMR001CMP001"/>
    <x v="3"/>
    <s v="Tat Kone Baptist Church"/>
    <s v="Myitkyina"/>
    <n v="48"/>
    <n v="247"/>
    <n v="0"/>
    <n v="0"/>
    <n v="0"/>
    <n v="96"/>
    <n v="48"/>
    <n v="48"/>
    <s v=""/>
    <n v="0"/>
  </r>
  <r>
    <s v="MMR001CMP023"/>
    <x v="3"/>
    <s v="Tat Kone COC Baptist - Tat Kone Htoi San"/>
    <s v="Myitkyina"/>
    <n v="54"/>
    <n v="259"/>
    <n v="0"/>
    <n v="0"/>
    <n v="0"/>
    <n v="108"/>
    <n v="54"/>
    <n v="54"/>
    <s v=""/>
    <n v="0"/>
  </r>
  <r>
    <s v="MMR001CMP004"/>
    <x v="3"/>
    <s v="Tat Kone Emanuel Church"/>
    <s v="Myitkyina"/>
    <n v="4"/>
    <n v="21"/>
    <n v="0"/>
    <n v="0"/>
    <n v="0"/>
    <n v="8"/>
    <n v="4"/>
    <n v="4"/>
    <s v=""/>
    <n v="0"/>
  </r>
  <r>
    <s v="MMR001CMP003"/>
    <x v="3"/>
    <s v="Tat Kone Galile Baptist Church"/>
    <s v="Myitkyina"/>
    <n v="26"/>
    <n v="139"/>
    <n v="0"/>
    <n v="0"/>
    <n v="0"/>
    <n v="52"/>
    <n v="26"/>
    <n v="26"/>
    <s v=""/>
    <n v="0"/>
  </r>
  <r>
    <s v="MMR001CMP005"/>
    <x v="3"/>
    <s v="Tat Kone San Pya Baptist Church"/>
    <s v="Myitkyina"/>
    <n v="31"/>
    <n v="154"/>
    <n v="0"/>
    <n v="0"/>
    <n v="0"/>
    <n v="62"/>
    <n v="31"/>
    <n v="31"/>
    <s v=""/>
    <n v="0"/>
  </r>
  <r>
    <s v="MMR001CMP037"/>
    <x v="3"/>
    <s v="Thargaya Lisu Baptist Church"/>
    <s v="Waingmaw"/>
    <n v="44"/>
    <n v="182"/>
    <n v="0"/>
    <n v="0"/>
    <n v="0"/>
    <n v="88"/>
    <n v="44"/>
    <n v="44"/>
    <s v=""/>
    <n v="0"/>
  </r>
  <r>
    <s v="MMR001CMP224"/>
    <x v="3"/>
    <s v="Tharthana Ahlin Yaung New Monastery"/>
    <s v="Bhamo"/>
    <n v="0"/>
    <n v="0"/>
    <n v="0"/>
    <n v="0"/>
    <n v="0"/>
    <n v="0"/>
    <n v="0"/>
    <n v="0"/>
    <s v=""/>
    <n v="0"/>
  </r>
  <r>
    <s v="MMR001CMP038"/>
    <x v="3"/>
    <s v="Waingmaw AG Church"/>
    <s v="Waingmaw"/>
    <n v="70"/>
    <n v="288"/>
    <n v="0"/>
    <n v="0"/>
    <n v="0"/>
    <n v="140"/>
    <n v="70"/>
    <n v="70"/>
    <s v=""/>
    <n v="0"/>
  </r>
  <r>
    <s v="MMR001CMP036"/>
    <x v="3"/>
    <s v="Waingmaw Baptist Zonal Office"/>
    <s v="Waingmaw"/>
    <n v="0"/>
    <n v="0"/>
    <n v="0"/>
    <n v="0"/>
    <n v="0"/>
    <n v="0"/>
    <n v="0"/>
    <n v="0"/>
    <s v=""/>
    <n v="0"/>
  </r>
  <r>
    <s v="MMR001CMP184"/>
    <x v="3"/>
    <s v="Ward 2 Sai Taung Baptist Church, Seik Mu "/>
    <s v="Hpakant"/>
    <n v="35"/>
    <n v="173"/>
    <n v="0"/>
    <n v="0"/>
    <n v="0"/>
    <n v="70"/>
    <n v="35"/>
    <n v="35"/>
    <s v=""/>
    <n v="0"/>
  </r>
  <r>
    <s v="MMR001CMP116"/>
    <x v="3"/>
    <s v="Woi Chyai "/>
    <s v="Waingmaw"/>
    <n v="1371"/>
    <n v="6701"/>
    <n v="0"/>
    <n v="0"/>
    <n v="0"/>
    <n v="2742"/>
    <n v="1371"/>
    <n v="1371"/>
    <s v=""/>
    <n v="0"/>
  </r>
  <r>
    <s v="MMR001CMP022"/>
    <x v="3"/>
    <s v="Wun Tho Buddhist Monastery"/>
    <s v="Myitkyina"/>
    <n v="7"/>
    <n v="37"/>
    <n v="0"/>
    <n v="0"/>
    <n v="0"/>
    <n v="14"/>
    <n v="7"/>
    <n v="7"/>
    <s v=""/>
    <n v="0"/>
  </r>
  <r>
    <s v="MMR001CMP053"/>
    <x v="3"/>
    <s v="Yoe Kyi Monastery"/>
    <s v="Bhamo"/>
    <n v="15"/>
    <n v="75"/>
    <n v="0"/>
    <n v="0"/>
    <n v="0"/>
    <n v="30"/>
    <n v="15"/>
    <n v="15"/>
    <s v=""/>
    <n v="0"/>
  </r>
  <r>
    <s v="MMR001CMP105"/>
    <x v="3"/>
    <s v="Yumar Baptist Church"/>
    <s v="Hpakant"/>
    <n v="12"/>
    <n v="43"/>
    <n v="0"/>
    <n v="0"/>
    <n v="0"/>
    <n v="24"/>
    <n v="12"/>
    <n v="12"/>
    <s v=""/>
    <n v="0"/>
  </r>
</pivotCacheRecords>
</file>

<file path=xl/pivotCache/pivotCacheRecords3.xml><?xml version="1.0" encoding="utf-8"?>
<pivotCacheRecords xmlns="http://schemas.openxmlformats.org/spreadsheetml/2006/main" xmlns:r="http://schemas.openxmlformats.org/officeDocument/2006/relationships" count="1334">
  <r>
    <n v="-0.96666666666666667"/>
    <d v="2016-11-30T00:00:00"/>
    <x v="0"/>
    <s v="Solidarities"/>
    <s v="Kachin"/>
    <s v="Bhamo"/>
    <s v="Robert Church"/>
    <m/>
    <m/>
    <m/>
    <m/>
    <m/>
    <m/>
    <m/>
    <m/>
    <m/>
    <m/>
    <m/>
    <m/>
    <m/>
    <m/>
    <n v="5"/>
    <m/>
    <m/>
    <n v="0"/>
    <n v="0"/>
    <n v="0"/>
    <n v="0"/>
    <n v="0"/>
    <n v="0"/>
    <n v="0"/>
    <n v="0"/>
    <n v="0"/>
    <n v="0"/>
    <n v="0"/>
    <n v="0"/>
    <n v="0"/>
    <n v="0"/>
    <x v="0"/>
    <n v="5"/>
    <n v="0"/>
    <n v="0"/>
    <s v="MMR001CMP047"/>
    <x v="0"/>
    <x v="0"/>
    <x v="0"/>
    <n v="0"/>
    <m/>
    <s v="Data source: Solidarities/under Nov_2016_CAR"/>
  </r>
  <r>
    <n v="-0.96666666666666667"/>
    <d v="2016-11-30T00:00:00"/>
    <x v="0"/>
    <s v="Solidarities"/>
    <s v="Kachin"/>
    <s v="Bhamo"/>
    <s v="Phan Khar Kone"/>
    <m/>
    <m/>
    <m/>
    <m/>
    <m/>
    <m/>
    <m/>
    <m/>
    <m/>
    <m/>
    <m/>
    <m/>
    <m/>
    <m/>
    <n v="2"/>
    <m/>
    <m/>
    <n v="0"/>
    <n v="0"/>
    <n v="0"/>
    <n v="0"/>
    <n v="0"/>
    <n v="0"/>
    <n v="0"/>
    <n v="0"/>
    <n v="0"/>
    <n v="0"/>
    <n v="0"/>
    <n v="0"/>
    <n v="0"/>
    <n v="0"/>
    <x v="0"/>
    <n v="2"/>
    <n v="0"/>
    <n v="0"/>
    <s v="MMR001CMP193"/>
    <x v="0"/>
    <x v="0"/>
    <x v="0"/>
    <n v="0"/>
    <m/>
    <s v="Data source: Solidarities/under Nov_2016_CAR"/>
  </r>
  <r>
    <n v="-0.9"/>
    <d v="2016-11-28T00:00:00"/>
    <x v="1"/>
    <s v="KBC"/>
    <s v="Shan_North"/>
    <s v="Muse"/>
    <s v="Muse Baptist Church"/>
    <m/>
    <m/>
    <m/>
    <n v="76"/>
    <n v="38"/>
    <n v="76"/>
    <m/>
    <m/>
    <n v="38"/>
    <n v="114"/>
    <m/>
    <m/>
    <m/>
    <m/>
    <m/>
    <m/>
    <m/>
    <n v="0"/>
    <n v="0"/>
    <n v="0"/>
    <n v="76"/>
    <n v="38"/>
    <n v="76"/>
    <n v="0"/>
    <n v="0"/>
    <n v="38"/>
    <n v="285"/>
    <n v="0"/>
    <n v="0"/>
    <n v="0"/>
    <n v="0"/>
    <x v="0"/>
    <n v="0"/>
    <n v="0"/>
    <n v="0"/>
    <s v="MMR015CMP213"/>
    <x v="1"/>
    <x v="0"/>
    <x v="0"/>
    <n v="0"/>
    <m/>
    <s v="Data source: KBC/under nov_201_CAR"/>
  </r>
  <r>
    <n v="3.3333333333333333E-2"/>
    <d v="2016-10-31T00:00:00"/>
    <x v="0"/>
    <s v="Solidarities"/>
    <s v="Kachin"/>
    <s v="Momauk"/>
    <s v="Loi Je Catholic Church"/>
    <m/>
    <m/>
    <m/>
    <m/>
    <m/>
    <m/>
    <m/>
    <m/>
    <m/>
    <m/>
    <m/>
    <m/>
    <m/>
    <m/>
    <n v="1"/>
    <m/>
    <m/>
    <n v="0"/>
    <n v="0"/>
    <n v="0"/>
    <n v="0"/>
    <n v="0"/>
    <n v="0"/>
    <n v="0"/>
    <n v="0"/>
    <n v="0"/>
    <n v="0"/>
    <n v="0"/>
    <n v="0"/>
    <n v="0"/>
    <n v="0"/>
    <x v="0"/>
    <n v="1"/>
    <n v="0"/>
    <n v="0"/>
    <s v="MMR001CMP069"/>
    <x v="0"/>
    <x v="0"/>
    <x v="1"/>
    <n v="0"/>
    <m/>
    <s v="Data source: Solidarities/under Nov_2016_CAR"/>
  </r>
  <r>
    <n v="3.3333333333333333E-2"/>
    <d v="2016-10-31T00:00:00"/>
    <x v="0"/>
    <s v="Solidarities"/>
    <s v="Kachin"/>
    <s v="Momauk"/>
    <s v="Seng Ja "/>
    <m/>
    <m/>
    <m/>
    <m/>
    <m/>
    <m/>
    <m/>
    <m/>
    <m/>
    <m/>
    <m/>
    <m/>
    <m/>
    <m/>
    <n v="2"/>
    <m/>
    <m/>
    <n v="0"/>
    <n v="0"/>
    <n v="0"/>
    <n v="0"/>
    <n v="0"/>
    <n v="0"/>
    <n v="0"/>
    <n v="0"/>
    <n v="0"/>
    <n v="0"/>
    <n v="0"/>
    <n v="0"/>
    <n v="0"/>
    <n v="0"/>
    <x v="0"/>
    <n v="2"/>
    <n v="0"/>
    <n v="0"/>
    <s v="MMR001CMP073"/>
    <x v="0"/>
    <x v="0"/>
    <x v="1"/>
    <n v="0"/>
    <m/>
    <s v="Data source: Solidarities/under Nov_2016_CAR"/>
  </r>
  <r>
    <n v="1.0666666666666667"/>
    <d v="2016-09-30T00:00:00"/>
    <x v="0"/>
    <s v="Solidarities"/>
    <s v="Kachin"/>
    <s v="Bhamo"/>
    <s v="Phan Khar Kone"/>
    <m/>
    <m/>
    <m/>
    <m/>
    <m/>
    <m/>
    <m/>
    <m/>
    <m/>
    <m/>
    <m/>
    <m/>
    <m/>
    <m/>
    <n v="1"/>
    <m/>
    <m/>
    <n v="0"/>
    <n v="0"/>
    <n v="0"/>
    <n v="0"/>
    <n v="0"/>
    <n v="0"/>
    <n v="0"/>
    <n v="0"/>
    <n v="0"/>
    <n v="0"/>
    <n v="0"/>
    <n v="0"/>
    <n v="0"/>
    <n v="0"/>
    <x v="0"/>
    <n v="1"/>
    <n v="0"/>
    <n v="0"/>
    <s v="MMR001CMP193"/>
    <x v="0"/>
    <x v="0"/>
    <x v="0"/>
    <n v="0"/>
    <m/>
    <s v="Data source: Solidarities/under Nov_2016_CAR"/>
  </r>
  <r>
    <n v="1.0666666666666667"/>
    <d v="2016-09-30T00:00:00"/>
    <x v="0"/>
    <s v="Solidarities"/>
    <s v="Kachin"/>
    <s v="Momauk"/>
    <s v="Momauk Baptist Church"/>
    <m/>
    <m/>
    <m/>
    <m/>
    <m/>
    <m/>
    <m/>
    <m/>
    <m/>
    <m/>
    <m/>
    <m/>
    <m/>
    <m/>
    <n v="1"/>
    <m/>
    <m/>
    <n v="0"/>
    <n v="0"/>
    <n v="0"/>
    <n v="0"/>
    <n v="0"/>
    <n v="0"/>
    <n v="0"/>
    <n v="0"/>
    <n v="0"/>
    <n v="0"/>
    <n v="0"/>
    <n v="0"/>
    <n v="0"/>
    <n v="0"/>
    <x v="0"/>
    <n v="1"/>
    <n v="0"/>
    <n v="0"/>
    <s v="MMR001CMP056"/>
    <x v="0"/>
    <x v="0"/>
    <x v="0"/>
    <n v="0"/>
    <m/>
    <s v="Data source: Solidarities/under Nov_2016_CAR"/>
  </r>
  <r>
    <n v="2.0666666666666669"/>
    <d v="2016-08-31T00:00:00"/>
    <x v="0"/>
    <s v="Solidarities"/>
    <s v="Kachin"/>
    <s v="Bhamo"/>
    <s v="AD-2000 Tharthana Compound"/>
    <m/>
    <m/>
    <m/>
    <m/>
    <m/>
    <m/>
    <m/>
    <m/>
    <m/>
    <m/>
    <m/>
    <m/>
    <m/>
    <m/>
    <n v="1"/>
    <m/>
    <m/>
    <n v="0"/>
    <n v="0"/>
    <n v="0"/>
    <n v="0"/>
    <n v="0"/>
    <n v="0"/>
    <n v="0"/>
    <n v="0"/>
    <n v="0"/>
    <n v="0"/>
    <n v="0"/>
    <n v="0"/>
    <n v="0"/>
    <n v="0"/>
    <x v="0"/>
    <n v="1"/>
    <n v="0"/>
    <n v="0"/>
    <s v="MMR001CMP050"/>
    <x v="0"/>
    <x v="0"/>
    <x v="0"/>
    <n v="0"/>
    <m/>
    <s v="Data source: Solidarities/under Nov_2016_CAR"/>
  </r>
  <r>
    <n v="2.0666666666666669"/>
    <d v="2016-08-31T00:00:00"/>
    <x v="0"/>
    <s v="Solidarities"/>
    <s v="Kachin"/>
    <s v="Bhamo"/>
    <s v="Robert Church"/>
    <m/>
    <m/>
    <m/>
    <m/>
    <m/>
    <m/>
    <m/>
    <m/>
    <m/>
    <m/>
    <m/>
    <m/>
    <m/>
    <m/>
    <n v="1"/>
    <m/>
    <m/>
    <n v="0"/>
    <n v="0"/>
    <n v="0"/>
    <n v="0"/>
    <n v="0"/>
    <n v="0"/>
    <n v="0"/>
    <n v="0"/>
    <n v="0"/>
    <n v="0"/>
    <n v="0"/>
    <n v="0"/>
    <n v="0"/>
    <n v="0"/>
    <x v="0"/>
    <n v="1"/>
    <n v="0"/>
    <n v="0"/>
    <s v="MMR001CMP047"/>
    <x v="0"/>
    <x v="0"/>
    <x v="0"/>
    <n v="0"/>
    <m/>
    <s v="Data source: Solidarities/under Nov_2016_CAR"/>
  </r>
  <r>
    <n v="2.0666666666666669"/>
    <d v="2016-08-31T00:00:00"/>
    <x v="0"/>
    <s v="Solidarities"/>
    <s v="Kachin"/>
    <s v="Hpakant"/>
    <s v="Shar Du Zut KBC church "/>
    <n v="165"/>
    <n v="139"/>
    <m/>
    <m/>
    <m/>
    <m/>
    <m/>
    <m/>
    <m/>
    <m/>
    <m/>
    <m/>
    <m/>
    <m/>
    <n v="8"/>
    <m/>
    <m/>
    <n v="165"/>
    <n v="139"/>
    <n v="0"/>
    <n v="0"/>
    <n v="0"/>
    <n v="0"/>
    <n v="0"/>
    <n v="0"/>
    <n v="0"/>
    <n v="0"/>
    <n v="0"/>
    <n v="0"/>
    <n v="0"/>
    <n v="0"/>
    <x v="0"/>
    <n v="8"/>
    <n v="0"/>
    <n v="0"/>
    <s v="MMR001CMP244"/>
    <x v="1"/>
    <x v="0"/>
    <x v="2"/>
    <n v="0"/>
    <m/>
    <s v="Data source: Solidarities/under Nov_2016_CAR, Newly displacement. Distribution related to Emergency Intervention (ERF), "/>
  </r>
  <r>
    <n v="2.5"/>
    <d v="2016-08-18T00:00:00"/>
    <x v="2"/>
    <s v="KBC"/>
    <s v="Kachin"/>
    <s v="Myitkyina"/>
    <s v="Man Hkring Baptist Church"/>
    <m/>
    <m/>
    <m/>
    <m/>
    <n v="29"/>
    <m/>
    <m/>
    <m/>
    <m/>
    <m/>
    <m/>
    <m/>
    <m/>
    <m/>
    <m/>
    <m/>
    <m/>
    <n v="0"/>
    <n v="0"/>
    <n v="0"/>
    <n v="0"/>
    <n v="29"/>
    <n v="0"/>
    <n v="0"/>
    <n v="0"/>
    <n v="0"/>
    <n v="0"/>
    <n v="0"/>
    <n v="0"/>
    <n v="0"/>
    <n v="0"/>
    <x v="0"/>
    <n v="0"/>
    <n v="0"/>
    <n v="0"/>
    <s v="MMR001CMP008"/>
    <x v="0"/>
    <x v="0"/>
    <x v="0"/>
    <n v="0"/>
    <m/>
    <m/>
  </r>
  <r>
    <n v="2.7666666666666666"/>
    <d v="2016-08-10T00:00:00"/>
    <x v="1"/>
    <s v="KBC"/>
    <s v="Kachin"/>
    <s v="Hpakant"/>
    <s v="Njang Dung Baptist Church "/>
    <m/>
    <n v="4"/>
    <n v="4"/>
    <n v="10"/>
    <n v="117"/>
    <n v="10"/>
    <n v="4"/>
    <m/>
    <n v="8"/>
    <n v="16"/>
    <m/>
    <m/>
    <m/>
    <m/>
    <n v="4"/>
    <m/>
    <m/>
    <m/>
    <m/>
    <m/>
    <m/>
    <m/>
    <m/>
    <m/>
    <m/>
    <m/>
    <m/>
    <m/>
    <m/>
    <m/>
    <m/>
    <x v="1"/>
    <m/>
    <n v="0"/>
    <n v="0"/>
    <s v="MMR001CMP002"/>
    <x v="0"/>
    <x v="0"/>
    <x v="3"/>
    <m/>
    <m/>
    <s v="(Njang Dung Camp, Shwe Zet Camp and 4 Camps in Hpakhant Tsp distributio)There is no specific camp and township name. Remarks-Through KBC-Myitkyina for new arrivals in 6 Camps: Njang Dung Camp, Shwe Zet Camp and 4 Camps in Hpakhant Tsp)"/>
  </r>
  <r>
    <n v="2.9"/>
    <d v="2016-08-06T00:00:00"/>
    <x v="1"/>
    <s v="KMSS"/>
    <s v="Kachin"/>
    <s v="Hpakant"/>
    <s v="Muyin church (Aung Yar pre-school compound)"/>
    <m/>
    <n v="25"/>
    <n v="25"/>
    <n v="38"/>
    <n v="25"/>
    <n v="49"/>
    <n v="25"/>
    <m/>
    <n v="25"/>
    <n v="47"/>
    <m/>
    <m/>
    <m/>
    <m/>
    <n v="25"/>
    <m/>
    <m/>
    <m/>
    <m/>
    <m/>
    <m/>
    <m/>
    <m/>
    <m/>
    <m/>
    <m/>
    <m/>
    <m/>
    <m/>
    <m/>
    <m/>
    <x v="1"/>
    <m/>
    <n v="0"/>
    <n v="0"/>
    <s v="MMR001CMP247"/>
    <x v="2"/>
    <x v="0"/>
    <x v="2"/>
    <n v="1.1363636363636365"/>
    <s v="No"/>
    <s v="Emergency"/>
  </r>
  <r>
    <n v="2.9"/>
    <d v="2016-08-06T00:00:00"/>
    <x v="1"/>
    <s v="KMSS"/>
    <s v="Kachin"/>
    <s v="Hpakant"/>
    <s v="Shar Du Zut RC church"/>
    <m/>
    <n v="7"/>
    <n v="7"/>
    <n v="7"/>
    <n v="7"/>
    <n v="9"/>
    <n v="7"/>
    <m/>
    <n v="7"/>
    <n v="11"/>
    <m/>
    <m/>
    <m/>
    <m/>
    <n v="7"/>
    <m/>
    <m/>
    <n v="0"/>
    <n v="7"/>
    <n v="7"/>
    <n v="7"/>
    <n v="7"/>
    <n v="9"/>
    <n v="7"/>
    <n v="0"/>
    <n v="7"/>
    <n v="27.5"/>
    <n v="0"/>
    <n v="0"/>
    <n v="0"/>
    <n v="0"/>
    <x v="0"/>
    <n v="7"/>
    <n v="0"/>
    <n v="0"/>
    <s v="MMR001CMP246"/>
    <x v="2"/>
    <x v="0"/>
    <x v="2"/>
    <n v="1"/>
    <s v="No"/>
    <s v="Emergency"/>
  </r>
  <r>
    <n v="2.9"/>
    <d v="2016-08-06T00:00:00"/>
    <x v="1"/>
    <s v="KMSS"/>
    <s v="Kachin"/>
    <s v="Hpakant"/>
    <s v="A Lo Taw Pyae monastery"/>
    <m/>
    <n v="21"/>
    <n v="21"/>
    <n v="27"/>
    <n v="21"/>
    <n v="30"/>
    <n v="21"/>
    <m/>
    <n v="21"/>
    <n v="33"/>
    <m/>
    <m/>
    <m/>
    <m/>
    <n v="21"/>
    <m/>
    <m/>
    <n v="0"/>
    <n v="21"/>
    <n v="21"/>
    <n v="27"/>
    <n v="21"/>
    <n v="30"/>
    <n v="21"/>
    <n v="0"/>
    <n v="21"/>
    <n v="82.5"/>
    <n v="0"/>
    <n v="0"/>
    <n v="0"/>
    <n v="0"/>
    <x v="0"/>
    <n v="21"/>
    <n v="0"/>
    <n v="0"/>
    <s v="MMR001CMP243"/>
    <x v="1"/>
    <x v="0"/>
    <x v="2"/>
    <n v="0.65625"/>
    <m/>
    <m/>
  </r>
  <r>
    <n v="2.9333333333333331"/>
    <d v="2016-08-05T00:00:00"/>
    <x v="1"/>
    <s v="KBC"/>
    <s v="Kachin"/>
    <s v="Hpakant"/>
    <s v="Wara Zup KBC Church"/>
    <m/>
    <n v="23"/>
    <m/>
    <n v="38"/>
    <n v="23"/>
    <n v="38"/>
    <n v="23"/>
    <m/>
    <n v="23"/>
    <n v="55"/>
    <m/>
    <m/>
    <m/>
    <m/>
    <n v="23"/>
    <m/>
    <n v="9"/>
    <n v="0"/>
    <n v="23"/>
    <n v="0"/>
    <n v="38"/>
    <n v="23"/>
    <n v="38"/>
    <n v="23"/>
    <n v="0"/>
    <n v="23"/>
    <n v="137.5"/>
    <n v="0"/>
    <n v="0"/>
    <n v="0"/>
    <n v="0"/>
    <x v="0"/>
    <n v="23"/>
    <n v="0"/>
    <n v="9"/>
    <s v="MMR001CMP242"/>
    <x v="1"/>
    <x v="0"/>
    <x v="2"/>
    <n v="3.8333333333333335"/>
    <m/>
    <s v="Emergency Distribution"/>
  </r>
  <r>
    <n v="2.9333333333333331"/>
    <d v="2016-08-05T00:00:00"/>
    <x v="1"/>
    <s v="KMSS_Myitkyina"/>
    <s v="Kachin"/>
    <s v="Hpakant"/>
    <s v="Mandung - RC"/>
    <m/>
    <n v="53"/>
    <n v="53"/>
    <n v="131"/>
    <n v="53"/>
    <n v="131"/>
    <n v="53"/>
    <m/>
    <n v="53"/>
    <n v="131"/>
    <m/>
    <m/>
    <m/>
    <m/>
    <n v="53"/>
    <m/>
    <m/>
    <n v="0"/>
    <n v="53"/>
    <n v="53"/>
    <n v="131"/>
    <n v="53"/>
    <n v="131"/>
    <n v="53"/>
    <n v="0"/>
    <n v="53"/>
    <n v="327.5"/>
    <n v="0"/>
    <n v="0"/>
    <n v="0"/>
    <n v="0"/>
    <x v="0"/>
    <n v="53"/>
    <n v="0"/>
    <n v="0"/>
    <s v="MMR015CMP209"/>
    <x v="0"/>
    <x v="0"/>
    <x v="1"/>
    <n v="1.8275862068965518"/>
    <m/>
    <s v="(Buddha Camp, RC Camp and Mudung Camp)Emergency Distribution"/>
  </r>
  <r>
    <n v="4.1333333333333337"/>
    <d v="2016-06-30T00:00:00"/>
    <x v="0"/>
    <s v="Solidarities"/>
    <s v="Kachin"/>
    <s v="Bhamo"/>
    <s v="Ta Gun Taing Monastery (Shwe Kyi Na)"/>
    <m/>
    <m/>
    <m/>
    <m/>
    <m/>
    <m/>
    <m/>
    <m/>
    <m/>
    <m/>
    <m/>
    <m/>
    <m/>
    <m/>
    <n v="2"/>
    <m/>
    <m/>
    <n v="0"/>
    <n v="0"/>
    <n v="0"/>
    <n v="0"/>
    <n v="0"/>
    <n v="0"/>
    <n v="0"/>
    <n v="0"/>
    <n v="0"/>
    <n v="0"/>
    <n v="0"/>
    <n v="0"/>
    <n v="0"/>
    <n v="0"/>
    <x v="0"/>
    <n v="2"/>
    <n v="0"/>
    <n v="0"/>
    <s v="MMR001CMP055"/>
    <x v="0"/>
    <x v="0"/>
    <x v="0"/>
    <n v="0"/>
    <m/>
    <s v="Data source: Solidarities/under Nov_2016_CAR"/>
  </r>
  <r>
    <n v="4.1333333333333337"/>
    <d v="2016-06-30T00:00:00"/>
    <x v="0"/>
    <s v="Solidarities"/>
    <s v="Kachin"/>
    <s v="Bhamo"/>
    <s v="AD-2000 Tharthana Compound"/>
    <m/>
    <m/>
    <m/>
    <m/>
    <m/>
    <m/>
    <m/>
    <m/>
    <m/>
    <m/>
    <m/>
    <m/>
    <m/>
    <m/>
    <n v="2"/>
    <m/>
    <m/>
    <n v="0"/>
    <n v="0"/>
    <n v="0"/>
    <n v="0"/>
    <n v="0"/>
    <n v="0"/>
    <n v="0"/>
    <n v="0"/>
    <n v="0"/>
    <n v="0"/>
    <n v="0"/>
    <n v="0"/>
    <n v="0"/>
    <n v="0"/>
    <x v="0"/>
    <n v="2"/>
    <n v="0"/>
    <n v="0"/>
    <s v="MMR001CMP050"/>
    <x v="0"/>
    <x v="0"/>
    <x v="0"/>
    <n v="0"/>
    <m/>
    <s v="Data source: Solidarities/under Nov_2016_CAR"/>
  </r>
  <r>
    <n v="4.1333333333333337"/>
    <d v="2016-06-30T00:00:00"/>
    <x v="0"/>
    <s v="Solidarities"/>
    <s v="Kachin"/>
    <s v="Bhamo"/>
    <s v="Phan Khar Kone"/>
    <m/>
    <m/>
    <m/>
    <m/>
    <m/>
    <m/>
    <m/>
    <m/>
    <m/>
    <m/>
    <m/>
    <m/>
    <m/>
    <m/>
    <n v="4"/>
    <m/>
    <m/>
    <n v="0"/>
    <n v="0"/>
    <n v="0"/>
    <n v="0"/>
    <n v="0"/>
    <n v="0"/>
    <n v="0"/>
    <n v="0"/>
    <n v="0"/>
    <n v="0"/>
    <n v="0"/>
    <n v="0"/>
    <n v="0"/>
    <n v="0"/>
    <x v="0"/>
    <n v="4"/>
    <n v="0"/>
    <n v="0"/>
    <s v="MMR001CMP193"/>
    <x v="0"/>
    <x v="0"/>
    <x v="0"/>
    <n v="0"/>
    <m/>
    <s v="Data source: Solidarities/under Nov_2016_CAR"/>
  </r>
  <r>
    <n v="4.1333333333333337"/>
    <d v="2016-06-30T00:00:00"/>
    <x v="0"/>
    <s v="Solidarities"/>
    <s v="Kachin"/>
    <s v="Momauk"/>
    <s v="Loi Je Baptist Church"/>
    <m/>
    <m/>
    <m/>
    <m/>
    <m/>
    <m/>
    <m/>
    <m/>
    <m/>
    <m/>
    <m/>
    <m/>
    <m/>
    <m/>
    <n v="2"/>
    <m/>
    <m/>
    <n v="0"/>
    <n v="0"/>
    <n v="0"/>
    <n v="0"/>
    <n v="0"/>
    <n v="0"/>
    <n v="0"/>
    <n v="0"/>
    <n v="0"/>
    <n v="0"/>
    <n v="0"/>
    <n v="0"/>
    <n v="0"/>
    <n v="0"/>
    <x v="0"/>
    <n v="2"/>
    <n v="0"/>
    <n v="0"/>
    <s v="MMR001CMP071"/>
    <x v="0"/>
    <x v="0"/>
    <x v="1"/>
    <n v="0"/>
    <m/>
    <s v="Data source: Solidarities/under Nov_2016_CAR"/>
  </r>
  <r>
    <n v="4.1333333333333337"/>
    <d v="2016-06-30T00:00:00"/>
    <x v="0"/>
    <s v="Solidarities"/>
    <s v="Kachin"/>
    <s v="Momauk"/>
    <s v="Loi Je Lisu Camp"/>
    <m/>
    <m/>
    <m/>
    <m/>
    <m/>
    <m/>
    <m/>
    <m/>
    <m/>
    <m/>
    <m/>
    <m/>
    <m/>
    <m/>
    <n v="1"/>
    <m/>
    <m/>
    <n v="0"/>
    <n v="0"/>
    <n v="0"/>
    <n v="0"/>
    <n v="0"/>
    <n v="0"/>
    <n v="0"/>
    <n v="0"/>
    <n v="0"/>
    <n v="0"/>
    <n v="0"/>
    <n v="0"/>
    <n v="0"/>
    <n v="0"/>
    <x v="0"/>
    <n v="1"/>
    <n v="0"/>
    <n v="0"/>
    <s v="MMR001CMP070"/>
    <x v="0"/>
    <x v="0"/>
    <x v="1"/>
    <n v="0"/>
    <m/>
    <s v="Data source: Solidarities/under Nov_2016_CAR"/>
  </r>
  <r>
    <n v="4.1333333333333337"/>
    <d v="2016-06-30T00:00:00"/>
    <x v="0"/>
    <s v="Solidarities"/>
    <s v="Kachin"/>
    <s v="Momauk"/>
    <s v="Nyaung Na Pin "/>
    <m/>
    <m/>
    <m/>
    <m/>
    <m/>
    <m/>
    <m/>
    <m/>
    <m/>
    <m/>
    <m/>
    <m/>
    <m/>
    <m/>
    <n v="1"/>
    <m/>
    <m/>
    <n v="0"/>
    <n v="0"/>
    <n v="0"/>
    <n v="0"/>
    <n v="0"/>
    <n v="0"/>
    <n v="0"/>
    <n v="0"/>
    <n v="0"/>
    <n v="0"/>
    <n v="0"/>
    <n v="0"/>
    <n v="0"/>
    <n v="0"/>
    <x v="0"/>
    <n v="1"/>
    <n v="0"/>
    <n v="0"/>
    <s v="MMR001CMP072"/>
    <x v="0"/>
    <x v="0"/>
    <x v="1"/>
    <n v="0"/>
    <m/>
    <s v="Data source: Solidarities/under Nov_2016_CAR"/>
  </r>
  <r>
    <n v="4.1333333333333337"/>
    <d v="2016-06-30T00:00:00"/>
    <x v="0"/>
    <s v="Solidarities"/>
    <s v="Kachin"/>
    <s v="Momauk"/>
    <s v="Seng Ja "/>
    <m/>
    <m/>
    <m/>
    <m/>
    <m/>
    <m/>
    <m/>
    <m/>
    <m/>
    <m/>
    <m/>
    <m/>
    <m/>
    <m/>
    <n v="1"/>
    <m/>
    <m/>
    <n v="0"/>
    <n v="0"/>
    <n v="0"/>
    <n v="0"/>
    <n v="0"/>
    <n v="0"/>
    <n v="0"/>
    <n v="0"/>
    <n v="0"/>
    <n v="0"/>
    <n v="0"/>
    <n v="0"/>
    <n v="0"/>
    <n v="0"/>
    <x v="0"/>
    <n v="1"/>
    <n v="0"/>
    <n v="0"/>
    <s v="MMR001CMP073"/>
    <x v="0"/>
    <x v="0"/>
    <x v="1"/>
    <n v="0"/>
    <m/>
    <s v="Data source: Solidarities/under Nov_2016_CAR"/>
  </r>
  <r>
    <n v="4.8"/>
    <d v="2016-06-10T00:00:00"/>
    <x v="1"/>
    <s v="UNHCR"/>
    <s v="Kachin"/>
    <s v="Sumprabum"/>
    <s v="Lisu Manau Park"/>
    <m/>
    <m/>
    <m/>
    <n v="25"/>
    <n v="8"/>
    <n v="66"/>
    <n v="34"/>
    <m/>
    <n v="6"/>
    <n v="104"/>
    <m/>
    <m/>
    <m/>
    <m/>
    <m/>
    <m/>
    <m/>
    <n v="0"/>
    <n v="0"/>
    <n v="0"/>
    <n v="25"/>
    <n v="8"/>
    <n v="66"/>
    <n v="34"/>
    <n v="0"/>
    <n v="6"/>
    <n v="260"/>
    <n v="0"/>
    <n v="0"/>
    <n v="0"/>
    <n v="0"/>
    <x v="0"/>
    <n v="0"/>
    <n v="0"/>
    <n v="0"/>
    <s v=""/>
    <x v="3"/>
    <x v="1"/>
    <x v="4"/>
    <s v=""/>
    <s v="No"/>
    <m/>
  </r>
  <r>
    <n v="5.1333333333333337"/>
    <d v="2016-05-31T00:00:00"/>
    <x v="0"/>
    <s v="Solidarities"/>
    <s v="Kachin"/>
    <s v="Mansi"/>
    <s v="Maing Khaung"/>
    <n v="25"/>
    <n v="25"/>
    <m/>
    <m/>
    <n v="25"/>
    <m/>
    <m/>
    <m/>
    <m/>
    <m/>
    <m/>
    <m/>
    <m/>
    <m/>
    <m/>
    <m/>
    <m/>
    <n v="25"/>
    <n v="25"/>
    <n v="0"/>
    <n v="0"/>
    <n v="25"/>
    <n v="0"/>
    <n v="0"/>
    <n v="0"/>
    <n v="0"/>
    <n v="0"/>
    <n v="0"/>
    <n v="0"/>
    <n v="0"/>
    <n v="0"/>
    <x v="0"/>
    <n v="0"/>
    <n v="0"/>
    <n v="0"/>
    <s v="MMR001CMP218"/>
    <x v="0"/>
    <x v="0"/>
    <x v="0"/>
    <n v="0"/>
    <m/>
    <m/>
  </r>
  <r>
    <n v="6"/>
    <d v="2016-05-05T00:00:00"/>
    <x v="1"/>
    <s v="KMSS_Myitkyina"/>
    <s v="Kachin"/>
    <s v="Mogaung"/>
    <s v="Ma Hawng RC "/>
    <m/>
    <n v="7"/>
    <n v="7"/>
    <n v="13"/>
    <n v="7"/>
    <n v="13"/>
    <n v="7"/>
    <n v="7"/>
    <n v="7"/>
    <n v="13"/>
    <m/>
    <m/>
    <m/>
    <m/>
    <n v="7"/>
    <m/>
    <m/>
    <n v="0"/>
    <n v="7"/>
    <n v="7"/>
    <n v="13"/>
    <n v="7"/>
    <n v="13"/>
    <n v="7"/>
    <n v="7"/>
    <n v="7"/>
    <n v="32.5"/>
    <n v="0"/>
    <n v="0"/>
    <n v="0"/>
    <n v="0"/>
    <x v="0"/>
    <n v="7"/>
    <n v="0"/>
    <n v="0"/>
    <s v="MMR001CMP237"/>
    <x v="1"/>
    <x v="2"/>
    <x v="2"/>
    <s v=""/>
    <m/>
    <m/>
  </r>
  <r>
    <n v="6.166666666666667"/>
    <d v="2016-04-30T00:00:00"/>
    <x v="0"/>
    <s v="Solidarities"/>
    <s v="Kachin"/>
    <s v="Momauk"/>
    <s v="Loi Je Baptist Church"/>
    <m/>
    <m/>
    <m/>
    <m/>
    <m/>
    <m/>
    <m/>
    <m/>
    <m/>
    <m/>
    <m/>
    <m/>
    <m/>
    <m/>
    <m/>
    <n v="3"/>
    <m/>
    <n v="0"/>
    <n v="0"/>
    <n v="0"/>
    <n v="0"/>
    <n v="0"/>
    <n v="0"/>
    <n v="0"/>
    <n v="0"/>
    <n v="0"/>
    <n v="0"/>
    <n v="0"/>
    <n v="0"/>
    <n v="0"/>
    <n v="0"/>
    <x v="0"/>
    <n v="0"/>
    <n v="3"/>
    <n v="0"/>
    <s v="MMR001CMP071"/>
    <x v="0"/>
    <x v="0"/>
    <x v="1"/>
    <n v="0"/>
    <m/>
    <m/>
  </r>
  <r>
    <n v="6.166666666666667"/>
    <d v="2016-04-30T00:00:00"/>
    <x v="0"/>
    <s v="Solidarities"/>
    <s v="Kachin"/>
    <s v="Momauk"/>
    <s v="Loi Je Baptist Church"/>
    <m/>
    <m/>
    <m/>
    <m/>
    <m/>
    <m/>
    <m/>
    <m/>
    <m/>
    <m/>
    <m/>
    <m/>
    <m/>
    <m/>
    <m/>
    <m/>
    <m/>
    <n v="0"/>
    <n v="0"/>
    <n v="0"/>
    <n v="0"/>
    <n v="0"/>
    <n v="0"/>
    <n v="0"/>
    <n v="0"/>
    <n v="0"/>
    <n v="0"/>
    <n v="0"/>
    <n v="0"/>
    <n v="0"/>
    <n v="0"/>
    <x v="0"/>
    <n v="0"/>
    <n v="0"/>
    <n v="0"/>
    <s v="MMR001CMP071"/>
    <x v="0"/>
    <x v="0"/>
    <x v="1"/>
    <n v="0"/>
    <m/>
    <m/>
  </r>
  <r>
    <n v="6.166666666666667"/>
    <d v="2016-04-30T00:00:00"/>
    <x v="0"/>
    <s v="Solidarities"/>
    <s v="Kachin"/>
    <s v="Momauk"/>
    <s v="Loi Je Catholic Church"/>
    <m/>
    <m/>
    <m/>
    <m/>
    <m/>
    <m/>
    <m/>
    <m/>
    <m/>
    <m/>
    <m/>
    <m/>
    <m/>
    <m/>
    <m/>
    <n v="6"/>
    <m/>
    <n v="0"/>
    <n v="0"/>
    <n v="0"/>
    <n v="0"/>
    <n v="0"/>
    <n v="0"/>
    <n v="0"/>
    <n v="0"/>
    <n v="0"/>
    <n v="0"/>
    <n v="0"/>
    <n v="0"/>
    <n v="0"/>
    <n v="0"/>
    <x v="0"/>
    <n v="0"/>
    <n v="6"/>
    <n v="0"/>
    <s v="MMR001CMP069"/>
    <x v="0"/>
    <x v="0"/>
    <x v="1"/>
    <n v="0"/>
    <m/>
    <m/>
  </r>
  <r>
    <n v="6.166666666666667"/>
    <d v="2016-04-30T00:00:00"/>
    <x v="0"/>
    <s v="Solidarities"/>
    <s v="Kachin"/>
    <s v="Momauk"/>
    <s v="Loi Je Lisu Camp"/>
    <m/>
    <m/>
    <m/>
    <m/>
    <m/>
    <m/>
    <m/>
    <m/>
    <m/>
    <m/>
    <m/>
    <m/>
    <m/>
    <m/>
    <m/>
    <n v="14"/>
    <m/>
    <n v="0"/>
    <n v="0"/>
    <n v="0"/>
    <n v="0"/>
    <n v="0"/>
    <n v="0"/>
    <n v="0"/>
    <n v="0"/>
    <n v="0"/>
    <n v="0"/>
    <n v="0"/>
    <n v="0"/>
    <n v="0"/>
    <n v="0"/>
    <x v="0"/>
    <n v="0"/>
    <n v="14"/>
    <n v="0"/>
    <s v="MMR001CMP070"/>
    <x v="0"/>
    <x v="0"/>
    <x v="1"/>
    <n v="0"/>
    <m/>
    <m/>
  </r>
  <r>
    <n v="6.166666666666667"/>
    <d v="2016-04-30T00:00:00"/>
    <x v="0"/>
    <s v="Solidarities"/>
    <s v="Kachin"/>
    <s v="Momauk"/>
    <s v="Nyaung Na Pin "/>
    <m/>
    <m/>
    <m/>
    <m/>
    <m/>
    <m/>
    <m/>
    <m/>
    <m/>
    <m/>
    <m/>
    <m/>
    <m/>
    <m/>
    <m/>
    <n v="5"/>
    <m/>
    <n v="0"/>
    <n v="0"/>
    <n v="0"/>
    <n v="0"/>
    <n v="0"/>
    <n v="0"/>
    <n v="0"/>
    <n v="0"/>
    <n v="0"/>
    <n v="0"/>
    <n v="0"/>
    <n v="0"/>
    <n v="0"/>
    <n v="0"/>
    <x v="0"/>
    <n v="0"/>
    <n v="5"/>
    <n v="0"/>
    <s v="MMR001CMP072"/>
    <x v="0"/>
    <x v="0"/>
    <x v="1"/>
    <n v="0"/>
    <m/>
    <m/>
  </r>
  <r>
    <n v="6.166666666666667"/>
    <d v="2016-04-30T00:00:00"/>
    <x v="0"/>
    <s v="Solidarities"/>
    <s v="Kachin"/>
    <s v="Momauk"/>
    <s v="Seng Ja "/>
    <m/>
    <m/>
    <m/>
    <m/>
    <m/>
    <m/>
    <m/>
    <m/>
    <m/>
    <m/>
    <m/>
    <m/>
    <m/>
    <m/>
    <m/>
    <n v="4"/>
    <m/>
    <n v="0"/>
    <n v="0"/>
    <n v="0"/>
    <n v="0"/>
    <n v="0"/>
    <n v="0"/>
    <n v="0"/>
    <n v="0"/>
    <n v="0"/>
    <n v="0"/>
    <n v="0"/>
    <n v="0"/>
    <n v="0"/>
    <n v="0"/>
    <x v="0"/>
    <n v="0"/>
    <n v="4"/>
    <n v="0"/>
    <s v="MMR001CMP073"/>
    <x v="0"/>
    <x v="0"/>
    <x v="1"/>
    <n v="0"/>
    <m/>
    <m/>
  </r>
  <r>
    <n v="6.2"/>
    <d v="2016-04-29T00:00:00"/>
    <x v="0"/>
    <s v="Solidarities"/>
    <s v="Kachin"/>
    <s v="Bhamo"/>
    <s v="AD-2000 Tharthana Compound"/>
    <m/>
    <m/>
    <m/>
    <m/>
    <m/>
    <m/>
    <m/>
    <m/>
    <m/>
    <m/>
    <m/>
    <m/>
    <m/>
    <m/>
    <m/>
    <n v="74"/>
    <m/>
    <n v="0"/>
    <n v="0"/>
    <n v="0"/>
    <n v="0"/>
    <n v="0"/>
    <n v="0"/>
    <n v="0"/>
    <n v="0"/>
    <n v="0"/>
    <n v="0"/>
    <n v="0"/>
    <n v="0"/>
    <n v="0"/>
    <n v="0"/>
    <x v="0"/>
    <n v="0"/>
    <n v="74"/>
    <n v="0"/>
    <s v="MMR001CMP050"/>
    <x v="0"/>
    <x v="0"/>
    <x v="0"/>
    <n v="0"/>
    <m/>
    <m/>
  </r>
  <r>
    <n v="6.2"/>
    <d v="2016-04-29T00:00:00"/>
    <x v="0"/>
    <s v="Solidarities"/>
    <s v="Kachin"/>
    <s v="Momauk"/>
    <s v="Edin"/>
    <m/>
    <m/>
    <m/>
    <m/>
    <m/>
    <m/>
    <m/>
    <m/>
    <m/>
    <m/>
    <m/>
    <m/>
    <m/>
    <m/>
    <m/>
    <n v="26"/>
    <m/>
    <n v="0"/>
    <n v="0"/>
    <n v="0"/>
    <n v="0"/>
    <n v="0"/>
    <n v="0"/>
    <n v="0"/>
    <n v="0"/>
    <n v="0"/>
    <n v="0"/>
    <n v="0"/>
    <n v="0"/>
    <n v="0"/>
    <n v="0"/>
    <x v="0"/>
    <n v="0"/>
    <n v="26"/>
    <n v="0"/>
    <s v=""/>
    <x v="3"/>
    <x v="1"/>
    <x v="4"/>
    <s v=""/>
    <m/>
    <m/>
  </r>
  <r>
    <n v="6.2"/>
    <d v="2016-04-29T00:00:00"/>
    <x v="0"/>
    <s v="Solidarities"/>
    <s v="Kachin"/>
    <s v="Momauk"/>
    <s v="Ni Thaw Ka Monestry"/>
    <m/>
    <m/>
    <m/>
    <m/>
    <m/>
    <m/>
    <m/>
    <m/>
    <m/>
    <m/>
    <m/>
    <m/>
    <m/>
    <m/>
    <m/>
    <n v="10"/>
    <m/>
    <n v="0"/>
    <n v="0"/>
    <n v="0"/>
    <n v="0"/>
    <n v="0"/>
    <n v="0"/>
    <n v="0"/>
    <n v="0"/>
    <n v="0"/>
    <n v="0"/>
    <n v="0"/>
    <n v="0"/>
    <n v="0"/>
    <n v="0"/>
    <x v="0"/>
    <n v="0"/>
    <n v="10"/>
    <n v="0"/>
    <s v="MMR001CMP059"/>
    <x v="0"/>
    <x v="2"/>
    <x v="0"/>
    <s v=""/>
    <m/>
    <m/>
  </r>
  <r>
    <n v="6.2"/>
    <d v="2016-04-29T00:00:00"/>
    <x v="0"/>
    <s v="Solidarities"/>
    <s v="Kachin"/>
    <s v="Bhamo"/>
    <s v="Phan Khar Kone"/>
    <m/>
    <m/>
    <m/>
    <m/>
    <m/>
    <m/>
    <m/>
    <m/>
    <m/>
    <m/>
    <m/>
    <m/>
    <m/>
    <m/>
    <m/>
    <n v="48"/>
    <m/>
    <n v="0"/>
    <n v="0"/>
    <n v="0"/>
    <n v="0"/>
    <n v="0"/>
    <n v="0"/>
    <n v="0"/>
    <n v="0"/>
    <n v="0"/>
    <n v="0"/>
    <n v="0"/>
    <n v="0"/>
    <n v="0"/>
    <n v="0"/>
    <x v="0"/>
    <n v="0"/>
    <n v="48"/>
    <n v="0"/>
    <s v="MMR001CMP193"/>
    <x v="0"/>
    <x v="0"/>
    <x v="0"/>
    <n v="0"/>
    <m/>
    <m/>
  </r>
  <r>
    <n v="6.2"/>
    <d v="2016-04-29T00:00:00"/>
    <x v="0"/>
    <s v="Solidarities"/>
    <s v="Kachin"/>
    <s v="Bhamo"/>
    <s v="Robert Church"/>
    <m/>
    <m/>
    <m/>
    <m/>
    <m/>
    <m/>
    <m/>
    <m/>
    <m/>
    <m/>
    <m/>
    <m/>
    <m/>
    <m/>
    <m/>
    <n v="152"/>
    <m/>
    <n v="0"/>
    <n v="0"/>
    <n v="0"/>
    <n v="0"/>
    <n v="0"/>
    <n v="0"/>
    <n v="0"/>
    <n v="0"/>
    <n v="0"/>
    <n v="0"/>
    <n v="0"/>
    <n v="0"/>
    <n v="0"/>
    <n v="0"/>
    <x v="0"/>
    <n v="0"/>
    <n v="152"/>
    <n v="0"/>
    <s v="MMR001CMP047"/>
    <x v="0"/>
    <x v="0"/>
    <x v="0"/>
    <n v="0"/>
    <m/>
    <m/>
  </r>
  <r>
    <n v="6.2"/>
    <d v="2016-04-29T00:00:00"/>
    <x v="0"/>
    <s v="Solidarities"/>
    <s v="Kachin"/>
    <s v="Bhamo"/>
    <s v="Ta Gun Taing Monastery (Shwe Kyi Na)"/>
    <m/>
    <m/>
    <m/>
    <m/>
    <m/>
    <m/>
    <m/>
    <m/>
    <m/>
    <m/>
    <m/>
    <m/>
    <m/>
    <m/>
    <m/>
    <n v="10"/>
    <m/>
    <n v="0"/>
    <n v="0"/>
    <n v="0"/>
    <n v="0"/>
    <n v="0"/>
    <n v="0"/>
    <n v="0"/>
    <n v="0"/>
    <n v="0"/>
    <n v="0"/>
    <n v="0"/>
    <n v="0"/>
    <n v="0"/>
    <n v="0"/>
    <x v="0"/>
    <n v="0"/>
    <n v="10"/>
    <n v="0"/>
    <s v="MMR001CMP055"/>
    <x v="0"/>
    <x v="0"/>
    <x v="0"/>
    <n v="0"/>
    <m/>
    <m/>
  </r>
  <r>
    <n v="6.8"/>
    <d v="2016-04-11T00:00:00"/>
    <x v="1"/>
    <s v="KBC"/>
    <s v="Shan_North"/>
    <s v="Namhkan"/>
    <s v="Mine Wee (Man Jan)"/>
    <m/>
    <m/>
    <m/>
    <n v="126"/>
    <m/>
    <n v="126"/>
    <n v="64"/>
    <m/>
    <m/>
    <n v="122"/>
    <m/>
    <m/>
    <m/>
    <m/>
    <n v="64"/>
    <m/>
    <m/>
    <n v="0"/>
    <n v="0"/>
    <n v="0"/>
    <n v="126"/>
    <n v="0"/>
    <n v="126"/>
    <n v="64"/>
    <n v="0"/>
    <n v="0"/>
    <n v="305"/>
    <n v="0"/>
    <n v="0"/>
    <n v="0"/>
    <n v="0"/>
    <x v="0"/>
    <n v="64"/>
    <n v="0"/>
    <n v="0"/>
    <s v=""/>
    <x v="3"/>
    <x v="1"/>
    <x v="4"/>
    <s v=""/>
    <m/>
    <m/>
  </r>
  <r>
    <n v="6.9"/>
    <d v="2016-04-08T00:00:00"/>
    <x v="1"/>
    <s v="KBC"/>
    <s v="Kachin"/>
    <s v="Bhamo"/>
    <s v="Lisu Boarding-House"/>
    <m/>
    <m/>
    <m/>
    <m/>
    <n v="10"/>
    <m/>
    <m/>
    <m/>
    <m/>
    <m/>
    <m/>
    <m/>
    <m/>
    <m/>
    <m/>
    <m/>
    <m/>
    <n v="0"/>
    <n v="0"/>
    <n v="0"/>
    <n v="0"/>
    <n v="10"/>
    <n v="0"/>
    <n v="0"/>
    <n v="0"/>
    <n v="0"/>
    <n v="0"/>
    <n v="0"/>
    <n v="0"/>
    <n v="0"/>
    <n v="0"/>
    <x v="0"/>
    <n v="0"/>
    <n v="0"/>
    <n v="0"/>
    <s v="MMR001CMP049"/>
    <x v="0"/>
    <x v="0"/>
    <x v="0"/>
    <n v="0"/>
    <m/>
    <m/>
  </r>
  <r>
    <n v="7.166666666666667"/>
    <d v="2016-03-31T00:00:00"/>
    <x v="1"/>
    <s v="Shalom"/>
    <s v="Kachin"/>
    <s v="Bhamo"/>
    <s v="Mu-yin Baptist Church"/>
    <m/>
    <m/>
    <m/>
    <m/>
    <n v="4"/>
    <m/>
    <m/>
    <m/>
    <m/>
    <m/>
    <m/>
    <m/>
    <m/>
    <m/>
    <m/>
    <m/>
    <m/>
    <n v="0"/>
    <n v="0"/>
    <n v="0"/>
    <n v="0"/>
    <n v="4"/>
    <n v="0"/>
    <n v="0"/>
    <n v="0"/>
    <n v="0"/>
    <n v="0"/>
    <n v="0"/>
    <n v="0"/>
    <n v="0"/>
    <n v="0"/>
    <x v="0"/>
    <n v="0"/>
    <n v="0"/>
    <n v="0"/>
    <s v="MMR001CMP051"/>
    <x v="0"/>
    <x v="0"/>
    <x v="0"/>
    <n v="0"/>
    <m/>
    <m/>
  </r>
  <r>
    <n v="7.6333333333333337"/>
    <d v="2016-03-17T00:00:00"/>
    <x v="0"/>
    <s v="Solidarities"/>
    <s v="Kachin"/>
    <s v="Bhamo"/>
    <s v="Robert Church"/>
    <m/>
    <m/>
    <m/>
    <m/>
    <m/>
    <m/>
    <m/>
    <m/>
    <m/>
    <m/>
    <m/>
    <m/>
    <m/>
    <m/>
    <n v="1"/>
    <m/>
    <m/>
    <n v="0"/>
    <n v="0"/>
    <n v="0"/>
    <n v="0"/>
    <n v="0"/>
    <n v="0"/>
    <n v="0"/>
    <n v="0"/>
    <n v="0"/>
    <n v="0"/>
    <n v="0"/>
    <n v="0"/>
    <n v="0"/>
    <n v="0"/>
    <x v="0"/>
    <n v="1"/>
    <n v="0"/>
    <n v="0"/>
    <s v="MMR001CMP047"/>
    <x v="0"/>
    <x v="0"/>
    <x v="0"/>
    <n v="0"/>
    <m/>
    <m/>
  </r>
  <r>
    <n v="7.666666666666667"/>
    <d v="2016-03-16T00:00:00"/>
    <x v="0"/>
    <s v="Solidarities"/>
    <s v="Kachin"/>
    <s v="Momauk"/>
    <s v="Ni Thaw Ka Monestry"/>
    <m/>
    <m/>
    <m/>
    <m/>
    <m/>
    <m/>
    <m/>
    <m/>
    <m/>
    <m/>
    <m/>
    <m/>
    <m/>
    <m/>
    <n v="1"/>
    <m/>
    <m/>
    <n v="0"/>
    <n v="0"/>
    <n v="0"/>
    <n v="0"/>
    <n v="0"/>
    <n v="0"/>
    <n v="0"/>
    <n v="0"/>
    <n v="0"/>
    <n v="0"/>
    <n v="0"/>
    <n v="0"/>
    <n v="0"/>
    <n v="0"/>
    <x v="0"/>
    <n v="1"/>
    <n v="0"/>
    <n v="0"/>
    <s v="MMR001CMP059"/>
    <x v="0"/>
    <x v="2"/>
    <x v="0"/>
    <s v=""/>
    <m/>
    <m/>
  </r>
  <r>
    <n v="7.666666666666667"/>
    <d v="2016-03-16T00:00:00"/>
    <x v="0"/>
    <s v="Solidarities"/>
    <s v="Kachin"/>
    <s v="Bhamo"/>
    <s v="Phan Khar Kone"/>
    <m/>
    <m/>
    <m/>
    <m/>
    <m/>
    <m/>
    <m/>
    <m/>
    <m/>
    <m/>
    <m/>
    <m/>
    <m/>
    <m/>
    <n v="4"/>
    <m/>
    <m/>
    <n v="0"/>
    <n v="0"/>
    <n v="0"/>
    <n v="0"/>
    <n v="0"/>
    <n v="0"/>
    <n v="0"/>
    <n v="0"/>
    <n v="0"/>
    <n v="0"/>
    <n v="0"/>
    <n v="0"/>
    <n v="0"/>
    <n v="0"/>
    <x v="0"/>
    <n v="4"/>
    <n v="0"/>
    <n v="0"/>
    <s v="MMR001CMP193"/>
    <x v="0"/>
    <x v="0"/>
    <x v="0"/>
    <n v="0"/>
    <m/>
    <m/>
  </r>
  <r>
    <n v="7.9333333333333336"/>
    <d v="2016-03-08T00:00:00"/>
    <x v="1"/>
    <s v="KMSS_LSO"/>
    <s v="Shan_North"/>
    <s v="Kutkai"/>
    <m/>
    <m/>
    <m/>
    <m/>
    <n v="600"/>
    <m/>
    <m/>
    <m/>
    <m/>
    <m/>
    <m/>
    <m/>
    <m/>
    <m/>
    <m/>
    <m/>
    <m/>
    <m/>
    <n v="0"/>
    <n v="0"/>
    <n v="0"/>
    <n v="600"/>
    <n v="0"/>
    <n v="0"/>
    <n v="0"/>
    <n v="0"/>
    <n v="0"/>
    <n v="0"/>
    <n v="0"/>
    <n v="0"/>
    <n v="0"/>
    <n v="0"/>
    <x v="0"/>
    <n v="0"/>
    <n v="0"/>
    <n v="0"/>
    <s v=""/>
    <x v="3"/>
    <x v="1"/>
    <x v="4"/>
    <s v=""/>
    <m/>
    <s v="For Kyauk Mae Areas. Mosquito 650 pcs transported to Shan but 600 pcs are distributed through RRD and KMSS-Lashio to 12 camp-like setting areas and 50 pcs are returned back to UNHCR Myitkyina warehouse. "/>
  </r>
  <r>
    <n v="8.1999999999999993"/>
    <d v="2016-02-29T00:00:00"/>
    <x v="0"/>
    <s v="Solidarities"/>
    <s v="Kachin"/>
    <s v="Momauk"/>
    <s v="Edin"/>
    <m/>
    <m/>
    <m/>
    <m/>
    <m/>
    <m/>
    <m/>
    <m/>
    <m/>
    <m/>
    <m/>
    <m/>
    <m/>
    <m/>
    <m/>
    <m/>
    <m/>
    <n v="0"/>
    <n v="0"/>
    <n v="0"/>
    <n v="0"/>
    <n v="0"/>
    <n v="0"/>
    <n v="0"/>
    <n v="0"/>
    <n v="0"/>
    <n v="0"/>
    <n v="0"/>
    <n v="0"/>
    <n v="0"/>
    <n v="0"/>
    <x v="0"/>
    <n v="0"/>
    <n v="0"/>
    <n v="0"/>
    <s v=""/>
    <x v="3"/>
    <x v="1"/>
    <x v="4"/>
    <s v=""/>
    <m/>
    <m/>
  </r>
  <r>
    <n v="8.1999999999999993"/>
    <d v="2016-02-29T00:00:00"/>
    <x v="0"/>
    <s v="Solidarities"/>
    <s v="Kachin"/>
    <s v="Momauk"/>
    <s v="Ni Thaw Ka Monestry"/>
    <m/>
    <m/>
    <m/>
    <m/>
    <m/>
    <m/>
    <m/>
    <m/>
    <m/>
    <m/>
    <m/>
    <m/>
    <m/>
    <m/>
    <m/>
    <m/>
    <m/>
    <n v="0"/>
    <n v="0"/>
    <n v="0"/>
    <n v="0"/>
    <n v="0"/>
    <n v="0"/>
    <n v="0"/>
    <n v="0"/>
    <n v="0"/>
    <n v="0"/>
    <n v="0"/>
    <n v="0"/>
    <n v="0"/>
    <n v="0"/>
    <x v="0"/>
    <n v="0"/>
    <n v="0"/>
    <n v="0"/>
    <s v="MMR001CMP059"/>
    <x v="0"/>
    <x v="2"/>
    <x v="0"/>
    <s v=""/>
    <m/>
    <m/>
  </r>
  <r>
    <n v="8.2333333333333325"/>
    <d v="2016-02-28T00:00:00"/>
    <x v="1"/>
    <s v="KBC"/>
    <s v="Kachin"/>
    <s v="Chipwi"/>
    <s v="Hpare Hkyer - BP6"/>
    <m/>
    <m/>
    <m/>
    <m/>
    <m/>
    <n v="345"/>
    <m/>
    <m/>
    <m/>
    <m/>
    <m/>
    <n v="765"/>
    <m/>
    <m/>
    <m/>
    <m/>
    <m/>
    <n v="0"/>
    <n v="0"/>
    <n v="0"/>
    <n v="0"/>
    <n v="0"/>
    <n v="345"/>
    <n v="0"/>
    <n v="0"/>
    <n v="0"/>
    <n v="0"/>
    <n v="0"/>
    <n v="765"/>
    <n v="0"/>
    <n v="0"/>
    <x v="2"/>
    <n v="0"/>
    <n v="0"/>
    <n v="0"/>
    <s v="MMR001CMP043"/>
    <x v="0"/>
    <x v="0"/>
    <x v="5"/>
    <n v="0"/>
    <m/>
    <m/>
  </r>
  <r>
    <n v="8.2666666666666675"/>
    <d v="2016-02-27T00:00:00"/>
    <x v="1"/>
    <s v="KBC"/>
    <s v="Kachin"/>
    <s v="Waingmaw"/>
    <s v="Hpare Hkyer - BP6"/>
    <m/>
    <m/>
    <m/>
    <m/>
    <m/>
    <m/>
    <m/>
    <m/>
    <m/>
    <m/>
    <n v="380"/>
    <n v="380"/>
    <m/>
    <m/>
    <m/>
    <m/>
    <m/>
    <n v="0"/>
    <n v="0"/>
    <n v="0"/>
    <n v="0"/>
    <n v="0"/>
    <n v="0"/>
    <n v="0"/>
    <n v="0"/>
    <n v="0"/>
    <n v="0"/>
    <n v="380"/>
    <n v="380"/>
    <n v="0"/>
    <n v="0"/>
    <x v="2"/>
    <n v="0"/>
    <n v="0"/>
    <n v="0"/>
    <s v="MMR001CMP043"/>
    <x v="0"/>
    <x v="0"/>
    <x v="5"/>
    <n v="0"/>
    <m/>
    <s v="13/May/16 (Hpare camp received only winter clothes)_x000a_For Pajau camp and Hpare camp, items transported by UNHCR laiza mission team and further distributed by KBC -&gt; 365 pcs of blackets, Fleece jackets for female (M) = 300 pcs, Fleece jackets for  female (L) = 160 pcs, "/>
  </r>
  <r>
    <n v="8.2666666666666675"/>
    <d v="2016-02-27T00:00:00"/>
    <x v="1"/>
    <s v="KBC"/>
    <s v="Kachin"/>
    <s v="Waingmaw"/>
    <s v="Pajau - Jan Mai"/>
    <m/>
    <m/>
    <m/>
    <m/>
    <m/>
    <m/>
    <m/>
    <m/>
    <m/>
    <m/>
    <n v="330"/>
    <n v="330"/>
    <m/>
    <n v="346"/>
    <m/>
    <m/>
    <m/>
    <n v="0"/>
    <n v="0"/>
    <n v="0"/>
    <n v="0"/>
    <n v="0"/>
    <n v="0"/>
    <n v="0"/>
    <n v="0"/>
    <n v="0"/>
    <n v="0"/>
    <n v="330"/>
    <n v="330"/>
    <n v="0"/>
    <n v="346"/>
    <x v="2"/>
    <n v="0"/>
    <n v="0"/>
    <n v="0"/>
    <s v="MMR001CMP120"/>
    <x v="0"/>
    <x v="0"/>
    <x v="5"/>
    <n v="0"/>
    <m/>
    <s v="Pajau camp received both winter itmes and blankets"/>
  </r>
  <r>
    <n v="8.2666666666666675"/>
    <d v="2016-02-27T00:00:00"/>
    <x v="1"/>
    <s v="KBC"/>
    <s v="Kachin"/>
    <s v="Waingmaw"/>
    <s v="Pajau - Jan Mai"/>
    <m/>
    <m/>
    <m/>
    <m/>
    <m/>
    <n v="670"/>
    <m/>
    <m/>
    <n v="345"/>
    <m/>
    <m/>
    <m/>
    <m/>
    <m/>
    <m/>
    <m/>
    <m/>
    <n v="0"/>
    <n v="0"/>
    <n v="0"/>
    <n v="0"/>
    <n v="0"/>
    <n v="670"/>
    <n v="0"/>
    <n v="0"/>
    <n v="345"/>
    <n v="0"/>
    <n v="0"/>
    <n v="0"/>
    <n v="0"/>
    <n v="0"/>
    <x v="0"/>
    <n v="0"/>
    <n v="0"/>
    <n v="0"/>
    <s v="MMR001CMP120"/>
    <x v="0"/>
    <x v="0"/>
    <x v="5"/>
    <n v="0"/>
    <m/>
    <m/>
  </r>
  <r>
    <n v="8.3000000000000007"/>
    <d v="2016-02-26T00:00:00"/>
    <x v="0"/>
    <s v="Solidarities"/>
    <s v="Kachin"/>
    <s v="Bhamo"/>
    <s v="AD-2000 Tharthana Compound"/>
    <m/>
    <m/>
    <m/>
    <m/>
    <m/>
    <m/>
    <m/>
    <m/>
    <m/>
    <m/>
    <m/>
    <m/>
    <m/>
    <m/>
    <m/>
    <m/>
    <m/>
    <n v="0"/>
    <n v="0"/>
    <n v="0"/>
    <n v="0"/>
    <n v="0"/>
    <n v="0"/>
    <n v="0"/>
    <n v="0"/>
    <n v="0"/>
    <n v="0"/>
    <n v="0"/>
    <n v="0"/>
    <n v="0"/>
    <n v="0"/>
    <x v="0"/>
    <n v="0"/>
    <n v="0"/>
    <n v="0"/>
    <s v="MMR001CMP050"/>
    <x v="0"/>
    <x v="0"/>
    <x v="0"/>
    <n v="0"/>
    <m/>
    <m/>
  </r>
  <r>
    <n v="8.3000000000000007"/>
    <d v="2016-02-26T00:00:00"/>
    <x v="0"/>
    <s v="Solidarities"/>
    <s v="Kachin"/>
    <s v="Bhamo"/>
    <s v="Ta Gun Taing Monastery (Shwe Kyi Na)"/>
    <m/>
    <m/>
    <m/>
    <m/>
    <m/>
    <m/>
    <m/>
    <m/>
    <m/>
    <m/>
    <m/>
    <m/>
    <m/>
    <m/>
    <m/>
    <m/>
    <m/>
    <n v="0"/>
    <n v="0"/>
    <n v="0"/>
    <n v="0"/>
    <n v="0"/>
    <n v="0"/>
    <n v="0"/>
    <n v="0"/>
    <n v="0"/>
    <n v="0"/>
    <n v="0"/>
    <n v="0"/>
    <n v="0"/>
    <n v="0"/>
    <x v="0"/>
    <n v="0"/>
    <n v="0"/>
    <n v="0"/>
    <s v="MMR001CMP055"/>
    <x v="0"/>
    <x v="0"/>
    <x v="0"/>
    <n v="0"/>
    <m/>
    <m/>
  </r>
  <r>
    <n v="8.3333333333333339"/>
    <d v="2016-02-25T00:00:00"/>
    <x v="0"/>
    <s v="Solidarities"/>
    <s v="Kachin"/>
    <s v="Bhamo"/>
    <s v="Phan Khar Kone"/>
    <m/>
    <m/>
    <m/>
    <m/>
    <m/>
    <m/>
    <m/>
    <m/>
    <m/>
    <m/>
    <m/>
    <m/>
    <m/>
    <m/>
    <m/>
    <m/>
    <m/>
    <n v="0"/>
    <n v="0"/>
    <n v="0"/>
    <n v="0"/>
    <n v="0"/>
    <n v="0"/>
    <n v="0"/>
    <n v="0"/>
    <n v="0"/>
    <n v="0"/>
    <n v="0"/>
    <n v="0"/>
    <n v="0"/>
    <n v="0"/>
    <x v="0"/>
    <n v="0"/>
    <n v="0"/>
    <n v="0"/>
    <s v="MMR001CMP193"/>
    <x v="0"/>
    <x v="0"/>
    <x v="0"/>
    <n v="0"/>
    <m/>
    <m/>
  </r>
  <r>
    <n v="8.3333333333333339"/>
    <d v="2016-02-25T00:00:00"/>
    <x v="0"/>
    <s v="Solidarities"/>
    <s v="Kachin"/>
    <s v="Bhamo"/>
    <s v="Robert Church"/>
    <m/>
    <m/>
    <m/>
    <m/>
    <m/>
    <m/>
    <m/>
    <m/>
    <m/>
    <m/>
    <m/>
    <m/>
    <m/>
    <m/>
    <m/>
    <m/>
    <m/>
    <n v="0"/>
    <n v="0"/>
    <n v="0"/>
    <n v="0"/>
    <n v="0"/>
    <n v="0"/>
    <n v="0"/>
    <n v="0"/>
    <n v="0"/>
    <n v="0"/>
    <n v="0"/>
    <n v="0"/>
    <n v="0"/>
    <n v="0"/>
    <x v="0"/>
    <n v="0"/>
    <n v="0"/>
    <n v="0"/>
    <s v="MMR001CMP047"/>
    <x v="0"/>
    <x v="0"/>
    <x v="0"/>
    <n v="0"/>
    <m/>
    <m/>
  </r>
  <r>
    <n v="8.3666666666666671"/>
    <d v="2016-02-24T00:00:00"/>
    <x v="0"/>
    <s v="KBC"/>
    <s v="Kachin"/>
    <s v="Momauk"/>
    <s v="Je Yang Hka "/>
    <m/>
    <m/>
    <m/>
    <m/>
    <m/>
    <m/>
    <m/>
    <m/>
    <m/>
    <m/>
    <m/>
    <m/>
    <m/>
    <m/>
    <m/>
    <m/>
    <m/>
    <n v="0"/>
    <n v="0"/>
    <n v="0"/>
    <n v="0"/>
    <n v="0"/>
    <n v="0"/>
    <n v="0"/>
    <n v="0"/>
    <n v="0"/>
    <n v="0"/>
    <n v="0"/>
    <n v="0"/>
    <n v="0"/>
    <n v="0"/>
    <x v="0"/>
    <n v="0"/>
    <n v="0"/>
    <n v="0"/>
    <s v="MMR001CMP121"/>
    <x v="0"/>
    <x v="0"/>
    <x v="6"/>
    <n v="0"/>
    <m/>
    <m/>
  </r>
  <r>
    <n v="8.4"/>
    <d v="2016-02-23T00:00:00"/>
    <x v="0"/>
    <s v="KBC"/>
    <s v="Kachin"/>
    <s v="Momauk"/>
    <s v="Je Yang Hka "/>
    <m/>
    <m/>
    <n v="1807"/>
    <m/>
    <m/>
    <m/>
    <m/>
    <m/>
    <m/>
    <m/>
    <m/>
    <m/>
    <m/>
    <m/>
    <m/>
    <m/>
    <m/>
    <n v="0"/>
    <n v="0"/>
    <n v="1807"/>
    <n v="0"/>
    <n v="0"/>
    <n v="0"/>
    <n v="0"/>
    <n v="0"/>
    <n v="0"/>
    <n v="0"/>
    <n v="0"/>
    <n v="0"/>
    <n v="0"/>
    <n v="0"/>
    <x v="0"/>
    <n v="0"/>
    <n v="0"/>
    <n v="0"/>
    <s v="MMR001CMP121"/>
    <x v="0"/>
    <x v="0"/>
    <x v="6"/>
    <n v="0"/>
    <m/>
    <m/>
  </r>
  <r>
    <n v="8.4333333333333336"/>
    <d v="2016-02-22T00:00:00"/>
    <x v="1"/>
    <s v="KBC"/>
    <s v="Shan_North"/>
    <s v="Kutkai"/>
    <m/>
    <m/>
    <m/>
    <m/>
    <m/>
    <m/>
    <m/>
    <m/>
    <m/>
    <m/>
    <m/>
    <m/>
    <m/>
    <m/>
    <m/>
    <m/>
    <m/>
    <n v="71"/>
    <n v="0"/>
    <n v="0"/>
    <n v="0"/>
    <n v="0"/>
    <n v="0"/>
    <n v="0"/>
    <n v="0"/>
    <n v="0"/>
    <n v="0"/>
    <n v="0"/>
    <n v="0"/>
    <n v="0"/>
    <n v="0"/>
    <n v="0"/>
    <x v="0"/>
    <n v="0"/>
    <n v="0"/>
    <n v="71"/>
    <s v=""/>
    <x v="3"/>
    <x v="1"/>
    <x v="4"/>
    <s v=""/>
    <m/>
    <s v="For Mang Wee villagers. 'KBC-Muse released family tents from their stock for this distribution"/>
  </r>
  <r>
    <n v="8.9"/>
    <d v="2016-02-08T00:00:00"/>
    <x v="0"/>
    <s v="Solidarities"/>
    <s v="Kachin"/>
    <s v="Momauk"/>
    <s v="Nyaung Na Pin "/>
    <m/>
    <m/>
    <n v="82"/>
    <m/>
    <m/>
    <m/>
    <m/>
    <m/>
    <m/>
    <m/>
    <m/>
    <m/>
    <m/>
    <m/>
    <m/>
    <m/>
    <m/>
    <n v="0"/>
    <n v="0"/>
    <n v="82"/>
    <n v="0"/>
    <n v="0"/>
    <n v="0"/>
    <n v="0"/>
    <n v="0"/>
    <n v="0"/>
    <n v="0"/>
    <n v="0"/>
    <n v="0"/>
    <n v="0"/>
    <n v="0"/>
    <x v="0"/>
    <n v="0"/>
    <n v="0"/>
    <n v="0"/>
    <s v="MMR001CMP072"/>
    <x v="0"/>
    <x v="0"/>
    <x v="1"/>
    <n v="0"/>
    <m/>
    <m/>
  </r>
  <r>
    <n v="8.9"/>
    <d v="2016-02-08T00:00:00"/>
    <x v="0"/>
    <s v="Solidarities"/>
    <s v="Kachin"/>
    <s v="Bhamo"/>
    <s v="Robert Church"/>
    <m/>
    <m/>
    <n v="996"/>
    <m/>
    <m/>
    <m/>
    <m/>
    <m/>
    <m/>
    <m/>
    <m/>
    <m/>
    <m/>
    <m/>
    <m/>
    <m/>
    <m/>
    <n v="0"/>
    <n v="0"/>
    <n v="996"/>
    <n v="0"/>
    <n v="0"/>
    <n v="0"/>
    <n v="0"/>
    <n v="0"/>
    <n v="0"/>
    <n v="0"/>
    <n v="0"/>
    <n v="0"/>
    <n v="0"/>
    <n v="0"/>
    <x v="0"/>
    <n v="0"/>
    <n v="0"/>
    <n v="0"/>
    <s v="MMR001CMP047"/>
    <x v="0"/>
    <x v="0"/>
    <x v="0"/>
    <n v="0"/>
    <m/>
    <m/>
  </r>
  <r>
    <n v="8.9"/>
    <d v="2016-02-08T00:00:00"/>
    <x v="0"/>
    <s v="Solidarities"/>
    <s v="Kachin"/>
    <s v="Momauk"/>
    <s v="Seng Ja "/>
    <m/>
    <m/>
    <n v="62"/>
    <m/>
    <m/>
    <m/>
    <m/>
    <m/>
    <m/>
    <m/>
    <m/>
    <m/>
    <m/>
    <m/>
    <m/>
    <m/>
    <m/>
    <n v="0"/>
    <n v="0"/>
    <n v="62"/>
    <n v="0"/>
    <n v="0"/>
    <n v="0"/>
    <n v="0"/>
    <n v="0"/>
    <n v="0"/>
    <n v="0"/>
    <n v="0"/>
    <n v="0"/>
    <n v="0"/>
    <n v="0"/>
    <x v="0"/>
    <n v="0"/>
    <n v="0"/>
    <n v="0"/>
    <s v="MMR001CMP073"/>
    <x v="0"/>
    <x v="0"/>
    <x v="1"/>
    <n v="0"/>
    <m/>
    <m/>
  </r>
  <r>
    <n v="9"/>
    <d v="2016-02-05T00:00:00"/>
    <x v="0"/>
    <s v="Solidarities"/>
    <s v="Kachin"/>
    <s v="Momauk"/>
    <s v="Loi Je Lisu Camp"/>
    <m/>
    <m/>
    <n v="258"/>
    <m/>
    <m/>
    <m/>
    <m/>
    <m/>
    <m/>
    <m/>
    <m/>
    <m/>
    <m/>
    <m/>
    <m/>
    <m/>
    <m/>
    <n v="0"/>
    <n v="0"/>
    <n v="258"/>
    <n v="0"/>
    <n v="0"/>
    <n v="0"/>
    <n v="0"/>
    <n v="0"/>
    <n v="0"/>
    <n v="0"/>
    <n v="0"/>
    <n v="0"/>
    <n v="0"/>
    <n v="0"/>
    <x v="0"/>
    <n v="0"/>
    <n v="0"/>
    <n v="0"/>
    <s v="MMR001CMP070"/>
    <x v="0"/>
    <x v="0"/>
    <x v="1"/>
    <n v="0"/>
    <m/>
    <m/>
  </r>
  <r>
    <n v="9.0333333333333332"/>
    <d v="2016-02-04T00:00:00"/>
    <x v="0"/>
    <s v="Solidarities"/>
    <s v="Kachin"/>
    <s v="Momauk"/>
    <s v="Edin"/>
    <m/>
    <m/>
    <n v="96"/>
    <m/>
    <m/>
    <m/>
    <m/>
    <m/>
    <m/>
    <m/>
    <m/>
    <m/>
    <m/>
    <m/>
    <m/>
    <m/>
    <m/>
    <n v="0"/>
    <n v="0"/>
    <n v="96"/>
    <n v="0"/>
    <n v="0"/>
    <n v="0"/>
    <n v="0"/>
    <n v="0"/>
    <n v="0"/>
    <n v="0"/>
    <n v="0"/>
    <n v="0"/>
    <n v="0"/>
    <n v="0"/>
    <x v="0"/>
    <n v="0"/>
    <n v="0"/>
    <n v="0"/>
    <s v=""/>
    <x v="3"/>
    <x v="1"/>
    <x v="4"/>
    <s v=""/>
    <m/>
    <m/>
  </r>
  <r>
    <n v="9.0333333333333332"/>
    <d v="2016-02-04T00:00:00"/>
    <x v="0"/>
    <s v="Solidarities"/>
    <s v="Kachin"/>
    <s v="Momauk"/>
    <s v="Loi Je Baptist Church"/>
    <m/>
    <m/>
    <n v="55"/>
    <m/>
    <m/>
    <m/>
    <m/>
    <m/>
    <m/>
    <m/>
    <m/>
    <m/>
    <m/>
    <m/>
    <m/>
    <m/>
    <m/>
    <n v="0"/>
    <n v="0"/>
    <n v="55"/>
    <n v="0"/>
    <n v="0"/>
    <n v="0"/>
    <n v="0"/>
    <n v="0"/>
    <n v="0"/>
    <n v="0"/>
    <n v="0"/>
    <n v="0"/>
    <n v="0"/>
    <n v="0"/>
    <x v="0"/>
    <n v="0"/>
    <n v="0"/>
    <n v="0"/>
    <s v="MMR001CMP071"/>
    <x v="0"/>
    <x v="0"/>
    <x v="1"/>
    <n v="0"/>
    <m/>
    <m/>
  </r>
  <r>
    <n v="9.0333333333333332"/>
    <d v="2016-02-04T00:00:00"/>
    <x v="0"/>
    <s v="Solidarities"/>
    <s v="Kachin"/>
    <s v="Momauk"/>
    <s v="Loi Je Baptist Church"/>
    <m/>
    <m/>
    <m/>
    <m/>
    <m/>
    <m/>
    <m/>
    <m/>
    <m/>
    <m/>
    <m/>
    <m/>
    <m/>
    <m/>
    <m/>
    <m/>
    <m/>
    <n v="0"/>
    <n v="0"/>
    <n v="0"/>
    <n v="0"/>
    <n v="0"/>
    <n v="0"/>
    <n v="0"/>
    <n v="0"/>
    <n v="0"/>
    <n v="0"/>
    <n v="0"/>
    <n v="0"/>
    <n v="0"/>
    <n v="0"/>
    <x v="0"/>
    <n v="0"/>
    <n v="0"/>
    <n v="0"/>
    <s v="MMR001CMP071"/>
    <x v="0"/>
    <x v="0"/>
    <x v="1"/>
    <n v="0"/>
    <m/>
    <m/>
  </r>
  <r>
    <n v="9.0333333333333332"/>
    <d v="2016-02-04T00:00:00"/>
    <x v="0"/>
    <s v="Solidarities"/>
    <s v="Kachin"/>
    <s v="Momauk"/>
    <s v="Loi Je Catholic Church"/>
    <m/>
    <m/>
    <n v="71"/>
    <m/>
    <m/>
    <m/>
    <m/>
    <m/>
    <m/>
    <m/>
    <m/>
    <m/>
    <m/>
    <m/>
    <m/>
    <m/>
    <m/>
    <n v="0"/>
    <n v="0"/>
    <n v="71"/>
    <n v="0"/>
    <n v="0"/>
    <n v="0"/>
    <n v="0"/>
    <n v="0"/>
    <n v="0"/>
    <n v="0"/>
    <n v="0"/>
    <n v="0"/>
    <n v="0"/>
    <n v="0"/>
    <x v="0"/>
    <n v="0"/>
    <n v="0"/>
    <n v="0"/>
    <s v="MMR001CMP069"/>
    <x v="0"/>
    <x v="0"/>
    <x v="1"/>
    <n v="0"/>
    <m/>
    <m/>
  </r>
  <r>
    <n v="9.0333333333333332"/>
    <d v="2016-02-04T00:00:00"/>
    <x v="0"/>
    <s v="Solidarities"/>
    <s v="Kachin"/>
    <s v="Momauk"/>
    <s v="Ni Thaw Ka Monestry"/>
    <m/>
    <m/>
    <n v="33"/>
    <m/>
    <m/>
    <m/>
    <m/>
    <m/>
    <m/>
    <m/>
    <m/>
    <m/>
    <m/>
    <m/>
    <m/>
    <m/>
    <m/>
    <n v="0"/>
    <n v="0"/>
    <n v="33"/>
    <n v="0"/>
    <n v="0"/>
    <n v="0"/>
    <n v="0"/>
    <n v="0"/>
    <n v="0"/>
    <n v="0"/>
    <n v="0"/>
    <n v="0"/>
    <n v="0"/>
    <n v="0"/>
    <x v="0"/>
    <n v="0"/>
    <n v="0"/>
    <n v="0"/>
    <s v="MMR001CMP059"/>
    <x v="0"/>
    <x v="2"/>
    <x v="0"/>
    <s v=""/>
    <m/>
    <m/>
  </r>
  <r>
    <n v="9.0333333333333332"/>
    <d v="2016-02-04T00:00:00"/>
    <x v="0"/>
    <s v="Solidarities"/>
    <s v="Kachin"/>
    <s v="Bhamo"/>
    <s v="Ta Gun Taing Monastery (Shwe Kyi Na)"/>
    <m/>
    <m/>
    <n v="29"/>
    <m/>
    <m/>
    <m/>
    <m/>
    <m/>
    <m/>
    <m/>
    <m/>
    <m/>
    <m/>
    <m/>
    <m/>
    <m/>
    <m/>
    <n v="0"/>
    <n v="0"/>
    <n v="29"/>
    <n v="0"/>
    <n v="0"/>
    <n v="0"/>
    <n v="0"/>
    <n v="0"/>
    <n v="0"/>
    <n v="0"/>
    <n v="0"/>
    <n v="0"/>
    <n v="0"/>
    <n v="0"/>
    <x v="0"/>
    <n v="0"/>
    <n v="0"/>
    <n v="0"/>
    <s v="MMR001CMP055"/>
    <x v="0"/>
    <x v="0"/>
    <x v="0"/>
    <n v="0"/>
    <m/>
    <m/>
  </r>
  <r>
    <n v="9.1"/>
    <d v="2016-02-02T00:00:00"/>
    <x v="0"/>
    <s v="Solidarities"/>
    <s v="Kachin"/>
    <s v="Bhamo"/>
    <s v="AD-2000 Tharthana Compound"/>
    <m/>
    <m/>
    <n v="310"/>
    <m/>
    <m/>
    <m/>
    <m/>
    <m/>
    <m/>
    <m/>
    <m/>
    <m/>
    <m/>
    <m/>
    <m/>
    <m/>
    <m/>
    <n v="0"/>
    <n v="0"/>
    <n v="310"/>
    <n v="0"/>
    <n v="0"/>
    <n v="0"/>
    <n v="0"/>
    <n v="0"/>
    <n v="0"/>
    <n v="0"/>
    <n v="0"/>
    <n v="0"/>
    <n v="0"/>
    <n v="0"/>
    <x v="0"/>
    <n v="0"/>
    <n v="0"/>
    <n v="0"/>
    <s v="MMR001CMP050"/>
    <x v="0"/>
    <x v="0"/>
    <x v="0"/>
    <n v="0"/>
    <m/>
    <m/>
  </r>
  <r>
    <n v="9.1"/>
    <d v="2016-02-02T00:00:00"/>
    <x v="0"/>
    <s v="Solidarities"/>
    <s v="Kachin"/>
    <s v="Bhamo"/>
    <s v="Phan Khar Kone"/>
    <m/>
    <m/>
    <n v="204"/>
    <m/>
    <m/>
    <m/>
    <m/>
    <m/>
    <m/>
    <m/>
    <m/>
    <m/>
    <m/>
    <m/>
    <m/>
    <m/>
    <m/>
    <n v="0"/>
    <n v="0"/>
    <n v="204"/>
    <n v="0"/>
    <n v="0"/>
    <n v="0"/>
    <n v="0"/>
    <n v="0"/>
    <n v="0"/>
    <n v="0"/>
    <n v="0"/>
    <n v="0"/>
    <n v="0"/>
    <n v="0"/>
    <x v="0"/>
    <n v="0"/>
    <n v="0"/>
    <n v="0"/>
    <s v="MMR001CMP193"/>
    <x v="0"/>
    <x v="0"/>
    <x v="0"/>
    <n v="0"/>
    <m/>
    <m/>
  </r>
  <r>
    <n v="9.2333333333333325"/>
    <d v="2016-01-29T00:00:00"/>
    <x v="0"/>
    <s v="Solidarities"/>
    <s v="Kachin"/>
    <s v="Momauk"/>
    <s v="Loi Je Baptist Church"/>
    <m/>
    <m/>
    <m/>
    <m/>
    <m/>
    <m/>
    <m/>
    <m/>
    <m/>
    <m/>
    <m/>
    <m/>
    <m/>
    <m/>
    <n v="2"/>
    <m/>
    <m/>
    <n v="0"/>
    <n v="0"/>
    <n v="0"/>
    <n v="0"/>
    <n v="0"/>
    <n v="0"/>
    <n v="0"/>
    <n v="0"/>
    <n v="0"/>
    <n v="0"/>
    <n v="0"/>
    <n v="0"/>
    <n v="0"/>
    <n v="0"/>
    <x v="0"/>
    <n v="2"/>
    <n v="0"/>
    <n v="0"/>
    <s v="MMR001CMP071"/>
    <x v="0"/>
    <x v="0"/>
    <x v="1"/>
    <n v="0"/>
    <m/>
    <m/>
  </r>
  <r>
    <n v="9.2333333333333325"/>
    <d v="2016-01-29T00:00:00"/>
    <x v="0"/>
    <s v="Solidarities"/>
    <s v="Kachin"/>
    <s v="Momauk"/>
    <s v="Loi Je Lisu Camp"/>
    <m/>
    <m/>
    <m/>
    <m/>
    <m/>
    <m/>
    <m/>
    <m/>
    <m/>
    <m/>
    <m/>
    <m/>
    <m/>
    <m/>
    <n v="3"/>
    <m/>
    <m/>
    <n v="0"/>
    <n v="0"/>
    <n v="0"/>
    <n v="0"/>
    <n v="0"/>
    <n v="0"/>
    <n v="0"/>
    <n v="0"/>
    <n v="0"/>
    <n v="0"/>
    <n v="0"/>
    <n v="0"/>
    <n v="0"/>
    <n v="0"/>
    <x v="0"/>
    <n v="3"/>
    <n v="0"/>
    <n v="0"/>
    <s v="MMR001CMP070"/>
    <x v="0"/>
    <x v="0"/>
    <x v="1"/>
    <n v="0"/>
    <m/>
    <m/>
  </r>
  <r>
    <n v="9.2333333333333325"/>
    <d v="2016-01-29T00:00:00"/>
    <x v="0"/>
    <s v="Solidarities"/>
    <s v="Kachin"/>
    <s v="Momauk"/>
    <s v="Seng Ja "/>
    <m/>
    <m/>
    <m/>
    <m/>
    <m/>
    <m/>
    <m/>
    <m/>
    <m/>
    <m/>
    <m/>
    <m/>
    <m/>
    <m/>
    <n v="3"/>
    <m/>
    <m/>
    <n v="0"/>
    <n v="0"/>
    <n v="0"/>
    <n v="0"/>
    <n v="0"/>
    <n v="0"/>
    <n v="0"/>
    <n v="0"/>
    <n v="0"/>
    <n v="0"/>
    <n v="0"/>
    <n v="0"/>
    <n v="0"/>
    <n v="0"/>
    <x v="0"/>
    <n v="3"/>
    <n v="0"/>
    <n v="0"/>
    <s v="MMR001CMP073"/>
    <x v="0"/>
    <x v="0"/>
    <x v="1"/>
    <n v="0"/>
    <m/>
    <m/>
  </r>
  <r>
    <n v="9.3333333333333339"/>
    <d v="2016-01-26T00:00:00"/>
    <x v="0"/>
    <s v="Solidarities"/>
    <s v="Kachin"/>
    <s v="Bhamo"/>
    <s v="Robert Church"/>
    <m/>
    <m/>
    <m/>
    <m/>
    <m/>
    <m/>
    <m/>
    <m/>
    <m/>
    <m/>
    <m/>
    <m/>
    <m/>
    <m/>
    <n v="5"/>
    <m/>
    <m/>
    <n v="0"/>
    <n v="0"/>
    <n v="0"/>
    <n v="0"/>
    <n v="0"/>
    <n v="0"/>
    <n v="0"/>
    <n v="0"/>
    <n v="0"/>
    <n v="0"/>
    <n v="0"/>
    <n v="0"/>
    <n v="0"/>
    <n v="0"/>
    <x v="0"/>
    <n v="5"/>
    <n v="0"/>
    <n v="0"/>
    <s v="MMR001CMP047"/>
    <x v="0"/>
    <x v="0"/>
    <x v="0"/>
    <n v="0"/>
    <m/>
    <m/>
  </r>
  <r>
    <n v="9.4666666666666668"/>
    <d v="2016-01-22T00:00:00"/>
    <x v="0"/>
    <s v="Solidarities"/>
    <s v="Kachin"/>
    <s v="Bhamo"/>
    <s v="Phan Khar Kone"/>
    <m/>
    <m/>
    <m/>
    <m/>
    <m/>
    <m/>
    <m/>
    <m/>
    <m/>
    <m/>
    <m/>
    <m/>
    <m/>
    <m/>
    <n v="4"/>
    <m/>
    <m/>
    <n v="0"/>
    <n v="0"/>
    <n v="0"/>
    <n v="0"/>
    <n v="0"/>
    <n v="0"/>
    <n v="0"/>
    <n v="0"/>
    <n v="0"/>
    <n v="0"/>
    <n v="0"/>
    <n v="0"/>
    <n v="0"/>
    <n v="0"/>
    <x v="0"/>
    <n v="4"/>
    <n v="0"/>
    <n v="0"/>
    <s v="MMR001CMP193"/>
    <x v="0"/>
    <x v="0"/>
    <x v="0"/>
    <n v="0"/>
    <m/>
    <m/>
  </r>
  <r>
    <n v="9.9333333333333336"/>
    <d v="2016-01-08T00:00:00"/>
    <x v="1"/>
    <s v="KBC"/>
    <s v="Shan_North"/>
    <s v="Namtu"/>
    <s v="Nam Tu Baptist"/>
    <m/>
    <m/>
    <m/>
    <n v="35"/>
    <m/>
    <n v="35"/>
    <n v="18"/>
    <m/>
    <n v="18"/>
    <n v="82"/>
    <m/>
    <m/>
    <m/>
    <m/>
    <n v="18"/>
    <m/>
    <m/>
    <n v="0"/>
    <n v="0"/>
    <n v="0"/>
    <n v="35"/>
    <n v="0"/>
    <n v="35"/>
    <n v="18"/>
    <n v="0"/>
    <n v="18"/>
    <n v="205"/>
    <n v="0"/>
    <n v="0"/>
    <n v="0"/>
    <n v="0"/>
    <x v="0"/>
    <n v="18"/>
    <n v="0"/>
    <n v="0"/>
    <s v="MMR015CMP014"/>
    <x v="0"/>
    <x v="0"/>
    <x v="1"/>
    <n v="2.25"/>
    <m/>
    <m/>
  </r>
  <r>
    <n v="10.133333333333333"/>
    <d v="2016-01-02T00:00:00"/>
    <x v="1"/>
    <s v="KBC"/>
    <s v="Shan_North"/>
    <s v="Namhkan"/>
    <m/>
    <m/>
    <m/>
    <m/>
    <m/>
    <m/>
    <m/>
    <m/>
    <m/>
    <m/>
    <m/>
    <m/>
    <m/>
    <m/>
    <m/>
    <m/>
    <m/>
    <n v="37"/>
    <n v="0"/>
    <n v="0"/>
    <n v="0"/>
    <n v="0"/>
    <n v="0"/>
    <n v="0"/>
    <n v="0"/>
    <n v="0"/>
    <n v="0"/>
    <n v="0"/>
    <n v="0"/>
    <n v="0"/>
    <n v="0"/>
    <n v="0"/>
    <x v="0"/>
    <n v="0"/>
    <n v="0"/>
    <n v="37"/>
    <s v=""/>
    <x v="3"/>
    <x v="1"/>
    <x v="4"/>
    <s v=""/>
    <m/>
    <s v="Man Sa village"/>
  </r>
  <r>
    <n v="10.633333333333333"/>
    <d v="2015-12-18T00:00:00"/>
    <x v="0"/>
    <s v="Solidarities"/>
    <s v="Kachin"/>
    <s v="Momauk"/>
    <s v="Edin"/>
    <m/>
    <m/>
    <m/>
    <m/>
    <m/>
    <m/>
    <m/>
    <m/>
    <m/>
    <m/>
    <m/>
    <m/>
    <m/>
    <m/>
    <m/>
    <n v="13"/>
    <m/>
    <n v="0"/>
    <n v="0"/>
    <n v="0"/>
    <n v="0"/>
    <n v="0"/>
    <n v="0"/>
    <n v="0"/>
    <n v="0"/>
    <n v="0"/>
    <n v="0"/>
    <n v="0"/>
    <n v="0"/>
    <n v="0"/>
    <n v="0"/>
    <x v="0"/>
    <n v="0"/>
    <n v="13"/>
    <n v="0"/>
    <s v=""/>
    <x v="3"/>
    <x v="1"/>
    <x v="4"/>
    <s v=""/>
    <m/>
    <m/>
  </r>
  <r>
    <n v="10.633333333333333"/>
    <d v="2015-12-18T00:00:00"/>
    <x v="0"/>
    <s v="Solidarities"/>
    <s v="Kachin"/>
    <s v="Momauk"/>
    <s v="Ni Thaw Ka Monestry"/>
    <m/>
    <m/>
    <m/>
    <m/>
    <m/>
    <m/>
    <m/>
    <m/>
    <m/>
    <m/>
    <m/>
    <m/>
    <m/>
    <m/>
    <m/>
    <n v="5"/>
    <m/>
    <n v="0"/>
    <n v="0"/>
    <n v="0"/>
    <n v="0"/>
    <n v="0"/>
    <n v="0"/>
    <n v="0"/>
    <n v="0"/>
    <n v="0"/>
    <n v="0"/>
    <n v="0"/>
    <n v="0"/>
    <n v="0"/>
    <n v="0"/>
    <x v="0"/>
    <n v="0"/>
    <n v="5"/>
    <n v="0"/>
    <s v="MMR001CMP059"/>
    <x v="0"/>
    <x v="2"/>
    <x v="0"/>
    <s v=""/>
    <m/>
    <m/>
  </r>
  <r>
    <n v="10.633333333333333"/>
    <d v="2015-12-18T00:00:00"/>
    <x v="0"/>
    <s v="Solidarities"/>
    <s v="Kachin"/>
    <s v="Bhamo"/>
    <s v="Phan Khar Kone"/>
    <m/>
    <m/>
    <m/>
    <m/>
    <m/>
    <m/>
    <m/>
    <m/>
    <m/>
    <m/>
    <m/>
    <m/>
    <m/>
    <m/>
    <m/>
    <n v="24"/>
    <m/>
    <n v="0"/>
    <n v="0"/>
    <n v="0"/>
    <n v="0"/>
    <n v="0"/>
    <n v="0"/>
    <n v="0"/>
    <n v="0"/>
    <n v="0"/>
    <n v="0"/>
    <n v="0"/>
    <n v="0"/>
    <n v="0"/>
    <n v="0"/>
    <x v="0"/>
    <n v="0"/>
    <n v="24"/>
    <n v="0"/>
    <s v="MMR001CMP193"/>
    <x v="0"/>
    <x v="0"/>
    <x v="0"/>
    <n v="0"/>
    <m/>
    <m/>
  </r>
  <r>
    <n v="10.633333333333333"/>
    <d v="2015-12-18T00:00:00"/>
    <x v="0"/>
    <s v="Solidarities"/>
    <s v="Kachin"/>
    <s v="Bhamo"/>
    <s v="Ta Gun Taing Monastery (Shwe Kyi Na)"/>
    <m/>
    <m/>
    <m/>
    <m/>
    <m/>
    <m/>
    <m/>
    <m/>
    <m/>
    <m/>
    <m/>
    <m/>
    <m/>
    <m/>
    <m/>
    <n v="5"/>
    <m/>
    <n v="0"/>
    <n v="0"/>
    <n v="0"/>
    <n v="0"/>
    <n v="0"/>
    <n v="0"/>
    <n v="0"/>
    <n v="0"/>
    <n v="0"/>
    <n v="0"/>
    <n v="0"/>
    <n v="0"/>
    <n v="0"/>
    <n v="0"/>
    <x v="0"/>
    <n v="0"/>
    <n v="5"/>
    <n v="0"/>
    <s v="MMR001CMP055"/>
    <x v="0"/>
    <x v="0"/>
    <x v="0"/>
    <n v="0"/>
    <m/>
    <m/>
  </r>
  <r>
    <n v="10.666666666666666"/>
    <d v="2015-12-17T00:00:00"/>
    <x v="0"/>
    <s v="Solidarities"/>
    <s v="Kachin"/>
    <s v="Bhamo"/>
    <s v="AD-2000 Tharthana Compound"/>
    <m/>
    <m/>
    <m/>
    <m/>
    <m/>
    <m/>
    <m/>
    <m/>
    <m/>
    <m/>
    <m/>
    <m/>
    <m/>
    <m/>
    <m/>
    <n v="38"/>
    <m/>
    <n v="0"/>
    <n v="0"/>
    <n v="0"/>
    <n v="0"/>
    <n v="0"/>
    <n v="0"/>
    <n v="0"/>
    <n v="0"/>
    <n v="0"/>
    <n v="0"/>
    <n v="0"/>
    <n v="0"/>
    <n v="0"/>
    <n v="0"/>
    <x v="0"/>
    <n v="0"/>
    <n v="38"/>
    <n v="0"/>
    <s v="MMR001CMP050"/>
    <x v="0"/>
    <x v="0"/>
    <x v="0"/>
    <n v="0"/>
    <m/>
    <m/>
  </r>
  <r>
    <n v="10.666666666666666"/>
    <d v="2015-12-17T00:00:00"/>
    <x v="0"/>
    <s v="Solidarities"/>
    <s v="Kachin"/>
    <s v="Bhamo"/>
    <s v="Robert Church"/>
    <m/>
    <m/>
    <m/>
    <m/>
    <m/>
    <m/>
    <m/>
    <m/>
    <m/>
    <m/>
    <m/>
    <m/>
    <m/>
    <m/>
    <m/>
    <n v="76"/>
    <m/>
    <n v="0"/>
    <n v="0"/>
    <n v="0"/>
    <n v="0"/>
    <n v="0"/>
    <n v="0"/>
    <n v="0"/>
    <n v="0"/>
    <n v="0"/>
    <n v="0"/>
    <n v="0"/>
    <n v="0"/>
    <n v="0"/>
    <n v="0"/>
    <x v="0"/>
    <n v="0"/>
    <n v="76"/>
    <n v="0"/>
    <s v="MMR001CMP047"/>
    <x v="0"/>
    <x v="0"/>
    <x v="0"/>
    <n v="0"/>
    <m/>
    <m/>
  </r>
  <r>
    <n v="10.733333333333333"/>
    <d v="2015-12-15T00:00:00"/>
    <x v="0"/>
    <s v="Solidarities"/>
    <s v="Kachin"/>
    <s v="Momauk"/>
    <s v="Loi Je Baptist Church"/>
    <m/>
    <m/>
    <m/>
    <m/>
    <m/>
    <m/>
    <m/>
    <m/>
    <m/>
    <m/>
    <m/>
    <m/>
    <m/>
    <m/>
    <m/>
    <n v="3"/>
    <m/>
    <n v="0"/>
    <n v="0"/>
    <n v="0"/>
    <n v="0"/>
    <n v="0"/>
    <n v="0"/>
    <n v="0"/>
    <n v="0"/>
    <n v="0"/>
    <n v="0"/>
    <n v="0"/>
    <n v="0"/>
    <n v="0"/>
    <n v="0"/>
    <x v="0"/>
    <n v="0"/>
    <n v="3"/>
    <n v="0"/>
    <s v="MMR001CMP071"/>
    <x v="0"/>
    <x v="0"/>
    <x v="1"/>
    <n v="0"/>
    <m/>
    <m/>
  </r>
  <r>
    <n v="10.733333333333333"/>
    <d v="2015-12-15T00:00:00"/>
    <x v="0"/>
    <s v="Solidarities"/>
    <s v="Kachin"/>
    <s v="Momauk"/>
    <s v="Loi Je Baptist Church"/>
    <m/>
    <m/>
    <m/>
    <m/>
    <m/>
    <m/>
    <m/>
    <m/>
    <m/>
    <m/>
    <m/>
    <m/>
    <m/>
    <m/>
    <m/>
    <m/>
    <m/>
    <n v="0"/>
    <n v="0"/>
    <n v="0"/>
    <n v="0"/>
    <n v="0"/>
    <n v="0"/>
    <n v="0"/>
    <n v="0"/>
    <n v="0"/>
    <n v="0"/>
    <n v="0"/>
    <n v="0"/>
    <n v="0"/>
    <n v="0"/>
    <x v="0"/>
    <n v="0"/>
    <n v="0"/>
    <n v="0"/>
    <s v="MMR001CMP071"/>
    <x v="0"/>
    <x v="0"/>
    <x v="1"/>
    <n v="0"/>
    <m/>
    <m/>
  </r>
  <r>
    <n v="10.733333333333333"/>
    <d v="2015-12-15T00:00:00"/>
    <x v="0"/>
    <s v="Solidarities"/>
    <s v="Kachin"/>
    <s v="Momauk"/>
    <s v="Loi Je Catholic Church"/>
    <m/>
    <m/>
    <m/>
    <m/>
    <m/>
    <m/>
    <m/>
    <m/>
    <m/>
    <m/>
    <m/>
    <m/>
    <m/>
    <m/>
    <m/>
    <n v="20"/>
    <m/>
    <n v="0"/>
    <n v="0"/>
    <n v="0"/>
    <n v="0"/>
    <n v="0"/>
    <n v="0"/>
    <n v="0"/>
    <n v="0"/>
    <n v="0"/>
    <n v="0"/>
    <n v="0"/>
    <n v="0"/>
    <n v="0"/>
    <n v="0"/>
    <x v="0"/>
    <n v="0"/>
    <n v="20"/>
    <n v="0"/>
    <s v="MMR001CMP069"/>
    <x v="0"/>
    <x v="0"/>
    <x v="1"/>
    <n v="0"/>
    <m/>
    <m/>
  </r>
  <r>
    <n v="10.733333333333333"/>
    <d v="2015-12-15T00:00:00"/>
    <x v="0"/>
    <s v="Solidarities"/>
    <s v="Kachin"/>
    <s v="Momauk"/>
    <s v="Loi Je Lisu Camp"/>
    <m/>
    <m/>
    <m/>
    <m/>
    <m/>
    <m/>
    <m/>
    <m/>
    <m/>
    <m/>
    <m/>
    <m/>
    <m/>
    <m/>
    <m/>
    <n v="14"/>
    <m/>
    <n v="0"/>
    <n v="0"/>
    <n v="0"/>
    <n v="0"/>
    <n v="0"/>
    <n v="0"/>
    <n v="0"/>
    <n v="0"/>
    <n v="0"/>
    <n v="0"/>
    <n v="0"/>
    <n v="0"/>
    <n v="0"/>
    <n v="0"/>
    <x v="0"/>
    <n v="0"/>
    <n v="14"/>
    <n v="0"/>
    <s v="MMR001CMP070"/>
    <x v="0"/>
    <x v="0"/>
    <x v="1"/>
    <n v="0"/>
    <m/>
    <m/>
  </r>
  <r>
    <n v="10.733333333333333"/>
    <d v="2015-12-15T00:00:00"/>
    <x v="1"/>
    <s v="KBC"/>
    <s v="Kachin"/>
    <s v="Myitkyina"/>
    <s v="Man Hkring Baptist Church"/>
    <m/>
    <m/>
    <m/>
    <n v="7"/>
    <n v="7"/>
    <m/>
    <n v="7"/>
    <m/>
    <n v="7"/>
    <n v="27"/>
    <m/>
    <m/>
    <m/>
    <n v="27"/>
    <n v="7"/>
    <m/>
    <m/>
    <n v="0"/>
    <n v="0"/>
    <n v="0"/>
    <n v="7"/>
    <n v="7"/>
    <n v="0"/>
    <n v="7"/>
    <n v="0"/>
    <n v="7"/>
    <n v="67.5"/>
    <n v="0"/>
    <n v="0"/>
    <n v="0"/>
    <n v="27"/>
    <x v="2"/>
    <n v="7"/>
    <n v="0"/>
    <n v="0"/>
    <s v="MMR001CMP008"/>
    <x v="0"/>
    <x v="0"/>
    <x v="0"/>
    <n v="7.6086956521739135E-2"/>
    <s v="No"/>
    <m/>
  </r>
  <r>
    <n v="10.733333333333333"/>
    <d v="2015-12-15T00:00:00"/>
    <x v="0"/>
    <s v="Solidarities"/>
    <s v="Kachin"/>
    <s v="Momauk"/>
    <s v="Nyaung Na Pin "/>
    <m/>
    <m/>
    <m/>
    <m/>
    <m/>
    <m/>
    <m/>
    <m/>
    <m/>
    <m/>
    <m/>
    <m/>
    <m/>
    <m/>
    <m/>
    <n v="5"/>
    <m/>
    <n v="0"/>
    <n v="0"/>
    <n v="0"/>
    <n v="0"/>
    <n v="0"/>
    <n v="0"/>
    <n v="0"/>
    <n v="0"/>
    <n v="0"/>
    <n v="0"/>
    <n v="0"/>
    <n v="0"/>
    <n v="0"/>
    <n v="0"/>
    <x v="0"/>
    <n v="0"/>
    <n v="5"/>
    <n v="0"/>
    <s v="MMR001CMP072"/>
    <x v="0"/>
    <x v="0"/>
    <x v="1"/>
    <n v="0"/>
    <m/>
    <m/>
  </r>
  <r>
    <n v="10.733333333333333"/>
    <d v="2015-12-15T00:00:00"/>
    <x v="0"/>
    <s v="Solidarities"/>
    <s v="Kachin"/>
    <s v="Momauk"/>
    <s v="Seng Ja "/>
    <m/>
    <m/>
    <m/>
    <m/>
    <m/>
    <m/>
    <m/>
    <m/>
    <m/>
    <m/>
    <m/>
    <m/>
    <m/>
    <m/>
    <m/>
    <n v="4"/>
    <m/>
    <n v="0"/>
    <n v="0"/>
    <n v="0"/>
    <n v="0"/>
    <n v="0"/>
    <n v="0"/>
    <n v="0"/>
    <n v="0"/>
    <n v="0"/>
    <n v="0"/>
    <n v="0"/>
    <n v="0"/>
    <n v="0"/>
    <n v="0"/>
    <x v="0"/>
    <n v="0"/>
    <n v="4"/>
    <n v="0"/>
    <s v="MMR001CMP073"/>
    <x v="0"/>
    <x v="0"/>
    <x v="1"/>
    <n v="0"/>
    <m/>
    <m/>
  </r>
  <r>
    <n v="10.766666666666667"/>
    <d v="2015-12-14T00:00:00"/>
    <x v="0"/>
    <s v="Solidarities"/>
    <s v="Kachin"/>
    <s v="Bhamo"/>
    <s v="Robert Church"/>
    <m/>
    <m/>
    <m/>
    <m/>
    <m/>
    <m/>
    <m/>
    <m/>
    <m/>
    <m/>
    <m/>
    <m/>
    <m/>
    <m/>
    <n v="2"/>
    <m/>
    <m/>
    <n v="0"/>
    <n v="0"/>
    <n v="0"/>
    <n v="0"/>
    <n v="0"/>
    <n v="0"/>
    <n v="0"/>
    <n v="0"/>
    <n v="0"/>
    <n v="0"/>
    <n v="0"/>
    <n v="0"/>
    <n v="0"/>
    <n v="0"/>
    <x v="0"/>
    <n v="2"/>
    <n v="0"/>
    <n v="0"/>
    <s v="MMR001CMP047"/>
    <x v="0"/>
    <x v="0"/>
    <x v="0"/>
    <n v="0"/>
    <m/>
    <m/>
  </r>
  <r>
    <n v="10.866666666666667"/>
    <d v="2015-12-11T00:00:00"/>
    <x v="1"/>
    <s v="Shalom"/>
    <s v="Kachin"/>
    <s v="Myitkyina"/>
    <s v="Tat Kone Emanuel Church"/>
    <m/>
    <m/>
    <m/>
    <m/>
    <m/>
    <m/>
    <m/>
    <m/>
    <m/>
    <m/>
    <m/>
    <m/>
    <m/>
    <n v="11"/>
    <m/>
    <m/>
    <m/>
    <n v="0"/>
    <n v="0"/>
    <n v="0"/>
    <n v="0"/>
    <n v="0"/>
    <n v="0"/>
    <n v="0"/>
    <n v="0"/>
    <n v="0"/>
    <n v="0"/>
    <n v="0"/>
    <n v="0"/>
    <n v="0"/>
    <n v="11"/>
    <x v="2"/>
    <n v="0"/>
    <n v="0"/>
    <n v="0"/>
    <s v="MMR001CMP004"/>
    <x v="0"/>
    <x v="0"/>
    <x v="0"/>
    <n v="0"/>
    <s v="No"/>
    <m/>
  </r>
  <r>
    <n v="11.1"/>
    <d v="2015-12-04T00:00:00"/>
    <x v="0"/>
    <s v="Solidarities"/>
    <s v="Kachin"/>
    <s v="Momauk"/>
    <s v="Edin"/>
    <m/>
    <m/>
    <m/>
    <m/>
    <m/>
    <m/>
    <m/>
    <m/>
    <m/>
    <m/>
    <m/>
    <m/>
    <m/>
    <m/>
    <n v="1"/>
    <m/>
    <m/>
    <n v="0"/>
    <n v="0"/>
    <n v="0"/>
    <n v="0"/>
    <n v="0"/>
    <n v="0"/>
    <n v="0"/>
    <n v="0"/>
    <n v="0"/>
    <n v="0"/>
    <n v="0"/>
    <n v="0"/>
    <n v="0"/>
    <n v="0"/>
    <x v="0"/>
    <n v="1"/>
    <n v="0"/>
    <n v="0"/>
    <s v=""/>
    <x v="3"/>
    <x v="1"/>
    <x v="4"/>
    <s v=""/>
    <m/>
    <m/>
  </r>
  <r>
    <n v="11.1"/>
    <d v="2015-12-04T00:00:00"/>
    <x v="0"/>
    <s v="Solidarities"/>
    <s v="Kachin"/>
    <s v="Bhamo"/>
    <s v="Phan Khar Kone"/>
    <m/>
    <m/>
    <m/>
    <m/>
    <m/>
    <m/>
    <m/>
    <m/>
    <m/>
    <m/>
    <m/>
    <m/>
    <m/>
    <m/>
    <n v="5"/>
    <m/>
    <m/>
    <n v="0"/>
    <n v="0"/>
    <n v="0"/>
    <n v="0"/>
    <n v="0"/>
    <n v="0"/>
    <n v="0"/>
    <n v="0"/>
    <n v="0"/>
    <n v="0"/>
    <n v="0"/>
    <n v="0"/>
    <n v="0"/>
    <n v="0"/>
    <x v="0"/>
    <n v="5"/>
    <n v="0"/>
    <n v="0"/>
    <s v="MMR001CMP193"/>
    <x v="0"/>
    <x v="0"/>
    <x v="0"/>
    <n v="0"/>
    <m/>
    <m/>
  </r>
  <r>
    <n v="11.2"/>
    <d v="2015-12-01T00:00:00"/>
    <x v="0"/>
    <s v="Solidarities"/>
    <s v="Kachin"/>
    <s v="Momauk"/>
    <s v="Loi Je B.E.H.S"/>
    <m/>
    <m/>
    <m/>
    <m/>
    <m/>
    <m/>
    <m/>
    <m/>
    <m/>
    <m/>
    <m/>
    <m/>
    <m/>
    <m/>
    <n v="44"/>
    <m/>
    <m/>
    <n v="0"/>
    <n v="0"/>
    <n v="0"/>
    <n v="0"/>
    <n v="0"/>
    <n v="0"/>
    <n v="0"/>
    <n v="0"/>
    <n v="0"/>
    <n v="0"/>
    <n v="0"/>
    <n v="0"/>
    <n v="0"/>
    <n v="0"/>
    <x v="0"/>
    <n v="44"/>
    <n v="0"/>
    <n v="0"/>
    <s v=""/>
    <x v="3"/>
    <x v="1"/>
    <x v="4"/>
    <s v=""/>
    <m/>
    <m/>
  </r>
  <r>
    <n v="11.333333333333334"/>
    <d v="2015-11-27T00:00:00"/>
    <x v="1"/>
    <s v="KBC"/>
    <s v="Kachin"/>
    <s v="Shwegu"/>
    <s v="Shwe Gu Baptist Church"/>
    <m/>
    <m/>
    <m/>
    <m/>
    <n v="9"/>
    <n v="23"/>
    <n v="10"/>
    <m/>
    <n v="8"/>
    <n v="24"/>
    <m/>
    <m/>
    <m/>
    <m/>
    <n v="6"/>
    <m/>
    <m/>
    <n v="0"/>
    <n v="0"/>
    <n v="0"/>
    <n v="0"/>
    <n v="9"/>
    <n v="23"/>
    <n v="10"/>
    <n v="0"/>
    <n v="8"/>
    <n v="60"/>
    <n v="0"/>
    <n v="0"/>
    <n v="0"/>
    <n v="0"/>
    <x v="0"/>
    <n v="6"/>
    <n v="0"/>
    <n v="0"/>
    <s v="MMR001CMP067"/>
    <x v="0"/>
    <x v="0"/>
    <x v="0"/>
    <n v="0.11627906976744186"/>
    <s v="No"/>
    <m/>
  </r>
  <r>
    <n v="11.4"/>
    <d v="2015-11-25T00:00:00"/>
    <x v="1"/>
    <s v="KBC"/>
    <s v="Kachin"/>
    <s v="Shwegu"/>
    <s v="Shwe Gu Baptist Church"/>
    <m/>
    <m/>
    <m/>
    <m/>
    <n v="4"/>
    <n v="16"/>
    <n v="4"/>
    <m/>
    <n v="4"/>
    <n v="23"/>
    <m/>
    <m/>
    <m/>
    <m/>
    <n v="7"/>
    <m/>
    <m/>
    <n v="0"/>
    <n v="0"/>
    <n v="0"/>
    <n v="0"/>
    <n v="4"/>
    <n v="16"/>
    <n v="4"/>
    <n v="0"/>
    <n v="4"/>
    <n v="57.5"/>
    <n v="0"/>
    <n v="0"/>
    <n v="0"/>
    <n v="0"/>
    <x v="0"/>
    <n v="7"/>
    <n v="0"/>
    <n v="0"/>
    <s v="MMR001CMP067"/>
    <x v="0"/>
    <x v="0"/>
    <x v="0"/>
    <n v="4.6511627906976744E-2"/>
    <s v="No"/>
    <m/>
  </r>
  <r>
    <n v="11.4"/>
    <d v="2015-11-25T00:00:00"/>
    <x v="1"/>
    <s v="KBC"/>
    <s v="Kachin"/>
    <s v="Shwegu"/>
    <s v="Shwe Gu Catholic Church"/>
    <m/>
    <m/>
    <m/>
    <m/>
    <n v="4"/>
    <n v="12"/>
    <n v="3"/>
    <m/>
    <n v="4"/>
    <n v="14"/>
    <m/>
    <m/>
    <m/>
    <m/>
    <n v="4"/>
    <m/>
    <m/>
    <n v="0"/>
    <n v="0"/>
    <n v="0"/>
    <n v="0"/>
    <n v="4"/>
    <n v="12"/>
    <n v="3"/>
    <n v="0"/>
    <n v="4"/>
    <n v="35"/>
    <n v="0"/>
    <n v="0"/>
    <n v="0"/>
    <n v="0"/>
    <x v="0"/>
    <n v="4"/>
    <n v="0"/>
    <n v="0"/>
    <s v="MMR001CMP068"/>
    <x v="0"/>
    <x v="0"/>
    <x v="0"/>
    <n v="7.4999999999999997E-2"/>
    <s v="No"/>
    <m/>
  </r>
  <r>
    <n v="11.433333333333334"/>
    <d v="2015-11-24T00:00:00"/>
    <x v="1"/>
    <s v="KMSS"/>
    <s v="Kachin"/>
    <s v="Myitkyina"/>
    <s v="Pa Dauk Myaing(Pa La Na)"/>
    <m/>
    <m/>
    <m/>
    <m/>
    <m/>
    <m/>
    <m/>
    <m/>
    <m/>
    <m/>
    <m/>
    <m/>
    <m/>
    <n v="50"/>
    <m/>
    <m/>
    <m/>
    <n v="0"/>
    <n v="0"/>
    <n v="0"/>
    <n v="0"/>
    <n v="0"/>
    <n v="0"/>
    <n v="0"/>
    <n v="0"/>
    <n v="0"/>
    <n v="0"/>
    <n v="0"/>
    <n v="0"/>
    <n v="0"/>
    <n v="50"/>
    <x v="2"/>
    <n v="0"/>
    <n v="0"/>
    <n v="0"/>
    <s v="MMR001CMP162"/>
    <x v="0"/>
    <x v="0"/>
    <x v="0"/>
    <n v="0"/>
    <s v="No"/>
    <m/>
  </r>
  <r>
    <n v="12.166666666666666"/>
    <d v="2015-11-02T00:00:00"/>
    <x v="1"/>
    <s v="KBC"/>
    <s v="Kachin"/>
    <s v="Mansi"/>
    <s v="Mai hkawng Camp (RC +KBC)"/>
    <m/>
    <m/>
    <n v="223"/>
    <m/>
    <n v="30"/>
    <m/>
    <m/>
    <m/>
    <m/>
    <n v="337"/>
    <m/>
    <m/>
    <m/>
    <m/>
    <m/>
    <m/>
    <m/>
    <n v="0"/>
    <n v="0"/>
    <n v="0"/>
    <n v="0"/>
    <n v="0"/>
    <n v="0"/>
    <n v="0"/>
    <n v="0"/>
    <n v="0"/>
    <n v="0"/>
    <n v="0"/>
    <n v="0"/>
    <n v="0"/>
    <n v="0"/>
    <x v="0"/>
    <n v="0"/>
    <n v="0"/>
    <n v="0"/>
    <s v=""/>
    <x v="3"/>
    <x v="1"/>
    <x v="4"/>
    <s v=""/>
    <s v="No"/>
    <m/>
  </r>
  <r>
    <n v="13.233333333333333"/>
    <d v="2015-10-01T00:00:00"/>
    <x v="1"/>
    <s v="KBC"/>
    <s v="Kachin"/>
    <s v="Mansi"/>
    <s v="Mai hkawng Camp (RC +KBC)"/>
    <m/>
    <n v="77"/>
    <n v="232"/>
    <n v="200"/>
    <n v="89"/>
    <n v="200"/>
    <n v="119"/>
    <m/>
    <n v="119"/>
    <n v="345"/>
    <m/>
    <m/>
    <m/>
    <m/>
    <n v="119"/>
    <m/>
    <n v="45"/>
    <n v="0"/>
    <n v="0"/>
    <n v="0"/>
    <n v="0"/>
    <n v="0"/>
    <n v="0"/>
    <n v="0"/>
    <n v="0"/>
    <n v="0"/>
    <n v="0"/>
    <n v="0"/>
    <n v="0"/>
    <n v="0"/>
    <n v="0"/>
    <x v="0"/>
    <n v="0"/>
    <n v="0"/>
    <n v="0"/>
    <s v=""/>
    <x v="3"/>
    <x v="1"/>
    <x v="4"/>
    <s v=""/>
    <s v="No"/>
    <m/>
  </r>
  <r>
    <n v="13.533333333333333"/>
    <d v="2015-09-22T00:00:00"/>
    <x v="1"/>
    <s v="KBC"/>
    <s v="Kachin"/>
    <s v="Mansi"/>
    <s v="Mai hkawng Camp (RC +KBC)"/>
    <m/>
    <m/>
    <n v="145"/>
    <n v="132"/>
    <n v="66"/>
    <n v="132"/>
    <n v="66"/>
    <m/>
    <n v="66"/>
    <n v="243"/>
    <m/>
    <m/>
    <m/>
    <m/>
    <n v="66"/>
    <m/>
    <m/>
    <n v="0"/>
    <n v="0"/>
    <n v="0"/>
    <n v="0"/>
    <n v="0"/>
    <n v="0"/>
    <n v="0"/>
    <n v="0"/>
    <n v="0"/>
    <n v="0"/>
    <n v="0"/>
    <n v="0"/>
    <n v="0"/>
    <n v="0"/>
    <x v="0"/>
    <n v="0"/>
    <n v="0"/>
    <n v="0"/>
    <s v=""/>
    <x v="3"/>
    <x v="1"/>
    <x v="4"/>
    <s v=""/>
    <s v="No"/>
    <m/>
  </r>
  <r>
    <n v="13.566666666666666"/>
    <d v="2015-09-21T00:00:00"/>
    <x v="1"/>
    <s v="KMSS"/>
    <s v="Kachin"/>
    <s v="Waingmaw"/>
    <s v="Maina Catholic Church (St. Joseph)"/>
    <m/>
    <m/>
    <m/>
    <n v="41"/>
    <n v="16"/>
    <n v="41"/>
    <n v="16"/>
    <m/>
    <n v="16"/>
    <n v="80"/>
    <m/>
    <m/>
    <m/>
    <m/>
    <n v="16"/>
    <m/>
    <m/>
    <n v="0"/>
    <n v="0"/>
    <n v="0"/>
    <n v="0"/>
    <n v="0"/>
    <n v="0"/>
    <n v="0"/>
    <n v="0"/>
    <n v="0"/>
    <n v="0"/>
    <n v="0"/>
    <n v="0"/>
    <n v="0"/>
    <n v="0"/>
    <x v="0"/>
    <n v="0"/>
    <n v="0"/>
    <n v="0"/>
    <s v="MMR001CMP029"/>
    <x v="0"/>
    <x v="0"/>
    <x v="0"/>
    <n v="7.1748878923766815E-2"/>
    <s v="No"/>
    <m/>
  </r>
  <r>
    <n v="13.566666666666666"/>
    <d v="2015-09-21T00:00:00"/>
    <x v="1"/>
    <s v="KMSS-MKN"/>
    <s v="Kachin"/>
    <s v="Myitkyina"/>
    <m/>
    <m/>
    <m/>
    <m/>
    <m/>
    <m/>
    <m/>
    <m/>
    <m/>
    <m/>
    <m/>
    <m/>
    <m/>
    <m/>
    <m/>
    <m/>
    <m/>
    <m/>
    <n v="0"/>
    <n v="0"/>
    <n v="0"/>
    <n v="0"/>
    <n v="0"/>
    <n v="0"/>
    <n v="0"/>
    <n v="0"/>
    <n v="0"/>
    <n v="0"/>
    <n v="0"/>
    <n v="0"/>
    <n v="0"/>
    <n v="0"/>
    <x v="0"/>
    <n v="0"/>
    <n v="0"/>
    <n v="0"/>
    <s v=""/>
    <x v="3"/>
    <x v="1"/>
    <x v="4"/>
    <s v=""/>
    <s v="No"/>
    <m/>
  </r>
  <r>
    <n v="13.666666666666666"/>
    <d v="2015-09-18T00:00:00"/>
    <x v="1"/>
    <s v="KMSS"/>
    <s v="Kachin"/>
    <s v="Myitkyina"/>
    <s v="Pa Dauk Myaing(Pa La Na)"/>
    <m/>
    <n v="11"/>
    <n v="11"/>
    <n v="21"/>
    <n v="16"/>
    <n v="21"/>
    <n v="11"/>
    <m/>
    <n v="11"/>
    <n v="42"/>
    <m/>
    <m/>
    <m/>
    <m/>
    <n v="11"/>
    <m/>
    <n v="6"/>
    <n v="0"/>
    <n v="0"/>
    <n v="0"/>
    <n v="0"/>
    <n v="0"/>
    <n v="0"/>
    <n v="0"/>
    <n v="0"/>
    <n v="0"/>
    <n v="0"/>
    <n v="0"/>
    <n v="0"/>
    <n v="0"/>
    <n v="0"/>
    <x v="0"/>
    <n v="0"/>
    <n v="0"/>
    <n v="0"/>
    <s v="MMR001CMP162"/>
    <x v="0"/>
    <x v="0"/>
    <x v="0"/>
    <n v="0.2391304347826087"/>
    <s v="No"/>
    <m/>
  </r>
  <r>
    <n v="14.4"/>
    <d v="2015-08-27T00:00:00"/>
    <x v="1"/>
    <s v="KBC"/>
    <s v="Kachin"/>
    <s v="Myitkyina"/>
    <m/>
    <m/>
    <m/>
    <m/>
    <m/>
    <m/>
    <m/>
    <m/>
    <m/>
    <m/>
    <m/>
    <m/>
    <m/>
    <m/>
    <m/>
    <m/>
    <n v="10"/>
    <m/>
    <n v="0"/>
    <n v="0"/>
    <n v="0"/>
    <n v="0"/>
    <n v="0"/>
    <n v="0"/>
    <n v="0"/>
    <n v="0"/>
    <n v="0"/>
    <n v="0"/>
    <n v="0"/>
    <n v="0"/>
    <n v="0"/>
    <n v="0"/>
    <x v="0"/>
    <n v="0"/>
    <n v="0"/>
    <n v="0"/>
    <s v=""/>
    <x v="3"/>
    <x v="1"/>
    <x v="4"/>
    <s v=""/>
    <s v="No"/>
    <m/>
  </r>
  <r>
    <n v="14.4"/>
    <d v="2015-08-27T00:00:00"/>
    <x v="1"/>
    <s v="KMSS-MKN"/>
    <s v="Kachin"/>
    <s v="Myitkyina"/>
    <m/>
    <m/>
    <m/>
    <m/>
    <m/>
    <m/>
    <m/>
    <m/>
    <m/>
    <m/>
    <m/>
    <m/>
    <m/>
    <m/>
    <m/>
    <m/>
    <n v="7"/>
    <m/>
    <n v="0"/>
    <n v="0"/>
    <n v="0"/>
    <n v="0"/>
    <n v="0"/>
    <n v="0"/>
    <n v="0"/>
    <n v="0"/>
    <n v="0"/>
    <n v="0"/>
    <n v="0"/>
    <n v="0"/>
    <n v="0"/>
    <n v="0"/>
    <x v="0"/>
    <n v="0"/>
    <n v="0"/>
    <n v="0"/>
    <s v=""/>
    <x v="3"/>
    <x v="1"/>
    <x v="4"/>
    <s v=""/>
    <s v="No"/>
    <m/>
  </r>
  <r>
    <n v="14.4"/>
    <d v="2015-08-27T00:00:00"/>
    <x v="1"/>
    <s v="Shalom"/>
    <s v="Kachin"/>
    <s v="Myitkyina"/>
    <m/>
    <m/>
    <m/>
    <m/>
    <m/>
    <m/>
    <m/>
    <m/>
    <m/>
    <m/>
    <m/>
    <m/>
    <m/>
    <m/>
    <m/>
    <m/>
    <n v="8"/>
    <m/>
    <n v="0"/>
    <n v="0"/>
    <n v="0"/>
    <n v="0"/>
    <n v="0"/>
    <n v="0"/>
    <n v="0"/>
    <n v="0"/>
    <n v="0"/>
    <n v="0"/>
    <n v="0"/>
    <n v="0"/>
    <n v="0"/>
    <n v="0"/>
    <x v="0"/>
    <n v="0"/>
    <n v="0"/>
    <n v="0"/>
    <s v=""/>
    <x v="3"/>
    <x v="1"/>
    <x v="4"/>
    <s v=""/>
    <s v="No"/>
    <s v="Updated on 2/Dec/2015. Data source: mail by Win Aung Htun_x000a_Updated on 11/Nov/2015. Added jerry can data. Data source: mail by Win Aung Htun_x000a_Updated on 29/Sep/2015. _x000a_Data Source: Lu Lu Awng and Win Aung Tun"/>
  </r>
  <r>
    <n v="14.933333333333334"/>
    <d v="2015-08-11T00:00:00"/>
    <x v="1"/>
    <s v="KBC"/>
    <s v="Kachin"/>
    <s v="Mogaung"/>
    <s v="Kyun Taw Baptist Church "/>
    <m/>
    <m/>
    <m/>
    <n v="14"/>
    <n v="14"/>
    <m/>
    <m/>
    <m/>
    <m/>
    <m/>
    <m/>
    <m/>
    <m/>
    <m/>
    <m/>
    <m/>
    <m/>
    <n v="0"/>
    <n v="0"/>
    <n v="0"/>
    <n v="0"/>
    <n v="0"/>
    <n v="0"/>
    <n v="0"/>
    <n v="0"/>
    <n v="0"/>
    <n v="0"/>
    <n v="0"/>
    <n v="0"/>
    <n v="0"/>
    <n v="0"/>
    <x v="0"/>
    <n v="0"/>
    <n v="0"/>
    <n v="0"/>
    <s v="MMR001CMP078"/>
    <x v="0"/>
    <x v="0"/>
    <x v="0"/>
    <n v="0"/>
    <s v="No"/>
    <s v="Updated on 2/Dec/2015. Data source: mail by Win Aung Htun_x000a_Updated on 29/Sep/2015. _x000a_Data Source: Lu Lu Awng and Win Aung Tun"/>
  </r>
  <r>
    <n v="14.933333333333334"/>
    <d v="2015-08-11T00:00:00"/>
    <x v="1"/>
    <s v="Shalom"/>
    <s v="Kachin"/>
    <s v="Myitkyina"/>
    <s v="Tat Kone Emanuel Church"/>
    <m/>
    <m/>
    <m/>
    <n v="6"/>
    <n v="4"/>
    <n v="6"/>
    <n v="4"/>
    <m/>
    <n v="4"/>
    <n v="10"/>
    <m/>
    <m/>
    <m/>
    <m/>
    <n v="4"/>
    <m/>
    <m/>
    <n v="0"/>
    <n v="0"/>
    <n v="0"/>
    <n v="0"/>
    <n v="0"/>
    <n v="0"/>
    <n v="0"/>
    <n v="0"/>
    <n v="0"/>
    <n v="0"/>
    <n v="0"/>
    <n v="0"/>
    <n v="0"/>
    <n v="0"/>
    <x v="0"/>
    <n v="0"/>
    <n v="0"/>
    <n v="0"/>
    <s v="MMR001CMP004"/>
    <x v="0"/>
    <x v="0"/>
    <x v="0"/>
    <n v="1"/>
    <s v="No"/>
    <m/>
  </r>
  <r>
    <n v="15.633333333333333"/>
    <d v="2015-07-21T00:00:00"/>
    <x v="1"/>
    <s v="KBC"/>
    <s v="Kachin"/>
    <s v="Sumprabum"/>
    <s v="Sumprabum"/>
    <m/>
    <m/>
    <m/>
    <m/>
    <n v="250"/>
    <m/>
    <m/>
    <m/>
    <m/>
    <m/>
    <m/>
    <m/>
    <m/>
    <m/>
    <m/>
    <m/>
    <m/>
    <n v="0"/>
    <n v="0"/>
    <n v="0"/>
    <n v="0"/>
    <n v="0"/>
    <n v="0"/>
    <n v="0"/>
    <n v="0"/>
    <n v="0"/>
    <n v="0"/>
    <n v="0"/>
    <n v="0"/>
    <n v="0"/>
    <n v="0"/>
    <x v="0"/>
    <n v="0"/>
    <n v="0"/>
    <n v="0"/>
    <s v="MMR001CMP206"/>
    <x v="0"/>
    <x v="0"/>
    <x v="0"/>
    <n v="0"/>
    <s v="No"/>
    <s v="Updated on 2/Dec/2015. Data source: mail by Win Aung Htun_x000a_Updated on 11/Nov/2015. Added jerry can data. Data source: mail by Win Aung Htun_x000a_Updated on 29/Sep/2015. _x000a_Data Source: Lu Lu Awng and Win Aung Tun"/>
  </r>
  <r>
    <n v="16.333333333333332"/>
    <d v="2015-06-30T00:00:00"/>
    <x v="0"/>
    <s v="Solidarities"/>
    <s v="Kachin"/>
    <s v="Bhamo"/>
    <s v="AD-2000 Tharthana Compound"/>
    <m/>
    <m/>
    <m/>
    <m/>
    <m/>
    <m/>
    <m/>
    <m/>
    <m/>
    <m/>
    <m/>
    <m/>
    <m/>
    <m/>
    <n v="3"/>
    <m/>
    <m/>
    <n v="0"/>
    <n v="0"/>
    <n v="0"/>
    <n v="0"/>
    <n v="0"/>
    <n v="0"/>
    <n v="0"/>
    <n v="0"/>
    <n v="0"/>
    <n v="0"/>
    <n v="0"/>
    <n v="0"/>
    <n v="0"/>
    <n v="0"/>
    <x v="0"/>
    <n v="0"/>
    <n v="0"/>
    <n v="0"/>
    <s v="MMR001CMP050"/>
    <x v="0"/>
    <x v="0"/>
    <x v="0"/>
    <n v="0"/>
    <m/>
    <m/>
  </r>
  <r>
    <n v="16.333333333333332"/>
    <d v="2015-06-30T00:00:00"/>
    <x v="0"/>
    <s v="Solidarities"/>
    <s v="Kachin"/>
    <s v="Waingmaw"/>
    <s v="Laiza Market 3 - Laiza Gat"/>
    <m/>
    <m/>
    <n v="825"/>
    <m/>
    <m/>
    <m/>
    <m/>
    <m/>
    <m/>
    <m/>
    <m/>
    <m/>
    <m/>
    <m/>
    <m/>
    <m/>
    <m/>
    <n v="0"/>
    <n v="0"/>
    <n v="0"/>
    <n v="0"/>
    <n v="0"/>
    <n v="0"/>
    <n v="0"/>
    <n v="0"/>
    <n v="0"/>
    <n v="0"/>
    <n v="0"/>
    <n v="0"/>
    <n v="0"/>
    <n v="0"/>
    <x v="0"/>
    <n v="0"/>
    <n v="0"/>
    <n v="0"/>
    <s v="MMR001CMP117"/>
    <x v="0"/>
    <x v="2"/>
    <x v="6"/>
    <s v=""/>
    <m/>
    <m/>
  </r>
  <r>
    <n v="16.333333333333332"/>
    <d v="2015-06-30T00:00:00"/>
    <x v="0"/>
    <s v="Solidarities"/>
    <s v="Kachin"/>
    <s v="Momauk"/>
    <s v="Edin"/>
    <m/>
    <m/>
    <m/>
    <m/>
    <m/>
    <m/>
    <m/>
    <m/>
    <m/>
    <m/>
    <m/>
    <m/>
    <m/>
    <m/>
    <n v="2"/>
    <m/>
    <m/>
    <n v="0"/>
    <n v="0"/>
    <n v="0"/>
    <n v="0"/>
    <n v="0"/>
    <n v="0"/>
    <n v="0"/>
    <n v="0"/>
    <n v="0"/>
    <n v="0"/>
    <n v="0"/>
    <n v="0"/>
    <n v="0"/>
    <n v="0"/>
    <x v="0"/>
    <n v="0"/>
    <n v="0"/>
    <n v="0"/>
    <s v=""/>
    <x v="3"/>
    <x v="1"/>
    <x v="4"/>
    <s v=""/>
    <m/>
    <m/>
  </r>
  <r>
    <n v="16.333333333333332"/>
    <d v="2015-06-30T00:00:00"/>
    <x v="0"/>
    <s v="Solidarities"/>
    <s v="Kachin"/>
    <s v="Bhamo"/>
    <s v="Phan Khar Kone"/>
    <m/>
    <m/>
    <m/>
    <m/>
    <m/>
    <m/>
    <m/>
    <m/>
    <m/>
    <m/>
    <m/>
    <m/>
    <m/>
    <m/>
    <n v="5"/>
    <m/>
    <m/>
    <n v="0"/>
    <n v="0"/>
    <n v="0"/>
    <n v="0"/>
    <n v="0"/>
    <n v="0"/>
    <n v="0"/>
    <n v="0"/>
    <n v="0"/>
    <n v="0"/>
    <n v="0"/>
    <n v="0"/>
    <n v="0"/>
    <n v="0"/>
    <x v="0"/>
    <n v="0"/>
    <n v="0"/>
    <n v="0"/>
    <s v="MMR001CMP193"/>
    <x v="0"/>
    <x v="0"/>
    <x v="0"/>
    <n v="0"/>
    <m/>
    <m/>
  </r>
  <r>
    <n v="16.366666666666667"/>
    <d v="2015-06-29T00:00:00"/>
    <x v="0"/>
    <s v="KBC"/>
    <s v="Kachin"/>
    <s v="Momauk"/>
    <s v="Je Yang Hka "/>
    <m/>
    <m/>
    <n v="2350"/>
    <m/>
    <m/>
    <m/>
    <m/>
    <m/>
    <m/>
    <m/>
    <m/>
    <m/>
    <m/>
    <m/>
    <m/>
    <m/>
    <m/>
    <n v="0"/>
    <n v="0"/>
    <n v="0"/>
    <n v="0"/>
    <n v="0"/>
    <n v="0"/>
    <n v="0"/>
    <n v="0"/>
    <n v="0"/>
    <n v="0"/>
    <n v="0"/>
    <n v="0"/>
    <n v="0"/>
    <n v="0"/>
    <x v="0"/>
    <n v="0"/>
    <n v="0"/>
    <n v="0"/>
    <s v="MMR001CMP121"/>
    <x v="0"/>
    <x v="0"/>
    <x v="6"/>
    <n v="0"/>
    <m/>
    <m/>
  </r>
  <r>
    <n v="17.2"/>
    <d v="2015-06-04T00:00:00"/>
    <x v="1"/>
    <s v="KBC"/>
    <s v="Kachin"/>
    <s v="Bhamo"/>
    <s v="Phan Khar Kone"/>
    <m/>
    <m/>
    <m/>
    <m/>
    <n v="37"/>
    <m/>
    <m/>
    <m/>
    <m/>
    <m/>
    <m/>
    <m/>
    <m/>
    <m/>
    <m/>
    <m/>
    <m/>
    <n v="0"/>
    <n v="0"/>
    <n v="0"/>
    <n v="0"/>
    <n v="0"/>
    <n v="0"/>
    <n v="0"/>
    <n v="0"/>
    <n v="0"/>
    <n v="0"/>
    <n v="0"/>
    <n v="0"/>
    <n v="0"/>
    <n v="0"/>
    <x v="0"/>
    <n v="0"/>
    <n v="0"/>
    <n v="0"/>
    <s v="MMR001CMP193"/>
    <x v="0"/>
    <x v="0"/>
    <x v="0"/>
    <n v="0"/>
    <s v="No"/>
    <m/>
  </r>
  <r>
    <n v="17.2"/>
    <d v="2015-06-04T00:00:00"/>
    <x v="0"/>
    <s v="Solidarities"/>
    <s v="Kachin"/>
    <s v="Momauk"/>
    <s v="Loi Je Baptist Church"/>
    <m/>
    <m/>
    <n v="54"/>
    <m/>
    <m/>
    <m/>
    <m/>
    <m/>
    <m/>
    <m/>
    <m/>
    <m/>
    <m/>
    <m/>
    <m/>
    <m/>
    <m/>
    <n v="0"/>
    <n v="0"/>
    <n v="0"/>
    <n v="0"/>
    <n v="0"/>
    <n v="0"/>
    <n v="0"/>
    <n v="0"/>
    <n v="0"/>
    <n v="0"/>
    <n v="0"/>
    <n v="0"/>
    <n v="0"/>
    <n v="0"/>
    <x v="0"/>
    <n v="0"/>
    <n v="0"/>
    <n v="0"/>
    <s v="MMR001CMP071"/>
    <x v="0"/>
    <x v="0"/>
    <x v="1"/>
    <n v="0"/>
    <m/>
    <m/>
  </r>
  <r>
    <n v="17.2"/>
    <d v="2015-06-04T00:00:00"/>
    <x v="1"/>
    <s v="KBC"/>
    <s v="Kachin"/>
    <s v="Momauk"/>
    <s v="Loi Je Lisu Camp"/>
    <m/>
    <m/>
    <m/>
    <m/>
    <n v="88"/>
    <n v="27"/>
    <n v="9"/>
    <m/>
    <n v="9"/>
    <n v="48"/>
    <m/>
    <m/>
    <m/>
    <m/>
    <n v="9"/>
    <m/>
    <m/>
    <n v="0"/>
    <n v="0"/>
    <n v="0"/>
    <n v="0"/>
    <n v="0"/>
    <n v="0"/>
    <n v="0"/>
    <n v="0"/>
    <n v="0"/>
    <n v="0"/>
    <n v="0"/>
    <n v="0"/>
    <n v="0"/>
    <n v="0"/>
    <x v="0"/>
    <n v="0"/>
    <n v="0"/>
    <n v="0"/>
    <s v="MMR001CMP070"/>
    <x v="0"/>
    <x v="0"/>
    <x v="1"/>
    <n v="4.6875E-2"/>
    <s v="No"/>
    <m/>
  </r>
  <r>
    <n v="17.2"/>
    <d v="2015-06-04T00:00:00"/>
    <x v="1"/>
    <s v="KBC"/>
    <s v="Kachin"/>
    <s v="Momauk"/>
    <s v="Seng Ja "/>
    <m/>
    <m/>
    <m/>
    <n v="18"/>
    <n v="35"/>
    <m/>
    <m/>
    <m/>
    <m/>
    <m/>
    <m/>
    <m/>
    <m/>
    <m/>
    <m/>
    <m/>
    <n v="8"/>
    <n v="0"/>
    <n v="0"/>
    <n v="0"/>
    <n v="0"/>
    <n v="0"/>
    <n v="0"/>
    <n v="0"/>
    <n v="0"/>
    <n v="0"/>
    <n v="0"/>
    <n v="0"/>
    <n v="0"/>
    <n v="0"/>
    <n v="0"/>
    <x v="0"/>
    <n v="0"/>
    <n v="0"/>
    <n v="0"/>
    <s v="MMR001CMP073"/>
    <x v="0"/>
    <x v="0"/>
    <x v="1"/>
    <n v="0"/>
    <s v="No"/>
    <m/>
  </r>
  <r>
    <n v="17.2"/>
    <d v="2015-06-04T00:00:00"/>
    <x v="1"/>
    <s v="KBC"/>
    <s v="Kachin"/>
    <s v="Momauk"/>
    <s v="Momauk Baptist Church"/>
    <m/>
    <m/>
    <m/>
    <m/>
    <n v="80"/>
    <m/>
    <m/>
    <m/>
    <m/>
    <m/>
    <m/>
    <m/>
    <m/>
    <m/>
    <m/>
    <m/>
    <m/>
    <n v="0"/>
    <n v="0"/>
    <n v="0"/>
    <n v="0"/>
    <n v="0"/>
    <n v="0"/>
    <n v="0"/>
    <n v="0"/>
    <n v="0"/>
    <n v="0"/>
    <n v="0"/>
    <n v="0"/>
    <n v="0"/>
    <n v="0"/>
    <x v="0"/>
    <n v="0"/>
    <n v="0"/>
    <n v="0"/>
    <s v="MMR001CMP056"/>
    <x v="0"/>
    <x v="0"/>
    <x v="0"/>
    <n v="0"/>
    <s v="No"/>
    <m/>
  </r>
  <r>
    <n v="17.2"/>
    <d v="2015-06-04T00:00:00"/>
    <x v="0"/>
    <s v="Solidarities"/>
    <s v="Kachin"/>
    <s v="Momauk"/>
    <s v="Nyaung Na Pin "/>
    <m/>
    <m/>
    <n v="87"/>
    <m/>
    <m/>
    <m/>
    <m/>
    <m/>
    <m/>
    <m/>
    <m/>
    <m/>
    <m/>
    <m/>
    <m/>
    <m/>
    <m/>
    <n v="0"/>
    <n v="0"/>
    <n v="0"/>
    <n v="0"/>
    <n v="0"/>
    <n v="0"/>
    <n v="0"/>
    <n v="0"/>
    <n v="0"/>
    <n v="0"/>
    <n v="0"/>
    <n v="0"/>
    <n v="0"/>
    <n v="0"/>
    <x v="0"/>
    <n v="0"/>
    <n v="0"/>
    <n v="0"/>
    <s v="MMR001CMP072"/>
    <x v="0"/>
    <x v="0"/>
    <x v="1"/>
    <n v="0"/>
    <m/>
    <m/>
  </r>
  <r>
    <n v="17.2"/>
    <d v="2015-06-04T00:00:00"/>
    <x v="0"/>
    <s v="Solidarities"/>
    <s v="Kachin"/>
    <s v="Momauk"/>
    <s v="Seng Ja "/>
    <m/>
    <m/>
    <n v="73"/>
    <m/>
    <m/>
    <m/>
    <m/>
    <m/>
    <m/>
    <m/>
    <m/>
    <m/>
    <m/>
    <m/>
    <m/>
    <m/>
    <m/>
    <n v="0"/>
    <n v="0"/>
    <n v="0"/>
    <n v="0"/>
    <n v="0"/>
    <n v="0"/>
    <n v="0"/>
    <n v="0"/>
    <n v="0"/>
    <n v="0"/>
    <n v="0"/>
    <n v="0"/>
    <n v="0"/>
    <n v="0"/>
    <x v="0"/>
    <n v="0"/>
    <n v="0"/>
    <n v="0"/>
    <s v="MMR001CMP073"/>
    <x v="0"/>
    <x v="0"/>
    <x v="1"/>
    <n v="0"/>
    <m/>
    <m/>
  </r>
  <r>
    <n v="17.233333333333334"/>
    <d v="2015-06-03T00:00:00"/>
    <x v="0"/>
    <s v="Solidarities"/>
    <s v="Kachin"/>
    <s v="Momauk"/>
    <s v="Loi Je Baptist Church"/>
    <m/>
    <m/>
    <m/>
    <m/>
    <m/>
    <m/>
    <m/>
    <m/>
    <m/>
    <m/>
    <m/>
    <m/>
    <m/>
    <m/>
    <m/>
    <m/>
    <m/>
    <n v="0"/>
    <n v="0"/>
    <n v="0"/>
    <n v="0"/>
    <n v="0"/>
    <n v="0"/>
    <n v="0"/>
    <n v="0"/>
    <n v="0"/>
    <n v="0"/>
    <n v="0"/>
    <n v="0"/>
    <n v="0"/>
    <n v="0"/>
    <x v="0"/>
    <n v="0"/>
    <n v="0"/>
    <n v="0"/>
    <s v="MMR001CMP071"/>
    <x v="0"/>
    <x v="0"/>
    <x v="1"/>
    <n v="0"/>
    <m/>
    <m/>
  </r>
  <r>
    <n v="17.233333333333334"/>
    <d v="2015-06-03T00:00:00"/>
    <x v="0"/>
    <s v="Solidarities"/>
    <s v="Kachin"/>
    <s v="Momauk"/>
    <s v="Loi Je Catholic Church"/>
    <m/>
    <m/>
    <n v="115"/>
    <m/>
    <m/>
    <m/>
    <m/>
    <m/>
    <m/>
    <m/>
    <m/>
    <m/>
    <m/>
    <m/>
    <m/>
    <m/>
    <m/>
    <n v="0"/>
    <n v="0"/>
    <n v="0"/>
    <n v="0"/>
    <n v="0"/>
    <n v="0"/>
    <n v="0"/>
    <n v="0"/>
    <n v="0"/>
    <n v="0"/>
    <n v="0"/>
    <n v="0"/>
    <n v="0"/>
    <n v="0"/>
    <x v="0"/>
    <n v="0"/>
    <n v="0"/>
    <n v="0"/>
    <s v="MMR001CMP069"/>
    <x v="0"/>
    <x v="0"/>
    <x v="1"/>
    <n v="0"/>
    <m/>
    <m/>
  </r>
  <r>
    <n v="17.233333333333334"/>
    <d v="2015-06-03T00:00:00"/>
    <x v="0"/>
    <s v="Solidarities"/>
    <s v="Kachin"/>
    <s v="Momauk"/>
    <s v="Loi Je Lisu Camp"/>
    <m/>
    <m/>
    <n v="270"/>
    <m/>
    <m/>
    <m/>
    <m/>
    <m/>
    <m/>
    <m/>
    <m/>
    <m/>
    <m/>
    <m/>
    <m/>
    <m/>
    <m/>
    <n v="0"/>
    <n v="0"/>
    <n v="0"/>
    <n v="0"/>
    <n v="0"/>
    <n v="0"/>
    <n v="0"/>
    <n v="0"/>
    <n v="0"/>
    <n v="0"/>
    <n v="0"/>
    <n v="0"/>
    <n v="0"/>
    <n v="0"/>
    <x v="0"/>
    <n v="0"/>
    <n v="0"/>
    <n v="0"/>
    <s v="MMR001CMP070"/>
    <x v="0"/>
    <x v="0"/>
    <x v="1"/>
    <n v="0"/>
    <m/>
    <m/>
  </r>
  <r>
    <n v="17.233333333333334"/>
    <d v="2015-06-03T00:00:00"/>
    <x v="1"/>
    <s v="KBC"/>
    <s v="Kachin"/>
    <s v="Mansi"/>
    <s v="Maing Khaung"/>
    <m/>
    <m/>
    <m/>
    <n v="6"/>
    <n v="12"/>
    <n v="24"/>
    <n v="3"/>
    <m/>
    <n v="3"/>
    <n v="9"/>
    <m/>
    <m/>
    <m/>
    <m/>
    <n v="3"/>
    <m/>
    <m/>
    <n v="0"/>
    <n v="0"/>
    <n v="0"/>
    <n v="0"/>
    <n v="0"/>
    <n v="0"/>
    <n v="0"/>
    <n v="0"/>
    <n v="0"/>
    <n v="0"/>
    <n v="0"/>
    <n v="0"/>
    <n v="0"/>
    <n v="0"/>
    <x v="0"/>
    <n v="0"/>
    <n v="0"/>
    <n v="0"/>
    <s v="MMR001CMP218"/>
    <x v="0"/>
    <x v="0"/>
    <x v="0"/>
    <n v="8.0213903743315516E-3"/>
    <s v="No"/>
    <m/>
  </r>
  <r>
    <n v="17.266666666666666"/>
    <d v="2015-06-02T00:00:00"/>
    <x v="0"/>
    <s v="Solidarities"/>
    <s v="Kachin"/>
    <s v="Bhamo"/>
    <s v="Robert Church"/>
    <m/>
    <m/>
    <n v="1048"/>
    <m/>
    <m/>
    <m/>
    <m/>
    <m/>
    <m/>
    <m/>
    <m/>
    <m/>
    <m/>
    <m/>
    <m/>
    <m/>
    <m/>
    <n v="0"/>
    <n v="0"/>
    <n v="0"/>
    <n v="0"/>
    <n v="0"/>
    <n v="0"/>
    <n v="0"/>
    <n v="0"/>
    <n v="0"/>
    <n v="0"/>
    <n v="0"/>
    <n v="0"/>
    <n v="0"/>
    <n v="0"/>
    <x v="0"/>
    <n v="0"/>
    <n v="0"/>
    <n v="0"/>
    <s v="MMR001CMP047"/>
    <x v="0"/>
    <x v="0"/>
    <x v="0"/>
    <n v="0"/>
    <m/>
    <m/>
  </r>
  <r>
    <n v="17.333333333333332"/>
    <d v="2015-05-31T00:00:00"/>
    <x v="0"/>
    <s v="Solidarities"/>
    <s v="Kachin"/>
    <s v="Momauk"/>
    <s v="Loi Je Baptist Church"/>
    <m/>
    <m/>
    <m/>
    <m/>
    <m/>
    <m/>
    <m/>
    <m/>
    <m/>
    <m/>
    <m/>
    <m/>
    <m/>
    <m/>
    <n v="2"/>
    <m/>
    <m/>
    <n v="0"/>
    <n v="0"/>
    <n v="0"/>
    <n v="0"/>
    <n v="0"/>
    <n v="0"/>
    <n v="0"/>
    <n v="0"/>
    <n v="0"/>
    <n v="0"/>
    <n v="0"/>
    <n v="0"/>
    <n v="0"/>
    <n v="0"/>
    <x v="0"/>
    <n v="0"/>
    <n v="0"/>
    <n v="0"/>
    <s v="MMR001CMP071"/>
    <x v="0"/>
    <x v="0"/>
    <x v="1"/>
    <n v="0"/>
    <m/>
    <m/>
  </r>
  <r>
    <n v="17.333333333333332"/>
    <d v="2015-05-31T00:00:00"/>
    <x v="0"/>
    <s v="Solidarities"/>
    <s v="Kachin"/>
    <s v="Momauk"/>
    <s v="Loi Je Lisu Camp"/>
    <m/>
    <m/>
    <m/>
    <m/>
    <m/>
    <m/>
    <m/>
    <m/>
    <m/>
    <m/>
    <m/>
    <m/>
    <m/>
    <m/>
    <n v="4"/>
    <m/>
    <m/>
    <n v="0"/>
    <n v="0"/>
    <n v="0"/>
    <n v="0"/>
    <n v="0"/>
    <n v="0"/>
    <n v="0"/>
    <n v="0"/>
    <n v="0"/>
    <n v="0"/>
    <n v="0"/>
    <n v="0"/>
    <n v="0"/>
    <n v="0"/>
    <x v="0"/>
    <n v="0"/>
    <n v="0"/>
    <n v="0"/>
    <s v="MMR001CMP070"/>
    <x v="0"/>
    <x v="0"/>
    <x v="1"/>
    <n v="0"/>
    <m/>
    <m/>
  </r>
  <r>
    <n v="17.333333333333332"/>
    <d v="2015-05-31T00:00:00"/>
    <x v="0"/>
    <s v="Solidarities"/>
    <s v="Kachin"/>
    <s v="Momauk"/>
    <s v="Ni Thaw Ka Monestry"/>
    <m/>
    <m/>
    <n v="34"/>
    <m/>
    <m/>
    <m/>
    <m/>
    <m/>
    <m/>
    <m/>
    <m/>
    <m/>
    <m/>
    <m/>
    <m/>
    <m/>
    <m/>
    <n v="0"/>
    <n v="0"/>
    <n v="0"/>
    <n v="0"/>
    <n v="0"/>
    <n v="0"/>
    <n v="0"/>
    <n v="0"/>
    <n v="0"/>
    <n v="0"/>
    <n v="0"/>
    <n v="0"/>
    <n v="0"/>
    <n v="0"/>
    <x v="0"/>
    <n v="0"/>
    <n v="0"/>
    <n v="0"/>
    <s v="MMR001CMP059"/>
    <x v="0"/>
    <x v="2"/>
    <x v="0"/>
    <s v=""/>
    <m/>
    <m/>
  </r>
  <r>
    <n v="17.333333333333332"/>
    <d v="2015-05-31T00:00:00"/>
    <x v="0"/>
    <s v="Solidarities"/>
    <s v="Kachin"/>
    <s v="Bhamo"/>
    <s v="Phan Khar Kone"/>
    <m/>
    <m/>
    <m/>
    <m/>
    <m/>
    <m/>
    <m/>
    <m/>
    <m/>
    <m/>
    <m/>
    <m/>
    <m/>
    <m/>
    <n v="6"/>
    <m/>
    <m/>
    <n v="0"/>
    <n v="0"/>
    <n v="0"/>
    <n v="0"/>
    <n v="0"/>
    <n v="0"/>
    <n v="0"/>
    <n v="0"/>
    <n v="0"/>
    <n v="0"/>
    <n v="0"/>
    <n v="0"/>
    <n v="0"/>
    <n v="0"/>
    <x v="0"/>
    <n v="0"/>
    <n v="0"/>
    <n v="0"/>
    <s v="MMR001CMP193"/>
    <x v="0"/>
    <x v="0"/>
    <x v="0"/>
    <n v="0"/>
    <m/>
    <m/>
  </r>
  <r>
    <n v="17.333333333333332"/>
    <d v="2015-05-31T00:00:00"/>
    <x v="0"/>
    <s v="Solidarities"/>
    <s v="Kachin"/>
    <s v="Momauk"/>
    <s v="Seng Ja "/>
    <m/>
    <m/>
    <m/>
    <m/>
    <m/>
    <m/>
    <m/>
    <m/>
    <m/>
    <m/>
    <m/>
    <m/>
    <m/>
    <m/>
    <n v="3"/>
    <m/>
    <m/>
    <n v="0"/>
    <n v="0"/>
    <n v="0"/>
    <n v="0"/>
    <n v="0"/>
    <n v="0"/>
    <n v="0"/>
    <n v="0"/>
    <n v="0"/>
    <n v="0"/>
    <n v="0"/>
    <n v="0"/>
    <n v="0"/>
    <n v="0"/>
    <x v="0"/>
    <n v="0"/>
    <n v="0"/>
    <n v="0"/>
    <s v="MMR001CMP073"/>
    <x v="0"/>
    <x v="0"/>
    <x v="1"/>
    <n v="0"/>
    <m/>
    <m/>
  </r>
  <r>
    <n v="17.366666666666667"/>
    <d v="2015-05-30T00:00:00"/>
    <x v="0"/>
    <s v="Solidarities"/>
    <s v="Kachin"/>
    <s v="Bhamo"/>
    <s v="Robert Church"/>
    <m/>
    <m/>
    <m/>
    <m/>
    <m/>
    <m/>
    <m/>
    <m/>
    <m/>
    <m/>
    <m/>
    <m/>
    <m/>
    <m/>
    <n v="3"/>
    <m/>
    <m/>
    <n v="0"/>
    <n v="0"/>
    <n v="0"/>
    <n v="0"/>
    <n v="0"/>
    <n v="0"/>
    <n v="0"/>
    <n v="0"/>
    <n v="0"/>
    <n v="0"/>
    <n v="0"/>
    <n v="0"/>
    <n v="0"/>
    <n v="0"/>
    <x v="0"/>
    <n v="0"/>
    <n v="0"/>
    <n v="0"/>
    <s v="MMR001CMP047"/>
    <x v="0"/>
    <x v="0"/>
    <x v="0"/>
    <n v="0"/>
    <m/>
    <m/>
  </r>
  <r>
    <n v="17.399999999999999"/>
    <d v="2015-05-29T00:00:00"/>
    <x v="0"/>
    <s v="Solidarities"/>
    <s v="Kachin"/>
    <s v="Momauk"/>
    <s v="Edin"/>
    <m/>
    <m/>
    <n v="103"/>
    <m/>
    <m/>
    <m/>
    <m/>
    <m/>
    <m/>
    <m/>
    <m/>
    <m/>
    <m/>
    <m/>
    <m/>
    <m/>
    <m/>
    <n v="0"/>
    <n v="0"/>
    <n v="0"/>
    <n v="0"/>
    <n v="0"/>
    <n v="0"/>
    <n v="0"/>
    <n v="0"/>
    <n v="0"/>
    <n v="0"/>
    <n v="0"/>
    <n v="0"/>
    <n v="0"/>
    <n v="0"/>
    <x v="0"/>
    <n v="0"/>
    <n v="0"/>
    <n v="0"/>
    <s v=""/>
    <x v="3"/>
    <x v="1"/>
    <x v="4"/>
    <s v=""/>
    <m/>
    <m/>
  </r>
  <r>
    <n v="17.399999999999999"/>
    <d v="2015-05-29T00:00:00"/>
    <x v="0"/>
    <s v="Solidarities"/>
    <s v="Kachin"/>
    <s v="Bhamo"/>
    <s v="Phan Khar Kone"/>
    <m/>
    <m/>
    <n v="258"/>
    <m/>
    <m/>
    <m/>
    <m/>
    <m/>
    <m/>
    <m/>
    <m/>
    <m/>
    <m/>
    <m/>
    <m/>
    <m/>
    <m/>
    <n v="0"/>
    <n v="0"/>
    <n v="0"/>
    <n v="0"/>
    <n v="0"/>
    <n v="0"/>
    <n v="0"/>
    <n v="0"/>
    <n v="0"/>
    <n v="0"/>
    <n v="0"/>
    <n v="0"/>
    <n v="0"/>
    <n v="0"/>
    <x v="0"/>
    <n v="0"/>
    <n v="0"/>
    <n v="0"/>
    <s v="MMR001CMP193"/>
    <x v="0"/>
    <x v="0"/>
    <x v="0"/>
    <n v="0"/>
    <m/>
    <m/>
  </r>
  <r>
    <n v="17.433333333333334"/>
    <d v="2015-05-28T00:00:00"/>
    <x v="0"/>
    <s v="Solidarities"/>
    <s v="Kachin"/>
    <s v="Bhamo"/>
    <s v="Ta Gun Taing Monastery (Shwe Kyi Na)"/>
    <m/>
    <m/>
    <n v="36"/>
    <m/>
    <m/>
    <m/>
    <m/>
    <m/>
    <m/>
    <m/>
    <m/>
    <m/>
    <m/>
    <m/>
    <m/>
    <m/>
    <m/>
    <n v="0"/>
    <n v="0"/>
    <n v="0"/>
    <n v="0"/>
    <n v="0"/>
    <n v="0"/>
    <n v="0"/>
    <n v="0"/>
    <n v="0"/>
    <n v="0"/>
    <n v="0"/>
    <n v="0"/>
    <n v="0"/>
    <n v="0"/>
    <x v="0"/>
    <n v="0"/>
    <n v="0"/>
    <n v="0"/>
    <s v="MMR001CMP055"/>
    <x v="0"/>
    <x v="0"/>
    <x v="0"/>
    <n v="0"/>
    <m/>
    <m/>
  </r>
  <r>
    <n v="17.466666666666665"/>
    <d v="2015-05-27T00:00:00"/>
    <x v="0"/>
    <s v="Solidarities"/>
    <s v="Kachin"/>
    <s v="Bhamo"/>
    <s v="AD-2000 Tharthana Compound"/>
    <m/>
    <m/>
    <n v="424"/>
    <m/>
    <m/>
    <m/>
    <m/>
    <m/>
    <m/>
    <m/>
    <m/>
    <m/>
    <m/>
    <m/>
    <m/>
    <m/>
    <m/>
    <n v="0"/>
    <n v="0"/>
    <n v="0"/>
    <n v="0"/>
    <n v="0"/>
    <n v="0"/>
    <n v="0"/>
    <n v="0"/>
    <n v="0"/>
    <n v="0"/>
    <n v="0"/>
    <n v="0"/>
    <n v="0"/>
    <n v="0"/>
    <x v="0"/>
    <n v="0"/>
    <n v="0"/>
    <n v="0"/>
    <s v="MMR001CMP050"/>
    <x v="0"/>
    <x v="0"/>
    <x v="0"/>
    <n v="0"/>
    <m/>
    <m/>
  </r>
  <r>
    <n v="17.933333333333334"/>
    <d v="2015-05-13T00:00:00"/>
    <x v="1"/>
    <s v="KMSS-BMO"/>
    <s v="Kachin"/>
    <s v="Momauk"/>
    <s v="Man Bung Catholic compound"/>
    <m/>
    <m/>
    <m/>
    <m/>
    <m/>
    <n v="28"/>
    <m/>
    <m/>
    <m/>
    <m/>
    <m/>
    <m/>
    <m/>
    <m/>
    <m/>
    <m/>
    <m/>
    <n v="0"/>
    <n v="0"/>
    <n v="0"/>
    <n v="0"/>
    <n v="0"/>
    <n v="0"/>
    <n v="0"/>
    <n v="0"/>
    <n v="0"/>
    <n v="0"/>
    <n v="0"/>
    <n v="0"/>
    <n v="0"/>
    <n v="0"/>
    <x v="0"/>
    <n v="0"/>
    <n v="0"/>
    <n v="0"/>
    <s v="MMR001CMP062"/>
    <x v="0"/>
    <x v="0"/>
    <x v="0"/>
    <n v="0"/>
    <s v="No"/>
    <m/>
  </r>
  <r>
    <n v="18.566666666666666"/>
    <d v="2015-04-24T00:00:00"/>
    <x v="1"/>
    <s v="KBC"/>
    <s v="Kachin"/>
    <s v="Momauk"/>
    <s v="Loi Je Lisu Camp"/>
    <m/>
    <m/>
    <m/>
    <m/>
    <m/>
    <m/>
    <m/>
    <m/>
    <n v="9"/>
    <m/>
    <m/>
    <m/>
    <m/>
    <m/>
    <m/>
    <m/>
    <m/>
    <n v="0"/>
    <n v="0"/>
    <n v="0"/>
    <n v="0"/>
    <n v="0"/>
    <n v="0"/>
    <n v="0"/>
    <n v="0"/>
    <n v="0"/>
    <n v="0"/>
    <n v="0"/>
    <n v="0"/>
    <n v="0"/>
    <n v="0"/>
    <x v="0"/>
    <n v="0"/>
    <n v="0"/>
    <n v="0"/>
    <s v="MMR001CMP070"/>
    <x v="0"/>
    <x v="0"/>
    <x v="1"/>
    <n v="0"/>
    <s v="No"/>
    <m/>
  </r>
  <r>
    <n v="18.566666666666666"/>
    <d v="2015-04-24T00:00:00"/>
    <x v="1"/>
    <s v="KBC"/>
    <s v="Kachin"/>
    <s v="Momauk"/>
    <s v="Seng Ja "/>
    <m/>
    <m/>
    <m/>
    <n v="36"/>
    <n v="18"/>
    <n v="90"/>
    <n v="18"/>
    <m/>
    <m/>
    <n v="90"/>
    <m/>
    <m/>
    <m/>
    <m/>
    <n v="18"/>
    <m/>
    <m/>
    <n v="0"/>
    <n v="0"/>
    <n v="0"/>
    <n v="0"/>
    <n v="0"/>
    <n v="0"/>
    <n v="0"/>
    <n v="0"/>
    <n v="0"/>
    <n v="0"/>
    <n v="0"/>
    <n v="0"/>
    <n v="0"/>
    <n v="0"/>
    <x v="0"/>
    <n v="0"/>
    <n v="0"/>
    <n v="0"/>
    <s v="MMR001CMP073"/>
    <x v="0"/>
    <x v="0"/>
    <x v="1"/>
    <n v="0.43902439024390244"/>
    <s v="No"/>
    <m/>
  </r>
  <r>
    <n v="18.833333333333332"/>
    <d v="2015-04-16T00:00:00"/>
    <x v="1"/>
    <s v="KMSS-LSO"/>
    <s v="Shan_North"/>
    <s v="Kutkai"/>
    <s v="Kutkai downtown (RC Church)"/>
    <m/>
    <m/>
    <m/>
    <m/>
    <m/>
    <m/>
    <m/>
    <m/>
    <m/>
    <n v="69"/>
    <m/>
    <m/>
    <m/>
    <m/>
    <m/>
    <m/>
    <m/>
    <n v="0"/>
    <n v="0"/>
    <n v="0"/>
    <n v="0"/>
    <n v="0"/>
    <n v="0"/>
    <n v="0"/>
    <n v="0"/>
    <n v="0"/>
    <n v="0"/>
    <n v="0"/>
    <n v="0"/>
    <n v="0"/>
    <n v="0"/>
    <x v="0"/>
    <n v="0"/>
    <n v="0"/>
    <n v="0"/>
    <s v="MMR015CMP017"/>
    <x v="0"/>
    <x v="0"/>
    <x v="1"/>
    <n v="0"/>
    <s v="No"/>
    <m/>
  </r>
  <r>
    <n v="19.100000000000001"/>
    <d v="2015-04-08T00:00:00"/>
    <x v="0"/>
    <s v="Solidarities"/>
    <s v="Kachin"/>
    <s v="Bhamo"/>
    <s v="AD-2000 Tharthana Compound"/>
    <m/>
    <m/>
    <m/>
    <m/>
    <m/>
    <m/>
    <m/>
    <m/>
    <m/>
    <m/>
    <m/>
    <m/>
    <m/>
    <m/>
    <m/>
    <n v="7"/>
    <m/>
    <n v="0"/>
    <n v="0"/>
    <n v="0"/>
    <n v="0"/>
    <n v="0"/>
    <n v="0"/>
    <n v="0"/>
    <n v="0"/>
    <n v="0"/>
    <n v="0"/>
    <n v="0"/>
    <n v="0"/>
    <n v="0"/>
    <n v="0"/>
    <x v="0"/>
    <n v="0"/>
    <n v="0"/>
    <n v="0"/>
    <s v="MMR001CMP050"/>
    <x v="0"/>
    <x v="0"/>
    <x v="0"/>
    <n v="0"/>
    <m/>
    <m/>
  </r>
  <r>
    <n v="19.100000000000001"/>
    <d v="2015-04-08T00:00:00"/>
    <x v="1"/>
    <s v="KBC"/>
    <s v="Kachin"/>
    <s v="Mansi"/>
    <s v="Maing Khaung"/>
    <m/>
    <m/>
    <m/>
    <n v="8"/>
    <n v="4"/>
    <m/>
    <n v="4"/>
    <m/>
    <n v="4"/>
    <m/>
    <m/>
    <m/>
    <m/>
    <m/>
    <m/>
    <m/>
    <m/>
    <n v="0"/>
    <n v="0"/>
    <n v="0"/>
    <n v="0"/>
    <n v="0"/>
    <n v="0"/>
    <n v="0"/>
    <n v="0"/>
    <n v="0"/>
    <n v="0"/>
    <n v="0"/>
    <n v="0"/>
    <n v="0"/>
    <n v="0"/>
    <x v="0"/>
    <n v="0"/>
    <n v="0"/>
    <n v="0"/>
    <s v="MMR001CMP218"/>
    <x v="0"/>
    <x v="0"/>
    <x v="0"/>
    <n v="1.06951871657754E-2"/>
    <s v="No"/>
    <m/>
  </r>
  <r>
    <n v="19.100000000000001"/>
    <d v="2015-04-08T00:00:00"/>
    <x v="0"/>
    <s v="Solidarities"/>
    <s v="Kachin"/>
    <s v="Bhamo"/>
    <s v="Ta Gun Taing Monastery (Shwe Kyi Na)"/>
    <m/>
    <m/>
    <m/>
    <m/>
    <m/>
    <m/>
    <m/>
    <m/>
    <m/>
    <m/>
    <m/>
    <m/>
    <m/>
    <m/>
    <m/>
    <n v="2"/>
    <m/>
    <n v="0"/>
    <n v="0"/>
    <n v="0"/>
    <n v="0"/>
    <n v="0"/>
    <n v="0"/>
    <n v="0"/>
    <n v="0"/>
    <n v="0"/>
    <n v="0"/>
    <n v="0"/>
    <n v="0"/>
    <n v="0"/>
    <n v="0"/>
    <x v="0"/>
    <n v="0"/>
    <n v="0"/>
    <n v="0"/>
    <s v="MMR001CMP055"/>
    <x v="0"/>
    <x v="0"/>
    <x v="0"/>
    <n v="0"/>
    <m/>
    <m/>
  </r>
  <r>
    <n v="19.266666666666666"/>
    <d v="2015-04-03T00:00:00"/>
    <x v="1"/>
    <s v="Shalom-BM"/>
    <s v="Kachin"/>
    <s v="Bhamo"/>
    <s v="Lisu Baptist Church"/>
    <m/>
    <m/>
    <m/>
    <m/>
    <m/>
    <n v="15"/>
    <m/>
    <m/>
    <n v="26"/>
    <n v="720"/>
    <m/>
    <m/>
    <m/>
    <m/>
    <n v="26"/>
    <m/>
    <m/>
    <n v="0"/>
    <n v="0"/>
    <n v="0"/>
    <n v="0"/>
    <n v="0"/>
    <n v="0"/>
    <n v="0"/>
    <n v="0"/>
    <n v="0"/>
    <n v="0"/>
    <n v="0"/>
    <n v="0"/>
    <n v="0"/>
    <n v="0"/>
    <x v="0"/>
    <n v="0"/>
    <n v="0"/>
    <n v="0"/>
    <s v=""/>
    <x v="3"/>
    <x v="1"/>
    <x v="4"/>
    <s v=""/>
    <s v="No"/>
    <m/>
  </r>
  <r>
    <n v="19.266666666666666"/>
    <d v="2015-04-03T00:00:00"/>
    <x v="1"/>
    <s v="Shalom"/>
    <s v="Kachin"/>
    <s v="Momauk"/>
    <s v="Mandalay Monestry"/>
    <m/>
    <m/>
    <m/>
    <m/>
    <m/>
    <m/>
    <m/>
    <m/>
    <m/>
    <m/>
    <m/>
    <m/>
    <m/>
    <m/>
    <m/>
    <m/>
    <m/>
    <n v="0"/>
    <n v="0"/>
    <n v="0"/>
    <n v="0"/>
    <n v="0"/>
    <n v="0"/>
    <n v="0"/>
    <n v="0"/>
    <n v="0"/>
    <n v="0"/>
    <n v="0"/>
    <n v="0"/>
    <n v="0"/>
    <n v="0"/>
    <x v="0"/>
    <n v="0"/>
    <n v="0"/>
    <n v="0"/>
    <s v="MMR001CMP058"/>
    <x v="0"/>
    <x v="2"/>
    <x v="0"/>
    <s v=""/>
    <s v="No"/>
    <m/>
  </r>
  <r>
    <n v="19.266666666666666"/>
    <d v="2015-04-03T00:00:00"/>
    <x v="1"/>
    <s v="Shalom-BM"/>
    <s v="Kachin"/>
    <s v="Bhamo"/>
    <s v="Mu-yin Baptist Church"/>
    <m/>
    <m/>
    <m/>
    <m/>
    <n v="3"/>
    <n v="53"/>
    <m/>
    <m/>
    <n v="3"/>
    <n v="11"/>
    <m/>
    <m/>
    <m/>
    <m/>
    <n v="3"/>
    <m/>
    <m/>
    <n v="0"/>
    <n v="0"/>
    <n v="0"/>
    <n v="0"/>
    <n v="0"/>
    <n v="0"/>
    <n v="0"/>
    <n v="0"/>
    <n v="0"/>
    <n v="0"/>
    <n v="0"/>
    <n v="0"/>
    <n v="0"/>
    <n v="0"/>
    <x v="0"/>
    <n v="0"/>
    <n v="0"/>
    <n v="0"/>
    <s v="MMR001CMP051"/>
    <x v="0"/>
    <x v="0"/>
    <x v="0"/>
    <n v="0"/>
    <s v="No"/>
    <m/>
  </r>
  <r>
    <n v="19.266666666666666"/>
    <d v="2015-04-03T00:00:00"/>
    <x v="1"/>
    <s v="UNHCR"/>
    <s v="Kachin"/>
    <s v="Momauk"/>
    <s v="Nhkawng Pa "/>
    <m/>
    <m/>
    <m/>
    <m/>
    <m/>
    <m/>
    <m/>
    <m/>
    <m/>
    <m/>
    <m/>
    <m/>
    <m/>
    <m/>
    <n v="405"/>
    <m/>
    <m/>
    <n v="0"/>
    <n v="0"/>
    <n v="0"/>
    <n v="0"/>
    <n v="0"/>
    <n v="0"/>
    <n v="0"/>
    <n v="0"/>
    <n v="0"/>
    <n v="0"/>
    <n v="0"/>
    <n v="0"/>
    <n v="0"/>
    <n v="0"/>
    <x v="0"/>
    <n v="0"/>
    <n v="0"/>
    <n v="0"/>
    <s v="MMR001CMP131"/>
    <x v="0"/>
    <x v="0"/>
    <x v="5"/>
    <n v="0"/>
    <s v="No"/>
    <m/>
  </r>
  <r>
    <n v="19.266666666666666"/>
    <d v="2015-04-03T00:00:00"/>
    <x v="1"/>
    <s v="Shalom"/>
    <s v="Kachin"/>
    <s v="Momauk"/>
    <s v="Ni Thaw Ka Monestry"/>
    <m/>
    <m/>
    <m/>
    <n v="105"/>
    <n v="26"/>
    <n v="308"/>
    <n v="29"/>
    <m/>
    <m/>
    <n v="69"/>
    <m/>
    <m/>
    <m/>
    <m/>
    <m/>
    <m/>
    <m/>
    <n v="0"/>
    <n v="0"/>
    <n v="0"/>
    <n v="0"/>
    <n v="0"/>
    <n v="0"/>
    <n v="0"/>
    <n v="0"/>
    <n v="0"/>
    <n v="0"/>
    <n v="0"/>
    <n v="0"/>
    <n v="0"/>
    <n v="0"/>
    <x v="0"/>
    <n v="0"/>
    <n v="0"/>
    <n v="0"/>
    <s v="MMR001CMP059"/>
    <x v="0"/>
    <x v="2"/>
    <x v="0"/>
    <s v=""/>
    <s v="No"/>
    <m/>
  </r>
  <r>
    <n v="19.466666666666665"/>
    <d v="2015-03-28T00:00:00"/>
    <x v="1"/>
    <s v="KMSS-BMO"/>
    <s v="Kachin"/>
    <s v="Mansi"/>
    <s v="Bum Tsit Pa Camp II"/>
    <m/>
    <m/>
    <m/>
    <m/>
    <m/>
    <n v="704"/>
    <m/>
    <m/>
    <n v="9"/>
    <m/>
    <m/>
    <m/>
    <m/>
    <m/>
    <m/>
    <m/>
    <m/>
    <n v="0"/>
    <n v="0"/>
    <n v="0"/>
    <n v="0"/>
    <n v="0"/>
    <n v="0"/>
    <n v="0"/>
    <n v="0"/>
    <n v="0"/>
    <n v="0"/>
    <n v="0"/>
    <n v="0"/>
    <n v="0"/>
    <n v="0"/>
    <x v="0"/>
    <n v="0"/>
    <n v="0"/>
    <n v="0"/>
    <s v="MMR001CMP226"/>
    <x v="0"/>
    <x v="2"/>
    <x v="6"/>
    <s v=""/>
    <s v="No"/>
    <m/>
  </r>
  <r>
    <n v="19.5"/>
    <d v="2015-03-27T00:00:00"/>
    <x v="1"/>
    <s v="KMSS-BMO"/>
    <s v="Kachin"/>
    <s v="Mansi"/>
    <s v="Lana Zup Ja "/>
    <m/>
    <m/>
    <m/>
    <m/>
    <m/>
    <n v="357"/>
    <m/>
    <m/>
    <m/>
    <m/>
    <m/>
    <m/>
    <m/>
    <m/>
    <m/>
    <m/>
    <m/>
    <n v="0"/>
    <n v="0"/>
    <n v="0"/>
    <n v="0"/>
    <n v="0"/>
    <n v="0"/>
    <n v="0"/>
    <n v="0"/>
    <n v="0"/>
    <n v="0"/>
    <n v="0"/>
    <n v="0"/>
    <n v="0"/>
    <n v="0"/>
    <x v="0"/>
    <n v="0"/>
    <n v="0"/>
    <n v="0"/>
    <s v="MMR001CMP128"/>
    <x v="0"/>
    <x v="0"/>
    <x v="6"/>
    <n v="0"/>
    <s v="No"/>
    <m/>
  </r>
  <r>
    <n v="19.566666666666666"/>
    <d v="2015-03-25T00:00:00"/>
    <x v="1"/>
    <s v="KMSS-BMO"/>
    <s v="Kachin"/>
    <s v="Mansi"/>
    <s v="Bum Tsit Pa "/>
    <m/>
    <m/>
    <m/>
    <m/>
    <m/>
    <n v="829"/>
    <m/>
    <m/>
    <m/>
    <m/>
    <m/>
    <m/>
    <m/>
    <m/>
    <m/>
    <m/>
    <m/>
    <n v="0"/>
    <n v="0"/>
    <n v="0"/>
    <n v="0"/>
    <n v="0"/>
    <n v="0"/>
    <n v="0"/>
    <n v="0"/>
    <n v="0"/>
    <n v="0"/>
    <n v="0"/>
    <n v="0"/>
    <n v="0"/>
    <n v="0"/>
    <x v="0"/>
    <n v="0"/>
    <n v="0"/>
    <n v="0"/>
    <s v="MMR001CMP129"/>
    <x v="0"/>
    <x v="0"/>
    <x v="6"/>
    <n v="0"/>
    <s v="No"/>
    <m/>
  </r>
  <r>
    <n v="19.566666666666666"/>
    <d v="2015-03-25T00:00:00"/>
    <x v="1"/>
    <s v="UNHCR"/>
    <s v="Kachin"/>
    <s v="Mansi"/>
    <s v="Lana Zup Ja and Bumtsit pa (1) and (2)"/>
    <m/>
    <m/>
    <m/>
    <n v="1621"/>
    <m/>
    <m/>
    <m/>
    <m/>
    <m/>
    <m/>
    <m/>
    <m/>
    <m/>
    <m/>
    <m/>
    <m/>
    <m/>
    <n v="0"/>
    <n v="0"/>
    <n v="0"/>
    <n v="0"/>
    <n v="0"/>
    <n v="0"/>
    <n v="0"/>
    <n v="0"/>
    <n v="0"/>
    <n v="0"/>
    <n v="0"/>
    <n v="0"/>
    <n v="0"/>
    <n v="0"/>
    <x v="0"/>
    <n v="0"/>
    <n v="0"/>
    <n v="0"/>
    <s v=""/>
    <x v="3"/>
    <x v="1"/>
    <x v="4"/>
    <s v=""/>
    <s v="No"/>
    <m/>
  </r>
  <r>
    <n v="19.566666666666666"/>
    <d v="2015-03-25T00:00:00"/>
    <x v="0"/>
    <s v="Solidarities"/>
    <s v="Kachin"/>
    <s v="Momauk"/>
    <s v="Edin"/>
    <m/>
    <m/>
    <m/>
    <m/>
    <m/>
    <m/>
    <m/>
    <m/>
    <m/>
    <m/>
    <m/>
    <m/>
    <m/>
    <m/>
    <m/>
    <n v="3"/>
    <m/>
    <n v="0"/>
    <n v="0"/>
    <n v="0"/>
    <n v="0"/>
    <n v="0"/>
    <n v="0"/>
    <n v="0"/>
    <n v="0"/>
    <n v="0"/>
    <n v="0"/>
    <n v="0"/>
    <n v="0"/>
    <n v="0"/>
    <n v="0"/>
    <x v="0"/>
    <n v="0"/>
    <n v="0"/>
    <n v="0"/>
    <s v=""/>
    <x v="3"/>
    <x v="1"/>
    <x v="4"/>
    <s v=""/>
    <m/>
    <m/>
  </r>
  <r>
    <n v="19.566666666666666"/>
    <d v="2015-03-25T00:00:00"/>
    <x v="1"/>
    <s v="UNHCR"/>
    <s v="Kachin"/>
    <s v="Bhamo"/>
    <s v="Nhkawng Pa camp and Pa Kahtawng camp thru cross line mission with KMSS-Bhamo"/>
    <m/>
    <m/>
    <m/>
    <m/>
    <m/>
    <m/>
    <m/>
    <m/>
    <m/>
    <m/>
    <n v="2086"/>
    <n v="3036"/>
    <m/>
    <m/>
    <m/>
    <m/>
    <m/>
    <n v="0"/>
    <n v="0"/>
    <n v="0"/>
    <n v="0"/>
    <n v="0"/>
    <n v="0"/>
    <n v="0"/>
    <n v="0"/>
    <n v="0"/>
    <n v="0"/>
    <n v="0"/>
    <n v="0"/>
    <n v="0"/>
    <n v="0"/>
    <x v="2"/>
    <n v="0"/>
    <n v="0"/>
    <n v="0"/>
    <s v=""/>
    <x v="3"/>
    <x v="1"/>
    <x v="4"/>
    <s v=""/>
    <s v="No"/>
    <m/>
  </r>
  <r>
    <n v="19.566666666666666"/>
    <d v="2015-03-25T00:00:00"/>
    <x v="0"/>
    <s v="Solidarities"/>
    <s v="Kachin"/>
    <s v="Momauk"/>
    <s v="Ni Thaw Ka Monestry"/>
    <m/>
    <m/>
    <m/>
    <m/>
    <m/>
    <m/>
    <m/>
    <m/>
    <m/>
    <m/>
    <m/>
    <m/>
    <m/>
    <m/>
    <m/>
    <n v="1"/>
    <m/>
    <n v="0"/>
    <n v="0"/>
    <n v="0"/>
    <n v="0"/>
    <n v="0"/>
    <n v="0"/>
    <n v="0"/>
    <n v="0"/>
    <n v="0"/>
    <n v="0"/>
    <n v="0"/>
    <n v="0"/>
    <n v="0"/>
    <n v="0"/>
    <x v="0"/>
    <n v="0"/>
    <n v="0"/>
    <n v="0"/>
    <s v="MMR001CMP059"/>
    <x v="0"/>
    <x v="2"/>
    <x v="0"/>
    <s v=""/>
    <m/>
    <m/>
  </r>
  <r>
    <n v="19.866666666666667"/>
    <d v="2015-03-16T00:00:00"/>
    <x v="1"/>
    <s v="UNHCR"/>
    <s v="Kachin"/>
    <s v="Bhamo"/>
    <s v="Nhkawng Pa camp and Pa Kahtawng camp thru cross line mission with KMSS-Bhamo"/>
    <m/>
    <m/>
    <m/>
    <m/>
    <m/>
    <m/>
    <m/>
    <m/>
    <m/>
    <m/>
    <n v="2460"/>
    <n v="3600"/>
    <m/>
    <m/>
    <m/>
    <m/>
    <m/>
    <n v="0"/>
    <n v="0"/>
    <n v="0"/>
    <n v="0"/>
    <n v="0"/>
    <n v="0"/>
    <n v="0"/>
    <n v="0"/>
    <n v="0"/>
    <n v="0"/>
    <n v="0"/>
    <n v="0"/>
    <n v="0"/>
    <n v="0"/>
    <x v="2"/>
    <n v="0"/>
    <n v="0"/>
    <n v="0"/>
    <s v=""/>
    <x v="3"/>
    <x v="1"/>
    <x v="4"/>
    <s v=""/>
    <s v="No"/>
    <m/>
  </r>
  <r>
    <n v="19.966666666666665"/>
    <d v="2015-03-13T00:00:00"/>
    <x v="1"/>
    <s v="KMSS"/>
    <s v="Kachin"/>
    <s v="Waingmaw"/>
    <s v="Maina Catholic Church (St. Joseph)"/>
    <m/>
    <m/>
    <m/>
    <m/>
    <n v="1"/>
    <m/>
    <m/>
    <m/>
    <m/>
    <m/>
    <m/>
    <m/>
    <m/>
    <m/>
    <m/>
    <m/>
    <m/>
    <n v="0"/>
    <n v="0"/>
    <n v="0"/>
    <n v="0"/>
    <n v="0"/>
    <n v="0"/>
    <n v="0"/>
    <n v="0"/>
    <n v="0"/>
    <n v="0"/>
    <n v="0"/>
    <n v="0"/>
    <n v="0"/>
    <n v="0"/>
    <x v="0"/>
    <n v="0"/>
    <n v="0"/>
    <n v="0"/>
    <s v="MMR001CMP029"/>
    <x v="0"/>
    <x v="0"/>
    <x v="0"/>
    <n v="0"/>
    <s v="No"/>
    <m/>
  </r>
  <r>
    <n v="20"/>
    <d v="2015-03-12T00:00:00"/>
    <x v="0"/>
    <s v="Solidarities"/>
    <s v="Kachin"/>
    <s v="Momauk"/>
    <s v="Loi Je Baptist Church"/>
    <m/>
    <m/>
    <m/>
    <m/>
    <m/>
    <m/>
    <m/>
    <m/>
    <m/>
    <m/>
    <m/>
    <m/>
    <m/>
    <m/>
    <m/>
    <n v="1"/>
    <m/>
    <n v="0"/>
    <n v="0"/>
    <n v="0"/>
    <n v="0"/>
    <n v="0"/>
    <n v="0"/>
    <n v="0"/>
    <n v="0"/>
    <n v="0"/>
    <n v="0"/>
    <n v="0"/>
    <n v="0"/>
    <n v="0"/>
    <n v="0"/>
    <x v="0"/>
    <n v="0"/>
    <n v="0"/>
    <n v="0"/>
    <s v="MMR001CMP071"/>
    <x v="0"/>
    <x v="0"/>
    <x v="1"/>
    <n v="0"/>
    <m/>
    <m/>
  </r>
  <r>
    <n v="20"/>
    <d v="2015-03-12T00:00:00"/>
    <x v="0"/>
    <s v="Solidarities"/>
    <s v="Kachin"/>
    <s v="Momauk"/>
    <s v="Loi Je Baptist Church"/>
    <m/>
    <m/>
    <m/>
    <m/>
    <m/>
    <m/>
    <m/>
    <m/>
    <m/>
    <m/>
    <m/>
    <m/>
    <m/>
    <m/>
    <m/>
    <m/>
    <m/>
    <n v="0"/>
    <n v="0"/>
    <n v="0"/>
    <n v="0"/>
    <n v="0"/>
    <n v="0"/>
    <n v="0"/>
    <n v="0"/>
    <n v="0"/>
    <n v="0"/>
    <n v="0"/>
    <n v="0"/>
    <n v="0"/>
    <n v="0"/>
    <x v="0"/>
    <n v="0"/>
    <n v="0"/>
    <n v="0"/>
    <s v="MMR001CMP071"/>
    <x v="0"/>
    <x v="0"/>
    <x v="1"/>
    <n v="0"/>
    <m/>
    <m/>
  </r>
  <r>
    <n v="20"/>
    <d v="2015-03-12T00:00:00"/>
    <x v="0"/>
    <s v="Solidarities"/>
    <s v="Kachin"/>
    <s v="Momauk"/>
    <s v="Loi Je Catholic Church"/>
    <m/>
    <m/>
    <m/>
    <m/>
    <m/>
    <m/>
    <m/>
    <m/>
    <m/>
    <m/>
    <m/>
    <m/>
    <m/>
    <m/>
    <m/>
    <n v="2"/>
    <m/>
    <n v="0"/>
    <n v="0"/>
    <n v="0"/>
    <n v="0"/>
    <n v="0"/>
    <n v="0"/>
    <n v="0"/>
    <n v="0"/>
    <n v="0"/>
    <n v="0"/>
    <n v="0"/>
    <n v="0"/>
    <n v="0"/>
    <n v="0"/>
    <x v="0"/>
    <n v="0"/>
    <n v="0"/>
    <n v="0"/>
    <s v="MMR001CMP069"/>
    <x v="0"/>
    <x v="0"/>
    <x v="1"/>
    <n v="0"/>
    <m/>
    <m/>
  </r>
  <r>
    <n v="20"/>
    <d v="2015-03-12T00:00:00"/>
    <x v="0"/>
    <s v="Solidarities"/>
    <s v="Kachin"/>
    <s v="Momauk"/>
    <s v="Loi Je Lisu Camp"/>
    <m/>
    <m/>
    <m/>
    <m/>
    <m/>
    <m/>
    <m/>
    <m/>
    <m/>
    <m/>
    <m/>
    <m/>
    <m/>
    <m/>
    <m/>
    <n v="5"/>
    <m/>
    <n v="0"/>
    <n v="0"/>
    <n v="0"/>
    <n v="0"/>
    <n v="0"/>
    <n v="0"/>
    <n v="0"/>
    <n v="0"/>
    <n v="0"/>
    <n v="0"/>
    <n v="0"/>
    <n v="0"/>
    <n v="0"/>
    <n v="0"/>
    <x v="0"/>
    <n v="0"/>
    <n v="0"/>
    <n v="0"/>
    <s v="MMR001CMP070"/>
    <x v="0"/>
    <x v="0"/>
    <x v="1"/>
    <n v="0"/>
    <m/>
    <m/>
  </r>
  <r>
    <n v="20"/>
    <d v="2015-03-12T00:00:00"/>
    <x v="0"/>
    <s v="Solidarities"/>
    <s v="Kachin"/>
    <s v="Bhamo"/>
    <s v="Phan Khar Kone"/>
    <m/>
    <m/>
    <m/>
    <m/>
    <m/>
    <m/>
    <m/>
    <m/>
    <m/>
    <m/>
    <m/>
    <m/>
    <m/>
    <m/>
    <m/>
    <n v="7"/>
    <m/>
    <n v="0"/>
    <n v="0"/>
    <n v="0"/>
    <n v="0"/>
    <n v="0"/>
    <n v="0"/>
    <n v="0"/>
    <n v="0"/>
    <n v="0"/>
    <n v="0"/>
    <n v="0"/>
    <n v="0"/>
    <n v="0"/>
    <n v="0"/>
    <x v="0"/>
    <n v="0"/>
    <n v="0"/>
    <n v="0"/>
    <s v="MMR001CMP193"/>
    <x v="0"/>
    <x v="0"/>
    <x v="0"/>
    <n v="0"/>
    <m/>
    <m/>
  </r>
  <r>
    <n v="20"/>
    <d v="2015-03-12T00:00:00"/>
    <x v="0"/>
    <s v="Solidarities"/>
    <s v="Kachin"/>
    <s v="Bhamo"/>
    <s v="Robert Church"/>
    <m/>
    <m/>
    <m/>
    <m/>
    <m/>
    <m/>
    <m/>
    <m/>
    <m/>
    <m/>
    <m/>
    <m/>
    <m/>
    <m/>
    <m/>
    <n v="11"/>
    <m/>
    <n v="0"/>
    <n v="0"/>
    <n v="0"/>
    <n v="0"/>
    <n v="0"/>
    <n v="0"/>
    <n v="0"/>
    <n v="0"/>
    <n v="0"/>
    <n v="0"/>
    <n v="0"/>
    <n v="0"/>
    <n v="0"/>
    <n v="0"/>
    <x v="0"/>
    <n v="0"/>
    <n v="0"/>
    <n v="0"/>
    <s v="MMR001CMP047"/>
    <x v="0"/>
    <x v="0"/>
    <x v="0"/>
    <n v="0"/>
    <m/>
    <m/>
  </r>
  <r>
    <n v="20"/>
    <d v="2015-03-12T00:00:00"/>
    <x v="0"/>
    <s v="Solidarities"/>
    <s v="Kachin"/>
    <s v="Momauk"/>
    <s v="Seng Ja "/>
    <m/>
    <m/>
    <m/>
    <m/>
    <m/>
    <m/>
    <m/>
    <m/>
    <m/>
    <m/>
    <m/>
    <m/>
    <m/>
    <m/>
    <m/>
    <n v="4"/>
    <m/>
    <n v="0"/>
    <n v="0"/>
    <n v="0"/>
    <n v="0"/>
    <n v="0"/>
    <n v="0"/>
    <n v="0"/>
    <n v="0"/>
    <n v="0"/>
    <n v="0"/>
    <n v="0"/>
    <n v="0"/>
    <n v="0"/>
    <n v="0"/>
    <x v="0"/>
    <n v="0"/>
    <n v="0"/>
    <n v="0"/>
    <s v="MMR001CMP073"/>
    <x v="0"/>
    <x v="0"/>
    <x v="1"/>
    <n v="0"/>
    <m/>
    <m/>
  </r>
  <r>
    <n v="20.066666666666666"/>
    <d v="2015-03-10T00:00:00"/>
    <x v="0"/>
    <s v="Solidarities"/>
    <s v="Kachin"/>
    <s v="Momauk"/>
    <s v="Nyaung Na Pin "/>
    <m/>
    <m/>
    <m/>
    <m/>
    <m/>
    <m/>
    <m/>
    <m/>
    <m/>
    <m/>
    <m/>
    <m/>
    <m/>
    <m/>
    <m/>
    <n v="2"/>
    <m/>
    <n v="0"/>
    <n v="0"/>
    <n v="0"/>
    <n v="0"/>
    <n v="0"/>
    <n v="0"/>
    <n v="0"/>
    <n v="0"/>
    <n v="0"/>
    <n v="0"/>
    <n v="0"/>
    <n v="0"/>
    <n v="0"/>
    <n v="0"/>
    <x v="0"/>
    <n v="0"/>
    <n v="0"/>
    <n v="0"/>
    <s v="MMR001CMP072"/>
    <x v="0"/>
    <x v="0"/>
    <x v="1"/>
    <n v="0"/>
    <m/>
    <m/>
  </r>
  <r>
    <n v="20.233333333333334"/>
    <d v="2015-03-05T00:00:00"/>
    <x v="1"/>
    <s v="KMSS-LSO"/>
    <s v="Shan_North"/>
    <s v="Hseni"/>
    <s v="Nam Sa Larp"/>
    <m/>
    <n v="43"/>
    <n v="43"/>
    <n v="85"/>
    <n v="43"/>
    <n v="95"/>
    <n v="43"/>
    <n v="43"/>
    <n v="43"/>
    <n v="95"/>
    <m/>
    <m/>
    <m/>
    <m/>
    <n v="43"/>
    <m/>
    <m/>
    <n v="0"/>
    <n v="0"/>
    <n v="0"/>
    <n v="0"/>
    <n v="0"/>
    <n v="0"/>
    <n v="0"/>
    <n v="0"/>
    <n v="0"/>
    <n v="0"/>
    <n v="0"/>
    <n v="0"/>
    <n v="0"/>
    <n v="0"/>
    <x v="0"/>
    <n v="0"/>
    <n v="0"/>
    <n v="0"/>
    <s v="MMR015CMP218"/>
    <x v="1"/>
    <x v="0"/>
    <x v="2"/>
    <n v="1.131578947368421"/>
    <s v="No"/>
    <m/>
  </r>
  <r>
    <n v="20.466666666666665"/>
    <d v="2015-02-26T00:00:00"/>
    <x v="0"/>
    <s v="Solidarities"/>
    <s v="Kachin"/>
    <s v="Bhamo"/>
    <s v="AD-2000 Tharthana Compound"/>
    <m/>
    <m/>
    <m/>
    <m/>
    <m/>
    <m/>
    <m/>
    <m/>
    <m/>
    <m/>
    <m/>
    <m/>
    <m/>
    <m/>
    <m/>
    <n v="37"/>
    <m/>
    <n v="0"/>
    <n v="0"/>
    <n v="0"/>
    <n v="0"/>
    <n v="0"/>
    <n v="0"/>
    <n v="0"/>
    <n v="0"/>
    <n v="0"/>
    <n v="0"/>
    <n v="0"/>
    <n v="0"/>
    <n v="0"/>
    <n v="0"/>
    <x v="0"/>
    <n v="0"/>
    <n v="0"/>
    <n v="0"/>
    <s v="MMR001CMP050"/>
    <x v="0"/>
    <x v="0"/>
    <x v="0"/>
    <n v="0"/>
    <m/>
    <m/>
  </r>
  <r>
    <n v="20.5"/>
    <d v="2015-02-25T00:00:00"/>
    <x v="0"/>
    <s v="Solidarities"/>
    <s v="Kachin"/>
    <s v="Bhamo"/>
    <s v="Robert Church"/>
    <m/>
    <m/>
    <m/>
    <m/>
    <m/>
    <m/>
    <m/>
    <m/>
    <m/>
    <m/>
    <m/>
    <m/>
    <m/>
    <m/>
    <m/>
    <n v="76"/>
    <m/>
    <n v="0"/>
    <n v="0"/>
    <n v="0"/>
    <n v="0"/>
    <n v="0"/>
    <n v="0"/>
    <n v="0"/>
    <n v="0"/>
    <n v="0"/>
    <n v="0"/>
    <n v="0"/>
    <n v="0"/>
    <n v="0"/>
    <n v="0"/>
    <x v="0"/>
    <n v="0"/>
    <n v="0"/>
    <n v="0"/>
    <s v="MMR001CMP047"/>
    <x v="0"/>
    <x v="0"/>
    <x v="0"/>
    <n v="0"/>
    <m/>
    <m/>
  </r>
  <r>
    <n v="20.633333333333333"/>
    <d v="2015-02-21T00:00:00"/>
    <x v="1"/>
    <s v="UNHCR"/>
    <s v="Shan_North"/>
    <s v="Kutkai"/>
    <s v="Namtit"/>
    <m/>
    <m/>
    <m/>
    <n v="161"/>
    <n v="76"/>
    <m/>
    <n v="76"/>
    <m/>
    <n v="76"/>
    <m/>
    <m/>
    <m/>
    <m/>
    <m/>
    <n v="76"/>
    <m/>
    <m/>
    <n v="0"/>
    <n v="0"/>
    <n v="0"/>
    <n v="0"/>
    <n v="0"/>
    <n v="0"/>
    <n v="0"/>
    <n v="0"/>
    <n v="0"/>
    <n v="0"/>
    <n v="0"/>
    <n v="0"/>
    <n v="0"/>
    <n v="0"/>
    <x v="0"/>
    <n v="0"/>
    <n v="0"/>
    <n v="0"/>
    <s v=""/>
    <x v="3"/>
    <x v="1"/>
    <x v="4"/>
    <s v=""/>
    <s v="No"/>
    <m/>
  </r>
  <r>
    <n v="20.633333333333333"/>
    <d v="2015-02-21T00:00:00"/>
    <x v="1"/>
    <s v="KMSS-LSO"/>
    <s v="Shan_North"/>
    <s v="Kutkai"/>
    <s v="Zup Aung Camp"/>
    <m/>
    <n v="54"/>
    <n v="36"/>
    <n v="108"/>
    <n v="54"/>
    <n v="108"/>
    <n v="54"/>
    <n v="54"/>
    <n v="54"/>
    <n v="108"/>
    <m/>
    <m/>
    <m/>
    <m/>
    <n v="54"/>
    <m/>
    <m/>
    <n v="0"/>
    <n v="0"/>
    <n v="0"/>
    <n v="0"/>
    <n v="0"/>
    <n v="0"/>
    <n v="0"/>
    <n v="0"/>
    <n v="0"/>
    <n v="0"/>
    <n v="0"/>
    <n v="0"/>
    <n v="0"/>
    <n v="0"/>
    <x v="0"/>
    <n v="0"/>
    <n v="0"/>
    <n v="0"/>
    <s v="MMR015CMP020"/>
    <x v="0"/>
    <x v="0"/>
    <x v="1"/>
    <n v="0.28421052631578947"/>
    <s v="No"/>
    <m/>
  </r>
  <r>
    <n v="20.8"/>
    <d v="2015-02-16T00:00:00"/>
    <x v="1"/>
    <s v="KMSS"/>
    <s v="Kachin"/>
    <s v="Waingmaw"/>
    <s v="Hpun Lum Yang "/>
    <m/>
    <m/>
    <m/>
    <m/>
    <m/>
    <m/>
    <m/>
    <m/>
    <m/>
    <m/>
    <n v="865"/>
    <n v="924"/>
    <m/>
    <n v="918"/>
    <m/>
    <m/>
    <m/>
    <n v="0"/>
    <n v="0"/>
    <n v="0"/>
    <n v="0"/>
    <n v="0"/>
    <n v="0"/>
    <n v="0"/>
    <n v="0"/>
    <n v="0"/>
    <n v="0"/>
    <n v="0"/>
    <n v="0"/>
    <n v="0"/>
    <n v="0"/>
    <x v="2"/>
    <n v="0"/>
    <n v="0"/>
    <n v="0"/>
    <s v="MMR001CMP122"/>
    <x v="0"/>
    <x v="0"/>
    <x v="6"/>
    <n v="0"/>
    <s v="No"/>
    <m/>
  </r>
  <r>
    <n v="20.8"/>
    <d v="2015-02-16T00:00:00"/>
    <x v="1"/>
    <s v="KMSS"/>
    <s v="Kachin"/>
    <s v="Waingmaw"/>
    <s v="Je Yang Hka "/>
    <m/>
    <m/>
    <m/>
    <m/>
    <m/>
    <m/>
    <m/>
    <m/>
    <m/>
    <m/>
    <n v="2676"/>
    <n v="2672"/>
    <m/>
    <n v="3186"/>
    <m/>
    <m/>
    <m/>
    <n v="0"/>
    <n v="0"/>
    <n v="0"/>
    <n v="0"/>
    <n v="0"/>
    <n v="0"/>
    <n v="0"/>
    <n v="0"/>
    <n v="0"/>
    <n v="0"/>
    <n v="0"/>
    <n v="0"/>
    <n v="0"/>
    <n v="0"/>
    <x v="2"/>
    <n v="0"/>
    <n v="0"/>
    <n v="0"/>
    <s v="MMR001CMP121"/>
    <x v="0"/>
    <x v="0"/>
    <x v="6"/>
    <n v="0"/>
    <s v="No"/>
    <m/>
  </r>
  <r>
    <n v="20.8"/>
    <d v="2015-02-16T00:00:00"/>
    <x v="1"/>
    <s v="KMSS"/>
    <s v="Kachin"/>
    <s v="Waingmaw"/>
    <s v="Laiza Market 3 - Laiza Gat"/>
    <m/>
    <m/>
    <m/>
    <m/>
    <m/>
    <m/>
    <m/>
    <m/>
    <m/>
    <m/>
    <n v="1119"/>
    <n v="1455"/>
    <m/>
    <n v="1080"/>
    <m/>
    <m/>
    <m/>
    <n v="0"/>
    <n v="0"/>
    <n v="0"/>
    <n v="0"/>
    <n v="0"/>
    <n v="0"/>
    <n v="0"/>
    <n v="0"/>
    <n v="0"/>
    <n v="0"/>
    <n v="0"/>
    <n v="0"/>
    <n v="0"/>
    <n v="0"/>
    <x v="2"/>
    <n v="0"/>
    <n v="0"/>
    <n v="0"/>
    <s v="MMR001CMP117"/>
    <x v="0"/>
    <x v="2"/>
    <x v="6"/>
    <s v=""/>
    <s v="No"/>
    <m/>
  </r>
  <r>
    <n v="20.8"/>
    <d v="2015-02-16T00:00:00"/>
    <x v="1"/>
    <s v="KMSS"/>
    <s v="Kachin"/>
    <s v="Waingmaw"/>
    <s v="Woi Chyai "/>
    <m/>
    <m/>
    <m/>
    <m/>
    <m/>
    <m/>
    <m/>
    <m/>
    <m/>
    <m/>
    <n v="1620"/>
    <n v="2207"/>
    <m/>
    <n v="1760"/>
    <m/>
    <m/>
    <m/>
    <n v="0"/>
    <n v="0"/>
    <n v="0"/>
    <n v="0"/>
    <n v="0"/>
    <n v="0"/>
    <n v="0"/>
    <n v="0"/>
    <n v="0"/>
    <n v="0"/>
    <n v="0"/>
    <n v="0"/>
    <n v="0"/>
    <n v="0"/>
    <x v="2"/>
    <n v="0"/>
    <n v="0"/>
    <n v="0"/>
    <s v="MMR001CMP116"/>
    <x v="0"/>
    <x v="0"/>
    <x v="0"/>
    <n v="0"/>
    <s v="No"/>
    <m/>
  </r>
  <r>
    <n v="20.9"/>
    <d v="2015-02-13T00:00:00"/>
    <x v="1"/>
    <s v="KMSS"/>
    <s v="Kachin"/>
    <s v="Myitkyina"/>
    <s v="Pa Dauk Myaing(Pa La Na)"/>
    <m/>
    <m/>
    <m/>
    <m/>
    <m/>
    <n v="18"/>
    <n v="9"/>
    <m/>
    <n v="29"/>
    <n v="145"/>
    <m/>
    <m/>
    <m/>
    <m/>
    <m/>
    <m/>
    <m/>
    <n v="0"/>
    <n v="0"/>
    <n v="0"/>
    <n v="0"/>
    <n v="0"/>
    <n v="0"/>
    <n v="0"/>
    <n v="0"/>
    <n v="0"/>
    <n v="0"/>
    <n v="0"/>
    <n v="0"/>
    <n v="0"/>
    <n v="0"/>
    <x v="0"/>
    <n v="0"/>
    <n v="0"/>
    <n v="0"/>
    <s v="MMR001CMP162"/>
    <x v="0"/>
    <x v="0"/>
    <x v="0"/>
    <n v="0.19565217391304349"/>
    <s v="No"/>
    <m/>
  </r>
  <r>
    <n v="20.9"/>
    <d v="2015-02-13T00:00:00"/>
    <x v="1"/>
    <s v="KMSS-LSO"/>
    <s v="Shan_North"/>
    <s v="Kutkai"/>
    <s v="Pyi Lung Chan Tar"/>
    <m/>
    <n v="68"/>
    <n v="54"/>
    <n v="134"/>
    <n v="68"/>
    <n v="134"/>
    <n v="68"/>
    <m/>
    <n v="68"/>
    <n v="134"/>
    <m/>
    <m/>
    <m/>
    <m/>
    <n v="68"/>
    <m/>
    <m/>
    <n v="0"/>
    <n v="0"/>
    <n v="0"/>
    <n v="0"/>
    <n v="0"/>
    <n v="0"/>
    <n v="0"/>
    <n v="0"/>
    <n v="0"/>
    <n v="0"/>
    <n v="0"/>
    <n v="0"/>
    <n v="0"/>
    <n v="0"/>
    <x v="0"/>
    <n v="0"/>
    <n v="0"/>
    <n v="0"/>
    <s v=""/>
    <x v="3"/>
    <x v="1"/>
    <x v="4"/>
    <s v=""/>
    <s v="No"/>
    <m/>
  </r>
  <r>
    <n v="21"/>
    <d v="2015-02-10T00:00:00"/>
    <x v="1"/>
    <s v="UNHCR"/>
    <s v="Shan_North"/>
    <s v="Mansi"/>
    <s v="Moe Gok (A Shae Kyaung)"/>
    <m/>
    <m/>
    <m/>
    <n v="49"/>
    <n v="16"/>
    <n v="49"/>
    <n v="16"/>
    <m/>
    <n v="16"/>
    <n v="92"/>
    <m/>
    <m/>
    <m/>
    <m/>
    <n v="15"/>
    <m/>
    <m/>
    <n v="0"/>
    <n v="0"/>
    <n v="0"/>
    <n v="0"/>
    <n v="0"/>
    <n v="0"/>
    <n v="0"/>
    <n v="0"/>
    <n v="0"/>
    <n v="0"/>
    <n v="0"/>
    <n v="0"/>
    <n v="0"/>
    <n v="0"/>
    <x v="0"/>
    <n v="0"/>
    <n v="0"/>
    <n v="0"/>
    <s v=""/>
    <x v="3"/>
    <x v="1"/>
    <x v="4"/>
    <s v=""/>
    <s v="No"/>
    <m/>
  </r>
  <r>
    <n v="21"/>
    <d v="2015-02-10T00:00:00"/>
    <x v="1"/>
    <s v="UNHCR"/>
    <s v="Shan_North"/>
    <s v="Mansi"/>
    <s v="Moe Gok (Aung Daw Mu)"/>
    <m/>
    <m/>
    <m/>
    <n v="75"/>
    <n v="13"/>
    <n v="110"/>
    <n v="13"/>
    <m/>
    <n v="13"/>
    <n v="45"/>
    <m/>
    <m/>
    <m/>
    <m/>
    <m/>
    <m/>
    <m/>
    <n v="0"/>
    <n v="0"/>
    <n v="0"/>
    <n v="0"/>
    <n v="0"/>
    <n v="0"/>
    <n v="0"/>
    <n v="0"/>
    <n v="0"/>
    <n v="0"/>
    <n v="0"/>
    <n v="0"/>
    <n v="0"/>
    <n v="0"/>
    <x v="0"/>
    <n v="0"/>
    <n v="0"/>
    <n v="0"/>
    <s v=""/>
    <x v="3"/>
    <x v="1"/>
    <x v="4"/>
    <s v=""/>
    <s v="No"/>
    <m/>
  </r>
  <r>
    <n v="21"/>
    <d v="2015-02-10T00:00:00"/>
    <x v="1"/>
    <s v="UNHCR"/>
    <s v="Shan_North"/>
    <s v="Mansi"/>
    <s v="Moe Gok (Pain Pyit Lisu Village)"/>
    <m/>
    <n v="200"/>
    <m/>
    <n v="86"/>
    <n v="28"/>
    <n v="173"/>
    <n v="28"/>
    <m/>
    <n v="43"/>
    <n v="199"/>
    <m/>
    <m/>
    <m/>
    <m/>
    <n v="42"/>
    <m/>
    <m/>
    <n v="0"/>
    <n v="0"/>
    <n v="0"/>
    <n v="0"/>
    <n v="0"/>
    <n v="0"/>
    <n v="0"/>
    <n v="0"/>
    <n v="0"/>
    <n v="0"/>
    <n v="0"/>
    <n v="0"/>
    <n v="0"/>
    <n v="0"/>
    <x v="0"/>
    <n v="0"/>
    <n v="0"/>
    <n v="0"/>
    <s v=""/>
    <x v="3"/>
    <x v="1"/>
    <x v="4"/>
    <s v=""/>
    <s v="No"/>
    <m/>
  </r>
  <r>
    <n v="21"/>
    <d v="2015-02-10T00:00:00"/>
    <x v="1"/>
    <s v="UNHCR"/>
    <s v="Shan_North"/>
    <s v="Mansi"/>
    <s v="Moe Mait (Man Ohn0"/>
    <m/>
    <m/>
    <m/>
    <n v="90"/>
    <n v="43"/>
    <n v="93"/>
    <n v="43"/>
    <m/>
    <n v="32"/>
    <n v="164"/>
    <m/>
    <m/>
    <m/>
    <m/>
    <n v="43"/>
    <m/>
    <m/>
    <n v="0"/>
    <n v="0"/>
    <n v="0"/>
    <n v="0"/>
    <n v="0"/>
    <n v="0"/>
    <n v="0"/>
    <n v="0"/>
    <n v="0"/>
    <n v="0"/>
    <n v="0"/>
    <n v="0"/>
    <n v="0"/>
    <n v="0"/>
    <x v="0"/>
    <n v="0"/>
    <n v="0"/>
    <n v="0"/>
    <s v=""/>
    <x v="3"/>
    <x v="1"/>
    <x v="4"/>
    <s v=""/>
    <s v="No"/>
    <m/>
  </r>
  <r>
    <n v="21"/>
    <d v="2015-02-10T00:00:00"/>
    <x v="1"/>
    <s v="KBC"/>
    <s v="Kachin"/>
    <s v="Puta-O"/>
    <s v="Resettlement place"/>
    <m/>
    <m/>
    <n v="46"/>
    <n v="92"/>
    <n v="46"/>
    <n v="92"/>
    <n v="46"/>
    <m/>
    <n v="46"/>
    <n v="230"/>
    <m/>
    <m/>
    <m/>
    <m/>
    <n v="46"/>
    <m/>
    <n v="55"/>
    <n v="0"/>
    <n v="0"/>
    <n v="0"/>
    <n v="0"/>
    <n v="0"/>
    <n v="0"/>
    <n v="0"/>
    <n v="0"/>
    <n v="0"/>
    <n v="0"/>
    <n v="0"/>
    <n v="0"/>
    <n v="0"/>
    <n v="0"/>
    <x v="0"/>
    <n v="0"/>
    <n v="0"/>
    <n v="0"/>
    <s v=""/>
    <x v="3"/>
    <x v="1"/>
    <x v="4"/>
    <s v=""/>
    <s v="No"/>
    <m/>
  </r>
  <r>
    <n v="21.5"/>
    <d v="2015-01-26T00:00:00"/>
    <x v="1"/>
    <s v="KBC"/>
    <s v="Kachin"/>
    <s v="Hpakant"/>
    <s v="5 Ward RC Church(lon Khin)"/>
    <m/>
    <n v="100"/>
    <m/>
    <n v="200"/>
    <n v="200"/>
    <n v="200"/>
    <n v="100"/>
    <m/>
    <n v="100"/>
    <n v="500"/>
    <m/>
    <m/>
    <m/>
    <m/>
    <n v="100"/>
    <m/>
    <m/>
    <n v="0"/>
    <n v="0"/>
    <n v="0"/>
    <n v="0"/>
    <n v="0"/>
    <n v="0"/>
    <n v="0"/>
    <n v="0"/>
    <n v="0"/>
    <n v="0"/>
    <n v="0"/>
    <n v="0"/>
    <n v="0"/>
    <n v="0"/>
    <x v="0"/>
    <n v="0"/>
    <n v="0"/>
    <n v="0"/>
    <s v="MMR001CMP168"/>
    <x v="0"/>
    <x v="0"/>
    <x v="0"/>
    <n v="1.2987012987012987"/>
    <s v="No"/>
    <s v="Updated on 11/Nov/2015. Added jerry can data. Data source: mail by Win Aung Htun"/>
  </r>
  <r>
    <n v="21.5"/>
    <d v="2015-01-26T00:00:00"/>
    <x v="1"/>
    <s v="KMSS"/>
    <s v="Kachin"/>
    <s v="Hpakant"/>
    <s v="Emergency"/>
    <m/>
    <n v="200"/>
    <m/>
    <n v="400"/>
    <n v="250"/>
    <n v="400"/>
    <n v="200"/>
    <m/>
    <n v="200"/>
    <n v="1200"/>
    <m/>
    <m/>
    <m/>
    <m/>
    <n v="200"/>
    <m/>
    <n v="30"/>
    <n v="0"/>
    <n v="0"/>
    <n v="0"/>
    <n v="0"/>
    <n v="0"/>
    <n v="0"/>
    <n v="0"/>
    <n v="0"/>
    <n v="0"/>
    <n v="0"/>
    <n v="0"/>
    <n v="0"/>
    <n v="0"/>
    <n v="0"/>
    <x v="0"/>
    <n v="0"/>
    <n v="0"/>
    <n v="0"/>
    <s v=""/>
    <x v="3"/>
    <x v="1"/>
    <x v="4"/>
    <s v=""/>
    <s v="No"/>
    <m/>
  </r>
  <r>
    <n v="21.933333333333334"/>
    <d v="2015-01-13T00:00:00"/>
    <x v="3"/>
    <s v="MRCS"/>
    <s v="Kachin"/>
    <s v="Chipwi"/>
    <s v="Chipwi KBC camp"/>
    <m/>
    <m/>
    <m/>
    <m/>
    <m/>
    <m/>
    <m/>
    <m/>
    <m/>
    <m/>
    <n v="293"/>
    <n v="190"/>
    <m/>
    <n v="170"/>
    <m/>
    <m/>
    <m/>
    <n v="0"/>
    <n v="0"/>
    <n v="0"/>
    <n v="0"/>
    <n v="0"/>
    <n v="0"/>
    <n v="0"/>
    <n v="0"/>
    <n v="0"/>
    <n v="0"/>
    <n v="0"/>
    <n v="0"/>
    <n v="0"/>
    <n v="0"/>
    <x v="2"/>
    <n v="0"/>
    <n v="0"/>
    <n v="0"/>
    <s v="MMR001CMP042"/>
    <x v="0"/>
    <x v="0"/>
    <x v="5"/>
    <n v="0"/>
    <m/>
    <m/>
  </r>
  <r>
    <n v="21.933333333333334"/>
    <d v="2015-01-13T00:00:00"/>
    <x v="3"/>
    <s v="MRCS"/>
    <s v="Kachin"/>
    <s v="Chipwi"/>
    <s v="Lhaovao Baptist Church (LBC)"/>
    <m/>
    <m/>
    <m/>
    <m/>
    <m/>
    <m/>
    <m/>
    <m/>
    <m/>
    <m/>
    <n v="350"/>
    <n v="236"/>
    <m/>
    <n v="203"/>
    <m/>
    <m/>
    <m/>
    <n v="0"/>
    <n v="0"/>
    <n v="0"/>
    <n v="0"/>
    <n v="0"/>
    <n v="0"/>
    <n v="0"/>
    <n v="0"/>
    <n v="0"/>
    <n v="0"/>
    <n v="0"/>
    <n v="0"/>
    <n v="0"/>
    <n v="0"/>
    <x v="2"/>
    <n v="0"/>
    <n v="0"/>
    <n v="0"/>
    <s v="MMR001CMP195"/>
    <x v="0"/>
    <x v="0"/>
    <x v="5"/>
    <n v="0"/>
    <m/>
    <m/>
  </r>
  <r>
    <n v="21.933333333333334"/>
    <d v="2015-01-13T00:00:00"/>
    <x v="3"/>
    <s v="MRCS"/>
    <s v="Kachin"/>
    <s v="Momauk"/>
    <s v="Nyaung Na Pin "/>
    <m/>
    <m/>
    <m/>
    <m/>
    <m/>
    <m/>
    <m/>
    <m/>
    <m/>
    <m/>
    <n v="195"/>
    <n v="91"/>
    <m/>
    <n v="92"/>
    <m/>
    <m/>
    <m/>
    <n v="0"/>
    <n v="0"/>
    <n v="0"/>
    <n v="0"/>
    <n v="0"/>
    <n v="0"/>
    <n v="0"/>
    <n v="0"/>
    <n v="0"/>
    <n v="0"/>
    <n v="0"/>
    <n v="0"/>
    <n v="0"/>
    <n v="0"/>
    <x v="2"/>
    <n v="0"/>
    <n v="0"/>
    <n v="0"/>
    <s v="MMR001CMP072"/>
    <x v="0"/>
    <x v="0"/>
    <x v="1"/>
    <n v="0"/>
    <m/>
    <m/>
  </r>
  <r>
    <n v="21.933333333333334"/>
    <d v="2015-01-13T00:00:00"/>
    <x v="3"/>
    <s v="MRCS"/>
    <s v="Kachin"/>
    <s v="Myitkyina"/>
    <s v="Pa Dauk Myaing(Pa La Na)"/>
    <m/>
    <m/>
    <m/>
    <m/>
    <m/>
    <m/>
    <m/>
    <m/>
    <m/>
    <m/>
    <n v="323"/>
    <n v="178"/>
    <m/>
    <m/>
    <m/>
    <m/>
    <m/>
    <n v="0"/>
    <n v="0"/>
    <n v="0"/>
    <n v="0"/>
    <n v="0"/>
    <n v="0"/>
    <n v="0"/>
    <n v="0"/>
    <n v="0"/>
    <n v="0"/>
    <n v="0"/>
    <n v="0"/>
    <n v="0"/>
    <n v="0"/>
    <x v="2"/>
    <n v="0"/>
    <n v="0"/>
    <n v="0"/>
    <s v="MMR001CMP162"/>
    <x v="0"/>
    <x v="0"/>
    <x v="0"/>
    <n v="0"/>
    <m/>
    <m/>
  </r>
  <r>
    <n v="21.933333333333334"/>
    <d v="2015-01-13T00:00:00"/>
    <x v="3"/>
    <s v="MRCS"/>
    <s v="Kachin"/>
    <s v="Chipwi"/>
    <s v="Pan Wa"/>
    <m/>
    <m/>
    <m/>
    <m/>
    <m/>
    <m/>
    <m/>
    <m/>
    <m/>
    <m/>
    <n v="187"/>
    <n v="137"/>
    <m/>
    <n v="118"/>
    <m/>
    <m/>
    <m/>
    <n v="0"/>
    <n v="0"/>
    <n v="0"/>
    <n v="0"/>
    <n v="0"/>
    <n v="0"/>
    <n v="0"/>
    <n v="0"/>
    <n v="0"/>
    <n v="0"/>
    <n v="0"/>
    <n v="0"/>
    <n v="0"/>
    <n v="0"/>
    <x v="2"/>
    <n v="0"/>
    <n v="0"/>
    <n v="0"/>
    <s v="MMR001CMP210"/>
    <x v="0"/>
    <x v="0"/>
    <x v="5"/>
    <n v="0"/>
    <m/>
    <m/>
  </r>
  <r>
    <n v="21.933333333333334"/>
    <d v="2015-01-13T00:00:00"/>
    <x v="3"/>
    <s v="MRCS"/>
    <s v="Kachin"/>
    <s v="Hpakant"/>
    <s v="Rawan Baptist Church, Maw Shan Vil., Seik Mu"/>
    <m/>
    <m/>
    <m/>
    <m/>
    <m/>
    <m/>
    <m/>
    <m/>
    <m/>
    <m/>
    <n v="26"/>
    <n v="14"/>
    <m/>
    <m/>
    <m/>
    <m/>
    <m/>
    <n v="0"/>
    <n v="0"/>
    <n v="0"/>
    <n v="0"/>
    <n v="0"/>
    <n v="0"/>
    <n v="0"/>
    <n v="0"/>
    <n v="0"/>
    <n v="0"/>
    <n v="0"/>
    <n v="0"/>
    <n v="0"/>
    <n v="0"/>
    <x v="2"/>
    <n v="0"/>
    <n v="0"/>
    <n v="0"/>
    <s v="MMR001CMP182"/>
    <x v="0"/>
    <x v="0"/>
    <x v="0"/>
    <n v="0"/>
    <m/>
    <m/>
  </r>
  <r>
    <n v="21.933333333333334"/>
    <d v="2015-01-13T00:00:00"/>
    <x v="3"/>
    <s v="MRCS"/>
    <s v="Kachin"/>
    <s v="Hpakant"/>
    <s v="Sai Nai Baptish Church, Maw Shan Vil., Seki Mu"/>
    <m/>
    <m/>
    <m/>
    <m/>
    <m/>
    <m/>
    <m/>
    <m/>
    <m/>
    <m/>
    <n v="34"/>
    <n v="9"/>
    <m/>
    <m/>
    <m/>
    <m/>
    <m/>
    <n v="0"/>
    <n v="0"/>
    <n v="0"/>
    <n v="0"/>
    <n v="0"/>
    <n v="0"/>
    <n v="0"/>
    <n v="0"/>
    <n v="0"/>
    <n v="0"/>
    <n v="0"/>
    <n v="0"/>
    <n v="0"/>
    <n v="0"/>
    <x v="2"/>
    <n v="0"/>
    <n v="0"/>
    <n v="0"/>
    <s v="MMR001CMP183"/>
    <x v="0"/>
    <x v="0"/>
    <x v="0"/>
    <n v="0"/>
    <m/>
    <m/>
  </r>
  <r>
    <n v="21.933333333333334"/>
    <d v="2015-01-13T00:00:00"/>
    <x v="3"/>
    <s v="MRCS"/>
    <s v="Kachin"/>
    <s v="Chipwi"/>
    <s v="Saw Zam"/>
    <m/>
    <m/>
    <m/>
    <m/>
    <m/>
    <m/>
    <m/>
    <m/>
    <m/>
    <m/>
    <n v="111"/>
    <n v="56"/>
    <m/>
    <n v="58"/>
    <m/>
    <m/>
    <m/>
    <n v="0"/>
    <n v="0"/>
    <n v="0"/>
    <n v="0"/>
    <n v="0"/>
    <n v="0"/>
    <n v="0"/>
    <n v="0"/>
    <n v="0"/>
    <n v="0"/>
    <n v="0"/>
    <n v="0"/>
    <n v="0"/>
    <n v="0"/>
    <x v="2"/>
    <n v="0"/>
    <n v="0"/>
    <n v="0"/>
    <s v="MMR001CMP225"/>
    <x v="0"/>
    <x v="0"/>
    <x v="5"/>
    <n v="0"/>
    <m/>
    <m/>
  </r>
  <r>
    <n v="21.933333333333334"/>
    <d v="2015-01-13T00:00:00"/>
    <x v="3"/>
    <s v="MRCS"/>
    <s v="Kachin"/>
    <s v="Momauk"/>
    <s v="Seng Ja "/>
    <m/>
    <m/>
    <m/>
    <m/>
    <m/>
    <m/>
    <m/>
    <m/>
    <m/>
    <m/>
    <n v="155"/>
    <n v="73"/>
    <m/>
    <n v="96"/>
    <m/>
    <m/>
    <m/>
    <n v="0"/>
    <n v="0"/>
    <n v="0"/>
    <n v="0"/>
    <n v="0"/>
    <n v="0"/>
    <n v="0"/>
    <n v="0"/>
    <n v="0"/>
    <n v="0"/>
    <n v="0"/>
    <n v="0"/>
    <n v="0"/>
    <n v="0"/>
    <x v="2"/>
    <n v="0"/>
    <n v="0"/>
    <n v="0"/>
    <s v="MMR001CMP073"/>
    <x v="0"/>
    <x v="0"/>
    <x v="1"/>
    <n v="0"/>
    <m/>
    <m/>
  </r>
  <r>
    <n v="21.933333333333334"/>
    <d v="2015-01-13T00:00:00"/>
    <x v="3"/>
    <s v="MRCS"/>
    <s v="Kachin"/>
    <s v="Sumprabum"/>
    <s v="Sumprabum"/>
    <m/>
    <m/>
    <m/>
    <m/>
    <m/>
    <m/>
    <m/>
    <m/>
    <m/>
    <m/>
    <n v="91"/>
    <n v="32"/>
    <m/>
    <n v="36"/>
    <m/>
    <m/>
    <m/>
    <n v="0"/>
    <n v="0"/>
    <n v="0"/>
    <n v="0"/>
    <n v="0"/>
    <n v="0"/>
    <n v="0"/>
    <n v="0"/>
    <n v="0"/>
    <n v="0"/>
    <n v="0"/>
    <n v="0"/>
    <n v="0"/>
    <n v="0"/>
    <x v="2"/>
    <n v="0"/>
    <n v="0"/>
    <n v="0"/>
    <s v="MMR001CMP206"/>
    <x v="0"/>
    <x v="0"/>
    <x v="0"/>
    <n v="0"/>
    <m/>
    <m/>
  </r>
  <r>
    <n v="21.933333333333334"/>
    <d v="2015-01-13T00:00:00"/>
    <x v="1"/>
    <s v="Shalom"/>
    <s v="Kachin"/>
    <s v="Myitkyina"/>
    <s v="Tat Kone COC Baptist - Tat Kone Htoi San"/>
    <m/>
    <m/>
    <m/>
    <m/>
    <n v="2"/>
    <m/>
    <m/>
    <m/>
    <m/>
    <m/>
    <m/>
    <m/>
    <m/>
    <m/>
    <m/>
    <m/>
    <m/>
    <n v="0"/>
    <n v="0"/>
    <n v="0"/>
    <n v="0"/>
    <n v="0"/>
    <n v="0"/>
    <n v="0"/>
    <n v="0"/>
    <n v="0"/>
    <n v="0"/>
    <n v="0"/>
    <n v="0"/>
    <n v="0"/>
    <n v="0"/>
    <x v="0"/>
    <n v="0"/>
    <n v="0"/>
    <n v="0"/>
    <s v="MMR001CMP023"/>
    <x v="0"/>
    <x v="0"/>
    <x v="0"/>
    <n v="0"/>
    <s v="No"/>
    <m/>
  </r>
  <r>
    <n v="21.933333333333334"/>
    <d v="2015-01-13T00:00:00"/>
    <x v="3"/>
    <s v="MRCS"/>
    <s v="Kachin"/>
    <s v="Hpakant"/>
    <s v="Ward 2 Sai Taung Baptist Church, Seik Mu "/>
    <m/>
    <m/>
    <m/>
    <m/>
    <m/>
    <m/>
    <m/>
    <m/>
    <m/>
    <m/>
    <n v="94"/>
    <n v="58"/>
    <m/>
    <m/>
    <m/>
    <m/>
    <m/>
    <n v="0"/>
    <n v="0"/>
    <n v="0"/>
    <n v="0"/>
    <n v="0"/>
    <n v="0"/>
    <n v="0"/>
    <n v="0"/>
    <n v="0"/>
    <n v="0"/>
    <n v="0"/>
    <n v="0"/>
    <n v="0"/>
    <n v="0"/>
    <x v="2"/>
    <n v="0"/>
    <n v="0"/>
    <n v="0"/>
    <s v="MMR001CMP184"/>
    <x v="0"/>
    <x v="0"/>
    <x v="0"/>
    <n v="0"/>
    <m/>
    <m/>
  </r>
  <r>
    <n v="21.933333333333334"/>
    <d v="2015-01-13T00:00:00"/>
    <x v="3"/>
    <s v="MRCS"/>
    <s v="Kachin"/>
    <s v="Hpakant"/>
    <s v="Yumar Baptist Church"/>
    <m/>
    <m/>
    <m/>
    <m/>
    <m/>
    <m/>
    <m/>
    <m/>
    <m/>
    <m/>
    <n v="33"/>
    <n v="8"/>
    <m/>
    <m/>
    <m/>
    <m/>
    <m/>
    <n v="0"/>
    <n v="0"/>
    <n v="0"/>
    <n v="0"/>
    <n v="0"/>
    <n v="0"/>
    <n v="0"/>
    <n v="0"/>
    <n v="0"/>
    <n v="0"/>
    <n v="0"/>
    <n v="0"/>
    <n v="0"/>
    <n v="0"/>
    <x v="2"/>
    <n v="0"/>
    <n v="0"/>
    <n v="0"/>
    <s v="MMR001CMP105"/>
    <x v="0"/>
    <x v="0"/>
    <x v="0"/>
    <n v="0"/>
    <m/>
    <m/>
  </r>
  <r>
    <n v="22.033333333333335"/>
    <d v="2015-01-10T00:00:00"/>
    <x v="1"/>
    <s v="UNHCR"/>
    <s v="Kachin"/>
    <s v="Puta-O"/>
    <s v="Naung Khaing"/>
    <m/>
    <m/>
    <n v="55"/>
    <n v="110"/>
    <n v="55"/>
    <n v="110"/>
    <n v="55"/>
    <m/>
    <n v="55"/>
    <n v="275"/>
    <m/>
    <m/>
    <m/>
    <m/>
    <n v="55"/>
    <m/>
    <m/>
    <n v="0"/>
    <n v="0"/>
    <n v="0"/>
    <n v="0"/>
    <n v="0"/>
    <n v="0"/>
    <n v="0"/>
    <n v="0"/>
    <n v="0"/>
    <n v="0"/>
    <n v="0"/>
    <n v="0"/>
    <n v="0"/>
    <n v="0"/>
    <x v="0"/>
    <n v="0"/>
    <n v="0"/>
    <n v="0"/>
    <s v="MMR001CMP220"/>
    <x v="0"/>
    <x v="2"/>
    <x v="1"/>
    <s v=""/>
    <s v="No"/>
    <m/>
  </r>
  <r>
    <n v="22.333333333333332"/>
    <d v="2015-01-01T00:00:00"/>
    <x v="1"/>
    <s v="KBC"/>
    <s v="Kachin"/>
    <s v="Waingmaw"/>
    <s v="Shing Jai"/>
    <m/>
    <m/>
    <m/>
    <m/>
    <m/>
    <m/>
    <n v="50"/>
    <m/>
    <m/>
    <m/>
    <m/>
    <m/>
    <m/>
    <m/>
    <m/>
    <m/>
    <n v="90"/>
    <n v="0"/>
    <n v="0"/>
    <n v="0"/>
    <n v="0"/>
    <n v="0"/>
    <n v="0"/>
    <n v="0"/>
    <n v="0"/>
    <n v="0"/>
    <n v="0"/>
    <n v="0"/>
    <n v="0"/>
    <n v="0"/>
    <n v="0"/>
    <x v="0"/>
    <n v="0"/>
    <n v="0"/>
    <n v="0"/>
    <s v="MMR001CMP041"/>
    <x v="0"/>
    <x v="0"/>
    <x v="5"/>
    <n v="0.27932960893854747"/>
    <s v="No"/>
    <m/>
  </r>
  <r>
    <n v="22.4"/>
    <d v="2014-12-30T00:00:00"/>
    <x v="1"/>
    <s v="KBC"/>
    <s v="Kachin"/>
    <s v="Waingmaw"/>
    <s v="Shing Jai"/>
    <m/>
    <m/>
    <n v="120"/>
    <n v="240"/>
    <n v="135"/>
    <n v="240"/>
    <n v="170"/>
    <n v="120"/>
    <n v="120"/>
    <n v="600"/>
    <m/>
    <m/>
    <m/>
    <m/>
    <m/>
    <m/>
    <m/>
    <n v="0"/>
    <n v="0"/>
    <n v="0"/>
    <n v="0"/>
    <n v="0"/>
    <n v="0"/>
    <n v="0"/>
    <n v="0"/>
    <n v="0"/>
    <n v="0"/>
    <n v="0"/>
    <n v="0"/>
    <n v="0"/>
    <n v="0"/>
    <x v="0"/>
    <n v="0"/>
    <n v="0"/>
    <n v="0"/>
    <s v="MMR001CMP041"/>
    <x v="0"/>
    <x v="0"/>
    <x v="5"/>
    <n v="0.94972067039106145"/>
    <m/>
    <m/>
  </r>
  <r>
    <n v="22.766666666666666"/>
    <d v="2014-12-19T00:00:00"/>
    <x v="1"/>
    <s v="KBC"/>
    <s v="Kachin"/>
    <s v="Waingmaw"/>
    <s v="Hkau Shau (BP 12)"/>
    <m/>
    <m/>
    <m/>
    <m/>
    <m/>
    <m/>
    <m/>
    <m/>
    <m/>
    <m/>
    <n v="364"/>
    <n v="543"/>
    <m/>
    <n v="362"/>
    <m/>
    <m/>
    <m/>
    <n v="0"/>
    <n v="0"/>
    <n v="0"/>
    <n v="0"/>
    <n v="0"/>
    <n v="0"/>
    <n v="0"/>
    <n v="0"/>
    <n v="0"/>
    <n v="0"/>
    <n v="0"/>
    <n v="0"/>
    <n v="0"/>
    <n v="0"/>
    <x v="2"/>
    <n v="0"/>
    <n v="0"/>
    <n v="0"/>
    <s v="MMR001CMP115"/>
    <x v="0"/>
    <x v="0"/>
    <x v="5"/>
    <n v="0"/>
    <m/>
    <m/>
  </r>
  <r>
    <n v="22.766666666666666"/>
    <d v="2014-12-19T00:00:00"/>
    <x v="1"/>
    <m/>
    <s v="Kachin"/>
    <s v="Chipwi"/>
    <s v="Hpare Hkyer - BP6"/>
    <m/>
    <m/>
    <m/>
    <m/>
    <m/>
    <m/>
    <m/>
    <m/>
    <m/>
    <m/>
    <n v="320"/>
    <n v="465"/>
    <m/>
    <n v="310"/>
    <m/>
    <m/>
    <m/>
    <n v="0"/>
    <n v="0"/>
    <n v="0"/>
    <n v="0"/>
    <n v="0"/>
    <n v="0"/>
    <n v="0"/>
    <n v="0"/>
    <n v="0"/>
    <n v="0"/>
    <n v="0"/>
    <n v="0"/>
    <n v="0"/>
    <n v="0"/>
    <x v="2"/>
    <n v="0"/>
    <n v="0"/>
    <n v="0"/>
    <s v="MMR001CMP043"/>
    <x v="0"/>
    <x v="0"/>
    <x v="5"/>
    <n v="0"/>
    <m/>
    <m/>
  </r>
  <r>
    <n v="22.766666666666666"/>
    <d v="2014-12-19T00:00:00"/>
    <x v="1"/>
    <m/>
    <s v="Kachin"/>
    <s v="Waingmaw"/>
    <s v="Pajau - Jan Mai"/>
    <m/>
    <m/>
    <m/>
    <m/>
    <m/>
    <m/>
    <m/>
    <m/>
    <m/>
    <m/>
    <n v="384"/>
    <n v="573"/>
    <m/>
    <n v="382"/>
    <m/>
    <m/>
    <m/>
    <n v="0"/>
    <n v="0"/>
    <n v="0"/>
    <n v="0"/>
    <n v="0"/>
    <n v="0"/>
    <n v="0"/>
    <n v="0"/>
    <n v="0"/>
    <n v="0"/>
    <n v="0"/>
    <n v="0"/>
    <n v="0"/>
    <n v="0"/>
    <x v="2"/>
    <n v="0"/>
    <n v="0"/>
    <n v="0"/>
    <s v="MMR001CMP120"/>
    <x v="0"/>
    <x v="0"/>
    <x v="5"/>
    <n v="0"/>
    <m/>
    <m/>
  </r>
  <r>
    <n v="22.766666666666666"/>
    <d v="2014-12-19T00:00:00"/>
    <x v="1"/>
    <s v="KBC"/>
    <s v="Kachin"/>
    <s v="Waingmaw"/>
    <s v="Zai Awng - Mung Ga Zup"/>
    <m/>
    <m/>
    <m/>
    <m/>
    <m/>
    <m/>
    <m/>
    <m/>
    <m/>
    <m/>
    <n v="1292"/>
    <n v="1938"/>
    <m/>
    <n v="1292"/>
    <m/>
    <m/>
    <m/>
    <n v="0"/>
    <n v="0"/>
    <n v="0"/>
    <n v="0"/>
    <n v="0"/>
    <n v="0"/>
    <n v="0"/>
    <n v="0"/>
    <n v="0"/>
    <n v="0"/>
    <n v="0"/>
    <n v="0"/>
    <n v="0"/>
    <n v="0"/>
    <x v="2"/>
    <n v="0"/>
    <n v="0"/>
    <n v="0"/>
    <s v="MMR001CMP111"/>
    <x v="0"/>
    <x v="0"/>
    <x v="6"/>
    <n v="0"/>
    <m/>
    <m/>
  </r>
  <r>
    <n v="22.8"/>
    <d v="2014-12-18T00:00:00"/>
    <x v="0"/>
    <s v="Solidarities"/>
    <s v="Kachin"/>
    <s v="Momauk"/>
    <s v="Nyaung Na Pin "/>
    <m/>
    <m/>
    <n v="85"/>
    <m/>
    <m/>
    <m/>
    <m/>
    <m/>
    <m/>
    <m/>
    <m/>
    <m/>
    <m/>
    <m/>
    <m/>
    <m/>
    <m/>
    <n v="0"/>
    <n v="0"/>
    <n v="0"/>
    <n v="0"/>
    <n v="0"/>
    <n v="0"/>
    <n v="0"/>
    <n v="0"/>
    <n v="0"/>
    <n v="0"/>
    <n v="0"/>
    <n v="0"/>
    <n v="0"/>
    <n v="0"/>
    <x v="0"/>
    <n v="0"/>
    <n v="0"/>
    <n v="0"/>
    <s v="MMR001CMP072"/>
    <x v="0"/>
    <x v="0"/>
    <x v="1"/>
    <n v="0"/>
    <m/>
    <m/>
  </r>
  <r>
    <n v="22.8"/>
    <d v="2014-12-18T00:00:00"/>
    <x v="0"/>
    <s v="Solidarities"/>
    <s v="Kachin"/>
    <s v="Momauk"/>
    <s v="Seng Ja "/>
    <m/>
    <m/>
    <n v="61"/>
    <m/>
    <m/>
    <m/>
    <m/>
    <m/>
    <m/>
    <m/>
    <m/>
    <m/>
    <m/>
    <m/>
    <m/>
    <m/>
    <m/>
    <n v="0"/>
    <n v="0"/>
    <n v="0"/>
    <n v="0"/>
    <n v="0"/>
    <n v="0"/>
    <n v="0"/>
    <n v="0"/>
    <n v="0"/>
    <n v="0"/>
    <n v="0"/>
    <n v="0"/>
    <n v="0"/>
    <n v="0"/>
    <x v="0"/>
    <n v="0"/>
    <n v="0"/>
    <n v="0"/>
    <s v="MMR001CMP073"/>
    <x v="0"/>
    <x v="0"/>
    <x v="1"/>
    <n v="0"/>
    <m/>
    <m/>
  </r>
  <r>
    <n v="22.833333333333332"/>
    <d v="2014-12-17T00:00:00"/>
    <x v="0"/>
    <s v="Solidarities"/>
    <s v="Kachin"/>
    <s v="Momauk"/>
    <s v="Loi Je Baptist Church"/>
    <m/>
    <m/>
    <m/>
    <m/>
    <m/>
    <m/>
    <m/>
    <m/>
    <m/>
    <m/>
    <m/>
    <m/>
    <m/>
    <m/>
    <m/>
    <m/>
    <m/>
    <n v="0"/>
    <n v="0"/>
    <n v="0"/>
    <n v="0"/>
    <n v="0"/>
    <n v="0"/>
    <n v="0"/>
    <n v="0"/>
    <n v="0"/>
    <n v="0"/>
    <n v="0"/>
    <n v="0"/>
    <n v="0"/>
    <n v="0"/>
    <x v="0"/>
    <n v="0"/>
    <n v="0"/>
    <n v="0"/>
    <s v="MMR001CMP071"/>
    <x v="0"/>
    <x v="0"/>
    <x v="1"/>
    <n v="0"/>
    <m/>
    <m/>
  </r>
  <r>
    <n v="22.833333333333332"/>
    <d v="2014-12-17T00:00:00"/>
    <x v="0"/>
    <s v="Solidarities"/>
    <s v="Kachin"/>
    <s v="Momauk"/>
    <s v="Loi Je Catholic Church"/>
    <m/>
    <m/>
    <n v="124"/>
    <m/>
    <m/>
    <m/>
    <m/>
    <m/>
    <m/>
    <m/>
    <m/>
    <m/>
    <m/>
    <m/>
    <m/>
    <m/>
    <m/>
    <n v="0"/>
    <n v="0"/>
    <n v="0"/>
    <n v="0"/>
    <n v="0"/>
    <n v="0"/>
    <n v="0"/>
    <n v="0"/>
    <n v="0"/>
    <n v="0"/>
    <n v="0"/>
    <n v="0"/>
    <n v="0"/>
    <n v="0"/>
    <x v="0"/>
    <n v="0"/>
    <n v="0"/>
    <n v="0"/>
    <s v="MMR001CMP069"/>
    <x v="0"/>
    <x v="0"/>
    <x v="1"/>
    <n v="0"/>
    <m/>
    <m/>
  </r>
  <r>
    <n v="22.833333333333332"/>
    <d v="2014-12-17T00:00:00"/>
    <x v="0"/>
    <s v="Solidarities"/>
    <s v="Kachin"/>
    <s v="Momauk"/>
    <s v="Loi Je Lisu Camp"/>
    <m/>
    <m/>
    <n v="283"/>
    <m/>
    <m/>
    <m/>
    <m/>
    <m/>
    <m/>
    <m/>
    <m/>
    <m/>
    <m/>
    <m/>
    <m/>
    <m/>
    <m/>
    <n v="0"/>
    <n v="0"/>
    <n v="0"/>
    <n v="0"/>
    <n v="0"/>
    <n v="0"/>
    <n v="0"/>
    <n v="0"/>
    <n v="0"/>
    <n v="0"/>
    <n v="0"/>
    <n v="0"/>
    <n v="0"/>
    <n v="0"/>
    <x v="0"/>
    <n v="0"/>
    <n v="0"/>
    <n v="0"/>
    <s v="MMR001CMP070"/>
    <x v="0"/>
    <x v="0"/>
    <x v="1"/>
    <n v="0"/>
    <m/>
    <m/>
  </r>
  <r>
    <n v="23.066666666666666"/>
    <d v="2014-12-10T00:00:00"/>
    <x v="0"/>
    <s v="Solidarities"/>
    <s v="Kachin"/>
    <s v="Momauk"/>
    <s v="Edin"/>
    <m/>
    <m/>
    <n v="85"/>
    <m/>
    <m/>
    <m/>
    <m/>
    <m/>
    <m/>
    <m/>
    <m/>
    <m/>
    <m/>
    <m/>
    <m/>
    <m/>
    <m/>
    <n v="0"/>
    <n v="0"/>
    <n v="0"/>
    <n v="0"/>
    <n v="0"/>
    <n v="0"/>
    <n v="0"/>
    <n v="0"/>
    <n v="0"/>
    <n v="0"/>
    <n v="0"/>
    <n v="0"/>
    <n v="0"/>
    <n v="0"/>
    <x v="0"/>
    <n v="0"/>
    <n v="0"/>
    <n v="0"/>
    <s v=""/>
    <x v="3"/>
    <x v="1"/>
    <x v="4"/>
    <s v=""/>
    <m/>
    <m/>
  </r>
  <r>
    <n v="23.066666666666666"/>
    <d v="2014-12-10T00:00:00"/>
    <x v="0"/>
    <s v="Solidarities"/>
    <s v="Kachin"/>
    <s v="Momauk"/>
    <s v="Ni Thaw Ka Monestry"/>
    <m/>
    <m/>
    <n v="33"/>
    <m/>
    <m/>
    <m/>
    <m/>
    <m/>
    <m/>
    <m/>
    <m/>
    <m/>
    <m/>
    <m/>
    <m/>
    <m/>
    <m/>
    <n v="0"/>
    <n v="0"/>
    <n v="0"/>
    <n v="0"/>
    <n v="0"/>
    <n v="0"/>
    <n v="0"/>
    <n v="0"/>
    <n v="0"/>
    <n v="0"/>
    <n v="0"/>
    <n v="0"/>
    <n v="0"/>
    <n v="0"/>
    <x v="0"/>
    <n v="0"/>
    <n v="0"/>
    <n v="0"/>
    <s v="MMR001CMP059"/>
    <x v="0"/>
    <x v="2"/>
    <x v="0"/>
    <s v=""/>
    <m/>
    <m/>
  </r>
  <r>
    <n v="23.066666666666666"/>
    <d v="2014-12-10T00:00:00"/>
    <x v="0"/>
    <s v="Solidarities"/>
    <s v="Kachin"/>
    <s v="Bhamo"/>
    <s v="Phan Khar Kone"/>
    <m/>
    <m/>
    <n v="245"/>
    <m/>
    <m/>
    <m/>
    <m/>
    <m/>
    <m/>
    <m/>
    <m/>
    <m/>
    <m/>
    <m/>
    <m/>
    <m/>
    <m/>
    <n v="0"/>
    <n v="0"/>
    <n v="0"/>
    <n v="0"/>
    <n v="0"/>
    <n v="0"/>
    <n v="0"/>
    <n v="0"/>
    <n v="0"/>
    <n v="0"/>
    <n v="0"/>
    <n v="0"/>
    <n v="0"/>
    <n v="0"/>
    <x v="0"/>
    <n v="0"/>
    <n v="0"/>
    <n v="0"/>
    <s v="MMR001CMP193"/>
    <x v="0"/>
    <x v="0"/>
    <x v="0"/>
    <n v="0"/>
    <m/>
    <m/>
  </r>
  <r>
    <n v="23.066666666666666"/>
    <d v="2014-12-10T00:00:00"/>
    <x v="0"/>
    <s v="Solidarities"/>
    <s v="Kachin"/>
    <s v="Bhamo"/>
    <s v="Ta Gun Taing Monastery (Shwe Kyi Na)"/>
    <m/>
    <m/>
    <n v="55"/>
    <m/>
    <m/>
    <m/>
    <m/>
    <m/>
    <m/>
    <m/>
    <m/>
    <m/>
    <m/>
    <m/>
    <m/>
    <m/>
    <m/>
    <n v="0"/>
    <n v="0"/>
    <n v="0"/>
    <n v="0"/>
    <n v="0"/>
    <n v="0"/>
    <n v="0"/>
    <n v="0"/>
    <n v="0"/>
    <n v="0"/>
    <n v="0"/>
    <n v="0"/>
    <n v="0"/>
    <n v="0"/>
    <x v="0"/>
    <n v="0"/>
    <n v="0"/>
    <n v="0"/>
    <s v="MMR001CMP055"/>
    <x v="0"/>
    <x v="0"/>
    <x v="0"/>
    <n v="0"/>
    <m/>
    <m/>
  </r>
  <r>
    <n v="23.1"/>
    <d v="2014-12-09T00:00:00"/>
    <x v="0"/>
    <s v="Solidarities"/>
    <s v="Kachin"/>
    <s v="Bhamo"/>
    <s v="AD-2000 Tharthana Compound"/>
    <m/>
    <m/>
    <n v="354"/>
    <m/>
    <m/>
    <m/>
    <m/>
    <m/>
    <m/>
    <m/>
    <m/>
    <m/>
    <m/>
    <m/>
    <m/>
    <m/>
    <m/>
    <n v="0"/>
    <n v="0"/>
    <n v="0"/>
    <n v="0"/>
    <n v="0"/>
    <n v="0"/>
    <n v="0"/>
    <n v="0"/>
    <n v="0"/>
    <n v="0"/>
    <n v="0"/>
    <n v="0"/>
    <n v="0"/>
    <n v="0"/>
    <x v="0"/>
    <n v="0"/>
    <n v="0"/>
    <n v="0"/>
    <s v="MMR001CMP050"/>
    <x v="0"/>
    <x v="0"/>
    <x v="0"/>
    <n v="0"/>
    <m/>
    <m/>
  </r>
  <r>
    <n v="23.1"/>
    <d v="2014-12-09T00:00:00"/>
    <x v="0"/>
    <s v="Solidarities"/>
    <s v="Kachin"/>
    <s v="Bhamo"/>
    <s v="Robert Church"/>
    <m/>
    <m/>
    <n v="1135"/>
    <m/>
    <m/>
    <m/>
    <m/>
    <m/>
    <m/>
    <m/>
    <m/>
    <m/>
    <m/>
    <m/>
    <m/>
    <m/>
    <m/>
    <n v="0"/>
    <n v="0"/>
    <n v="0"/>
    <n v="0"/>
    <n v="0"/>
    <n v="0"/>
    <n v="0"/>
    <n v="0"/>
    <n v="0"/>
    <n v="0"/>
    <n v="0"/>
    <n v="0"/>
    <n v="0"/>
    <n v="0"/>
    <x v="0"/>
    <n v="0"/>
    <n v="0"/>
    <n v="0"/>
    <s v="MMR001CMP047"/>
    <x v="0"/>
    <x v="0"/>
    <x v="0"/>
    <n v="0"/>
    <m/>
    <m/>
  </r>
  <r>
    <n v="23.233333333333334"/>
    <d v="2014-12-05T00:00:00"/>
    <x v="1"/>
    <s v="KMSS"/>
    <s v="Kachin"/>
    <s v="Waingmaw"/>
    <s v="Border Post 8"/>
    <m/>
    <m/>
    <m/>
    <n v="164"/>
    <m/>
    <m/>
    <m/>
    <m/>
    <m/>
    <m/>
    <n v="302"/>
    <n v="440"/>
    <m/>
    <n v="297"/>
    <m/>
    <m/>
    <m/>
    <n v="0"/>
    <n v="0"/>
    <n v="0"/>
    <n v="0"/>
    <n v="0"/>
    <n v="0"/>
    <n v="0"/>
    <n v="0"/>
    <n v="0"/>
    <n v="0"/>
    <n v="0"/>
    <n v="0"/>
    <n v="0"/>
    <n v="0"/>
    <x v="2"/>
    <n v="0"/>
    <n v="0"/>
    <n v="0"/>
    <s v="MMR001CMP113"/>
    <x v="0"/>
    <x v="0"/>
    <x v="5"/>
    <n v="0"/>
    <m/>
    <m/>
  </r>
  <r>
    <n v="23.233333333333334"/>
    <d v="2014-12-05T00:00:00"/>
    <x v="1"/>
    <s v="KMSS"/>
    <s v="Kachin"/>
    <s v="Waingmaw"/>
    <s v="Post 6 Camp"/>
    <m/>
    <m/>
    <m/>
    <n v="124"/>
    <m/>
    <m/>
    <m/>
    <m/>
    <m/>
    <m/>
    <n v="262"/>
    <n v="400"/>
    <m/>
    <n v="257"/>
    <m/>
    <m/>
    <m/>
    <n v="0"/>
    <n v="0"/>
    <n v="0"/>
    <n v="0"/>
    <n v="0"/>
    <n v="0"/>
    <n v="0"/>
    <n v="0"/>
    <n v="0"/>
    <n v="0"/>
    <n v="0"/>
    <n v="0"/>
    <n v="0"/>
    <n v="0"/>
    <x v="2"/>
    <n v="0"/>
    <n v="0"/>
    <n v="0"/>
    <s v="MMR001CMP160"/>
    <x v="0"/>
    <x v="0"/>
    <x v="5"/>
    <n v="0"/>
    <m/>
    <m/>
  </r>
  <r>
    <n v="23.633333333333333"/>
    <d v="2014-11-23T00:00:00"/>
    <x v="1"/>
    <s v="KBC"/>
    <s v="Kachin"/>
    <s v="Myitkyina"/>
    <s v="Jan Mai Kawng Baptist Church"/>
    <m/>
    <m/>
    <m/>
    <n v="72"/>
    <n v="36"/>
    <n v="72"/>
    <n v="36"/>
    <m/>
    <n v="36"/>
    <n v="180"/>
    <m/>
    <m/>
    <m/>
    <m/>
    <m/>
    <m/>
    <m/>
    <n v="0"/>
    <n v="0"/>
    <n v="0"/>
    <n v="0"/>
    <n v="0"/>
    <n v="0"/>
    <n v="0"/>
    <n v="0"/>
    <n v="0"/>
    <n v="0"/>
    <n v="0"/>
    <n v="0"/>
    <n v="0"/>
    <n v="0"/>
    <x v="0"/>
    <n v="0"/>
    <n v="0"/>
    <n v="0"/>
    <s v="MMR001CMP018"/>
    <x v="0"/>
    <x v="0"/>
    <x v="0"/>
    <n v="0.18181818181818182"/>
    <m/>
    <m/>
  </r>
  <r>
    <n v="24.033333333333335"/>
    <d v="2014-11-11T00:00:00"/>
    <x v="1"/>
    <s v="KBC"/>
    <s v="Kachin"/>
    <s v="Hpakant"/>
    <s v="Hlaing Naung Baptist"/>
    <m/>
    <m/>
    <n v="19"/>
    <n v="38"/>
    <n v="19"/>
    <n v="38"/>
    <n v="19"/>
    <m/>
    <n v="19"/>
    <n v="95"/>
    <m/>
    <m/>
    <m/>
    <m/>
    <m/>
    <m/>
    <m/>
    <n v="0"/>
    <n v="0"/>
    <n v="0"/>
    <n v="0"/>
    <n v="0"/>
    <n v="0"/>
    <n v="0"/>
    <n v="0"/>
    <n v="0"/>
    <n v="0"/>
    <n v="0"/>
    <n v="0"/>
    <n v="0"/>
    <n v="0"/>
    <x v="0"/>
    <n v="0"/>
    <n v="0"/>
    <n v="0"/>
    <s v="MMR001CMP148"/>
    <x v="0"/>
    <x v="0"/>
    <x v="0"/>
    <n v="1.4615384615384615"/>
    <m/>
    <m/>
  </r>
  <r>
    <n v="24.066666666666666"/>
    <d v="2014-11-10T00:00:00"/>
    <x v="3"/>
    <s v="MRCS"/>
    <s v="Kachin"/>
    <s v="Hpakant"/>
    <s v="Nam Ma Phyit, COC"/>
    <m/>
    <m/>
    <m/>
    <m/>
    <m/>
    <m/>
    <m/>
    <m/>
    <m/>
    <m/>
    <n v="50"/>
    <n v="17"/>
    <m/>
    <m/>
    <m/>
    <m/>
    <m/>
    <n v="0"/>
    <n v="0"/>
    <n v="0"/>
    <n v="0"/>
    <n v="0"/>
    <n v="0"/>
    <n v="0"/>
    <n v="0"/>
    <n v="0"/>
    <n v="0"/>
    <n v="0"/>
    <n v="0"/>
    <n v="0"/>
    <n v="0"/>
    <x v="2"/>
    <n v="0"/>
    <n v="0"/>
    <n v="0"/>
    <s v="MMR001CMP192"/>
    <x v="0"/>
    <x v="0"/>
    <x v="0"/>
    <n v="0"/>
    <m/>
    <m/>
  </r>
  <r>
    <n v="24.066666666666666"/>
    <d v="2014-11-10T00:00:00"/>
    <x v="3"/>
    <s v="MRCS"/>
    <s v="Kachin"/>
    <s v="Hpakant"/>
    <s v="Nant Ma Hpit Catholic Church"/>
    <m/>
    <m/>
    <m/>
    <m/>
    <m/>
    <m/>
    <m/>
    <m/>
    <m/>
    <m/>
    <n v="117"/>
    <n v="65"/>
    <m/>
    <m/>
    <m/>
    <m/>
    <m/>
    <n v="0"/>
    <n v="0"/>
    <n v="0"/>
    <n v="0"/>
    <n v="0"/>
    <n v="0"/>
    <n v="0"/>
    <n v="0"/>
    <n v="0"/>
    <n v="0"/>
    <n v="0"/>
    <n v="0"/>
    <n v="0"/>
    <n v="0"/>
    <x v="2"/>
    <n v="0"/>
    <n v="0"/>
    <n v="0"/>
    <s v="MMR001CMP103"/>
    <x v="0"/>
    <x v="0"/>
    <x v="0"/>
    <n v="0"/>
    <m/>
    <m/>
  </r>
  <r>
    <n v="24.066666666666666"/>
    <d v="2014-11-10T00:00:00"/>
    <x v="3"/>
    <s v="MRCS"/>
    <s v="Kachin"/>
    <s v="Puta-O"/>
    <s v="Naung Khaing"/>
    <m/>
    <m/>
    <m/>
    <m/>
    <m/>
    <m/>
    <m/>
    <m/>
    <m/>
    <m/>
    <n v="52"/>
    <n v="16"/>
    <m/>
    <m/>
    <m/>
    <m/>
    <m/>
    <n v="0"/>
    <n v="0"/>
    <n v="0"/>
    <n v="0"/>
    <n v="0"/>
    <n v="0"/>
    <n v="0"/>
    <n v="0"/>
    <n v="0"/>
    <n v="0"/>
    <n v="0"/>
    <n v="0"/>
    <n v="0"/>
    <n v="0"/>
    <x v="2"/>
    <n v="0"/>
    <n v="0"/>
    <n v="0"/>
    <s v="MMR001CMP220"/>
    <x v="0"/>
    <x v="2"/>
    <x v="1"/>
    <s v=""/>
    <m/>
    <m/>
  </r>
  <r>
    <n v="24.066666666666666"/>
    <d v="2014-11-10T00:00:00"/>
    <x v="3"/>
    <s v="MRCS"/>
    <s v="Kachin"/>
    <s v="Puta-O"/>
    <s v="Tote Tan Ward"/>
    <m/>
    <m/>
    <m/>
    <m/>
    <m/>
    <m/>
    <m/>
    <m/>
    <m/>
    <m/>
    <n v="72"/>
    <n v="11"/>
    <m/>
    <m/>
    <m/>
    <m/>
    <m/>
    <n v="0"/>
    <n v="0"/>
    <n v="0"/>
    <n v="0"/>
    <n v="0"/>
    <n v="0"/>
    <n v="0"/>
    <n v="0"/>
    <n v="0"/>
    <n v="0"/>
    <n v="0"/>
    <n v="0"/>
    <n v="0"/>
    <n v="0"/>
    <x v="2"/>
    <n v="0"/>
    <n v="0"/>
    <n v="0"/>
    <s v="MMR001CMP075"/>
    <x v="0"/>
    <x v="0"/>
    <x v="1"/>
    <n v="0"/>
    <m/>
    <m/>
  </r>
  <r>
    <n v="24.3"/>
    <d v="2014-11-03T00:00:00"/>
    <x v="1"/>
    <s v="Shalom"/>
    <s v="Kachin"/>
    <s v="Waingmaw"/>
    <s v="Hkat Cho "/>
    <m/>
    <m/>
    <n v="15"/>
    <n v="30"/>
    <n v="15"/>
    <n v="30"/>
    <n v="15"/>
    <m/>
    <n v="15"/>
    <n v="75"/>
    <m/>
    <m/>
    <m/>
    <m/>
    <m/>
    <m/>
    <m/>
    <n v="0"/>
    <n v="0"/>
    <n v="0"/>
    <n v="0"/>
    <n v="0"/>
    <n v="0"/>
    <n v="0"/>
    <n v="0"/>
    <n v="0"/>
    <n v="0"/>
    <n v="0"/>
    <n v="0"/>
    <n v="0"/>
    <n v="0"/>
    <x v="0"/>
    <n v="0"/>
    <n v="0"/>
    <n v="0"/>
    <s v="MMR001CMP028"/>
    <x v="0"/>
    <x v="0"/>
    <x v="0"/>
    <n v="0.15151515151515152"/>
    <m/>
    <m/>
  </r>
  <r>
    <n v="24.4"/>
    <d v="2014-10-31T00:00:00"/>
    <x v="1"/>
    <m/>
    <s v="Kachin"/>
    <s v="Hpakant"/>
    <s v="5 Ward Baptist Church(lon Khin)"/>
    <m/>
    <m/>
    <n v="77"/>
    <n v="154"/>
    <n v="77"/>
    <n v="154"/>
    <n v="77"/>
    <m/>
    <n v="77"/>
    <n v="385"/>
    <m/>
    <m/>
    <m/>
    <m/>
    <m/>
    <m/>
    <m/>
    <n v="0"/>
    <n v="0"/>
    <n v="0"/>
    <n v="0"/>
    <n v="0"/>
    <n v="0"/>
    <n v="0"/>
    <n v="0"/>
    <n v="0"/>
    <n v="0"/>
    <n v="0"/>
    <n v="0"/>
    <n v="0"/>
    <n v="0"/>
    <x v="0"/>
    <n v="0"/>
    <n v="0"/>
    <n v="0"/>
    <s v="MMR001CMP179"/>
    <x v="0"/>
    <x v="0"/>
    <x v="0"/>
    <n v="1.1492537313432836"/>
    <m/>
    <m/>
  </r>
  <r>
    <n v="24.4"/>
    <d v="2014-10-31T00:00:00"/>
    <x v="1"/>
    <m/>
    <s v="Kachin"/>
    <s v="Hpakant"/>
    <s v="5 Ward RC Church(lon Khin)"/>
    <m/>
    <m/>
    <n v="59"/>
    <n v="118"/>
    <n v="59"/>
    <n v="118"/>
    <n v="59"/>
    <m/>
    <n v="59"/>
    <n v="295"/>
    <m/>
    <m/>
    <m/>
    <m/>
    <m/>
    <m/>
    <m/>
    <n v="0"/>
    <n v="0"/>
    <n v="0"/>
    <n v="0"/>
    <n v="0"/>
    <n v="0"/>
    <n v="0"/>
    <n v="0"/>
    <n v="0"/>
    <n v="0"/>
    <n v="0"/>
    <n v="0"/>
    <n v="0"/>
    <n v="0"/>
    <x v="0"/>
    <n v="0"/>
    <n v="0"/>
    <n v="0"/>
    <s v="MMR001CMP168"/>
    <x v="0"/>
    <x v="0"/>
    <x v="0"/>
    <n v="0.76623376623376627"/>
    <m/>
    <m/>
  </r>
  <r>
    <n v="24.4"/>
    <d v="2014-10-31T00:00:00"/>
    <x v="1"/>
    <m/>
    <s v="Kachin"/>
    <s v="Hpakant"/>
    <s v="AG Church, Hmaw Si Sa"/>
    <m/>
    <m/>
    <n v="67"/>
    <n v="134"/>
    <n v="67"/>
    <n v="134"/>
    <n v="67"/>
    <m/>
    <n v="67"/>
    <n v="335"/>
    <m/>
    <m/>
    <m/>
    <m/>
    <m/>
    <m/>
    <m/>
    <n v="0"/>
    <n v="0"/>
    <n v="0"/>
    <n v="0"/>
    <n v="0"/>
    <n v="0"/>
    <n v="0"/>
    <n v="0"/>
    <n v="0"/>
    <n v="0"/>
    <n v="0"/>
    <n v="0"/>
    <n v="0"/>
    <n v="0"/>
    <x v="0"/>
    <n v="0"/>
    <n v="0"/>
    <n v="0"/>
    <s v="MMR001CMP176"/>
    <x v="0"/>
    <x v="0"/>
    <x v="0"/>
    <n v="1"/>
    <m/>
    <m/>
  </r>
  <r>
    <n v="24.4"/>
    <d v="2014-10-31T00:00:00"/>
    <x v="1"/>
    <m/>
    <s v="Kachin"/>
    <s v="Hpakant"/>
    <s v="AG Church, Maw Wan"/>
    <m/>
    <m/>
    <n v="14"/>
    <n v="28"/>
    <n v="14"/>
    <n v="28"/>
    <n v="14"/>
    <m/>
    <n v="14"/>
    <n v="70"/>
    <m/>
    <m/>
    <m/>
    <m/>
    <m/>
    <m/>
    <m/>
    <n v="0"/>
    <n v="0"/>
    <n v="0"/>
    <n v="0"/>
    <n v="0"/>
    <n v="0"/>
    <n v="0"/>
    <n v="0"/>
    <n v="0"/>
    <n v="0"/>
    <n v="0"/>
    <n v="0"/>
    <n v="0"/>
    <n v="0"/>
    <x v="0"/>
    <n v="0"/>
    <n v="0"/>
    <n v="0"/>
    <s v="MMR001CMP190"/>
    <x v="0"/>
    <x v="0"/>
    <x v="0"/>
    <n v="1"/>
    <m/>
    <m/>
  </r>
  <r>
    <n v="24.4"/>
    <d v="2014-10-31T00:00:00"/>
    <x v="1"/>
    <m/>
    <s v="Kachin"/>
    <s v="Hpakant"/>
    <s v="Baptist Church, Hmaw Si Sar(Lon Khin)"/>
    <m/>
    <m/>
    <n v="38"/>
    <n v="76"/>
    <n v="38"/>
    <n v="76"/>
    <n v="38"/>
    <m/>
    <n v="38"/>
    <n v="190"/>
    <m/>
    <m/>
    <m/>
    <m/>
    <m/>
    <m/>
    <m/>
    <n v="0"/>
    <n v="0"/>
    <n v="0"/>
    <n v="0"/>
    <n v="0"/>
    <n v="0"/>
    <n v="0"/>
    <n v="0"/>
    <n v="0"/>
    <n v="0"/>
    <n v="0"/>
    <n v="0"/>
    <n v="0"/>
    <n v="0"/>
    <x v="0"/>
    <n v="0"/>
    <n v="0"/>
    <n v="0"/>
    <s v="MMR001CMP169"/>
    <x v="0"/>
    <x v="0"/>
    <x v="0"/>
    <n v="1"/>
    <m/>
    <m/>
  </r>
  <r>
    <n v="24.4"/>
    <d v="2014-10-31T00:00:00"/>
    <x v="1"/>
    <m/>
    <s v="Kachin"/>
    <s v="Hpakant"/>
    <s v="Chin Church, Seik Mu"/>
    <m/>
    <m/>
    <n v="5"/>
    <n v="10"/>
    <n v="5"/>
    <n v="10"/>
    <n v="5"/>
    <m/>
    <n v="5"/>
    <n v="25"/>
    <m/>
    <m/>
    <m/>
    <m/>
    <m/>
    <m/>
    <m/>
    <n v="0"/>
    <n v="0"/>
    <n v="0"/>
    <n v="0"/>
    <n v="0"/>
    <n v="0"/>
    <n v="0"/>
    <n v="0"/>
    <n v="0"/>
    <n v="0"/>
    <n v="0"/>
    <n v="0"/>
    <n v="0"/>
    <n v="0"/>
    <x v="0"/>
    <n v="0"/>
    <n v="0"/>
    <n v="0"/>
    <s v="MMR001CMP109"/>
    <x v="0"/>
    <x v="0"/>
    <x v="0"/>
    <n v="0.83333333333333337"/>
    <m/>
    <m/>
  </r>
  <r>
    <n v="24.4"/>
    <d v="2014-10-31T00:00:00"/>
    <x v="1"/>
    <m/>
    <s v="Kachin"/>
    <s v="Hpakant"/>
    <s v="Dhama Rakhita, Nyein Chan Tar Yar Ward(Lon Khin)"/>
    <m/>
    <m/>
    <n v="67"/>
    <n v="134"/>
    <n v="67"/>
    <n v="134"/>
    <n v="67"/>
    <m/>
    <n v="67"/>
    <n v="335"/>
    <m/>
    <m/>
    <m/>
    <m/>
    <m/>
    <m/>
    <m/>
    <n v="0"/>
    <n v="0"/>
    <n v="0"/>
    <n v="0"/>
    <n v="0"/>
    <n v="0"/>
    <n v="0"/>
    <n v="0"/>
    <n v="0"/>
    <n v="0"/>
    <n v="0"/>
    <n v="0"/>
    <n v="0"/>
    <n v="0"/>
    <x v="0"/>
    <n v="0"/>
    <n v="0"/>
    <n v="0"/>
    <s v="MMR001CMP174"/>
    <x v="0"/>
    <x v="0"/>
    <x v="0"/>
    <n v="1.0151515151515151"/>
    <m/>
    <m/>
  </r>
  <r>
    <n v="24.4"/>
    <d v="2014-10-31T00:00:00"/>
    <x v="1"/>
    <m/>
    <s v="Kachin"/>
    <s v="Hpakant"/>
    <s v="Hmaw Wan, Anglican"/>
    <m/>
    <m/>
    <n v="10"/>
    <n v="20"/>
    <n v="10"/>
    <n v="20"/>
    <n v="10"/>
    <m/>
    <n v="10"/>
    <n v="50"/>
    <m/>
    <m/>
    <m/>
    <m/>
    <m/>
    <m/>
    <m/>
    <n v="0"/>
    <n v="0"/>
    <n v="0"/>
    <n v="0"/>
    <n v="0"/>
    <n v="0"/>
    <n v="0"/>
    <n v="0"/>
    <n v="0"/>
    <n v="0"/>
    <n v="0"/>
    <n v="0"/>
    <n v="0"/>
    <n v="0"/>
    <x v="0"/>
    <n v="0"/>
    <n v="0"/>
    <n v="0"/>
    <s v="MMR001CMP191"/>
    <x v="0"/>
    <x v="0"/>
    <x v="0"/>
    <n v="2"/>
    <m/>
    <m/>
  </r>
  <r>
    <n v="24.4"/>
    <d v="2014-10-31T00:00:00"/>
    <x v="1"/>
    <m/>
    <s v="Kachin"/>
    <s v="Hpakant"/>
    <s v="Hpakant Baptist Church, Nam Ma Hpit"/>
    <m/>
    <m/>
    <n v="64"/>
    <n v="128"/>
    <n v="64"/>
    <n v="128"/>
    <n v="64"/>
    <m/>
    <n v="64"/>
    <n v="320"/>
    <m/>
    <m/>
    <m/>
    <m/>
    <m/>
    <m/>
    <m/>
    <n v="0"/>
    <n v="0"/>
    <n v="0"/>
    <n v="0"/>
    <n v="0"/>
    <n v="0"/>
    <n v="0"/>
    <n v="0"/>
    <n v="0"/>
    <n v="0"/>
    <n v="0"/>
    <n v="0"/>
    <n v="0"/>
    <n v="0"/>
    <x v="0"/>
    <n v="0"/>
    <n v="0"/>
    <n v="0"/>
    <s v="MMR001CMP229"/>
    <x v="0"/>
    <x v="0"/>
    <x v="0"/>
    <n v="0.62135922330097082"/>
    <m/>
    <m/>
  </r>
  <r>
    <n v="24.4"/>
    <d v="2014-10-31T00:00:00"/>
    <x v="1"/>
    <m/>
    <s v="Kachin"/>
    <s v="Hpakant"/>
    <s v="Lisu Baptist Church, Maw Shan Vil,. Seik Mu"/>
    <m/>
    <m/>
    <n v="25"/>
    <n v="50"/>
    <n v="25"/>
    <n v="50"/>
    <n v="25"/>
    <m/>
    <n v="25"/>
    <n v="125"/>
    <m/>
    <m/>
    <m/>
    <m/>
    <m/>
    <m/>
    <m/>
    <n v="0"/>
    <n v="0"/>
    <n v="0"/>
    <n v="0"/>
    <n v="0"/>
    <n v="0"/>
    <n v="0"/>
    <n v="0"/>
    <n v="0"/>
    <n v="0"/>
    <n v="0"/>
    <n v="0"/>
    <n v="0"/>
    <n v="0"/>
    <x v="0"/>
    <n v="0"/>
    <n v="0"/>
    <n v="0"/>
    <s v="MMR001CMP181"/>
    <x v="0"/>
    <x v="0"/>
    <x v="0"/>
    <n v="1"/>
    <m/>
    <m/>
  </r>
  <r>
    <n v="24.4"/>
    <d v="2014-10-31T00:00:00"/>
    <x v="1"/>
    <m/>
    <s v="Kachin"/>
    <s v="Hpakant"/>
    <s v="Lisu Baptist Church, Maw Wan Ward"/>
    <m/>
    <m/>
    <n v="15"/>
    <n v="30"/>
    <n v="15"/>
    <n v="30"/>
    <n v="15"/>
    <m/>
    <n v="15"/>
    <n v="75"/>
    <m/>
    <m/>
    <m/>
    <m/>
    <m/>
    <m/>
    <m/>
    <n v="0"/>
    <n v="0"/>
    <n v="0"/>
    <n v="0"/>
    <n v="0"/>
    <n v="0"/>
    <n v="0"/>
    <n v="0"/>
    <n v="0"/>
    <n v="0"/>
    <n v="0"/>
    <n v="0"/>
    <n v="0"/>
    <n v="0"/>
    <x v="0"/>
    <n v="0"/>
    <n v="0"/>
    <n v="0"/>
    <s v="MMR001CMP167"/>
    <x v="0"/>
    <x v="0"/>
    <x v="0"/>
    <n v="1"/>
    <m/>
    <m/>
  </r>
  <r>
    <n v="24.4"/>
    <d v="2014-10-31T00:00:00"/>
    <x v="3"/>
    <s v="MRCS"/>
    <s v="Kachin"/>
    <s v="Machanbaw"/>
    <s v="Machanbaw - KBC"/>
    <m/>
    <m/>
    <m/>
    <m/>
    <m/>
    <m/>
    <m/>
    <m/>
    <m/>
    <m/>
    <n v="20"/>
    <n v="8"/>
    <m/>
    <m/>
    <m/>
    <m/>
    <m/>
    <n v="0"/>
    <n v="0"/>
    <n v="0"/>
    <n v="0"/>
    <n v="0"/>
    <n v="0"/>
    <n v="0"/>
    <n v="0"/>
    <n v="0"/>
    <n v="0"/>
    <n v="0"/>
    <n v="0"/>
    <n v="0"/>
    <n v="0"/>
    <x v="2"/>
    <n v="0"/>
    <n v="0"/>
    <n v="0"/>
    <s v="MMR001CMP221"/>
    <x v="0"/>
    <x v="2"/>
    <x v="1"/>
    <s v=""/>
    <m/>
    <m/>
  </r>
  <r>
    <n v="24.4"/>
    <d v="2014-10-31T00:00:00"/>
    <x v="3"/>
    <s v="MRCS"/>
    <s v="Kachin"/>
    <s v="Hpakant"/>
    <s v="Maw Wan, Mu-yin Baptist Church"/>
    <m/>
    <m/>
    <m/>
    <m/>
    <m/>
    <m/>
    <m/>
    <m/>
    <m/>
    <m/>
    <n v="11"/>
    <n v="15"/>
    <m/>
    <m/>
    <m/>
    <m/>
    <m/>
    <n v="0"/>
    <n v="0"/>
    <n v="0"/>
    <n v="0"/>
    <n v="0"/>
    <n v="0"/>
    <n v="0"/>
    <n v="0"/>
    <n v="0"/>
    <n v="0"/>
    <n v="0"/>
    <n v="0"/>
    <n v="0"/>
    <n v="0"/>
    <x v="2"/>
    <n v="0"/>
    <n v="0"/>
    <n v="0"/>
    <s v="MMR001CMP091"/>
    <x v="0"/>
    <x v="0"/>
    <x v="0"/>
    <n v="0"/>
    <m/>
    <m/>
  </r>
  <r>
    <n v="24.4"/>
    <d v="2014-10-31T00:00:00"/>
    <x v="1"/>
    <m/>
    <s v="Kachin"/>
    <s v="Hpakant"/>
    <s v="Maw Wan, Mu-yin Baptist Church"/>
    <m/>
    <m/>
    <n v="5"/>
    <n v="10"/>
    <n v="5"/>
    <n v="10"/>
    <n v="5"/>
    <m/>
    <n v="5"/>
    <n v="25"/>
    <m/>
    <m/>
    <m/>
    <m/>
    <m/>
    <m/>
    <m/>
    <n v="0"/>
    <n v="0"/>
    <n v="0"/>
    <n v="0"/>
    <n v="0"/>
    <n v="0"/>
    <n v="0"/>
    <n v="0"/>
    <n v="0"/>
    <n v="0"/>
    <n v="0"/>
    <n v="0"/>
    <n v="0"/>
    <n v="0"/>
    <x v="0"/>
    <n v="0"/>
    <n v="0"/>
    <n v="0"/>
    <s v="MMR001CMP091"/>
    <x v="0"/>
    <x v="0"/>
    <x v="0"/>
    <n v="1.25"/>
    <m/>
    <m/>
  </r>
  <r>
    <n v="24.4"/>
    <d v="2014-10-31T00:00:00"/>
    <x v="1"/>
    <m/>
    <s v="Kachin"/>
    <s v="Hpakant"/>
    <s v="Nam Ma Phyit, COC"/>
    <m/>
    <m/>
    <n v="17"/>
    <n v="34"/>
    <n v="17"/>
    <n v="34"/>
    <n v="17"/>
    <m/>
    <n v="17"/>
    <n v="85"/>
    <m/>
    <m/>
    <m/>
    <m/>
    <m/>
    <m/>
    <m/>
    <n v="0"/>
    <n v="0"/>
    <n v="0"/>
    <n v="0"/>
    <n v="0"/>
    <n v="0"/>
    <n v="0"/>
    <n v="0"/>
    <n v="0"/>
    <n v="0"/>
    <n v="0"/>
    <n v="0"/>
    <n v="0"/>
    <n v="0"/>
    <x v="0"/>
    <n v="0"/>
    <n v="0"/>
    <n v="0"/>
    <s v="MMR001CMP192"/>
    <x v="0"/>
    <x v="0"/>
    <x v="0"/>
    <n v="1.4166666666666667"/>
    <m/>
    <m/>
  </r>
  <r>
    <n v="24.4"/>
    <d v="2014-10-31T00:00:00"/>
    <x v="1"/>
    <m/>
    <s v="Kachin"/>
    <s v="Hpakant"/>
    <s v="Nant Ma Hpit Catholic Church"/>
    <m/>
    <m/>
    <n v="36"/>
    <n v="72"/>
    <n v="36"/>
    <n v="72"/>
    <n v="36"/>
    <m/>
    <n v="36"/>
    <n v="180"/>
    <m/>
    <m/>
    <m/>
    <m/>
    <m/>
    <m/>
    <m/>
    <n v="0"/>
    <n v="0"/>
    <n v="0"/>
    <n v="0"/>
    <n v="0"/>
    <n v="0"/>
    <n v="0"/>
    <n v="0"/>
    <n v="0"/>
    <n v="0"/>
    <n v="0"/>
    <n v="0"/>
    <n v="0"/>
    <n v="0"/>
    <x v="0"/>
    <n v="0"/>
    <n v="0"/>
    <n v="0"/>
    <s v="MMR001CMP103"/>
    <x v="0"/>
    <x v="0"/>
    <x v="0"/>
    <n v="0.70588235294117652"/>
    <m/>
    <s v="used in warehouse"/>
  </r>
  <r>
    <n v="24.4"/>
    <d v="2014-10-31T00:00:00"/>
    <x v="1"/>
    <m/>
    <s v="Kachin"/>
    <s v="Hpakant"/>
    <s v="Rawan Baptist Church, Maw Shan Vil., Seik Mu"/>
    <m/>
    <m/>
    <n v="12"/>
    <n v="24"/>
    <n v="12"/>
    <n v="24"/>
    <n v="12"/>
    <m/>
    <n v="12"/>
    <n v="60"/>
    <m/>
    <m/>
    <m/>
    <m/>
    <m/>
    <m/>
    <m/>
    <n v="0"/>
    <n v="0"/>
    <n v="0"/>
    <n v="0"/>
    <n v="0"/>
    <n v="0"/>
    <n v="0"/>
    <n v="0"/>
    <n v="0"/>
    <n v="0"/>
    <n v="0"/>
    <n v="0"/>
    <n v="0"/>
    <n v="0"/>
    <x v="0"/>
    <n v="0"/>
    <n v="0"/>
    <n v="0"/>
    <s v="MMR001CMP182"/>
    <x v="0"/>
    <x v="0"/>
    <x v="0"/>
    <n v="1.2"/>
    <m/>
    <m/>
  </r>
  <r>
    <n v="24.4"/>
    <d v="2014-10-31T00:00:00"/>
    <x v="1"/>
    <m/>
    <s v="Kachin"/>
    <s v="Hpakant"/>
    <s v="Sai Nai Baptish Church, Maw Shan Vil., Seki Mu"/>
    <m/>
    <m/>
    <n v="9"/>
    <n v="18"/>
    <n v="9"/>
    <n v="18"/>
    <n v="9"/>
    <m/>
    <n v="9"/>
    <n v="45"/>
    <m/>
    <m/>
    <m/>
    <m/>
    <m/>
    <m/>
    <m/>
    <n v="0"/>
    <n v="0"/>
    <n v="0"/>
    <n v="0"/>
    <n v="0"/>
    <n v="0"/>
    <n v="0"/>
    <n v="0"/>
    <n v="0"/>
    <n v="0"/>
    <n v="0"/>
    <n v="0"/>
    <n v="0"/>
    <n v="0"/>
    <x v="0"/>
    <n v="0"/>
    <n v="0"/>
    <n v="0"/>
    <s v="MMR001CMP183"/>
    <x v="0"/>
    <x v="0"/>
    <x v="0"/>
    <n v="1.125"/>
    <m/>
    <m/>
  </r>
  <r>
    <n v="24.4"/>
    <d v="2014-10-31T00:00:00"/>
    <x v="1"/>
    <m/>
    <s v="Kachin"/>
    <s v="Hpakant"/>
    <s v="Ward 2 Sai Taung Baptist Church, Seik Mu "/>
    <m/>
    <m/>
    <n v="38"/>
    <n v="76"/>
    <n v="38"/>
    <n v="76"/>
    <n v="38"/>
    <m/>
    <n v="38"/>
    <n v="190"/>
    <m/>
    <m/>
    <m/>
    <m/>
    <m/>
    <m/>
    <m/>
    <n v="0"/>
    <n v="0"/>
    <n v="0"/>
    <n v="0"/>
    <n v="0"/>
    <n v="0"/>
    <n v="0"/>
    <n v="0"/>
    <n v="0"/>
    <n v="0"/>
    <n v="0"/>
    <n v="0"/>
    <n v="0"/>
    <n v="0"/>
    <x v="0"/>
    <n v="0"/>
    <n v="0"/>
    <n v="0"/>
    <s v="MMR001CMP184"/>
    <x v="0"/>
    <x v="0"/>
    <x v="0"/>
    <n v="1.0857142857142856"/>
    <m/>
    <m/>
  </r>
  <r>
    <n v="24.4"/>
    <d v="2014-10-31T00:00:00"/>
    <x v="1"/>
    <m/>
    <s v="Kachin"/>
    <s v="Hpakant"/>
    <s v="Yumar Baptist Church"/>
    <m/>
    <m/>
    <n v="10"/>
    <n v="20"/>
    <n v="10"/>
    <n v="20"/>
    <n v="10"/>
    <m/>
    <n v="10"/>
    <n v="50"/>
    <m/>
    <m/>
    <m/>
    <m/>
    <m/>
    <m/>
    <m/>
    <n v="0"/>
    <n v="0"/>
    <n v="0"/>
    <n v="0"/>
    <n v="0"/>
    <n v="0"/>
    <n v="0"/>
    <n v="0"/>
    <n v="0"/>
    <n v="0"/>
    <n v="0"/>
    <n v="0"/>
    <n v="0"/>
    <n v="0"/>
    <x v="0"/>
    <n v="0"/>
    <n v="0"/>
    <n v="0"/>
    <s v="MMR001CMP105"/>
    <x v="0"/>
    <x v="0"/>
    <x v="0"/>
    <n v="0.83333333333333337"/>
    <m/>
    <m/>
  </r>
  <r>
    <n v="24.433333333333334"/>
    <d v="2014-10-30T00:00:00"/>
    <x v="1"/>
    <m/>
    <s v="Kachin"/>
    <s v="Bhamo"/>
    <s v="Aung Thar Church"/>
    <m/>
    <m/>
    <m/>
    <m/>
    <m/>
    <m/>
    <m/>
    <m/>
    <m/>
    <m/>
    <m/>
    <m/>
    <m/>
    <m/>
    <m/>
    <m/>
    <m/>
    <n v="0"/>
    <n v="0"/>
    <n v="0"/>
    <n v="0"/>
    <n v="0"/>
    <n v="0"/>
    <n v="0"/>
    <n v="0"/>
    <n v="0"/>
    <n v="0"/>
    <n v="0"/>
    <n v="0"/>
    <n v="0"/>
    <n v="0"/>
    <x v="0"/>
    <n v="0"/>
    <n v="0"/>
    <n v="0"/>
    <s v="MMR001CMP194"/>
    <x v="0"/>
    <x v="0"/>
    <x v="0"/>
    <n v="0"/>
    <m/>
    <m/>
  </r>
  <r>
    <n v="24.6"/>
    <d v="2014-10-25T00:00:00"/>
    <x v="3"/>
    <s v="MRCS"/>
    <s v="Kachin"/>
    <s v="Hpakant"/>
    <s v="5 Ward Baptist Church(lon Khin)"/>
    <m/>
    <m/>
    <m/>
    <m/>
    <m/>
    <m/>
    <m/>
    <m/>
    <m/>
    <m/>
    <n v="229"/>
    <n v="126"/>
    <m/>
    <m/>
    <m/>
    <m/>
    <m/>
    <n v="0"/>
    <n v="0"/>
    <n v="0"/>
    <n v="0"/>
    <n v="0"/>
    <n v="0"/>
    <n v="0"/>
    <n v="0"/>
    <n v="0"/>
    <n v="0"/>
    <n v="0"/>
    <n v="0"/>
    <n v="0"/>
    <n v="0"/>
    <x v="2"/>
    <n v="0"/>
    <n v="0"/>
    <n v="0"/>
    <s v="MMR001CMP179"/>
    <x v="0"/>
    <x v="0"/>
    <x v="0"/>
    <n v="0"/>
    <m/>
    <m/>
  </r>
  <r>
    <n v="24.6"/>
    <d v="2014-10-25T00:00:00"/>
    <x v="3"/>
    <s v="MRCS"/>
    <s v="Kachin"/>
    <s v="Hpakant"/>
    <s v="5 Ward RC Church(lon Khin)"/>
    <m/>
    <m/>
    <m/>
    <m/>
    <m/>
    <m/>
    <m/>
    <m/>
    <m/>
    <m/>
    <n v="223"/>
    <n v="96"/>
    <m/>
    <m/>
    <m/>
    <m/>
    <m/>
    <n v="0"/>
    <n v="0"/>
    <n v="0"/>
    <n v="0"/>
    <n v="0"/>
    <n v="0"/>
    <n v="0"/>
    <n v="0"/>
    <n v="0"/>
    <n v="0"/>
    <n v="0"/>
    <n v="0"/>
    <n v="0"/>
    <n v="0"/>
    <x v="2"/>
    <n v="0"/>
    <n v="0"/>
    <n v="0"/>
    <s v="MMR001CMP168"/>
    <x v="0"/>
    <x v="0"/>
    <x v="0"/>
    <n v="0"/>
    <m/>
    <m/>
  </r>
  <r>
    <n v="24.6"/>
    <d v="2014-10-25T00:00:00"/>
    <x v="3"/>
    <s v="MRCS"/>
    <s v="Kachin"/>
    <s v="Hpakant"/>
    <s v="AG Church, Hmaw Si Sa"/>
    <m/>
    <m/>
    <m/>
    <m/>
    <m/>
    <m/>
    <m/>
    <m/>
    <m/>
    <m/>
    <n v="232"/>
    <n v="105"/>
    <m/>
    <m/>
    <m/>
    <m/>
    <m/>
    <n v="0"/>
    <n v="0"/>
    <n v="0"/>
    <n v="0"/>
    <n v="0"/>
    <n v="0"/>
    <n v="0"/>
    <n v="0"/>
    <n v="0"/>
    <n v="0"/>
    <n v="0"/>
    <n v="0"/>
    <n v="0"/>
    <n v="0"/>
    <x v="2"/>
    <n v="0"/>
    <n v="0"/>
    <n v="0"/>
    <s v="MMR001CMP176"/>
    <x v="0"/>
    <x v="0"/>
    <x v="0"/>
    <n v="0"/>
    <m/>
    <m/>
  </r>
  <r>
    <n v="24.6"/>
    <d v="2014-10-25T00:00:00"/>
    <x v="3"/>
    <s v="MRCS"/>
    <s v="Kachin"/>
    <s v="Hpakant"/>
    <s v="AG Church, Maw Wan"/>
    <m/>
    <m/>
    <m/>
    <m/>
    <m/>
    <m/>
    <m/>
    <m/>
    <m/>
    <m/>
    <n v="55"/>
    <n v="27"/>
    <m/>
    <m/>
    <m/>
    <m/>
    <m/>
    <n v="0"/>
    <n v="0"/>
    <n v="0"/>
    <n v="0"/>
    <n v="0"/>
    <n v="0"/>
    <n v="0"/>
    <n v="0"/>
    <n v="0"/>
    <n v="0"/>
    <n v="0"/>
    <n v="0"/>
    <n v="0"/>
    <n v="0"/>
    <x v="2"/>
    <n v="0"/>
    <n v="0"/>
    <n v="0"/>
    <s v="MMR001CMP190"/>
    <x v="0"/>
    <x v="0"/>
    <x v="0"/>
    <n v="0"/>
    <m/>
    <m/>
  </r>
  <r>
    <n v="24.6"/>
    <d v="2014-10-25T00:00:00"/>
    <x v="3"/>
    <s v="MRCS"/>
    <s v="Kachin"/>
    <s v="Hpakant"/>
    <s v="Baptist Church, Hmaw Si Sar(Lon Khin)"/>
    <m/>
    <m/>
    <m/>
    <m/>
    <m/>
    <m/>
    <m/>
    <m/>
    <m/>
    <m/>
    <n v="123"/>
    <n v="104"/>
    <m/>
    <m/>
    <m/>
    <m/>
    <m/>
    <n v="0"/>
    <n v="0"/>
    <n v="0"/>
    <n v="0"/>
    <n v="0"/>
    <n v="0"/>
    <n v="0"/>
    <n v="0"/>
    <n v="0"/>
    <n v="0"/>
    <n v="0"/>
    <n v="0"/>
    <n v="0"/>
    <n v="0"/>
    <x v="2"/>
    <n v="0"/>
    <n v="0"/>
    <n v="0"/>
    <s v="MMR001CMP169"/>
    <x v="0"/>
    <x v="0"/>
    <x v="0"/>
    <n v="0"/>
    <m/>
    <m/>
  </r>
  <r>
    <n v="24.6"/>
    <d v="2014-10-25T00:00:00"/>
    <x v="3"/>
    <s v="MRCS"/>
    <s v="Kachin"/>
    <s v="Hpakant"/>
    <s v="Baptist Church, Naung Hmee VT"/>
    <m/>
    <m/>
    <m/>
    <m/>
    <m/>
    <m/>
    <m/>
    <m/>
    <m/>
    <m/>
    <n v="48"/>
    <n v="30"/>
    <m/>
    <m/>
    <m/>
    <m/>
    <m/>
    <n v="0"/>
    <n v="0"/>
    <n v="0"/>
    <n v="0"/>
    <n v="0"/>
    <n v="0"/>
    <n v="0"/>
    <n v="0"/>
    <n v="0"/>
    <n v="0"/>
    <n v="0"/>
    <n v="0"/>
    <n v="0"/>
    <n v="0"/>
    <x v="2"/>
    <n v="0"/>
    <n v="0"/>
    <n v="0"/>
    <s v="MMR001CMP188"/>
    <x v="0"/>
    <x v="2"/>
    <x v="0"/>
    <s v=""/>
    <m/>
    <m/>
  </r>
  <r>
    <n v="24.6"/>
    <d v="2014-10-25T00:00:00"/>
    <x v="3"/>
    <s v="MRCS"/>
    <s v="Kachin"/>
    <s v="Hpakant"/>
    <s v="Chin Church, Seik Mu"/>
    <m/>
    <m/>
    <m/>
    <m/>
    <m/>
    <m/>
    <m/>
    <m/>
    <m/>
    <m/>
    <n v="15"/>
    <n v="10"/>
    <m/>
    <m/>
    <m/>
    <m/>
    <m/>
    <n v="0"/>
    <n v="0"/>
    <n v="0"/>
    <n v="0"/>
    <n v="0"/>
    <n v="0"/>
    <n v="0"/>
    <n v="0"/>
    <n v="0"/>
    <n v="0"/>
    <n v="0"/>
    <n v="0"/>
    <n v="0"/>
    <n v="0"/>
    <x v="2"/>
    <n v="0"/>
    <n v="0"/>
    <n v="0"/>
    <s v="MMR001CMP109"/>
    <x v="0"/>
    <x v="0"/>
    <x v="0"/>
    <n v="0"/>
    <m/>
    <m/>
  </r>
  <r>
    <n v="24.6"/>
    <d v="2014-10-25T00:00:00"/>
    <x v="3"/>
    <s v="MRCS"/>
    <s v="Kachin"/>
    <s v="Hpakant"/>
    <s v="Dhama Rakhita, Nyein Chan Tar Yar Ward(Lon Khin)"/>
    <m/>
    <m/>
    <m/>
    <m/>
    <m/>
    <m/>
    <m/>
    <m/>
    <m/>
    <m/>
    <n v="214"/>
    <n v="112"/>
    <m/>
    <m/>
    <m/>
    <m/>
    <m/>
    <n v="0"/>
    <n v="0"/>
    <n v="0"/>
    <n v="0"/>
    <n v="0"/>
    <n v="0"/>
    <n v="0"/>
    <n v="0"/>
    <n v="0"/>
    <n v="0"/>
    <n v="0"/>
    <n v="0"/>
    <n v="0"/>
    <n v="0"/>
    <x v="2"/>
    <n v="0"/>
    <n v="0"/>
    <n v="0"/>
    <s v="MMR001CMP174"/>
    <x v="0"/>
    <x v="0"/>
    <x v="0"/>
    <n v="0"/>
    <m/>
    <m/>
  </r>
  <r>
    <n v="24.6"/>
    <d v="2014-10-25T00:00:00"/>
    <x v="3"/>
    <s v="MRCS"/>
    <s v="Kachin"/>
    <s v="Hpakant"/>
    <s v="Hlaing Naung Baptist"/>
    <m/>
    <m/>
    <m/>
    <m/>
    <m/>
    <m/>
    <m/>
    <m/>
    <m/>
    <m/>
    <n v="37"/>
    <n v="24"/>
    <m/>
    <m/>
    <m/>
    <m/>
    <m/>
    <n v="0"/>
    <n v="0"/>
    <n v="0"/>
    <n v="0"/>
    <n v="0"/>
    <n v="0"/>
    <n v="0"/>
    <n v="0"/>
    <n v="0"/>
    <n v="0"/>
    <n v="0"/>
    <n v="0"/>
    <n v="0"/>
    <n v="0"/>
    <x v="2"/>
    <n v="0"/>
    <n v="0"/>
    <n v="0"/>
    <s v="MMR001CMP148"/>
    <x v="0"/>
    <x v="0"/>
    <x v="0"/>
    <n v="0"/>
    <m/>
    <m/>
  </r>
  <r>
    <n v="24.6"/>
    <d v="2014-10-25T00:00:00"/>
    <x v="3"/>
    <s v="MRCS"/>
    <s v="Kachin"/>
    <s v="Hpakant"/>
    <s v="Hmaw Wan, Anglican"/>
    <m/>
    <m/>
    <m/>
    <m/>
    <m/>
    <m/>
    <m/>
    <m/>
    <m/>
    <m/>
    <n v="33"/>
    <n v="24"/>
    <m/>
    <m/>
    <m/>
    <m/>
    <m/>
    <n v="0"/>
    <n v="0"/>
    <n v="0"/>
    <n v="0"/>
    <n v="0"/>
    <n v="0"/>
    <n v="0"/>
    <n v="0"/>
    <n v="0"/>
    <n v="0"/>
    <n v="0"/>
    <n v="0"/>
    <n v="0"/>
    <n v="0"/>
    <x v="2"/>
    <n v="0"/>
    <n v="0"/>
    <n v="0"/>
    <s v="MMR001CMP191"/>
    <x v="0"/>
    <x v="0"/>
    <x v="0"/>
    <n v="0"/>
    <m/>
    <m/>
  </r>
  <r>
    <n v="24.6"/>
    <d v="2014-10-25T00:00:00"/>
    <x v="3"/>
    <s v="MRCS"/>
    <s v="Kachin"/>
    <s v="Hpakant"/>
    <s v="Hpakant Baptist Church, Nam Ma Hpit"/>
    <m/>
    <m/>
    <m/>
    <m/>
    <m/>
    <m/>
    <m/>
    <m/>
    <m/>
    <m/>
    <n v="186"/>
    <n v="125"/>
    <m/>
    <m/>
    <m/>
    <m/>
    <m/>
    <n v="0"/>
    <n v="0"/>
    <n v="0"/>
    <n v="0"/>
    <n v="0"/>
    <n v="0"/>
    <n v="0"/>
    <n v="0"/>
    <n v="0"/>
    <n v="0"/>
    <n v="0"/>
    <n v="0"/>
    <n v="0"/>
    <n v="0"/>
    <x v="2"/>
    <n v="0"/>
    <n v="0"/>
    <n v="0"/>
    <s v="MMR001CMP229"/>
    <x v="0"/>
    <x v="0"/>
    <x v="0"/>
    <n v="0"/>
    <m/>
    <m/>
  </r>
  <r>
    <n v="24.6"/>
    <d v="2014-10-25T00:00:00"/>
    <x v="3"/>
    <s v="MRCS"/>
    <s v="Kachin"/>
    <s v="Hpakant"/>
    <s v="Lisu Baptist Church, Maw Shan Vil,. Seik Mu"/>
    <m/>
    <m/>
    <m/>
    <m/>
    <m/>
    <m/>
    <m/>
    <m/>
    <m/>
    <m/>
    <n v="90"/>
    <n v="39"/>
    <m/>
    <m/>
    <m/>
    <m/>
    <m/>
    <n v="0"/>
    <n v="0"/>
    <n v="0"/>
    <n v="0"/>
    <n v="0"/>
    <n v="0"/>
    <n v="0"/>
    <n v="0"/>
    <n v="0"/>
    <n v="0"/>
    <n v="0"/>
    <n v="0"/>
    <n v="0"/>
    <n v="0"/>
    <x v="2"/>
    <n v="0"/>
    <n v="0"/>
    <n v="0"/>
    <s v="MMR001CMP181"/>
    <x v="0"/>
    <x v="0"/>
    <x v="0"/>
    <n v="0"/>
    <m/>
    <m/>
  </r>
  <r>
    <n v="24.6"/>
    <d v="2014-10-25T00:00:00"/>
    <x v="3"/>
    <s v="MRCS"/>
    <s v="Kachin"/>
    <s v="Hpakant"/>
    <s v="Lisu Baptist Church, Maw Wan Ward"/>
    <m/>
    <m/>
    <m/>
    <m/>
    <m/>
    <m/>
    <m/>
    <m/>
    <m/>
    <m/>
    <n v="48"/>
    <n v="23"/>
    <m/>
    <m/>
    <m/>
    <m/>
    <m/>
    <n v="0"/>
    <n v="0"/>
    <n v="0"/>
    <n v="0"/>
    <n v="0"/>
    <n v="0"/>
    <n v="0"/>
    <n v="0"/>
    <n v="0"/>
    <n v="0"/>
    <n v="0"/>
    <n v="0"/>
    <n v="0"/>
    <n v="0"/>
    <x v="2"/>
    <n v="0"/>
    <n v="0"/>
    <n v="0"/>
    <s v="MMR001CMP167"/>
    <x v="0"/>
    <x v="0"/>
    <x v="0"/>
    <n v="0"/>
    <m/>
    <m/>
  </r>
  <r>
    <n v="24.6"/>
    <d v="2014-10-25T00:00:00"/>
    <x v="3"/>
    <s v="MRCS"/>
    <s v="Kachin"/>
    <s v="Momauk"/>
    <s v="Loi Je Baptist Church"/>
    <m/>
    <m/>
    <m/>
    <m/>
    <m/>
    <m/>
    <m/>
    <m/>
    <m/>
    <m/>
    <n v="112"/>
    <n v="59"/>
    <m/>
    <n v="74"/>
    <m/>
    <m/>
    <m/>
    <n v="0"/>
    <n v="0"/>
    <n v="0"/>
    <n v="0"/>
    <n v="0"/>
    <n v="0"/>
    <n v="0"/>
    <n v="0"/>
    <n v="0"/>
    <n v="0"/>
    <n v="0"/>
    <n v="0"/>
    <n v="0"/>
    <n v="0"/>
    <x v="2"/>
    <n v="0"/>
    <n v="0"/>
    <n v="0"/>
    <s v="MMR001CMP071"/>
    <x v="0"/>
    <x v="0"/>
    <x v="1"/>
    <n v="0"/>
    <m/>
    <m/>
  </r>
  <r>
    <n v="24.6"/>
    <d v="2014-10-25T00:00:00"/>
    <x v="3"/>
    <s v="MRCS"/>
    <s v="Kachin"/>
    <s v="Momauk"/>
    <s v="Loi Je Catholic Church"/>
    <m/>
    <m/>
    <m/>
    <m/>
    <m/>
    <m/>
    <m/>
    <m/>
    <m/>
    <m/>
    <n v="203"/>
    <n v="102"/>
    <m/>
    <n v="138"/>
    <m/>
    <m/>
    <m/>
    <n v="0"/>
    <n v="0"/>
    <n v="0"/>
    <n v="0"/>
    <n v="0"/>
    <n v="0"/>
    <n v="0"/>
    <n v="0"/>
    <n v="0"/>
    <n v="0"/>
    <n v="0"/>
    <n v="0"/>
    <n v="0"/>
    <n v="0"/>
    <x v="2"/>
    <n v="0"/>
    <n v="0"/>
    <n v="0"/>
    <s v="MMR001CMP069"/>
    <x v="0"/>
    <x v="0"/>
    <x v="1"/>
    <n v="0"/>
    <m/>
    <m/>
  </r>
  <r>
    <n v="24.6"/>
    <d v="2014-10-25T00:00:00"/>
    <x v="3"/>
    <s v="MRCS"/>
    <s v="Kachin"/>
    <s v="Momauk"/>
    <s v="Loi Je Lisu Camp"/>
    <m/>
    <m/>
    <m/>
    <m/>
    <m/>
    <m/>
    <m/>
    <m/>
    <m/>
    <m/>
    <n v="591"/>
    <n v="347"/>
    <m/>
    <n v="311"/>
    <m/>
    <m/>
    <m/>
    <n v="0"/>
    <n v="0"/>
    <n v="0"/>
    <n v="0"/>
    <n v="0"/>
    <n v="0"/>
    <n v="0"/>
    <n v="0"/>
    <n v="0"/>
    <n v="0"/>
    <n v="0"/>
    <n v="0"/>
    <n v="0"/>
    <n v="0"/>
    <x v="2"/>
    <n v="0"/>
    <n v="0"/>
    <n v="0"/>
    <s v="MMR001CMP070"/>
    <x v="0"/>
    <x v="0"/>
    <x v="1"/>
    <n v="0"/>
    <m/>
    <m/>
  </r>
  <r>
    <n v="25.033333333333335"/>
    <d v="2014-10-12T00:00:00"/>
    <x v="1"/>
    <m/>
    <s v="Kachin"/>
    <s v="Momauk"/>
    <s v="Man Bung Catholic compound"/>
    <m/>
    <m/>
    <m/>
    <m/>
    <n v="25"/>
    <m/>
    <m/>
    <m/>
    <m/>
    <m/>
    <m/>
    <m/>
    <m/>
    <m/>
    <m/>
    <m/>
    <m/>
    <n v="0"/>
    <n v="0"/>
    <n v="0"/>
    <n v="0"/>
    <n v="0"/>
    <n v="0"/>
    <n v="0"/>
    <n v="0"/>
    <n v="0"/>
    <n v="0"/>
    <n v="0"/>
    <n v="0"/>
    <n v="0"/>
    <n v="0"/>
    <x v="0"/>
    <n v="0"/>
    <n v="0"/>
    <n v="0"/>
    <s v="MMR001CMP062"/>
    <x v="0"/>
    <x v="0"/>
    <x v="0"/>
    <n v="0"/>
    <m/>
    <m/>
  </r>
  <r>
    <n v="25.1"/>
    <d v="2014-10-10T00:00:00"/>
    <x v="1"/>
    <m/>
    <s v="Kachin"/>
    <s v="Momauk"/>
    <s v="Loi Je Baptist Church"/>
    <m/>
    <m/>
    <m/>
    <m/>
    <n v="60"/>
    <m/>
    <m/>
    <m/>
    <m/>
    <m/>
    <m/>
    <m/>
    <m/>
    <m/>
    <m/>
    <m/>
    <m/>
    <n v="0"/>
    <n v="0"/>
    <n v="0"/>
    <n v="0"/>
    <n v="0"/>
    <n v="0"/>
    <n v="0"/>
    <n v="0"/>
    <n v="0"/>
    <n v="0"/>
    <n v="0"/>
    <n v="0"/>
    <n v="0"/>
    <n v="0"/>
    <x v="0"/>
    <n v="0"/>
    <n v="0"/>
    <n v="0"/>
    <s v="MMR001CMP071"/>
    <x v="0"/>
    <x v="0"/>
    <x v="1"/>
    <n v="0"/>
    <m/>
    <m/>
  </r>
  <r>
    <n v="25.1"/>
    <d v="2014-10-10T00:00:00"/>
    <x v="1"/>
    <m/>
    <s v="Kachin"/>
    <s v="Momauk"/>
    <s v="Loi Je Lisu Camp"/>
    <m/>
    <m/>
    <m/>
    <m/>
    <n v="30"/>
    <m/>
    <m/>
    <m/>
    <m/>
    <m/>
    <m/>
    <m/>
    <m/>
    <m/>
    <m/>
    <m/>
    <m/>
    <n v="0"/>
    <n v="0"/>
    <n v="0"/>
    <n v="0"/>
    <n v="0"/>
    <n v="0"/>
    <n v="0"/>
    <n v="0"/>
    <n v="0"/>
    <n v="0"/>
    <n v="0"/>
    <n v="0"/>
    <n v="0"/>
    <n v="0"/>
    <x v="0"/>
    <n v="0"/>
    <n v="0"/>
    <n v="0"/>
    <s v="MMR001CMP070"/>
    <x v="0"/>
    <x v="0"/>
    <x v="1"/>
    <n v="0"/>
    <m/>
    <m/>
  </r>
  <r>
    <n v="25.1"/>
    <d v="2014-10-10T00:00:00"/>
    <x v="1"/>
    <m/>
    <s v="Kachin"/>
    <s v="Momauk"/>
    <s v="Nyaung Na Pin "/>
    <m/>
    <m/>
    <m/>
    <m/>
    <n v="60"/>
    <m/>
    <m/>
    <m/>
    <m/>
    <m/>
    <m/>
    <m/>
    <m/>
    <m/>
    <m/>
    <m/>
    <m/>
    <n v="0"/>
    <n v="0"/>
    <n v="0"/>
    <n v="0"/>
    <n v="0"/>
    <n v="0"/>
    <n v="0"/>
    <n v="0"/>
    <n v="0"/>
    <n v="0"/>
    <n v="0"/>
    <n v="0"/>
    <n v="0"/>
    <n v="0"/>
    <x v="0"/>
    <n v="0"/>
    <n v="0"/>
    <n v="0"/>
    <s v="MMR001CMP072"/>
    <x v="0"/>
    <x v="0"/>
    <x v="1"/>
    <n v="0"/>
    <m/>
    <m/>
  </r>
  <r>
    <n v="25.4"/>
    <d v="2014-10-01T00:00:00"/>
    <x v="1"/>
    <s v="KMSS"/>
    <s v="Kachin"/>
    <s v="Hpakant"/>
    <s v="5 Ward RC Church(lon Khin)"/>
    <m/>
    <m/>
    <m/>
    <n v="156"/>
    <m/>
    <m/>
    <m/>
    <m/>
    <m/>
    <m/>
    <m/>
    <m/>
    <m/>
    <m/>
    <m/>
    <m/>
    <m/>
    <n v="0"/>
    <n v="0"/>
    <n v="0"/>
    <n v="0"/>
    <n v="0"/>
    <n v="0"/>
    <n v="0"/>
    <n v="0"/>
    <n v="0"/>
    <n v="0"/>
    <n v="0"/>
    <n v="0"/>
    <n v="0"/>
    <n v="0"/>
    <x v="0"/>
    <n v="0"/>
    <n v="0"/>
    <n v="0"/>
    <s v="MMR001CMP168"/>
    <x v="0"/>
    <x v="0"/>
    <x v="0"/>
    <n v="0"/>
    <m/>
    <m/>
  </r>
  <r>
    <n v="25.4"/>
    <d v="2014-10-01T00:00:00"/>
    <x v="1"/>
    <s v="Shalom"/>
    <s v="Kachin"/>
    <s v="Hpakant"/>
    <s v="AG Church, Hmaw Si Sa"/>
    <m/>
    <m/>
    <m/>
    <n v="130"/>
    <m/>
    <m/>
    <m/>
    <m/>
    <m/>
    <m/>
    <m/>
    <m/>
    <m/>
    <m/>
    <m/>
    <m/>
    <m/>
    <n v="0"/>
    <n v="0"/>
    <n v="0"/>
    <n v="0"/>
    <n v="0"/>
    <n v="0"/>
    <n v="0"/>
    <n v="0"/>
    <n v="0"/>
    <n v="0"/>
    <n v="0"/>
    <n v="0"/>
    <n v="0"/>
    <n v="0"/>
    <x v="0"/>
    <n v="0"/>
    <n v="0"/>
    <n v="0"/>
    <s v="MMR001CMP176"/>
    <x v="0"/>
    <x v="0"/>
    <x v="0"/>
    <n v="0"/>
    <m/>
    <m/>
  </r>
  <r>
    <n v="25.4"/>
    <d v="2014-10-01T00:00:00"/>
    <x v="1"/>
    <s v="Shalom"/>
    <s v="Kachin"/>
    <s v="Hpakant"/>
    <s v="AG Church, Maw Wan"/>
    <m/>
    <m/>
    <m/>
    <n v="30"/>
    <m/>
    <m/>
    <m/>
    <m/>
    <m/>
    <m/>
    <m/>
    <m/>
    <m/>
    <m/>
    <m/>
    <m/>
    <m/>
    <n v="0"/>
    <n v="0"/>
    <n v="0"/>
    <n v="0"/>
    <n v="0"/>
    <n v="0"/>
    <n v="0"/>
    <n v="0"/>
    <n v="0"/>
    <n v="0"/>
    <n v="0"/>
    <n v="0"/>
    <n v="0"/>
    <n v="0"/>
    <x v="0"/>
    <n v="0"/>
    <n v="0"/>
    <n v="0"/>
    <s v="MMR001CMP190"/>
    <x v="0"/>
    <x v="0"/>
    <x v="0"/>
    <n v="0"/>
    <m/>
    <m/>
  </r>
  <r>
    <n v="25.4"/>
    <d v="2014-10-01T00:00:00"/>
    <x v="1"/>
    <s v="Shalom"/>
    <s v="Kachin"/>
    <s v="Hpakant"/>
    <s v="Baptist Church, Naung Hmee VT"/>
    <m/>
    <m/>
    <m/>
    <n v="30"/>
    <m/>
    <m/>
    <m/>
    <m/>
    <m/>
    <m/>
    <m/>
    <m/>
    <m/>
    <m/>
    <m/>
    <m/>
    <m/>
    <n v="0"/>
    <n v="0"/>
    <n v="0"/>
    <n v="0"/>
    <n v="0"/>
    <n v="0"/>
    <n v="0"/>
    <n v="0"/>
    <n v="0"/>
    <n v="0"/>
    <n v="0"/>
    <n v="0"/>
    <n v="0"/>
    <n v="0"/>
    <x v="0"/>
    <n v="0"/>
    <n v="0"/>
    <n v="0"/>
    <s v="MMR001CMP188"/>
    <x v="0"/>
    <x v="2"/>
    <x v="0"/>
    <s v=""/>
    <m/>
    <m/>
  </r>
  <r>
    <n v="25.4"/>
    <d v="2014-10-01T00:00:00"/>
    <x v="1"/>
    <s v="Shalom"/>
    <s v="Kachin"/>
    <s v="Hpakant"/>
    <s v="Chin Church, Seik Mu"/>
    <m/>
    <m/>
    <m/>
    <n v="8"/>
    <m/>
    <m/>
    <m/>
    <m/>
    <m/>
    <m/>
    <m/>
    <m/>
    <m/>
    <m/>
    <m/>
    <m/>
    <m/>
    <n v="0"/>
    <n v="0"/>
    <n v="0"/>
    <n v="0"/>
    <n v="0"/>
    <n v="0"/>
    <n v="0"/>
    <n v="0"/>
    <n v="0"/>
    <n v="0"/>
    <n v="0"/>
    <n v="0"/>
    <n v="0"/>
    <n v="0"/>
    <x v="0"/>
    <n v="0"/>
    <n v="0"/>
    <n v="0"/>
    <s v="MMR001CMP109"/>
    <x v="0"/>
    <x v="0"/>
    <x v="0"/>
    <n v="0"/>
    <m/>
    <m/>
  </r>
  <r>
    <n v="25.4"/>
    <d v="2014-10-01T00:00:00"/>
    <x v="1"/>
    <s v="Shalom"/>
    <s v="Kachin"/>
    <s v="Chipwi"/>
    <s v="Chipwi KBC camp"/>
    <m/>
    <m/>
    <m/>
    <n v="214"/>
    <m/>
    <m/>
    <m/>
    <m/>
    <m/>
    <m/>
    <m/>
    <m/>
    <m/>
    <n v="214"/>
    <m/>
    <m/>
    <m/>
    <n v="0"/>
    <n v="0"/>
    <n v="0"/>
    <n v="0"/>
    <n v="0"/>
    <n v="0"/>
    <n v="0"/>
    <n v="0"/>
    <n v="0"/>
    <n v="0"/>
    <n v="0"/>
    <n v="0"/>
    <n v="0"/>
    <n v="0"/>
    <x v="2"/>
    <n v="0"/>
    <n v="0"/>
    <n v="0"/>
    <s v="MMR001CMP042"/>
    <x v="0"/>
    <x v="0"/>
    <x v="5"/>
    <n v="0"/>
    <m/>
    <m/>
  </r>
  <r>
    <n v="25.4"/>
    <d v="2014-10-01T00:00:00"/>
    <x v="1"/>
    <s v="Shalom"/>
    <s v="Kachin"/>
    <s v="Hpakant"/>
    <s v="Dhama Rakhita, Nyein Chan Tar Yar Ward(Lon Khin)"/>
    <m/>
    <m/>
    <m/>
    <n v="130"/>
    <m/>
    <m/>
    <m/>
    <m/>
    <m/>
    <m/>
    <m/>
    <m/>
    <m/>
    <m/>
    <m/>
    <m/>
    <m/>
    <n v="0"/>
    <n v="0"/>
    <n v="0"/>
    <n v="0"/>
    <n v="0"/>
    <n v="0"/>
    <n v="0"/>
    <n v="0"/>
    <n v="0"/>
    <n v="0"/>
    <n v="0"/>
    <n v="0"/>
    <n v="0"/>
    <n v="0"/>
    <x v="0"/>
    <n v="0"/>
    <n v="0"/>
    <n v="0"/>
    <s v="MMR001CMP174"/>
    <x v="0"/>
    <x v="0"/>
    <x v="0"/>
    <n v="0"/>
    <m/>
    <m/>
  </r>
  <r>
    <n v="25.4"/>
    <d v="2014-10-01T00:00:00"/>
    <x v="1"/>
    <s v="KMSS"/>
    <s v="Kachin"/>
    <s v="Momauk"/>
    <s v="Dum Bung "/>
    <m/>
    <m/>
    <m/>
    <n v="238"/>
    <m/>
    <m/>
    <m/>
    <m/>
    <m/>
    <m/>
    <m/>
    <m/>
    <m/>
    <n v="238"/>
    <m/>
    <m/>
    <m/>
    <n v="0"/>
    <n v="0"/>
    <n v="0"/>
    <n v="0"/>
    <n v="0"/>
    <n v="0"/>
    <n v="0"/>
    <n v="0"/>
    <n v="0"/>
    <n v="0"/>
    <n v="0"/>
    <n v="0"/>
    <n v="0"/>
    <n v="0"/>
    <x v="2"/>
    <n v="0"/>
    <n v="0"/>
    <n v="0"/>
    <s v="MMR001CMP123"/>
    <x v="0"/>
    <x v="0"/>
    <x v="6"/>
    <n v="0"/>
    <m/>
    <m/>
  </r>
  <r>
    <n v="25.4"/>
    <d v="2014-10-01T00:00:00"/>
    <x v="1"/>
    <s v="Shalom"/>
    <s v="Kachin"/>
    <s v="Waingmaw"/>
    <s v="Hkat Cho "/>
    <m/>
    <m/>
    <m/>
    <n v="268"/>
    <m/>
    <m/>
    <m/>
    <m/>
    <m/>
    <m/>
    <m/>
    <m/>
    <m/>
    <m/>
    <m/>
    <m/>
    <m/>
    <n v="0"/>
    <n v="0"/>
    <n v="0"/>
    <n v="0"/>
    <n v="0"/>
    <n v="0"/>
    <n v="0"/>
    <n v="0"/>
    <n v="0"/>
    <n v="0"/>
    <n v="0"/>
    <n v="0"/>
    <n v="0"/>
    <n v="0"/>
    <x v="0"/>
    <n v="0"/>
    <n v="0"/>
    <n v="0"/>
    <s v="MMR001CMP028"/>
    <x v="0"/>
    <x v="0"/>
    <x v="0"/>
    <n v="0"/>
    <m/>
    <m/>
  </r>
  <r>
    <n v="25.4"/>
    <d v="2014-10-01T00:00:00"/>
    <x v="1"/>
    <s v="Shalom"/>
    <s v="Kachin"/>
    <s v="Hpakant"/>
    <s v="Hmaw Wan, Anglican"/>
    <m/>
    <m/>
    <m/>
    <n v="20"/>
    <m/>
    <m/>
    <m/>
    <m/>
    <m/>
    <m/>
    <m/>
    <m/>
    <m/>
    <m/>
    <m/>
    <m/>
    <m/>
    <n v="0"/>
    <n v="0"/>
    <n v="0"/>
    <n v="0"/>
    <n v="0"/>
    <n v="0"/>
    <n v="0"/>
    <n v="0"/>
    <n v="0"/>
    <n v="0"/>
    <n v="0"/>
    <n v="0"/>
    <n v="0"/>
    <n v="0"/>
    <x v="0"/>
    <n v="0"/>
    <n v="0"/>
    <n v="0"/>
    <s v="MMR001CMP191"/>
    <x v="0"/>
    <x v="0"/>
    <x v="0"/>
    <n v="0"/>
    <m/>
    <m/>
  </r>
  <r>
    <n v="25.4"/>
    <d v="2014-10-01T00:00:00"/>
    <x v="1"/>
    <s v="KMSS"/>
    <s v="Kachin"/>
    <s v="Myitkyina"/>
    <s v="Jan Mai Kawng Catholic Church"/>
    <m/>
    <m/>
    <m/>
    <n v="218"/>
    <m/>
    <m/>
    <m/>
    <m/>
    <m/>
    <m/>
    <m/>
    <m/>
    <m/>
    <m/>
    <m/>
    <m/>
    <m/>
    <n v="0"/>
    <n v="0"/>
    <n v="0"/>
    <n v="0"/>
    <n v="0"/>
    <n v="0"/>
    <n v="0"/>
    <n v="0"/>
    <n v="0"/>
    <n v="0"/>
    <n v="0"/>
    <n v="0"/>
    <n v="0"/>
    <n v="0"/>
    <x v="0"/>
    <n v="0"/>
    <n v="0"/>
    <n v="0"/>
    <s v="MMR001CMP019"/>
    <x v="0"/>
    <x v="0"/>
    <x v="0"/>
    <n v="0"/>
    <m/>
    <m/>
  </r>
  <r>
    <n v="25.4"/>
    <d v="2014-10-01T00:00:00"/>
    <x v="1"/>
    <s v="Shalom"/>
    <s v="Kachin"/>
    <s v="Chipwi"/>
    <s v="Lhaovao Baptist Church (LBC)"/>
    <m/>
    <m/>
    <m/>
    <n v="278"/>
    <m/>
    <m/>
    <m/>
    <m/>
    <m/>
    <m/>
    <m/>
    <m/>
    <m/>
    <n v="278"/>
    <m/>
    <m/>
    <m/>
    <n v="0"/>
    <n v="0"/>
    <n v="0"/>
    <n v="0"/>
    <n v="0"/>
    <n v="0"/>
    <n v="0"/>
    <n v="0"/>
    <n v="0"/>
    <n v="0"/>
    <n v="0"/>
    <n v="0"/>
    <n v="0"/>
    <n v="0"/>
    <x v="2"/>
    <n v="0"/>
    <n v="0"/>
    <n v="0"/>
    <s v="MMR001CMP195"/>
    <x v="0"/>
    <x v="0"/>
    <x v="5"/>
    <n v="0"/>
    <m/>
    <m/>
  </r>
  <r>
    <n v="25.4"/>
    <d v="2014-10-01T00:00:00"/>
    <x v="1"/>
    <s v="Shalom"/>
    <s v="Kachin"/>
    <s v="Hpakant"/>
    <s v="Lisu Baptist Church, Maw Shan Vil,. Seik Mu"/>
    <m/>
    <m/>
    <m/>
    <n v="40"/>
    <m/>
    <m/>
    <m/>
    <m/>
    <m/>
    <m/>
    <m/>
    <m/>
    <m/>
    <m/>
    <m/>
    <m/>
    <m/>
    <n v="0"/>
    <n v="0"/>
    <n v="0"/>
    <n v="0"/>
    <n v="0"/>
    <n v="0"/>
    <n v="0"/>
    <n v="0"/>
    <n v="0"/>
    <n v="0"/>
    <n v="0"/>
    <n v="0"/>
    <n v="0"/>
    <n v="0"/>
    <x v="0"/>
    <n v="0"/>
    <n v="0"/>
    <n v="0"/>
    <s v="MMR001CMP181"/>
    <x v="0"/>
    <x v="0"/>
    <x v="0"/>
    <n v="0"/>
    <m/>
    <m/>
  </r>
  <r>
    <n v="25.4"/>
    <d v="2014-10-01T00:00:00"/>
    <x v="1"/>
    <s v="Shalom"/>
    <s v="Kachin"/>
    <s v="Hpakant"/>
    <s v="Lisu Baptist Church, Maw Wan Ward"/>
    <m/>
    <m/>
    <m/>
    <n v="16"/>
    <m/>
    <m/>
    <m/>
    <m/>
    <m/>
    <m/>
    <m/>
    <m/>
    <m/>
    <m/>
    <m/>
    <m/>
    <m/>
    <n v="0"/>
    <n v="0"/>
    <n v="0"/>
    <n v="0"/>
    <n v="0"/>
    <n v="0"/>
    <n v="0"/>
    <n v="0"/>
    <n v="0"/>
    <n v="0"/>
    <n v="0"/>
    <n v="0"/>
    <n v="0"/>
    <n v="0"/>
    <x v="0"/>
    <n v="0"/>
    <n v="0"/>
    <n v="0"/>
    <s v="MMR001CMP167"/>
    <x v="0"/>
    <x v="0"/>
    <x v="0"/>
    <n v="0"/>
    <m/>
    <m/>
  </r>
  <r>
    <n v="25.4"/>
    <d v="2014-10-01T00:00:00"/>
    <x v="1"/>
    <s v="KMSS"/>
    <s v="Kachin"/>
    <s v="Waingmaw"/>
    <s v="Maga Yang "/>
    <m/>
    <m/>
    <m/>
    <n v="1248"/>
    <m/>
    <m/>
    <m/>
    <m/>
    <m/>
    <m/>
    <m/>
    <m/>
    <m/>
    <n v="1248"/>
    <m/>
    <m/>
    <m/>
    <n v="0"/>
    <n v="0"/>
    <n v="0"/>
    <n v="0"/>
    <n v="0"/>
    <n v="0"/>
    <n v="0"/>
    <n v="0"/>
    <n v="0"/>
    <n v="0"/>
    <n v="0"/>
    <n v="0"/>
    <n v="0"/>
    <n v="0"/>
    <x v="2"/>
    <n v="0"/>
    <n v="0"/>
    <n v="0"/>
    <s v="MMR001CMP119"/>
    <x v="0"/>
    <x v="0"/>
    <x v="6"/>
    <n v="0"/>
    <m/>
    <m/>
  </r>
  <r>
    <n v="25.4"/>
    <d v="2014-10-01T00:00:00"/>
    <x v="1"/>
    <s v="Shalom"/>
    <s v="Kachin"/>
    <s v="Waingmaw"/>
    <s v="Maina AG Church"/>
    <m/>
    <m/>
    <m/>
    <n v="286"/>
    <m/>
    <m/>
    <m/>
    <m/>
    <m/>
    <m/>
    <m/>
    <m/>
    <m/>
    <m/>
    <m/>
    <m/>
    <m/>
    <n v="0"/>
    <n v="0"/>
    <n v="0"/>
    <n v="0"/>
    <n v="0"/>
    <n v="0"/>
    <n v="0"/>
    <n v="0"/>
    <n v="0"/>
    <n v="0"/>
    <n v="0"/>
    <n v="0"/>
    <n v="0"/>
    <n v="0"/>
    <x v="0"/>
    <n v="0"/>
    <n v="0"/>
    <n v="0"/>
    <s v="MMR001CMP031"/>
    <x v="0"/>
    <x v="0"/>
    <x v="0"/>
    <n v="0"/>
    <m/>
    <m/>
  </r>
  <r>
    <n v="25.4"/>
    <d v="2014-10-01T00:00:00"/>
    <x v="1"/>
    <s v="KMSS"/>
    <s v="Kachin"/>
    <s v="Waingmaw"/>
    <s v="Maina Catholic Church (St. Joseph)"/>
    <m/>
    <m/>
    <m/>
    <n v="462"/>
    <m/>
    <m/>
    <m/>
    <m/>
    <m/>
    <m/>
    <m/>
    <m/>
    <m/>
    <m/>
    <m/>
    <m/>
    <m/>
    <n v="0"/>
    <n v="0"/>
    <n v="0"/>
    <n v="0"/>
    <n v="0"/>
    <n v="0"/>
    <n v="0"/>
    <n v="0"/>
    <n v="0"/>
    <n v="0"/>
    <n v="0"/>
    <n v="0"/>
    <n v="0"/>
    <n v="0"/>
    <x v="0"/>
    <n v="0"/>
    <n v="0"/>
    <n v="0"/>
    <s v="MMR001CMP029"/>
    <x v="0"/>
    <x v="0"/>
    <x v="0"/>
    <n v="0"/>
    <m/>
    <m/>
  </r>
  <r>
    <n v="25.4"/>
    <d v="2014-10-01T00:00:00"/>
    <x v="1"/>
    <s v="Shalom"/>
    <s v="Kachin"/>
    <s v="Myitkyina"/>
    <s v="Maw Hpawng Hka Nan Baptist Church"/>
    <m/>
    <m/>
    <m/>
    <n v="52"/>
    <m/>
    <m/>
    <m/>
    <m/>
    <m/>
    <m/>
    <m/>
    <m/>
    <m/>
    <m/>
    <m/>
    <m/>
    <m/>
    <n v="0"/>
    <n v="0"/>
    <n v="0"/>
    <n v="0"/>
    <n v="0"/>
    <n v="0"/>
    <n v="0"/>
    <n v="0"/>
    <n v="0"/>
    <n v="0"/>
    <n v="0"/>
    <n v="0"/>
    <n v="0"/>
    <n v="0"/>
    <x v="0"/>
    <n v="0"/>
    <n v="0"/>
    <n v="0"/>
    <s v="MMR001CMP020"/>
    <x v="0"/>
    <x v="0"/>
    <x v="0"/>
    <n v="0"/>
    <m/>
    <m/>
  </r>
  <r>
    <n v="25.4"/>
    <d v="2014-10-01T00:00:00"/>
    <x v="1"/>
    <s v="Shalom"/>
    <s v="Kachin"/>
    <s v="Myitkyina"/>
    <s v="Maw Hpawng Lhaovo Baptist Church"/>
    <m/>
    <m/>
    <m/>
    <n v="42"/>
    <m/>
    <m/>
    <m/>
    <m/>
    <m/>
    <m/>
    <m/>
    <m/>
    <m/>
    <m/>
    <m/>
    <m/>
    <m/>
    <n v="0"/>
    <n v="0"/>
    <n v="0"/>
    <n v="0"/>
    <n v="0"/>
    <n v="0"/>
    <n v="0"/>
    <n v="0"/>
    <n v="0"/>
    <n v="0"/>
    <n v="0"/>
    <n v="0"/>
    <n v="0"/>
    <n v="0"/>
    <x v="0"/>
    <n v="0"/>
    <n v="0"/>
    <n v="0"/>
    <s v="MMR001CMP021"/>
    <x v="0"/>
    <x v="0"/>
    <x v="0"/>
    <n v="0"/>
    <m/>
    <m/>
  </r>
  <r>
    <n v="25.4"/>
    <d v="2014-10-01T00:00:00"/>
    <x v="1"/>
    <s v="Shalom"/>
    <s v="Kachin"/>
    <s v="Hpakant"/>
    <s v="Maw Wan, Mu-yin Baptist Church"/>
    <m/>
    <m/>
    <m/>
    <n v="10"/>
    <m/>
    <m/>
    <m/>
    <m/>
    <m/>
    <m/>
    <m/>
    <m/>
    <m/>
    <m/>
    <m/>
    <m/>
    <m/>
    <n v="0"/>
    <n v="0"/>
    <n v="0"/>
    <n v="0"/>
    <n v="0"/>
    <n v="0"/>
    <n v="0"/>
    <n v="0"/>
    <n v="0"/>
    <n v="0"/>
    <n v="0"/>
    <n v="0"/>
    <n v="0"/>
    <n v="0"/>
    <x v="0"/>
    <n v="0"/>
    <n v="0"/>
    <n v="0"/>
    <s v="MMR001CMP091"/>
    <x v="0"/>
    <x v="0"/>
    <x v="0"/>
    <n v="0"/>
    <m/>
    <m/>
  </r>
  <r>
    <n v="25.4"/>
    <d v="2014-10-01T00:00:00"/>
    <x v="1"/>
    <s v="Shalom"/>
    <s v="Kachin"/>
    <s v="Myitkyina"/>
    <s v="Myay Myint Baptist Church"/>
    <m/>
    <m/>
    <m/>
    <n v="24"/>
    <m/>
    <m/>
    <m/>
    <m/>
    <m/>
    <m/>
    <m/>
    <m/>
    <m/>
    <m/>
    <m/>
    <m/>
    <m/>
    <n v="0"/>
    <n v="0"/>
    <n v="0"/>
    <n v="0"/>
    <n v="0"/>
    <n v="0"/>
    <n v="0"/>
    <n v="0"/>
    <n v="0"/>
    <n v="0"/>
    <n v="0"/>
    <n v="0"/>
    <n v="0"/>
    <n v="0"/>
    <x v="0"/>
    <n v="0"/>
    <n v="0"/>
    <n v="0"/>
    <s v="MMR001CMP017"/>
    <x v="0"/>
    <x v="2"/>
    <x v="0"/>
    <s v=""/>
    <m/>
    <m/>
  </r>
  <r>
    <n v="25.4"/>
    <d v="2014-10-01T00:00:00"/>
    <x v="1"/>
    <s v="Shalom"/>
    <s v="Kachin"/>
    <s v="Hpakant"/>
    <s v="Nam Ma Phyit, COC"/>
    <m/>
    <m/>
    <m/>
    <n v="36"/>
    <m/>
    <m/>
    <m/>
    <m/>
    <m/>
    <m/>
    <m/>
    <m/>
    <m/>
    <m/>
    <m/>
    <m/>
    <m/>
    <n v="0"/>
    <n v="0"/>
    <n v="0"/>
    <n v="0"/>
    <n v="0"/>
    <n v="0"/>
    <n v="0"/>
    <n v="0"/>
    <n v="0"/>
    <n v="0"/>
    <n v="0"/>
    <n v="0"/>
    <n v="0"/>
    <n v="0"/>
    <x v="0"/>
    <n v="0"/>
    <n v="0"/>
    <n v="0"/>
    <s v="MMR001CMP192"/>
    <x v="0"/>
    <x v="0"/>
    <x v="0"/>
    <n v="0"/>
    <m/>
    <m/>
  </r>
  <r>
    <n v="25.4"/>
    <d v="2014-10-01T00:00:00"/>
    <x v="1"/>
    <s v="KMSS"/>
    <s v="Kachin"/>
    <s v="Myitkyina"/>
    <s v="Nan Kway St. John Catholic Church"/>
    <m/>
    <m/>
    <m/>
    <n v="144"/>
    <m/>
    <m/>
    <m/>
    <m/>
    <m/>
    <m/>
    <m/>
    <m/>
    <m/>
    <m/>
    <m/>
    <m/>
    <m/>
    <n v="0"/>
    <n v="0"/>
    <n v="0"/>
    <n v="0"/>
    <n v="0"/>
    <n v="0"/>
    <n v="0"/>
    <n v="0"/>
    <n v="0"/>
    <n v="0"/>
    <n v="0"/>
    <n v="0"/>
    <n v="0"/>
    <n v="0"/>
    <x v="0"/>
    <n v="0"/>
    <n v="0"/>
    <n v="0"/>
    <s v="MMR001CMP024"/>
    <x v="0"/>
    <x v="0"/>
    <x v="0"/>
    <n v="0"/>
    <m/>
    <m/>
  </r>
  <r>
    <n v="25.4"/>
    <d v="2014-10-01T00:00:00"/>
    <x v="1"/>
    <s v="KMSS"/>
    <s v="Kachin"/>
    <s v="Hpakant"/>
    <s v="Nant Ma Hpit Catholic Church"/>
    <m/>
    <m/>
    <m/>
    <n v="80"/>
    <m/>
    <m/>
    <m/>
    <m/>
    <m/>
    <m/>
    <m/>
    <m/>
    <m/>
    <m/>
    <m/>
    <m/>
    <m/>
    <n v="0"/>
    <n v="0"/>
    <n v="0"/>
    <n v="0"/>
    <n v="0"/>
    <n v="0"/>
    <n v="0"/>
    <n v="0"/>
    <n v="0"/>
    <n v="0"/>
    <n v="0"/>
    <n v="0"/>
    <n v="0"/>
    <n v="0"/>
    <x v="0"/>
    <n v="0"/>
    <n v="0"/>
    <n v="0"/>
    <s v="MMR001CMP103"/>
    <x v="0"/>
    <x v="0"/>
    <x v="0"/>
    <n v="0"/>
    <m/>
    <m/>
  </r>
  <r>
    <n v="25.4"/>
    <d v="2014-10-01T00:00:00"/>
    <x v="1"/>
    <s v="Shalom"/>
    <s v="Kachin"/>
    <s v="Waingmaw"/>
    <s v="Nawng Hee Village"/>
    <m/>
    <m/>
    <m/>
    <n v="36"/>
    <m/>
    <m/>
    <m/>
    <m/>
    <m/>
    <m/>
    <m/>
    <m/>
    <m/>
    <m/>
    <m/>
    <m/>
    <m/>
    <n v="0"/>
    <n v="0"/>
    <n v="0"/>
    <n v="0"/>
    <n v="0"/>
    <n v="0"/>
    <n v="0"/>
    <n v="0"/>
    <n v="0"/>
    <n v="0"/>
    <n v="0"/>
    <n v="0"/>
    <n v="0"/>
    <n v="0"/>
    <x v="0"/>
    <n v="0"/>
    <n v="0"/>
    <n v="0"/>
    <s v="MMR001CMP033"/>
    <x v="0"/>
    <x v="0"/>
    <x v="0"/>
    <n v="0"/>
    <m/>
    <m/>
  </r>
  <r>
    <n v="25.4"/>
    <d v="2014-10-01T00:00:00"/>
    <x v="1"/>
    <s v="KMSS"/>
    <s v="Kachin"/>
    <s v="Myitkyina"/>
    <s v="Pa Dauk Myaing(Pa La Na)"/>
    <m/>
    <m/>
    <m/>
    <n v="62"/>
    <m/>
    <m/>
    <m/>
    <m/>
    <m/>
    <m/>
    <m/>
    <m/>
    <m/>
    <m/>
    <m/>
    <m/>
    <m/>
    <n v="0"/>
    <n v="0"/>
    <n v="0"/>
    <n v="0"/>
    <n v="0"/>
    <n v="0"/>
    <n v="0"/>
    <n v="0"/>
    <n v="0"/>
    <n v="0"/>
    <n v="0"/>
    <n v="0"/>
    <n v="0"/>
    <n v="0"/>
    <x v="0"/>
    <n v="0"/>
    <n v="0"/>
    <n v="0"/>
    <s v="MMR001CMP162"/>
    <x v="0"/>
    <x v="0"/>
    <x v="0"/>
    <n v="0"/>
    <m/>
    <m/>
  </r>
  <r>
    <n v="25.4"/>
    <d v="2014-10-01T00:00:00"/>
    <x v="1"/>
    <s v="KMSS"/>
    <s v="Kachin"/>
    <s v="Chipwi"/>
    <s v="Pan Wa"/>
    <m/>
    <m/>
    <m/>
    <n v="130"/>
    <m/>
    <m/>
    <m/>
    <m/>
    <m/>
    <m/>
    <m/>
    <m/>
    <m/>
    <n v="130"/>
    <m/>
    <m/>
    <m/>
    <n v="0"/>
    <n v="0"/>
    <n v="0"/>
    <n v="0"/>
    <n v="0"/>
    <n v="0"/>
    <n v="0"/>
    <n v="0"/>
    <n v="0"/>
    <n v="0"/>
    <n v="0"/>
    <n v="0"/>
    <n v="0"/>
    <n v="0"/>
    <x v="2"/>
    <n v="0"/>
    <n v="0"/>
    <n v="0"/>
    <s v="MMR001CMP210"/>
    <x v="0"/>
    <x v="0"/>
    <x v="5"/>
    <n v="0"/>
    <m/>
    <m/>
  </r>
  <r>
    <n v="25.4"/>
    <d v="2014-10-01T00:00:00"/>
    <x v="1"/>
    <s v="Shalom"/>
    <s v="Kachin"/>
    <s v="Waingmaw"/>
    <s v="Qtr. 2 Lhaovo Baptist Church"/>
    <m/>
    <m/>
    <m/>
    <n v="240"/>
    <m/>
    <m/>
    <m/>
    <m/>
    <m/>
    <m/>
    <m/>
    <m/>
    <m/>
    <m/>
    <m/>
    <m/>
    <m/>
    <n v="0"/>
    <n v="0"/>
    <n v="0"/>
    <n v="0"/>
    <n v="0"/>
    <n v="0"/>
    <n v="0"/>
    <n v="0"/>
    <n v="0"/>
    <n v="0"/>
    <n v="0"/>
    <n v="0"/>
    <n v="0"/>
    <n v="0"/>
    <x v="0"/>
    <n v="0"/>
    <n v="0"/>
    <n v="0"/>
    <s v="MMR001CMP032"/>
    <x v="0"/>
    <x v="0"/>
    <x v="0"/>
    <n v="0"/>
    <m/>
    <m/>
  </r>
  <r>
    <n v="25.4"/>
    <d v="2014-10-01T00:00:00"/>
    <x v="1"/>
    <s v="Shalom"/>
    <s v="Kachin"/>
    <s v="Waingmaw"/>
    <s v="Qtr. 3 Mu-yin  Baptist Church"/>
    <m/>
    <m/>
    <m/>
    <n v="46"/>
    <m/>
    <m/>
    <m/>
    <m/>
    <m/>
    <m/>
    <m/>
    <m/>
    <m/>
    <m/>
    <m/>
    <m/>
    <m/>
    <n v="0"/>
    <n v="0"/>
    <n v="0"/>
    <n v="0"/>
    <n v="0"/>
    <n v="0"/>
    <n v="0"/>
    <n v="0"/>
    <n v="0"/>
    <n v="0"/>
    <n v="0"/>
    <n v="0"/>
    <n v="0"/>
    <n v="0"/>
    <x v="0"/>
    <n v="0"/>
    <n v="0"/>
    <n v="0"/>
    <s v="MMR001CMP030"/>
    <x v="0"/>
    <x v="0"/>
    <x v="0"/>
    <n v="0"/>
    <m/>
    <m/>
  </r>
  <r>
    <n v="25.4"/>
    <d v="2014-10-01T00:00:00"/>
    <x v="1"/>
    <s v="Shalom"/>
    <s v="Kachin"/>
    <s v="Waingmaw"/>
    <s v="Qtr. 4 Monestry (Thargaya Thayett Taw)"/>
    <m/>
    <m/>
    <m/>
    <n v="204"/>
    <m/>
    <m/>
    <m/>
    <m/>
    <m/>
    <m/>
    <m/>
    <m/>
    <m/>
    <m/>
    <m/>
    <m/>
    <m/>
    <n v="0"/>
    <n v="0"/>
    <n v="0"/>
    <n v="0"/>
    <n v="0"/>
    <n v="0"/>
    <n v="0"/>
    <n v="0"/>
    <n v="0"/>
    <n v="0"/>
    <n v="0"/>
    <n v="0"/>
    <n v="0"/>
    <n v="0"/>
    <x v="0"/>
    <n v="0"/>
    <n v="0"/>
    <n v="0"/>
    <s v="MMR001CMP026"/>
    <x v="0"/>
    <x v="0"/>
    <x v="0"/>
    <n v="0"/>
    <m/>
    <m/>
  </r>
  <r>
    <n v="25.4"/>
    <d v="2014-10-01T00:00:00"/>
    <x v="1"/>
    <s v="Shalom"/>
    <s v="Kachin"/>
    <s v="Hpakant"/>
    <s v="Rawan Baptist Church, Maw Shan Vil., Seik Mu"/>
    <m/>
    <m/>
    <m/>
    <n v="24"/>
    <m/>
    <m/>
    <m/>
    <m/>
    <m/>
    <m/>
    <m/>
    <m/>
    <m/>
    <m/>
    <m/>
    <m/>
    <m/>
    <n v="0"/>
    <n v="0"/>
    <n v="0"/>
    <n v="0"/>
    <n v="0"/>
    <n v="0"/>
    <n v="0"/>
    <n v="0"/>
    <n v="0"/>
    <n v="0"/>
    <n v="0"/>
    <n v="0"/>
    <n v="0"/>
    <n v="0"/>
    <x v="0"/>
    <n v="0"/>
    <n v="0"/>
    <n v="0"/>
    <s v="MMR001CMP182"/>
    <x v="0"/>
    <x v="0"/>
    <x v="0"/>
    <n v="0"/>
    <m/>
    <m/>
  </r>
  <r>
    <n v="25.4"/>
    <d v="2014-10-01T00:00:00"/>
    <x v="1"/>
    <s v="KMSS"/>
    <s v="Kachin"/>
    <s v="Chipwi"/>
    <s v="Saw Zam"/>
    <m/>
    <m/>
    <m/>
    <n v="56"/>
    <m/>
    <m/>
    <m/>
    <m/>
    <m/>
    <m/>
    <m/>
    <m/>
    <m/>
    <n v="56"/>
    <m/>
    <m/>
    <m/>
    <n v="0"/>
    <n v="0"/>
    <n v="0"/>
    <n v="0"/>
    <n v="0"/>
    <n v="0"/>
    <n v="0"/>
    <n v="0"/>
    <n v="0"/>
    <n v="0"/>
    <n v="0"/>
    <n v="0"/>
    <n v="0"/>
    <n v="0"/>
    <x v="2"/>
    <n v="0"/>
    <n v="0"/>
    <n v="0"/>
    <s v="MMR001CMP225"/>
    <x v="0"/>
    <x v="0"/>
    <x v="5"/>
    <n v="0"/>
    <m/>
    <m/>
  </r>
  <r>
    <n v="25.4"/>
    <d v="2014-10-01T00:00:00"/>
    <x v="1"/>
    <s v="Shalom"/>
    <s v="Kachin"/>
    <s v="Myitkyina"/>
    <s v="Shatapru Thida Aye Baptist Church"/>
    <m/>
    <m/>
    <m/>
    <n v="30"/>
    <m/>
    <m/>
    <m/>
    <m/>
    <m/>
    <m/>
    <m/>
    <m/>
    <m/>
    <m/>
    <m/>
    <m/>
    <m/>
    <n v="0"/>
    <n v="0"/>
    <n v="0"/>
    <n v="0"/>
    <n v="0"/>
    <n v="0"/>
    <n v="0"/>
    <n v="0"/>
    <n v="0"/>
    <n v="0"/>
    <n v="0"/>
    <n v="0"/>
    <n v="0"/>
    <n v="0"/>
    <x v="0"/>
    <n v="0"/>
    <n v="0"/>
    <n v="0"/>
    <s v="MMR001CMP007"/>
    <x v="0"/>
    <x v="0"/>
    <x v="0"/>
    <n v="0"/>
    <m/>
    <m/>
  </r>
  <r>
    <n v="25.4"/>
    <d v="2014-10-01T00:00:00"/>
    <x v="1"/>
    <s v="KMSS"/>
    <s v="Kachin"/>
    <s v="Mohnyin"/>
    <s v="St. Patrick Catholic Church "/>
    <m/>
    <m/>
    <m/>
    <n v="24"/>
    <m/>
    <m/>
    <m/>
    <m/>
    <m/>
    <m/>
    <m/>
    <m/>
    <m/>
    <m/>
    <m/>
    <m/>
    <m/>
    <n v="0"/>
    <n v="0"/>
    <n v="0"/>
    <n v="0"/>
    <n v="0"/>
    <n v="0"/>
    <n v="0"/>
    <n v="0"/>
    <n v="0"/>
    <n v="0"/>
    <n v="0"/>
    <n v="0"/>
    <n v="0"/>
    <n v="0"/>
    <x v="0"/>
    <n v="0"/>
    <n v="0"/>
    <n v="0"/>
    <s v="MMR001CMP080"/>
    <x v="0"/>
    <x v="0"/>
    <x v="0"/>
    <n v="0"/>
    <m/>
    <m/>
  </r>
  <r>
    <n v="25.4"/>
    <d v="2014-10-01T00:00:00"/>
    <x v="1"/>
    <s v="Shalom"/>
    <s v="Kachin"/>
    <s v="Myitkyina"/>
    <s v="Tat Kone Emanuel Church"/>
    <m/>
    <m/>
    <m/>
    <n v="26"/>
    <m/>
    <m/>
    <m/>
    <m/>
    <m/>
    <m/>
    <m/>
    <m/>
    <m/>
    <m/>
    <m/>
    <m/>
    <m/>
    <n v="0"/>
    <n v="0"/>
    <n v="0"/>
    <n v="0"/>
    <n v="0"/>
    <n v="0"/>
    <n v="0"/>
    <n v="0"/>
    <n v="0"/>
    <n v="0"/>
    <n v="0"/>
    <n v="0"/>
    <n v="0"/>
    <n v="0"/>
    <x v="0"/>
    <n v="0"/>
    <n v="0"/>
    <n v="0"/>
    <s v="MMR001CMP004"/>
    <x v="0"/>
    <x v="0"/>
    <x v="0"/>
    <n v="0"/>
    <m/>
    <m/>
  </r>
  <r>
    <n v="25.4"/>
    <d v="2014-10-01T00:00:00"/>
    <x v="1"/>
    <s v="Shalom"/>
    <s v="Kachin"/>
    <s v="Waingmaw"/>
    <s v="Thargaya Lisu Baptist Church"/>
    <m/>
    <m/>
    <m/>
    <n v="144"/>
    <m/>
    <m/>
    <m/>
    <m/>
    <m/>
    <m/>
    <m/>
    <m/>
    <m/>
    <m/>
    <m/>
    <m/>
    <m/>
    <n v="0"/>
    <n v="0"/>
    <n v="0"/>
    <n v="0"/>
    <n v="0"/>
    <n v="0"/>
    <n v="0"/>
    <n v="0"/>
    <n v="0"/>
    <n v="0"/>
    <n v="0"/>
    <n v="0"/>
    <n v="0"/>
    <n v="0"/>
    <x v="0"/>
    <n v="0"/>
    <n v="0"/>
    <n v="0"/>
    <s v="MMR001CMP037"/>
    <x v="0"/>
    <x v="0"/>
    <x v="0"/>
    <n v="0"/>
    <m/>
    <m/>
  </r>
  <r>
    <n v="25.4"/>
    <d v="2014-10-01T00:00:00"/>
    <x v="1"/>
    <s v="Shalom"/>
    <s v="Kachin"/>
    <s v="Waingmaw"/>
    <s v="Waingmaw AG Church"/>
    <m/>
    <m/>
    <m/>
    <n v="150"/>
    <m/>
    <m/>
    <m/>
    <m/>
    <m/>
    <m/>
    <m/>
    <m/>
    <m/>
    <m/>
    <m/>
    <m/>
    <m/>
    <n v="0"/>
    <n v="0"/>
    <n v="0"/>
    <n v="0"/>
    <n v="0"/>
    <n v="0"/>
    <n v="0"/>
    <n v="0"/>
    <n v="0"/>
    <n v="0"/>
    <n v="0"/>
    <n v="0"/>
    <n v="0"/>
    <n v="0"/>
    <x v="0"/>
    <n v="0"/>
    <n v="0"/>
    <n v="0"/>
    <s v="MMR001CMP038"/>
    <x v="0"/>
    <x v="0"/>
    <x v="0"/>
    <n v="0"/>
    <m/>
    <m/>
  </r>
  <r>
    <n v="25.4"/>
    <d v="2014-10-01T00:00:00"/>
    <x v="1"/>
    <s v="Shalom"/>
    <s v="Kachin"/>
    <s v="Myitkyina"/>
    <s v="Wun Tho Buddhist Monastery"/>
    <m/>
    <m/>
    <m/>
    <n v="12"/>
    <m/>
    <m/>
    <m/>
    <m/>
    <m/>
    <m/>
    <m/>
    <m/>
    <m/>
    <m/>
    <m/>
    <m/>
    <m/>
    <n v="0"/>
    <n v="0"/>
    <n v="0"/>
    <n v="0"/>
    <n v="0"/>
    <n v="0"/>
    <n v="0"/>
    <n v="0"/>
    <n v="0"/>
    <n v="0"/>
    <n v="0"/>
    <n v="0"/>
    <n v="0"/>
    <n v="0"/>
    <x v="0"/>
    <n v="0"/>
    <n v="0"/>
    <n v="0"/>
    <s v="MMR001CMP022"/>
    <x v="0"/>
    <x v="0"/>
    <x v="0"/>
    <n v="0"/>
    <m/>
    <m/>
  </r>
  <r>
    <n v="25.733333333333334"/>
    <d v="2014-09-21T00:00:00"/>
    <x v="1"/>
    <m/>
    <s v="Kachin"/>
    <s v="Momauk"/>
    <s v="Nhkawng Pa "/>
    <m/>
    <m/>
    <m/>
    <n v="604"/>
    <m/>
    <m/>
    <m/>
    <m/>
    <m/>
    <m/>
    <m/>
    <m/>
    <m/>
    <n v="784"/>
    <m/>
    <m/>
    <m/>
    <n v="0"/>
    <n v="0"/>
    <n v="0"/>
    <n v="0"/>
    <n v="0"/>
    <n v="0"/>
    <n v="0"/>
    <n v="0"/>
    <n v="0"/>
    <n v="0"/>
    <n v="0"/>
    <n v="0"/>
    <n v="0"/>
    <n v="0"/>
    <x v="2"/>
    <n v="0"/>
    <n v="0"/>
    <n v="0"/>
    <s v="MMR001CMP131"/>
    <x v="0"/>
    <x v="0"/>
    <x v="5"/>
    <n v="0"/>
    <m/>
    <m/>
  </r>
  <r>
    <n v="25.766666666666666"/>
    <d v="2014-09-20T00:00:00"/>
    <x v="1"/>
    <m/>
    <s v="Kachin"/>
    <s v="Momauk"/>
    <s v="Pa Kahtawng "/>
    <m/>
    <m/>
    <m/>
    <n v="1238"/>
    <m/>
    <m/>
    <m/>
    <m/>
    <m/>
    <m/>
    <m/>
    <m/>
    <m/>
    <n v="1761"/>
    <m/>
    <m/>
    <m/>
    <n v="0"/>
    <n v="0"/>
    <n v="0"/>
    <n v="0"/>
    <n v="0"/>
    <n v="0"/>
    <n v="0"/>
    <n v="0"/>
    <n v="0"/>
    <n v="0"/>
    <n v="0"/>
    <n v="0"/>
    <n v="0"/>
    <n v="0"/>
    <x v="2"/>
    <n v="0"/>
    <n v="0"/>
    <n v="0"/>
    <s v="MMR001CMP126"/>
    <x v="0"/>
    <x v="0"/>
    <x v="6"/>
    <n v="0"/>
    <m/>
    <m/>
  </r>
  <r>
    <n v="26.4"/>
    <d v="2014-09-01T00:00:00"/>
    <x v="4"/>
    <m/>
    <s v="Kachin"/>
    <s v="Waingmaw"/>
    <s v="Hkau Shau (BP 12)"/>
    <m/>
    <m/>
    <m/>
    <m/>
    <m/>
    <m/>
    <m/>
    <m/>
    <m/>
    <m/>
    <m/>
    <n v="407"/>
    <m/>
    <m/>
    <m/>
    <m/>
    <m/>
    <n v="0"/>
    <n v="0"/>
    <n v="0"/>
    <n v="0"/>
    <n v="0"/>
    <n v="0"/>
    <n v="0"/>
    <n v="0"/>
    <n v="0"/>
    <n v="0"/>
    <n v="0"/>
    <n v="0"/>
    <n v="0"/>
    <n v="0"/>
    <x v="2"/>
    <n v="0"/>
    <n v="0"/>
    <n v="0"/>
    <s v="MMR001CMP115"/>
    <x v="0"/>
    <x v="0"/>
    <x v="5"/>
    <n v="0"/>
    <m/>
    <m/>
  </r>
  <r>
    <n v="26.4"/>
    <d v="2014-09-01T00:00:00"/>
    <x v="4"/>
    <m/>
    <s v="Kachin"/>
    <s v="Chipwi"/>
    <s v="Hpare Hkyer - BP6"/>
    <m/>
    <m/>
    <m/>
    <m/>
    <m/>
    <m/>
    <m/>
    <m/>
    <m/>
    <m/>
    <m/>
    <n v="347"/>
    <m/>
    <m/>
    <m/>
    <m/>
    <m/>
    <n v="0"/>
    <n v="0"/>
    <n v="0"/>
    <n v="0"/>
    <n v="0"/>
    <n v="0"/>
    <n v="0"/>
    <n v="0"/>
    <n v="0"/>
    <n v="0"/>
    <n v="0"/>
    <n v="0"/>
    <n v="0"/>
    <n v="0"/>
    <x v="2"/>
    <n v="0"/>
    <n v="0"/>
    <n v="0"/>
    <s v="MMR001CMP043"/>
    <x v="0"/>
    <x v="0"/>
    <x v="5"/>
    <n v="0"/>
    <m/>
    <m/>
  </r>
  <r>
    <n v="26.4"/>
    <d v="2014-09-01T00:00:00"/>
    <x v="4"/>
    <m/>
    <s v="Kachin"/>
    <s v="Waingmaw"/>
    <s v="Maga Yang "/>
    <m/>
    <m/>
    <m/>
    <m/>
    <m/>
    <m/>
    <m/>
    <m/>
    <m/>
    <m/>
    <m/>
    <n v="917"/>
    <m/>
    <m/>
    <m/>
    <m/>
    <m/>
    <n v="0"/>
    <n v="0"/>
    <n v="0"/>
    <n v="0"/>
    <n v="0"/>
    <n v="0"/>
    <n v="0"/>
    <n v="0"/>
    <n v="0"/>
    <n v="0"/>
    <n v="0"/>
    <n v="0"/>
    <n v="0"/>
    <n v="0"/>
    <x v="2"/>
    <n v="0"/>
    <n v="0"/>
    <n v="0"/>
    <s v="MMR001CMP119"/>
    <x v="0"/>
    <x v="0"/>
    <x v="6"/>
    <n v="0"/>
    <m/>
    <m/>
  </r>
  <r>
    <n v="26.4"/>
    <d v="2014-09-01T00:00:00"/>
    <x v="4"/>
    <m/>
    <s v="Kachin"/>
    <s v="Waingmaw"/>
    <s v="Pajau - Jan Mai"/>
    <m/>
    <m/>
    <m/>
    <m/>
    <m/>
    <m/>
    <m/>
    <m/>
    <m/>
    <m/>
    <m/>
    <n v="291"/>
    <m/>
    <m/>
    <m/>
    <m/>
    <m/>
    <n v="0"/>
    <n v="0"/>
    <n v="0"/>
    <n v="0"/>
    <n v="0"/>
    <n v="0"/>
    <n v="0"/>
    <n v="0"/>
    <n v="0"/>
    <n v="0"/>
    <n v="0"/>
    <n v="0"/>
    <n v="0"/>
    <n v="0"/>
    <x v="2"/>
    <n v="0"/>
    <n v="0"/>
    <n v="0"/>
    <s v="MMR001CMP120"/>
    <x v="0"/>
    <x v="0"/>
    <x v="5"/>
    <n v="0"/>
    <m/>
    <m/>
  </r>
  <r>
    <n v="26.4"/>
    <d v="2014-09-01T00:00:00"/>
    <x v="4"/>
    <m/>
    <s v="Kachin"/>
    <s v="Waingmaw"/>
    <s v="Shing Jai"/>
    <m/>
    <m/>
    <m/>
    <m/>
    <m/>
    <m/>
    <m/>
    <m/>
    <m/>
    <m/>
    <m/>
    <n v="288"/>
    <m/>
    <m/>
    <m/>
    <m/>
    <m/>
    <n v="0"/>
    <n v="0"/>
    <n v="0"/>
    <n v="0"/>
    <n v="0"/>
    <n v="0"/>
    <n v="0"/>
    <n v="0"/>
    <n v="0"/>
    <n v="0"/>
    <n v="0"/>
    <n v="0"/>
    <n v="0"/>
    <n v="0"/>
    <x v="2"/>
    <n v="0"/>
    <n v="0"/>
    <n v="0"/>
    <s v="MMR001CMP041"/>
    <x v="0"/>
    <x v="0"/>
    <x v="5"/>
    <n v="0"/>
    <m/>
    <m/>
  </r>
  <r>
    <n v="26.4"/>
    <d v="2014-09-01T00:00:00"/>
    <x v="4"/>
    <m/>
    <s v="Kachin"/>
    <s v="Waingmaw"/>
    <s v="Zai Awng - Mung Ga Zup"/>
    <m/>
    <m/>
    <m/>
    <m/>
    <m/>
    <m/>
    <m/>
    <m/>
    <m/>
    <m/>
    <m/>
    <n v="905"/>
    <m/>
    <m/>
    <m/>
    <m/>
    <m/>
    <n v="0"/>
    <n v="0"/>
    <n v="0"/>
    <n v="0"/>
    <n v="0"/>
    <n v="0"/>
    <n v="0"/>
    <n v="0"/>
    <n v="0"/>
    <n v="0"/>
    <n v="0"/>
    <n v="0"/>
    <n v="0"/>
    <n v="0"/>
    <x v="2"/>
    <n v="0"/>
    <n v="0"/>
    <n v="0"/>
    <s v="MMR001CMP111"/>
    <x v="0"/>
    <x v="0"/>
    <x v="6"/>
    <n v="0"/>
    <m/>
    <m/>
  </r>
  <r>
    <n v="26.866666666666667"/>
    <d v="2014-08-18T00:00:00"/>
    <x v="1"/>
    <m/>
    <s v="Kachin"/>
    <s v="Mansi"/>
    <s v="Bum Tsit Pa Camp II"/>
    <m/>
    <m/>
    <m/>
    <m/>
    <n v="70"/>
    <m/>
    <m/>
    <m/>
    <m/>
    <m/>
    <m/>
    <m/>
    <m/>
    <m/>
    <m/>
    <m/>
    <m/>
    <n v="0"/>
    <n v="0"/>
    <n v="0"/>
    <n v="0"/>
    <n v="0"/>
    <n v="0"/>
    <n v="0"/>
    <n v="0"/>
    <n v="0"/>
    <n v="0"/>
    <n v="0"/>
    <n v="0"/>
    <n v="0"/>
    <n v="0"/>
    <x v="0"/>
    <n v="0"/>
    <n v="0"/>
    <n v="0"/>
    <s v="MMR001CMP226"/>
    <x v="0"/>
    <x v="2"/>
    <x v="6"/>
    <s v=""/>
    <m/>
    <m/>
  </r>
  <r>
    <n v="27.133333333333333"/>
    <d v="2014-08-10T00:00:00"/>
    <x v="1"/>
    <m/>
    <s v="Kachin"/>
    <s v="Momauk"/>
    <s v="Pa Kahtawng "/>
    <m/>
    <m/>
    <m/>
    <n v="100"/>
    <n v="52"/>
    <n v="156"/>
    <n v="40"/>
    <m/>
    <n v="52"/>
    <n v="210"/>
    <m/>
    <m/>
    <m/>
    <m/>
    <m/>
    <m/>
    <m/>
    <n v="0"/>
    <n v="0"/>
    <n v="0"/>
    <n v="0"/>
    <n v="0"/>
    <n v="0"/>
    <n v="0"/>
    <n v="0"/>
    <n v="0"/>
    <n v="0"/>
    <n v="0"/>
    <n v="0"/>
    <n v="0"/>
    <n v="0"/>
    <x v="0"/>
    <n v="0"/>
    <n v="0"/>
    <n v="0"/>
    <s v="MMR001CMP126"/>
    <x v="0"/>
    <x v="0"/>
    <x v="6"/>
    <n v="5.9790732436472344E-2"/>
    <m/>
    <m/>
  </r>
  <r>
    <n v="27.233333333333334"/>
    <d v="2014-08-07T00:00:00"/>
    <x v="1"/>
    <s v="Shalom"/>
    <s v="Kachin"/>
    <s v="Chipwi"/>
    <s v="Lhaovao Baptist Church (LBC)"/>
    <m/>
    <m/>
    <n v="50"/>
    <n v="25"/>
    <n v="50"/>
    <n v="25"/>
    <m/>
    <n v="25"/>
    <n v="125"/>
    <m/>
    <m/>
    <m/>
    <m/>
    <m/>
    <m/>
    <m/>
    <m/>
    <n v="0"/>
    <n v="0"/>
    <n v="0"/>
    <n v="0"/>
    <n v="0"/>
    <n v="0"/>
    <n v="0"/>
    <n v="0"/>
    <n v="0"/>
    <n v="0"/>
    <n v="0"/>
    <n v="0"/>
    <n v="0"/>
    <n v="0"/>
    <x v="0"/>
    <n v="0"/>
    <n v="0"/>
    <n v="0"/>
    <s v="MMR001CMP195"/>
    <x v="0"/>
    <x v="0"/>
    <x v="5"/>
    <n v="0"/>
    <m/>
    <m/>
  </r>
  <r>
    <n v="27.233333333333334"/>
    <d v="2014-08-07T00:00:00"/>
    <x v="1"/>
    <s v="Shalom"/>
    <s v="Kachin"/>
    <s v="Waingmaw"/>
    <s v="Qtr. 2 Lhaovo Baptist Church"/>
    <m/>
    <m/>
    <n v="24"/>
    <n v="12"/>
    <n v="24"/>
    <n v="12"/>
    <m/>
    <n v="12"/>
    <n v="60"/>
    <m/>
    <m/>
    <m/>
    <m/>
    <m/>
    <m/>
    <m/>
    <m/>
    <n v="0"/>
    <n v="0"/>
    <n v="0"/>
    <n v="0"/>
    <n v="0"/>
    <n v="0"/>
    <n v="0"/>
    <n v="0"/>
    <n v="0"/>
    <n v="0"/>
    <n v="0"/>
    <n v="0"/>
    <n v="0"/>
    <n v="0"/>
    <x v="0"/>
    <n v="0"/>
    <n v="0"/>
    <n v="0"/>
    <s v="MMR001CMP032"/>
    <x v="0"/>
    <x v="0"/>
    <x v="0"/>
    <n v="0"/>
    <m/>
    <m/>
  </r>
  <r>
    <n v="27.333333333333332"/>
    <d v="2014-08-04T00:00:00"/>
    <x v="1"/>
    <m/>
    <s v="Kachin"/>
    <s v="Momauk"/>
    <s v="Loi Je Catholic Church"/>
    <m/>
    <m/>
    <m/>
    <m/>
    <n v="116"/>
    <m/>
    <m/>
    <m/>
    <m/>
    <m/>
    <m/>
    <m/>
    <m/>
    <m/>
    <m/>
    <m/>
    <m/>
    <n v="0"/>
    <n v="0"/>
    <n v="0"/>
    <n v="0"/>
    <n v="0"/>
    <n v="0"/>
    <n v="0"/>
    <n v="0"/>
    <n v="0"/>
    <n v="0"/>
    <n v="0"/>
    <n v="0"/>
    <n v="0"/>
    <n v="0"/>
    <x v="0"/>
    <n v="0"/>
    <n v="0"/>
    <n v="0"/>
    <s v="MMR001CMP069"/>
    <x v="0"/>
    <x v="0"/>
    <x v="1"/>
    <n v="0"/>
    <m/>
    <m/>
  </r>
  <r>
    <n v="27.333333333333332"/>
    <d v="2014-08-04T00:00:00"/>
    <x v="1"/>
    <m/>
    <s v="Kachin"/>
    <s v="Momauk"/>
    <s v="Loi Je Lisu Camp"/>
    <m/>
    <m/>
    <m/>
    <n v="84"/>
    <n v="36"/>
    <n v="84"/>
    <n v="36"/>
    <m/>
    <n v="36"/>
    <n v="180"/>
    <m/>
    <m/>
    <m/>
    <m/>
    <m/>
    <m/>
    <m/>
    <n v="0"/>
    <n v="0"/>
    <n v="0"/>
    <n v="0"/>
    <n v="0"/>
    <n v="0"/>
    <n v="0"/>
    <n v="0"/>
    <n v="0"/>
    <n v="0"/>
    <n v="0"/>
    <n v="0"/>
    <n v="0"/>
    <n v="0"/>
    <x v="0"/>
    <n v="0"/>
    <n v="0"/>
    <n v="0"/>
    <s v="MMR001CMP070"/>
    <x v="0"/>
    <x v="0"/>
    <x v="1"/>
    <n v="0.1875"/>
    <m/>
    <m/>
  </r>
  <r>
    <n v="27.333333333333332"/>
    <d v="2014-08-04T00:00:00"/>
    <x v="1"/>
    <m/>
    <s v="Kachin"/>
    <s v="Mansi"/>
    <s v="Maing Khaung Catholic Church"/>
    <m/>
    <m/>
    <m/>
    <m/>
    <m/>
    <m/>
    <m/>
    <m/>
    <n v="2"/>
    <m/>
    <m/>
    <m/>
    <m/>
    <m/>
    <m/>
    <m/>
    <m/>
    <n v="0"/>
    <n v="0"/>
    <n v="0"/>
    <n v="0"/>
    <n v="0"/>
    <n v="0"/>
    <n v="0"/>
    <n v="0"/>
    <n v="0"/>
    <n v="0"/>
    <n v="0"/>
    <n v="0"/>
    <n v="0"/>
    <n v="0"/>
    <x v="0"/>
    <n v="0"/>
    <n v="0"/>
    <n v="0"/>
    <s v="MMR001CMP223"/>
    <x v="0"/>
    <x v="0"/>
    <x v="0"/>
    <n v="0"/>
    <m/>
    <m/>
  </r>
  <r>
    <n v="27.333333333333332"/>
    <d v="2014-08-04T00:00:00"/>
    <x v="1"/>
    <m/>
    <s v="Kachin"/>
    <s v="Bhamo"/>
    <m/>
    <m/>
    <m/>
    <m/>
    <m/>
    <n v="5"/>
    <m/>
    <m/>
    <m/>
    <m/>
    <m/>
    <m/>
    <m/>
    <m/>
    <m/>
    <m/>
    <m/>
    <m/>
    <n v="0"/>
    <n v="0"/>
    <n v="0"/>
    <n v="0"/>
    <n v="0"/>
    <n v="0"/>
    <n v="0"/>
    <n v="0"/>
    <n v="0"/>
    <n v="0"/>
    <n v="0"/>
    <n v="0"/>
    <n v="0"/>
    <n v="0"/>
    <x v="0"/>
    <n v="0"/>
    <n v="0"/>
    <n v="0"/>
    <s v=""/>
    <x v="3"/>
    <x v="1"/>
    <x v="4"/>
    <s v=""/>
    <m/>
    <m/>
  </r>
  <r>
    <n v="27.533333333333335"/>
    <d v="2014-07-29T00:00:00"/>
    <x v="1"/>
    <m/>
    <s v="Kachin"/>
    <s v="Momauk"/>
    <s v="Je Yang Hka "/>
    <m/>
    <m/>
    <m/>
    <n v="254"/>
    <n v="204"/>
    <n v="254"/>
    <n v="134"/>
    <m/>
    <n v="134"/>
    <n v="608"/>
    <m/>
    <m/>
    <m/>
    <m/>
    <m/>
    <m/>
    <m/>
    <n v="0"/>
    <n v="0"/>
    <n v="0"/>
    <n v="0"/>
    <n v="0"/>
    <n v="0"/>
    <n v="0"/>
    <n v="0"/>
    <n v="0"/>
    <n v="0"/>
    <n v="0"/>
    <n v="0"/>
    <n v="0"/>
    <n v="0"/>
    <x v="0"/>
    <n v="0"/>
    <n v="0"/>
    <n v="0"/>
    <s v="MMR001CMP121"/>
    <x v="0"/>
    <x v="0"/>
    <x v="6"/>
    <n v="8.1261370527592483E-2"/>
    <m/>
    <m/>
  </r>
  <r>
    <n v="27.533333333333335"/>
    <d v="2014-07-29T00:00:00"/>
    <x v="1"/>
    <m/>
    <s v="Kachin"/>
    <s v="Waingmaw"/>
    <s v="Woi Chyai "/>
    <m/>
    <m/>
    <m/>
    <n v="46"/>
    <n v="46"/>
    <n v="46"/>
    <n v="16"/>
    <m/>
    <n v="16"/>
    <n v="142"/>
    <m/>
    <m/>
    <m/>
    <m/>
    <m/>
    <m/>
    <m/>
    <n v="0"/>
    <n v="0"/>
    <n v="0"/>
    <n v="0"/>
    <n v="0"/>
    <n v="0"/>
    <n v="0"/>
    <n v="0"/>
    <n v="0"/>
    <n v="0"/>
    <n v="0"/>
    <n v="0"/>
    <n v="0"/>
    <n v="0"/>
    <x v="0"/>
    <n v="0"/>
    <n v="0"/>
    <n v="0"/>
    <s v="MMR001CMP116"/>
    <x v="0"/>
    <x v="0"/>
    <x v="0"/>
    <n v="1.1670313639679067E-2"/>
    <m/>
    <m/>
  </r>
  <r>
    <n v="27.666666666666668"/>
    <d v="2014-07-25T00:00:00"/>
    <x v="1"/>
    <m/>
    <s v="Kachin"/>
    <s v="Bhamo"/>
    <s v="Lisu Boarding-House"/>
    <m/>
    <m/>
    <m/>
    <m/>
    <n v="7"/>
    <n v="3"/>
    <m/>
    <m/>
    <n v="4"/>
    <n v="9"/>
    <m/>
    <m/>
    <m/>
    <m/>
    <m/>
    <m/>
    <m/>
    <n v="0"/>
    <n v="0"/>
    <n v="0"/>
    <n v="0"/>
    <n v="0"/>
    <n v="0"/>
    <n v="0"/>
    <n v="0"/>
    <n v="0"/>
    <n v="0"/>
    <n v="0"/>
    <n v="0"/>
    <n v="0"/>
    <n v="0"/>
    <x v="0"/>
    <n v="0"/>
    <n v="0"/>
    <n v="0"/>
    <s v="MMR001CMP049"/>
    <x v="0"/>
    <x v="0"/>
    <x v="0"/>
    <n v="0"/>
    <m/>
    <m/>
  </r>
  <r>
    <n v="27.8"/>
    <d v="2014-07-21T00:00:00"/>
    <x v="1"/>
    <m/>
    <s v="Kachin"/>
    <s v="Bhamo"/>
    <s v="Lisu Boarding-House"/>
    <m/>
    <m/>
    <m/>
    <n v="10"/>
    <n v="36"/>
    <n v="10"/>
    <n v="5"/>
    <m/>
    <n v="33"/>
    <n v="117"/>
    <m/>
    <m/>
    <m/>
    <m/>
    <m/>
    <m/>
    <m/>
    <n v="0"/>
    <n v="0"/>
    <n v="0"/>
    <n v="0"/>
    <n v="0"/>
    <n v="0"/>
    <n v="0"/>
    <n v="0"/>
    <n v="0"/>
    <n v="0"/>
    <n v="0"/>
    <n v="0"/>
    <n v="0"/>
    <n v="0"/>
    <x v="0"/>
    <n v="0"/>
    <n v="0"/>
    <n v="0"/>
    <s v="MMR001CMP049"/>
    <x v="0"/>
    <x v="0"/>
    <x v="0"/>
    <n v="4.3103448275862072E-2"/>
    <m/>
    <m/>
  </r>
  <r>
    <n v="27.8"/>
    <d v="2014-07-21T00:00:00"/>
    <x v="1"/>
    <m/>
    <s v="Kachin"/>
    <s v="Momauk"/>
    <s v="Momauk Baptist Church"/>
    <m/>
    <m/>
    <m/>
    <m/>
    <n v="75"/>
    <m/>
    <m/>
    <m/>
    <m/>
    <m/>
    <m/>
    <m/>
    <m/>
    <m/>
    <m/>
    <m/>
    <m/>
    <n v="0"/>
    <n v="0"/>
    <n v="0"/>
    <n v="0"/>
    <n v="0"/>
    <n v="0"/>
    <n v="0"/>
    <n v="0"/>
    <n v="0"/>
    <n v="0"/>
    <n v="0"/>
    <n v="0"/>
    <n v="0"/>
    <n v="0"/>
    <x v="0"/>
    <n v="0"/>
    <n v="0"/>
    <n v="0"/>
    <s v="MMR001CMP056"/>
    <x v="0"/>
    <x v="0"/>
    <x v="0"/>
    <n v="0"/>
    <m/>
    <m/>
  </r>
  <r>
    <n v="28.2"/>
    <d v="2014-07-09T00:00:00"/>
    <x v="1"/>
    <m/>
    <s v="Kachin"/>
    <s v="Mansi"/>
    <s v="Maing Khaung"/>
    <m/>
    <m/>
    <m/>
    <m/>
    <m/>
    <n v="10"/>
    <m/>
    <m/>
    <m/>
    <m/>
    <m/>
    <m/>
    <m/>
    <m/>
    <m/>
    <m/>
    <m/>
    <n v="0"/>
    <n v="0"/>
    <n v="0"/>
    <n v="0"/>
    <n v="0"/>
    <n v="0"/>
    <n v="0"/>
    <n v="0"/>
    <n v="0"/>
    <n v="0"/>
    <n v="0"/>
    <n v="0"/>
    <n v="0"/>
    <n v="0"/>
    <x v="0"/>
    <n v="0"/>
    <n v="0"/>
    <n v="0"/>
    <s v="MMR001CMP218"/>
    <x v="0"/>
    <x v="0"/>
    <x v="0"/>
    <n v="0"/>
    <m/>
    <m/>
  </r>
  <r>
    <n v="28.2"/>
    <d v="2014-07-09T00:00:00"/>
    <x v="1"/>
    <m/>
    <s v="Kachin"/>
    <s v="Mansi"/>
    <s v="Maing Khaung Catholic Church"/>
    <m/>
    <m/>
    <m/>
    <n v="35"/>
    <n v="13"/>
    <n v="70"/>
    <n v="13"/>
    <m/>
    <n v="13"/>
    <n v="25"/>
    <m/>
    <m/>
    <m/>
    <m/>
    <m/>
    <m/>
    <m/>
    <n v="0"/>
    <n v="0"/>
    <n v="0"/>
    <n v="0"/>
    <n v="0"/>
    <n v="0"/>
    <n v="0"/>
    <n v="0"/>
    <n v="0"/>
    <n v="0"/>
    <n v="0"/>
    <n v="0"/>
    <n v="0"/>
    <n v="0"/>
    <x v="0"/>
    <n v="0"/>
    <n v="0"/>
    <n v="0"/>
    <s v="MMR001CMP223"/>
    <x v="0"/>
    <x v="0"/>
    <x v="0"/>
    <n v="9.285714285714286E-2"/>
    <m/>
    <m/>
  </r>
  <r>
    <n v="28.333333333333332"/>
    <d v="2014-07-05T00:00:00"/>
    <x v="5"/>
    <s v="MRCS"/>
    <s v="Kachin"/>
    <s v="Waingmaw"/>
    <s v="Waingmaw AG Church"/>
    <m/>
    <m/>
    <m/>
    <m/>
    <m/>
    <m/>
    <m/>
    <m/>
    <m/>
    <m/>
    <m/>
    <m/>
    <m/>
    <n v="124"/>
    <m/>
    <m/>
    <m/>
    <n v="0"/>
    <n v="0"/>
    <n v="0"/>
    <n v="0"/>
    <n v="0"/>
    <n v="0"/>
    <n v="0"/>
    <n v="0"/>
    <n v="0"/>
    <n v="0"/>
    <n v="0"/>
    <n v="0"/>
    <n v="0"/>
    <n v="0"/>
    <x v="2"/>
    <n v="0"/>
    <n v="0"/>
    <n v="0"/>
    <s v="MMR001CMP038"/>
    <x v="0"/>
    <x v="0"/>
    <x v="0"/>
    <n v="0"/>
    <m/>
    <m/>
  </r>
  <r>
    <n v="28.4"/>
    <d v="2014-07-03T00:00:00"/>
    <x v="1"/>
    <m/>
    <s v="Kachin"/>
    <s v="Mansi"/>
    <s v="Maing Khaung"/>
    <m/>
    <m/>
    <m/>
    <m/>
    <m/>
    <n v="9"/>
    <m/>
    <m/>
    <n v="19"/>
    <n v="1"/>
    <m/>
    <m/>
    <m/>
    <m/>
    <m/>
    <m/>
    <m/>
    <n v="0"/>
    <n v="0"/>
    <n v="0"/>
    <n v="0"/>
    <n v="0"/>
    <n v="0"/>
    <n v="0"/>
    <n v="0"/>
    <n v="0"/>
    <n v="0"/>
    <n v="0"/>
    <n v="0"/>
    <n v="0"/>
    <n v="0"/>
    <x v="0"/>
    <n v="0"/>
    <n v="0"/>
    <n v="0"/>
    <s v="MMR001CMP218"/>
    <x v="0"/>
    <x v="0"/>
    <x v="0"/>
    <n v="0"/>
    <m/>
    <m/>
  </r>
  <r>
    <n v="28.4"/>
    <d v="2014-07-03T00:00:00"/>
    <x v="1"/>
    <m/>
    <s v="Kachin"/>
    <s v="Mansi"/>
    <s v="Maing Khaung Catholic Church"/>
    <m/>
    <m/>
    <m/>
    <n v="50"/>
    <n v="15"/>
    <m/>
    <n v="15"/>
    <m/>
    <n v="15"/>
    <n v="60"/>
    <m/>
    <m/>
    <m/>
    <m/>
    <m/>
    <m/>
    <m/>
    <n v="0"/>
    <n v="0"/>
    <n v="0"/>
    <n v="0"/>
    <n v="0"/>
    <n v="0"/>
    <n v="0"/>
    <n v="0"/>
    <n v="0"/>
    <n v="0"/>
    <n v="0"/>
    <n v="0"/>
    <n v="0"/>
    <n v="0"/>
    <x v="0"/>
    <n v="0"/>
    <n v="0"/>
    <n v="0"/>
    <s v="MMR001CMP223"/>
    <x v="0"/>
    <x v="0"/>
    <x v="0"/>
    <n v="0.10714285714285714"/>
    <m/>
    <m/>
  </r>
  <r>
    <n v="28.466666666666665"/>
    <d v="2014-07-01T00:00:00"/>
    <x v="1"/>
    <m/>
    <s v="Kachin"/>
    <s v="Mansi"/>
    <s v="Maing Khaung"/>
    <m/>
    <m/>
    <m/>
    <m/>
    <n v="19"/>
    <m/>
    <n v="19"/>
    <m/>
    <m/>
    <n v="100"/>
    <m/>
    <m/>
    <m/>
    <m/>
    <m/>
    <m/>
    <m/>
    <n v="0"/>
    <n v="0"/>
    <n v="0"/>
    <n v="0"/>
    <n v="0"/>
    <n v="0"/>
    <n v="0"/>
    <n v="0"/>
    <n v="0"/>
    <n v="0"/>
    <n v="0"/>
    <n v="0"/>
    <n v="0"/>
    <n v="0"/>
    <x v="0"/>
    <n v="0"/>
    <n v="0"/>
    <n v="0"/>
    <s v="MMR001CMP218"/>
    <x v="0"/>
    <x v="0"/>
    <x v="0"/>
    <n v="5.0802139037433157E-2"/>
    <m/>
    <m/>
  </r>
  <r>
    <n v="28.666666666666668"/>
    <d v="2014-06-25T00:00:00"/>
    <x v="5"/>
    <s v="MRCS"/>
    <s v="Kachin"/>
    <s v="Momauk"/>
    <s v="Momauk Baptist Church"/>
    <m/>
    <m/>
    <m/>
    <m/>
    <m/>
    <m/>
    <m/>
    <m/>
    <m/>
    <m/>
    <m/>
    <m/>
    <m/>
    <n v="832"/>
    <m/>
    <m/>
    <m/>
    <n v="0"/>
    <n v="0"/>
    <n v="0"/>
    <n v="0"/>
    <n v="0"/>
    <n v="0"/>
    <n v="0"/>
    <n v="0"/>
    <n v="0"/>
    <n v="0"/>
    <n v="0"/>
    <n v="0"/>
    <n v="0"/>
    <n v="0"/>
    <x v="2"/>
    <n v="0"/>
    <n v="0"/>
    <n v="0"/>
    <s v="MMR001CMP056"/>
    <x v="0"/>
    <x v="0"/>
    <x v="0"/>
    <n v="0"/>
    <m/>
    <m/>
  </r>
  <r>
    <n v="28.7"/>
    <d v="2014-06-24T00:00:00"/>
    <x v="5"/>
    <s v="MRCS"/>
    <s v="Kachin"/>
    <s v="Myitkyina"/>
    <s v="Maw Hpawng Hka Nan Baptist Church"/>
    <m/>
    <m/>
    <m/>
    <m/>
    <m/>
    <m/>
    <m/>
    <m/>
    <m/>
    <m/>
    <m/>
    <m/>
    <m/>
    <n v="44"/>
    <m/>
    <m/>
    <m/>
    <n v="0"/>
    <n v="0"/>
    <n v="0"/>
    <n v="0"/>
    <n v="0"/>
    <n v="0"/>
    <n v="0"/>
    <n v="0"/>
    <n v="0"/>
    <n v="0"/>
    <n v="0"/>
    <n v="0"/>
    <n v="0"/>
    <n v="0"/>
    <x v="2"/>
    <n v="0"/>
    <n v="0"/>
    <n v="0"/>
    <s v="MMR001CMP020"/>
    <x v="0"/>
    <x v="0"/>
    <x v="0"/>
    <n v="0"/>
    <m/>
    <m/>
  </r>
  <r>
    <n v="28.7"/>
    <d v="2014-06-24T00:00:00"/>
    <x v="5"/>
    <s v="MRCS"/>
    <s v="Kachin"/>
    <s v="Myitkyina"/>
    <s v="Maw Hpawng Lhaovo Baptist Church"/>
    <m/>
    <m/>
    <m/>
    <m/>
    <m/>
    <m/>
    <m/>
    <m/>
    <m/>
    <m/>
    <m/>
    <m/>
    <m/>
    <n v="28"/>
    <m/>
    <m/>
    <m/>
    <n v="0"/>
    <n v="0"/>
    <n v="0"/>
    <n v="0"/>
    <n v="0"/>
    <n v="0"/>
    <n v="0"/>
    <n v="0"/>
    <n v="0"/>
    <n v="0"/>
    <n v="0"/>
    <n v="0"/>
    <n v="0"/>
    <n v="0"/>
    <x v="2"/>
    <n v="0"/>
    <n v="0"/>
    <n v="0"/>
    <s v="MMR001CMP021"/>
    <x v="0"/>
    <x v="0"/>
    <x v="0"/>
    <n v="0"/>
    <m/>
    <m/>
  </r>
  <r>
    <n v="28.733333333333334"/>
    <d v="2014-06-23T00:00:00"/>
    <x v="5"/>
    <s v="MRCS"/>
    <s v="Kachin"/>
    <s v="Myitkyina"/>
    <s v="Tat Kone San Pya Baptist Church"/>
    <m/>
    <m/>
    <m/>
    <m/>
    <m/>
    <m/>
    <m/>
    <m/>
    <m/>
    <m/>
    <m/>
    <m/>
    <m/>
    <n v="88"/>
    <m/>
    <m/>
    <m/>
    <n v="0"/>
    <n v="0"/>
    <n v="0"/>
    <n v="0"/>
    <n v="0"/>
    <n v="0"/>
    <n v="0"/>
    <n v="0"/>
    <n v="0"/>
    <n v="0"/>
    <n v="0"/>
    <n v="0"/>
    <n v="0"/>
    <n v="0"/>
    <x v="2"/>
    <n v="0"/>
    <n v="0"/>
    <n v="0"/>
    <s v="MMR001CMP005"/>
    <x v="0"/>
    <x v="0"/>
    <x v="0"/>
    <n v="0"/>
    <m/>
    <m/>
  </r>
  <r>
    <n v="28.766666666666666"/>
    <d v="2014-06-22T00:00:00"/>
    <x v="5"/>
    <s v="MRCS"/>
    <s v="Kachin"/>
    <s v="Momauk"/>
    <s v="Momauk Catholic Church (St. Patrick)"/>
    <m/>
    <m/>
    <m/>
    <m/>
    <m/>
    <m/>
    <m/>
    <m/>
    <m/>
    <m/>
    <m/>
    <m/>
    <m/>
    <n v="462"/>
    <m/>
    <m/>
    <m/>
    <n v="0"/>
    <n v="0"/>
    <n v="0"/>
    <n v="0"/>
    <n v="0"/>
    <n v="0"/>
    <n v="0"/>
    <n v="0"/>
    <n v="0"/>
    <n v="0"/>
    <n v="0"/>
    <n v="0"/>
    <n v="0"/>
    <n v="0"/>
    <x v="2"/>
    <n v="0"/>
    <n v="0"/>
    <n v="0"/>
    <s v="MMR001CMP057"/>
    <x v="0"/>
    <x v="2"/>
    <x v="0"/>
    <s v=""/>
    <m/>
    <m/>
  </r>
  <r>
    <n v="28.8"/>
    <d v="2014-06-21T00:00:00"/>
    <x v="5"/>
    <s v="MRCS"/>
    <s v="Kachin"/>
    <s v="Myitkyina"/>
    <s v="Du Kahtawng Qtr. 14"/>
    <m/>
    <m/>
    <m/>
    <m/>
    <m/>
    <m/>
    <m/>
    <m/>
    <m/>
    <m/>
    <m/>
    <m/>
    <m/>
    <n v="12"/>
    <m/>
    <m/>
    <m/>
    <n v="0"/>
    <n v="0"/>
    <n v="0"/>
    <n v="0"/>
    <n v="0"/>
    <n v="0"/>
    <n v="0"/>
    <n v="0"/>
    <n v="0"/>
    <n v="0"/>
    <n v="0"/>
    <n v="0"/>
    <n v="0"/>
    <n v="0"/>
    <x v="2"/>
    <n v="0"/>
    <n v="0"/>
    <n v="0"/>
    <s v="MMR001CMP012"/>
    <x v="0"/>
    <x v="0"/>
    <x v="0"/>
    <n v="0"/>
    <m/>
    <m/>
  </r>
  <r>
    <n v="28.8"/>
    <d v="2014-06-21T00:00:00"/>
    <x v="5"/>
    <s v="MRCS"/>
    <s v="Kachin"/>
    <s v="Myitkyina"/>
    <s v="Du Kahtawng Qtr. 4"/>
    <m/>
    <m/>
    <m/>
    <m/>
    <m/>
    <m/>
    <m/>
    <m/>
    <m/>
    <m/>
    <m/>
    <m/>
    <m/>
    <n v="12"/>
    <m/>
    <m/>
    <m/>
    <n v="0"/>
    <n v="0"/>
    <n v="0"/>
    <n v="0"/>
    <n v="0"/>
    <n v="0"/>
    <n v="0"/>
    <n v="0"/>
    <n v="0"/>
    <n v="0"/>
    <n v="0"/>
    <n v="0"/>
    <n v="0"/>
    <n v="0"/>
    <x v="2"/>
    <n v="0"/>
    <n v="0"/>
    <n v="0"/>
    <s v="MMR001CMP010"/>
    <x v="0"/>
    <x v="0"/>
    <x v="0"/>
    <n v="0"/>
    <m/>
    <m/>
  </r>
  <r>
    <n v="28.8"/>
    <d v="2014-06-21T00:00:00"/>
    <x v="5"/>
    <s v="MRCS"/>
    <s v="Kachin"/>
    <s v="Myitkyina"/>
    <s v="Du Kahtawng Qtr. 5"/>
    <m/>
    <m/>
    <m/>
    <m/>
    <m/>
    <m/>
    <m/>
    <m/>
    <m/>
    <m/>
    <m/>
    <m/>
    <m/>
    <n v="16"/>
    <m/>
    <m/>
    <m/>
    <n v="0"/>
    <n v="0"/>
    <n v="0"/>
    <n v="0"/>
    <n v="0"/>
    <n v="0"/>
    <n v="0"/>
    <n v="0"/>
    <n v="0"/>
    <n v="0"/>
    <n v="0"/>
    <n v="0"/>
    <n v="0"/>
    <n v="0"/>
    <x v="2"/>
    <n v="0"/>
    <n v="0"/>
    <n v="0"/>
    <s v="MMR001CMP011"/>
    <x v="0"/>
    <x v="0"/>
    <x v="0"/>
    <n v="0"/>
    <m/>
    <m/>
  </r>
  <r>
    <n v="28.833333333333332"/>
    <d v="2014-06-20T00:00:00"/>
    <x v="5"/>
    <s v="MRCS"/>
    <s v="Kachin"/>
    <s v="Myitkyina"/>
    <s v="Tat Kone Emanuel Church"/>
    <m/>
    <m/>
    <m/>
    <m/>
    <m/>
    <m/>
    <m/>
    <m/>
    <m/>
    <m/>
    <m/>
    <m/>
    <m/>
    <n v="16"/>
    <m/>
    <m/>
    <m/>
    <n v="0"/>
    <n v="0"/>
    <n v="0"/>
    <n v="0"/>
    <n v="0"/>
    <n v="0"/>
    <n v="0"/>
    <n v="0"/>
    <n v="0"/>
    <n v="0"/>
    <n v="0"/>
    <n v="0"/>
    <n v="0"/>
    <n v="0"/>
    <x v="2"/>
    <n v="0"/>
    <n v="0"/>
    <n v="0"/>
    <s v="MMR001CMP004"/>
    <x v="0"/>
    <x v="0"/>
    <x v="0"/>
    <n v="0"/>
    <m/>
    <m/>
  </r>
  <r>
    <n v="28.933333333333334"/>
    <d v="2014-06-17T00:00:00"/>
    <x v="1"/>
    <m/>
    <s v="Kachin"/>
    <s v="Mansi"/>
    <s v="Maing Khaung"/>
    <m/>
    <m/>
    <m/>
    <n v="10"/>
    <n v="3"/>
    <n v="10"/>
    <n v="3"/>
    <m/>
    <n v="3"/>
    <n v="10"/>
    <m/>
    <m/>
    <m/>
    <m/>
    <m/>
    <m/>
    <m/>
    <n v="0"/>
    <n v="0"/>
    <n v="0"/>
    <n v="0"/>
    <n v="0"/>
    <n v="0"/>
    <n v="0"/>
    <n v="0"/>
    <n v="0"/>
    <n v="0"/>
    <n v="0"/>
    <n v="0"/>
    <n v="0"/>
    <n v="0"/>
    <x v="0"/>
    <n v="0"/>
    <n v="0"/>
    <n v="0"/>
    <s v="MMR001CMP218"/>
    <x v="0"/>
    <x v="0"/>
    <x v="0"/>
    <n v="8.0213903743315516E-3"/>
    <m/>
    <m/>
  </r>
  <r>
    <n v="29"/>
    <d v="2014-06-15T00:00:00"/>
    <x v="5"/>
    <s v="MRCS"/>
    <s v="Kachin"/>
    <s v="Shwegu"/>
    <s v="Shwe Gu Baptist Church"/>
    <m/>
    <m/>
    <m/>
    <m/>
    <m/>
    <m/>
    <m/>
    <m/>
    <m/>
    <m/>
    <m/>
    <m/>
    <m/>
    <n v="158"/>
    <m/>
    <m/>
    <m/>
    <n v="0"/>
    <n v="0"/>
    <n v="0"/>
    <n v="0"/>
    <n v="0"/>
    <n v="0"/>
    <n v="0"/>
    <n v="0"/>
    <n v="0"/>
    <n v="0"/>
    <n v="0"/>
    <n v="0"/>
    <n v="0"/>
    <n v="0"/>
    <x v="2"/>
    <n v="0"/>
    <n v="0"/>
    <n v="0"/>
    <s v="MMR001CMP067"/>
    <x v="0"/>
    <x v="0"/>
    <x v="0"/>
    <n v="0"/>
    <m/>
    <m/>
  </r>
  <r>
    <n v="29"/>
    <d v="2014-06-15T00:00:00"/>
    <x v="5"/>
    <s v="MRCS"/>
    <s v="Kachin"/>
    <s v="Shwegu"/>
    <s v="Shwe Gu Catholic Church"/>
    <m/>
    <m/>
    <m/>
    <m/>
    <m/>
    <m/>
    <m/>
    <m/>
    <m/>
    <m/>
    <m/>
    <m/>
    <m/>
    <n v="112"/>
    <m/>
    <m/>
    <m/>
    <n v="0"/>
    <n v="0"/>
    <n v="0"/>
    <n v="0"/>
    <n v="0"/>
    <n v="0"/>
    <n v="0"/>
    <n v="0"/>
    <n v="0"/>
    <n v="0"/>
    <n v="0"/>
    <n v="0"/>
    <n v="0"/>
    <n v="0"/>
    <x v="2"/>
    <n v="0"/>
    <n v="0"/>
    <n v="0"/>
    <s v="MMR001CMP068"/>
    <x v="0"/>
    <x v="0"/>
    <x v="0"/>
    <n v="0"/>
    <m/>
    <m/>
  </r>
  <r>
    <n v="29.033333333333335"/>
    <d v="2014-06-14T00:00:00"/>
    <x v="5"/>
    <s v="MRCS"/>
    <s v="Kachin"/>
    <s v="Myitkyina"/>
    <s v="Jan Mai Kawng Baptist Church"/>
    <m/>
    <m/>
    <m/>
    <m/>
    <m/>
    <m/>
    <m/>
    <m/>
    <m/>
    <m/>
    <m/>
    <m/>
    <m/>
    <n v="406"/>
    <m/>
    <m/>
    <m/>
    <n v="0"/>
    <n v="0"/>
    <n v="0"/>
    <n v="0"/>
    <n v="0"/>
    <n v="0"/>
    <n v="0"/>
    <n v="0"/>
    <n v="0"/>
    <n v="0"/>
    <n v="0"/>
    <n v="0"/>
    <n v="0"/>
    <n v="0"/>
    <x v="2"/>
    <n v="0"/>
    <n v="0"/>
    <n v="0"/>
    <s v="MMR001CMP018"/>
    <x v="0"/>
    <x v="0"/>
    <x v="0"/>
    <n v="0"/>
    <m/>
    <m/>
  </r>
  <r>
    <n v="29.033333333333335"/>
    <d v="2014-06-14T00:00:00"/>
    <x v="5"/>
    <s v="MRCS"/>
    <s v="Kachin"/>
    <s v="Myitkyina"/>
    <s v="Jan Mai Kawng Catholic Church"/>
    <m/>
    <m/>
    <m/>
    <m/>
    <m/>
    <m/>
    <m/>
    <m/>
    <m/>
    <m/>
    <m/>
    <m/>
    <m/>
    <n v="216"/>
    <m/>
    <m/>
    <m/>
    <n v="0"/>
    <n v="0"/>
    <n v="0"/>
    <n v="0"/>
    <n v="0"/>
    <n v="0"/>
    <n v="0"/>
    <n v="0"/>
    <n v="0"/>
    <n v="0"/>
    <n v="0"/>
    <n v="0"/>
    <n v="0"/>
    <n v="0"/>
    <x v="2"/>
    <n v="0"/>
    <n v="0"/>
    <n v="0"/>
    <s v="MMR001CMP019"/>
    <x v="0"/>
    <x v="0"/>
    <x v="0"/>
    <n v="0"/>
    <m/>
    <m/>
  </r>
  <r>
    <n v="29.066666666666666"/>
    <d v="2014-06-13T00:00:00"/>
    <x v="1"/>
    <m/>
    <s v="Kachin"/>
    <s v="Mansi"/>
    <s v="Maing Khaung"/>
    <m/>
    <m/>
    <m/>
    <n v="54"/>
    <n v="18"/>
    <n v="45"/>
    <n v="18"/>
    <m/>
    <n v="18"/>
    <n v="50"/>
    <m/>
    <m/>
    <m/>
    <m/>
    <m/>
    <m/>
    <m/>
    <n v="0"/>
    <n v="0"/>
    <n v="0"/>
    <n v="0"/>
    <n v="0"/>
    <n v="0"/>
    <n v="0"/>
    <n v="0"/>
    <n v="0"/>
    <n v="0"/>
    <n v="0"/>
    <n v="0"/>
    <n v="0"/>
    <n v="0"/>
    <x v="0"/>
    <n v="0"/>
    <n v="0"/>
    <n v="0"/>
    <s v="MMR001CMP218"/>
    <x v="0"/>
    <x v="0"/>
    <x v="0"/>
    <n v="4.8128342245989303E-2"/>
    <m/>
    <m/>
  </r>
  <r>
    <n v="29.266666666666666"/>
    <d v="2014-06-07T00:00:00"/>
    <x v="5"/>
    <s v="MRCS"/>
    <s v="Kachin"/>
    <s v="Mohnyin"/>
    <s v="Nawng Ing (Indawgyi) Baptist Church  "/>
    <m/>
    <m/>
    <m/>
    <m/>
    <m/>
    <m/>
    <m/>
    <m/>
    <m/>
    <m/>
    <m/>
    <m/>
    <m/>
    <n v="40"/>
    <m/>
    <m/>
    <m/>
    <n v="0"/>
    <n v="0"/>
    <n v="0"/>
    <n v="0"/>
    <n v="0"/>
    <n v="0"/>
    <n v="0"/>
    <n v="0"/>
    <n v="0"/>
    <n v="0"/>
    <n v="0"/>
    <n v="0"/>
    <n v="0"/>
    <n v="0"/>
    <x v="2"/>
    <n v="0"/>
    <n v="0"/>
    <n v="0"/>
    <s v="MMR001CMP152"/>
    <x v="0"/>
    <x v="0"/>
    <x v="0"/>
    <n v="0"/>
    <m/>
    <m/>
  </r>
  <r>
    <n v="29.3"/>
    <d v="2014-06-06T00:00:00"/>
    <x v="5"/>
    <s v="MRCS"/>
    <s v="Kachin"/>
    <s v="Mohnyin"/>
    <s v="St. Patrick Catholic Church "/>
    <m/>
    <m/>
    <m/>
    <m/>
    <m/>
    <m/>
    <m/>
    <m/>
    <m/>
    <m/>
    <m/>
    <m/>
    <m/>
    <n v="24"/>
    <m/>
    <m/>
    <m/>
    <n v="0"/>
    <n v="0"/>
    <n v="0"/>
    <n v="0"/>
    <n v="0"/>
    <n v="0"/>
    <n v="0"/>
    <n v="0"/>
    <n v="0"/>
    <n v="0"/>
    <n v="0"/>
    <n v="0"/>
    <n v="0"/>
    <n v="0"/>
    <x v="2"/>
    <n v="0"/>
    <n v="0"/>
    <n v="0"/>
    <s v="MMR001CMP080"/>
    <x v="0"/>
    <x v="0"/>
    <x v="0"/>
    <n v="0"/>
    <m/>
    <m/>
  </r>
  <r>
    <n v="29.366666666666667"/>
    <d v="2014-06-04T00:00:00"/>
    <x v="1"/>
    <s v="KBC"/>
    <s v="Kachin"/>
    <s v="Momauk"/>
    <s v="Momauk Baptist Church"/>
    <m/>
    <m/>
    <m/>
    <m/>
    <n v="80"/>
    <m/>
    <m/>
    <m/>
    <m/>
    <m/>
    <m/>
    <m/>
    <m/>
    <m/>
    <m/>
    <m/>
    <m/>
    <n v="0"/>
    <n v="0"/>
    <n v="0"/>
    <n v="0"/>
    <n v="0"/>
    <n v="0"/>
    <n v="0"/>
    <n v="0"/>
    <n v="0"/>
    <n v="0"/>
    <n v="0"/>
    <n v="0"/>
    <n v="0"/>
    <n v="0"/>
    <x v="0"/>
    <n v="0"/>
    <n v="0"/>
    <n v="0"/>
    <s v="MMR001CMP056"/>
    <x v="0"/>
    <x v="0"/>
    <x v="0"/>
    <n v="0"/>
    <s v="No"/>
    <m/>
  </r>
  <r>
    <n v="29.533333333333335"/>
    <d v="2014-05-30T00:00:00"/>
    <x v="5"/>
    <s v="MRCS"/>
    <s v="Kachin"/>
    <s v="Myitkyina"/>
    <s v="Wun Tho Buddhist Monastery"/>
    <m/>
    <m/>
    <m/>
    <m/>
    <m/>
    <m/>
    <m/>
    <m/>
    <m/>
    <m/>
    <m/>
    <m/>
    <m/>
    <n v="12"/>
    <m/>
    <m/>
    <m/>
    <n v="0"/>
    <n v="0"/>
    <n v="0"/>
    <n v="0"/>
    <n v="0"/>
    <n v="0"/>
    <n v="0"/>
    <n v="0"/>
    <n v="0"/>
    <n v="0"/>
    <n v="0"/>
    <n v="0"/>
    <n v="0"/>
    <n v="0"/>
    <x v="2"/>
    <n v="0"/>
    <n v="0"/>
    <n v="0"/>
    <s v="MMR001CMP022"/>
    <x v="0"/>
    <x v="0"/>
    <x v="0"/>
    <n v="0"/>
    <m/>
    <m/>
  </r>
  <r>
    <n v="29.6"/>
    <d v="2014-05-28T00:00:00"/>
    <x v="5"/>
    <s v="MRCS"/>
    <s v="Kachin"/>
    <s v="Myitkyina"/>
    <s v="Tat Kone Baptist Church"/>
    <m/>
    <m/>
    <m/>
    <m/>
    <m/>
    <m/>
    <m/>
    <m/>
    <m/>
    <m/>
    <m/>
    <m/>
    <m/>
    <n v="120"/>
    <m/>
    <m/>
    <m/>
    <n v="0"/>
    <n v="0"/>
    <n v="0"/>
    <n v="0"/>
    <n v="0"/>
    <n v="0"/>
    <n v="0"/>
    <n v="0"/>
    <n v="0"/>
    <n v="0"/>
    <n v="0"/>
    <n v="0"/>
    <n v="0"/>
    <n v="0"/>
    <x v="2"/>
    <n v="0"/>
    <n v="0"/>
    <n v="0"/>
    <s v="MMR001CMP001"/>
    <x v="0"/>
    <x v="0"/>
    <x v="0"/>
    <n v="0"/>
    <m/>
    <m/>
  </r>
  <r>
    <n v="29.6"/>
    <d v="2014-05-28T00:00:00"/>
    <x v="5"/>
    <s v="MRCS"/>
    <s v="Kachin"/>
    <s v="Myitkyina"/>
    <s v="Tat Kone COC Baptist - Tat Kone Htoi San"/>
    <m/>
    <m/>
    <m/>
    <m/>
    <m/>
    <m/>
    <m/>
    <m/>
    <m/>
    <m/>
    <m/>
    <m/>
    <m/>
    <n v="138"/>
    <m/>
    <m/>
    <m/>
    <n v="0"/>
    <n v="0"/>
    <n v="0"/>
    <n v="0"/>
    <n v="0"/>
    <n v="0"/>
    <n v="0"/>
    <n v="0"/>
    <n v="0"/>
    <n v="0"/>
    <n v="0"/>
    <n v="0"/>
    <n v="0"/>
    <n v="0"/>
    <x v="2"/>
    <n v="0"/>
    <n v="0"/>
    <n v="0"/>
    <s v="MMR001CMP023"/>
    <x v="0"/>
    <x v="0"/>
    <x v="0"/>
    <n v="0"/>
    <m/>
    <m/>
  </r>
  <r>
    <n v="29.6"/>
    <d v="2014-05-28T00:00:00"/>
    <x v="5"/>
    <s v="MRCS"/>
    <s v="Kachin"/>
    <s v="Myitkyina"/>
    <s v="Tat Kone Galile Baptist Church"/>
    <m/>
    <m/>
    <m/>
    <m/>
    <m/>
    <m/>
    <m/>
    <m/>
    <m/>
    <m/>
    <m/>
    <m/>
    <m/>
    <n v="58"/>
    <m/>
    <m/>
    <m/>
    <n v="0"/>
    <n v="0"/>
    <n v="0"/>
    <n v="0"/>
    <n v="0"/>
    <n v="0"/>
    <n v="0"/>
    <n v="0"/>
    <n v="0"/>
    <n v="0"/>
    <n v="0"/>
    <n v="0"/>
    <n v="0"/>
    <n v="0"/>
    <x v="2"/>
    <n v="0"/>
    <n v="0"/>
    <n v="0"/>
    <s v="MMR001CMP003"/>
    <x v="0"/>
    <x v="0"/>
    <x v="0"/>
    <n v="0"/>
    <m/>
    <m/>
  </r>
  <r>
    <n v="29.633333333333333"/>
    <d v="2014-05-27T00:00:00"/>
    <x v="1"/>
    <s v="Shalom"/>
    <s v="Kachin"/>
    <s v="Chipwi"/>
    <s v="Chipwi KBC camp"/>
    <m/>
    <m/>
    <n v="36"/>
    <n v="18"/>
    <n v="36"/>
    <n v="18"/>
    <m/>
    <n v="18"/>
    <n v="90"/>
    <m/>
    <m/>
    <m/>
    <m/>
    <m/>
    <m/>
    <m/>
    <m/>
    <n v="0"/>
    <n v="0"/>
    <n v="0"/>
    <n v="0"/>
    <n v="0"/>
    <n v="0"/>
    <n v="0"/>
    <n v="0"/>
    <n v="0"/>
    <n v="0"/>
    <n v="0"/>
    <n v="0"/>
    <n v="0"/>
    <n v="0"/>
    <x v="0"/>
    <n v="0"/>
    <n v="0"/>
    <n v="0"/>
    <s v="MMR001CMP042"/>
    <x v="0"/>
    <x v="0"/>
    <x v="5"/>
    <n v="0"/>
    <m/>
    <m/>
  </r>
  <r>
    <n v="29.633333333333333"/>
    <d v="2014-05-27T00:00:00"/>
    <x v="1"/>
    <s v="Shalom"/>
    <s v="Kachin"/>
    <s v="Waingmaw"/>
    <s v="Hkat Cho "/>
    <m/>
    <m/>
    <n v="2"/>
    <n v="1"/>
    <n v="2"/>
    <n v="1"/>
    <m/>
    <n v="1"/>
    <n v="5"/>
    <m/>
    <m/>
    <m/>
    <m/>
    <m/>
    <m/>
    <m/>
    <m/>
    <n v="0"/>
    <n v="0"/>
    <n v="0"/>
    <n v="0"/>
    <n v="0"/>
    <n v="0"/>
    <n v="0"/>
    <n v="0"/>
    <n v="0"/>
    <n v="0"/>
    <n v="0"/>
    <n v="0"/>
    <n v="0"/>
    <n v="0"/>
    <x v="0"/>
    <n v="0"/>
    <n v="0"/>
    <n v="0"/>
    <s v="MMR001CMP028"/>
    <x v="0"/>
    <x v="0"/>
    <x v="0"/>
    <n v="0"/>
    <m/>
    <m/>
  </r>
  <r>
    <n v="29.633333333333333"/>
    <d v="2014-05-27T00:00:00"/>
    <x v="1"/>
    <s v="Shalom"/>
    <s v="Kachin"/>
    <s v="Waingmaw"/>
    <s v="Maina AG Church"/>
    <m/>
    <m/>
    <n v="50"/>
    <n v="25"/>
    <n v="50"/>
    <n v="25"/>
    <m/>
    <n v="25"/>
    <n v="125"/>
    <m/>
    <m/>
    <m/>
    <m/>
    <m/>
    <m/>
    <m/>
    <m/>
    <n v="0"/>
    <n v="0"/>
    <n v="0"/>
    <n v="0"/>
    <n v="0"/>
    <n v="0"/>
    <n v="0"/>
    <n v="0"/>
    <n v="0"/>
    <n v="0"/>
    <n v="0"/>
    <n v="0"/>
    <n v="0"/>
    <n v="0"/>
    <x v="0"/>
    <n v="0"/>
    <n v="0"/>
    <n v="0"/>
    <s v="MMR001CMP031"/>
    <x v="0"/>
    <x v="0"/>
    <x v="0"/>
    <n v="0"/>
    <m/>
    <m/>
  </r>
  <r>
    <n v="29.633333333333333"/>
    <d v="2014-05-27T00:00:00"/>
    <x v="1"/>
    <s v="Shalom"/>
    <s v="Kachin"/>
    <s v="Myitkyina"/>
    <s v="Maw Hpawng Hka Nan Baptist Church"/>
    <m/>
    <m/>
    <n v="12"/>
    <n v="6"/>
    <n v="12"/>
    <n v="6"/>
    <m/>
    <n v="6"/>
    <n v="30"/>
    <m/>
    <m/>
    <m/>
    <m/>
    <m/>
    <m/>
    <m/>
    <m/>
    <n v="0"/>
    <n v="0"/>
    <n v="0"/>
    <n v="0"/>
    <n v="0"/>
    <n v="0"/>
    <n v="0"/>
    <n v="0"/>
    <n v="0"/>
    <n v="0"/>
    <n v="0"/>
    <n v="0"/>
    <n v="0"/>
    <n v="0"/>
    <x v="0"/>
    <n v="0"/>
    <n v="0"/>
    <n v="0"/>
    <s v="MMR001CMP020"/>
    <x v="0"/>
    <x v="0"/>
    <x v="0"/>
    <n v="0"/>
    <m/>
    <m/>
  </r>
  <r>
    <n v="29.633333333333333"/>
    <d v="2014-05-27T00:00:00"/>
    <x v="1"/>
    <s v="Shalom"/>
    <s v="Kachin"/>
    <s v="Waingmaw"/>
    <s v="Qtr. 4 Monestry (Thargaya Thayett Taw)"/>
    <m/>
    <m/>
    <n v="3"/>
    <n v="3"/>
    <n v="6"/>
    <n v="3"/>
    <m/>
    <n v="3"/>
    <n v="15"/>
    <m/>
    <m/>
    <m/>
    <m/>
    <m/>
    <m/>
    <m/>
    <m/>
    <n v="0"/>
    <n v="0"/>
    <n v="0"/>
    <n v="0"/>
    <n v="0"/>
    <n v="0"/>
    <n v="0"/>
    <n v="0"/>
    <n v="0"/>
    <n v="0"/>
    <n v="0"/>
    <n v="0"/>
    <n v="0"/>
    <n v="0"/>
    <x v="0"/>
    <n v="0"/>
    <n v="0"/>
    <n v="0"/>
    <s v="MMR001CMP026"/>
    <x v="0"/>
    <x v="0"/>
    <x v="0"/>
    <n v="0"/>
    <m/>
    <m/>
  </r>
  <r>
    <n v="29.633333333333333"/>
    <d v="2014-05-27T00:00:00"/>
    <x v="1"/>
    <s v="Shalom"/>
    <s v="Kachin"/>
    <s v="Waingmaw"/>
    <s v="Thargaya Lisu Baptist Church"/>
    <m/>
    <m/>
    <n v="18"/>
    <n v="9"/>
    <n v="18"/>
    <n v="9"/>
    <m/>
    <n v="9"/>
    <n v="45"/>
    <m/>
    <m/>
    <m/>
    <m/>
    <m/>
    <m/>
    <m/>
    <m/>
    <n v="0"/>
    <n v="0"/>
    <n v="0"/>
    <n v="0"/>
    <n v="0"/>
    <n v="0"/>
    <n v="0"/>
    <n v="0"/>
    <n v="0"/>
    <n v="0"/>
    <n v="0"/>
    <n v="0"/>
    <n v="0"/>
    <n v="0"/>
    <x v="0"/>
    <n v="0"/>
    <n v="0"/>
    <n v="0"/>
    <s v="MMR001CMP037"/>
    <x v="0"/>
    <x v="0"/>
    <x v="0"/>
    <n v="0"/>
    <m/>
    <m/>
  </r>
  <r>
    <n v="29.666666666666668"/>
    <d v="2014-05-26T00:00:00"/>
    <x v="5"/>
    <s v="MRCS"/>
    <s v="Kachin"/>
    <s v="Waingmaw"/>
    <s v="Nawng Hee Village"/>
    <m/>
    <m/>
    <m/>
    <m/>
    <m/>
    <m/>
    <m/>
    <m/>
    <m/>
    <m/>
    <m/>
    <m/>
    <m/>
    <n v="36"/>
    <m/>
    <m/>
    <m/>
    <n v="0"/>
    <n v="0"/>
    <n v="0"/>
    <n v="0"/>
    <n v="0"/>
    <n v="0"/>
    <n v="0"/>
    <n v="0"/>
    <n v="0"/>
    <n v="0"/>
    <n v="0"/>
    <n v="0"/>
    <n v="0"/>
    <n v="0"/>
    <x v="2"/>
    <n v="0"/>
    <n v="0"/>
    <n v="0"/>
    <s v="MMR001CMP033"/>
    <x v="0"/>
    <x v="0"/>
    <x v="0"/>
    <n v="0"/>
    <m/>
    <m/>
  </r>
  <r>
    <n v="29.7"/>
    <d v="2014-05-25T00:00:00"/>
    <x v="5"/>
    <s v="MRCS"/>
    <s v="Kachin"/>
    <s v="Waingmaw"/>
    <s v="Hkat Cho "/>
    <m/>
    <m/>
    <m/>
    <m/>
    <m/>
    <m/>
    <m/>
    <m/>
    <m/>
    <m/>
    <m/>
    <m/>
    <m/>
    <n v="224"/>
    <m/>
    <m/>
    <m/>
    <n v="0"/>
    <n v="0"/>
    <n v="0"/>
    <n v="0"/>
    <n v="0"/>
    <n v="0"/>
    <n v="0"/>
    <n v="0"/>
    <n v="0"/>
    <n v="0"/>
    <n v="0"/>
    <n v="0"/>
    <n v="0"/>
    <n v="0"/>
    <x v="2"/>
    <n v="0"/>
    <n v="0"/>
    <n v="0"/>
    <s v="MMR001CMP028"/>
    <x v="0"/>
    <x v="0"/>
    <x v="0"/>
    <n v="0"/>
    <m/>
    <m/>
  </r>
  <r>
    <n v="29.7"/>
    <d v="2014-05-25T00:00:00"/>
    <x v="5"/>
    <s v="MRCS"/>
    <s v="Kachin"/>
    <s v="Waingmaw"/>
    <s v="Qtr. 4 Monestry (Thargaya Thayett Taw)"/>
    <m/>
    <m/>
    <m/>
    <m/>
    <m/>
    <m/>
    <m/>
    <m/>
    <m/>
    <m/>
    <m/>
    <m/>
    <m/>
    <n v="182"/>
    <m/>
    <m/>
    <m/>
    <n v="0"/>
    <n v="0"/>
    <n v="0"/>
    <n v="0"/>
    <n v="0"/>
    <n v="0"/>
    <n v="0"/>
    <n v="0"/>
    <n v="0"/>
    <n v="0"/>
    <n v="0"/>
    <n v="0"/>
    <n v="0"/>
    <n v="0"/>
    <x v="2"/>
    <n v="0"/>
    <n v="0"/>
    <n v="0"/>
    <s v="MMR001CMP026"/>
    <x v="0"/>
    <x v="0"/>
    <x v="0"/>
    <n v="0"/>
    <m/>
    <m/>
  </r>
  <r>
    <n v="29.8"/>
    <d v="2014-05-22T00:00:00"/>
    <x v="5"/>
    <s v="MRCS"/>
    <s v="Kachin"/>
    <s v="Waingmaw"/>
    <s v="Mading Baptist Church"/>
    <m/>
    <m/>
    <m/>
    <m/>
    <m/>
    <m/>
    <m/>
    <m/>
    <m/>
    <m/>
    <m/>
    <m/>
    <m/>
    <n v="46"/>
    <m/>
    <m/>
    <m/>
    <n v="0"/>
    <n v="0"/>
    <n v="0"/>
    <n v="0"/>
    <n v="0"/>
    <n v="0"/>
    <n v="0"/>
    <n v="0"/>
    <n v="0"/>
    <n v="0"/>
    <n v="0"/>
    <n v="0"/>
    <n v="0"/>
    <n v="0"/>
    <x v="2"/>
    <n v="0"/>
    <n v="0"/>
    <n v="0"/>
    <s v="MMR001CMP027"/>
    <x v="0"/>
    <x v="0"/>
    <x v="0"/>
    <n v="0"/>
    <m/>
    <m/>
  </r>
  <r>
    <n v="29.8"/>
    <d v="2014-05-22T00:00:00"/>
    <x v="5"/>
    <s v="MRCS"/>
    <s v="Kachin"/>
    <s v="Waingmaw"/>
    <s v="Qtr. 2 Lhaovo Baptist Church"/>
    <m/>
    <m/>
    <m/>
    <m/>
    <m/>
    <m/>
    <m/>
    <m/>
    <m/>
    <m/>
    <m/>
    <m/>
    <m/>
    <n v="88"/>
    <m/>
    <m/>
    <m/>
    <n v="0"/>
    <n v="0"/>
    <n v="0"/>
    <n v="0"/>
    <n v="0"/>
    <n v="0"/>
    <n v="0"/>
    <n v="0"/>
    <n v="0"/>
    <n v="0"/>
    <n v="0"/>
    <n v="0"/>
    <n v="0"/>
    <n v="0"/>
    <x v="2"/>
    <n v="0"/>
    <n v="0"/>
    <n v="0"/>
    <s v="MMR001CMP032"/>
    <x v="0"/>
    <x v="0"/>
    <x v="0"/>
    <n v="0"/>
    <m/>
    <m/>
  </r>
  <r>
    <n v="29.8"/>
    <d v="2014-05-22T00:00:00"/>
    <x v="5"/>
    <s v="MRCS"/>
    <s v="Kachin"/>
    <s v="Waingmaw"/>
    <s v="Qtr. 2 Myoma Baptist Church"/>
    <m/>
    <m/>
    <m/>
    <m/>
    <m/>
    <m/>
    <m/>
    <m/>
    <m/>
    <m/>
    <m/>
    <m/>
    <m/>
    <n v="140"/>
    <m/>
    <m/>
    <m/>
    <n v="0"/>
    <n v="0"/>
    <n v="0"/>
    <n v="0"/>
    <n v="0"/>
    <n v="0"/>
    <n v="0"/>
    <n v="0"/>
    <n v="0"/>
    <n v="0"/>
    <n v="0"/>
    <n v="0"/>
    <n v="0"/>
    <n v="0"/>
    <x v="2"/>
    <n v="0"/>
    <n v="0"/>
    <n v="0"/>
    <s v="MMR001CMP025"/>
    <x v="0"/>
    <x v="0"/>
    <x v="0"/>
    <n v="0"/>
    <m/>
    <m/>
  </r>
  <r>
    <n v="29.833333333333332"/>
    <d v="2014-05-21T00:00:00"/>
    <x v="5"/>
    <s v="MRCS"/>
    <s v="Kachin"/>
    <s v="Myitkyina"/>
    <s v="Myay Myint Baptist Church"/>
    <m/>
    <m/>
    <m/>
    <m/>
    <m/>
    <m/>
    <m/>
    <m/>
    <m/>
    <m/>
    <m/>
    <m/>
    <m/>
    <n v="24"/>
    <m/>
    <m/>
    <m/>
    <n v="0"/>
    <n v="0"/>
    <n v="0"/>
    <n v="0"/>
    <n v="0"/>
    <n v="0"/>
    <n v="0"/>
    <n v="0"/>
    <n v="0"/>
    <n v="0"/>
    <n v="0"/>
    <n v="0"/>
    <n v="0"/>
    <n v="0"/>
    <x v="2"/>
    <n v="0"/>
    <n v="0"/>
    <n v="0"/>
    <s v="MMR001CMP017"/>
    <x v="0"/>
    <x v="2"/>
    <x v="0"/>
    <s v=""/>
    <m/>
    <m/>
  </r>
  <r>
    <n v="29.833333333333332"/>
    <d v="2014-05-21T00:00:00"/>
    <x v="5"/>
    <s v="MRCS"/>
    <s v="Kachin"/>
    <s v="Myitkyina"/>
    <s v="Shatapru Thida Aye Baptist Church"/>
    <m/>
    <m/>
    <m/>
    <m/>
    <m/>
    <m/>
    <m/>
    <m/>
    <m/>
    <m/>
    <m/>
    <m/>
    <m/>
    <n v="30"/>
    <m/>
    <m/>
    <m/>
    <n v="0"/>
    <n v="0"/>
    <n v="0"/>
    <n v="0"/>
    <n v="0"/>
    <n v="0"/>
    <n v="0"/>
    <n v="0"/>
    <n v="0"/>
    <n v="0"/>
    <n v="0"/>
    <n v="0"/>
    <n v="0"/>
    <n v="0"/>
    <x v="2"/>
    <n v="0"/>
    <n v="0"/>
    <n v="0"/>
    <s v="MMR001CMP007"/>
    <x v="0"/>
    <x v="0"/>
    <x v="0"/>
    <n v="0"/>
    <m/>
    <m/>
  </r>
  <r>
    <n v="29.833333333333332"/>
    <d v="2014-05-21T00:00:00"/>
    <x v="5"/>
    <s v="MRCS"/>
    <s v="Kachin"/>
    <s v="Waingmaw"/>
    <s v="Thargaya Lisu Baptist Church"/>
    <m/>
    <m/>
    <m/>
    <m/>
    <m/>
    <m/>
    <m/>
    <m/>
    <m/>
    <m/>
    <m/>
    <m/>
    <m/>
    <n v="136"/>
    <m/>
    <m/>
    <m/>
    <n v="0"/>
    <n v="0"/>
    <n v="0"/>
    <n v="0"/>
    <n v="0"/>
    <n v="0"/>
    <n v="0"/>
    <n v="0"/>
    <n v="0"/>
    <n v="0"/>
    <n v="0"/>
    <n v="0"/>
    <n v="0"/>
    <n v="0"/>
    <x v="2"/>
    <n v="0"/>
    <n v="0"/>
    <n v="0"/>
    <s v="MMR001CMP037"/>
    <x v="0"/>
    <x v="0"/>
    <x v="0"/>
    <n v="0"/>
    <m/>
    <m/>
  </r>
  <r>
    <n v="29.866666666666667"/>
    <d v="2014-05-20T00:00:00"/>
    <x v="5"/>
    <s v="MRCS"/>
    <s v="Kachin"/>
    <s v="Myitkyina"/>
    <s v="Kyun Pin Thar Baptist Church"/>
    <m/>
    <m/>
    <m/>
    <m/>
    <m/>
    <m/>
    <m/>
    <m/>
    <m/>
    <m/>
    <m/>
    <m/>
    <m/>
    <n v="88"/>
    <m/>
    <m/>
    <m/>
    <n v="0"/>
    <n v="0"/>
    <n v="0"/>
    <n v="0"/>
    <n v="0"/>
    <n v="0"/>
    <n v="0"/>
    <n v="0"/>
    <n v="0"/>
    <n v="0"/>
    <n v="0"/>
    <n v="0"/>
    <n v="0"/>
    <n v="0"/>
    <x v="2"/>
    <n v="0"/>
    <n v="0"/>
    <n v="0"/>
    <s v="MMR001CMP013"/>
    <x v="0"/>
    <x v="0"/>
    <x v="0"/>
    <n v="0"/>
    <m/>
    <m/>
  </r>
  <r>
    <n v="29.866666666666667"/>
    <d v="2014-05-20T00:00:00"/>
    <x v="5"/>
    <s v="MRCS"/>
    <s v="Kachin"/>
    <s v="Myitkyina"/>
    <s v="Le Kone Bethlehem Church"/>
    <m/>
    <m/>
    <m/>
    <m/>
    <m/>
    <m/>
    <m/>
    <m/>
    <m/>
    <m/>
    <m/>
    <m/>
    <m/>
    <n v="188"/>
    <m/>
    <m/>
    <m/>
    <n v="0"/>
    <n v="0"/>
    <n v="0"/>
    <n v="0"/>
    <n v="0"/>
    <n v="0"/>
    <n v="0"/>
    <n v="0"/>
    <n v="0"/>
    <n v="0"/>
    <n v="0"/>
    <n v="0"/>
    <n v="0"/>
    <n v="0"/>
    <x v="2"/>
    <n v="0"/>
    <n v="0"/>
    <n v="0"/>
    <s v="MMR001CMP015"/>
    <x v="0"/>
    <x v="0"/>
    <x v="0"/>
    <n v="0"/>
    <m/>
    <m/>
  </r>
  <r>
    <n v="29.866666666666667"/>
    <d v="2014-05-20T00:00:00"/>
    <x v="5"/>
    <s v="MRCS"/>
    <s v="Kachin"/>
    <s v="Myitkyina"/>
    <s v="Le Kone Ziun Baptist Church "/>
    <m/>
    <m/>
    <m/>
    <m/>
    <m/>
    <m/>
    <m/>
    <m/>
    <m/>
    <m/>
    <m/>
    <m/>
    <m/>
    <n v="278"/>
    <m/>
    <m/>
    <m/>
    <n v="0"/>
    <n v="0"/>
    <n v="0"/>
    <n v="0"/>
    <n v="0"/>
    <n v="0"/>
    <n v="0"/>
    <n v="0"/>
    <n v="0"/>
    <n v="0"/>
    <n v="0"/>
    <n v="0"/>
    <n v="0"/>
    <n v="0"/>
    <x v="2"/>
    <n v="0"/>
    <n v="0"/>
    <n v="0"/>
    <s v="MMR001CMP014"/>
    <x v="0"/>
    <x v="0"/>
    <x v="0"/>
    <n v="0"/>
    <m/>
    <m/>
  </r>
  <r>
    <n v="29.866666666666667"/>
    <d v="2014-05-20T00:00:00"/>
    <x v="5"/>
    <s v="MRCS"/>
    <s v="Kachin"/>
    <s v="Waingmaw"/>
    <s v="Maina KBC (Bawng Ring)"/>
    <m/>
    <m/>
    <m/>
    <m/>
    <m/>
    <m/>
    <m/>
    <m/>
    <m/>
    <m/>
    <m/>
    <m/>
    <m/>
    <n v="824"/>
    <m/>
    <m/>
    <m/>
    <n v="0"/>
    <n v="0"/>
    <n v="0"/>
    <n v="0"/>
    <n v="0"/>
    <n v="0"/>
    <n v="0"/>
    <n v="0"/>
    <n v="0"/>
    <n v="0"/>
    <n v="0"/>
    <n v="0"/>
    <n v="0"/>
    <n v="0"/>
    <x v="2"/>
    <n v="0"/>
    <n v="0"/>
    <n v="0"/>
    <s v="MMR001CMP040"/>
    <x v="0"/>
    <x v="0"/>
    <x v="0"/>
    <n v="0"/>
    <m/>
    <m/>
  </r>
  <r>
    <n v="29.866666666666667"/>
    <d v="2014-05-20T00:00:00"/>
    <x v="5"/>
    <s v="MRCS"/>
    <s v="Kachin"/>
    <s v="Myitkyina"/>
    <s v="Maliyang Baptist Church"/>
    <m/>
    <m/>
    <m/>
    <m/>
    <m/>
    <m/>
    <m/>
    <m/>
    <m/>
    <m/>
    <m/>
    <m/>
    <m/>
    <n v="142"/>
    <m/>
    <m/>
    <m/>
    <n v="0"/>
    <n v="0"/>
    <n v="0"/>
    <n v="0"/>
    <n v="0"/>
    <n v="0"/>
    <n v="0"/>
    <n v="0"/>
    <n v="0"/>
    <n v="0"/>
    <n v="0"/>
    <n v="0"/>
    <n v="0"/>
    <n v="0"/>
    <x v="2"/>
    <n v="0"/>
    <n v="0"/>
    <n v="0"/>
    <s v="MMR001CMP016"/>
    <x v="0"/>
    <x v="0"/>
    <x v="0"/>
    <n v="0"/>
    <m/>
    <m/>
  </r>
  <r>
    <n v="29.9"/>
    <d v="2014-05-19T00:00:00"/>
    <x v="5"/>
    <s v="MRCS"/>
    <s v="Kachin"/>
    <s v="Waingmaw"/>
    <s v="Maina AG Church"/>
    <m/>
    <m/>
    <m/>
    <m/>
    <m/>
    <m/>
    <m/>
    <m/>
    <m/>
    <m/>
    <m/>
    <m/>
    <m/>
    <n v="224"/>
    <m/>
    <m/>
    <m/>
    <n v="0"/>
    <n v="0"/>
    <n v="0"/>
    <n v="0"/>
    <n v="0"/>
    <n v="0"/>
    <n v="0"/>
    <n v="0"/>
    <n v="0"/>
    <n v="0"/>
    <n v="0"/>
    <n v="0"/>
    <n v="0"/>
    <n v="0"/>
    <x v="2"/>
    <n v="0"/>
    <n v="0"/>
    <n v="0"/>
    <s v="MMR001CMP031"/>
    <x v="0"/>
    <x v="0"/>
    <x v="0"/>
    <n v="0"/>
    <m/>
    <m/>
  </r>
  <r>
    <n v="29.9"/>
    <d v="2014-05-19T00:00:00"/>
    <x v="5"/>
    <s v="MRCS"/>
    <s v="Kachin"/>
    <s v="Waingmaw"/>
    <s v="Maina Lawang Baptist Church"/>
    <m/>
    <m/>
    <m/>
    <m/>
    <m/>
    <m/>
    <m/>
    <m/>
    <m/>
    <m/>
    <m/>
    <m/>
    <m/>
    <n v="230"/>
    <m/>
    <m/>
    <m/>
    <n v="0"/>
    <n v="0"/>
    <n v="0"/>
    <n v="0"/>
    <n v="0"/>
    <n v="0"/>
    <n v="0"/>
    <n v="0"/>
    <n v="0"/>
    <n v="0"/>
    <n v="0"/>
    <n v="0"/>
    <n v="0"/>
    <n v="0"/>
    <x v="2"/>
    <n v="0"/>
    <n v="0"/>
    <n v="0"/>
    <s v="MMR001CMP039"/>
    <x v="0"/>
    <x v="0"/>
    <x v="0"/>
    <n v="0"/>
    <m/>
    <m/>
  </r>
  <r>
    <n v="29.9"/>
    <d v="2014-05-19T00:00:00"/>
    <x v="5"/>
    <s v="MRCS"/>
    <s v="Kachin"/>
    <s v="Waingmaw"/>
    <s v="Qtr. 3 Mu-yin  Baptist Church"/>
    <m/>
    <m/>
    <m/>
    <m/>
    <m/>
    <m/>
    <m/>
    <m/>
    <m/>
    <m/>
    <m/>
    <m/>
    <m/>
    <n v="60"/>
    <m/>
    <m/>
    <m/>
    <n v="0"/>
    <n v="0"/>
    <n v="0"/>
    <n v="0"/>
    <n v="0"/>
    <n v="0"/>
    <n v="0"/>
    <n v="0"/>
    <n v="0"/>
    <n v="0"/>
    <n v="0"/>
    <n v="0"/>
    <n v="0"/>
    <n v="0"/>
    <x v="2"/>
    <n v="0"/>
    <n v="0"/>
    <n v="0"/>
    <s v="MMR001CMP030"/>
    <x v="0"/>
    <x v="0"/>
    <x v="0"/>
    <n v="0"/>
    <m/>
    <m/>
  </r>
  <r>
    <n v="30"/>
    <d v="2014-05-16T00:00:00"/>
    <x v="5"/>
    <s v="MRCS"/>
    <s v="Kachin"/>
    <s v="Waingmaw"/>
    <s v="Maina Catholic Church (St. Joseph)"/>
    <m/>
    <m/>
    <m/>
    <m/>
    <m/>
    <m/>
    <m/>
    <m/>
    <m/>
    <m/>
    <m/>
    <m/>
    <m/>
    <n v="470"/>
    <m/>
    <m/>
    <m/>
    <n v="0"/>
    <n v="0"/>
    <n v="0"/>
    <n v="0"/>
    <n v="0"/>
    <n v="0"/>
    <n v="0"/>
    <n v="0"/>
    <n v="0"/>
    <n v="0"/>
    <n v="0"/>
    <n v="0"/>
    <n v="0"/>
    <n v="0"/>
    <x v="2"/>
    <n v="0"/>
    <n v="0"/>
    <n v="0"/>
    <s v="MMR001CMP029"/>
    <x v="0"/>
    <x v="0"/>
    <x v="0"/>
    <n v="0"/>
    <m/>
    <m/>
  </r>
  <r>
    <n v="30"/>
    <d v="2014-05-16T00:00:00"/>
    <x v="1"/>
    <s v="UNHCR"/>
    <s v="Kachin"/>
    <s v="Bhamo"/>
    <s v="Mu-yin Baptist Church"/>
    <m/>
    <m/>
    <m/>
    <n v="10"/>
    <n v="4"/>
    <n v="10"/>
    <n v="4"/>
    <n v="4"/>
    <n v="4"/>
    <n v="18"/>
    <m/>
    <m/>
    <m/>
    <m/>
    <m/>
    <m/>
    <m/>
    <n v="0"/>
    <n v="0"/>
    <n v="0"/>
    <n v="0"/>
    <n v="0"/>
    <n v="0"/>
    <n v="0"/>
    <n v="0"/>
    <n v="0"/>
    <n v="0"/>
    <n v="0"/>
    <n v="0"/>
    <n v="0"/>
    <n v="0"/>
    <x v="0"/>
    <n v="0"/>
    <n v="0"/>
    <n v="0"/>
    <s v="MMR001CMP051"/>
    <x v="0"/>
    <x v="0"/>
    <x v="0"/>
    <n v="0.2857142857142857"/>
    <s v="No"/>
    <m/>
  </r>
  <r>
    <n v="30"/>
    <d v="2014-05-16T00:00:00"/>
    <x v="5"/>
    <s v="MRCS"/>
    <s v="Kachin"/>
    <s v="Myitkyina"/>
    <s v="Nan Kway St. John Catholic Church"/>
    <m/>
    <m/>
    <m/>
    <m/>
    <m/>
    <m/>
    <m/>
    <m/>
    <m/>
    <m/>
    <m/>
    <m/>
    <m/>
    <n v="142"/>
    <m/>
    <m/>
    <m/>
    <n v="0"/>
    <n v="0"/>
    <n v="0"/>
    <n v="0"/>
    <n v="0"/>
    <n v="0"/>
    <n v="0"/>
    <n v="0"/>
    <n v="0"/>
    <n v="0"/>
    <n v="0"/>
    <n v="0"/>
    <n v="0"/>
    <n v="0"/>
    <x v="2"/>
    <n v="0"/>
    <n v="0"/>
    <n v="0"/>
    <s v="MMR001CMP024"/>
    <x v="0"/>
    <x v="0"/>
    <x v="0"/>
    <n v="0"/>
    <m/>
    <m/>
  </r>
  <r>
    <n v="30"/>
    <d v="2014-05-16T00:00:00"/>
    <x v="1"/>
    <s v="UNHCR"/>
    <s v="Kachin"/>
    <s v="Bhamo"/>
    <s v="Ta Gun Taing Monastery (Shwe Kyi Na)"/>
    <m/>
    <m/>
    <m/>
    <n v="24"/>
    <n v="13"/>
    <n v="24"/>
    <n v="13"/>
    <n v="13"/>
    <n v="13"/>
    <n v="33"/>
    <m/>
    <m/>
    <m/>
    <m/>
    <m/>
    <m/>
    <m/>
    <n v="0"/>
    <n v="0"/>
    <n v="0"/>
    <n v="0"/>
    <n v="0"/>
    <n v="0"/>
    <n v="0"/>
    <n v="0"/>
    <n v="0"/>
    <n v="0"/>
    <n v="0"/>
    <n v="0"/>
    <n v="0"/>
    <n v="0"/>
    <x v="0"/>
    <n v="0"/>
    <n v="0"/>
    <n v="0"/>
    <s v="MMR001CMP055"/>
    <x v="0"/>
    <x v="0"/>
    <x v="0"/>
    <n v="0.61904761904761907"/>
    <s v="No"/>
    <m/>
  </r>
  <r>
    <n v="30.033333333333335"/>
    <d v="2014-05-15T00:00:00"/>
    <x v="1"/>
    <s v="UNHCR"/>
    <s v="Kachin"/>
    <s v="Bhamo"/>
    <s v="AD-2000 Tharthana Compound"/>
    <m/>
    <m/>
    <m/>
    <n v="10"/>
    <n v="4"/>
    <n v="12"/>
    <n v="4"/>
    <n v="4"/>
    <n v="4"/>
    <n v="12"/>
    <m/>
    <m/>
    <m/>
    <m/>
    <m/>
    <m/>
    <m/>
    <n v="0"/>
    <n v="0"/>
    <n v="0"/>
    <n v="0"/>
    <n v="0"/>
    <n v="0"/>
    <n v="0"/>
    <n v="0"/>
    <n v="0"/>
    <n v="0"/>
    <n v="0"/>
    <n v="0"/>
    <n v="0"/>
    <n v="0"/>
    <x v="0"/>
    <n v="0"/>
    <n v="0"/>
    <n v="0"/>
    <s v="MMR001CMP050"/>
    <x v="0"/>
    <x v="0"/>
    <x v="0"/>
    <n v="1.5384615384615385E-2"/>
    <s v="No"/>
    <m/>
  </r>
  <r>
    <n v="30.033333333333335"/>
    <d v="2014-05-15T00:00:00"/>
    <x v="1"/>
    <s v="UNHCR"/>
    <s v="Kachin"/>
    <s v="Mansi"/>
    <s v="Maing Khaung"/>
    <m/>
    <m/>
    <n v="10"/>
    <n v="10"/>
    <n v="5"/>
    <n v="15"/>
    <n v="5"/>
    <n v="5"/>
    <n v="5"/>
    <n v="20"/>
    <m/>
    <m/>
    <m/>
    <m/>
    <m/>
    <m/>
    <m/>
    <n v="0"/>
    <n v="0"/>
    <n v="0"/>
    <n v="0"/>
    <n v="0"/>
    <n v="0"/>
    <n v="0"/>
    <n v="0"/>
    <n v="0"/>
    <n v="0"/>
    <n v="0"/>
    <n v="0"/>
    <n v="0"/>
    <n v="0"/>
    <x v="0"/>
    <n v="0"/>
    <n v="0"/>
    <n v="0"/>
    <s v="MMR001CMP218"/>
    <x v="0"/>
    <x v="0"/>
    <x v="0"/>
    <n v="1.3368983957219251E-2"/>
    <s v="No"/>
    <m/>
  </r>
  <r>
    <n v="30.066666666666666"/>
    <d v="2014-05-14T00:00:00"/>
    <x v="1"/>
    <s v="UNHCR"/>
    <s v="Kachin"/>
    <s v="Bhamo"/>
    <s v="AD-2000 Tharthana Compound"/>
    <m/>
    <m/>
    <n v="11"/>
    <n v="12"/>
    <n v="4"/>
    <n v="12"/>
    <n v="4"/>
    <n v="4"/>
    <n v="4"/>
    <n v="15"/>
    <m/>
    <m/>
    <m/>
    <m/>
    <m/>
    <m/>
    <m/>
    <n v="0"/>
    <n v="0"/>
    <n v="0"/>
    <n v="0"/>
    <n v="0"/>
    <n v="0"/>
    <n v="0"/>
    <n v="0"/>
    <n v="0"/>
    <n v="0"/>
    <n v="0"/>
    <n v="0"/>
    <n v="0"/>
    <n v="0"/>
    <x v="0"/>
    <n v="0"/>
    <n v="0"/>
    <n v="0"/>
    <s v="MMR001CMP050"/>
    <x v="0"/>
    <x v="0"/>
    <x v="0"/>
    <n v="1.5384615384615385E-2"/>
    <s v="No"/>
    <m/>
  </r>
  <r>
    <n v="30.066666666666666"/>
    <d v="2014-05-14T00:00:00"/>
    <x v="1"/>
    <s v="UNHCR"/>
    <s v="Kachin"/>
    <s v="Momauk"/>
    <s v="Momauk Baptist Church"/>
    <m/>
    <m/>
    <n v="5"/>
    <n v="6"/>
    <n v="32"/>
    <n v="6"/>
    <n v="2"/>
    <n v="2"/>
    <n v="2"/>
    <n v="10"/>
    <m/>
    <m/>
    <m/>
    <m/>
    <m/>
    <m/>
    <m/>
    <n v="0"/>
    <n v="0"/>
    <n v="0"/>
    <n v="0"/>
    <n v="0"/>
    <n v="0"/>
    <n v="0"/>
    <n v="0"/>
    <n v="0"/>
    <n v="0"/>
    <n v="0"/>
    <n v="0"/>
    <n v="0"/>
    <n v="0"/>
    <x v="0"/>
    <n v="0"/>
    <n v="0"/>
    <n v="0"/>
    <s v="MMR001CMP056"/>
    <x v="0"/>
    <x v="0"/>
    <x v="0"/>
    <n v="8.8495575221238937E-3"/>
    <s v="No"/>
    <m/>
  </r>
  <r>
    <n v="30.066666666666666"/>
    <d v="2014-05-14T00:00:00"/>
    <x v="1"/>
    <s v="UNHCR"/>
    <s v="Kachin"/>
    <s v="Bhamo"/>
    <s v="Ta Gun Taing Monastery (Shwe Kyi Na)"/>
    <m/>
    <m/>
    <n v="17"/>
    <n v="108"/>
    <n v="36"/>
    <n v="108"/>
    <n v="36"/>
    <n v="36"/>
    <n v="36"/>
    <n v="142"/>
    <m/>
    <m/>
    <m/>
    <m/>
    <m/>
    <m/>
    <m/>
    <n v="0"/>
    <n v="0"/>
    <n v="0"/>
    <n v="0"/>
    <n v="0"/>
    <n v="0"/>
    <n v="0"/>
    <n v="0"/>
    <n v="0"/>
    <n v="0"/>
    <n v="0"/>
    <n v="0"/>
    <n v="0"/>
    <n v="0"/>
    <x v="0"/>
    <n v="0"/>
    <n v="0"/>
    <n v="0"/>
    <s v="MMR001CMP055"/>
    <x v="0"/>
    <x v="0"/>
    <x v="0"/>
    <n v="1.7142857142857142"/>
    <s v="No"/>
    <m/>
  </r>
  <r>
    <n v="30.1"/>
    <d v="2014-05-13T00:00:00"/>
    <x v="5"/>
    <s v="MRCS"/>
    <s v="Kachin"/>
    <s v="Myitkyina"/>
    <s v="Njang Dung Baptist Church "/>
    <m/>
    <m/>
    <m/>
    <m/>
    <m/>
    <m/>
    <m/>
    <m/>
    <m/>
    <m/>
    <m/>
    <m/>
    <m/>
    <n v="112"/>
    <m/>
    <m/>
    <m/>
    <n v="0"/>
    <n v="0"/>
    <n v="0"/>
    <n v="0"/>
    <n v="0"/>
    <n v="0"/>
    <n v="0"/>
    <n v="0"/>
    <n v="0"/>
    <n v="0"/>
    <n v="0"/>
    <n v="0"/>
    <n v="0"/>
    <n v="0"/>
    <x v="2"/>
    <n v="0"/>
    <n v="0"/>
    <n v="0"/>
    <s v="MMR001CMP002"/>
    <x v="0"/>
    <x v="0"/>
    <x v="0"/>
    <n v="0"/>
    <m/>
    <m/>
  </r>
  <r>
    <n v="30.133333333333333"/>
    <d v="2014-05-12T00:00:00"/>
    <x v="5"/>
    <s v="MRCS"/>
    <s v="Kachin"/>
    <s v="Myitkyina"/>
    <s v="Man Hkring Baptist Church"/>
    <m/>
    <m/>
    <m/>
    <m/>
    <m/>
    <m/>
    <m/>
    <m/>
    <m/>
    <m/>
    <m/>
    <m/>
    <m/>
    <n v="184"/>
    <m/>
    <m/>
    <m/>
    <n v="0"/>
    <n v="0"/>
    <n v="0"/>
    <n v="0"/>
    <n v="0"/>
    <n v="0"/>
    <n v="0"/>
    <n v="0"/>
    <n v="0"/>
    <n v="0"/>
    <n v="0"/>
    <n v="0"/>
    <n v="0"/>
    <n v="0"/>
    <x v="2"/>
    <n v="0"/>
    <n v="0"/>
    <n v="0"/>
    <s v="MMR001CMP008"/>
    <x v="0"/>
    <x v="0"/>
    <x v="0"/>
    <n v="0"/>
    <m/>
    <m/>
  </r>
  <r>
    <n v="30.133333333333333"/>
    <d v="2014-05-12T00:00:00"/>
    <x v="1"/>
    <m/>
    <s v="Shan_North"/>
    <s v="Muse"/>
    <s v="Muse Catholic Church"/>
    <m/>
    <m/>
    <m/>
    <n v="68"/>
    <n v="9"/>
    <n v="118"/>
    <n v="9"/>
    <n v="0"/>
    <n v="9"/>
    <n v="45"/>
    <m/>
    <m/>
    <m/>
    <m/>
    <m/>
    <m/>
    <m/>
    <n v="0"/>
    <n v="0"/>
    <n v="0"/>
    <n v="0"/>
    <n v="0"/>
    <n v="0"/>
    <n v="0"/>
    <n v="0"/>
    <n v="0"/>
    <n v="0"/>
    <n v="0"/>
    <n v="0"/>
    <n v="0"/>
    <n v="0"/>
    <x v="0"/>
    <n v="0"/>
    <n v="0"/>
    <n v="0"/>
    <s v="MMR015CMP216"/>
    <x v="1"/>
    <x v="0"/>
    <x v="0"/>
    <n v="0.36"/>
    <m/>
    <s v="Items distributed to other affected people"/>
  </r>
  <r>
    <n v="30.133333333333333"/>
    <d v="2014-05-12T00:00:00"/>
    <x v="1"/>
    <m/>
    <s v="Shan_North"/>
    <s v="Muse"/>
    <s v="Muse Catholic Church"/>
    <m/>
    <m/>
    <m/>
    <n v="82"/>
    <n v="41"/>
    <n v="82"/>
    <n v="41"/>
    <m/>
    <n v="41"/>
    <n v="205"/>
    <m/>
    <m/>
    <m/>
    <m/>
    <m/>
    <m/>
    <m/>
    <n v="0"/>
    <n v="0"/>
    <n v="0"/>
    <n v="0"/>
    <n v="0"/>
    <n v="0"/>
    <n v="0"/>
    <n v="0"/>
    <n v="0"/>
    <n v="0"/>
    <n v="0"/>
    <n v="0"/>
    <n v="0"/>
    <n v="0"/>
    <x v="0"/>
    <n v="0"/>
    <n v="0"/>
    <n v="0"/>
    <s v="MMR015CMP216"/>
    <x v="1"/>
    <x v="0"/>
    <x v="0"/>
    <n v="1.64"/>
    <m/>
    <m/>
  </r>
  <r>
    <n v="30.133333333333333"/>
    <d v="2014-05-12T00:00:00"/>
    <x v="5"/>
    <s v="MRCS"/>
    <s v="Kachin"/>
    <s v="Myitkyina"/>
    <s v="Shwe Zet Baptist Church"/>
    <m/>
    <m/>
    <m/>
    <m/>
    <m/>
    <m/>
    <m/>
    <m/>
    <m/>
    <m/>
    <m/>
    <m/>
    <m/>
    <n v="168"/>
    <m/>
    <m/>
    <m/>
    <n v="0"/>
    <n v="0"/>
    <n v="0"/>
    <n v="0"/>
    <n v="0"/>
    <n v="0"/>
    <n v="0"/>
    <n v="0"/>
    <n v="0"/>
    <n v="0"/>
    <n v="0"/>
    <n v="0"/>
    <n v="0"/>
    <n v="0"/>
    <x v="2"/>
    <n v="0"/>
    <n v="0"/>
    <n v="0"/>
    <s v="MMR001CMP009"/>
    <x v="0"/>
    <x v="0"/>
    <x v="0"/>
    <n v="0"/>
    <m/>
    <m/>
  </r>
  <r>
    <n v="30.166666666666668"/>
    <d v="2014-05-11T00:00:00"/>
    <x v="1"/>
    <m/>
    <s v="Shan_North"/>
    <s v="Muse"/>
    <s v="Muse Baptist Church"/>
    <m/>
    <m/>
    <m/>
    <n v="138"/>
    <n v="19"/>
    <n v="238"/>
    <n v="19"/>
    <n v="0"/>
    <n v="19"/>
    <n v="95"/>
    <m/>
    <m/>
    <m/>
    <m/>
    <m/>
    <m/>
    <m/>
    <n v="0"/>
    <n v="0"/>
    <n v="0"/>
    <n v="0"/>
    <n v="0"/>
    <n v="0"/>
    <n v="0"/>
    <n v="0"/>
    <n v="0"/>
    <n v="0"/>
    <n v="0"/>
    <n v="0"/>
    <n v="0"/>
    <n v="0"/>
    <x v="0"/>
    <n v="0"/>
    <n v="0"/>
    <n v="0"/>
    <s v="MMR015CMP213"/>
    <x v="1"/>
    <x v="0"/>
    <x v="0"/>
    <n v="0.37254901960784315"/>
    <m/>
    <s v="Items distributed to other affected people"/>
  </r>
  <r>
    <n v="30.166666666666668"/>
    <d v="2014-05-11T00:00:00"/>
    <x v="1"/>
    <m/>
    <s v="Shan_North"/>
    <s v="Muse"/>
    <s v="Muse Baptist Church"/>
    <m/>
    <m/>
    <m/>
    <n v="162"/>
    <n v="81"/>
    <n v="162"/>
    <n v="81"/>
    <m/>
    <n v="81"/>
    <n v="405"/>
    <m/>
    <m/>
    <m/>
    <m/>
    <m/>
    <m/>
    <m/>
    <n v="0"/>
    <n v="0"/>
    <n v="0"/>
    <n v="0"/>
    <n v="0"/>
    <n v="0"/>
    <n v="0"/>
    <n v="0"/>
    <n v="0"/>
    <n v="0"/>
    <n v="0"/>
    <n v="0"/>
    <n v="0"/>
    <n v="0"/>
    <x v="0"/>
    <n v="0"/>
    <n v="0"/>
    <n v="0"/>
    <s v="MMR015CMP213"/>
    <x v="1"/>
    <x v="0"/>
    <x v="0"/>
    <n v="1.588235294117647"/>
    <m/>
    <m/>
  </r>
  <r>
    <n v="30.233333333333334"/>
    <d v="2014-05-09T00:00:00"/>
    <x v="5"/>
    <s v="MRCS"/>
    <s v="Kachin"/>
    <s v="Myitkyina"/>
    <s v="Pa Dauk Myaing(Pa La Na)"/>
    <m/>
    <m/>
    <m/>
    <m/>
    <m/>
    <m/>
    <m/>
    <m/>
    <m/>
    <m/>
    <m/>
    <m/>
    <m/>
    <n v="58"/>
    <m/>
    <m/>
    <m/>
    <n v="0"/>
    <n v="0"/>
    <n v="0"/>
    <n v="0"/>
    <n v="0"/>
    <n v="0"/>
    <n v="0"/>
    <n v="0"/>
    <n v="0"/>
    <n v="0"/>
    <n v="0"/>
    <n v="0"/>
    <n v="0"/>
    <n v="0"/>
    <x v="2"/>
    <n v="0"/>
    <n v="0"/>
    <n v="0"/>
    <s v="MMR001CMP162"/>
    <x v="0"/>
    <x v="0"/>
    <x v="0"/>
    <n v="0"/>
    <m/>
    <m/>
  </r>
  <r>
    <n v="30.233333333333334"/>
    <d v="2014-05-09T00:00:00"/>
    <x v="5"/>
    <s v="MRCS"/>
    <s v="Kachin"/>
    <s v="Myitkyina"/>
    <s v="Shatapru Sut Ngai Tawng"/>
    <m/>
    <m/>
    <m/>
    <m/>
    <m/>
    <m/>
    <m/>
    <m/>
    <m/>
    <m/>
    <m/>
    <m/>
    <m/>
    <n v="208"/>
    <m/>
    <m/>
    <m/>
    <n v="0"/>
    <n v="0"/>
    <n v="0"/>
    <n v="0"/>
    <n v="0"/>
    <n v="0"/>
    <n v="0"/>
    <n v="0"/>
    <n v="0"/>
    <n v="0"/>
    <n v="0"/>
    <n v="0"/>
    <n v="0"/>
    <n v="0"/>
    <x v="2"/>
    <n v="0"/>
    <n v="0"/>
    <n v="0"/>
    <s v="MMR001CMP006"/>
    <x v="0"/>
    <x v="0"/>
    <x v="0"/>
    <n v="0"/>
    <m/>
    <m/>
  </r>
  <r>
    <n v="30.833333333333332"/>
    <d v="2014-04-21T00:00:00"/>
    <x v="1"/>
    <s v="UNHCR"/>
    <s v="Kachin"/>
    <s v="Bhamo"/>
    <s v="AD-2000 Tharthana Compound"/>
    <m/>
    <m/>
    <n v="5"/>
    <n v="6"/>
    <n v="2"/>
    <n v="6"/>
    <n v="2"/>
    <n v="2"/>
    <n v="2"/>
    <n v="6"/>
    <m/>
    <m/>
    <m/>
    <m/>
    <m/>
    <m/>
    <m/>
    <n v="0"/>
    <n v="0"/>
    <n v="0"/>
    <n v="0"/>
    <n v="0"/>
    <n v="0"/>
    <n v="0"/>
    <n v="0"/>
    <n v="0"/>
    <n v="0"/>
    <n v="0"/>
    <n v="0"/>
    <n v="0"/>
    <n v="0"/>
    <x v="0"/>
    <n v="0"/>
    <n v="0"/>
    <n v="0"/>
    <s v="MMR001CMP050"/>
    <x v="0"/>
    <x v="0"/>
    <x v="0"/>
    <n v="7.6923076923076927E-3"/>
    <s v="No"/>
    <m/>
  </r>
  <r>
    <n v="30.833333333333332"/>
    <d v="2014-04-21T00:00:00"/>
    <x v="1"/>
    <m/>
    <s v="Kachin"/>
    <s v="Mansi"/>
    <s v="Bum Tsit Pa Camp II"/>
    <m/>
    <m/>
    <m/>
    <n v="800"/>
    <n v="400"/>
    <m/>
    <n v="100"/>
    <m/>
    <n v="400"/>
    <n v="2000"/>
    <m/>
    <m/>
    <m/>
    <m/>
    <m/>
    <m/>
    <m/>
    <n v="0"/>
    <n v="0"/>
    <n v="0"/>
    <n v="0"/>
    <n v="0"/>
    <n v="0"/>
    <n v="0"/>
    <n v="0"/>
    <n v="0"/>
    <n v="0"/>
    <n v="0"/>
    <n v="0"/>
    <n v="0"/>
    <n v="0"/>
    <x v="0"/>
    <n v="0"/>
    <n v="0"/>
    <n v="0"/>
    <s v="MMR001CMP226"/>
    <x v="0"/>
    <x v="2"/>
    <x v="6"/>
    <s v=""/>
    <m/>
    <m/>
  </r>
  <r>
    <n v="30.833333333333332"/>
    <d v="2014-04-21T00:00:00"/>
    <x v="1"/>
    <s v="UNHCR"/>
    <s v="Kachin"/>
    <s v="Mansi"/>
    <s v="Mansi Baptist Church"/>
    <m/>
    <m/>
    <n v="20"/>
    <n v="30"/>
    <n v="13"/>
    <n v="40"/>
    <n v="13"/>
    <n v="13"/>
    <n v="13"/>
    <n v="25"/>
    <m/>
    <m/>
    <m/>
    <m/>
    <m/>
    <m/>
    <m/>
    <n v="0"/>
    <n v="0"/>
    <n v="0"/>
    <n v="0"/>
    <n v="0"/>
    <n v="0"/>
    <n v="0"/>
    <n v="0"/>
    <n v="0"/>
    <n v="0"/>
    <n v="0"/>
    <n v="0"/>
    <n v="0"/>
    <n v="0"/>
    <x v="0"/>
    <n v="0"/>
    <n v="0"/>
    <n v="0"/>
    <s v="MMR001CMP066"/>
    <x v="0"/>
    <x v="0"/>
    <x v="0"/>
    <n v="6.5989847715736044E-2"/>
    <s v="No"/>
    <m/>
  </r>
  <r>
    <n v="30.833333333333332"/>
    <d v="2014-04-21T00:00:00"/>
    <x v="1"/>
    <s v="UNHCR"/>
    <s v="Kachin"/>
    <s v="Momauk"/>
    <s v="Momauk Baptist Church"/>
    <m/>
    <m/>
    <n v="15"/>
    <n v="16"/>
    <n v="50"/>
    <n v="16"/>
    <n v="7"/>
    <n v="7"/>
    <n v="7"/>
    <n v="13"/>
    <m/>
    <m/>
    <m/>
    <m/>
    <m/>
    <m/>
    <m/>
    <n v="0"/>
    <n v="0"/>
    <n v="0"/>
    <n v="0"/>
    <n v="0"/>
    <n v="0"/>
    <n v="0"/>
    <n v="0"/>
    <n v="0"/>
    <n v="0"/>
    <n v="0"/>
    <n v="0"/>
    <n v="0"/>
    <n v="0"/>
    <x v="0"/>
    <n v="0"/>
    <n v="0"/>
    <n v="0"/>
    <s v="MMR001CMP056"/>
    <x v="0"/>
    <x v="0"/>
    <x v="0"/>
    <n v="3.0973451327433628E-2"/>
    <s v="No"/>
    <m/>
  </r>
  <r>
    <n v="30.833333333333332"/>
    <d v="2014-04-21T00:00:00"/>
    <x v="1"/>
    <m/>
    <s v="Shan_North"/>
    <s v="Namhkan"/>
    <s v="Nam Hkam (KBC Jaw Wang) II"/>
    <m/>
    <m/>
    <m/>
    <n v="0"/>
    <n v="1"/>
    <n v="167"/>
    <n v="1"/>
    <n v="0"/>
    <n v="1"/>
    <n v="0"/>
    <m/>
    <m/>
    <m/>
    <m/>
    <m/>
    <m/>
    <m/>
    <n v="0"/>
    <n v="0"/>
    <n v="0"/>
    <n v="0"/>
    <n v="0"/>
    <n v="0"/>
    <n v="0"/>
    <n v="0"/>
    <n v="0"/>
    <n v="0"/>
    <n v="0"/>
    <n v="0"/>
    <n v="0"/>
    <n v="0"/>
    <x v="0"/>
    <n v="0"/>
    <n v="0"/>
    <n v="0"/>
    <s v="MMR015CMP214"/>
    <x v="1"/>
    <x v="0"/>
    <x v="0"/>
    <n v="2.7777777777777776E-2"/>
    <m/>
    <s v="Items distributed to other affected people"/>
  </r>
  <r>
    <n v="30.833333333333332"/>
    <d v="2014-04-21T00:00:00"/>
    <x v="1"/>
    <m/>
    <s v="Shan_North"/>
    <s v="Namhkan"/>
    <s v="Nam Hkam (KBC Jaw Wang) II"/>
    <m/>
    <m/>
    <m/>
    <n v="90"/>
    <n v="49"/>
    <n v="98"/>
    <n v="49"/>
    <m/>
    <n v="49"/>
    <n v="225"/>
    <m/>
    <m/>
    <m/>
    <m/>
    <m/>
    <m/>
    <m/>
    <n v="0"/>
    <n v="0"/>
    <n v="0"/>
    <n v="0"/>
    <n v="0"/>
    <n v="0"/>
    <n v="0"/>
    <n v="0"/>
    <n v="0"/>
    <n v="0"/>
    <n v="0"/>
    <n v="0"/>
    <n v="0"/>
    <n v="0"/>
    <x v="0"/>
    <n v="0"/>
    <n v="0"/>
    <n v="0"/>
    <s v="MMR015CMP214"/>
    <x v="1"/>
    <x v="0"/>
    <x v="0"/>
    <n v="1.3611111111111112"/>
    <m/>
    <m/>
  </r>
  <r>
    <n v="30.866666666666667"/>
    <d v="2014-04-20T00:00:00"/>
    <x v="1"/>
    <m/>
    <s v="Kachin"/>
    <s v="Mansi"/>
    <s v="Man Wing Baptist Church"/>
    <m/>
    <m/>
    <m/>
    <n v="220"/>
    <n v="110"/>
    <n v="1000"/>
    <n v="110"/>
    <m/>
    <n v="110"/>
    <n v="550"/>
    <m/>
    <m/>
    <m/>
    <m/>
    <m/>
    <m/>
    <m/>
    <n v="0"/>
    <n v="0"/>
    <n v="0"/>
    <n v="0"/>
    <n v="0"/>
    <n v="0"/>
    <n v="0"/>
    <n v="0"/>
    <n v="0"/>
    <n v="0"/>
    <n v="0"/>
    <n v="0"/>
    <n v="0"/>
    <n v="0"/>
    <x v="0"/>
    <n v="0"/>
    <n v="0"/>
    <n v="0"/>
    <s v="MMR001CMP133"/>
    <x v="0"/>
    <x v="0"/>
    <x v="0"/>
    <n v="1.02803738317757"/>
    <m/>
    <m/>
  </r>
  <r>
    <n v="30.9"/>
    <d v="2014-04-19T00:00:00"/>
    <x v="1"/>
    <m/>
    <s v="Kachin"/>
    <s v="Mansi"/>
    <s v="Man Wing Catholic Church"/>
    <m/>
    <m/>
    <m/>
    <n v="400"/>
    <n v="190"/>
    <n v="870"/>
    <n v="190"/>
    <m/>
    <n v="190"/>
    <n v="1000"/>
    <m/>
    <m/>
    <m/>
    <m/>
    <m/>
    <m/>
    <m/>
    <n v="0"/>
    <n v="0"/>
    <n v="0"/>
    <n v="0"/>
    <n v="0"/>
    <n v="0"/>
    <n v="0"/>
    <n v="0"/>
    <n v="0"/>
    <n v="0"/>
    <n v="0"/>
    <n v="0"/>
    <n v="0"/>
    <n v="0"/>
    <x v="0"/>
    <n v="0"/>
    <n v="0"/>
    <n v="0"/>
    <s v="MMR001CMP132"/>
    <x v="0"/>
    <x v="0"/>
    <x v="0"/>
    <n v="0.43181818181818182"/>
    <m/>
    <m/>
  </r>
  <r>
    <n v="30.966666666666665"/>
    <d v="2014-04-17T00:00:00"/>
    <x v="1"/>
    <s v="UNHCR"/>
    <s v="Kachin"/>
    <s v="Momauk"/>
    <s v="Momauk Baptist Church"/>
    <m/>
    <m/>
    <m/>
    <n v="8"/>
    <n v="4"/>
    <n v="12"/>
    <n v="4"/>
    <n v="4"/>
    <n v="4"/>
    <n v="41"/>
    <m/>
    <m/>
    <m/>
    <m/>
    <m/>
    <m/>
    <m/>
    <n v="0"/>
    <n v="0"/>
    <n v="0"/>
    <n v="0"/>
    <n v="0"/>
    <n v="0"/>
    <n v="0"/>
    <n v="0"/>
    <n v="0"/>
    <n v="0"/>
    <n v="0"/>
    <n v="0"/>
    <n v="0"/>
    <n v="0"/>
    <x v="0"/>
    <n v="0"/>
    <n v="0"/>
    <n v="0"/>
    <s v="MMR001CMP056"/>
    <x v="0"/>
    <x v="0"/>
    <x v="0"/>
    <n v="1.7699115044247787E-2"/>
    <s v="No"/>
    <m/>
  </r>
  <r>
    <n v="31.066666666666666"/>
    <d v="2014-04-14T00:00:00"/>
    <x v="1"/>
    <s v="UNHCR"/>
    <s v="Kachin"/>
    <s v="Momauk"/>
    <s v="Momauk Baptist Church"/>
    <m/>
    <m/>
    <m/>
    <n v="10"/>
    <n v="5"/>
    <n v="15"/>
    <n v="5"/>
    <n v="5"/>
    <n v="5"/>
    <m/>
    <m/>
    <m/>
    <m/>
    <m/>
    <m/>
    <m/>
    <m/>
    <n v="0"/>
    <n v="0"/>
    <n v="0"/>
    <n v="0"/>
    <n v="0"/>
    <n v="0"/>
    <n v="0"/>
    <n v="0"/>
    <n v="0"/>
    <n v="0"/>
    <n v="0"/>
    <n v="0"/>
    <n v="0"/>
    <n v="0"/>
    <x v="0"/>
    <n v="0"/>
    <n v="0"/>
    <n v="0"/>
    <s v="MMR001CMP056"/>
    <x v="0"/>
    <x v="0"/>
    <x v="0"/>
    <n v="2.2123893805309734E-2"/>
    <s v="No"/>
    <m/>
  </r>
  <r>
    <n v="31.233333333333334"/>
    <d v="2014-04-09T00:00:00"/>
    <x v="5"/>
    <s v="MRCS"/>
    <s v="Kachin"/>
    <s v="Bhamo"/>
    <s v="Ta Gun Taing Monastery (Shwe Kyi Na)"/>
    <m/>
    <m/>
    <m/>
    <m/>
    <m/>
    <m/>
    <m/>
    <m/>
    <m/>
    <m/>
    <m/>
    <m/>
    <m/>
    <n v="122"/>
    <m/>
    <m/>
    <m/>
    <n v="0"/>
    <n v="0"/>
    <n v="0"/>
    <n v="0"/>
    <n v="0"/>
    <n v="0"/>
    <n v="0"/>
    <n v="0"/>
    <n v="0"/>
    <n v="0"/>
    <n v="0"/>
    <n v="0"/>
    <n v="0"/>
    <n v="0"/>
    <x v="2"/>
    <n v="0"/>
    <n v="0"/>
    <n v="0"/>
    <s v="MMR001CMP055"/>
    <x v="0"/>
    <x v="0"/>
    <x v="0"/>
    <n v="0"/>
    <m/>
    <m/>
  </r>
  <r>
    <n v="31.233333333333334"/>
    <d v="2014-04-09T00:00:00"/>
    <x v="5"/>
    <s v="MRCS"/>
    <s v="Kachin"/>
    <s v="Bhamo"/>
    <s v="Yoe Kyi Monastery"/>
    <m/>
    <m/>
    <m/>
    <m/>
    <m/>
    <m/>
    <m/>
    <m/>
    <m/>
    <m/>
    <m/>
    <m/>
    <m/>
    <n v="42"/>
    <m/>
    <m/>
    <m/>
    <n v="0"/>
    <n v="0"/>
    <n v="0"/>
    <n v="0"/>
    <n v="0"/>
    <n v="0"/>
    <n v="0"/>
    <n v="0"/>
    <n v="0"/>
    <n v="0"/>
    <n v="0"/>
    <n v="0"/>
    <n v="0"/>
    <n v="0"/>
    <x v="2"/>
    <n v="0"/>
    <n v="0"/>
    <n v="0"/>
    <s v="MMR001CMP053"/>
    <x v="0"/>
    <x v="0"/>
    <x v="0"/>
    <n v="0"/>
    <m/>
    <m/>
  </r>
  <r>
    <n v="31.266666666666666"/>
    <d v="2014-04-08T00:00:00"/>
    <x v="5"/>
    <s v="MRCS"/>
    <s v="Kachin"/>
    <s v="Bhamo"/>
    <s v="Htoi San Church"/>
    <m/>
    <m/>
    <m/>
    <m/>
    <m/>
    <m/>
    <m/>
    <m/>
    <m/>
    <m/>
    <m/>
    <m/>
    <m/>
    <n v="90"/>
    <m/>
    <m/>
    <m/>
    <n v="0"/>
    <n v="0"/>
    <n v="0"/>
    <n v="0"/>
    <n v="0"/>
    <n v="0"/>
    <n v="0"/>
    <n v="0"/>
    <n v="0"/>
    <n v="0"/>
    <n v="0"/>
    <n v="0"/>
    <n v="0"/>
    <n v="0"/>
    <x v="2"/>
    <n v="0"/>
    <n v="0"/>
    <n v="0"/>
    <s v="MMR001CMP052"/>
    <x v="0"/>
    <x v="0"/>
    <x v="0"/>
    <n v="0"/>
    <m/>
    <m/>
  </r>
  <r>
    <n v="31.266666666666666"/>
    <d v="2014-04-08T00:00:00"/>
    <x v="5"/>
    <s v="MRCS"/>
    <s v="Kachin"/>
    <s v="Momauk"/>
    <s v="Mandalay Monestry"/>
    <m/>
    <m/>
    <m/>
    <m/>
    <m/>
    <m/>
    <m/>
    <m/>
    <m/>
    <m/>
    <m/>
    <m/>
    <m/>
    <n v="10"/>
    <m/>
    <m/>
    <m/>
    <n v="0"/>
    <n v="0"/>
    <n v="0"/>
    <n v="0"/>
    <n v="0"/>
    <n v="0"/>
    <n v="0"/>
    <n v="0"/>
    <n v="0"/>
    <n v="0"/>
    <n v="0"/>
    <n v="0"/>
    <n v="0"/>
    <n v="0"/>
    <x v="2"/>
    <n v="0"/>
    <n v="0"/>
    <n v="0"/>
    <s v="MMR001CMP058"/>
    <x v="0"/>
    <x v="2"/>
    <x v="0"/>
    <s v=""/>
    <m/>
    <m/>
  </r>
  <r>
    <n v="31.266666666666666"/>
    <d v="2014-04-08T00:00:00"/>
    <x v="5"/>
    <s v="MRCS"/>
    <s v="Kachin"/>
    <s v="Momauk"/>
    <s v="Ni Thaw Ka Monestry"/>
    <m/>
    <m/>
    <m/>
    <m/>
    <m/>
    <m/>
    <m/>
    <m/>
    <m/>
    <m/>
    <m/>
    <m/>
    <m/>
    <n v="46"/>
    <m/>
    <m/>
    <m/>
    <n v="0"/>
    <n v="0"/>
    <n v="0"/>
    <n v="0"/>
    <n v="0"/>
    <n v="0"/>
    <n v="0"/>
    <n v="0"/>
    <n v="0"/>
    <n v="0"/>
    <n v="0"/>
    <n v="0"/>
    <n v="0"/>
    <n v="0"/>
    <x v="2"/>
    <n v="0"/>
    <n v="0"/>
    <n v="0"/>
    <s v="MMR001CMP059"/>
    <x v="0"/>
    <x v="2"/>
    <x v="0"/>
    <s v=""/>
    <m/>
    <m/>
  </r>
  <r>
    <n v="31.266666666666666"/>
    <d v="2014-04-08T00:00:00"/>
    <x v="5"/>
    <s v="MRCS"/>
    <s v="Kachin"/>
    <s v="Bhamo"/>
    <s v="Phan Khar Kone"/>
    <m/>
    <m/>
    <m/>
    <m/>
    <m/>
    <m/>
    <m/>
    <m/>
    <m/>
    <m/>
    <m/>
    <m/>
    <m/>
    <n v="372"/>
    <m/>
    <m/>
    <m/>
    <n v="0"/>
    <n v="0"/>
    <n v="0"/>
    <n v="0"/>
    <n v="0"/>
    <n v="0"/>
    <n v="0"/>
    <n v="0"/>
    <n v="0"/>
    <n v="0"/>
    <n v="0"/>
    <n v="0"/>
    <n v="0"/>
    <n v="0"/>
    <x v="2"/>
    <n v="0"/>
    <n v="0"/>
    <n v="0"/>
    <s v="MMR001CMP193"/>
    <x v="0"/>
    <x v="0"/>
    <x v="0"/>
    <n v="0"/>
    <m/>
    <m/>
  </r>
  <r>
    <n v="31.3"/>
    <d v="2014-04-07T00:00:00"/>
    <x v="5"/>
    <s v="MRCS"/>
    <s v="Kachin"/>
    <s v="Mansi"/>
    <s v="Host Families"/>
    <m/>
    <m/>
    <m/>
    <m/>
    <m/>
    <m/>
    <m/>
    <m/>
    <m/>
    <m/>
    <m/>
    <m/>
    <m/>
    <n v="558"/>
    <m/>
    <m/>
    <m/>
    <n v="0"/>
    <n v="0"/>
    <n v="0"/>
    <n v="0"/>
    <n v="0"/>
    <n v="0"/>
    <n v="0"/>
    <n v="0"/>
    <n v="0"/>
    <n v="0"/>
    <n v="0"/>
    <n v="0"/>
    <n v="0"/>
    <n v="0"/>
    <x v="2"/>
    <n v="0"/>
    <n v="0"/>
    <n v="0"/>
    <s v="MMR001CMP163"/>
    <x v="0"/>
    <x v="0"/>
    <x v="0"/>
    <n v="0"/>
    <m/>
    <m/>
  </r>
  <r>
    <n v="31.3"/>
    <d v="2014-04-07T00:00:00"/>
    <x v="5"/>
    <s v="MRCS"/>
    <s v="Kachin"/>
    <s v="Mansi"/>
    <s v="Maing Khaung"/>
    <m/>
    <m/>
    <m/>
    <m/>
    <m/>
    <m/>
    <m/>
    <m/>
    <m/>
    <m/>
    <m/>
    <m/>
    <m/>
    <n v="478"/>
    <m/>
    <m/>
    <m/>
    <n v="0"/>
    <n v="0"/>
    <n v="0"/>
    <n v="0"/>
    <n v="0"/>
    <n v="0"/>
    <n v="0"/>
    <n v="0"/>
    <n v="0"/>
    <n v="0"/>
    <n v="0"/>
    <n v="0"/>
    <n v="0"/>
    <n v="0"/>
    <x v="2"/>
    <n v="0"/>
    <n v="0"/>
    <n v="0"/>
    <s v="MMR001CMP218"/>
    <x v="0"/>
    <x v="0"/>
    <x v="0"/>
    <n v="0"/>
    <m/>
    <m/>
  </r>
  <r>
    <n v="31.3"/>
    <d v="2014-04-07T00:00:00"/>
    <x v="5"/>
    <s v="MRCS"/>
    <s v="Kachin"/>
    <s v="Mansi"/>
    <s v="Maing Khaung Catholic Church"/>
    <m/>
    <m/>
    <m/>
    <m/>
    <m/>
    <m/>
    <m/>
    <m/>
    <m/>
    <m/>
    <m/>
    <m/>
    <m/>
    <n v="158"/>
    <m/>
    <m/>
    <m/>
    <n v="0"/>
    <n v="0"/>
    <n v="0"/>
    <n v="0"/>
    <n v="0"/>
    <n v="0"/>
    <n v="0"/>
    <n v="0"/>
    <n v="0"/>
    <n v="0"/>
    <n v="0"/>
    <n v="0"/>
    <n v="0"/>
    <n v="0"/>
    <x v="2"/>
    <n v="0"/>
    <n v="0"/>
    <n v="0"/>
    <s v="MMR001CMP223"/>
    <x v="0"/>
    <x v="0"/>
    <x v="0"/>
    <n v="0"/>
    <m/>
    <m/>
  </r>
  <r>
    <n v="31.3"/>
    <d v="2014-04-07T00:00:00"/>
    <x v="5"/>
    <s v="MRCS"/>
    <s v="Kachin"/>
    <s v="Mansi"/>
    <s v="Mansi Baptist Church"/>
    <m/>
    <m/>
    <m/>
    <m/>
    <m/>
    <m/>
    <m/>
    <m/>
    <m/>
    <m/>
    <m/>
    <m/>
    <m/>
    <n v="262"/>
    <m/>
    <m/>
    <m/>
    <n v="0"/>
    <n v="0"/>
    <n v="0"/>
    <n v="0"/>
    <n v="0"/>
    <n v="0"/>
    <n v="0"/>
    <n v="0"/>
    <n v="0"/>
    <n v="0"/>
    <n v="0"/>
    <n v="0"/>
    <n v="0"/>
    <n v="0"/>
    <x v="2"/>
    <n v="0"/>
    <n v="0"/>
    <n v="0"/>
    <s v="MMR001CMP066"/>
    <x v="0"/>
    <x v="0"/>
    <x v="0"/>
    <n v="0"/>
    <m/>
    <m/>
  </r>
  <r>
    <n v="31.333333333333332"/>
    <d v="2014-04-06T00:00:00"/>
    <x v="5"/>
    <s v="MRCS"/>
    <s v="Kachin"/>
    <s v="Hpakant"/>
    <s v="Baptist Church, Naung Hmee VT"/>
    <m/>
    <m/>
    <m/>
    <m/>
    <m/>
    <m/>
    <m/>
    <m/>
    <m/>
    <m/>
    <m/>
    <m/>
    <m/>
    <n v="30"/>
    <m/>
    <m/>
    <m/>
    <n v="0"/>
    <n v="0"/>
    <n v="0"/>
    <n v="0"/>
    <n v="0"/>
    <n v="0"/>
    <n v="0"/>
    <n v="0"/>
    <n v="0"/>
    <n v="0"/>
    <n v="0"/>
    <n v="0"/>
    <n v="0"/>
    <n v="0"/>
    <x v="2"/>
    <n v="0"/>
    <n v="0"/>
    <n v="0"/>
    <s v="MMR001CMP188"/>
    <x v="0"/>
    <x v="2"/>
    <x v="0"/>
    <s v=""/>
    <m/>
    <m/>
  </r>
  <r>
    <n v="31.366666666666667"/>
    <d v="2014-04-05T00:00:00"/>
    <x v="5"/>
    <s v="MRCS"/>
    <s v="Kachin"/>
    <s v="Hpakant"/>
    <s v="Hlaing Naung Baptist"/>
    <m/>
    <m/>
    <m/>
    <m/>
    <m/>
    <m/>
    <m/>
    <m/>
    <m/>
    <m/>
    <m/>
    <m/>
    <m/>
    <n v="44"/>
    <m/>
    <m/>
    <m/>
    <n v="0"/>
    <n v="0"/>
    <n v="0"/>
    <n v="0"/>
    <n v="0"/>
    <n v="0"/>
    <n v="0"/>
    <n v="0"/>
    <n v="0"/>
    <n v="0"/>
    <n v="0"/>
    <n v="0"/>
    <n v="0"/>
    <n v="0"/>
    <x v="2"/>
    <n v="0"/>
    <n v="0"/>
    <n v="0"/>
    <s v="MMR001CMP148"/>
    <x v="0"/>
    <x v="0"/>
    <x v="0"/>
    <n v="0"/>
    <m/>
    <m/>
  </r>
  <r>
    <n v="31.466666666666665"/>
    <d v="2014-04-02T00:00:00"/>
    <x v="1"/>
    <s v="UNHCR"/>
    <s v="Kachin"/>
    <s v="Bhamo"/>
    <s v="Mu-yin Baptist Church"/>
    <m/>
    <m/>
    <m/>
    <m/>
    <n v="1"/>
    <n v="3"/>
    <n v="2"/>
    <m/>
    <n v="3"/>
    <m/>
    <m/>
    <m/>
    <m/>
    <m/>
    <m/>
    <m/>
    <m/>
    <n v="0"/>
    <n v="0"/>
    <n v="0"/>
    <n v="0"/>
    <n v="0"/>
    <n v="0"/>
    <n v="0"/>
    <n v="0"/>
    <n v="0"/>
    <n v="0"/>
    <n v="0"/>
    <n v="0"/>
    <n v="0"/>
    <n v="0"/>
    <x v="0"/>
    <n v="0"/>
    <n v="0"/>
    <n v="0"/>
    <s v="MMR001CMP051"/>
    <x v="0"/>
    <x v="0"/>
    <x v="0"/>
    <n v="0.14285714285714285"/>
    <s v="No"/>
    <m/>
  </r>
  <r>
    <n v="32.666666666666664"/>
    <d v="2014-02-25T00:00:00"/>
    <x v="5"/>
    <s v="MRCS"/>
    <s v="Kachin"/>
    <s v="Mogaung"/>
    <s v="Kyun Taw Baptist Church "/>
    <m/>
    <m/>
    <m/>
    <m/>
    <m/>
    <m/>
    <m/>
    <m/>
    <m/>
    <m/>
    <m/>
    <m/>
    <m/>
    <n v="26"/>
    <m/>
    <m/>
    <m/>
    <n v="0"/>
    <n v="0"/>
    <n v="0"/>
    <n v="0"/>
    <n v="0"/>
    <n v="0"/>
    <n v="0"/>
    <n v="0"/>
    <n v="0"/>
    <n v="0"/>
    <n v="0"/>
    <n v="0"/>
    <n v="0"/>
    <n v="0"/>
    <x v="2"/>
    <n v="0"/>
    <n v="0"/>
    <n v="0"/>
    <s v="MMR001CMP078"/>
    <x v="0"/>
    <x v="0"/>
    <x v="0"/>
    <n v="0"/>
    <m/>
    <m/>
  </r>
  <r>
    <n v="32.666666666666664"/>
    <d v="2014-02-25T00:00:00"/>
    <x v="5"/>
    <s v="MRCS"/>
    <s v="Kachin"/>
    <s v="Mogaung"/>
    <s v="Mang Hawng Baptist Church"/>
    <m/>
    <m/>
    <m/>
    <m/>
    <m/>
    <m/>
    <m/>
    <m/>
    <m/>
    <m/>
    <m/>
    <m/>
    <m/>
    <n v="26"/>
    <m/>
    <m/>
    <m/>
    <n v="0"/>
    <n v="0"/>
    <n v="0"/>
    <n v="0"/>
    <n v="0"/>
    <n v="0"/>
    <n v="0"/>
    <n v="0"/>
    <n v="0"/>
    <n v="0"/>
    <n v="0"/>
    <n v="0"/>
    <n v="0"/>
    <n v="0"/>
    <x v="2"/>
    <n v="0"/>
    <n v="0"/>
    <n v="0"/>
    <s v="MMR001CMP077"/>
    <x v="0"/>
    <x v="0"/>
    <x v="0"/>
    <n v="0"/>
    <m/>
    <m/>
  </r>
  <r>
    <n v="32.666666666666664"/>
    <d v="2014-02-25T00:00:00"/>
    <x v="5"/>
    <s v="MRCS"/>
    <s v="Kachin"/>
    <s v="Mogaung"/>
    <s v="Nat Gyi Kone Baptist Church "/>
    <m/>
    <m/>
    <m/>
    <m/>
    <m/>
    <m/>
    <m/>
    <m/>
    <m/>
    <m/>
    <m/>
    <m/>
    <m/>
    <n v="28"/>
    <m/>
    <m/>
    <m/>
    <n v="0"/>
    <n v="0"/>
    <n v="0"/>
    <n v="0"/>
    <n v="0"/>
    <n v="0"/>
    <n v="0"/>
    <n v="0"/>
    <n v="0"/>
    <n v="0"/>
    <n v="0"/>
    <n v="0"/>
    <n v="0"/>
    <n v="0"/>
    <x v="2"/>
    <n v="0"/>
    <n v="0"/>
    <n v="0"/>
    <s v="MMR001CMP079"/>
    <x v="0"/>
    <x v="0"/>
    <x v="0"/>
    <n v="0"/>
    <m/>
    <m/>
  </r>
  <r>
    <n v="32.733333333333334"/>
    <d v="2014-02-23T00:00:00"/>
    <x v="5"/>
    <s v="MRCS"/>
    <s v="Kachin"/>
    <s v="Chipwi"/>
    <s v="Chipwi KBC camp"/>
    <m/>
    <m/>
    <m/>
    <m/>
    <m/>
    <m/>
    <m/>
    <m/>
    <m/>
    <m/>
    <m/>
    <m/>
    <m/>
    <n v="222"/>
    <m/>
    <m/>
    <m/>
    <n v="0"/>
    <n v="0"/>
    <n v="0"/>
    <n v="0"/>
    <n v="0"/>
    <n v="0"/>
    <n v="0"/>
    <n v="0"/>
    <n v="0"/>
    <n v="0"/>
    <n v="0"/>
    <n v="0"/>
    <n v="0"/>
    <n v="0"/>
    <x v="2"/>
    <n v="0"/>
    <n v="0"/>
    <n v="0"/>
    <s v="MMR001CMP042"/>
    <x v="0"/>
    <x v="0"/>
    <x v="5"/>
    <n v="0"/>
    <m/>
    <m/>
  </r>
  <r>
    <n v="32.733333333333334"/>
    <d v="2014-02-23T00:00:00"/>
    <x v="5"/>
    <s v="MRCS"/>
    <s v="Kachin"/>
    <s v="Chipwi"/>
    <s v="Lhaovao Baptist Church (LBC)"/>
    <m/>
    <m/>
    <m/>
    <m/>
    <m/>
    <m/>
    <m/>
    <m/>
    <m/>
    <m/>
    <m/>
    <m/>
    <m/>
    <n v="278"/>
    <m/>
    <m/>
    <m/>
    <n v="0"/>
    <n v="0"/>
    <n v="0"/>
    <n v="0"/>
    <n v="0"/>
    <n v="0"/>
    <n v="0"/>
    <n v="0"/>
    <n v="0"/>
    <n v="0"/>
    <n v="0"/>
    <n v="0"/>
    <n v="0"/>
    <n v="0"/>
    <x v="2"/>
    <n v="0"/>
    <n v="0"/>
    <n v="0"/>
    <s v="MMR001CMP195"/>
    <x v="0"/>
    <x v="0"/>
    <x v="5"/>
    <n v="0"/>
    <m/>
    <m/>
  </r>
  <r>
    <n v="32.733333333333334"/>
    <d v="2014-02-23T00:00:00"/>
    <x v="5"/>
    <s v="MRCS"/>
    <s v="Kachin"/>
    <s v="Momauk"/>
    <s v="Seng Ja "/>
    <m/>
    <m/>
    <m/>
    <m/>
    <m/>
    <m/>
    <m/>
    <m/>
    <m/>
    <m/>
    <m/>
    <m/>
    <m/>
    <n v="376"/>
    <m/>
    <m/>
    <m/>
    <n v="0"/>
    <n v="0"/>
    <n v="0"/>
    <n v="0"/>
    <n v="0"/>
    <n v="0"/>
    <n v="0"/>
    <n v="0"/>
    <n v="0"/>
    <n v="0"/>
    <n v="0"/>
    <n v="0"/>
    <n v="0"/>
    <n v="0"/>
    <x v="2"/>
    <n v="0"/>
    <n v="0"/>
    <n v="0"/>
    <s v="MMR001CMP073"/>
    <x v="0"/>
    <x v="0"/>
    <x v="1"/>
    <n v="0"/>
    <m/>
    <m/>
  </r>
  <r>
    <n v="32.766666666666666"/>
    <d v="2014-02-22T00:00:00"/>
    <x v="5"/>
    <s v="MRCS"/>
    <s v="Kachin"/>
    <s v="Chipwi"/>
    <s v="Pan Wa"/>
    <m/>
    <m/>
    <m/>
    <m/>
    <m/>
    <m/>
    <m/>
    <m/>
    <m/>
    <m/>
    <m/>
    <m/>
    <m/>
    <n v="126"/>
    <m/>
    <m/>
    <m/>
    <n v="0"/>
    <n v="0"/>
    <n v="0"/>
    <n v="0"/>
    <n v="0"/>
    <n v="0"/>
    <n v="0"/>
    <n v="0"/>
    <n v="0"/>
    <n v="0"/>
    <n v="0"/>
    <n v="0"/>
    <n v="0"/>
    <n v="0"/>
    <x v="2"/>
    <n v="0"/>
    <n v="0"/>
    <n v="0"/>
    <s v="MMR001CMP210"/>
    <x v="0"/>
    <x v="0"/>
    <x v="5"/>
    <n v="0"/>
    <m/>
    <m/>
  </r>
  <r>
    <n v="32.766666666666666"/>
    <d v="2014-02-22T00:00:00"/>
    <x v="5"/>
    <s v="MRCS"/>
    <s v="Kachin"/>
    <s v="Chipwi"/>
    <s v="Saw Zam"/>
    <m/>
    <m/>
    <m/>
    <m/>
    <m/>
    <m/>
    <m/>
    <m/>
    <m/>
    <m/>
    <m/>
    <m/>
    <m/>
    <n v="58"/>
    <m/>
    <m/>
    <m/>
    <n v="0"/>
    <n v="0"/>
    <n v="0"/>
    <n v="0"/>
    <n v="0"/>
    <n v="0"/>
    <n v="0"/>
    <n v="0"/>
    <n v="0"/>
    <n v="0"/>
    <n v="0"/>
    <n v="0"/>
    <n v="0"/>
    <n v="0"/>
    <x v="2"/>
    <n v="0"/>
    <n v="0"/>
    <n v="0"/>
    <s v="MMR001CMP225"/>
    <x v="0"/>
    <x v="0"/>
    <x v="5"/>
    <n v="0"/>
    <m/>
    <m/>
  </r>
  <r>
    <n v="32.766666666666666"/>
    <d v="2014-02-22T00:00:00"/>
    <x v="5"/>
    <s v="MRCS"/>
    <s v="Kachin"/>
    <s v="Sumprabum"/>
    <s v="Sumprabum"/>
    <m/>
    <m/>
    <m/>
    <m/>
    <m/>
    <m/>
    <m/>
    <m/>
    <m/>
    <m/>
    <m/>
    <m/>
    <m/>
    <n v="16"/>
    <m/>
    <m/>
    <m/>
    <n v="0"/>
    <n v="0"/>
    <n v="0"/>
    <n v="0"/>
    <n v="0"/>
    <n v="0"/>
    <n v="0"/>
    <n v="0"/>
    <n v="0"/>
    <n v="0"/>
    <n v="0"/>
    <n v="0"/>
    <n v="0"/>
    <n v="0"/>
    <x v="2"/>
    <n v="0"/>
    <n v="0"/>
    <n v="0"/>
    <s v="MMR001CMP206"/>
    <x v="0"/>
    <x v="0"/>
    <x v="0"/>
    <n v="0"/>
    <m/>
    <m/>
  </r>
  <r>
    <n v="33.56666666666667"/>
    <d v="2014-01-29T00:00:00"/>
    <x v="1"/>
    <s v="UNHCR"/>
    <s v="Kachin"/>
    <s v="Mansi"/>
    <s v="Maing Khaung"/>
    <m/>
    <m/>
    <m/>
    <n v="100"/>
    <n v="58"/>
    <n v="100"/>
    <n v="58"/>
    <m/>
    <n v="58"/>
    <n v="290"/>
    <m/>
    <m/>
    <m/>
    <m/>
    <m/>
    <m/>
    <m/>
    <n v="0"/>
    <n v="0"/>
    <n v="0"/>
    <n v="0"/>
    <n v="0"/>
    <n v="0"/>
    <n v="0"/>
    <n v="0"/>
    <n v="0"/>
    <n v="0"/>
    <n v="0"/>
    <n v="0"/>
    <n v="0"/>
    <n v="0"/>
    <x v="0"/>
    <n v="0"/>
    <n v="0"/>
    <n v="0"/>
    <s v="MMR001CMP218"/>
    <x v="0"/>
    <x v="0"/>
    <x v="0"/>
    <n v="0.15508021390374332"/>
    <s v="No"/>
    <m/>
  </r>
  <r>
    <n v="33.6"/>
    <d v="2014-01-28T00:00:00"/>
    <x v="1"/>
    <m/>
    <s v="Kachin"/>
    <s v="Mansi"/>
    <s v="Maing Khaung Catholic Church"/>
    <m/>
    <m/>
    <m/>
    <n v="18"/>
    <n v="10"/>
    <n v="18"/>
    <n v="40"/>
    <m/>
    <n v="10"/>
    <n v="50"/>
    <m/>
    <m/>
    <m/>
    <m/>
    <m/>
    <m/>
    <m/>
    <n v="0"/>
    <n v="0"/>
    <n v="0"/>
    <n v="0"/>
    <n v="0"/>
    <n v="0"/>
    <n v="0"/>
    <n v="0"/>
    <n v="0"/>
    <n v="0"/>
    <n v="0"/>
    <n v="0"/>
    <n v="0"/>
    <n v="0"/>
    <x v="0"/>
    <n v="0"/>
    <n v="0"/>
    <n v="0"/>
    <s v="MMR001CMP223"/>
    <x v="0"/>
    <x v="0"/>
    <x v="0"/>
    <n v="0.2857142857142857"/>
    <m/>
    <m/>
  </r>
  <r>
    <n v="33.633333333333333"/>
    <d v="2014-01-27T00:00:00"/>
    <x v="4"/>
    <s v="KBC"/>
    <s v="Kachin"/>
    <s v="Waingmaw"/>
    <s v="Hkau Shau (BP 12)"/>
    <m/>
    <m/>
    <m/>
    <m/>
    <m/>
    <n v="181"/>
    <n v="181"/>
    <n v="181"/>
    <m/>
    <n v="181"/>
    <m/>
    <m/>
    <m/>
    <m/>
    <m/>
    <m/>
    <m/>
    <n v="0"/>
    <n v="0"/>
    <n v="0"/>
    <n v="0"/>
    <n v="0"/>
    <n v="0"/>
    <n v="0"/>
    <n v="0"/>
    <n v="0"/>
    <n v="0"/>
    <n v="0"/>
    <n v="0"/>
    <n v="0"/>
    <n v="0"/>
    <x v="0"/>
    <n v="0"/>
    <n v="0"/>
    <n v="0"/>
    <s v="MMR001CMP115"/>
    <x v="0"/>
    <x v="0"/>
    <x v="5"/>
    <n v="1.222972972972973"/>
    <s v="No"/>
    <m/>
  </r>
  <r>
    <n v="33.633333333333333"/>
    <d v="2014-01-27T00:00:00"/>
    <x v="4"/>
    <s v="KBC"/>
    <s v="Kachin"/>
    <s v="Chipwi"/>
    <s v="Hpare Hkyer - BP6"/>
    <m/>
    <m/>
    <m/>
    <m/>
    <m/>
    <n v="155"/>
    <n v="155"/>
    <n v="155"/>
    <m/>
    <n v="155"/>
    <m/>
    <m/>
    <m/>
    <m/>
    <m/>
    <m/>
    <m/>
    <n v="0"/>
    <n v="0"/>
    <n v="0"/>
    <n v="0"/>
    <n v="0"/>
    <n v="0"/>
    <n v="0"/>
    <n v="0"/>
    <n v="0"/>
    <n v="0"/>
    <n v="0"/>
    <n v="0"/>
    <n v="0"/>
    <n v="0"/>
    <x v="0"/>
    <n v="0"/>
    <n v="0"/>
    <n v="0"/>
    <s v="MMR001CMP043"/>
    <x v="0"/>
    <x v="0"/>
    <x v="5"/>
    <n v="0.99358974358974361"/>
    <s v="No"/>
    <m/>
  </r>
  <r>
    <n v="33.700000000000003"/>
    <d v="2014-01-25T00:00:00"/>
    <x v="1"/>
    <s v="UNHCR"/>
    <s v="Kachin"/>
    <s v="Momauk"/>
    <s v="Dum Bung "/>
    <m/>
    <m/>
    <m/>
    <n v="62"/>
    <n v="31"/>
    <n v="62"/>
    <n v="31"/>
    <m/>
    <n v="31"/>
    <n v="155"/>
    <m/>
    <m/>
    <m/>
    <m/>
    <m/>
    <m/>
    <m/>
    <n v="0"/>
    <n v="0"/>
    <n v="0"/>
    <n v="0"/>
    <n v="0"/>
    <n v="0"/>
    <n v="0"/>
    <n v="0"/>
    <n v="0"/>
    <n v="0"/>
    <n v="0"/>
    <n v="0"/>
    <n v="0"/>
    <n v="0"/>
    <x v="0"/>
    <n v="0"/>
    <n v="0"/>
    <n v="0"/>
    <s v="MMR001CMP123"/>
    <x v="0"/>
    <x v="0"/>
    <x v="6"/>
    <n v="0.28440366972477066"/>
    <s v="No"/>
    <m/>
  </r>
  <r>
    <n v="33.700000000000003"/>
    <d v="2014-01-25T00:00:00"/>
    <x v="4"/>
    <s v="KBC"/>
    <s v="Kachin"/>
    <s v="Waingmaw"/>
    <s v="Pajau - Jan Mai"/>
    <m/>
    <m/>
    <m/>
    <m/>
    <m/>
    <n v="191"/>
    <n v="191"/>
    <n v="191"/>
    <m/>
    <n v="191"/>
    <m/>
    <m/>
    <m/>
    <m/>
    <m/>
    <m/>
    <m/>
    <n v="0"/>
    <n v="0"/>
    <n v="0"/>
    <n v="0"/>
    <n v="0"/>
    <n v="0"/>
    <n v="0"/>
    <n v="0"/>
    <n v="0"/>
    <n v="0"/>
    <n v="0"/>
    <n v="0"/>
    <n v="0"/>
    <n v="0"/>
    <x v="0"/>
    <n v="0"/>
    <n v="0"/>
    <n v="0"/>
    <s v="MMR001CMP120"/>
    <x v="0"/>
    <x v="0"/>
    <x v="5"/>
    <n v="1.0611111111111111"/>
    <s v="No"/>
    <m/>
  </r>
  <r>
    <n v="33.700000000000003"/>
    <d v="2014-01-25T00:00:00"/>
    <x v="4"/>
    <s v="KBC"/>
    <s v="Kachin"/>
    <s v="Waingmaw"/>
    <s v="Shing Jai"/>
    <m/>
    <m/>
    <m/>
    <m/>
    <m/>
    <n v="198"/>
    <n v="198"/>
    <n v="198"/>
    <m/>
    <n v="198"/>
    <m/>
    <m/>
    <m/>
    <m/>
    <m/>
    <m/>
    <m/>
    <n v="0"/>
    <n v="0"/>
    <n v="0"/>
    <n v="0"/>
    <n v="0"/>
    <n v="0"/>
    <n v="0"/>
    <n v="0"/>
    <n v="0"/>
    <n v="0"/>
    <n v="0"/>
    <n v="0"/>
    <n v="0"/>
    <n v="0"/>
    <x v="0"/>
    <n v="0"/>
    <n v="0"/>
    <n v="0"/>
    <s v="MMR001CMP041"/>
    <x v="0"/>
    <x v="0"/>
    <x v="5"/>
    <n v="1.1061452513966481"/>
    <s v="No"/>
    <m/>
  </r>
  <r>
    <n v="33.700000000000003"/>
    <d v="2014-01-25T00:00:00"/>
    <x v="4"/>
    <s v="KBC"/>
    <s v="Kachin"/>
    <s v="Waingmaw"/>
    <s v="Zai Awng - Mung Ga Zup"/>
    <m/>
    <m/>
    <m/>
    <m/>
    <m/>
    <n v="646"/>
    <n v="646"/>
    <n v="646"/>
    <m/>
    <n v="646"/>
    <m/>
    <m/>
    <m/>
    <m/>
    <m/>
    <m/>
    <m/>
    <n v="0"/>
    <n v="0"/>
    <n v="0"/>
    <n v="0"/>
    <n v="0"/>
    <n v="0"/>
    <n v="0"/>
    <n v="0"/>
    <n v="0"/>
    <n v="0"/>
    <n v="0"/>
    <n v="0"/>
    <n v="0"/>
    <n v="0"/>
    <x v="0"/>
    <n v="0"/>
    <n v="0"/>
    <n v="0"/>
    <s v="MMR001CMP111"/>
    <x v="0"/>
    <x v="0"/>
    <x v="6"/>
    <n v="1.0695364238410596"/>
    <s v="No"/>
    <m/>
  </r>
  <r>
    <n v="33.733333333333334"/>
    <d v="2014-01-24T00:00:00"/>
    <x v="6"/>
    <m/>
    <s v="Kachin"/>
    <s v="Mansi"/>
    <s v="Bum Tsit Pa "/>
    <m/>
    <m/>
    <m/>
    <m/>
    <m/>
    <m/>
    <m/>
    <m/>
    <m/>
    <m/>
    <m/>
    <n v="838"/>
    <m/>
    <m/>
    <m/>
    <m/>
    <m/>
    <n v="0"/>
    <n v="0"/>
    <n v="0"/>
    <n v="0"/>
    <n v="0"/>
    <n v="0"/>
    <n v="0"/>
    <n v="0"/>
    <n v="0"/>
    <n v="0"/>
    <n v="0"/>
    <n v="0"/>
    <n v="0"/>
    <n v="0"/>
    <x v="2"/>
    <n v="0"/>
    <n v="0"/>
    <n v="0"/>
    <s v="MMR001CMP129"/>
    <x v="0"/>
    <x v="0"/>
    <x v="6"/>
    <n v="0"/>
    <s v="No"/>
    <m/>
  </r>
  <r>
    <n v="33.733333333333334"/>
    <d v="2014-01-24T00:00:00"/>
    <x v="1"/>
    <s v="UNHCR"/>
    <s v="Kachin"/>
    <s v="Momauk"/>
    <s v="Pa Kahtawng "/>
    <m/>
    <m/>
    <m/>
    <n v="60"/>
    <n v="30"/>
    <n v="60"/>
    <n v="30"/>
    <m/>
    <n v="30"/>
    <n v="150"/>
    <m/>
    <m/>
    <m/>
    <m/>
    <m/>
    <m/>
    <m/>
    <n v="0"/>
    <n v="0"/>
    <n v="0"/>
    <n v="0"/>
    <n v="0"/>
    <n v="0"/>
    <n v="0"/>
    <n v="0"/>
    <n v="0"/>
    <n v="0"/>
    <n v="0"/>
    <n v="0"/>
    <n v="0"/>
    <n v="0"/>
    <x v="0"/>
    <n v="0"/>
    <n v="0"/>
    <n v="0"/>
    <s v="MMR001CMP126"/>
    <x v="0"/>
    <x v="0"/>
    <x v="6"/>
    <n v="4.4843049327354258E-2"/>
    <s v="No"/>
    <m/>
  </r>
  <r>
    <n v="33.866666666666667"/>
    <d v="2014-01-20T00:00:00"/>
    <x v="3"/>
    <s v="MRCS"/>
    <s v="Kachin"/>
    <s v="Machanbaw"/>
    <s v="Machanbaw - KBC"/>
    <m/>
    <m/>
    <m/>
    <n v="8"/>
    <n v="16"/>
    <n v="16"/>
    <n v="8"/>
    <m/>
    <m/>
    <m/>
    <n v="19"/>
    <n v="9"/>
    <m/>
    <m/>
    <m/>
    <m/>
    <m/>
    <n v="0"/>
    <n v="0"/>
    <n v="0"/>
    <n v="0"/>
    <n v="0"/>
    <n v="0"/>
    <n v="0"/>
    <n v="0"/>
    <n v="0"/>
    <n v="0"/>
    <n v="0"/>
    <n v="0"/>
    <n v="0"/>
    <n v="0"/>
    <x v="2"/>
    <n v="0"/>
    <n v="0"/>
    <n v="0"/>
    <s v="MMR001CMP221"/>
    <x v="0"/>
    <x v="2"/>
    <x v="1"/>
    <s v=""/>
    <m/>
    <m/>
  </r>
  <r>
    <n v="33.866666666666667"/>
    <d v="2014-01-20T00:00:00"/>
    <x v="6"/>
    <s v="KMSS"/>
    <s v="Kachin"/>
    <s v="Waingmaw"/>
    <s v="Maga Yang "/>
    <m/>
    <m/>
    <m/>
    <m/>
    <m/>
    <m/>
    <m/>
    <m/>
    <m/>
    <m/>
    <n v="1497"/>
    <n v="925"/>
    <m/>
    <m/>
    <m/>
    <m/>
    <m/>
    <n v="0"/>
    <n v="0"/>
    <n v="0"/>
    <n v="0"/>
    <n v="0"/>
    <n v="0"/>
    <n v="0"/>
    <n v="0"/>
    <n v="0"/>
    <n v="0"/>
    <n v="0"/>
    <n v="0"/>
    <n v="0"/>
    <n v="0"/>
    <x v="2"/>
    <n v="0"/>
    <n v="0"/>
    <n v="0"/>
    <s v="MMR001CMP119"/>
    <x v="0"/>
    <x v="0"/>
    <x v="6"/>
    <n v="0"/>
    <s v="No"/>
    <m/>
  </r>
  <r>
    <n v="33.866666666666667"/>
    <d v="2014-01-20T00:00:00"/>
    <x v="3"/>
    <s v="MRCS"/>
    <s v="Kachin"/>
    <s v="Puta-O"/>
    <s v="Naung Khaing"/>
    <m/>
    <m/>
    <m/>
    <n v="17"/>
    <n v="34"/>
    <n v="34"/>
    <n v="17"/>
    <m/>
    <m/>
    <m/>
    <n v="31"/>
    <n v="28"/>
    <m/>
    <m/>
    <m/>
    <m/>
    <m/>
    <n v="0"/>
    <n v="0"/>
    <n v="0"/>
    <n v="0"/>
    <n v="0"/>
    <n v="0"/>
    <n v="0"/>
    <n v="0"/>
    <n v="0"/>
    <n v="0"/>
    <n v="0"/>
    <n v="0"/>
    <n v="0"/>
    <n v="0"/>
    <x v="2"/>
    <n v="0"/>
    <n v="0"/>
    <n v="0"/>
    <s v="MMR001CMP220"/>
    <x v="0"/>
    <x v="2"/>
    <x v="1"/>
    <s v=""/>
    <m/>
    <m/>
  </r>
  <r>
    <n v="33.866666666666667"/>
    <d v="2014-01-20T00:00:00"/>
    <x v="6"/>
    <s v="KMSS"/>
    <s v="Kachin"/>
    <s v="Waingmaw"/>
    <s v="Post 6 Camp"/>
    <m/>
    <m/>
    <m/>
    <m/>
    <m/>
    <m/>
    <m/>
    <n v="127"/>
    <m/>
    <m/>
    <m/>
    <m/>
    <m/>
    <m/>
    <m/>
    <m/>
    <m/>
    <n v="0"/>
    <n v="0"/>
    <n v="0"/>
    <n v="0"/>
    <n v="0"/>
    <n v="0"/>
    <n v="0"/>
    <n v="0"/>
    <n v="0"/>
    <n v="0"/>
    <n v="0"/>
    <n v="0"/>
    <n v="0"/>
    <n v="0"/>
    <x v="0"/>
    <n v="0"/>
    <n v="0"/>
    <n v="0"/>
    <s v="MMR001CMP160"/>
    <x v="0"/>
    <x v="0"/>
    <x v="5"/>
    <n v="0"/>
    <s v="No"/>
    <m/>
  </r>
  <r>
    <n v="33.866666666666667"/>
    <d v="2014-01-20T00:00:00"/>
    <x v="6"/>
    <s v="KMSS"/>
    <s v="Kachin"/>
    <s v="Waingmaw"/>
    <s v="Post 6 Camp"/>
    <m/>
    <m/>
    <m/>
    <m/>
    <m/>
    <m/>
    <m/>
    <m/>
    <m/>
    <m/>
    <n v="443"/>
    <n v="218"/>
    <m/>
    <m/>
    <m/>
    <m/>
    <m/>
    <n v="0"/>
    <n v="0"/>
    <n v="0"/>
    <n v="0"/>
    <n v="0"/>
    <n v="0"/>
    <n v="0"/>
    <n v="0"/>
    <n v="0"/>
    <n v="0"/>
    <n v="0"/>
    <n v="0"/>
    <n v="0"/>
    <n v="0"/>
    <x v="2"/>
    <n v="0"/>
    <n v="0"/>
    <n v="0"/>
    <s v="MMR001CMP160"/>
    <x v="0"/>
    <x v="0"/>
    <x v="5"/>
    <n v="0"/>
    <s v="No"/>
    <m/>
  </r>
  <r>
    <n v="33.866666666666667"/>
    <d v="2014-01-20T00:00:00"/>
    <x v="3"/>
    <s v="MRCS"/>
    <s v="Kachin"/>
    <s v="Puta-O"/>
    <s v="Tote Tan Ward"/>
    <m/>
    <m/>
    <m/>
    <n v="18"/>
    <n v="36"/>
    <n v="36"/>
    <n v="18"/>
    <m/>
    <m/>
    <m/>
    <n v="53"/>
    <n v="42"/>
    <m/>
    <m/>
    <m/>
    <m/>
    <m/>
    <n v="0"/>
    <n v="0"/>
    <n v="0"/>
    <n v="0"/>
    <n v="0"/>
    <n v="0"/>
    <n v="0"/>
    <n v="0"/>
    <n v="0"/>
    <n v="0"/>
    <n v="0"/>
    <n v="0"/>
    <n v="0"/>
    <n v="0"/>
    <x v="2"/>
    <n v="0"/>
    <n v="0"/>
    <n v="0"/>
    <s v="MMR001CMP075"/>
    <x v="0"/>
    <x v="0"/>
    <x v="1"/>
    <n v="1.2857142857142858"/>
    <m/>
    <m/>
  </r>
  <r>
    <n v="34"/>
    <d v="2014-01-16T00:00:00"/>
    <x v="1"/>
    <s v="UNHCR"/>
    <s v="Kachin"/>
    <s v="Mansi"/>
    <s v="Bum Tsit Pa "/>
    <m/>
    <m/>
    <m/>
    <n v="45"/>
    <n v="30"/>
    <n v="45"/>
    <n v="30"/>
    <m/>
    <n v="30"/>
    <n v="150"/>
    <m/>
    <m/>
    <m/>
    <m/>
    <m/>
    <m/>
    <m/>
    <n v="0"/>
    <n v="0"/>
    <n v="0"/>
    <n v="0"/>
    <n v="0"/>
    <n v="0"/>
    <n v="0"/>
    <n v="0"/>
    <n v="0"/>
    <n v="0"/>
    <n v="0"/>
    <n v="0"/>
    <n v="0"/>
    <n v="0"/>
    <x v="0"/>
    <n v="0"/>
    <n v="0"/>
    <n v="0"/>
    <s v="MMR001CMP129"/>
    <x v="0"/>
    <x v="0"/>
    <x v="6"/>
    <n v="6.8181818181818177E-2"/>
    <s v="No"/>
    <m/>
  </r>
  <r>
    <n v="34"/>
    <d v="2014-01-16T00:00:00"/>
    <x v="6"/>
    <s v="KMSS"/>
    <s v="Kachin"/>
    <s v="Waingmaw"/>
    <s v="Maga Yang "/>
    <m/>
    <m/>
    <m/>
    <m/>
    <m/>
    <m/>
    <m/>
    <n v="600"/>
    <m/>
    <m/>
    <m/>
    <m/>
    <m/>
    <m/>
    <m/>
    <m/>
    <m/>
    <n v="0"/>
    <n v="0"/>
    <n v="0"/>
    <n v="0"/>
    <n v="0"/>
    <n v="0"/>
    <n v="0"/>
    <n v="0"/>
    <n v="0"/>
    <n v="0"/>
    <n v="0"/>
    <n v="0"/>
    <n v="0"/>
    <n v="0"/>
    <x v="0"/>
    <n v="0"/>
    <n v="0"/>
    <n v="0"/>
    <s v="MMR001CMP119"/>
    <x v="0"/>
    <x v="0"/>
    <x v="6"/>
    <n v="0"/>
    <s v="No"/>
    <m/>
  </r>
  <r>
    <n v="34.06666666666667"/>
    <d v="2014-01-14T00:00:00"/>
    <x v="6"/>
    <s v="KMSS"/>
    <s v="Kachin"/>
    <s v="Waingmaw"/>
    <s v="Border Post 8"/>
    <m/>
    <m/>
    <m/>
    <m/>
    <m/>
    <m/>
    <m/>
    <n v="180"/>
    <m/>
    <m/>
    <m/>
    <m/>
    <m/>
    <m/>
    <m/>
    <m/>
    <m/>
    <n v="0"/>
    <n v="0"/>
    <n v="0"/>
    <n v="0"/>
    <n v="0"/>
    <n v="0"/>
    <n v="0"/>
    <n v="0"/>
    <n v="0"/>
    <n v="0"/>
    <n v="0"/>
    <n v="0"/>
    <n v="0"/>
    <n v="0"/>
    <x v="0"/>
    <n v="0"/>
    <n v="0"/>
    <n v="0"/>
    <s v="MMR001CMP113"/>
    <x v="0"/>
    <x v="0"/>
    <x v="5"/>
    <n v="0"/>
    <s v="No"/>
    <m/>
  </r>
  <r>
    <n v="34.06666666666667"/>
    <d v="2014-01-14T00:00:00"/>
    <x v="6"/>
    <s v="KMSS"/>
    <s v="Kachin"/>
    <s v="Waingmaw"/>
    <s v="Border Post 8"/>
    <m/>
    <m/>
    <m/>
    <m/>
    <m/>
    <m/>
    <m/>
    <m/>
    <m/>
    <m/>
    <n v="501"/>
    <n v="335"/>
    <m/>
    <m/>
    <m/>
    <m/>
    <m/>
    <n v="0"/>
    <n v="0"/>
    <n v="0"/>
    <n v="0"/>
    <n v="0"/>
    <n v="0"/>
    <n v="0"/>
    <n v="0"/>
    <n v="0"/>
    <n v="0"/>
    <n v="0"/>
    <n v="0"/>
    <n v="0"/>
    <n v="0"/>
    <x v="2"/>
    <n v="0"/>
    <n v="0"/>
    <n v="0"/>
    <s v="MMR001CMP113"/>
    <x v="0"/>
    <x v="0"/>
    <x v="5"/>
    <n v="0"/>
    <s v="No"/>
    <m/>
  </r>
  <r>
    <n v="34.06666666666667"/>
    <d v="2014-01-14T00:00:00"/>
    <x v="1"/>
    <s v="UNHCR"/>
    <s v="Kachin"/>
    <s v="Mansi"/>
    <s v="Lana Zup Ja "/>
    <m/>
    <m/>
    <m/>
    <n v="140"/>
    <n v="70"/>
    <n v="140"/>
    <n v="70"/>
    <m/>
    <n v="70"/>
    <n v="350"/>
    <m/>
    <m/>
    <m/>
    <m/>
    <m/>
    <m/>
    <m/>
    <n v="0"/>
    <n v="0"/>
    <n v="0"/>
    <n v="0"/>
    <n v="0"/>
    <n v="0"/>
    <n v="0"/>
    <n v="0"/>
    <n v="0"/>
    <n v="0"/>
    <n v="0"/>
    <n v="0"/>
    <n v="0"/>
    <n v="0"/>
    <x v="0"/>
    <n v="0"/>
    <n v="0"/>
    <n v="0"/>
    <s v="MMR001CMP128"/>
    <x v="0"/>
    <x v="0"/>
    <x v="6"/>
    <n v="0.12820512820512819"/>
    <s v="No"/>
    <m/>
  </r>
  <r>
    <n v="34.133333333333333"/>
    <d v="2014-01-12T00:00:00"/>
    <x v="6"/>
    <s v="KMSS"/>
    <s v="Kachin"/>
    <s v="Momauk"/>
    <s v="Dum Bung "/>
    <m/>
    <m/>
    <m/>
    <m/>
    <m/>
    <m/>
    <m/>
    <n v="125"/>
    <m/>
    <m/>
    <m/>
    <m/>
    <m/>
    <m/>
    <m/>
    <m/>
    <m/>
    <n v="0"/>
    <n v="0"/>
    <n v="0"/>
    <n v="0"/>
    <n v="0"/>
    <n v="0"/>
    <n v="0"/>
    <n v="0"/>
    <n v="0"/>
    <n v="0"/>
    <n v="0"/>
    <n v="0"/>
    <n v="0"/>
    <n v="0"/>
    <x v="0"/>
    <n v="0"/>
    <n v="0"/>
    <n v="0"/>
    <s v="MMR001CMP123"/>
    <x v="0"/>
    <x v="0"/>
    <x v="6"/>
    <n v="0"/>
    <s v="No"/>
    <m/>
  </r>
  <r>
    <n v="34.133333333333333"/>
    <d v="2014-01-12T00:00:00"/>
    <x v="6"/>
    <s v="KMSS"/>
    <s v="Kachin"/>
    <s v="Momauk"/>
    <s v="Dum Bung "/>
    <m/>
    <m/>
    <m/>
    <m/>
    <m/>
    <m/>
    <m/>
    <m/>
    <m/>
    <m/>
    <n v="393"/>
    <n v="232"/>
    <m/>
    <m/>
    <m/>
    <m/>
    <m/>
    <n v="0"/>
    <n v="0"/>
    <n v="0"/>
    <n v="0"/>
    <n v="0"/>
    <n v="0"/>
    <n v="0"/>
    <n v="0"/>
    <n v="0"/>
    <n v="0"/>
    <n v="0"/>
    <n v="0"/>
    <n v="0"/>
    <n v="0"/>
    <x v="2"/>
    <n v="0"/>
    <n v="0"/>
    <n v="0"/>
    <s v="MMR001CMP123"/>
    <x v="0"/>
    <x v="0"/>
    <x v="6"/>
    <n v="0"/>
    <s v="No"/>
    <m/>
  </r>
  <r>
    <n v="34.166666666666664"/>
    <d v="2014-01-11T00:00:00"/>
    <x v="1"/>
    <m/>
    <s v="Kachin"/>
    <s v="Bhamo"/>
    <s v="Phan Khar Kone"/>
    <m/>
    <m/>
    <m/>
    <m/>
    <n v="10"/>
    <m/>
    <m/>
    <m/>
    <m/>
    <m/>
    <m/>
    <m/>
    <m/>
    <m/>
    <m/>
    <m/>
    <m/>
    <n v="0"/>
    <n v="0"/>
    <n v="0"/>
    <n v="0"/>
    <n v="0"/>
    <n v="0"/>
    <n v="0"/>
    <n v="0"/>
    <n v="0"/>
    <n v="0"/>
    <n v="0"/>
    <n v="0"/>
    <n v="0"/>
    <n v="0"/>
    <x v="0"/>
    <n v="0"/>
    <n v="0"/>
    <n v="0"/>
    <s v="MMR001CMP193"/>
    <x v="0"/>
    <x v="0"/>
    <x v="0"/>
    <n v="0"/>
    <m/>
    <m/>
  </r>
  <r>
    <n v="34.233333333333334"/>
    <d v="2014-01-09T00:00:00"/>
    <x v="0"/>
    <s v="KBC"/>
    <s v="Kachin"/>
    <s v="Mansi"/>
    <s v="IDPs scattered in South Mansi"/>
    <m/>
    <m/>
    <m/>
    <m/>
    <m/>
    <m/>
    <m/>
    <m/>
    <m/>
    <m/>
    <n v="142"/>
    <n v="284"/>
    <n v="852"/>
    <n v="426"/>
    <m/>
    <m/>
    <m/>
    <n v="0"/>
    <n v="0"/>
    <n v="0"/>
    <n v="0"/>
    <n v="0"/>
    <n v="0"/>
    <n v="0"/>
    <n v="0"/>
    <n v="0"/>
    <n v="0"/>
    <n v="0"/>
    <n v="0"/>
    <n v="0"/>
    <n v="0"/>
    <x v="2"/>
    <n v="0"/>
    <n v="0"/>
    <n v="0"/>
    <s v="MMR001CMP217"/>
    <x v="0"/>
    <x v="2"/>
    <x v="4"/>
    <s v=""/>
    <m/>
    <m/>
  </r>
  <r>
    <n v="34.299999999999997"/>
    <d v="2014-01-07T00:00:00"/>
    <x v="1"/>
    <s v="UNHCR"/>
    <s v="Kachin"/>
    <s v="Bhamo"/>
    <s v="Robert Church"/>
    <m/>
    <m/>
    <m/>
    <n v="44"/>
    <n v="30"/>
    <n v="44"/>
    <n v="20"/>
    <n v="20"/>
    <m/>
    <m/>
    <m/>
    <m/>
    <m/>
    <m/>
    <m/>
    <m/>
    <m/>
    <n v="0"/>
    <n v="0"/>
    <n v="0"/>
    <n v="0"/>
    <n v="0"/>
    <n v="0"/>
    <n v="0"/>
    <n v="0"/>
    <n v="0"/>
    <n v="0"/>
    <n v="0"/>
    <n v="0"/>
    <n v="0"/>
    <n v="0"/>
    <x v="0"/>
    <n v="0"/>
    <n v="0"/>
    <n v="0"/>
    <s v="MMR001CMP047"/>
    <x v="0"/>
    <x v="0"/>
    <x v="0"/>
    <n v="3.1948881789137379E-2"/>
    <s v="No"/>
    <m/>
  </r>
  <r>
    <n v="34.5"/>
    <d v="2014-01-01T00:00:00"/>
    <x v="7"/>
    <s v="MRCS"/>
    <s v="Kachin"/>
    <s v="Mogaung"/>
    <s v="Mang Hawng Baptist Church"/>
    <m/>
    <m/>
    <m/>
    <m/>
    <m/>
    <m/>
    <n v="14"/>
    <m/>
    <m/>
    <m/>
    <m/>
    <m/>
    <m/>
    <m/>
    <m/>
    <m/>
    <m/>
    <n v="0"/>
    <n v="0"/>
    <n v="0"/>
    <n v="0"/>
    <n v="0"/>
    <n v="0"/>
    <n v="0"/>
    <n v="0"/>
    <n v="0"/>
    <n v="0"/>
    <n v="0"/>
    <n v="0"/>
    <n v="0"/>
    <n v="0"/>
    <x v="0"/>
    <n v="0"/>
    <n v="0"/>
    <n v="0"/>
    <s v="MMR001CMP077"/>
    <x v="0"/>
    <x v="0"/>
    <x v="0"/>
    <n v="0.93333333333333335"/>
    <s v="No"/>
    <m/>
  </r>
  <r>
    <n v="34.5"/>
    <d v="2014-01-01T00:00:00"/>
    <x v="7"/>
    <s v="MRCS"/>
    <s v="Kachin"/>
    <s v="Mohnyin"/>
    <s v="Nant Mun"/>
    <m/>
    <m/>
    <m/>
    <m/>
    <m/>
    <m/>
    <n v="12"/>
    <m/>
    <m/>
    <m/>
    <m/>
    <m/>
    <m/>
    <m/>
    <m/>
    <m/>
    <m/>
    <n v="0"/>
    <n v="0"/>
    <n v="0"/>
    <n v="0"/>
    <n v="0"/>
    <n v="0"/>
    <n v="0"/>
    <n v="0"/>
    <n v="0"/>
    <n v="0"/>
    <n v="0"/>
    <n v="0"/>
    <n v="0"/>
    <n v="0"/>
    <x v="0"/>
    <n v="0"/>
    <n v="0"/>
    <n v="0"/>
    <s v="MMR001CMP081"/>
    <x v="0"/>
    <x v="2"/>
    <x v="0"/>
    <s v=""/>
    <s v="No"/>
    <m/>
  </r>
  <r>
    <n v="34.5"/>
    <d v="2014-01-01T00:00:00"/>
    <x v="7"/>
    <s v="MRCS"/>
    <s v="Kachin"/>
    <s v="Mogaung"/>
    <s v="Nat Gyi Kone Baptist Church "/>
    <m/>
    <m/>
    <m/>
    <m/>
    <m/>
    <m/>
    <n v="13"/>
    <m/>
    <m/>
    <m/>
    <m/>
    <m/>
    <m/>
    <m/>
    <m/>
    <m/>
    <m/>
    <n v="0"/>
    <n v="0"/>
    <n v="0"/>
    <n v="0"/>
    <n v="0"/>
    <n v="0"/>
    <n v="0"/>
    <n v="0"/>
    <n v="0"/>
    <n v="0"/>
    <n v="0"/>
    <n v="0"/>
    <n v="0"/>
    <n v="0"/>
    <x v="0"/>
    <n v="0"/>
    <n v="0"/>
    <n v="0"/>
    <s v="MMR001CMP079"/>
    <x v="0"/>
    <x v="0"/>
    <x v="0"/>
    <n v="1.0833333333333333"/>
    <s v="No"/>
    <m/>
  </r>
  <r>
    <n v="34.5"/>
    <d v="2014-01-01T00:00:00"/>
    <x v="7"/>
    <s v="MRCS"/>
    <s v="Kachin"/>
    <s v="Chipwi"/>
    <s v="Pan Wa"/>
    <m/>
    <m/>
    <m/>
    <m/>
    <m/>
    <m/>
    <n v="92"/>
    <m/>
    <m/>
    <m/>
    <m/>
    <m/>
    <m/>
    <m/>
    <m/>
    <m/>
    <m/>
    <n v="0"/>
    <n v="0"/>
    <n v="0"/>
    <n v="0"/>
    <n v="0"/>
    <n v="0"/>
    <n v="0"/>
    <n v="0"/>
    <n v="0"/>
    <n v="0"/>
    <n v="0"/>
    <n v="0"/>
    <n v="0"/>
    <n v="0"/>
    <x v="0"/>
    <n v="0"/>
    <n v="0"/>
    <n v="0"/>
    <s v="MMR001CMP210"/>
    <x v="0"/>
    <x v="0"/>
    <x v="5"/>
    <n v="1.5081967213114753"/>
    <s v="No"/>
    <m/>
  </r>
  <r>
    <n v="34.799999999999997"/>
    <d v="2013-12-23T00:00:00"/>
    <x v="1"/>
    <s v="UNHCR"/>
    <s v="Kachin"/>
    <s v="Bhamo"/>
    <s v="AD-2000 Tharthana Compound"/>
    <m/>
    <m/>
    <n v="10"/>
    <n v="10"/>
    <n v="7"/>
    <n v="10"/>
    <n v="7"/>
    <n v="7"/>
    <m/>
    <m/>
    <m/>
    <m/>
    <m/>
    <m/>
    <m/>
    <m/>
    <m/>
    <n v="0"/>
    <n v="0"/>
    <n v="0"/>
    <n v="0"/>
    <n v="0"/>
    <n v="0"/>
    <n v="0"/>
    <n v="0"/>
    <n v="0"/>
    <n v="0"/>
    <n v="0"/>
    <n v="0"/>
    <n v="0"/>
    <n v="0"/>
    <x v="0"/>
    <n v="0"/>
    <n v="0"/>
    <n v="0"/>
    <s v="MMR001CMP050"/>
    <x v="0"/>
    <x v="0"/>
    <x v="0"/>
    <n v="2.6923076923076925E-2"/>
    <s v="No"/>
    <m/>
  </r>
  <r>
    <n v="34.799999999999997"/>
    <d v="2013-12-23T00:00:00"/>
    <x v="0"/>
    <s v="KBC"/>
    <s v="Kachin"/>
    <s v="Waingmaw"/>
    <s v="IDP Boarding School, A Len Bum"/>
    <m/>
    <m/>
    <m/>
    <m/>
    <m/>
    <m/>
    <m/>
    <m/>
    <m/>
    <m/>
    <n v="2"/>
    <n v="111"/>
    <n v="226"/>
    <n v="113"/>
    <m/>
    <m/>
    <m/>
    <n v="0"/>
    <n v="0"/>
    <n v="0"/>
    <n v="0"/>
    <n v="0"/>
    <n v="0"/>
    <n v="0"/>
    <n v="0"/>
    <n v="0"/>
    <n v="0"/>
    <n v="0"/>
    <n v="0"/>
    <n v="0"/>
    <n v="0"/>
    <x v="2"/>
    <n v="0"/>
    <n v="0"/>
    <n v="0"/>
    <s v="MMR001CMP208"/>
    <x v="0"/>
    <x v="0"/>
    <x v="6"/>
    <s v=""/>
    <m/>
    <m/>
  </r>
  <r>
    <n v="34.799999999999997"/>
    <d v="2013-12-23T00:00:00"/>
    <x v="0"/>
    <s v="KBC"/>
    <s v="Kachin"/>
    <s v="Waingmaw"/>
    <s v="Qtr. 2 Lhaovo Baptist Church"/>
    <m/>
    <m/>
    <m/>
    <m/>
    <m/>
    <m/>
    <m/>
    <m/>
    <m/>
    <m/>
    <n v="59"/>
    <n v="196"/>
    <n v="510"/>
    <n v="255"/>
    <m/>
    <m/>
    <m/>
    <n v="0"/>
    <n v="0"/>
    <n v="0"/>
    <n v="0"/>
    <n v="0"/>
    <n v="0"/>
    <n v="0"/>
    <n v="0"/>
    <n v="0"/>
    <n v="0"/>
    <n v="0"/>
    <n v="0"/>
    <n v="0"/>
    <n v="0"/>
    <x v="2"/>
    <n v="0"/>
    <n v="0"/>
    <n v="0"/>
    <s v="MMR001CMP032"/>
    <x v="0"/>
    <x v="0"/>
    <x v="0"/>
    <n v="0"/>
    <m/>
    <m/>
  </r>
  <r>
    <n v="34.866666666666667"/>
    <d v="2013-12-21T00:00:00"/>
    <x v="0"/>
    <s v="KBC"/>
    <s v="Kachin"/>
    <s v="Waingmaw"/>
    <s v="Thargaya Lisu Baptist Church"/>
    <m/>
    <m/>
    <m/>
    <m/>
    <m/>
    <m/>
    <m/>
    <m/>
    <m/>
    <m/>
    <n v="75"/>
    <n v="139"/>
    <n v="428"/>
    <n v="214"/>
    <m/>
    <m/>
    <m/>
    <n v="0"/>
    <n v="0"/>
    <n v="0"/>
    <n v="0"/>
    <n v="0"/>
    <n v="0"/>
    <n v="0"/>
    <n v="0"/>
    <n v="0"/>
    <n v="0"/>
    <n v="0"/>
    <n v="0"/>
    <n v="0"/>
    <n v="0"/>
    <x v="2"/>
    <n v="0"/>
    <n v="0"/>
    <n v="0"/>
    <s v="MMR001CMP037"/>
    <x v="0"/>
    <x v="0"/>
    <x v="0"/>
    <n v="0"/>
    <m/>
    <m/>
  </r>
  <r>
    <n v="34.9"/>
    <d v="2013-12-20T00:00:00"/>
    <x v="0"/>
    <s v="KBC"/>
    <s v="Kachin"/>
    <s v="Waingmaw"/>
    <s v="Maina AG Church"/>
    <m/>
    <m/>
    <m/>
    <m/>
    <m/>
    <m/>
    <m/>
    <m/>
    <m/>
    <m/>
    <n v="141"/>
    <n v="265"/>
    <n v="812"/>
    <n v="406"/>
    <m/>
    <m/>
    <m/>
    <n v="0"/>
    <n v="0"/>
    <n v="0"/>
    <n v="0"/>
    <n v="0"/>
    <n v="0"/>
    <n v="0"/>
    <n v="0"/>
    <n v="0"/>
    <n v="0"/>
    <n v="0"/>
    <n v="0"/>
    <n v="0"/>
    <n v="0"/>
    <x v="2"/>
    <n v="0"/>
    <n v="0"/>
    <n v="0"/>
    <s v="MMR001CMP031"/>
    <x v="0"/>
    <x v="0"/>
    <x v="0"/>
    <n v="0"/>
    <m/>
    <m/>
  </r>
  <r>
    <n v="34.9"/>
    <d v="2013-12-20T00:00:00"/>
    <x v="0"/>
    <s v="KBC"/>
    <s v="Kachin"/>
    <s v="Waingmaw"/>
    <s v="Maina Lawang Baptist Church"/>
    <m/>
    <m/>
    <m/>
    <m/>
    <m/>
    <m/>
    <m/>
    <m/>
    <m/>
    <m/>
    <n v="47"/>
    <n v="85"/>
    <n v="264"/>
    <n v="132"/>
    <m/>
    <m/>
    <m/>
    <n v="0"/>
    <n v="0"/>
    <n v="0"/>
    <n v="0"/>
    <n v="0"/>
    <n v="0"/>
    <n v="0"/>
    <n v="0"/>
    <n v="0"/>
    <n v="0"/>
    <n v="0"/>
    <n v="0"/>
    <n v="0"/>
    <n v="0"/>
    <x v="2"/>
    <n v="0"/>
    <n v="0"/>
    <n v="0"/>
    <s v="MMR001CMP039"/>
    <x v="0"/>
    <x v="0"/>
    <x v="0"/>
    <n v="0"/>
    <m/>
    <m/>
  </r>
  <r>
    <n v="34.9"/>
    <d v="2013-12-20T00:00:00"/>
    <x v="0"/>
    <s v="KBC"/>
    <s v="Kachin"/>
    <s v="Waingmaw"/>
    <s v="Qtr. 4 Monestry (Thargaya Thayett Taw)"/>
    <m/>
    <m/>
    <m/>
    <m/>
    <m/>
    <m/>
    <m/>
    <m/>
    <m/>
    <m/>
    <n v="102"/>
    <n v="188"/>
    <n v="580"/>
    <n v="290"/>
    <m/>
    <m/>
    <m/>
    <n v="0"/>
    <n v="0"/>
    <n v="0"/>
    <n v="0"/>
    <n v="0"/>
    <n v="0"/>
    <n v="0"/>
    <n v="0"/>
    <n v="0"/>
    <n v="0"/>
    <n v="0"/>
    <n v="0"/>
    <n v="0"/>
    <n v="0"/>
    <x v="2"/>
    <n v="0"/>
    <n v="0"/>
    <n v="0"/>
    <s v="MMR001CMP026"/>
    <x v="0"/>
    <x v="0"/>
    <x v="0"/>
    <n v="0"/>
    <m/>
    <m/>
  </r>
  <r>
    <n v="34.93333333333333"/>
    <d v="2013-12-19T00:00:00"/>
    <x v="0"/>
    <s v="KBC"/>
    <s v="Kachin"/>
    <s v="Waingmaw"/>
    <s v="Maina KBC (Bawng Ring)"/>
    <m/>
    <m/>
    <m/>
    <m/>
    <m/>
    <m/>
    <m/>
    <m/>
    <m/>
    <m/>
    <n v="414"/>
    <n v="764"/>
    <n v="2356"/>
    <n v="1178"/>
    <m/>
    <m/>
    <m/>
    <n v="0"/>
    <n v="0"/>
    <n v="0"/>
    <n v="0"/>
    <n v="0"/>
    <n v="0"/>
    <n v="0"/>
    <n v="0"/>
    <n v="0"/>
    <n v="0"/>
    <n v="0"/>
    <n v="0"/>
    <n v="0"/>
    <n v="0"/>
    <x v="2"/>
    <n v="0"/>
    <n v="0"/>
    <n v="0"/>
    <s v="MMR001CMP040"/>
    <x v="0"/>
    <x v="0"/>
    <x v="0"/>
    <n v="0"/>
    <m/>
    <m/>
  </r>
  <r>
    <n v="34.966666666666669"/>
    <d v="2013-12-18T00:00:00"/>
    <x v="0"/>
    <s v="KBC"/>
    <s v="Kachin"/>
    <s v="Waingmaw"/>
    <s v="Hkat Cho "/>
    <m/>
    <m/>
    <m/>
    <m/>
    <m/>
    <m/>
    <m/>
    <m/>
    <m/>
    <m/>
    <n v="134"/>
    <n v="238"/>
    <n v="744"/>
    <n v="372"/>
    <m/>
    <m/>
    <m/>
    <n v="0"/>
    <n v="0"/>
    <n v="0"/>
    <n v="0"/>
    <n v="0"/>
    <n v="0"/>
    <n v="0"/>
    <n v="0"/>
    <n v="0"/>
    <n v="0"/>
    <n v="0"/>
    <n v="0"/>
    <n v="0"/>
    <n v="0"/>
    <x v="2"/>
    <n v="0"/>
    <n v="0"/>
    <n v="0"/>
    <s v="MMR001CMP028"/>
    <x v="0"/>
    <x v="0"/>
    <x v="0"/>
    <n v="0"/>
    <m/>
    <m/>
  </r>
  <r>
    <n v="34.966666666666669"/>
    <d v="2013-12-18T00:00:00"/>
    <x v="1"/>
    <s v="UNHCR"/>
    <s v="Kachin"/>
    <s v="Bhamo"/>
    <s v="Host Families"/>
    <m/>
    <m/>
    <m/>
    <m/>
    <n v="4"/>
    <m/>
    <m/>
    <m/>
    <m/>
    <m/>
    <m/>
    <m/>
    <m/>
    <m/>
    <m/>
    <m/>
    <m/>
    <n v="0"/>
    <n v="0"/>
    <n v="0"/>
    <n v="0"/>
    <n v="0"/>
    <n v="0"/>
    <n v="0"/>
    <n v="0"/>
    <n v="0"/>
    <n v="0"/>
    <n v="0"/>
    <n v="0"/>
    <n v="0"/>
    <n v="0"/>
    <x v="0"/>
    <n v="0"/>
    <n v="0"/>
    <n v="0"/>
    <s v="MMR001CMP163"/>
    <x v="0"/>
    <x v="0"/>
    <x v="0"/>
    <n v="0"/>
    <s v="No"/>
    <m/>
  </r>
  <r>
    <n v="34.966666666666669"/>
    <d v="2013-12-18T00:00:00"/>
    <x v="0"/>
    <s v="KBC"/>
    <s v="Kachin"/>
    <s v="Waingmaw"/>
    <s v="Mading Baptist Church"/>
    <m/>
    <m/>
    <m/>
    <m/>
    <m/>
    <m/>
    <m/>
    <m/>
    <m/>
    <m/>
    <n v="23"/>
    <n v="45"/>
    <n v="136"/>
    <n v="68"/>
    <m/>
    <m/>
    <m/>
    <n v="0"/>
    <n v="0"/>
    <n v="0"/>
    <n v="0"/>
    <n v="0"/>
    <n v="0"/>
    <n v="0"/>
    <n v="0"/>
    <n v="0"/>
    <n v="0"/>
    <n v="0"/>
    <n v="0"/>
    <n v="0"/>
    <n v="0"/>
    <x v="2"/>
    <n v="0"/>
    <n v="0"/>
    <n v="0"/>
    <s v="MMR001CMP027"/>
    <x v="0"/>
    <x v="0"/>
    <x v="0"/>
    <n v="0"/>
    <m/>
    <m/>
  </r>
  <r>
    <n v="34.966666666666669"/>
    <d v="2013-12-18T00:00:00"/>
    <x v="0"/>
    <s v="KBC"/>
    <s v="Kachin"/>
    <s v="Waingmaw"/>
    <s v="Qtr. 3 Mu-yin  Baptist Church"/>
    <m/>
    <m/>
    <m/>
    <m/>
    <m/>
    <m/>
    <m/>
    <m/>
    <m/>
    <m/>
    <n v="30"/>
    <n v="57"/>
    <n v="174"/>
    <n v="87"/>
    <m/>
    <m/>
    <m/>
    <n v="0"/>
    <n v="0"/>
    <n v="0"/>
    <n v="0"/>
    <n v="0"/>
    <n v="0"/>
    <n v="0"/>
    <n v="0"/>
    <n v="0"/>
    <n v="0"/>
    <n v="0"/>
    <n v="0"/>
    <n v="0"/>
    <n v="0"/>
    <x v="2"/>
    <n v="0"/>
    <n v="0"/>
    <n v="0"/>
    <s v="MMR001CMP030"/>
    <x v="0"/>
    <x v="0"/>
    <x v="0"/>
    <n v="0"/>
    <m/>
    <m/>
  </r>
  <r>
    <n v="35"/>
    <d v="2013-12-17T00:00:00"/>
    <x v="0"/>
    <s v="KBC"/>
    <s v="Kachin"/>
    <s v="Waingmaw"/>
    <s v="Qtr. 2 Myoma Baptist Church"/>
    <m/>
    <m/>
    <m/>
    <m/>
    <m/>
    <m/>
    <m/>
    <m/>
    <m/>
    <m/>
    <n v="73"/>
    <n v="146"/>
    <n v="438"/>
    <n v="219"/>
    <m/>
    <m/>
    <m/>
    <n v="0"/>
    <n v="0"/>
    <n v="0"/>
    <n v="0"/>
    <n v="0"/>
    <n v="0"/>
    <n v="0"/>
    <n v="0"/>
    <n v="0"/>
    <n v="0"/>
    <n v="0"/>
    <n v="0"/>
    <n v="0"/>
    <n v="0"/>
    <x v="2"/>
    <n v="0"/>
    <n v="0"/>
    <n v="0"/>
    <s v="MMR001CMP025"/>
    <x v="0"/>
    <x v="0"/>
    <x v="0"/>
    <n v="0"/>
    <m/>
    <m/>
  </r>
  <r>
    <n v="35"/>
    <d v="2013-12-17T00:00:00"/>
    <x v="0"/>
    <s v="KBC"/>
    <s v="Kachin"/>
    <s v="Waingmaw"/>
    <s v="Shing Jai"/>
    <m/>
    <m/>
    <m/>
    <m/>
    <m/>
    <m/>
    <m/>
    <m/>
    <m/>
    <m/>
    <n v="188"/>
    <n v="343"/>
    <n v="1062"/>
    <n v="531"/>
    <m/>
    <m/>
    <m/>
    <n v="0"/>
    <n v="0"/>
    <n v="0"/>
    <n v="0"/>
    <n v="0"/>
    <n v="0"/>
    <n v="0"/>
    <n v="0"/>
    <n v="0"/>
    <n v="0"/>
    <n v="0"/>
    <n v="0"/>
    <n v="0"/>
    <n v="0"/>
    <x v="2"/>
    <n v="0"/>
    <n v="0"/>
    <n v="0"/>
    <s v="MMR001CMP041"/>
    <x v="0"/>
    <x v="0"/>
    <x v="5"/>
    <n v="0"/>
    <m/>
    <m/>
  </r>
  <r>
    <n v="35.033333333333331"/>
    <d v="2013-12-16T00:00:00"/>
    <x v="0"/>
    <s v="KBC"/>
    <s v="Kachin"/>
    <s v="Waingmaw"/>
    <s v="Waingmaw AG Church"/>
    <m/>
    <m/>
    <m/>
    <m/>
    <m/>
    <m/>
    <m/>
    <m/>
    <m/>
    <m/>
    <n v="77"/>
    <n v="153"/>
    <n v="460"/>
    <n v="230"/>
    <m/>
    <m/>
    <m/>
    <n v="0"/>
    <n v="0"/>
    <n v="0"/>
    <n v="0"/>
    <n v="0"/>
    <n v="0"/>
    <n v="0"/>
    <n v="0"/>
    <n v="0"/>
    <n v="0"/>
    <n v="0"/>
    <n v="0"/>
    <n v="0"/>
    <n v="0"/>
    <x v="2"/>
    <n v="0"/>
    <n v="0"/>
    <n v="0"/>
    <s v="MMR001CMP038"/>
    <x v="0"/>
    <x v="0"/>
    <x v="0"/>
    <n v="0"/>
    <m/>
    <m/>
  </r>
  <r>
    <n v="35.133333333333333"/>
    <d v="2013-12-13T00:00:00"/>
    <x v="0"/>
    <s v="Solidarities"/>
    <s v="Kachin"/>
    <s v="Mansi"/>
    <s v="Mansi Baptist Church"/>
    <m/>
    <m/>
    <m/>
    <m/>
    <m/>
    <m/>
    <m/>
    <m/>
    <m/>
    <m/>
    <n v="13"/>
    <n v="53"/>
    <n v="132"/>
    <n v="66"/>
    <m/>
    <m/>
    <m/>
    <n v="0"/>
    <n v="0"/>
    <n v="0"/>
    <n v="0"/>
    <n v="0"/>
    <n v="0"/>
    <n v="0"/>
    <n v="0"/>
    <n v="0"/>
    <n v="0"/>
    <n v="0"/>
    <n v="0"/>
    <n v="0"/>
    <n v="0"/>
    <x v="2"/>
    <n v="0"/>
    <n v="0"/>
    <n v="0"/>
    <s v="MMR001CMP066"/>
    <x v="0"/>
    <x v="0"/>
    <x v="0"/>
    <n v="0"/>
    <m/>
    <m/>
  </r>
  <r>
    <n v="35.200000000000003"/>
    <d v="2013-12-11T00:00:00"/>
    <x v="8"/>
    <s v="WPN"/>
    <s v="Kachin"/>
    <s v="Mansi"/>
    <s v="Bum Tsit Pa "/>
    <m/>
    <m/>
    <m/>
    <m/>
    <m/>
    <n v="278"/>
    <m/>
    <m/>
    <m/>
    <m/>
    <m/>
    <m/>
    <m/>
    <m/>
    <m/>
    <m/>
    <m/>
    <n v="0"/>
    <n v="0"/>
    <n v="0"/>
    <n v="0"/>
    <n v="0"/>
    <n v="0"/>
    <n v="0"/>
    <n v="0"/>
    <n v="0"/>
    <n v="0"/>
    <n v="0"/>
    <n v="0"/>
    <n v="0"/>
    <n v="0"/>
    <x v="0"/>
    <n v="0"/>
    <n v="0"/>
    <n v="0"/>
    <s v="MMR001CMP129"/>
    <x v="0"/>
    <x v="0"/>
    <x v="6"/>
    <n v="0"/>
    <s v="No"/>
    <m/>
  </r>
  <r>
    <n v="35.200000000000003"/>
    <d v="2013-12-11T00:00:00"/>
    <x v="8"/>
    <s v="WPN"/>
    <s v="Kachin"/>
    <s v="Mansi"/>
    <s v="Bum Tsit Pa "/>
    <m/>
    <m/>
    <m/>
    <m/>
    <m/>
    <n v="174"/>
    <m/>
    <m/>
    <m/>
    <m/>
    <m/>
    <m/>
    <m/>
    <m/>
    <m/>
    <m/>
    <m/>
    <n v="0"/>
    <n v="0"/>
    <n v="0"/>
    <n v="0"/>
    <n v="0"/>
    <n v="0"/>
    <n v="0"/>
    <n v="0"/>
    <n v="0"/>
    <n v="0"/>
    <n v="0"/>
    <n v="0"/>
    <n v="0"/>
    <n v="0"/>
    <x v="0"/>
    <n v="0"/>
    <n v="0"/>
    <n v="0"/>
    <s v="MMR001CMP129"/>
    <x v="0"/>
    <x v="0"/>
    <x v="6"/>
    <n v="0"/>
    <s v="No"/>
    <m/>
  </r>
  <r>
    <n v="35.200000000000003"/>
    <d v="2013-12-11T00:00:00"/>
    <x v="8"/>
    <s v="WPN"/>
    <s v="Kachin"/>
    <s v="Mansi"/>
    <s v="Lana Zup Ja "/>
    <m/>
    <m/>
    <m/>
    <m/>
    <m/>
    <n v="543"/>
    <m/>
    <m/>
    <m/>
    <m/>
    <m/>
    <m/>
    <m/>
    <m/>
    <m/>
    <m/>
    <m/>
    <n v="0"/>
    <n v="0"/>
    <n v="0"/>
    <n v="0"/>
    <n v="0"/>
    <n v="0"/>
    <n v="0"/>
    <n v="0"/>
    <n v="0"/>
    <n v="0"/>
    <n v="0"/>
    <n v="0"/>
    <n v="0"/>
    <n v="0"/>
    <x v="0"/>
    <n v="0"/>
    <n v="0"/>
    <n v="0"/>
    <s v="MMR001CMP128"/>
    <x v="0"/>
    <x v="0"/>
    <x v="6"/>
    <n v="0"/>
    <s v="No"/>
    <m/>
  </r>
  <r>
    <n v="35.200000000000003"/>
    <d v="2013-12-11T00:00:00"/>
    <x v="8"/>
    <s v="WPN"/>
    <s v="Kachin"/>
    <s v="Mansi"/>
    <s v="Lung Kawk  ( Hka Hkye Zup)"/>
    <m/>
    <m/>
    <m/>
    <m/>
    <m/>
    <n v="38"/>
    <m/>
    <m/>
    <m/>
    <m/>
    <m/>
    <m/>
    <m/>
    <m/>
    <m/>
    <m/>
    <m/>
    <n v="0"/>
    <n v="0"/>
    <n v="0"/>
    <n v="0"/>
    <n v="0"/>
    <n v="0"/>
    <n v="0"/>
    <n v="0"/>
    <n v="0"/>
    <n v="0"/>
    <n v="0"/>
    <n v="0"/>
    <n v="0"/>
    <n v="0"/>
    <x v="0"/>
    <n v="0"/>
    <n v="0"/>
    <n v="0"/>
    <s v="MMR001CMP135"/>
    <x v="0"/>
    <x v="2"/>
    <x v="6"/>
    <s v=""/>
    <s v="No"/>
    <m/>
  </r>
  <r>
    <n v="35.200000000000003"/>
    <d v="2013-12-11T00:00:00"/>
    <x v="8"/>
    <s v="WPN"/>
    <s v="Kachin"/>
    <s v="Momauk"/>
    <s v="Nhkawng Pa "/>
    <m/>
    <m/>
    <m/>
    <m/>
    <m/>
    <n v="350"/>
    <m/>
    <m/>
    <m/>
    <m/>
    <m/>
    <m/>
    <m/>
    <m/>
    <m/>
    <m/>
    <m/>
    <n v="0"/>
    <n v="0"/>
    <n v="0"/>
    <n v="0"/>
    <n v="0"/>
    <n v="0"/>
    <n v="0"/>
    <n v="0"/>
    <n v="0"/>
    <n v="0"/>
    <n v="0"/>
    <n v="0"/>
    <n v="0"/>
    <n v="0"/>
    <x v="0"/>
    <n v="0"/>
    <n v="0"/>
    <n v="0"/>
    <s v="MMR001CMP131"/>
    <x v="0"/>
    <x v="0"/>
    <x v="5"/>
    <n v="0"/>
    <s v="No"/>
    <m/>
  </r>
  <r>
    <n v="35.200000000000003"/>
    <d v="2013-12-11T00:00:00"/>
    <x v="8"/>
    <s v="WPN"/>
    <s v="Kachin"/>
    <s v="Momauk"/>
    <s v="Pa Kahtawng "/>
    <m/>
    <m/>
    <m/>
    <m/>
    <m/>
    <n v="417"/>
    <m/>
    <m/>
    <m/>
    <m/>
    <m/>
    <m/>
    <m/>
    <m/>
    <m/>
    <m/>
    <m/>
    <n v="0"/>
    <n v="0"/>
    <n v="0"/>
    <n v="0"/>
    <n v="0"/>
    <n v="0"/>
    <n v="0"/>
    <n v="0"/>
    <n v="0"/>
    <n v="0"/>
    <n v="0"/>
    <n v="0"/>
    <n v="0"/>
    <n v="0"/>
    <x v="0"/>
    <n v="0"/>
    <n v="0"/>
    <n v="0"/>
    <s v="MMR001CMP126"/>
    <x v="0"/>
    <x v="0"/>
    <x v="6"/>
    <n v="0"/>
    <s v="No"/>
    <m/>
  </r>
  <r>
    <n v="35.233333333333334"/>
    <d v="2013-12-10T00:00:00"/>
    <x v="6"/>
    <m/>
    <s v="Kachin"/>
    <s v="Mansi"/>
    <s v="Man Wing Catholic Church"/>
    <m/>
    <m/>
    <m/>
    <m/>
    <m/>
    <m/>
    <m/>
    <m/>
    <m/>
    <m/>
    <m/>
    <n v="256"/>
    <m/>
    <m/>
    <m/>
    <m/>
    <m/>
    <n v="0"/>
    <n v="0"/>
    <n v="0"/>
    <n v="0"/>
    <n v="0"/>
    <n v="0"/>
    <n v="0"/>
    <n v="0"/>
    <n v="0"/>
    <n v="0"/>
    <n v="0"/>
    <n v="0"/>
    <n v="0"/>
    <n v="0"/>
    <x v="2"/>
    <n v="0"/>
    <n v="0"/>
    <n v="0"/>
    <s v="MMR001CMP132"/>
    <x v="0"/>
    <x v="0"/>
    <x v="0"/>
    <n v="0"/>
    <s v="No"/>
    <m/>
  </r>
  <r>
    <n v="35.4"/>
    <d v="2013-12-05T00:00:00"/>
    <x v="0"/>
    <s v="KBC"/>
    <s v="Kachin"/>
    <s v="Momauk"/>
    <s v="Dum Bung "/>
    <m/>
    <m/>
    <m/>
    <m/>
    <m/>
    <m/>
    <m/>
    <m/>
    <m/>
    <m/>
    <n v="120"/>
    <n v="240"/>
    <n v="720"/>
    <n v="360"/>
    <m/>
    <m/>
    <m/>
    <n v="0"/>
    <n v="0"/>
    <n v="0"/>
    <n v="0"/>
    <n v="0"/>
    <n v="0"/>
    <n v="0"/>
    <n v="0"/>
    <n v="0"/>
    <n v="0"/>
    <n v="0"/>
    <n v="0"/>
    <n v="0"/>
    <n v="0"/>
    <x v="2"/>
    <n v="0"/>
    <n v="0"/>
    <n v="0"/>
    <s v="MMR001CMP123"/>
    <x v="0"/>
    <x v="0"/>
    <x v="6"/>
    <n v="0"/>
    <m/>
    <m/>
  </r>
  <r>
    <n v="35.43333333333333"/>
    <d v="2013-12-04T00:00:00"/>
    <x v="1"/>
    <s v="UNHCR"/>
    <s v="Kachin"/>
    <s v="Bhamo"/>
    <s v="Aung Thar Church"/>
    <m/>
    <m/>
    <m/>
    <m/>
    <m/>
    <n v="10"/>
    <n v="5"/>
    <n v="5"/>
    <m/>
    <m/>
    <m/>
    <m/>
    <m/>
    <m/>
    <m/>
    <m/>
    <m/>
    <n v="0"/>
    <n v="0"/>
    <n v="0"/>
    <n v="0"/>
    <n v="0"/>
    <n v="0"/>
    <n v="0"/>
    <n v="0"/>
    <n v="0"/>
    <n v="0"/>
    <n v="0"/>
    <n v="0"/>
    <n v="0"/>
    <n v="0"/>
    <x v="0"/>
    <n v="0"/>
    <n v="0"/>
    <n v="0"/>
    <s v="MMR001CMP194"/>
    <x v="0"/>
    <x v="0"/>
    <x v="0"/>
    <n v="0.41666666666666669"/>
    <s v="No"/>
    <m/>
  </r>
  <r>
    <n v="35.43333333333333"/>
    <d v="2013-12-04T00:00:00"/>
    <x v="1"/>
    <s v="UNHCR"/>
    <s v="Kachin"/>
    <s v="Bhamo"/>
    <s v="Robert Church"/>
    <m/>
    <m/>
    <m/>
    <m/>
    <m/>
    <n v="120"/>
    <m/>
    <m/>
    <m/>
    <m/>
    <m/>
    <m/>
    <m/>
    <m/>
    <m/>
    <m/>
    <m/>
    <n v="0"/>
    <n v="0"/>
    <n v="0"/>
    <n v="0"/>
    <n v="0"/>
    <n v="0"/>
    <n v="0"/>
    <n v="0"/>
    <n v="0"/>
    <n v="0"/>
    <n v="0"/>
    <n v="0"/>
    <n v="0"/>
    <n v="0"/>
    <x v="0"/>
    <n v="0"/>
    <n v="0"/>
    <n v="0"/>
    <s v="MMR001CMP047"/>
    <x v="0"/>
    <x v="0"/>
    <x v="0"/>
    <n v="0"/>
    <s v="No"/>
    <m/>
  </r>
  <r>
    <n v="35.43333333333333"/>
    <d v="2013-12-04T00:00:00"/>
    <x v="1"/>
    <s v="UNHCR"/>
    <s v="Kachin"/>
    <s v="Bhamo"/>
    <s v="Robert Church"/>
    <m/>
    <m/>
    <m/>
    <m/>
    <n v="5"/>
    <m/>
    <m/>
    <m/>
    <m/>
    <m/>
    <m/>
    <m/>
    <m/>
    <m/>
    <m/>
    <m/>
    <m/>
    <n v="0"/>
    <n v="0"/>
    <n v="0"/>
    <n v="0"/>
    <n v="0"/>
    <n v="0"/>
    <n v="0"/>
    <n v="0"/>
    <n v="0"/>
    <n v="0"/>
    <n v="0"/>
    <n v="0"/>
    <n v="0"/>
    <n v="0"/>
    <x v="0"/>
    <n v="0"/>
    <n v="0"/>
    <n v="0"/>
    <s v="MMR001CMP047"/>
    <x v="0"/>
    <x v="0"/>
    <x v="0"/>
    <n v="0"/>
    <s v="No"/>
    <m/>
  </r>
  <r>
    <n v="35.466666666666669"/>
    <d v="2013-12-03T00:00:00"/>
    <x v="0"/>
    <s v="KBC"/>
    <s v="Kachin"/>
    <s v="Waingmaw"/>
    <s v="Border Post 8"/>
    <m/>
    <m/>
    <m/>
    <m/>
    <m/>
    <m/>
    <m/>
    <m/>
    <m/>
    <m/>
    <n v="181"/>
    <n v="362"/>
    <n v="1086"/>
    <n v="543"/>
    <m/>
    <m/>
    <m/>
    <n v="0"/>
    <n v="0"/>
    <n v="0"/>
    <n v="0"/>
    <n v="0"/>
    <n v="0"/>
    <n v="0"/>
    <n v="0"/>
    <n v="0"/>
    <n v="0"/>
    <n v="0"/>
    <n v="0"/>
    <n v="0"/>
    <n v="0"/>
    <x v="2"/>
    <n v="0"/>
    <n v="0"/>
    <n v="0"/>
    <s v="MMR001CMP113"/>
    <x v="0"/>
    <x v="0"/>
    <x v="5"/>
    <n v="0"/>
    <m/>
    <m/>
  </r>
  <r>
    <n v="35.466666666666669"/>
    <d v="2013-12-03T00:00:00"/>
    <x v="1"/>
    <s v="UNHCR"/>
    <s v="Kachin"/>
    <s v="Momauk"/>
    <s v="Momauk Baptist Church"/>
    <m/>
    <m/>
    <m/>
    <n v="25"/>
    <n v="13"/>
    <n v="25"/>
    <n v="13"/>
    <n v="13"/>
    <m/>
    <m/>
    <m/>
    <m/>
    <m/>
    <m/>
    <m/>
    <m/>
    <m/>
    <n v="0"/>
    <n v="0"/>
    <n v="0"/>
    <n v="0"/>
    <n v="0"/>
    <n v="0"/>
    <n v="0"/>
    <n v="0"/>
    <n v="0"/>
    <n v="0"/>
    <n v="0"/>
    <n v="0"/>
    <n v="0"/>
    <n v="0"/>
    <x v="0"/>
    <n v="0"/>
    <n v="0"/>
    <n v="0"/>
    <s v="MMR001CMP056"/>
    <x v="0"/>
    <x v="0"/>
    <x v="0"/>
    <n v="5.7522123893805309E-2"/>
    <s v="No"/>
    <m/>
  </r>
  <r>
    <n v="35.5"/>
    <d v="2013-12-02T00:00:00"/>
    <x v="0"/>
    <s v="KBC"/>
    <s v="Kachin"/>
    <s v="Waingmaw"/>
    <s v="Post 6 Camp"/>
    <m/>
    <m/>
    <m/>
    <m/>
    <m/>
    <m/>
    <m/>
    <m/>
    <m/>
    <m/>
    <n v="124"/>
    <n v="248"/>
    <n v="744"/>
    <n v="372"/>
    <m/>
    <m/>
    <m/>
    <n v="0"/>
    <n v="0"/>
    <n v="0"/>
    <n v="0"/>
    <n v="0"/>
    <n v="0"/>
    <n v="0"/>
    <n v="0"/>
    <n v="0"/>
    <n v="0"/>
    <n v="0"/>
    <n v="0"/>
    <n v="0"/>
    <n v="0"/>
    <x v="2"/>
    <n v="0"/>
    <n v="0"/>
    <n v="0"/>
    <s v="MMR001CMP160"/>
    <x v="0"/>
    <x v="0"/>
    <x v="5"/>
    <n v="0"/>
    <m/>
    <m/>
  </r>
  <r>
    <n v="35.533333333333331"/>
    <d v="2013-12-01T00:00:00"/>
    <x v="1"/>
    <s v="UNHCR"/>
    <s v="Kachin"/>
    <s v="Bhamo"/>
    <s v="Robert Church"/>
    <m/>
    <m/>
    <m/>
    <m/>
    <m/>
    <n v="30"/>
    <m/>
    <m/>
    <m/>
    <m/>
    <m/>
    <m/>
    <m/>
    <m/>
    <m/>
    <m/>
    <m/>
    <n v="0"/>
    <n v="0"/>
    <n v="0"/>
    <n v="0"/>
    <n v="0"/>
    <n v="0"/>
    <n v="0"/>
    <n v="0"/>
    <n v="0"/>
    <n v="0"/>
    <n v="0"/>
    <n v="0"/>
    <n v="0"/>
    <n v="0"/>
    <x v="0"/>
    <n v="0"/>
    <n v="0"/>
    <n v="0"/>
    <s v="MMR001CMP047"/>
    <x v="0"/>
    <x v="0"/>
    <x v="0"/>
    <n v="0"/>
    <s v="No"/>
    <m/>
  </r>
  <r>
    <n v="35.56666666666667"/>
    <d v="2013-11-30T00:00:00"/>
    <x v="9"/>
    <s v="MDCG"/>
    <s v="Kachin"/>
    <s v="Bhamo"/>
    <s v="AD-2000 Tharthana Compound"/>
    <m/>
    <m/>
    <m/>
    <m/>
    <m/>
    <n v="104"/>
    <m/>
    <m/>
    <m/>
    <m/>
    <n v="146"/>
    <n v="39"/>
    <n v="0"/>
    <m/>
    <m/>
    <m/>
    <m/>
    <n v="0"/>
    <n v="0"/>
    <n v="0"/>
    <n v="0"/>
    <n v="0"/>
    <n v="0"/>
    <n v="0"/>
    <n v="0"/>
    <n v="0"/>
    <n v="0"/>
    <n v="0"/>
    <n v="0"/>
    <n v="0"/>
    <n v="0"/>
    <x v="2"/>
    <n v="0"/>
    <n v="0"/>
    <n v="0"/>
    <s v="MMR001CMP050"/>
    <x v="0"/>
    <x v="0"/>
    <x v="0"/>
    <n v="0"/>
    <s v="No"/>
    <m/>
  </r>
  <r>
    <n v="35.56666666666667"/>
    <d v="2013-11-30T00:00:00"/>
    <x v="0"/>
    <m/>
    <s v="Kachin"/>
    <s v="Bhamo"/>
    <s v="AD-2000 Tharthana Compound"/>
    <m/>
    <m/>
    <m/>
    <m/>
    <m/>
    <m/>
    <m/>
    <m/>
    <m/>
    <n v="660"/>
    <m/>
    <m/>
    <m/>
    <m/>
    <m/>
    <m/>
    <m/>
    <n v="0"/>
    <n v="0"/>
    <n v="0"/>
    <n v="0"/>
    <n v="0"/>
    <n v="0"/>
    <n v="0"/>
    <n v="0"/>
    <n v="0"/>
    <n v="0"/>
    <n v="0"/>
    <n v="0"/>
    <n v="0"/>
    <n v="0"/>
    <x v="0"/>
    <n v="0"/>
    <n v="0"/>
    <n v="0"/>
    <s v="MMR001CMP050"/>
    <x v="0"/>
    <x v="0"/>
    <x v="0"/>
    <n v="0"/>
    <s v="No"/>
    <m/>
  </r>
  <r>
    <n v="35.56666666666667"/>
    <d v="2013-11-30T00:00:00"/>
    <x v="1"/>
    <s v="UNHCR"/>
    <s v="Kachin"/>
    <s v="Bhamo"/>
    <s v="AD-2000 Tharthana Compound"/>
    <m/>
    <m/>
    <m/>
    <n v="6"/>
    <n v="6"/>
    <n v="6"/>
    <n v="6"/>
    <n v="6"/>
    <m/>
    <m/>
    <m/>
    <m/>
    <m/>
    <m/>
    <m/>
    <m/>
    <m/>
    <n v="0"/>
    <n v="0"/>
    <n v="0"/>
    <n v="0"/>
    <n v="0"/>
    <n v="0"/>
    <n v="0"/>
    <n v="0"/>
    <n v="0"/>
    <n v="0"/>
    <n v="0"/>
    <n v="0"/>
    <n v="0"/>
    <n v="0"/>
    <x v="0"/>
    <n v="0"/>
    <n v="0"/>
    <n v="0"/>
    <s v="MMR001CMP050"/>
    <x v="0"/>
    <x v="0"/>
    <x v="0"/>
    <n v="2.3076923076923078E-2"/>
    <s v="No"/>
    <m/>
  </r>
  <r>
    <n v="35.56666666666667"/>
    <d v="2013-11-30T00:00:00"/>
    <x v="0"/>
    <m/>
    <s v="Kachin"/>
    <s v="Bhamo"/>
    <s v="Aung Thar Church"/>
    <m/>
    <m/>
    <m/>
    <m/>
    <m/>
    <m/>
    <m/>
    <m/>
    <m/>
    <m/>
    <m/>
    <m/>
    <m/>
    <m/>
    <m/>
    <m/>
    <m/>
    <n v="0"/>
    <n v="0"/>
    <n v="0"/>
    <n v="0"/>
    <n v="0"/>
    <n v="0"/>
    <n v="0"/>
    <n v="0"/>
    <n v="0"/>
    <n v="0"/>
    <n v="0"/>
    <n v="0"/>
    <n v="0"/>
    <n v="0"/>
    <x v="0"/>
    <n v="0"/>
    <n v="0"/>
    <n v="0"/>
    <s v="MMR001CMP194"/>
    <x v="0"/>
    <x v="2"/>
    <x v="0"/>
    <n v="0"/>
    <s v="No"/>
    <m/>
  </r>
  <r>
    <n v="35.56666666666667"/>
    <d v="2013-11-30T00:00:00"/>
    <x v="0"/>
    <s v="KBC"/>
    <s v="Kachin"/>
    <s v="Waingmaw"/>
    <s v="Border Post 8"/>
    <m/>
    <m/>
    <m/>
    <m/>
    <m/>
    <m/>
    <m/>
    <m/>
    <m/>
    <m/>
    <m/>
    <m/>
    <m/>
    <m/>
    <m/>
    <m/>
    <m/>
    <n v="0"/>
    <n v="0"/>
    <n v="0"/>
    <n v="0"/>
    <n v="0"/>
    <n v="0"/>
    <n v="0"/>
    <n v="0"/>
    <n v="0"/>
    <n v="0"/>
    <n v="0"/>
    <n v="0"/>
    <n v="0"/>
    <n v="0"/>
    <x v="0"/>
    <n v="0"/>
    <n v="0"/>
    <n v="0"/>
    <s v="MMR001CMP113"/>
    <x v="0"/>
    <x v="0"/>
    <x v="5"/>
    <n v="0"/>
    <s v="No"/>
    <m/>
  </r>
  <r>
    <n v="35.56666666666667"/>
    <d v="2013-11-30T00:00:00"/>
    <x v="9"/>
    <s v="MDCG"/>
    <s v="Kachin"/>
    <s v="Mansi"/>
    <s v="Bum Tsit Pa "/>
    <m/>
    <m/>
    <m/>
    <m/>
    <m/>
    <n v="819"/>
    <m/>
    <m/>
    <m/>
    <m/>
    <n v="966"/>
    <n v="484"/>
    <n v="0"/>
    <m/>
    <m/>
    <m/>
    <m/>
    <n v="0"/>
    <n v="0"/>
    <n v="0"/>
    <n v="0"/>
    <n v="0"/>
    <n v="0"/>
    <n v="0"/>
    <n v="0"/>
    <n v="0"/>
    <n v="0"/>
    <n v="0"/>
    <n v="0"/>
    <n v="0"/>
    <n v="0"/>
    <x v="2"/>
    <n v="0"/>
    <n v="0"/>
    <n v="0"/>
    <s v="MMR001CMP129"/>
    <x v="0"/>
    <x v="0"/>
    <x v="6"/>
    <n v="0"/>
    <s v="No"/>
    <m/>
  </r>
  <r>
    <n v="35.56666666666667"/>
    <d v="2013-11-30T00:00:00"/>
    <x v="0"/>
    <s v="KBC"/>
    <s v="Kachin"/>
    <s v="Mansi"/>
    <s v="Bum Tsit Pa "/>
    <m/>
    <m/>
    <m/>
    <m/>
    <m/>
    <m/>
    <m/>
    <m/>
    <m/>
    <n v="321"/>
    <m/>
    <m/>
    <m/>
    <m/>
    <m/>
    <m/>
    <m/>
    <n v="0"/>
    <n v="0"/>
    <n v="0"/>
    <n v="0"/>
    <n v="0"/>
    <n v="0"/>
    <n v="0"/>
    <n v="0"/>
    <n v="0"/>
    <n v="0"/>
    <n v="0"/>
    <n v="0"/>
    <n v="0"/>
    <n v="0"/>
    <x v="0"/>
    <n v="0"/>
    <n v="0"/>
    <n v="0"/>
    <s v="MMR001CMP129"/>
    <x v="0"/>
    <x v="0"/>
    <x v="6"/>
    <n v="0"/>
    <s v="No"/>
    <m/>
  </r>
  <r>
    <n v="35.56666666666667"/>
    <d v="2013-11-30T00:00:00"/>
    <x v="1"/>
    <s v="UNHCR"/>
    <s v="Kachin"/>
    <s v="Mansi"/>
    <s v="Bum Tsit Pa "/>
    <m/>
    <m/>
    <m/>
    <m/>
    <m/>
    <m/>
    <m/>
    <m/>
    <m/>
    <m/>
    <m/>
    <m/>
    <m/>
    <m/>
    <m/>
    <m/>
    <m/>
    <n v="0"/>
    <n v="0"/>
    <n v="0"/>
    <n v="0"/>
    <n v="0"/>
    <n v="0"/>
    <n v="0"/>
    <n v="0"/>
    <n v="0"/>
    <n v="0"/>
    <n v="0"/>
    <n v="0"/>
    <n v="0"/>
    <n v="0"/>
    <x v="0"/>
    <n v="0"/>
    <n v="0"/>
    <n v="0"/>
    <s v="MMR001CMP129"/>
    <x v="0"/>
    <x v="0"/>
    <x v="6"/>
    <n v="0"/>
    <s v="No"/>
    <m/>
  </r>
  <r>
    <n v="35.56666666666667"/>
    <d v="2013-11-30T00:00:00"/>
    <x v="0"/>
    <s v="KBC"/>
    <s v="Kachin"/>
    <s v="Momauk"/>
    <s v="Dum Bung "/>
    <m/>
    <m/>
    <m/>
    <m/>
    <m/>
    <m/>
    <m/>
    <m/>
    <m/>
    <m/>
    <m/>
    <m/>
    <m/>
    <m/>
    <m/>
    <m/>
    <m/>
    <n v="0"/>
    <n v="0"/>
    <n v="0"/>
    <n v="0"/>
    <n v="0"/>
    <n v="0"/>
    <n v="0"/>
    <n v="0"/>
    <n v="0"/>
    <n v="0"/>
    <n v="0"/>
    <n v="0"/>
    <n v="0"/>
    <n v="0"/>
    <x v="0"/>
    <n v="0"/>
    <n v="0"/>
    <n v="0"/>
    <s v="MMR001CMP123"/>
    <x v="0"/>
    <x v="0"/>
    <x v="6"/>
    <n v="0"/>
    <s v="No"/>
    <m/>
  </r>
  <r>
    <n v="35.56666666666667"/>
    <d v="2013-11-30T00:00:00"/>
    <x v="1"/>
    <s v="UNHCR"/>
    <s v="Kachin"/>
    <s v="Momauk"/>
    <s v="Dum Bung "/>
    <m/>
    <m/>
    <m/>
    <m/>
    <m/>
    <m/>
    <m/>
    <m/>
    <m/>
    <m/>
    <m/>
    <m/>
    <m/>
    <m/>
    <m/>
    <m/>
    <m/>
    <n v="0"/>
    <n v="0"/>
    <n v="0"/>
    <n v="0"/>
    <n v="0"/>
    <n v="0"/>
    <n v="0"/>
    <n v="0"/>
    <n v="0"/>
    <n v="0"/>
    <n v="0"/>
    <n v="0"/>
    <n v="0"/>
    <n v="0"/>
    <x v="0"/>
    <n v="0"/>
    <n v="0"/>
    <n v="0"/>
    <s v="MMR001CMP123"/>
    <x v="0"/>
    <x v="0"/>
    <x v="6"/>
    <n v="0"/>
    <s v="No"/>
    <m/>
  </r>
  <r>
    <n v="35.56666666666667"/>
    <d v="2013-11-30T00:00:00"/>
    <x v="0"/>
    <s v="KBC"/>
    <s v="Kachin"/>
    <s v="Waingmaw"/>
    <s v="Hkat Cho "/>
    <m/>
    <m/>
    <m/>
    <m/>
    <m/>
    <m/>
    <m/>
    <m/>
    <m/>
    <m/>
    <m/>
    <m/>
    <m/>
    <m/>
    <m/>
    <m/>
    <m/>
    <n v="0"/>
    <n v="0"/>
    <n v="0"/>
    <n v="0"/>
    <n v="0"/>
    <n v="0"/>
    <n v="0"/>
    <n v="0"/>
    <n v="0"/>
    <n v="0"/>
    <n v="0"/>
    <n v="0"/>
    <n v="0"/>
    <n v="0"/>
    <x v="0"/>
    <n v="0"/>
    <n v="0"/>
    <n v="0"/>
    <s v="MMR001CMP028"/>
    <x v="0"/>
    <x v="0"/>
    <x v="0"/>
    <n v="0"/>
    <s v="No"/>
    <m/>
  </r>
  <r>
    <n v="35.56666666666667"/>
    <d v="2013-11-30T00:00:00"/>
    <x v="0"/>
    <s v="KBC"/>
    <s v="Kachin"/>
    <s v="Waingmaw"/>
    <s v="Hkau Shau (BP 12)"/>
    <m/>
    <m/>
    <m/>
    <m/>
    <m/>
    <m/>
    <m/>
    <m/>
    <m/>
    <m/>
    <m/>
    <m/>
    <m/>
    <m/>
    <m/>
    <m/>
    <m/>
    <n v="0"/>
    <n v="0"/>
    <n v="0"/>
    <n v="0"/>
    <n v="0"/>
    <n v="0"/>
    <n v="0"/>
    <n v="0"/>
    <n v="0"/>
    <n v="0"/>
    <n v="0"/>
    <n v="0"/>
    <n v="0"/>
    <n v="0"/>
    <x v="0"/>
    <n v="0"/>
    <n v="0"/>
    <n v="0"/>
    <s v="MMR001CMP115"/>
    <x v="0"/>
    <x v="0"/>
    <x v="5"/>
    <n v="0"/>
    <s v="No"/>
    <m/>
  </r>
  <r>
    <n v="35.56666666666667"/>
    <d v="2013-11-30T00:00:00"/>
    <x v="0"/>
    <s v="KBC"/>
    <s v="Kachin"/>
    <s v="Momauk"/>
    <s v="Hpun Lum Yang "/>
    <m/>
    <m/>
    <m/>
    <m/>
    <m/>
    <m/>
    <m/>
    <m/>
    <m/>
    <n v="978"/>
    <m/>
    <m/>
    <m/>
    <m/>
    <m/>
    <m/>
    <m/>
    <n v="0"/>
    <n v="0"/>
    <n v="0"/>
    <n v="0"/>
    <n v="0"/>
    <n v="0"/>
    <n v="0"/>
    <n v="0"/>
    <n v="0"/>
    <n v="0"/>
    <n v="0"/>
    <n v="0"/>
    <n v="0"/>
    <n v="0"/>
    <x v="0"/>
    <n v="0"/>
    <n v="0"/>
    <n v="0"/>
    <s v="MMR001CMP122"/>
    <x v="0"/>
    <x v="0"/>
    <x v="6"/>
    <n v="0"/>
    <s v="No"/>
    <m/>
  </r>
  <r>
    <n v="35.56666666666667"/>
    <d v="2013-11-30T00:00:00"/>
    <x v="9"/>
    <s v="MDCG"/>
    <s v="Kachin"/>
    <s v="Bhamo"/>
    <s v="Htoi San Church"/>
    <m/>
    <m/>
    <m/>
    <m/>
    <m/>
    <n v="105"/>
    <m/>
    <m/>
    <m/>
    <m/>
    <n v="154"/>
    <n v="26"/>
    <n v="0"/>
    <m/>
    <m/>
    <m/>
    <m/>
    <n v="0"/>
    <n v="0"/>
    <n v="0"/>
    <n v="0"/>
    <n v="0"/>
    <n v="0"/>
    <n v="0"/>
    <n v="0"/>
    <n v="0"/>
    <n v="0"/>
    <n v="0"/>
    <n v="0"/>
    <n v="0"/>
    <n v="0"/>
    <x v="2"/>
    <n v="0"/>
    <n v="0"/>
    <n v="0"/>
    <s v="MMR001CMP052"/>
    <x v="0"/>
    <x v="0"/>
    <x v="0"/>
    <n v="0"/>
    <s v="No"/>
    <m/>
  </r>
  <r>
    <n v="35.56666666666667"/>
    <d v="2013-11-30T00:00:00"/>
    <x v="0"/>
    <m/>
    <s v="Kachin"/>
    <s v="Bhamo"/>
    <s v="Htoi San Church"/>
    <m/>
    <m/>
    <m/>
    <m/>
    <m/>
    <m/>
    <m/>
    <m/>
    <m/>
    <n v="138"/>
    <m/>
    <m/>
    <m/>
    <m/>
    <m/>
    <m/>
    <m/>
    <n v="0"/>
    <n v="0"/>
    <n v="0"/>
    <n v="0"/>
    <n v="0"/>
    <n v="0"/>
    <n v="0"/>
    <n v="0"/>
    <n v="0"/>
    <n v="0"/>
    <n v="0"/>
    <n v="0"/>
    <n v="0"/>
    <n v="0"/>
    <x v="0"/>
    <n v="0"/>
    <n v="0"/>
    <n v="0"/>
    <s v="MMR001CMP052"/>
    <x v="0"/>
    <x v="0"/>
    <x v="0"/>
    <n v="0"/>
    <s v="No"/>
    <m/>
  </r>
  <r>
    <n v="35.56666666666667"/>
    <d v="2013-11-30T00:00:00"/>
    <x v="0"/>
    <s v="KBC"/>
    <s v="Kachin"/>
    <s v="Momauk"/>
    <s v="Je Yang Hka "/>
    <m/>
    <m/>
    <m/>
    <m/>
    <m/>
    <m/>
    <m/>
    <m/>
    <m/>
    <n v="5268"/>
    <m/>
    <m/>
    <m/>
    <m/>
    <m/>
    <m/>
    <m/>
    <n v="0"/>
    <n v="0"/>
    <n v="0"/>
    <n v="0"/>
    <n v="0"/>
    <n v="0"/>
    <n v="0"/>
    <n v="0"/>
    <n v="0"/>
    <n v="0"/>
    <n v="0"/>
    <n v="0"/>
    <n v="0"/>
    <n v="0"/>
    <x v="0"/>
    <n v="0"/>
    <n v="0"/>
    <n v="0"/>
    <s v="MMR001CMP121"/>
    <x v="0"/>
    <x v="0"/>
    <x v="6"/>
    <n v="0"/>
    <s v="No"/>
    <m/>
  </r>
  <r>
    <n v="35.56666666666667"/>
    <d v="2013-11-30T00:00:00"/>
    <x v="9"/>
    <s v="MDCG"/>
    <s v="Kachin"/>
    <s v="Mansi"/>
    <s v="Lagatyan "/>
    <m/>
    <m/>
    <m/>
    <m/>
    <m/>
    <n v="447"/>
    <m/>
    <m/>
    <m/>
    <m/>
    <n v="398"/>
    <n v="390"/>
    <n v="0"/>
    <m/>
    <m/>
    <m/>
    <m/>
    <n v="0"/>
    <n v="0"/>
    <n v="0"/>
    <n v="0"/>
    <n v="0"/>
    <n v="0"/>
    <n v="0"/>
    <n v="0"/>
    <n v="0"/>
    <n v="0"/>
    <n v="0"/>
    <n v="0"/>
    <n v="0"/>
    <n v="0"/>
    <x v="2"/>
    <n v="0"/>
    <n v="0"/>
    <n v="0"/>
    <s v="MMR001CMP202"/>
    <x v="0"/>
    <x v="2"/>
    <x v="0"/>
    <s v=""/>
    <s v="No"/>
    <m/>
  </r>
  <r>
    <n v="35.56666666666667"/>
    <d v="2013-11-30T00:00:00"/>
    <x v="0"/>
    <m/>
    <s v="Kachin"/>
    <s v="Mansi"/>
    <s v="Lagatyan "/>
    <m/>
    <m/>
    <m/>
    <m/>
    <m/>
    <m/>
    <m/>
    <m/>
    <m/>
    <m/>
    <m/>
    <m/>
    <m/>
    <m/>
    <m/>
    <m/>
    <m/>
    <n v="0"/>
    <n v="0"/>
    <n v="0"/>
    <n v="0"/>
    <n v="0"/>
    <n v="0"/>
    <n v="0"/>
    <n v="0"/>
    <n v="0"/>
    <n v="0"/>
    <n v="0"/>
    <n v="0"/>
    <n v="0"/>
    <n v="0"/>
    <x v="0"/>
    <n v="0"/>
    <n v="0"/>
    <n v="0"/>
    <s v="MMR001CMP202"/>
    <x v="0"/>
    <x v="2"/>
    <x v="0"/>
    <s v=""/>
    <s v="No"/>
    <m/>
  </r>
  <r>
    <n v="35.56666666666667"/>
    <d v="2013-11-30T00:00:00"/>
    <x v="0"/>
    <s v="KBC"/>
    <s v="Kachin"/>
    <s v="Waingmaw"/>
    <s v="Laiza Market 3 - Laiza Gat"/>
    <m/>
    <m/>
    <m/>
    <m/>
    <m/>
    <m/>
    <m/>
    <m/>
    <m/>
    <n v="729"/>
    <m/>
    <m/>
    <m/>
    <m/>
    <m/>
    <m/>
    <m/>
    <n v="0"/>
    <n v="0"/>
    <n v="0"/>
    <n v="0"/>
    <n v="0"/>
    <n v="0"/>
    <n v="0"/>
    <n v="0"/>
    <n v="0"/>
    <n v="0"/>
    <n v="0"/>
    <n v="0"/>
    <n v="0"/>
    <n v="0"/>
    <x v="0"/>
    <n v="0"/>
    <n v="0"/>
    <n v="0"/>
    <s v="MMR001CMP117"/>
    <x v="0"/>
    <x v="2"/>
    <x v="6"/>
    <s v=""/>
    <s v="No"/>
    <m/>
  </r>
  <r>
    <n v="35.56666666666667"/>
    <d v="2013-11-30T00:00:00"/>
    <x v="0"/>
    <s v="LDO"/>
    <s v="Kachin"/>
    <s v="Mansi"/>
    <s v="Lana Zup Ja "/>
    <m/>
    <m/>
    <m/>
    <m/>
    <m/>
    <m/>
    <m/>
    <m/>
    <m/>
    <m/>
    <m/>
    <m/>
    <m/>
    <m/>
    <m/>
    <m/>
    <m/>
    <n v="0"/>
    <n v="0"/>
    <n v="0"/>
    <n v="0"/>
    <n v="0"/>
    <n v="0"/>
    <n v="0"/>
    <n v="0"/>
    <n v="0"/>
    <n v="0"/>
    <n v="0"/>
    <n v="0"/>
    <n v="0"/>
    <n v="0"/>
    <x v="0"/>
    <n v="0"/>
    <n v="0"/>
    <n v="0"/>
    <s v="MMR001CMP128"/>
    <x v="0"/>
    <x v="0"/>
    <x v="6"/>
    <n v="0"/>
    <s v="No"/>
    <m/>
  </r>
  <r>
    <n v="35.56666666666667"/>
    <d v="2013-11-30T00:00:00"/>
    <x v="1"/>
    <s v="UNHCR"/>
    <s v="Kachin"/>
    <s v="Mansi"/>
    <s v="Lana Zup Ja "/>
    <m/>
    <m/>
    <m/>
    <m/>
    <m/>
    <m/>
    <m/>
    <m/>
    <m/>
    <m/>
    <m/>
    <m/>
    <m/>
    <m/>
    <m/>
    <m/>
    <m/>
    <n v="0"/>
    <n v="0"/>
    <n v="0"/>
    <n v="0"/>
    <n v="0"/>
    <n v="0"/>
    <n v="0"/>
    <n v="0"/>
    <n v="0"/>
    <n v="0"/>
    <n v="0"/>
    <n v="0"/>
    <n v="0"/>
    <n v="0"/>
    <x v="0"/>
    <n v="0"/>
    <n v="0"/>
    <n v="0"/>
    <s v="MMR001CMP128"/>
    <x v="0"/>
    <x v="0"/>
    <x v="6"/>
    <n v="0"/>
    <s v="No"/>
    <m/>
  </r>
  <r>
    <n v="35.56666666666667"/>
    <d v="2013-11-30T00:00:00"/>
    <x v="0"/>
    <s v="KBC"/>
    <s v="Kachin"/>
    <s v="Chipwi"/>
    <s v="Lhaovao Baptist Church (LBC)"/>
    <m/>
    <m/>
    <m/>
    <m/>
    <m/>
    <m/>
    <m/>
    <m/>
    <m/>
    <m/>
    <m/>
    <m/>
    <m/>
    <m/>
    <m/>
    <m/>
    <m/>
    <n v="0"/>
    <n v="0"/>
    <n v="0"/>
    <n v="0"/>
    <n v="0"/>
    <n v="0"/>
    <n v="0"/>
    <n v="0"/>
    <n v="0"/>
    <n v="0"/>
    <n v="0"/>
    <n v="0"/>
    <n v="0"/>
    <n v="0"/>
    <x v="0"/>
    <n v="0"/>
    <n v="0"/>
    <n v="0"/>
    <s v="MMR001CMP195"/>
    <x v="0"/>
    <x v="0"/>
    <x v="5"/>
    <n v="0"/>
    <s v="No"/>
    <m/>
  </r>
  <r>
    <n v="35.56666666666667"/>
    <d v="2013-11-30T00:00:00"/>
    <x v="9"/>
    <s v="MDCG"/>
    <s v="Kachin"/>
    <s v="Bhamo"/>
    <s v="Lisu Boarding-House"/>
    <m/>
    <m/>
    <m/>
    <m/>
    <m/>
    <n v="206"/>
    <m/>
    <m/>
    <m/>
    <m/>
    <n v="242"/>
    <n v="156"/>
    <n v="0"/>
    <m/>
    <m/>
    <m/>
    <m/>
    <n v="0"/>
    <n v="0"/>
    <n v="0"/>
    <n v="0"/>
    <n v="0"/>
    <n v="0"/>
    <n v="0"/>
    <n v="0"/>
    <n v="0"/>
    <n v="0"/>
    <n v="0"/>
    <n v="0"/>
    <n v="0"/>
    <n v="0"/>
    <x v="2"/>
    <n v="0"/>
    <n v="0"/>
    <n v="0"/>
    <s v="MMR001CMP049"/>
    <x v="0"/>
    <x v="0"/>
    <x v="0"/>
    <n v="0"/>
    <s v="No"/>
    <m/>
  </r>
  <r>
    <n v="35.56666666666667"/>
    <d v="2013-11-30T00:00:00"/>
    <x v="0"/>
    <m/>
    <s v="Kachin"/>
    <s v="Bhamo"/>
    <s v="Lisu Boarding-House"/>
    <m/>
    <m/>
    <m/>
    <m/>
    <m/>
    <m/>
    <m/>
    <m/>
    <m/>
    <n v="120"/>
    <m/>
    <m/>
    <m/>
    <m/>
    <m/>
    <m/>
    <m/>
    <n v="0"/>
    <n v="0"/>
    <n v="0"/>
    <n v="0"/>
    <n v="0"/>
    <n v="0"/>
    <n v="0"/>
    <n v="0"/>
    <n v="0"/>
    <n v="0"/>
    <n v="0"/>
    <n v="0"/>
    <n v="0"/>
    <n v="0"/>
    <x v="0"/>
    <n v="0"/>
    <n v="0"/>
    <n v="0"/>
    <s v="MMR001CMP049"/>
    <x v="0"/>
    <x v="0"/>
    <x v="0"/>
    <n v="0"/>
    <s v="No"/>
    <m/>
  </r>
  <r>
    <n v="35.56666666666667"/>
    <d v="2013-11-30T00:00:00"/>
    <x v="0"/>
    <m/>
    <s v="Kachin"/>
    <s v="Momauk"/>
    <s v="Loi Je Baptist Church"/>
    <m/>
    <m/>
    <m/>
    <m/>
    <m/>
    <m/>
    <m/>
    <m/>
    <m/>
    <n v="105"/>
    <m/>
    <m/>
    <m/>
    <m/>
    <m/>
    <m/>
    <m/>
    <n v="0"/>
    <n v="0"/>
    <n v="0"/>
    <n v="0"/>
    <n v="0"/>
    <n v="0"/>
    <n v="0"/>
    <n v="0"/>
    <n v="0"/>
    <n v="0"/>
    <n v="0"/>
    <n v="0"/>
    <n v="0"/>
    <n v="0"/>
    <x v="0"/>
    <n v="0"/>
    <n v="0"/>
    <n v="0"/>
    <s v="MMR001CMP071"/>
    <x v="0"/>
    <x v="0"/>
    <x v="1"/>
    <n v="0"/>
    <s v="No"/>
    <m/>
  </r>
  <r>
    <n v="35.56666666666667"/>
    <d v="2013-11-30T00:00:00"/>
    <x v="0"/>
    <m/>
    <s v="Kachin"/>
    <s v="Momauk"/>
    <s v="Loi Je Catholic Church"/>
    <m/>
    <m/>
    <m/>
    <m/>
    <m/>
    <m/>
    <m/>
    <m/>
    <m/>
    <n v="246"/>
    <m/>
    <m/>
    <m/>
    <m/>
    <m/>
    <m/>
    <m/>
    <n v="0"/>
    <n v="0"/>
    <n v="0"/>
    <n v="0"/>
    <n v="0"/>
    <n v="0"/>
    <n v="0"/>
    <n v="0"/>
    <n v="0"/>
    <n v="0"/>
    <n v="0"/>
    <n v="0"/>
    <n v="0"/>
    <n v="0"/>
    <x v="0"/>
    <n v="0"/>
    <n v="0"/>
    <n v="0"/>
    <s v="MMR001CMP069"/>
    <x v="0"/>
    <x v="0"/>
    <x v="1"/>
    <n v="0"/>
    <s v="No"/>
    <m/>
  </r>
  <r>
    <n v="35.56666666666667"/>
    <d v="2013-11-30T00:00:00"/>
    <x v="0"/>
    <m/>
    <s v="Kachin"/>
    <s v="Momauk"/>
    <s v="Loi Je Lisu Camp"/>
    <m/>
    <m/>
    <m/>
    <m/>
    <m/>
    <m/>
    <m/>
    <m/>
    <m/>
    <n v="369"/>
    <m/>
    <m/>
    <m/>
    <m/>
    <m/>
    <m/>
    <m/>
    <n v="0"/>
    <n v="0"/>
    <n v="0"/>
    <n v="0"/>
    <n v="0"/>
    <n v="0"/>
    <n v="0"/>
    <n v="0"/>
    <n v="0"/>
    <n v="0"/>
    <n v="0"/>
    <n v="0"/>
    <n v="0"/>
    <n v="0"/>
    <x v="0"/>
    <n v="0"/>
    <n v="0"/>
    <n v="0"/>
    <s v="MMR001CMP070"/>
    <x v="0"/>
    <x v="0"/>
    <x v="1"/>
    <n v="0"/>
    <s v="No"/>
    <m/>
  </r>
  <r>
    <n v="35.56666666666667"/>
    <d v="2013-11-30T00:00:00"/>
    <x v="0"/>
    <s v="LDO"/>
    <s v="Kachin"/>
    <s v="Mansi"/>
    <s v="Lung Kawk  ( Hka Hkye Zup)"/>
    <m/>
    <m/>
    <m/>
    <m/>
    <m/>
    <m/>
    <m/>
    <m/>
    <m/>
    <m/>
    <m/>
    <m/>
    <m/>
    <m/>
    <m/>
    <m/>
    <m/>
    <n v="0"/>
    <n v="0"/>
    <n v="0"/>
    <n v="0"/>
    <n v="0"/>
    <n v="0"/>
    <n v="0"/>
    <n v="0"/>
    <n v="0"/>
    <n v="0"/>
    <n v="0"/>
    <n v="0"/>
    <n v="0"/>
    <n v="0"/>
    <x v="0"/>
    <n v="0"/>
    <n v="0"/>
    <n v="0"/>
    <s v="MMR001CMP135"/>
    <x v="0"/>
    <x v="2"/>
    <x v="6"/>
    <s v=""/>
    <s v="No"/>
    <m/>
  </r>
  <r>
    <n v="35.56666666666667"/>
    <d v="2013-11-30T00:00:00"/>
    <x v="0"/>
    <s v="KBC"/>
    <s v="Kachin"/>
    <s v="Waingmaw"/>
    <s v="Mading Baptist Church"/>
    <m/>
    <m/>
    <m/>
    <m/>
    <m/>
    <m/>
    <m/>
    <m/>
    <m/>
    <m/>
    <m/>
    <m/>
    <m/>
    <m/>
    <m/>
    <m/>
    <m/>
    <n v="0"/>
    <n v="0"/>
    <n v="0"/>
    <n v="0"/>
    <n v="0"/>
    <n v="0"/>
    <n v="0"/>
    <n v="0"/>
    <n v="0"/>
    <n v="0"/>
    <n v="0"/>
    <n v="0"/>
    <n v="0"/>
    <n v="0"/>
    <x v="0"/>
    <n v="0"/>
    <n v="0"/>
    <n v="0"/>
    <s v="MMR001CMP027"/>
    <x v="0"/>
    <x v="0"/>
    <x v="0"/>
    <n v="0"/>
    <s v="No"/>
    <m/>
  </r>
  <r>
    <n v="35.56666666666667"/>
    <d v="2013-11-30T00:00:00"/>
    <x v="0"/>
    <s v="KBC"/>
    <s v="Kachin"/>
    <s v="Waingmaw"/>
    <s v="Maga Yang "/>
    <m/>
    <m/>
    <m/>
    <m/>
    <m/>
    <m/>
    <m/>
    <m/>
    <m/>
    <m/>
    <m/>
    <m/>
    <m/>
    <m/>
    <m/>
    <m/>
    <m/>
    <n v="0"/>
    <n v="0"/>
    <n v="0"/>
    <n v="0"/>
    <n v="0"/>
    <n v="0"/>
    <n v="0"/>
    <n v="0"/>
    <n v="0"/>
    <n v="0"/>
    <n v="0"/>
    <n v="0"/>
    <n v="0"/>
    <n v="0"/>
    <x v="0"/>
    <n v="0"/>
    <n v="0"/>
    <n v="0"/>
    <s v="MMR001CMP119"/>
    <x v="0"/>
    <x v="0"/>
    <x v="6"/>
    <n v="0"/>
    <s v="No"/>
    <m/>
  </r>
  <r>
    <n v="35.56666666666667"/>
    <d v="2013-11-30T00:00:00"/>
    <x v="0"/>
    <s v="KBC"/>
    <s v="Kachin"/>
    <s v="Waingmaw"/>
    <s v="Maina AG Church"/>
    <m/>
    <m/>
    <m/>
    <m/>
    <m/>
    <m/>
    <m/>
    <m/>
    <m/>
    <m/>
    <m/>
    <m/>
    <m/>
    <m/>
    <m/>
    <m/>
    <m/>
    <n v="0"/>
    <n v="0"/>
    <n v="0"/>
    <n v="0"/>
    <n v="0"/>
    <n v="0"/>
    <n v="0"/>
    <n v="0"/>
    <n v="0"/>
    <n v="0"/>
    <n v="0"/>
    <n v="0"/>
    <n v="0"/>
    <n v="0"/>
    <x v="0"/>
    <n v="0"/>
    <n v="0"/>
    <n v="0"/>
    <s v="MMR001CMP031"/>
    <x v="0"/>
    <x v="0"/>
    <x v="0"/>
    <n v="0"/>
    <s v="No"/>
    <m/>
  </r>
  <r>
    <n v="35.56666666666667"/>
    <d v="2013-11-30T00:00:00"/>
    <x v="0"/>
    <s v="KBC"/>
    <s v="Kachin"/>
    <s v="Waingmaw"/>
    <s v="Maina KBC (Bawng Ring)"/>
    <m/>
    <m/>
    <m/>
    <m/>
    <m/>
    <m/>
    <m/>
    <m/>
    <m/>
    <m/>
    <m/>
    <m/>
    <m/>
    <m/>
    <m/>
    <m/>
    <m/>
    <n v="0"/>
    <n v="0"/>
    <n v="0"/>
    <n v="0"/>
    <n v="0"/>
    <n v="0"/>
    <n v="0"/>
    <n v="0"/>
    <n v="0"/>
    <n v="0"/>
    <n v="0"/>
    <n v="0"/>
    <n v="0"/>
    <n v="0"/>
    <x v="0"/>
    <n v="0"/>
    <n v="0"/>
    <n v="0"/>
    <s v="MMR001CMP040"/>
    <x v="0"/>
    <x v="0"/>
    <x v="0"/>
    <n v="0"/>
    <s v="No"/>
    <m/>
  </r>
  <r>
    <n v="35.56666666666667"/>
    <d v="2013-11-30T00:00:00"/>
    <x v="0"/>
    <s v="KBC"/>
    <s v="Kachin"/>
    <s v="Waingmaw"/>
    <s v="Maina Lawang Baptist Church"/>
    <m/>
    <m/>
    <m/>
    <m/>
    <m/>
    <m/>
    <m/>
    <m/>
    <m/>
    <m/>
    <m/>
    <m/>
    <m/>
    <m/>
    <m/>
    <m/>
    <m/>
    <n v="0"/>
    <n v="0"/>
    <n v="0"/>
    <n v="0"/>
    <n v="0"/>
    <n v="0"/>
    <n v="0"/>
    <n v="0"/>
    <n v="0"/>
    <n v="0"/>
    <n v="0"/>
    <n v="0"/>
    <n v="0"/>
    <n v="0"/>
    <x v="0"/>
    <n v="0"/>
    <n v="0"/>
    <n v="0"/>
    <s v="MMR001CMP039"/>
    <x v="0"/>
    <x v="0"/>
    <x v="0"/>
    <n v="0"/>
    <s v="No"/>
    <m/>
  </r>
  <r>
    <n v="35.56666666666667"/>
    <d v="2013-11-30T00:00:00"/>
    <x v="0"/>
    <m/>
    <s v="Kachin"/>
    <s v="Momauk"/>
    <s v="Man Bung Catholic compound"/>
    <m/>
    <m/>
    <m/>
    <m/>
    <m/>
    <m/>
    <m/>
    <m/>
    <m/>
    <n v="141"/>
    <m/>
    <m/>
    <m/>
    <m/>
    <m/>
    <m/>
    <m/>
    <n v="0"/>
    <n v="0"/>
    <n v="0"/>
    <n v="0"/>
    <n v="0"/>
    <n v="0"/>
    <n v="0"/>
    <n v="0"/>
    <n v="0"/>
    <n v="0"/>
    <n v="0"/>
    <n v="0"/>
    <n v="0"/>
    <n v="0"/>
    <x v="0"/>
    <n v="0"/>
    <n v="0"/>
    <n v="0"/>
    <s v="MMR001CMP062"/>
    <x v="0"/>
    <x v="0"/>
    <x v="0"/>
    <n v="0"/>
    <s v="No"/>
    <m/>
  </r>
  <r>
    <n v="35.56666666666667"/>
    <d v="2013-11-30T00:00:00"/>
    <x v="9"/>
    <s v="MDCG"/>
    <s v="Kachin"/>
    <s v="Mansi"/>
    <s v="Man Wing Baptist Church"/>
    <m/>
    <m/>
    <m/>
    <m/>
    <m/>
    <n v="347"/>
    <m/>
    <m/>
    <m/>
    <m/>
    <n v="386"/>
    <n v="234"/>
    <n v="0"/>
    <m/>
    <m/>
    <m/>
    <m/>
    <n v="0"/>
    <n v="0"/>
    <n v="0"/>
    <n v="0"/>
    <n v="0"/>
    <n v="0"/>
    <n v="0"/>
    <n v="0"/>
    <n v="0"/>
    <n v="0"/>
    <n v="0"/>
    <n v="0"/>
    <n v="0"/>
    <n v="0"/>
    <x v="2"/>
    <n v="0"/>
    <n v="0"/>
    <n v="0"/>
    <s v="MMR001CMP133"/>
    <x v="0"/>
    <x v="0"/>
    <x v="0"/>
    <n v="0"/>
    <s v="No"/>
    <m/>
  </r>
  <r>
    <n v="35.56666666666667"/>
    <d v="2013-11-30T00:00:00"/>
    <x v="0"/>
    <m/>
    <s v="Kachin"/>
    <s v="Mansi"/>
    <s v="Man Wing Baptist Church"/>
    <m/>
    <m/>
    <m/>
    <m/>
    <m/>
    <m/>
    <m/>
    <m/>
    <m/>
    <n v="444"/>
    <m/>
    <m/>
    <m/>
    <m/>
    <m/>
    <m/>
    <m/>
    <n v="0"/>
    <n v="0"/>
    <n v="0"/>
    <n v="0"/>
    <n v="0"/>
    <n v="0"/>
    <n v="0"/>
    <n v="0"/>
    <n v="0"/>
    <n v="0"/>
    <n v="0"/>
    <n v="0"/>
    <n v="0"/>
    <n v="0"/>
    <x v="0"/>
    <n v="0"/>
    <n v="0"/>
    <n v="0"/>
    <s v="MMR001CMP133"/>
    <x v="0"/>
    <x v="0"/>
    <x v="0"/>
    <n v="0"/>
    <s v="No"/>
    <m/>
  </r>
  <r>
    <n v="35.56666666666667"/>
    <d v="2013-11-30T00:00:00"/>
    <x v="9"/>
    <s v="MDCG"/>
    <s v="Kachin"/>
    <s v="Mansi"/>
    <s v="Man Wing Catholic Church"/>
    <m/>
    <m/>
    <m/>
    <m/>
    <m/>
    <n v="770"/>
    <m/>
    <m/>
    <m/>
    <m/>
    <n v="889"/>
    <n v="492"/>
    <n v="0"/>
    <m/>
    <m/>
    <m/>
    <m/>
    <n v="0"/>
    <n v="0"/>
    <n v="0"/>
    <n v="0"/>
    <n v="0"/>
    <n v="0"/>
    <n v="0"/>
    <n v="0"/>
    <n v="0"/>
    <n v="0"/>
    <n v="0"/>
    <n v="0"/>
    <n v="0"/>
    <n v="0"/>
    <x v="2"/>
    <n v="0"/>
    <n v="0"/>
    <n v="0"/>
    <s v="MMR001CMP132"/>
    <x v="0"/>
    <x v="0"/>
    <x v="0"/>
    <n v="0"/>
    <s v="No"/>
    <m/>
  </r>
  <r>
    <n v="35.56666666666667"/>
    <d v="2013-11-30T00:00:00"/>
    <x v="0"/>
    <m/>
    <s v="Kachin"/>
    <s v="Mansi"/>
    <s v="Man Wing Catholic Church"/>
    <m/>
    <m/>
    <m/>
    <m/>
    <m/>
    <m/>
    <m/>
    <m/>
    <m/>
    <n v="1080"/>
    <m/>
    <m/>
    <m/>
    <m/>
    <m/>
    <m/>
    <m/>
    <n v="0"/>
    <n v="0"/>
    <n v="0"/>
    <n v="0"/>
    <n v="0"/>
    <n v="0"/>
    <n v="0"/>
    <n v="0"/>
    <n v="0"/>
    <n v="0"/>
    <n v="0"/>
    <n v="0"/>
    <n v="0"/>
    <n v="0"/>
    <x v="0"/>
    <n v="0"/>
    <n v="0"/>
    <n v="0"/>
    <s v="MMR001CMP132"/>
    <x v="0"/>
    <x v="0"/>
    <x v="0"/>
    <n v="0"/>
    <s v="No"/>
    <m/>
  </r>
  <r>
    <n v="35.56666666666667"/>
    <d v="2013-11-30T00:00:00"/>
    <x v="0"/>
    <m/>
    <s v="Kachin"/>
    <s v="Mansi"/>
    <s v="Mansi Baptist Church"/>
    <m/>
    <m/>
    <m/>
    <m/>
    <m/>
    <m/>
    <m/>
    <m/>
    <m/>
    <n v="225"/>
    <m/>
    <m/>
    <m/>
    <m/>
    <m/>
    <m/>
    <m/>
    <n v="0"/>
    <n v="0"/>
    <n v="0"/>
    <n v="0"/>
    <n v="0"/>
    <n v="0"/>
    <n v="0"/>
    <n v="0"/>
    <n v="0"/>
    <n v="0"/>
    <n v="0"/>
    <n v="0"/>
    <n v="0"/>
    <n v="0"/>
    <x v="0"/>
    <n v="0"/>
    <n v="0"/>
    <n v="0"/>
    <s v="MMR001CMP066"/>
    <x v="0"/>
    <x v="0"/>
    <x v="0"/>
    <n v="0"/>
    <s v="No"/>
    <m/>
  </r>
  <r>
    <n v="35.56666666666667"/>
    <d v="2013-11-30T00:00:00"/>
    <x v="9"/>
    <s v="MDCG"/>
    <s v="Shan_North"/>
    <s v="Kutkai"/>
    <s v="Mine Yu Lay village"/>
    <m/>
    <m/>
    <m/>
    <m/>
    <m/>
    <n v="258"/>
    <m/>
    <m/>
    <m/>
    <m/>
    <n v="349"/>
    <n v="175"/>
    <n v="0"/>
    <m/>
    <m/>
    <m/>
    <m/>
    <n v="0"/>
    <n v="0"/>
    <n v="0"/>
    <n v="0"/>
    <n v="0"/>
    <n v="0"/>
    <n v="0"/>
    <n v="0"/>
    <n v="0"/>
    <n v="0"/>
    <n v="0"/>
    <n v="0"/>
    <n v="0"/>
    <n v="0"/>
    <x v="2"/>
    <n v="0"/>
    <n v="0"/>
    <n v="0"/>
    <s v="MMR015CMP018"/>
    <x v="0"/>
    <x v="0"/>
    <x v="1"/>
    <n v="0"/>
    <s v="No"/>
    <m/>
  </r>
  <r>
    <n v="35.56666666666667"/>
    <d v="2013-11-30T00:00:00"/>
    <x v="0"/>
    <m/>
    <s v="Kachin"/>
    <s v="Momauk"/>
    <s v="Momauk Baptist Church"/>
    <m/>
    <m/>
    <m/>
    <m/>
    <m/>
    <m/>
    <m/>
    <m/>
    <m/>
    <n v="906"/>
    <m/>
    <m/>
    <m/>
    <m/>
    <m/>
    <m/>
    <m/>
    <n v="0"/>
    <n v="0"/>
    <n v="0"/>
    <n v="0"/>
    <n v="0"/>
    <n v="0"/>
    <n v="0"/>
    <n v="0"/>
    <n v="0"/>
    <n v="0"/>
    <n v="0"/>
    <n v="0"/>
    <n v="0"/>
    <n v="0"/>
    <x v="0"/>
    <n v="0"/>
    <n v="0"/>
    <n v="0"/>
    <s v="MMR001CMP056"/>
    <x v="0"/>
    <x v="0"/>
    <x v="0"/>
    <n v="0"/>
    <s v="No"/>
    <m/>
  </r>
  <r>
    <n v="35.56666666666667"/>
    <d v="2013-11-30T00:00:00"/>
    <x v="0"/>
    <m/>
    <s v="Kachin"/>
    <s v="Momauk"/>
    <s v="Momauk Catholic Church (St. Patrick)"/>
    <m/>
    <m/>
    <m/>
    <m/>
    <m/>
    <m/>
    <m/>
    <m/>
    <m/>
    <n v="543"/>
    <m/>
    <m/>
    <m/>
    <m/>
    <m/>
    <m/>
    <m/>
    <n v="0"/>
    <n v="0"/>
    <n v="0"/>
    <n v="0"/>
    <n v="0"/>
    <n v="0"/>
    <n v="0"/>
    <n v="0"/>
    <n v="0"/>
    <n v="0"/>
    <n v="0"/>
    <n v="0"/>
    <n v="0"/>
    <n v="0"/>
    <x v="0"/>
    <n v="0"/>
    <n v="0"/>
    <n v="0"/>
    <s v="MMR001CMP057"/>
    <x v="0"/>
    <x v="2"/>
    <x v="0"/>
    <s v=""/>
    <s v="No"/>
    <m/>
  </r>
  <r>
    <n v="35.56666666666667"/>
    <d v="2013-11-30T00:00:00"/>
    <x v="0"/>
    <s v="KBC"/>
    <s v="Kachin"/>
    <s v="Mansi"/>
    <s v="Nam Lim Pa - Scattered IDPs in forest"/>
    <m/>
    <m/>
    <m/>
    <m/>
    <m/>
    <m/>
    <m/>
    <m/>
    <m/>
    <m/>
    <m/>
    <m/>
    <m/>
    <m/>
    <m/>
    <m/>
    <m/>
    <n v="0"/>
    <n v="0"/>
    <n v="0"/>
    <n v="0"/>
    <n v="0"/>
    <n v="0"/>
    <n v="0"/>
    <n v="0"/>
    <n v="0"/>
    <n v="0"/>
    <n v="0"/>
    <n v="0"/>
    <n v="0"/>
    <n v="0"/>
    <x v="0"/>
    <n v="0"/>
    <n v="0"/>
    <n v="0"/>
    <s v="MMR001CMP137"/>
    <x v="0"/>
    <x v="2"/>
    <x v="4"/>
    <s v=""/>
    <s v="No"/>
    <m/>
  </r>
  <r>
    <n v="35.56666666666667"/>
    <d v="2013-11-30T00:00:00"/>
    <x v="0"/>
    <m/>
    <s v="Kachin"/>
    <s v="Bhamo"/>
    <s v="Nant Hlaing Church"/>
    <m/>
    <m/>
    <m/>
    <m/>
    <m/>
    <m/>
    <m/>
    <m/>
    <m/>
    <n v="57"/>
    <m/>
    <m/>
    <m/>
    <m/>
    <m/>
    <m/>
    <m/>
    <n v="0"/>
    <n v="0"/>
    <n v="0"/>
    <n v="0"/>
    <n v="0"/>
    <n v="0"/>
    <n v="0"/>
    <n v="0"/>
    <n v="0"/>
    <n v="0"/>
    <n v="0"/>
    <n v="0"/>
    <n v="0"/>
    <n v="0"/>
    <x v="0"/>
    <n v="0"/>
    <n v="0"/>
    <n v="0"/>
    <s v="MMR001CMP054"/>
    <x v="0"/>
    <x v="0"/>
    <x v="0"/>
    <n v="0"/>
    <s v="No"/>
    <m/>
  </r>
  <r>
    <n v="35.56666666666667"/>
    <d v="2013-11-30T00:00:00"/>
    <x v="9"/>
    <s v="MDCG"/>
    <s v="Shan_North"/>
    <s v="Hseni"/>
    <s v="Narte"/>
    <m/>
    <m/>
    <m/>
    <m/>
    <m/>
    <n v="201"/>
    <m/>
    <m/>
    <m/>
    <m/>
    <n v="266"/>
    <n v="126"/>
    <n v="0"/>
    <m/>
    <m/>
    <m/>
    <m/>
    <n v="0"/>
    <n v="0"/>
    <n v="0"/>
    <n v="0"/>
    <n v="0"/>
    <n v="0"/>
    <n v="0"/>
    <n v="0"/>
    <n v="0"/>
    <n v="0"/>
    <n v="0"/>
    <n v="0"/>
    <n v="0"/>
    <n v="0"/>
    <x v="2"/>
    <n v="0"/>
    <n v="0"/>
    <n v="0"/>
    <s v="MMR015CMP207"/>
    <x v="0"/>
    <x v="0"/>
    <x v="0"/>
    <n v="0"/>
    <s v="No"/>
    <m/>
  </r>
  <r>
    <n v="35.56666666666667"/>
    <d v="2013-11-30T00:00:00"/>
    <x v="0"/>
    <s v="LDO"/>
    <s v="Kachin"/>
    <s v="Momauk"/>
    <s v="Nhkawng Pa "/>
    <m/>
    <m/>
    <m/>
    <m/>
    <m/>
    <m/>
    <m/>
    <m/>
    <m/>
    <m/>
    <m/>
    <m/>
    <m/>
    <m/>
    <m/>
    <m/>
    <m/>
    <n v="0"/>
    <n v="0"/>
    <n v="0"/>
    <n v="0"/>
    <n v="0"/>
    <n v="0"/>
    <n v="0"/>
    <n v="0"/>
    <n v="0"/>
    <n v="0"/>
    <n v="0"/>
    <n v="0"/>
    <n v="0"/>
    <n v="0"/>
    <x v="0"/>
    <n v="0"/>
    <n v="0"/>
    <n v="0"/>
    <s v="MMR001CMP131"/>
    <x v="0"/>
    <x v="0"/>
    <x v="5"/>
    <n v="0"/>
    <s v="No"/>
    <m/>
  </r>
  <r>
    <n v="35.56666666666667"/>
    <d v="2013-11-30T00:00:00"/>
    <x v="0"/>
    <m/>
    <s v="Kachin"/>
    <s v="Momauk"/>
    <s v="Ni Thaw Ka Monestry"/>
    <m/>
    <m/>
    <m/>
    <m/>
    <m/>
    <m/>
    <m/>
    <m/>
    <m/>
    <n v="60"/>
    <m/>
    <m/>
    <m/>
    <m/>
    <m/>
    <m/>
    <m/>
    <n v="0"/>
    <n v="0"/>
    <n v="0"/>
    <n v="0"/>
    <n v="0"/>
    <n v="0"/>
    <n v="0"/>
    <n v="0"/>
    <n v="0"/>
    <n v="0"/>
    <n v="0"/>
    <n v="0"/>
    <n v="0"/>
    <n v="0"/>
    <x v="0"/>
    <n v="0"/>
    <n v="0"/>
    <n v="0"/>
    <s v="MMR001CMP059"/>
    <x v="0"/>
    <x v="2"/>
    <x v="0"/>
    <s v=""/>
    <s v="No"/>
    <m/>
  </r>
  <r>
    <n v="35.56666666666667"/>
    <d v="2013-11-30T00:00:00"/>
    <x v="0"/>
    <m/>
    <s v="Kachin"/>
    <s v="Momauk"/>
    <s v="Nyaung Na Pin "/>
    <m/>
    <m/>
    <m/>
    <m/>
    <m/>
    <m/>
    <m/>
    <m/>
    <m/>
    <n v="135"/>
    <m/>
    <m/>
    <m/>
    <m/>
    <m/>
    <m/>
    <m/>
    <n v="0"/>
    <n v="0"/>
    <n v="0"/>
    <n v="0"/>
    <n v="0"/>
    <n v="0"/>
    <n v="0"/>
    <n v="0"/>
    <n v="0"/>
    <n v="0"/>
    <n v="0"/>
    <n v="0"/>
    <n v="0"/>
    <n v="0"/>
    <x v="0"/>
    <n v="0"/>
    <n v="0"/>
    <n v="0"/>
    <s v="MMR001CMP072"/>
    <x v="0"/>
    <x v="0"/>
    <x v="1"/>
    <n v="0"/>
    <s v="No"/>
    <m/>
  </r>
  <r>
    <n v="35.56666666666667"/>
    <d v="2013-11-30T00:00:00"/>
    <x v="0"/>
    <s v="LDO"/>
    <s v="Kachin"/>
    <s v="Momauk"/>
    <s v="Pa Kahtawng "/>
    <m/>
    <m/>
    <m/>
    <m/>
    <m/>
    <m/>
    <m/>
    <m/>
    <m/>
    <m/>
    <m/>
    <m/>
    <m/>
    <m/>
    <m/>
    <m/>
    <m/>
    <n v="0"/>
    <n v="0"/>
    <n v="0"/>
    <n v="0"/>
    <n v="0"/>
    <n v="0"/>
    <n v="0"/>
    <n v="0"/>
    <n v="0"/>
    <n v="0"/>
    <n v="0"/>
    <n v="0"/>
    <n v="0"/>
    <n v="0"/>
    <x v="0"/>
    <n v="0"/>
    <n v="0"/>
    <n v="0"/>
    <s v="MMR001CMP126"/>
    <x v="0"/>
    <x v="0"/>
    <x v="6"/>
    <n v="0"/>
    <s v="No"/>
    <m/>
  </r>
  <r>
    <n v="35.56666666666667"/>
    <d v="2013-11-30T00:00:00"/>
    <x v="1"/>
    <s v="UNHCR"/>
    <s v="Kachin"/>
    <s v="Momauk"/>
    <s v="Pa Kahtawng "/>
    <m/>
    <m/>
    <m/>
    <m/>
    <m/>
    <m/>
    <m/>
    <m/>
    <m/>
    <m/>
    <m/>
    <m/>
    <m/>
    <m/>
    <m/>
    <m/>
    <m/>
    <n v="0"/>
    <n v="0"/>
    <n v="0"/>
    <n v="0"/>
    <n v="0"/>
    <n v="0"/>
    <n v="0"/>
    <n v="0"/>
    <n v="0"/>
    <n v="0"/>
    <n v="0"/>
    <n v="0"/>
    <n v="0"/>
    <n v="0"/>
    <x v="0"/>
    <n v="0"/>
    <n v="0"/>
    <n v="0"/>
    <s v="MMR001CMP126"/>
    <x v="0"/>
    <x v="0"/>
    <x v="6"/>
    <n v="0"/>
    <s v="No"/>
    <m/>
  </r>
  <r>
    <n v="35.56666666666667"/>
    <d v="2013-11-30T00:00:00"/>
    <x v="0"/>
    <s v="KBC"/>
    <s v="Kachin"/>
    <s v="Waingmaw"/>
    <s v="Pajau - Jan Mai"/>
    <m/>
    <m/>
    <m/>
    <m/>
    <m/>
    <m/>
    <m/>
    <m/>
    <m/>
    <m/>
    <m/>
    <m/>
    <m/>
    <m/>
    <m/>
    <m/>
    <m/>
    <n v="0"/>
    <n v="0"/>
    <n v="0"/>
    <n v="0"/>
    <n v="0"/>
    <n v="0"/>
    <n v="0"/>
    <n v="0"/>
    <n v="0"/>
    <n v="0"/>
    <n v="0"/>
    <n v="0"/>
    <n v="0"/>
    <n v="0"/>
    <x v="0"/>
    <n v="0"/>
    <n v="0"/>
    <n v="0"/>
    <s v="MMR001CMP120"/>
    <x v="0"/>
    <x v="0"/>
    <x v="5"/>
    <n v="0"/>
    <s v="No"/>
    <m/>
  </r>
  <r>
    <n v="35.56666666666667"/>
    <d v="2013-11-30T00:00:00"/>
    <x v="9"/>
    <s v="MDCG"/>
    <s v="Kachin"/>
    <s v="Bhamo"/>
    <s v="Phan Khar Kone"/>
    <m/>
    <m/>
    <m/>
    <m/>
    <m/>
    <n v="320"/>
    <m/>
    <m/>
    <m/>
    <m/>
    <n v="234"/>
    <n v="336"/>
    <n v="0"/>
    <m/>
    <m/>
    <m/>
    <m/>
    <n v="0"/>
    <n v="0"/>
    <n v="0"/>
    <n v="0"/>
    <n v="0"/>
    <n v="0"/>
    <n v="0"/>
    <n v="0"/>
    <n v="0"/>
    <n v="0"/>
    <n v="0"/>
    <n v="0"/>
    <n v="0"/>
    <n v="0"/>
    <x v="2"/>
    <n v="0"/>
    <n v="0"/>
    <n v="0"/>
    <s v="MMR001CMP193"/>
    <x v="0"/>
    <x v="0"/>
    <x v="0"/>
    <n v="0"/>
    <s v="No"/>
    <m/>
  </r>
  <r>
    <n v="35.56666666666667"/>
    <d v="2013-11-30T00:00:00"/>
    <x v="0"/>
    <m/>
    <s v="Kachin"/>
    <s v="Bhamo"/>
    <s v="Phan Khar Kone"/>
    <m/>
    <m/>
    <m/>
    <m/>
    <m/>
    <m/>
    <m/>
    <m/>
    <m/>
    <m/>
    <m/>
    <m/>
    <m/>
    <m/>
    <m/>
    <m/>
    <m/>
    <n v="0"/>
    <n v="0"/>
    <n v="0"/>
    <n v="0"/>
    <n v="0"/>
    <n v="0"/>
    <n v="0"/>
    <n v="0"/>
    <n v="0"/>
    <n v="0"/>
    <n v="0"/>
    <n v="0"/>
    <n v="0"/>
    <n v="0"/>
    <x v="0"/>
    <n v="0"/>
    <n v="0"/>
    <n v="0"/>
    <s v="MMR001CMP193"/>
    <x v="0"/>
    <x v="0"/>
    <x v="0"/>
    <n v="0"/>
    <s v="No"/>
    <m/>
  </r>
  <r>
    <n v="35.56666666666667"/>
    <d v="2013-11-30T00:00:00"/>
    <x v="0"/>
    <s v="KBC"/>
    <s v="Kachin"/>
    <s v="Waingmaw"/>
    <s v="Post 6 Camp"/>
    <m/>
    <m/>
    <m/>
    <m/>
    <m/>
    <m/>
    <m/>
    <m/>
    <m/>
    <m/>
    <m/>
    <m/>
    <m/>
    <m/>
    <m/>
    <m/>
    <m/>
    <n v="0"/>
    <n v="0"/>
    <n v="0"/>
    <n v="0"/>
    <n v="0"/>
    <n v="0"/>
    <n v="0"/>
    <n v="0"/>
    <n v="0"/>
    <n v="0"/>
    <n v="0"/>
    <n v="0"/>
    <n v="0"/>
    <n v="0"/>
    <x v="0"/>
    <n v="0"/>
    <n v="0"/>
    <n v="0"/>
    <s v="MMR001CMP160"/>
    <x v="0"/>
    <x v="0"/>
    <x v="5"/>
    <n v="0"/>
    <s v="No"/>
    <m/>
  </r>
  <r>
    <n v="35.56666666666667"/>
    <d v="2013-11-30T00:00:00"/>
    <x v="0"/>
    <s v="KBC"/>
    <s v="Kachin"/>
    <s v="Waingmaw"/>
    <s v="Qtr. 2 Myoma Baptist Church"/>
    <m/>
    <m/>
    <m/>
    <m/>
    <m/>
    <m/>
    <m/>
    <m/>
    <m/>
    <m/>
    <m/>
    <m/>
    <m/>
    <m/>
    <m/>
    <m/>
    <m/>
    <n v="0"/>
    <n v="0"/>
    <n v="0"/>
    <n v="0"/>
    <n v="0"/>
    <n v="0"/>
    <n v="0"/>
    <n v="0"/>
    <n v="0"/>
    <n v="0"/>
    <n v="0"/>
    <n v="0"/>
    <n v="0"/>
    <n v="0"/>
    <x v="0"/>
    <n v="0"/>
    <n v="0"/>
    <n v="0"/>
    <s v="MMR001CMP025"/>
    <x v="0"/>
    <x v="0"/>
    <x v="0"/>
    <n v="0"/>
    <s v="No"/>
    <m/>
  </r>
  <r>
    <n v="35.56666666666667"/>
    <d v="2013-11-30T00:00:00"/>
    <x v="0"/>
    <s v="KBC"/>
    <s v="Kachin"/>
    <s v="Waingmaw"/>
    <s v="Qtr. 3 Mu-yin  Baptist Church"/>
    <m/>
    <m/>
    <m/>
    <m/>
    <m/>
    <m/>
    <m/>
    <m/>
    <m/>
    <m/>
    <m/>
    <m/>
    <m/>
    <m/>
    <m/>
    <m/>
    <m/>
    <n v="0"/>
    <n v="0"/>
    <n v="0"/>
    <n v="0"/>
    <n v="0"/>
    <n v="0"/>
    <n v="0"/>
    <n v="0"/>
    <n v="0"/>
    <n v="0"/>
    <n v="0"/>
    <n v="0"/>
    <n v="0"/>
    <n v="0"/>
    <x v="0"/>
    <n v="0"/>
    <n v="0"/>
    <n v="0"/>
    <s v="MMR001CMP030"/>
    <x v="0"/>
    <x v="0"/>
    <x v="0"/>
    <n v="0"/>
    <s v="No"/>
    <m/>
  </r>
  <r>
    <n v="35.56666666666667"/>
    <d v="2013-11-30T00:00:00"/>
    <x v="0"/>
    <s v="KBC"/>
    <s v="Kachin"/>
    <s v="Waingmaw"/>
    <s v="Qtr. 4 Monestry (Thargaya Thayett Taw)"/>
    <m/>
    <m/>
    <m/>
    <m/>
    <m/>
    <m/>
    <m/>
    <m/>
    <m/>
    <m/>
    <m/>
    <m/>
    <m/>
    <m/>
    <m/>
    <m/>
    <m/>
    <n v="0"/>
    <n v="0"/>
    <n v="0"/>
    <n v="0"/>
    <n v="0"/>
    <n v="0"/>
    <n v="0"/>
    <n v="0"/>
    <n v="0"/>
    <n v="0"/>
    <n v="0"/>
    <n v="0"/>
    <n v="0"/>
    <n v="0"/>
    <x v="0"/>
    <n v="0"/>
    <n v="0"/>
    <n v="0"/>
    <s v="MMR001CMP026"/>
    <x v="0"/>
    <x v="0"/>
    <x v="0"/>
    <n v="0"/>
    <s v="No"/>
    <m/>
  </r>
  <r>
    <n v="35.56666666666667"/>
    <d v="2013-11-30T00:00:00"/>
    <x v="0"/>
    <m/>
    <s v="Kachin"/>
    <s v="Bhamo"/>
    <s v="Robert Church"/>
    <m/>
    <m/>
    <m/>
    <m/>
    <m/>
    <m/>
    <m/>
    <m/>
    <m/>
    <n v="1164"/>
    <m/>
    <m/>
    <m/>
    <m/>
    <m/>
    <m/>
    <m/>
    <n v="0"/>
    <n v="0"/>
    <n v="0"/>
    <n v="0"/>
    <n v="0"/>
    <n v="0"/>
    <n v="0"/>
    <n v="0"/>
    <n v="0"/>
    <n v="0"/>
    <n v="0"/>
    <n v="0"/>
    <n v="0"/>
    <n v="0"/>
    <x v="0"/>
    <n v="0"/>
    <n v="0"/>
    <n v="0"/>
    <s v="MMR001CMP047"/>
    <x v="0"/>
    <x v="0"/>
    <x v="0"/>
    <n v="0"/>
    <s v="No"/>
    <m/>
  </r>
  <r>
    <n v="35.56666666666667"/>
    <d v="2013-11-30T00:00:00"/>
    <x v="1"/>
    <s v="UNHCR"/>
    <s v="Kachin"/>
    <s v="Bhamo"/>
    <s v="Robert Church"/>
    <m/>
    <m/>
    <m/>
    <n v="75"/>
    <n v="36"/>
    <n v="75"/>
    <n v="36"/>
    <n v="36"/>
    <m/>
    <m/>
    <m/>
    <m/>
    <m/>
    <m/>
    <m/>
    <m/>
    <m/>
    <n v="0"/>
    <n v="0"/>
    <n v="0"/>
    <n v="0"/>
    <n v="0"/>
    <n v="0"/>
    <n v="0"/>
    <n v="0"/>
    <n v="0"/>
    <n v="0"/>
    <n v="0"/>
    <n v="0"/>
    <n v="0"/>
    <n v="0"/>
    <x v="0"/>
    <n v="0"/>
    <n v="0"/>
    <n v="0"/>
    <s v="MMR001CMP047"/>
    <x v="0"/>
    <x v="0"/>
    <x v="0"/>
    <n v="5.7507987220447282E-2"/>
    <s v="No"/>
    <m/>
  </r>
  <r>
    <n v="35.56666666666667"/>
    <d v="2013-11-30T00:00:00"/>
    <x v="0"/>
    <m/>
    <s v="Kachin"/>
    <s v="Momauk"/>
    <s v="Seng Ja "/>
    <m/>
    <m/>
    <m/>
    <m/>
    <m/>
    <m/>
    <m/>
    <m/>
    <m/>
    <n v="99"/>
    <m/>
    <m/>
    <m/>
    <m/>
    <m/>
    <m/>
    <m/>
    <n v="0"/>
    <n v="0"/>
    <n v="0"/>
    <n v="0"/>
    <n v="0"/>
    <n v="0"/>
    <n v="0"/>
    <n v="0"/>
    <n v="0"/>
    <n v="0"/>
    <n v="0"/>
    <n v="0"/>
    <n v="0"/>
    <n v="0"/>
    <x v="0"/>
    <n v="0"/>
    <n v="0"/>
    <n v="0"/>
    <s v="MMR001CMP073"/>
    <x v="0"/>
    <x v="0"/>
    <x v="1"/>
    <n v="0"/>
    <s v="No"/>
    <m/>
  </r>
  <r>
    <n v="35.56666666666667"/>
    <d v="2013-11-30T00:00:00"/>
    <x v="0"/>
    <s v="KBC"/>
    <s v="Kachin"/>
    <s v="Waingmaw"/>
    <s v="Shing Jai"/>
    <m/>
    <m/>
    <m/>
    <m/>
    <m/>
    <m/>
    <m/>
    <m/>
    <m/>
    <m/>
    <m/>
    <m/>
    <m/>
    <m/>
    <m/>
    <m/>
    <m/>
    <n v="0"/>
    <n v="0"/>
    <n v="0"/>
    <n v="0"/>
    <n v="0"/>
    <n v="0"/>
    <n v="0"/>
    <n v="0"/>
    <n v="0"/>
    <n v="0"/>
    <n v="0"/>
    <n v="0"/>
    <n v="0"/>
    <n v="0"/>
    <x v="0"/>
    <n v="0"/>
    <n v="0"/>
    <n v="0"/>
    <s v="MMR001CMP041"/>
    <x v="0"/>
    <x v="0"/>
    <x v="5"/>
    <n v="0"/>
    <s v="No"/>
    <m/>
  </r>
  <r>
    <n v="35.56666666666667"/>
    <d v="2013-11-30T00:00:00"/>
    <x v="9"/>
    <s v="MDCG"/>
    <s v="Kachin"/>
    <s v="Shwegu"/>
    <s v="Shwe Gu Baptist Church"/>
    <m/>
    <m/>
    <m/>
    <m/>
    <m/>
    <n v="197"/>
    <m/>
    <m/>
    <m/>
    <m/>
    <n v="226"/>
    <n v="68"/>
    <n v="0"/>
    <m/>
    <m/>
    <m/>
    <m/>
    <n v="0"/>
    <n v="0"/>
    <n v="0"/>
    <n v="0"/>
    <n v="0"/>
    <n v="0"/>
    <n v="0"/>
    <n v="0"/>
    <n v="0"/>
    <n v="0"/>
    <n v="0"/>
    <n v="0"/>
    <n v="0"/>
    <n v="0"/>
    <x v="2"/>
    <n v="0"/>
    <n v="0"/>
    <n v="0"/>
    <s v="MMR001CMP067"/>
    <x v="0"/>
    <x v="0"/>
    <x v="0"/>
    <n v="0"/>
    <s v="No"/>
    <m/>
  </r>
  <r>
    <n v="35.56666666666667"/>
    <d v="2013-11-30T00:00:00"/>
    <x v="0"/>
    <m/>
    <s v="Kachin"/>
    <s v="Shwegu"/>
    <s v="Shwe Gu Baptist Church"/>
    <m/>
    <m/>
    <m/>
    <m/>
    <m/>
    <m/>
    <m/>
    <m/>
    <m/>
    <n v="204"/>
    <m/>
    <m/>
    <m/>
    <m/>
    <m/>
    <m/>
    <m/>
    <n v="0"/>
    <n v="0"/>
    <n v="0"/>
    <n v="0"/>
    <n v="0"/>
    <n v="0"/>
    <n v="0"/>
    <n v="0"/>
    <n v="0"/>
    <n v="0"/>
    <n v="0"/>
    <n v="0"/>
    <n v="0"/>
    <n v="0"/>
    <x v="0"/>
    <n v="0"/>
    <n v="0"/>
    <n v="0"/>
    <s v="MMR001CMP067"/>
    <x v="0"/>
    <x v="0"/>
    <x v="0"/>
    <n v="0"/>
    <s v="No"/>
    <m/>
  </r>
  <r>
    <n v="35.56666666666667"/>
    <d v="2013-11-30T00:00:00"/>
    <x v="9"/>
    <s v="MDCG"/>
    <s v="Kachin"/>
    <s v="Shwegu"/>
    <s v="Shwe Gu Catholic Church"/>
    <m/>
    <m/>
    <m/>
    <m/>
    <m/>
    <n v="142"/>
    <m/>
    <m/>
    <m/>
    <m/>
    <n v="182"/>
    <n v="60"/>
    <n v="0"/>
    <m/>
    <m/>
    <m/>
    <m/>
    <n v="0"/>
    <n v="0"/>
    <n v="0"/>
    <n v="0"/>
    <n v="0"/>
    <n v="0"/>
    <n v="0"/>
    <n v="0"/>
    <n v="0"/>
    <n v="0"/>
    <n v="0"/>
    <n v="0"/>
    <n v="0"/>
    <n v="0"/>
    <x v="2"/>
    <n v="0"/>
    <n v="0"/>
    <n v="0"/>
    <s v="MMR001CMP068"/>
    <x v="0"/>
    <x v="0"/>
    <x v="0"/>
    <n v="0"/>
    <s v="No"/>
    <m/>
  </r>
  <r>
    <n v="35.56666666666667"/>
    <d v="2013-11-30T00:00:00"/>
    <x v="0"/>
    <m/>
    <s v="Kachin"/>
    <s v="Shwegu"/>
    <s v="Shwe Gu Catholic Church"/>
    <m/>
    <m/>
    <m/>
    <m/>
    <m/>
    <m/>
    <m/>
    <m/>
    <m/>
    <n v="126"/>
    <m/>
    <m/>
    <m/>
    <m/>
    <m/>
    <m/>
    <m/>
    <n v="0"/>
    <n v="0"/>
    <n v="0"/>
    <n v="0"/>
    <n v="0"/>
    <n v="0"/>
    <n v="0"/>
    <n v="0"/>
    <n v="0"/>
    <n v="0"/>
    <n v="0"/>
    <n v="0"/>
    <n v="0"/>
    <n v="0"/>
    <x v="0"/>
    <n v="0"/>
    <n v="0"/>
    <n v="0"/>
    <s v="MMR001CMP068"/>
    <x v="0"/>
    <x v="0"/>
    <x v="0"/>
    <n v="0"/>
    <s v="No"/>
    <m/>
  </r>
  <r>
    <n v="35.56666666666667"/>
    <d v="2013-11-30T00:00:00"/>
    <x v="9"/>
    <s v="MDCG"/>
    <s v="Kachin"/>
    <s v="Bhamo"/>
    <s v="Ta Gun Taing Monastery (Shwe Kyi Na)"/>
    <m/>
    <m/>
    <m/>
    <m/>
    <m/>
    <n v="135"/>
    <m/>
    <m/>
    <m/>
    <m/>
    <n v="68"/>
    <n v="61"/>
    <n v="0"/>
    <m/>
    <m/>
    <m/>
    <m/>
    <n v="0"/>
    <n v="0"/>
    <n v="0"/>
    <n v="0"/>
    <n v="0"/>
    <n v="0"/>
    <n v="0"/>
    <n v="0"/>
    <n v="0"/>
    <n v="0"/>
    <n v="0"/>
    <n v="0"/>
    <n v="0"/>
    <n v="0"/>
    <x v="2"/>
    <n v="0"/>
    <n v="0"/>
    <n v="0"/>
    <s v="MMR001CMP055"/>
    <x v="0"/>
    <x v="0"/>
    <x v="0"/>
    <n v="0"/>
    <s v="No"/>
    <m/>
  </r>
  <r>
    <n v="35.56666666666667"/>
    <d v="2013-11-30T00:00:00"/>
    <x v="0"/>
    <m/>
    <s v="Kachin"/>
    <s v="Bhamo"/>
    <s v="Ta Gun Taing Monastery (Shwe Kyi Na)"/>
    <m/>
    <m/>
    <m/>
    <m/>
    <m/>
    <m/>
    <m/>
    <m/>
    <m/>
    <m/>
    <m/>
    <m/>
    <m/>
    <m/>
    <m/>
    <m/>
    <m/>
    <n v="0"/>
    <n v="0"/>
    <n v="0"/>
    <n v="0"/>
    <n v="0"/>
    <n v="0"/>
    <n v="0"/>
    <n v="0"/>
    <n v="0"/>
    <n v="0"/>
    <n v="0"/>
    <n v="0"/>
    <n v="0"/>
    <n v="0"/>
    <x v="0"/>
    <n v="0"/>
    <n v="0"/>
    <n v="0"/>
    <s v="MMR001CMP055"/>
    <x v="0"/>
    <x v="0"/>
    <x v="0"/>
    <n v="0"/>
    <s v="No"/>
    <m/>
  </r>
  <r>
    <n v="35.56666666666667"/>
    <d v="2013-11-30T00:00:00"/>
    <x v="0"/>
    <s v="KBC"/>
    <s v="Kachin"/>
    <s v="Waingmaw"/>
    <s v="Thargaya Lisu Baptist Church"/>
    <m/>
    <m/>
    <m/>
    <m/>
    <m/>
    <m/>
    <m/>
    <m/>
    <m/>
    <m/>
    <m/>
    <m/>
    <m/>
    <m/>
    <m/>
    <m/>
    <m/>
    <n v="0"/>
    <n v="0"/>
    <n v="0"/>
    <n v="0"/>
    <n v="0"/>
    <n v="0"/>
    <n v="0"/>
    <n v="0"/>
    <n v="0"/>
    <n v="0"/>
    <n v="0"/>
    <n v="0"/>
    <n v="0"/>
    <n v="0"/>
    <x v="0"/>
    <n v="0"/>
    <n v="0"/>
    <n v="0"/>
    <s v="MMR001CMP037"/>
    <x v="0"/>
    <x v="0"/>
    <x v="0"/>
    <n v="0"/>
    <s v="No"/>
    <m/>
  </r>
  <r>
    <n v="35.56666666666667"/>
    <d v="2013-11-30T00:00:00"/>
    <x v="0"/>
    <s v="KBC"/>
    <s v="Kachin"/>
    <s v="Waingmaw"/>
    <s v="Waingmaw AG Church"/>
    <m/>
    <m/>
    <m/>
    <m/>
    <m/>
    <m/>
    <m/>
    <m/>
    <m/>
    <m/>
    <m/>
    <m/>
    <m/>
    <m/>
    <m/>
    <m/>
    <m/>
    <n v="0"/>
    <n v="0"/>
    <n v="0"/>
    <n v="0"/>
    <n v="0"/>
    <n v="0"/>
    <n v="0"/>
    <n v="0"/>
    <n v="0"/>
    <n v="0"/>
    <n v="0"/>
    <n v="0"/>
    <n v="0"/>
    <n v="0"/>
    <x v="0"/>
    <n v="0"/>
    <n v="0"/>
    <n v="0"/>
    <s v="MMR001CMP038"/>
    <x v="0"/>
    <x v="0"/>
    <x v="0"/>
    <n v="0"/>
    <s v="No"/>
    <m/>
  </r>
  <r>
    <n v="35.56666666666667"/>
    <d v="2013-11-30T00:00:00"/>
    <x v="0"/>
    <s v="KBC"/>
    <s v="Kachin"/>
    <s v="Waingmaw"/>
    <s v="Woi Chyai "/>
    <m/>
    <m/>
    <m/>
    <m/>
    <m/>
    <m/>
    <m/>
    <m/>
    <m/>
    <n v="1851"/>
    <m/>
    <m/>
    <m/>
    <m/>
    <m/>
    <m/>
    <m/>
    <n v="0"/>
    <n v="0"/>
    <n v="0"/>
    <n v="0"/>
    <n v="0"/>
    <n v="0"/>
    <n v="0"/>
    <n v="0"/>
    <n v="0"/>
    <n v="0"/>
    <n v="0"/>
    <n v="0"/>
    <n v="0"/>
    <n v="0"/>
    <x v="0"/>
    <n v="0"/>
    <n v="0"/>
    <n v="0"/>
    <s v="MMR001CMP116"/>
    <x v="0"/>
    <x v="0"/>
    <x v="0"/>
    <n v="0"/>
    <s v="No"/>
    <m/>
  </r>
  <r>
    <n v="35.56666666666667"/>
    <d v="2013-11-30T00:00:00"/>
    <x v="9"/>
    <s v="MDCG"/>
    <s v="Kachin"/>
    <s v="Bhamo"/>
    <s v="Yoe Kyi Monastery"/>
    <m/>
    <m/>
    <m/>
    <m/>
    <m/>
    <n v="64"/>
    <m/>
    <m/>
    <m/>
    <m/>
    <n v="58"/>
    <n v="52"/>
    <n v="0"/>
    <m/>
    <m/>
    <m/>
    <m/>
    <n v="0"/>
    <n v="0"/>
    <n v="0"/>
    <n v="0"/>
    <n v="0"/>
    <n v="0"/>
    <n v="0"/>
    <n v="0"/>
    <n v="0"/>
    <n v="0"/>
    <n v="0"/>
    <n v="0"/>
    <n v="0"/>
    <n v="0"/>
    <x v="2"/>
    <n v="0"/>
    <n v="0"/>
    <n v="0"/>
    <s v="MMR001CMP053"/>
    <x v="0"/>
    <x v="0"/>
    <x v="0"/>
    <n v="0"/>
    <s v="No"/>
    <m/>
  </r>
  <r>
    <n v="35.56666666666667"/>
    <d v="2013-11-30T00:00:00"/>
    <x v="0"/>
    <m/>
    <s v="Kachin"/>
    <s v="Bhamo"/>
    <s v="Yoe Kyi Monastery"/>
    <m/>
    <m/>
    <m/>
    <m/>
    <m/>
    <m/>
    <m/>
    <m/>
    <m/>
    <n v="99"/>
    <m/>
    <m/>
    <m/>
    <m/>
    <m/>
    <m/>
    <m/>
    <n v="0"/>
    <n v="0"/>
    <n v="0"/>
    <n v="0"/>
    <n v="0"/>
    <n v="0"/>
    <n v="0"/>
    <n v="0"/>
    <n v="0"/>
    <n v="0"/>
    <n v="0"/>
    <n v="0"/>
    <n v="0"/>
    <n v="0"/>
    <x v="0"/>
    <n v="0"/>
    <n v="0"/>
    <n v="0"/>
    <s v="MMR001CMP053"/>
    <x v="0"/>
    <x v="0"/>
    <x v="0"/>
    <n v="0"/>
    <s v="No"/>
    <m/>
  </r>
  <r>
    <n v="35.56666666666667"/>
    <d v="2013-11-30T00:00:00"/>
    <x v="0"/>
    <s v="KBC"/>
    <s v="Kachin"/>
    <s v="Waingmaw"/>
    <s v="Zai Awng - Mung Ga Zup"/>
    <m/>
    <m/>
    <m/>
    <m/>
    <m/>
    <m/>
    <m/>
    <m/>
    <m/>
    <m/>
    <m/>
    <m/>
    <m/>
    <m/>
    <m/>
    <m/>
    <m/>
    <n v="0"/>
    <n v="0"/>
    <n v="0"/>
    <n v="0"/>
    <n v="0"/>
    <n v="0"/>
    <n v="0"/>
    <n v="0"/>
    <n v="0"/>
    <n v="0"/>
    <n v="0"/>
    <n v="0"/>
    <n v="0"/>
    <n v="0"/>
    <x v="0"/>
    <n v="0"/>
    <n v="0"/>
    <n v="0"/>
    <s v="MMR001CMP111"/>
    <x v="0"/>
    <x v="0"/>
    <x v="6"/>
    <n v="0"/>
    <s v="No"/>
    <m/>
  </r>
  <r>
    <n v="35.6"/>
    <d v="2013-11-29T00:00:00"/>
    <x v="0"/>
    <s v="KBC"/>
    <s v="Kachin"/>
    <s v="Waingmaw"/>
    <s v="Hkau Shau (BP 12)"/>
    <m/>
    <m/>
    <m/>
    <m/>
    <m/>
    <m/>
    <m/>
    <m/>
    <m/>
    <m/>
    <n v="177"/>
    <n v="354"/>
    <n v="1062"/>
    <n v="531"/>
    <m/>
    <m/>
    <m/>
    <n v="0"/>
    <n v="0"/>
    <n v="0"/>
    <n v="0"/>
    <n v="0"/>
    <n v="0"/>
    <n v="0"/>
    <n v="0"/>
    <n v="0"/>
    <n v="0"/>
    <n v="0"/>
    <n v="0"/>
    <n v="0"/>
    <n v="0"/>
    <x v="2"/>
    <n v="0"/>
    <n v="0"/>
    <n v="0"/>
    <s v="MMR001CMP115"/>
    <x v="0"/>
    <x v="0"/>
    <x v="5"/>
    <n v="0"/>
    <m/>
    <m/>
  </r>
  <r>
    <n v="35.633333333333333"/>
    <d v="2013-11-28T00:00:00"/>
    <x v="1"/>
    <s v="UNHCR"/>
    <s v="Kachin"/>
    <s v="Mansi"/>
    <s v="Mansi Baptist Church"/>
    <m/>
    <m/>
    <m/>
    <n v="20"/>
    <n v="7"/>
    <n v="22"/>
    <n v="7"/>
    <n v="7"/>
    <m/>
    <m/>
    <m/>
    <m/>
    <m/>
    <m/>
    <m/>
    <m/>
    <m/>
    <n v="0"/>
    <n v="0"/>
    <n v="0"/>
    <n v="0"/>
    <n v="0"/>
    <n v="0"/>
    <n v="0"/>
    <n v="0"/>
    <n v="0"/>
    <n v="0"/>
    <n v="0"/>
    <n v="0"/>
    <n v="0"/>
    <n v="0"/>
    <x v="0"/>
    <n v="0"/>
    <n v="0"/>
    <n v="0"/>
    <s v="MMR001CMP066"/>
    <x v="0"/>
    <x v="0"/>
    <x v="0"/>
    <n v="3.553299492385787E-2"/>
    <s v="No"/>
    <m/>
  </r>
  <r>
    <n v="35.633333333333333"/>
    <d v="2013-11-28T00:00:00"/>
    <x v="0"/>
    <s v="KBC"/>
    <s v="Kachin"/>
    <s v="Waingmaw"/>
    <s v="Zai Awng - Mung Ga Zup"/>
    <m/>
    <m/>
    <m/>
    <m/>
    <m/>
    <m/>
    <m/>
    <m/>
    <m/>
    <m/>
    <n v="636"/>
    <n v="1272"/>
    <n v="3816"/>
    <n v="1908"/>
    <m/>
    <m/>
    <m/>
    <n v="0"/>
    <n v="0"/>
    <n v="0"/>
    <n v="0"/>
    <n v="0"/>
    <n v="0"/>
    <n v="0"/>
    <n v="0"/>
    <n v="0"/>
    <n v="0"/>
    <n v="0"/>
    <n v="0"/>
    <n v="0"/>
    <n v="0"/>
    <x v="2"/>
    <n v="0"/>
    <n v="0"/>
    <n v="0"/>
    <s v="MMR001CMP111"/>
    <x v="0"/>
    <x v="0"/>
    <x v="6"/>
    <n v="0"/>
    <m/>
    <m/>
  </r>
  <r>
    <n v="35.700000000000003"/>
    <d v="2013-11-26T00:00:00"/>
    <x v="1"/>
    <s v="UNHCR"/>
    <s v="Kachin"/>
    <s v="Bhamo"/>
    <s v="Aung Thar Church"/>
    <m/>
    <m/>
    <m/>
    <n v="11"/>
    <n v="5"/>
    <n v="11"/>
    <n v="5"/>
    <n v="5"/>
    <m/>
    <m/>
    <m/>
    <m/>
    <m/>
    <m/>
    <m/>
    <m/>
    <m/>
    <n v="0"/>
    <n v="0"/>
    <n v="0"/>
    <n v="0"/>
    <n v="0"/>
    <n v="0"/>
    <n v="0"/>
    <n v="0"/>
    <n v="0"/>
    <n v="0"/>
    <n v="0"/>
    <n v="0"/>
    <n v="0"/>
    <n v="0"/>
    <x v="0"/>
    <n v="0"/>
    <n v="0"/>
    <n v="0"/>
    <s v="MMR001CMP194"/>
    <x v="0"/>
    <x v="0"/>
    <x v="0"/>
    <n v="0.41666666666666669"/>
    <s v="No"/>
    <m/>
  </r>
  <r>
    <n v="35.700000000000003"/>
    <d v="2013-11-26T00:00:00"/>
    <x v="1"/>
    <s v="UNHCR"/>
    <s v="Kachin"/>
    <s v="Bhamo"/>
    <s v="Host Families"/>
    <m/>
    <m/>
    <m/>
    <n v="25"/>
    <n v="13"/>
    <n v="25"/>
    <n v="13"/>
    <n v="13"/>
    <m/>
    <m/>
    <m/>
    <m/>
    <m/>
    <m/>
    <m/>
    <m/>
    <m/>
    <n v="0"/>
    <n v="0"/>
    <n v="0"/>
    <n v="0"/>
    <n v="0"/>
    <n v="0"/>
    <n v="0"/>
    <n v="0"/>
    <n v="0"/>
    <n v="0"/>
    <n v="0"/>
    <n v="0"/>
    <n v="0"/>
    <n v="0"/>
    <x v="0"/>
    <n v="0"/>
    <n v="0"/>
    <n v="0"/>
    <s v="MMR001CMP163"/>
    <x v="0"/>
    <x v="0"/>
    <x v="0"/>
    <n v="6.1611374407582936E-2"/>
    <s v="No"/>
    <m/>
  </r>
  <r>
    <n v="35.700000000000003"/>
    <d v="2013-11-26T00:00:00"/>
    <x v="0"/>
    <s v="Solidarities"/>
    <s v="Kachin"/>
    <s v="Mansi"/>
    <s v="Lagatyan "/>
    <m/>
    <m/>
    <m/>
    <m/>
    <m/>
    <m/>
    <m/>
    <m/>
    <m/>
    <m/>
    <n v="80"/>
    <n v="160"/>
    <n v="480"/>
    <n v="240"/>
    <m/>
    <m/>
    <m/>
    <n v="0"/>
    <n v="0"/>
    <n v="0"/>
    <n v="0"/>
    <n v="0"/>
    <n v="0"/>
    <n v="0"/>
    <n v="0"/>
    <n v="0"/>
    <n v="0"/>
    <n v="0"/>
    <n v="0"/>
    <n v="0"/>
    <n v="0"/>
    <x v="2"/>
    <n v="0"/>
    <n v="0"/>
    <n v="0"/>
    <s v="MMR001CMP202"/>
    <x v="0"/>
    <x v="2"/>
    <x v="0"/>
    <s v=""/>
    <m/>
    <m/>
  </r>
  <r>
    <n v="35.700000000000003"/>
    <d v="2013-11-26T00:00:00"/>
    <x v="1"/>
    <s v="UNHCR"/>
    <s v="Kachin"/>
    <s v="Bhamo"/>
    <s v="Lisu Boarding-House"/>
    <m/>
    <m/>
    <m/>
    <n v="31"/>
    <n v="13"/>
    <n v="31"/>
    <n v="13"/>
    <n v="13"/>
    <m/>
    <m/>
    <m/>
    <m/>
    <m/>
    <m/>
    <m/>
    <m/>
    <m/>
    <n v="0"/>
    <n v="0"/>
    <n v="0"/>
    <n v="0"/>
    <n v="0"/>
    <n v="0"/>
    <n v="0"/>
    <n v="0"/>
    <n v="0"/>
    <n v="0"/>
    <n v="0"/>
    <n v="0"/>
    <n v="0"/>
    <n v="0"/>
    <x v="0"/>
    <n v="0"/>
    <n v="0"/>
    <n v="0"/>
    <s v="MMR001CMP049"/>
    <x v="0"/>
    <x v="0"/>
    <x v="0"/>
    <n v="0.11206896551724138"/>
    <s v="No"/>
    <m/>
  </r>
  <r>
    <n v="35.700000000000003"/>
    <d v="2013-11-26T00:00:00"/>
    <x v="1"/>
    <s v="UNHCR"/>
    <s v="Kachin"/>
    <s v="Bhamo"/>
    <s v="Mu-yin Baptist Church"/>
    <m/>
    <m/>
    <m/>
    <n v="22"/>
    <n v="11"/>
    <n v="22"/>
    <n v="11"/>
    <n v="11"/>
    <m/>
    <m/>
    <m/>
    <m/>
    <m/>
    <m/>
    <m/>
    <m/>
    <m/>
    <n v="0"/>
    <n v="0"/>
    <n v="0"/>
    <n v="0"/>
    <n v="0"/>
    <n v="0"/>
    <n v="0"/>
    <n v="0"/>
    <n v="0"/>
    <n v="0"/>
    <n v="0"/>
    <n v="0"/>
    <n v="0"/>
    <n v="0"/>
    <x v="0"/>
    <n v="0"/>
    <n v="0"/>
    <n v="0"/>
    <s v="MMR001CMP051"/>
    <x v="0"/>
    <x v="0"/>
    <x v="0"/>
    <n v="0.7857142857142857"/>
    <s v="No"/>
    <m/>
  </r>
  <r>
    <n v="35.700000000000003"/>
    <d v="2013-11-26T00:00:00"/>
    <x v="0"/>
    <s v="KBC"/>
    <s v="Kachin"/>
    <s v="Waingmaw"/>
    <s v="Pajau - Jan Mai"/>
    <m/>
    <m/>
    <m/>
    <m/>
    <m/>
    <m/>
    <m/>
    <m/>
    <m/>
    <m/>
    <n v="98"/>
    <n v="196"/>
    <n v="588"/>
    <n v="294"/>
    <m/>
    <m/>
    <m/>
    <n v="0"/>
    <n v="0"/>
    <n v="0"/>
    <n v="0"/>
    <n v="0"/>
    <n v="0"/>
    <n v="0"/>
    <n v="0"/>
    <n v="0"/>
    <n v="0"/>
    <n v="0"/>
    <n v="0"/>
    <n v="0"/>
    <n v="0"/>
    <x v="2"/>
    <n v="0"/>
    <n v="0"/>
    <n v="0"/>
    <s v="MMR001CMP120"/>
    <x v="0"/>
    <x v="0"/>
    <x v="5"/>
    <n v="0"/>
    <m/>
    <m/>
  </r>
  <r>
    <n v="35.733333333333334"/>
    <d v="2013-11-25T00:00:00"/>
    <x v="0"/>
    <s v="Solidarities"/>
    <s v="Kachin"/>
    <s v="Mansi"/>
    <s v="Man Wing Baptist Church"/>
    <m/>
    <m/>
    <m/>
    <m/>
    <m/>
    <m/>
    <m/>
    <m/>
    <m/>
    <m/>
    <m/>
    <m/>
    <m/>
    <m/>
    <m/>
    <m/>
    <m/>
    <n v="0"/>
    <n v="0"/>
    <n v="0"/>
    <n v="0"/>
    <n v="0"/>
    <n v="0"/>
    <n v="0"/>
    <n v="0"/>
    <n v="0"/>
    <n v="0"/>
    <n v="0"/>
    <n v="0"/>
    <n v="0"/>
    <n v="0"/>
    <x v="0"/>
    <n v="0"/>
    <n v="0"/>
    <n v="0"/>
    <s v="MMR001CMP133"/>
    <x v="0"/>
    <x v="0"/>
    <x v="0"/>
    <n v="0"/>
    <m/>
    <m/>
  </r>
  <r>
    <n v="35.733333333333334"/>
    <d v="2013-11-25T00:00:00"/>
    <x v="0"/>
    <s v="Solidarities"/>
    <s v="Kachin"/>
    <s v="Mansi"/>
    <s v="Man Wing Baptist Church"/>
    <m/>
    <m/>
    <m/>
    <m/>
    <m/>
    <m/>
    <m/>
    <m/>
    <m/>
    <m/>
    <n v="19"/>
    <n v="38"/>
    <n v="114"/>
    <n v="57"/>
    <m/>
    <m/>
    <m/>
    <n v="0"/>
    <n v="0"/>
    <n v="0"/>
    <n v="0"/>
    <n v="0"/>
    <n v="0"/>
    <n v="0"/>
    <n v="0"/>
    <n v="0"/>
    <n v="0"/>
    <n v="0"/>
    <n v="0"/>
    <n v="0"/>
    <n v="0"/>
    <x v="2"/>
    <n v="0"/>
    <n v="0"/>
    <n v="0"/>
    <s v="MMR001CMP133"/>
    <x v="0"/>
    <x v="0"/>
    <x v="0"/>
    <n v="0"/>
    <m/>
    <m/>
  </r>
  <r>
    <n v="35.733333333333334"/>
    <d v="2013-11-25T00:00:00"/>
    <x v="0"/>
    <s v="Solidarities"/>
    <s v="Kachin"/>
    <s v="Mansi"/>
    <s v="Man Wing Catholic Church"/>
    <m/>
    <m/>
    <m/>
    <m/>
    <m/>
    <m/>
    <m/>
    <m/>
    <m/>
    <m/>
    <n v="60"/>
    <n v="120"/>
    <n v="360"/>
    <n v="180"/>
    <m/>
    <m/>
    <m/>
    <n v="0"/>
    <n v="0"/>
    <n v="0"/>
    <n v="0"/>
    <n v="0"/>
    <n v="0"/>
    <n v="0"/>
    <n v="0"/>
    <n v="0"/>
    <n v="0"/>
    <n v="0"/>
    <n v="0"/>
    <n v="0"/>
    <n v="0"/>
    <x v="2"/>
    <n v="0"/>
    <n v="0"/>
    <n v="0"/>
    <s v="MMR001CMP132"/>
    <x v="0"/>
    <x v="0"/>
    <x v="0"/>
    <n v="0"/>
    <m/>
    <m/>
  </r>
  <r>
    <n v="35.766666666666666"/>
    <d v="2013-11-24T00:00:00"/>
    <x v="0"/>
    <s v="Solidarities"/>
    <s v="Kachin"/>
    <s v="Mansi"/>
    <s v="Ban Hkung (School)"/>
    <m/>
    <m/>
    <m/>
    <m/>
    <m/>
    <m/>
    <m/>
    <m/>
    <m/>
    <m/>
    <n v="24"/>
    <n v="48"/>
    <n v="144"/>
    <n v="72"/>
    <m/>
    <m/>
    <m/>
    <n v="0"/>
    <n v="0"/>
    <n v="0"/>
    <n v="0"/>
    <n v="0"/>
    <n v="0"/>
    <n v="0"/>
    <n v="0"/>
    <n v="0"/>
    <n v="0"/>
    <n v="0"/>
    <n v="0"/>
    <n v="0"/>
    <n v="0"/>
    <x v="2"/>
    <n v="0"/>
    <n v="0"/>
    <n v="0"/>
    <s v="MMR001CMP215"/>
    <x v="0"/>
    <x v="2"/>
    <x v="4"/>
    <s v=""/>
    <m/>
    <m/>
  </r>
  <r>
    <n v="35.766666666666666"/>
    <d v="2013-11-24T00:00:00"/>
    <x v="0"/>
    <s v="Solidarities"/>
    <s v="Kachin"/>
    <s v="Mansi"/>
    <s v="Ban Hkung Yang (Boarding School)"/>
    <m/>
    <m/>
    <m/>
    <m/>
    <m/>
    <m/>
    <m/>
    <m/>
    <m/>
    <m/>
    <n v="135"/>
    <n v="270"/>
    <n v="810"/>
    <n v="405"/>
    <m/>
    <m/>
    <m/>
    <n v="0"/>
    <n v="0"/>
    <n v="0"/>
    <n v="0"/>
    <n v="0"/>
    <n v="0"/>
    <n v="0"/>
    <n v="0"/>
    <n v="0"/>
    <n v="0"/>
    <n v="0"/>
    <n v="0"/>
    <n v="0"/>
    <n v="0"/>
    <x v="2"/>
    <n v="0"/>
    <n v="0"/>
    <n v="0"/>
    <s v="MMR001CMP214"/>
    <x v="0"/>
    <x v="2"/>
    <x v="4"/>
    <s v=""/>
    <m/>
    <m/>
  </r>
  <r>
    <n v="35.766666666666666"/>
    <d v="2013-11-24T00:00:00"/>
    <x v="0"/>
    <s v="Solidarities"/>
    <s v="Kachin"/>
    <s v="Shwegu"/>
    <s v="Lawk Awng Mare D. (Sinbo Area)"/>
    <m/>
    <m/>
    <m/>
    <m/>
    <m/>
    <m/>
    <m/>
    <m/>
    <m/>
    <m/>
    <n v="45"/>
    <n v="90"/>
    <n v="270"/>
    <n v="135"/>
    <m/>
    <m/>
    <m/>
    <n v="0"/>
    <n v="0"/>
    <n v="0"/>
    <n v="0"/>
    <n v="0"/>
    <n v="0"/>
    <n v="0"/>
    <n v="0"/>
    <n v="0"/>
    <n v="0"/>
    <n v="0"/>
    <n v="0"/>
    <n v="0"/>
    <n v="0"/>
    <x v="2"/>
    <n v="0"/>
    <n v="0"/>
    <n v="0"/>
    <s v="MMR001CMP147"/>
    <x v="1"/>
    <x v="0"/>
    <x v="0"/>
    <n v="0"/>
    <m/>
    <m/>
  </r>
  <r>
    <n v="35.799999999999997"/>
    <d v="2013-11-23T00:00:00"/>
    <x v="6"/>
    <m/>
    <s v="Kachin"/>
    <s v="Waingmaw"/>
    <s v="Border Post 8"/>
    <m/>
    <m/>
    <m/>
    <m/>
    <m/>
    <n v="358"/>
    <m/>
    <m/>
    <m/>
    <m/>
    <m/>
    <m/>
    <m/>
    <m/>
    <m/>
    <m/>
    <m/>
    <n v="0"/>
    <n v="0"/>
    <n v="0"/>
    <n v="0"/>
    <n v="0"/>
    <n v="0"/>
    <n v="0"/>
    <n v="0"/>
    <n v="0"/>
    <n v="0"/>
    <n v="0"/>
    <n v="0"/>
    <n v="0"/>
    <n v="0"/>
    <x v="0"/>
    <n v="0"/>
    <n v="0"/>
    <n v="0"/>
    <s v="MMR001CMP113"/>
    <x v="0"/>
    <x v="0"/>
    <x v="5"/>
    <n v="0"/>
    <s v="No"/>
    <m/>
  </r>
  <r>
    <n v="35.866666666666667"/>
    <d v="2013-11-21T00:00:00"/>
    <x v="1"/>
    <s v="UNHCR"/>
    <s v="Kachin"/>
    <s v="Bhamo"/>
    <s v="Aung Thar Church"/>
    <m/>
    <m/>
    <m/>
    <n v="34"/>
    <n v="18"/>
    <n v="34"/>
    <n v="18"/>
    <n v="18"/>
    <m/>
    <m/>
    <m/>
    <m/>
    <m/>
    <m/>
    <m/>
    <m/>
    <m/>
    <n v="0"/>
    <n v="0"/>
    <n v="0"/>
    <n v="0"/>
    <n v="0"/>
    <n v="0"/>
    <n v="0"/>
    <n v="0"/>
    <n v="0"/>
    <n v="0"/>
    <n v="0"/>
    <n v="0"/>
    <n v="0"/>
    <n v="0"/>
    <x v="0"/>
    <n v="0"/>
    <n v="0"/>
    <n v="0"/>
    <s v="MMR001CMP194"/>
    <x v="0"/>
    <x v="0"/>
    <x v="0"/>
    <n v="1.5"/>
    <s v="No"/>
    <m/>
  </r>
  <r>
    <n v="35.866666666666667"/>
    <d v="2013-11-21T00:00:00"/>
    <x v="1"/>
    <s v="UNHCR "/>
    <s v="Kachin"/>
    <s v="Mansi"/>
    <s v="Man Kawng Baptist Church"/>
    <m/>
    <m/>
    <m/>
    <n v="400"/>
    <n v="210"/>
    <n v="400"/>
    <n v="210"/>
    <m/>
    <m/>
    <n v="210"/>
    <m/>
    <m/>
    <m/>
    <m/>
    <m/>
    <m/>
    <m/>
    <n v="0"/>
    <n v="0"/>
    <n v="0"/>
    <n v="0"/>
    <n v="0"/>
    <n v="0"/>
    <n v="0"/>
    <n v="0"/>
    <n v="0"/>
    <n v="0"/>
    <n v="0"/>
    <n v="0"/>
    <n v="0"/>
    <n v="0"/>
    <x v="0"/>
    <n v="0"/>
    <n v="0"/>
    <n v="0"/>
    <s v="MMR001CMP212"/>
    <x v="0"/>
    <x v="2"/>
    <x v="4"/>
    <s v=""/>
    <s v="No"/>
    <m/>
  </r>
  <r>
    <n v="35.866666666666667"/>
    <d v="2013-11-21T00:00:00"/>
    <x v="1"/>
    <s v="UNHCR"/>
    <s v="Kachin"/>
    <s v="Bhamo"/>
    <s v="Phan Khar Kone"/>
    <m/>
    <m/>
    <m/>
    <n v="15"/>
    <n v="9"/>
    <n v="15"/>
    <n v="9"/>
    <n v="9"/>
    <m/>
    <m/>
    <m/>
    <m/>
    <m/>
    <m/>
    <m/>
    <m/>
    <m/>
    <n v="0"/>
    <n v="0"/>
    <n v="0"/>
    <n v="0"/>
    <n v="0"/>
    <n v="0"/>
    <n v="0"/>
    <n v="0"/>
    <n v="0"/>
    <n v="0"/>
    <n v="0"/>
    <n v="0"/>
    <n v="0"/>
    <n v="0"/>
    <x v="0"/>
    <n v="0"/>
    <n v="0"/>
    <n v="0"/>
    <s v="MMR001CMP193"/>
    <x v="0"/>
    <x v="0"/>
    <x v="0"/>
    <n v="0.06"/>
    <s v="No"/>
    <m/>
  </r>
  <r>
    <n v="35.9"/>
    <d v="2013-11-20T00:00:00"/>
    <x v="0"/>
    <s v="Solidarities"/>
    <s v="Kachin"/>
    <s v="Bhamo"/>
    <s v="Robert Church"/>
    <m/>
    <m/>
    <m/>
    <m/>
    <m/>
    <m/>
    <m/>
    <m/>
    <m/>
    <m/>
    <m/>
    <n v="19"/>
    <n v="38"/>
    <n v="19"/>
    <m/>
    <m/>
    <m/>
    <n v="0"/>
    <n v="0"/>
    <n v="0"/>
    <n v="0"/>
    <n v="0"/>
    <n v="0"/>
    <n v="0"/>
    <n v="0"/>
    <n v="0"/>
    <n v="0"/>
    <n v="0"/>
    <n v="0"/>
    <n v="0"/>
    <n v="0"/>
    <x v="2"/>
    <n v="0"/>
    <n v="0"/>
    <n v="0"/>
    <s v="MMR001CMP047"/>
    <x v="0"/>
    <x v="0"/>
    <x v="0"/>
    <n v="0"/>
    <m/>
    <m/>
  </r>
  <r>
    <n v="35.93333333333333"/>
    <d v="2013-11-19T00:00:00"/>
    <x v="1"/>
    <s v="UNHCR"/>
    <s v="Kachin"/>
    <s v="Bhamo"/>
    <s v="Host Families"/>
    <m/>
    <m/>
    <m/>
    <n v="57"/>
    <n v="33"/>
    <n v="57"/>
    <n v="33"/>
    <n v="33"/>
    <m/>
    <m/>
    <m/>
    <m/>
    <m/>
    <m/>
    <m/>
    <m/>
    <m/>
    <n v="0"/>
    <n v="0"/>
    <n v="0"/>
    <n v="0"/>
    <n v="0"/>
    <n v="0"/>
    <n v="0"/>
    <n v="0"/>
    <n v="0"/>
    <n v="0"/>
    <n v="0"/>
    <n v="0"/>
    <n v="0"/>
    <n v="0"/>
    <x v="0"/>
    <n v="0"/>
    <n v="0"/>
    <n v="0"/>
    <s v="MMR001CMP163"/>
    <x v="0"/>
    <x v="0"/>
    <x v="0"/>
    <n v="0.15639810426540285"/>
    <s v="No"/>
    <m/>
  </r>
  <r>
    <n v="35.93333333333333"/>
    <d v="2013-11-19T00:00:00"/>
    <x v="0"/>
    <s v="KBC"/>
    <s v="Kachin"/>
    <s v="Waingmaw"/>
    <s v="Maga Yang "/>
    <m/>
    <m/>
    <m/>
    <m/>
    <m/>
    <m/>
    <m/>
    <m/>
    <m/>
    <m/>
    <n v="613"/>
    <n v="1226"/>
    <n v="3678"/>
    <n v="1839"/>
    <m/>
    <m/>
    <m/>
    <n v="0"/>
    <n v="0"/>
    <n v="0"/>
    <n v="0"/>
    <n v="0"/>
    <n v="0"/>
    <n v="0"/>
    <n v="0"/>
    <n v="0"/>
    <n v="0"/>
    <n v="0"/>
    <n v="0"/>
    <n v="0"/>
    <n v="0"/>
    <x v="2"/>
    <n v="0"/>
    <n v="0"/>
    <n v="0"/>
    <s v="MMR001CMP119"/>
    <x v="0"/>
    <x v="0"/>
    <x v="6"/>
    <n v="0"/>
    <m/>
    <m/>
  </r>
  <r>
    <n v="35.93333333333333"/>
    <d v="2013-11-19T00:00:00"/>
    <x v="1"/>
    <s v="UNHCR"/>
    <s v="Kachin"/>
    <s v="Bhamo"/>
    <s v="Robert Church"/>
    <m/>
    <m/>
    <n v="40"/>
    <n v="38"/>
    <n v="20"/>
    <n v="38"/>
    <n v="20"/>
    <n v="20"/>
    <m/>
    <m/>
    <m/>
    <m/>
    <m/>
    <m/>
    <m/>
    <m/>
    <m/>
    <n v="0"/>
    <n v="0"/>
    <n v="0"/>
    <n v="0"/>
    <n v="0"/>
    <n v="0"/>
    <n v="0"/>
    <n v="0"/>
    <n v="0"/>
    <n v="0"/>
    <n v="0"/>
    <n v="0"/>
    <n v="0"/>
    <n v="0"/>
    <x v="0"/>
    <n v="0"/>
    <n v="0"/>
    <n v="0"/>
    <s v="MMR001CMP047"/>
    <x v="0"/>
    <x v="0"/>
    <x v="0"/>
    <n v="3.1948881789137379E-2"/>
    <s v="No"/>
    <m/>
  </r>
  <r>
    <n v="35.93333333333333"/>
    <d v="2013-11-19T00:00:00"/>
    <x v="1"/>
    <s v="UNHCR"/>
    <s v="Kachin"/>
    <s v="Bhamo"/>
    <s v="Thu Kha Waddy"/>
    <m/>
    <m/>
    <m/>
    <n v="13"/>
    <n v="9"/>
    <n v="13"/>
    <n v="9"/>
    <n v="9"/>
    <m/>
    <m/>
    <m/>
    <m/>
    <m/>
    <m/>
    <m/>
    <m/>
    <m/>
    <n v="0"/>
    <n v="0"/>
    <n v="0"/>
    <n v="0"/>
    <n v="0"/>
    <n v="0"/>
    <n v="0"/>
    <n v="0"/>
    <n v="0"/>
    <n v="0"/>
    <n v="0"/>
    <n v="0"/>
    <n v="0"/>
    <n v="0"/>
    <x v="0"/>
    <n v="0"/>
    <n v="0"/>
    <n v="0"/>
    <s v="MMR001CMP211"/>
    <x v="0"/>
    <x v="2"/>
    <x v="4"/>
    <s v=""/>
    <s v="No"/>
    <m/>
  </r>
  <r>
    <n v="35.966666666666669"/>
    <d v="2013-11-18T00:00:00"/>
    <x v="6"/>
    <m/>
    <s v="Kachin"/>
    <s v="Momauk"/>
    <s v="Loi Je Lisu Camp"/>
    <m/>
    <m/>
    <m/>
    <m/>
    <m/>
    <n v="395"/>
    <m/>
    <m/>
    <m/>
    <m/>
    <m/>
    <m/>
    <m/>
    <m/>
    <m/>
    <m/>
    <m/>
    <n v="0"/>
    <n v="0"/>
    <n v="0"/>
    <n v="0"/>
    <n v="0"/>
    <n v="0"/>
    <n v="0"/>
    <n v="0"/>
    <n v="0"/>
    <n v="0"/>
    <n v="0"/>
    <n v="0"/>
    <n v="0"/>
    <n v="0"/>
    <x v="0"/>
    <n v="0"/>
    <n v="0"/>
    <n v="0"/>
    <s v="MMR001CMP070"/>
    <x v="0"/>
    <x v="0"/>
    <x v="1"/>
    <n v="0"/>
    <s v="No"/>
    <m/>
  </r>
  <r>
    <n v="36"/>
    <d v="2013-11-17T00:00:00"/>
    <x v="6"/>
    <m/>
    <s v="Kachin"/>
    <s v="Momauk"/>
    <s v="Loi Je Catholic Church"/>
    <m/>
    <m/>
    <m/>
    <m/>
    <m/>
    <n v="141"/>
    <m/>
    <m/>
    <m/>
    <m/>
    <m/>
    <m/>
    <m/>
    <m/>
    <m/>
    <m/>
    <m/>
    <n v="0"/>
    <n v="0"/>
    <n v="0"/>
    <n v="0"/>
    <n v="0"/>
    <n v="0"/>
    <n v="0"/>
    <n v="0"/>
    <n v="0"/>
    <n v="0"/>
    <n v="0"/>
    <n v="0"/>
    <n v="0"/>
    <n v="0"/>
    <x v="0"/>
    <n v="0"/>
    <n v="0"/>
    <n v="0"/>
    <s v="MMR001CMP069"/>
    <x v="0"/>
    <x v="0"/>
    <x v="1"/>
    <n v="0"/>
    <s v="No"/>
    <m/>
  </r>
  <r>
    <n v="36"/>
    <d v="2013-11-17T00:00:00"/>
    <x v="1"/>
    <s v="UNHCR "/>
    <s v="Kachin"/>
    <s v="Mansi"/>
    <s v="Man Wing Catholic Church"/>
    <m/>
    <m/>
    <m/>
    <n v="700"/>
    <n v="350"/>
    <n v="700"/>
    <n v="350"/>
    <n v="350"/>
    <m/>
    <m/>
    <m/>
    <m/>
    <m/>
    <m/>
    <m/>
    <m/>
    <m/>
    <n v="0"/>
    <n v="0"/>
    <n v="0"/>
    <n v="0"/>
    <n v="0"/>
    <n v="0"/>
    <n v="0"/>
    <n v="0"/>
    <n v="0"/>
    <n v="0"/>
    <n v="0"/>
    <n v="0"/>
    <n v="0"/>
    <n v="0"/>
    <x v="0"/>
    <n v="0"/>
    <n v="0"/>
    <n v="0"/>
    <s v="MMR001CMP132"/>
    <x v="0"/>
    <x v="0"/>
    <x v="0"/>
    <n v="0.79545454545454541"/>
    <s v="No"/>
    <m/>
  </r>
  <r>
    <n v="36"/>
    <d v="2013-11-17T00:00:00"/>
    <x v="6"/>
    <m/>
    <s v="Kachin"/>
    <s v="Momauk"/>
    <s v="Nyaung Na Pin "/>
    <m/>
    <m/>
    <m/>
    <m/>
    <m/>
    <n v="145"/>
    <m/>
    <m/>
    <m/>
    <m/>
    <m/>
    <m/>
    <m/>
    <m/>
    <m/>
    <m/>
    <m/>
    <n v="0"/>
    <n v="0"/>
    <n v="0"/>
    <n v="0"/>
    <n v="0"/>
    <n v="0"/>
    <n v="0"/>
    <n v="0"/>
    <n v="0"/>
    <n v="0"/>
    <n v="0"/>
    <n v="0"/>
    <n v="0"/>
    <n v="0"/>
    <x v="0"/>
    <n v="0"/>
    <n v="0"/>
    <n v="0"/>
    <s v="MMR001CMP072"/>
    <x v="0"/>
    <x v="0"/>
    <x v="1"/>
    <n v="0"/>
    <s v="No"/>
    <m/>
  </r>
  <r>
    <n v="36.033333333333331"/>
    <d v="2013-11-16T00:00:00"/>
    <x v="1"/>
    <s v="UNHCR "/>
    <s v="Kachin"/>
    <s v="Bhamo"/>
    <s v="Phan Khar Kone"/>
    <m/>
    <m/>
    <m/>
    <m/>
    <n v="11"/>
    <m/>
    <m/>
    <m/>
    <m/>
    <m/>
    <m/>
    <m/>
    <m/>
    <m/>
    <m/>
    <m/>
    <m/>
    <n v="0"/>
    <n v="0"/>
    <n v="0"/>
    <n v="0"/>
    <n v="0"/>
    <n v="0"/>
    <n v="0"/>
    <n v="0"/>
    <n v="0"/>
    <n v="0"/>
    <n v="0"/>
    <n v="0"/>
    <n v="0"/>
    <n v="0"/>
    <x v="0"/>
    <n v="0"/>
    <n v="0"/>
    <n v="0"/>
    <s v="MMR001CMP193"/>
    <x v="0"/>
    <x v="0"/>
    <x v="0"/>
    <n v="0"/>
    <s v="No"/>
    <m/>
  </r>
  <r>
    <n v="36.033333333333331"/>
    <d v="2013-11-16T00:00:00"/>
    <x v="1"/>
    <s v="UNHCR"/>
    <s v="Kachin"/>
    <s v="Bhamo"/>
    <s v="Robert Church"/>
    <m/>
    <m/>
    <m/>
    <m/>
    <n v="10"/>
    <m/>
    <m/>
    <m/>
    <m/>
    <m/>
    <m/>
    <m/>
    <m/>
    <m/>
    <m/>
    <m/>
    <m/>
    <n v="0"/>
    <n v="0"/>
    <n v="0"/>
    <n v="0"/>
    <n v="0"/>
    <n v="0"/>
    <n v="0"/>
    <n v="0"/>
    <n v="0"/>
    <n v="0"/>
    <n v="0"/>
    <n v="0"/>
    <n v="0"/>
    <n v="0"/>
    <x v="0"/>
    <n v="0"/>
    <n v="0"/>
    <n v="0"/>
    <s v="MMR001CMP047"/>
    <x v="0"/>
    <x v="0"/>
    <x v="0"/>
    <n v="0"/>
    <s v="No"/>
    <m/>
  </r>
  <r>
    <n v="36.06666666666667"/>
    <d v="2013-11-15T00:00:00"/>
    <x v="0"/>
    <s v="LDO"/>
    <s v="Kachin"/>
    <s v="Mansi"/>
    <s v="Lung Kawk  ( Hka Hkye Zup)"/>
    <m/>
    <m/>
    <m/>
    <m/>
    <m/>
    <m/>
    <m/>
    <m/>
    <m/>
    <m/>
    <n v="54"/>
    <n v="106"/>
    <n v="320"/>
    <n v="160"/>
    <m/>
    <m/>
    <m/>
    <n v="0"/>
    <n v="0"/>
    <n v="0"/>
    <n v="0"/>
    <n v="0"/>
    <n v="0"/>
    <n v="0"/>
    <n v="0"/>
    <n v="0"/>
    <n v="0"/>
    <n v="0"/>
    <n v="0"/>
    <n v="0"/>
    <n v="0"/>
    <x v="2"/>
    <n v="0"/>
    <n v="0"/>
    <n v="0"/>
    <s v="MMR001CMP135"/>
    <x v="0"/>
    <x v="2"/>
    <x v="6"/>
    <s v=""/>
    <m/>
    <m/>
  </r>
  <r>
    <n v="36.06666666666667"/>
    <d v="2013-11-15T00:00:00"/>
    <x v="0"/>
    <s v="LDO"/>
    <s v="Kachin"/>
    <s v="Momauk"/>
    <s v="Nhkawng Pa "/>
    <m/>
    <m/>
    <m/>
    <m/>
    <m/>
    <m/>
    <m/>
    <m/>
    <m/>
    <m/>
    <n v="387"/>
    <n v="760"/>
    <n v="2294"/>
    <n v="1147"/>
    <m/>
    <m/>
    <m/>
    <n v="0"/>
    <n v="0"/>
    <n v="0"/>
    <n v="0"/>
    <n v="0"/>
    <n v="0"/>
    <n v="0"/>
    <n v="0"/>
    <n v="0"/>
    <n v="0"/>
    <n v="0"/>
    <n v="0"/>
    <n v="0"/>
    <n v="0"/>
    <x v="2"/>
    <n v="0"/>
    <n v="0"/>
    <n v="0"/>
    <s v="MMR001CMP131"/>
    <x v="0"/>
    <x v="0"/>
    <x v="5"/>
    <n v="0"/>
    <m/>
    <m/>
  </r>
  <r>
    <n v="36.06666666666667"/>
    <d v="2013-11-15T00:00:00"/>
    <x v="1"/>
    <s v="UNHCR "/>
    <s v="Kachin"/>
    <s v="Bhamo"/>
    <m/>
    <m/>
    <m/>
    <m/>
    <m/>
    <n v="12"/>
    <m/>
    <m/>
    <m/>
    <m/>
    <m/>
    <m/>
    <m/>
    <m/>
    <m/>
    <m/>
    <m/>
    <m/>
    <n v="0"/>
    <n v="0"/>
    <n v="0"/>
    <n v="0"/>
    <n v="0"/>
    <n v="0"/>
    <n v="0"/>
    <n v="0"/>
    <n v="0"/>
    <n v="0"/>
    <n v="0"/>
    <n v="0"/>
    <n v="0"/>
    <n v="0"/>
    <x v="0"/>
    <n v="0"/>
    <n v="0"/>
    <n v="0"/>
    <s v=""/>
    <x v="3"/>
    <x v="1"/>
    <x v="4"/>
    <s v=""/>
    <s v="No"/>
    <m/>
  </r>
  <r>
    <n v="36.1"/>
    <d v="2013-11-14T00:00:00"/>
    <x v="1"/>
    <s v="UNHCR "/>
    <s v="Kachin"/>
    <s v="Bhamo"/>
    <s v="Aung Thar Church"/>
    <m/>
    <m/>
    <m/>
    <n v="12"/>
    <n v="9"/>
    <n v="12"/>
    <n v="9"/>
    <n v="9"/>
    <m/>
    <m/>
    <m/>
    <m/>
    <m/>
    <m/>
    <m/>
    <m/>
    <m/>
    <n v="0"/>
    <n v="0"/>
    <n v="0"/>
    <n v="0"/>
    <n v="0"/>
    <n v="0"/>
    <n v="0"/>
    <n v="0"/>
    <n v="0"/>
    <n v="0"/>
    <n v="0"/>
    <n v="0"/>
    <n v="0"/>
    <n v="0"/>
    <x v="0"/>
    <n v="0"/>
    <n v="0"/>
    <n v="0"/>
    <s v="MMR001CMP194"/>
    <x v="0"/>
    <x v="0"/>
    <x v="0"/>
    <n v="0.75"/>
    <s v="No"/>
    <m/>
  </r>
  <r>
    <n v="36.1"/>
    <d v="2013-11-14T00:00:00"/>
    <x v="0"/>
    <s v="Solidarities"/>
    <s v="Kachin"/>
    <s v="Mansi"/>
    <s v="Lagatyan "/>
    <m/>
    <m/>
    <m/>
    <m/>
    <m/>
    <m/>
    <m/>
    <m/>
    <m/>
    <m/>
    <n v="120"/>
    <n v="207"/>
    <n v="654"/>
    <n v="327"/>
    <m/>
    <m/>
    <m/>
    <n v="0"/>
    <n v="0"/>
    <n v="0"/>
    <n v="0"/>
    <n v="0"/>
    <n v="0"/>
    <n v="0"/>
    <n v="0"/>
    <n v="0"/>
    <n v="0"/>
    <n v="0"/>
    <n v="0"/>
    <n v="0"/>
    <n v="0"/>
    <x v="2"/>
    <n v="0"/>
    <n v="0"/>
    <n v="0"/>
    <s v="MMR001CMP202"/>
    <x v="0"/>
    <x v="2"/>
    <x v="0"/>
    <s v=""/>
    <m/>
    <m/>
  </r>
  <r>
    <n v="36.1"/>
    <d v="2013-11-14T00:00:00"/>
    <x v="0"/>
    <s v="LDO"/>
    <s v="Kachin"/>
    <s v="Mansi"/>
    <s v="Lana Zup Ja "/>
    <m/>
    <m/>
    <m/>
    <m/>
    <m/>
    <m/>
    <m/>
    <m/>
    <m/>
    <m/>
    <n v="550"/>
    <n v="1101"/>
    <n v="3302"/>
    <n v="1651"/>
    <m/>
    <m/>
    <m/>
    <n v="0"/>
    <n v="0"/>
    <n v="0"/>
    <n v="0"/>
    <n v="0"/>
    <n v="0"/>
    <n v="0"/>
    <n v="0"/>
    <n v="0"/>
    <n v="0"/>
    <n v="0"/>
    <n v="0"/>
    <n v="0"/>
    <n v="0"/>
    <x v="2"/>
    <n v="0"/>
    <n v="0"/>
    <n v="0"/>
    <s v="MMR001CMP128"/>
    <x v="0"/>
    <x v="0"/>
    <x v="6"/>
    <n v="0"/>
    <m/>
    <m/>
  </r>
  <r>
    <n v="36.1"/>
    <d v="2013-11-14T00:00:00"/>
    <x v="6"/>
    <m/>
    <s v="Kachin"/>
    <s v="Momauk"/>
    <s v="Loi Je Baptist Church"/>
    <m/>
    <m/>
    <m/>
    <m/>
    <m/>
    <n v="75"/>
    <m/>
    <m/>
    <m/>
    <m/>
    <m/>
    <m/>
    <m/>
    <m/>
    <m/>
    <m/>
    <m/>
    <n v="0"/>
    <n v="0"/>
    <n v="0"/>
    <n v="0"/>
    <n v="0"/>
    <n v="0"/>
    <n v="0"/>
    <n v="0"/>
    <n v="0"/>
    <n v="0"/>
    <n v="0"/>
    <n v="0"/>
    <n v="0"/>
    <n v="0"/>
    <x v="0"/>
    <n v="0"/>
    <n v="0"/>
    <n v="0"/>
    <s v="MMR001CMP071"/>
    <x v="0"/>
    <x v="0"/>
    <x v="1"/>
    <n v="0"/>
    <s v="No"/>
    <m/>
  </r>
  <r>
    <n v="36.1"/>
    <d v="2013-11-14T00:00:00"/>
    <x v="6"/>
    <m/>
    <s v="Kachin"/>
    <s v="Mansi"/>
    <s v="Man Wing Baptist Church"/>
    <m/>
    <m/>
    <m/>
    <m/>
    <m/>
    <m/>
    <m/>
    <m/>
    <m/>
    <m/>
    <m/>
    <n v="32"/>
    <m/>
    <m/>
    <m/>
    <m/>
    <m/>
    <n v="0"/>
    <n v="0"/>
    <n v="0"/>
    <n v="0"/>
    <n v="0"/>
    <n v="0"/>
    <n v="0"/>
    <n v="0"/>
    <n v="0"/>
    <n v="0"/>
    <n v="0"/>
    <n v="0"/>
    <n v="0"/>
    <n v="0"/>
    <x v="2"/>
    <n v="0"/>
    <n v="0"/>
    <n v="0"/>
    <s v="MMR001CMP133"/>
    <x v="0"/>
    <x v="0"/>
    <x v="0"/>
    <n v="0"/>
    <s v="No"/>
    <m/>
  </r>
  <r>
    <n v="36.1"/>
    <d v="2013-11-14T00:00:00"/>
    <x v="0"/>
    <s v="Solidarities"/>
    <s v="Kachin"/>
    <s v="Mansi"/>
    <s v="Man Wing Catholic Church"/>
    <m/>
    <m/>
    <m/>
    <m/>
    <m/>
    <m/>
    <m/>
    <m/>
    <m/>
    <m/>
    <m/>
    <n v="176"/>
    <n v="352"/>
    <n v="176"/>
    <m/>
    <m/>
    <m/>
    <n v="0"/>
    <n v="0"/>
    <n v="0"/>
    <n v="0"/>
    <n v="0"/>
    <n v="0"/>
    <n v="0"/>
    <n v="0"/>
    <n v="0"/>
    <n v="0"/>
    <n v="0"/>
    <n v="0"/>
    <n v="0"/>
    <n v="0"/>
    <x v="2"/>
    <n v="0"/>
    <n v="0"/>
    <n v="0"/>
    <s v="MMR001CMP132"/>
    <x v="0"/>
    <x v="0"/>
    <x v="0"/>
    <n v="0"/>
    <m/>
    <m/>
  </r>
  <r>
    <n v="36.1"/>
    <d v="2013-11-14T00:00:00"/>
    <x v="1"/>
    <s v="UNHCR"/>
    <s v="Kachin"/>
    <s v="Mansi"/>
    <s v="Mansi Baptist Church"/>
    <m/>
    <m/>
    <n v="18"/>
    <n v="31"/>
    <n v="18"/>
    <n v="31"/>
    <n v="18"/>
    <n v="18"/>
    <m/>
    <m/>
    <m/>
    <m/>
    <m/>
    <m/>
    <m/>
    <m/>
    <m/>
    <n v="0"/>
    <n v="0"/>
    <n v="0"/>
    <n v="0"/>
    <n v="0"/>
    <n v="0"/>
    <n v="0"/>
    <n v="0"/>
    <n v="0"/>
    <n v="0"/>
    <n v="0"/>
    <n v="0"/>
    <n v="0"/>
    <n v="0"/>
    <x v="0"/>
    <n v="0"/>
    <n v="0"/>
    <n v="0"/>
    <s v="MMR001CMP066"/>
    <x v="0"/>
    <x v="0"/>
    <x v="0"/>
    <n v="9.1370558375634514E-2"/>
    <s v="No"/>
    <m/>
  </r>
  <r>
    <n v="36.1"/>
    <d v="2013-11-14T00:00:00"/>
    <x v="6"/>
    <m/>
    <s v="Kachin"/>
    <s v="Momauk"/>
    <s v="Seng Ja "/>
    <m/>
    <m/>
    <m/>
    <m/>
    <m/>
    <n v="110"/>
    <m/>
    <m/>
    <m/>
    <m/>
    <m/>
    <m/>
    <m/>
    <m/>
    <m/>
    <m/>
    <m/>
    <n v="0"/>
    <n v="0"/>
    <n v="0"/>
    <n v="0"/>
    <n v="0"/>
    <n v="0"/>
    <n v="0"/>
    <n v="0"/>
    <n v="0"/>
    <n v="0"/>
    <n v="0"/>
    <n v="0"/>
    <n v="0"/>
    <n v="0"/>
    <x v="0"/>
    <n v="0"/>
    <n v="0"/>
    <n v="0"/>
    <s v="MMR001CMP073"/>
    <x v="0"/>
    <x v="0"/>
    <x v="1"/>
    <n v="0"/>
    <s v="No"/>
    <m/>
  </r>
  <r>
    <n v="36.133333333333333"/>
    <d v="2013-11-13T00:00:00"/>
    <x v="0"/>
    <s v="Solidarities"/>
    <s v="Kachin"/>
    <s v="Mansi"/>
    <s v="Man Wing Baptist Church"/>
    <m/>
    <m/>
    <m/>
    <m/>
    <m/>
    <m/>
    <m/>
    <m/>
    <m/>
    <m/>
    <m/>
    <n v="160"/>
    <n v="320"/>
    <n v="160"/>
    <m/>
    <m/>
    <m/>
    <n v="0"/>
    <n v="0"/>
    <n v="0"/>
    <n v="0"/>
    <n v="0"/>
    <n v="0"/>
    <n v="0"/>
    <n v="0"/>
    <n v="0"/>
    <n v="0"/>
    <n v="0"/>
    <n v="0"/>
    <n v="0"/>
    <n v="0"/>
    <x v="2"/>
    <n v="0"/>
    <n v="0"/>
    <n v="0"/>
    <s v="MMR001CMP133"/>
    <x v="0"/>
    <x v="0"/>
    <x v="0"/>
    <n v="0"/>
    <m/>
    <m/>
  </r>
  <r>
    <n v="36.133333333333333"/>
    <d v="2013-11-13T00:00:00"/>
    <x v="0"/>
    <s v="LDO"/>
    <s v="Kachin"/>
    <s v="Momauk"/>
    <s v="Pa Kahtawng "/>
    <m/>
    <m/>
    <m/>
    <m/>
    <m/>
    <m/>
    <m/>
    <m/>
    <m/>
    <m/>
    <n v="514"/>
    <n v="1016"/>
    <n v="3060"/>
    <n v="1530"/>
    <m/>
    <m/>
    <m/>
    <n v="0"/>
    <n v="0"/>
    <n v="0"/>
    <n v="0"/>
    <n v="0"/>
    <n v="0"/>
    <n v="0"/>
    <n v="0"/>
    <n v="0"/>
    <n v="0"/>
    <n v="0"/>
    <n v="0"/>
    <n v="0"/>
    <n v="0"/>
    <x v="2"/>
    <n v="0"/>
    <n v="0"/>
    <n v="0"/>
    <s v="MMR001CMP126"/>
    <x v="0"/>
    <x v="0"/>
    <x v="6"/>
    <n v="0"/>
    <m/>
    <m/>
  </r>
  <r>
    <n v="36.200000000000003"/>
    <d v="2013-11-11T00:00:00"/>
    <x v="1"/>
    <s v="UNHCR "/>
    <s v="Kachin"/>
    <s v="Momauk"/>
    <s v="Nhkawng Pa "/>
    <m/>
    <m/>
    <n v="36"/>
    <n v="200"/>
    <n v="100"/>
    <m/>
    <n v="100"/>
    <n v="100"/>
    <m/>
    <m/>
    <m/>
    <m/>
    <m/>
    <m/>
    <m/>
    <m/>
    <m/>
    <n v="0"/>
    <n v="0"/>
    <n v="0"/>
    <n v="0"/>
    <n v="0"/>
    <n v="0"/>
    <n v="0"/>
    <n v="0"/>
    <n v="0"/>
    <n v="0"/>
    <n v="0"/>
    <n v="0"/>
    <n v="0"/>
    <n v="0"/>
    <x v="0"/>
    <n v="0"/>
    <n v="0"/>
    <n v="0"/>
    <s v="MMR001CMP131"/>
    <x v="0"/>
    <x v="0"/>
    <x v="5"/>
    <n v="0.28169014084507044"/>
    <s v="No"/>
    <m/>
  </r>
  <r>
    <n v="36.333333333333336"/>
    <d v="2013-11-07T00:00:00"/>
    <x v="0"/>
    <s v="Solidarities"/>
    <s v="Kachin"/>
    <s v="Bhamo"/>
    <s v="Aung Thar Church"/>
    <m/>
    <m/>
    <m/>
    <m/>
    <m/>
    <m/>
    <m/>
    <m/>
    <m/>
    <m/>
    <n v="25"/>
    <n v="73"/>
    <n v="196"/>
    <n v="98"/>
    <m/>
    <m/>
    <m/>
    <n v="0"/>
    <n v="0"/>
    <n v="0"/>
    <n v="0"/>
    <n v="0"/>
    <n v="0"/>
    <n v="0"/>
    <n v="0"/>
    <n v="0"/>
    <n v="0"/>
    <n v="0"/>
    <n v="0"/>
    <n v="0"/>
    <n v="0"/>
    <x v="2"/>
    <n v="0"/>
    <n v="0"/>
    <n v="0"/>
    <s v="MMR001CMP194"/>
    <x v="0"/>
    <x v="2"/>
    <x v="0"/>
    <n v="0"/>
    <m/>
    <m/>
  </r>
  <r>
    <n v="36.333333333333336"/>
    <d v="2013-11-07T00:00:00"/>
    <x v="1"/>
    <s v="UNHCR"/>
    <s v="Kachin"/>
    <s v="Hpakant"/>
    <s v="Baptist Church, Naung Hmee VT"/>
    <m/>
    <m/>
    <n v="13"/>
    <n v="32"/>
    <n v="15"/>
    <n v="32"/>
    <n v="15"/>
    <m/>
    <n v="15"/>
    <n v="32"/>
    <m/>
    <m/>
    <m/>
    <m/>
    <m/>
    <m/>
    <m/>
    <n v="0"/>
    <n v="0"/>
    <n v="0"/>
    <n v="0"/>
    <n v="0"/>
    <n v="0"/>
    <n v="0"/>
    <n v="0"/>
    <n v="0"/>
    <n v="0"/>
    <n v="0"/>
    <n v="0"/>
    <n v="0"/>
    <n v="0"/>
    <x v="0"/>
    <n v="0"/>
    <n v="0"/>
    <n v="0"/>
    <s v="MMR001CMP188"/>
    <x v="0"/>
    <x v="2"/>
    <x v="0"/>
    <s v=""/>
    <s v="No"/>
    <m/>
  </r>
  <r>
    <n v="36.333333333333336"/>
    <d v="2013-11-07T00:00:00"/>
    <x v="0"/>
    <s v="Solidarities"/>
    <s v="Kachin"/>
    <s v="Bhamo"/>
    <s v="Phan Khar Kone"/>
    <m/>
    <m/>
    <m/>
    <m/>
    <m/>
    <m/>
    <m/>
    <m/>
    <m/>
    <m/>
    <n v="23"/>
    <n v="41"/>
    <n v="128"/>
    <n v="64"/>
    <m/>
    <m/>
    <m/>
    <n v="0"/>
    <n v="0"/>
    <n v="0"/>
    <n v="0"/>
    <n v="0"/>
    <n v="0"/>
    <n v="0"/>
    <n v="0"/>
    <n v="0"/>
    <n v="0"/>
    <n v="0"/>
    <n v="0"/>
    <n v="0"/>
    <n v="0"/>
    <x v="2"/>
    <n v="0"/>
    <n v="0"/>
    <n v="0"/>
    <s v="MMR001CMP193"/>
    <x v="0"/>
    <x v="0"/>
    <x v="0"/>
    <n v="0"/>
    <m/>
    <m/>
  </r>
  <r>
    <n v="36.333333333333336"/>
    <d v="2013-11-07T00:00:00"/>
    <x v="1"/>
    <s v="UNHCR"/>
    <s v="Kachin"/>
    <s v="Bhamo"/>
    <s v="Phan Khar Kone"/>
    <m/>
    <m/>
    <n v="58"/>
    <n v="46"/>
    <n v="29"/>
    <n v="46"/>
    <n v="29"/>
    <n v="29"/>
    <m/>
    <m/>
    <m/>
    <m/>
    <m/>
    <m/>
    <m/>
    <m/>
    <m/>
    <n v="0"/>
    <n v="0"/>
    <n v="0"/>
    <n v="0"/>
    <n v="0"/>
    <n v="0"/>
    <n v="0"/>
    <n v="0"/>
    <n v="0"/>
    <n v="0"/>
    <n v="0"/>
    <n v="0"/>
    <n v="0"/>
    <n v="0"/>
    <x v="0"/>
    <n v="0"/>
    <n v="0"/>
    <n v="0"/>
    <s v="MMR001CMP193"/>
    <x v="0"/>
    <x v="0"/>
    <x v="0"/>
    <n v="0.19333333333333333"/>
    <s v="No"/>
    <m/>
  </r>
  <r>
    <n v="36.333333333333336"/>
    <d v="2013-11-07T00:00:00"/>
    <x v="0"/>
    <s v="Solidarities"/>
    <s v="Kachin"/>
    <s v="Bhamo"/>
    <s v="Ta Gun Taing Monastery (Shwe Kyi Na)"/>
    <m/>
    <m/>
    <m/>
    <m/>
    <m/>
    <m/>
    <m/>
    <m/>
    <m/>
    <m/>
    <n v="64"/>
    <n v="118"/>
    <n v="364"/>
    <n v="182"/>
    <m/>
    <m/>
    <m/>
    <n v="0"/>
    <n v="0"/>
    <n v="0"/>
    <n v="0"/>
    <n v="0"/>
    <n v="0"/>
    <n v="0"/>
    <n v="0"/>
    <n v="0"/>
    <n v="0"/>
    <n v="0"/>
    <n v="0"/>
    <n v="0"/>
    <n v="0"/>
    <x v="2"/>
    <n v="0"/>
    <n v="0"/>
    <n v="0"/>
    <s v="MMR001CMP055"/>
    <x v="0"/>
    <x v="0"/>
    <x v="0"/>
    <n v="0"/>
    <m/>
    <m/>
  </r>
  <r>
    <n v="36.4"/>
    <d v="2013-11-05T00:00:00"/>
    <x v="1"/>
    <s v="UNHCR"/>
    <s v="Kachin"/>
    <s v="Mansi"/>
    <s v="Mansi Baptist Church"/>
    <m/>
    <m/>
    <n v="60"/>
    <n v="54"/>
    <n v="30"/>
    <n v="54"/>
    <n v="30"/>
    <n v="30"/>
    <m/>
    <m/>
    <m/>
    <m/>
    <m/>
    <m/>
    <m/>
    <m/>
    <m/>
    <n v="0"/>
    <n v="0"/>
    <n v="0"/>
    <n v="0"/>
    <n v="0"/>
    <n v="0"/>
    <n v="0"/>
    <n v="0"/>
    <n v="0"/>
    <n v="0"/>
    <n v="0"/>
    <n v="0"/>
    <n v="0"/>
    <n v="0"/>
    <x v="0"/>
    <n v="0"/>
    <n v="0"/>
    <n v="0"/>
    <s v="MMR001CMP066"/>
    <x v="0"/>
    <x v="0"/>
    <x v="0"/>
    <n v="0.15228426395939088"/>
    <s v="No"/>
    <m/>
  </r>
  <r>
    <n v="36.466666666666669"/>
    <d v="2013-11-03T00:00:00"/>
    <x v="10"/>
    <s v="MRCS"/>
    <s v="Kachin"/>
    <s v="Bhamo"/>
    <s v="AD-2000 Tharthana Compound"/>
    <m/>
    <m/>
    <n v="21"/>
    <m/>
    <m/>
    <m/>
    <n v="21"/>
    <m/>
    <m/>
    <m/>
    <m/>
    <m/>
    <m/>
    <m/>
    <m/>
    <m/>
    <m/>
    <n v="0"/>
    <n v="0"/>
    <n v="0"/>
    <n v="0"/>
    <n v="0"/>
    <n v="0"/>
    <n v="0"/>
    <n v="0"/>
    <n v="0"/>
    <n v="0"/>
    <n v="0"/>
    <n v="0"/>
    <n v="0"/>
    <n v="0"/>
    <x v="0"/>
    <n v="0"/>
    <n v="0"/>
    <n v="0"/>
    <s v="MMR001CMP050"/>
    <x v="0"/>
    <x v="0"/>
    <x v="0"/>
    <n v="8.0769230769230774E-2"/>
    <s v="No"/>
    <m/>
  </r>
  <r>
    <n v="36.466666666666669"/>
    <d v="2013-11-03T00:00:00"/>
    <x v="1"/>
    <s v="UNHCR "/>
    <s v="Kachin"/>
    <s v="Mansi"/>
    <s v="Bum Tsit Pa "/>
    <m/>
    <m/>
    <n v="130"/>
    <n v="130"/>
    <n v="65"/>
    <n v="65"/>
    <n v="65"/>
    <n v="65"/>
    <m/>
    <m/>
    <m/>
    <m/>
    <m/>
    <m/>
    <m/>
    <m/>
    <m/>
    <n v="0"/>
    <n v="0"/>
    <n v="0"/>
    <n v="0"/>
    <n v="0"/>
    <n v="0"/>
    <n v="0"/>
    <n v="0"/>
    <n v="0"/>
    <n v="0"/>
    <n v="0"/>
    <n v="0"/>
    <n v="0"/>
    <n v="0"/>
    <x v="0"/>
    <n v="0"/>
    <n v="0"/>
    <n v="0"/>
    <s v="MMR001CMP129"/>
    <x v="0"/>
    <x v="0"/>
    <x v="6"/>
    <n v="0.14772727272727273"/>
    <s v="No"/>
    <m/>
  </r>
  <r>
    <n v="36.466666666666669"/>
    <d v="2013-11-03T00:00:00"/>
    <x v="10"/>
    <s v="MRCS"/>
    <s v="Kachin"/>
    <s v="Bhamo"/>
    <s v="Htoi San Church"/>
    <m/>
    <m/>
    <n v="41"/>
    <m/>
    <m/>
    <m/>
    <n v="41"/>
    <m/>
    <m/>
    <m/>
    <m/>
    <m/>
    <m/>
    <m/>
    <m/>
    <m/>
    <m/>
    <n v="0"/>
    <n v="0"/>
    <n v="0"/>
    <n v="0"/>
    <n v="0"/>
    <n v="0"/>
    <n v="0"/>
    <n v="0"/>
    <n v="0"/>
    <n v="0"/>
    <n v="0"/>
    <n v="0"/>
    <n v="0"/>
    <n v="0"/>
    <x v="0"/>
    <n v="0"/>
    <n v="0"/>
    <n v="0"/>
    <s v="MMR001CMP052"/>
    <x v="0"/>
    <x v="0"/>
    <x v="0"/>
    <n v="1.0789473684210527"/>
    <s v="No"/>
    <m/>
  </r>
  <r>
    <n v="36.466666666666669"/>
    <d v="2013-11-03T00:00:00"/>
    <x v="1"/>
    <s v="UNHCR "/>
    <s v="Kachin"/>
    <s v="Mansi"/>
    <s v="Lana Zup Ja "/>
    <m/>
    <m/>
    <n v="592"/>
    <n v="592"/>
    <n v="296"/>
    <n v="296"/>
    <n v="296"/>
    <n v="296"/>
    <m/>
    <m/>
    <m/>
    <m/>
    <m/>
    <m/>
    <m/>
    <m/>
    <m/>
    <n v="0"/>
    <n v="0"/>
    <n v="0"/>
    <n v="0"/>
    <n v="0"/>
    <n v="0"/>
    <n v="0"/>
    <n v="0"/>
    <n v="0"/>
    <n v="0"/>
    <n v="0"/>
    <n v="0"/>
    <n v="0"/>
    <n v="0"/>
    <x v="0"/>
    <n v="0"/>
    <n v="0"/>
    <n v="0"/>
    <s v="MMR001CMP128"/>
    <x v="0"/>
    <x v="0"/>
    <x v="6"/>
    <n v="0.54212454212454209"/>
    <s v="No"/>
    <m/>
  </r>
  <r>
    <n v="36.466666666666669"/>
    <d v="2013-11-03T00:00:00"/>
    <x v="1"/>
    <s v="UNHCR "/>
    <s v="Kachin"/>
    <s v="Momauk"/>
    <s v="Loi Je Lisu Camp"/>
    <m/>
    <m/>
    <n v="24"/>
    <n v="24"/>
    <n v="12"/>
    <n v="12"/>
    <n v="12"/>
    <n v="12"/>
    <m/>
    <m/>
    <m/>
    <m/>
    <m/>
    <m/>
    <m/>
    <m/>
    <m/>
    <n v="0"/>
    <n v="0"/>
    <n v="0"/>
    <n v="0"/>
    <n v="0"/>
    <n v="0"/>
    <n v="0"/>
    <n v="0"/>
    <n v="0"/>
    <n v="0"/>
    <n v="0"/>
    <n v="0"/>
    <n v="0"/>
    <n v="0"/>
    <x v="0"/>
    <n v="0"/>
    <n v="0"/>
    <n v="0"/>
    <s v="MMR001CMP070"/>
    <x v="0"/>
    <x v="0"/>
    <x v="1"/>
    <n v="6.25E-2"/>
    <s v="No"/>
    <m/>
  </r>
  <r>
    <n v="36.466666666666669"/>
    <d v="2013-11-03T00:00:00"/>
    <x v="10"/>
    <s v="MRCS"/>
    <s v="Kachin"/>
    <s v="Mansi"/>
    <s v="Mansi Baptist Church"/>
    <m/>
    <m/>
    <n v="29"/>
    <m/>
    <m/>
    <m/>
    <n v="29"/>
    <m/>
    <m/>
    <m/>
    <m/>
    <m/>
    <m/>
    <m/>
    <m/>
    <m/>
    <m/>
    <n v="0"/>
    <n v="0"/>
    <n v="0"/>
    <n v="0"/>
    <n v="0"/>
    <n v="0"/>
    <n v="0"/>
    <n v="0"/>
    <n v="0"/>
    <n v="0"/>
    <n v="0"/>
    <n v="0"/>
    <n v="0"/>
    <n v="0"/>
    <x v="0"/>
    <n v="0"/>
    <n v="0"/>
    <n v="0"/>
    <s v="MMR001CMP066"/>
    <x v="0"/>
    <x v="0"/>
    <x v="0"/>
    <n v="0.14720812182741116"/>
    <s v="No"/>
    <m/>
  </r>
  <r>
    <n v="36.466666666666669"/>
    <d v="2013-11-03T00:00:00"/>
    <x v="10"/>
    <s v="MRCS"/>
    <s v="Kachin"/>
    <s v="Bhamo"/>
    <s v="Phan Khar Kone"/>
    <m/>
    <m/>
    <n v="49"/>
    <m/>
    <m/>
    <m/>
    <n v="49"/>
    <m/>
    <m/>
    <m/>
    <m/>
    <m/>
    <m/>
    <m/>
    <m/>
    <m/>
    <m/>
    <n v="0"/>
    <n v="0"/>
    <n v="0"/>
    <n v="0"/>
    <n v="0"/>
    <n v="0"/>
    <n v="0"/>
    <n v="0"/>
    <n v="0"/>
    <n v="0"/>
    <n v="0"/>
    <n v="0"/>
    <n v="0"/>
    <n v="0"/>
    <x v="0"/>
    <n v="0"/>
    <n v="0"/>
    <n v="0"/>
    <s v="MMR001CMP193"/>
    <x v="0"/>
    <x v="0"/>
    <x v="0"/>
    <n v="0.32666666666666666"/>
    <s v="No"/>
    <m/>
  </r>
  <r>
    <n v="36.533333333333331"/>
    <d v="2013-11-01T00:00:00"/>
    <x v="1"/>
    <s v="UNHCR"/>
    <s v="Kachin"/>
    <s v="Bhamo"/>
    <s v="Aung Thar Church"/>
    <m/>
    <m/>
    <n v="8"/>
    <n v="6"/>
    <n v="4"/>
    <n v="6"/>
    <n v="4"/>
    <n v="4"/>
    <m/>
    <m/>
    <m/>
    <m/>
    <m/>
    <m/>
    <m/>
    <m/>
    <m/>
    <n v="0"/>
    <n v="0"/>
    <n v="0"/>
    <n v="0"/>
    <n v="0"/>
    <n v="0"/>
    <n v="0"/>
    <n v="0"/>
    <n v="0"/>
    <n v="0"/>
    <n v="0"/>
    <n v="0"/>
    <n v="0"/>
    <n v="0"/>
    <x v="0"/>
    <n v="0"/>
    <n v="0"/>
    <n v="0"/>
    <s v="MMR001CMP194"/>
    <x v="0"/>
    <x v="0"/>
    <x v="0"/>
    <n v="0.33333333333333331"/>
    <s v="No"/>
    <m/>
  </r>
  <r>
    <n v="36.533333333333331"/>
    <d v="2013-11-01T00:00:00"/>
    <x v="1"/>
    <s v="UNHCR"/>
    <s v="Kachin"/>
    <s v="Bhamo"/>
    <s v="Htoi San Church"/>
    <m/>
    <m/>
    <n v="12"/>
    <n v="9"/>
    <n v="6"/>
    <n v="9"/>
    <n v="6"/>
    <n v="6"/>
    <n v="6"/>
    <m/>
    <m/>
    <m/>
    <m/>
    <m/>
    <m/>
    <m/>
    <m/>
    <n v="0"/>
    <n v="0"/>
    <n v="0"/>
    <n v="0"/>
    <n v="0"/>
    <n v="0"/>
    <n v="0"/>
    <n v="0"/>
    <n v="0"/>
    <n v="0"/>
    <n v="0"/>
    <n v="0"/>
    <n v="0"/>
    <n v="0"/>
    <x v="0"/>
    <n v="0"/>
    <n v="0"/>
    <n v="0"/>
    <s v="MMR001CMP052"/>
    <x v="0"/>
    <x v="0"/>
    <x v="0"/>
    <n v="0.15789473684210525"/>
    <s v="No"/>
    <m/>
  </r>
  <r>
    <n v="36.533333333333331"/>
    <d v="2013-11-01T00:00:00"/>
    <x v="1"/>
    <s v="UNHCR"/>
    <s v="Kachin"/>
    <s v="Bhamo"/>
    <s v="Robert Church"/>
    <m/>
    <m/>
    <n v="40"/>
    <n v="48"/>
    <n v="20"/>
    <n v="48"/>
    <n v="20"/>
    <n v="20"/>
    <n v="500"/>
    <n v="500"/>
    <m/>
    <m/>
    <m/>
    <m/>
    <m/>
    <m/>
    <m/>
    <n v="0"/>
    <n v="0"/>
    <n v="0"/>
    <n v="0"/>
    <n v="0"/>
    <n v="0"/>
    <n v="0"/>
    <n v="0"/>
    <n v="0"/>
    <n v="0"/>
    <n v="0"/>
    <n v="0"/>
    <n v="0"/>
    <n v="0"/>
    <x v="0"/>
    <n v="0"/>
    <n v="0"/>
    <n v="0"/>
    <s v="MMR001CMP047"/>
    <x v="0"/>
    <x v="0"/>
    <x v="0"/>
    <n v="3.1948881789137379E-2"/>
    <s v="No"/>
    <m/>
  </r>
  <r>
    <n v="36.6"/>
    <d v="2013-10-30T00:00:00"/>
    <x v="1"/>
    <s v="UNHCR"/>
    <s v="Kachin"/>
    <s v="Bhamo"/>
    <s v="AD-2000 Tharthana Compound"/>
    <m/>
    <m/>
    <n v="22"/>
    <n v="40"/>
    <n v="21"/>
    <n v="40"/>
    <n v="21"/>
    <n v="21"/>
    <n v="21"/>
    <n v="21"/>
    <m/>
    <m/>
    <m/>
    <m/>
    <m/>
    <m/>
    <m/>
    <n v="0"/>
    <n v="0"/>
    <n v="0"/>
    <n v="0"/>
    <n v="0"/>
    <n v="0"/>
    <n v="0"/>
    <n v="0"/>
    <n v="0"/>
    <n v="0"/>
    <n v="0"/>
    <n v="0"/>
    <n v="0"/>
    <n v="0"/>
    <x v="0"/>
    <n v="0"/>
    <n v="0"/>
    <n v="0"/>
    <s v="MMR001CMP050"/>
    <x v="0"/>
    <x v="0"/>
    <x v="0"/>
    <n v="8.0769230769230774E-2"/>
    <s v="No"/>
    <m/>
  </r>
  <r>
    <n v="36.6"/>
    <d v="2013-10-30T00:00:00"/>
    <x v="1"/>
    <s v="UNHCR"/>
    <s v="Kachin"/>
    <s v="Bhamo"/>
    <s v="Htoi San Church"/>
    <m/>
    <m/>
    <n v="72"/>
    <n v="61"/>
    <n v="36"/>
    <n v="61"/>
    <n v="36"/>
    <n v="36"/>
    <n v="36"/>
    <n v="36"/>
    <m/>
    <m/>
    <m/>
    <m/>
    <m/>
    <m/>
    <m/>
    <n v="0"/>
    <n v="0"/>
    <n v="0"/>
    <n v="0"/>
    <n v="0"/>
    <n v="0"/>
    <n v="0"/>
    <n v="0"/>
    <n v="0"/>
    <n v="0"/>
    <n v="0"/>
    <n v="0"/>
    <n v="0"/>
    <n v="0"/>
    <x v="0"/>
    <n v="0"/>
    <n v="0"/>
    <n v="0"/>
    <s v="MMR001CMP052"/>
    <x v="0"/>
    <x v="0"/>
    <x v="0"/>
    <n v="0.94736842105263153"/>
    <s v="No"/>
    <m/>
  </r>
  <r>
    <n v="36.6"/>
    <d v="2013-10-30T00:00:00"/>
    <x v="1"/>
    <s v="UNHCR"/>
    <s v="Kachin"/>
    <s v="Bhamo"/>
    <s v="Phan Khar Kone"/>
    <m/>
    <m/>
    <n v="81"/>
    <n v="94"/>
    <n v="50"/>
    <n v="94"/>
    <n v="50"/>
    <n v="50"/>
    <n v="50"/>
    <n v="50"/>
    <m/>
    <m/>
    <m/>
    <m/>
    <m/>
    <m/>
    <m/>
    <n v="0"/>
    <n v="0"/>
    <n v="0"/>
    <n v="0"/>
    <n v="0"/>
    <n v="0"/>
    <n v="0"/>
    <n v="0"/>
    <n v="0"/>
    <n v="0"/>
    <n v="0"/>
    <n v="0"/>
    <n v="0"/>
    <n v="0"/>
    <x v="0"/>
    <n v="0"/>
    <n v="0"/>
    <n v="0"/>
    <s v="MMR001CMP193"/>
    <x v="0"/>
    <x v="0"/>
    <x v="0"/>
    <n v="0.33333333333333331"/>
    <s v="No"/>
    <m/>
  </r>
  <r>
    <n v="37.733333333333334"/>
    <d v="2013-09-26T00:00:00"/>
    <x v="1"/>
    <s v="UNHCR"/>
    <s v="Kachin"/>
    <s v="Momauk"/>
    <s v="Hpun Lum Yang "/>
    <m/>
    <m/>
    <n v="882"/>
    <n v="882"/>
    <n v="441"/>
    <n v="882"/>
    <n v="441"/>
    <m/>
    <n v="441"/>
    <n v="882"/>
    <m/>
    <m/>
    <m/>
    <m/>
    <m/>
    <m/>
    <m/>
    <n v="0"/>
    <n v="0"/>
    <n v="0"/>
    <n v="0"/>
    <n v="0"/>
    <n v="0"/>
    <n v="0"/>
    <n v="0"/>
    <n v="0"/>
    <n v="0"/>
    <n v="0"/>
    <n v="0"/>
    <n v="0"/>
    <n v="0"/>
    <x v="0"/>
    <n v="0"/>
    <n v="0"/>
    <n v="0"/>
    <s v="MMR001CMP122"/>
    <x v="0"/>
    <x v="0"/>
    <x v="6"/>
    <n v="0.68798751950078008"/>
    <s v="No"/>
    <m/>
  </r>
  <r>
    <n v="37.733333333333334"/>
    <d v="2013-09-26T00:00:00"/>
    <x v="1"/>
    <s v="UNHCR"/>
    <s v="Kachin"/>
    <s v="Momauk"/>
    <s v="Je Yang Hka "/>
    <m/>
    <m/>
    <n v="1628"/>
    <n v="3256"/>
    <n v="1628"/>
    <n v="3256"/>
    <n v="1628"/>
    <m/>
    <n v="1628"/>
    <n v="3256"/>
    <m/>
    <m/>
    <m/>
    <m/>
    <m/>
    <m/>
    <m/>
    <n v="0"/>
    <n v="0"/>
    <n v="0"/>
    <n v="0"/>
    <n v="0"/>
    <n v="0"/>
    <n v="0"/>
    <n v="0"/>
    <n v="0"/>
    <n v="0"/>
    <n v="0"/>
    <n v="0"/>
    <n v="0"/>
    <n v="0"/>
    <x v="0"/>
    <n v="0"/>
    <n v="0"/>
    <n v="0"/>
    <s v="MMR001CMP121"/>
    <x v="0"/>
    <x v="0"/>
    <x v="6"/>
    <n v="0.98726500909642212"/>
    <s v="No"/>
    <m/>
  </r>
  <r>
    <n v="37.733333333333334"/>
    <d v="2013-09-26T00:00:00"/>
    <x v="1"/>
    <s v="UNHCR"/>
    <s v="Kachin"/>
    <s v="Waingmaw"/>
    <s v="Laiza Market 3 - Laiza Gat"/>
    <m/>
    <m/>
    <n v="437"/>
    <n v="874"/>
    <n v="437"/>
    <n v="874"/>
    <n v="437"/>
    <n v="54"/>
    <n v="383"/>
    <n v="766"/>
    <m/>
    <m/>
    <m/>
    <m/>
    <m/>
    <m/>
    <m/>
    <n v="0"/>
    <n v="0"/>
    <n v="0"/>
    <n v="0"/>
    <n v="0"/>
    <n v="0"/>
    <n v="0"/>
    <n v="0"/>
    <n v="0"/>
    <n v="0"/>
    <n v="0"/>
    <n v="0"/>
    <n v="0"/>
    <n v="0"/>
    <x v="0"/>
    <n v="0"/>
    <n v="0"/>
    <n v="0"/>
    <s v="MMR001CMP117"/>
    <x v="0"/>
    <x v="2"/>
    <x v="6"/>
    <s v=""/>
    <s v="No"/>
    <m/>
  </r>
  <r>
    <n v="38"/>
    <d v="2013-09-18T00:00:00"/>
    <x v="1"/>
    <s v="UNHCR"/>
    <s v="Kachin"/>
    <s v="Waingmaw"/>
    <s v="Woi Chyai "/>
    <m/>
    <m/>
    <n v="1520"/>
    <n v="1520"/>
    <n v="760"/>
    <n v="1520"/>
    <n v="760"/>
    <n v="760"/>
    <m/>
    <m/>
    <m/>
    <m/>
    <m/>
    <m/>
    <m/>
    <m/>
    <m/>
    <n v="0"/>
    <n v="0"/>
    <n v="0"/>
    <n v="0"/>
    <n v="0"/>
    <n v="0"/>
    <n v="0"/>
    <n v="0"/>
    <n v="0"/>
    <n v="0"/>
    <n v="0"/>
    <n v="0"/>
    <n v="0"/>
    <n v="0"/>
    <x v="0"/>
    <n v="0"/>
    <n v="0"/>
    <n v="0"/>
    <s v="MMR001CMP116"/>
    <x v="0"/>
    <x v="0"/>
    <x v="0"/>
    <n v="0.55433989788475568"/>
    <s v="No"/>
    <m/>
  </r>
  <r>
    <n v="38.200000000000003"/>
    <d v="2013-09-12T00:00:00"/>
    <x v="1"/>
    <s v="UNHCR"/>
    <s v="Kachin"/>
    <s v="Momauk"/>
    <s v="Nhkawng Pa "/>
    <m/>
    <m/>
    <n v="640"/>
    <n v="640"/>
    <n v="320"/>
    <n v="320"/>
    <n v="320"/>
    <n v="320"/>
    <n v="640"/>
    <n v="320"/>
    <m/>
    <m/>
    <m/>
    <m/>
    <m/>
    <m/>
    <m/>
    <n v="0"/>
    <n v="0"/>
    <n v="0"/>
    <n v="0"/>
    <n v="0"/>
    <n v="0"/>
    <n v="0"/>
    <n v="0"/>
    <n v="0"/>
    <n v="0"/>
    <n v="0"/>
    <n v="0"/>
    <n v="0"/>
    <n v="0"/>
    <x v="0"/>
    <n v="0"/>
    <n v="0"/>
    <n v="0"/>
    <s v="MMR001CMP131"/>
    <x v="0"/>
    <x v="0"/>
    <x v="5"/>
    <n v="0.90140845070422537"/>
    <s v="No"/>
    <m/>
  </r>
  <r>
    <n v="39.200000000000003"/>
    <d v="2013-08-13T00:00:00"/>
    <x v="1"/>
    <s v="KMSS"/>
    <s v="Shan_North"/>
    <s v="Manton"/>
    <s v="Host Families"/>
    <m/>
    <m/>
    <n v="49"/>
    <n v="90"/>
    <n v="30"/>
    <n v="90"/>
    <n v="30"/>
    <n v="30"/>
    <n v="30"/>
    <n v="30"/>
    <m/>
    <m/>
    <m/>
    <m/>
    <m/>
    <m/>
    <m/>
    <n v="0"/>
    <n v="0"/>
    <n v="0"/>
    <n v="0"/>
    <n v="0"/>
    <n v="0"/>
    <n v="0"/>
    <n v="0"/>
    <n v="0"/>
    <n v="0"/>
    <n v="0"/>
    <n v="0"/>
    <n v="0"/>
    <n v="0"/>
    <x v="0"/>
    <n v="0"/>
    <n v="0"/>
    <n v="0"/>
    <s v="MMR001CMP163"/>
    <x v="0"/>
    <x v="0"/>
    <x v="0"/>
    <n v="0.14218009478672985"/>
    <s v="No"/>
    <m/>
  </r>
  <r>
    <n v="39.200000000000003"/>
    <d v="2013-08-13T00:00:00"/>
    <x v="1"/>
    <s v="KBC"/>
    <s v="Shan_North"/>
    <s v="Kutkai"/>
    <s v="Kone Khem Camp"/>
    <m/>
    <m/>
    <n v="70"/>
    <n v="120"/>
    <n v="48"/>
    <n v="120"/>
    <n v="48"/>
    <n v="48"/>
    <n v="48"/>
    <n v="48"/>
    <m/>
    <m/>
    <m/>
    <m/>
    <m/>
    <m/>
    <m/>
    <n v="0"/>
    <n v="0"/>
    <n v="0"/>
    <n v="0"/>
    <n v="0"/>
    <n v="0"/>
    <n v="0"/>
    <n v="0"/>
    <n v="0"/>
    <n v="0"/>
    <n v="0"/>
    <n v="0"/>
    <n v="0"/>
    <n v="0"/>
    <x v="0"/>
    <n v="0"/>
    <n v="0"/>
    <n v="0"/>
    <s v="MMR015CMP015"/>
    <x v="0"/>
    <x v="0"/>
    <x v="1"/>
    <n v="0.54545454545454541"/>
    <s v="No"/>
    <m/>
  </r>
  <r>
    <n v="39.200000000000003"/>
    <d v="2013-08-13T00:00:00"/>
    <x v="1"/>
    <s v="KMSS"/>
    <s v="Shan_North"/>
    <s v="Kutkai"/>
    <s v="Kutkai downtown (RC Church)"/>
    <m/>
    <m/>
    <n v="47"/>
    <n v="103"/>
    <n v="41"/>
    <n v="103"/>
    <n v="41"/>
    <n v="41"/>
    <n v="41"/>
    <n v="41"/>
    <m/>
    <m/>
    <m/>
    <m/>
    <m/>
    <m/>
    <m/>
    <n v="0"/>
    <n v="0"/>
    <n v="0"/>
    <n v="0"/>
    <n v="0"/>
    <n v="0"/>
    <n v="0"/>
    <n v="0"/>
    <n v="0"/>
    <n v="0"/>
    <n v="0"/>
    <n v="0"/>
    <n v="0"/>
    <n v="0"/>
    <x v="0"/>
    <n v="0"/>
    <n v="0"/>
    <n v="0"/>
    <s v="MMR015CMP017"/>
    <x v="0"/>
    <x v="0"/>
    <x v="1"/>
    <n v="1.3666666666666667"/>
    <s v="No"/>
    <m/>
  </r>
  <r>
    <n v="39.200000000000003"/>
    <d v="2013-08-13T00:00:00"/>
    <x v="1"/>
    <s v="KBC"/>
    <s v="Shan_North"/>
    <s v="Manton"/>
    <s v="Mandung - Jinghpaw"/>
    <m/>
    <m/>
    <n v="36"/>
    <n v="84"/>
    <n v="42"/>
    <n v="84"/>
    <n v="42"/>
    <n v="42"/>
    <n v="42"/>
    <n v="42"/>
    <m/>
    <m/>
    <m/>
    <m/>
    <m/>
    <m/>
    <m/>
    <n v="0"/>
    <n v="0"/>
    <n v="0"/>
    <n v="0"/>
    <n v="0"/>
    <n v="0"/>
    <n v="0"/>
    <n v="0"/>
    <n v="0"/>
    <n v="0"/>
    <n v="0"/>
    <n v="0"/>
    <n v="0"/>
    <n v="0"/>
    <x v="0"/>
    <n v="0"/>
    <n v="0"/>
    <n v="0"/>
    <s v="MMR015CMP009"/>
    <x v="0"/>
    <x v="0"/>
    <x v="6"/>
    <n v="1.1666666666666667"/>
    <s v="No"/>
    <m/>
  </r>
  <r>
    <n v="39.200000000000003"/>
    <d v="2013-08-13T00:00:00"/>
    <x v="1"/>
    <s v="KBC"/>
    <s v="Shan_North"/>
    <s v="Kutkai"/>
    <s v="Mine Yu Lay village"/>
    <m/>
    <m/>
    <n v="113"/>
    <n v="160"/>
    <n v="32"/>
    <n v="160"/>
    <n v="32"/>
    <n v="32"/>
    <n v="32"/>
    <n v="32"/>
    <m/>
    <m/>
    <m/>
    <m/>
    <m/>
    <m/>
    <m/>
    <n v="0"/>
    <n v="0"/>
    <n v="0"/>
    <n v="0"/>
    <n v="0"/>
    <n v="0"/>
    <n v="0"/>
    <n v="0"/>
    <n v="0"/>
    <n v="0"/>
    <n v="0"/>
    <n v="0"/>
    <n v="0"/>
    <n v="0"/>
    <x v="0"/>
    <n v="0"/>
    <n v="0"/>
    <n v="0"/>
    <s v="MMR015CMP018"/>
    <x v="0"/>
    <x v="0"/>
    <x v="1"/>
    <n v="0.46376811594202899"/>
    <s v="No"/>
    <m/>
  </r>
  <r>
    <n v="39.200000000000003"/>
    <d v="2013-08-13T00:00:00"/>
    <x v="1"/>
    <s v="KMSS"/>
    <s v="Shan_North"/>
    <s v="Kutkai"/>
    <s v="Mungji Pa Dabang (Baptist Church)         "/>
    <m/>
    <m/>
    <n v="30"/>
    <n v="56"/>
    <n v="23"/>
    <n v="56"/>
    <n v="23"/>
    <n v="23"/>
    <n v="23"/>
    <n v="23"/>
    <m/>
    <m/>
    <m/>
    <m/>
    <m/>
    <m/>
    <m/>
    <n v="0"/>
    <n v="0"/>
    <n v="0"/>
    <n v="0"/>
    <n v="0"/>
    <n v="0"/>
    <n v="0"/>
    <n v="0"/>
    <n v="0"/>
    <n v="0"/>
    <n v="0"/>
    <n v="0"/>
    <n v="0"/>
    <n v="0"/>
    <x v="0"/>
    <n v="0"/>
    <n v="0"/>
    <n v="0"/>
    <s v="MMR015CMP006"/>
    <x v="0"/>
    <x v="0"/>
    <x v="5"/>
    <n v="0.46938775510204084"/>
    <s v="No"/>
    <m/>
  </r>
  <r>
    <n v="39.200000000000003"/>
    <d v="2013-08-13T00:00:00"/>
    <x v="1"/>
    <s v="KMSS"/>
    <s v="Shan_North"/>
    <s v="Kutkai"/>
    <s v="Mungji Pa Dabang (RC Church)         "/>
    <m/>
    <m/>
    <n v="70"/>
    <n v="130"/>
    <n v="52"/>
    <n v="130"/>
    <n v="52"/>
    <n v="52"/>
    <n v="52"/>
    <n v="52"/>
    <m/>
    <m/>
    <m/>
    <m/>
    <m/>
    <m/>
    <m/>
    <n v="0"/>
    <n v="0"/>
    <n v="0"/>
    <n v="0"/>
    <n v="0"/>
    <n v="0"/>
    <n v="0"/>
    <n v="0"/>
    <n v="0"/>
    <n v="0"/>
    <n v="0"/>
    <n v="0"/>
    <n v="0"/>
    <n v="0"/>
    <x v="0"/>
    <n v="0"/>
    <n v="0"/>
    <n v="0"/>
    <s v="MMR015CMP019"/>
    <x v="0"/>
    <x v="2"/>
    <x v="4"/>
    <s v=""/>
    <s v="No"/>
    <m/>
  </r>
  <r>
    <n v="39.200000000000003"/>
    <d v="2013-08-13T00:00:00"/>
    <x v="1"/>
    <s v="KBC"/>
    <s v="Shan_North"/>
    <s v="Hseni"/>
    <s v="Na Ti (Koe Kant Traditional school)"/>
    <m/>
    <m/>
    <n v="67"/>
    <n v="90"/>
    <n v="30"/>
    <n v="90"/>
    <n v="30"/>
    <n v="30"/>
    <n v="30"/>
    <n v="30"/>
    <m/>
    <m/>
    <m/>
    <m/>
    <m/>
    <m/>
    <m/>
    <n v="0"/>
    <n v="0"/>
    <n v="0"/>
    <n v="0"/>
    <n v="0"/>
    <n v="0"/>
    <n v="0"/>
    <n v="0"/>
    <n v="0"/>
    <n v="0"/>
    <n v="0"/>
    <n v="0"/>
    <n v="0"/>
    <n v="0"/>
    <x v="0"/>
    <n v="0"/>
    <n v="0"/>
    <n v="0"/>
    <s v=""/>
    <x v="3"/>
    <x v="1"/>
    <x v="4"/>
    <s v=""/>
    <s v="No"/>
    <m/>
  </r>
  <r>
    <n v="39.200000000000003"/>
    <d v="2013-08-13T00:00:00"/>
    <x v="1"/>
    <s v="KBC"/>
    <s v="Shan_North"/>
    <s v="Namhkan"/>
    <s v="Nam Hkam - Nay Win Ni (Palawng)"/>
    <m/>
    <m/>
    <n v="125"/>
    <n v="233"/>
    <n v="93"/>
    <n v="233"/>
    <n v="93"/>
    <n v="93"/>
    <n v="93"/>
    <n v="93"/>
    <m/>
    <m/>
    <m/>
    <m/>
    <m/>
    <m/>
    <m/>
    <n v="0"/>
    <n v="0"/>
    <n v="0"/>
    <n v="0"/>
    <n v="0"/>
    <n v="0"/>
    <n v="0"/>
    <n v="0"/>
    <n v="0"/>
    <n v="0"/>
    <n v="0"/>
    <n v="0"/>
    <n v="0"/>
    <n v="0"/>
    <x v="0"/>
    <n v="0"/>
    <n v="0"/>
    <n v="0"/>
    <s v="MMR015CMP004"/>
    <x v="0"/>
    <x v="0"/>
    <x v="1"/>
    <n v="1.24"/>
    <s v="No"/>
    <m/>
  </r>
  <r>
    <n v="39.200000000000003"/>
    <d v="2013-08-13T00:00:00"/>
    <x v="1"/>
    <s v="KMSS"/>
    <s v="Shan_North"/>
    <s v="Namhkan"/>
    <s v="Nam Hkam (KBC Jaw Wang)"/>
    <m/>
    <m/>
    <n v="100"/>
    <n v="188"/>
    <n v="75"/>
    <n v="188"/>
    <n v="75"/>
    <n v="75"/>
    <n v="75"/>
    <n v="75"/>
    <m/>
    <m/>
    <m/>
    <m/>
    <m/>
    <m/>
    <m/>
    <n v="0"/>
    <n v="0"/>
    <n v="0"/>
    <n v="0"/>
    <n v="0"/>
    <n v="0"/>
    <n v="0"/>
    <n v="0"/>
    <n v="0"/>
    <n v="0"/>
    <n v="0"/>
    <n v="0"/>
    <n v="0"/>
    <n v="0"/>
    <x v="0"/>
    <n v="0"/>
    <n v="0"/>
    <n v="0"/>
    <s v="MMR015CMP001"/>
    <x v="0"/>
    <x v="0"/>
    <x v="1"/>
    <n v="1.0869565217391304"/>
    <s v="No"/>
    <m/>
  </r>
  <r>
    <n v="39.200000000000003"/>
    <d v="2013-08-13T00:00:00"/>
    <x v="1"/>
    <s v="KMSS"/>
    <s v="Shan_North"/>
    <s v="Namhkan"/>
    <s v="Nam Hkam Catholic Church ( St. Thomas I)"/>
    <m/>
    <m/>
    <n v="36"/>
    <n v="72"/>
    <n v="33"/>
    <n v="72"/>
    <n v="33"/>
    <n v="33"/>
    <n v="33"/>
    <n v="33"/>
    <m/>
    <m/>
    <m/>
    <m/>
    <m/>
    <m/>
    <m/>
    <n v="0"/>
    <n v="0"/>
    <n v="0"/>
    <n v="0"/>
    <n v="0"/>
    <n v="0"/>
    <n v="0"/>
    <n v="0"/>
    <n v="0"/>
    <n v="0"/>
    <n v="0"/>
    <n v="0"/>
    <n v="0"/>
    <n v="0"/>
    <x v="0"/>
    <n v="0"/>
    <n v="0"/>
    <n v="0"/>
    <s v="MMR015CMP003"/>
    <x v="0"/>
    <x v="0"/>
    <x v="1"/>
    <n v="0.76744186046511631"/>
    <s v="No"/>
    <m/>
  </r>
  <r>
    <n v="39.200000000000003"/>
    <d v="2013-08-13T00:00:00"/>
    <x v="1"/>
    <s v="KMSS"/>
    <s v="Shan_North"/>
    <s v="Namhkan"/>
    <s v="Nam Hkam Catholic Church ( St. Thomas II)"/>
    <m/>
    <m/>
    <n v="40"/>
    <n v="83"/>
    <n v="33"/>
    <n v="83"/>
    <n v="33"/>
    <n v="33"/>
    <n v="33"/>
    <n v="33"/>
    <m/>
    <m/>
    <m/>
    <m/>
    <m/>
    <m/>
    <m/>
    <n v="0"/>
    <n v="0"/>
    <n v="0"/>
    <n v="0"/>
    <n v="0"/>
    <n v="0"/>
    <n v="0"/>
    <n v="0"/>
    <n v="0"/>
    <n v="0"/>
    <n v="0"/>
    <n v="0"/>
    <n v="0"/>
    <n v="0"/>
    <x v="0"/>
    <n v="0"/>
    <n v="0"/>
    <n v="0"/>
    <s v="MMR015CMP024"/>
    <x v="0"/>
    <x v="2"/>
    <x v="4"/>
    <s v=""/>
    <s v="No"/>
    <m/>
  </r>
  <r>
    <n v="39.200000000000003"/>
    <d v="2013-08-13T00:00:00"/>
    <x v="1"/>
    <s v="KMSS"/>
    <s v="Shan_North"/>
    <s v="Namtu"/>
    <s v="Nam Tu RC"/>
    <m/>
    <m/>
    <n v="130"/>
    <n v="288"/>
    <n v="115"/>
    <n v="288"/>
    <n v="115"/>
    <n v="115"/>
    <n v="115"/>
    <n v="115"/>
    <m/>
    <m/>
    <m/>
    <m/>
    <m/>
    <m/>
    <m/>
    <n v="0"/>
    <n v="0"/>
    <n v="0"/>
    <n v="0"/>
    <n v="0"/>
    <n v="0"/>
    <n v="0"/>
    <n v="0"/>
    <n v="0"/>
    <n v="0"/>
    <n v="0"/>
    <n v="0"/>
    <n v="0"/>
    <n v="0"/>
    <x v="0"/>
    <n v="0"/>
    <n v="0"/>
    <n v="0"/>
    <s v="MMR015CMP210"/>
    <x v="0"/>
    <x v="0"/>
    <x v="1"/>
    <n v="0.97457627118644063"/>
    <s v="No"/>
    <m/>
  </r>
  <r>
    <n v="39.200000000000003"/>
    <d v="2013-08-13T00:00:00"/>
    <x v="1"/>
    <s v="KBC"/>
    <s v="Shan_North"/>
    <s v="Hseni"/>
    <s v="Narte"/>
    <m/>
    <m/>
    <n v="27"/>
    <n v="43"/>
    <n v="17"/>
    <n v="43"/>
    <n v="17"/>
    <n v="17"/>
    <n v="17"/>
    <n v="17"/>
    <m/>
    <m/>
    <m/>
    <m/>
    <m/>
    <m/>
    <m/>
    <n v="0"/>
    <n v="0"/>
    <n v="0"/>
    <n v="0"/>
    <n v="0"/>
    <n v="0"/>
    <n v="0"/>
    <n v="0"/>
    <n v="0"/>
    <n v="0"/>
    <n v="0"/>
    <n v="0"/>
    <n v="0"/>
    <n v="0"/>
    <x v="0"/>
    <n v="0"/>
    <n v="0"/>
    <n v="0"/>
    <s v="MMR015CMP207"/>
    <x v="0"/>
    <x v="0"/>
    <x v="0"/>
    <n v="0.2537313432835821"/>
    <s v="No"/>
    <m/>
  </r>
  <r>
    <n v="39.4"/>
    <d v="2013-08-07T00:00:00"/>
    <x v="1"/>
    <s v="UNHCR"/>
    <s v="Kachin"/>
    <s v="Waingmaw"/>
    <s v="Mading Baptist Church"/>
    <m/>
    <m/>
    <n v="15"/>
    <n v="57"/>
    <n v="24"/>
    <n v="57"/>
    <n v="24"/>
    <n v="24"/>
    <n v="24"/>
    <n v="24"/>
    <m/>
    <m/>
    <m/>
    <m/>
    <m/>
    <m/>
    <m/>
    <n v="0"/>
    <n v="0"/>
    <n v="0"/>
    <n v="0"/>
    <n v="0"/>
    <n v="0"/>
    <n v="0"/>
    <n v="0"/>
    <n v="0"/>
    <n v="0"/>
    <n v="0"/>
    <n v="0"/>
    <n v="0"/>
    <n v="0"/>
    <x v="0"/>
    <n v="0"/>
    <n v="0"/>
    <n v="0"/>
    <s v="MMR001CMP027"/>
    <x v="0"/>
    <x v="0"/>
    <x v="0"/>
    <n v="0.8"/>
    <s v="No"/>
    <m/>
  </r>
  <r>
    <n v="39.4"/>
    <d v="2013-08-07T00:00:00"/>
    <x v="1"/>
    <s v="UNHCR"/>
    <s v="Kachin"/>
    <s v="Waingmaw"/>
    <s v="Maina AG Church"/>
    <m/>
    <m/>
    <n v="20"/>
    <n v="40"/>
    <n v="17"/>
    <n v="40"/>
    <n v="17"/>
    <n v="17"/>
    <n v="17"/>
    <n v="17"/>
    <m/>
    <m/>
    <m/>
    <m/>
    <m/>
    <m/>
    <m/>
    <n v="0"/>
    <n v="0"/>
    <n v="0"/>
    <n v="0"/>
    <n v="0"/>
    <n v="0"/>
    <n v="0"/>
    <n v="0"/>
    <n v="0"/>
    <n v="0"/>
    <n v="0"/>
    <n v="0"/>
    <n v="0"/>
    <n v="0"/>
    <x v="0"/>
    <n v="0"/>
    <n v="0"/>
    <n v="0"/>
    <s v="MMR001CMP031"/>
    <x v="0"/>
    <x v="0"/>
    <x v="0"/>
    <n v="0.11409395973154363"/>
    <s v="No"/>
    <m/>
  </r>
  <r>
    <n v="39.4"/>
    <d v="2013-08-07T00:00:00"/>
    <x v="1"/>
    <s v="UNHCR"/>
    <s v="Kachin"/>
    <s v="Myitkyina"/>
    <s v="Maliyang Baptist Church"/>
    <m/>
    <m/>
    <n v="15"/>
    <n v="25"/>
    <n v="11"/>
    <n v="25"/>
    <n v="11"/>
    <n v="11"/>
    <n v="11"/>
    <n v="11"/>
    <m/>
    <m/>
    <m/>
    <m/>
    <m/>
    <m/>
    <m/>
    <n v="0"/>
    <n v="0"/>
    <n v="0"/>
    <n v="0"/>
    <n v="0"/>
    <n v="0"/>
    <n v="0"/>
    <n v="0"/>
    <n v="0"/>
    <n v="0"/>
    <n v="0"/>
    <n v="0"/>
    <n v="0"/>
    <n v="0"/>
    <x v="0"/>
    <n v="0"/>
    <n v="0"/>
    <n v="0"/>
    <s v="MMR001CMP016"/>
    <x v="0"/>
    <x v="0"/>
    <x v="0"/>
    <n v="0.18333333333333332"/>
    <s v="No"/>
    <m/>
  </r>
  <r>
    <n v="39.866666666666667"/>
    <d v="2013-07-24T00:00:00"/>
    <x v="1"/>
    <s v="KBC"/>
    <s v="Kachin"/>
    <s v="Myitkyina"/>
    <s v="Le Kone Bethlehem Church"/>
    <m/>
    <m/>
    <n v="66"/>
    <n v="98"/>
    <n v="45"/>
    <n v="98"/>
    <n v="45"/>
    <n v="45"/>
    <n v="45"/>
    <n v="45"/>
    <m/>
    <m/>
    <m/>
    <m/>
    <m/>
    <m/>
    <m/>
    <n v="0"/>
    <n v="0"/>
    <n v="0"/>
    <n v="0"/>
    <n v="0"/>
    <n v="0"/>
    <n v="0"/>
    <n v="0"/>
    <n v="0"/>
    <n v="0"/>
    <n v="0"/>
    <n v="0"/>
    <n v="0"/>
    <n v="0"/>
    <x v="0"/>
    <n v="0"/>
    <n v="0"/>
    <n v="0"/>
    <s v="MMR001CMP015"/>
    <x v="0"/>
    <x v="0"/>
    <x v="0"/>
    <n v="1.5"/>
    <s v="No"/>
    <m/>
  </r>
  <r>
    <n v="39.866666666666667"/>
    <d v="2013-07-24T00:00:00"/>
    <x v="1"/>
    <s v="KBC"/>
    <s v="Kachin"/>
    <s v="Myitkyina"/>
    <s v="Le Kone Ziun Baptist Church "/>
    <m/>
    <m/>
    <n v="100"/>
    <n v="158"/>
    <n v="65"/>
    <n v="158"/>
    <n v="65"/>
    <n v="65"/>
    <n v="65"/>
    <n v="65"/>
    <m/>
    <m/>
    <m/>
    <m/>
    <m/>
    <m/>
    <m/>
    <n v="0"/>
    <n v="0"/>
    <n v="0"/>
    <n v="0"/>
    <n v="0"/>
    <n v="0"/>
    <n v="0"/>
    <n v="0"/>
    <n v="0"/>
    <n v="0"/>
    <n v="0"/>
    <n v="0"/>
    <n v="0"/>
    <n v="0"/>
    <x v="0"/>
    <n v="0"/>
    <n v="0"/>
    <n v="0"/>
    <s v="MMR001CMP014"/>
    <x v="0"/>
    <x v="0"/>
    <x v="0"/>
    <n v="0.76470588235294112"/>
    <s v="No"/>
    <m/>
  </r>
  <r>
    <n v="39.866666666666667"/>
    <d v="2013-07-24T00:00:00"/>
    <x v="1"/>
    <s v="Shalom"/>
    <s v="Kachin"/>
    <s v="Waingmaw"/>
    <s v="Maina AG Church"/>
    <m/>
    <m/>
    <n v="10"/>
    <n v="14"/>
    <n v="7"/>
    <n v="14"/>
    <n v="7"/>
    <n v="7"/>
    <n v="7"/>
    <n v="7"/>
    <m/>
    <m/>
    <m/>
    <m/>
    <m/>
    <m/>
    <m/>
    <n v="0"/>
    <n v="0"/>
    <n v="0"/>
    <n v="0"/>
    <n v="0"/>
    <n v="0"/>
    <n v="0"/>
    <n v="0"/>
    <n v="0"/>
    <n v="0"/>
    <n v="0"/>
    <n v="0"/>
    <n v="0"/>
    <n v="0"/>
    <x v="0"/>
    <n v="0"/>
    <n v="0"/>
    <n v="0"/>
    <s v="MMR001CMP031"/>
    <x v="0"/>
    <x v="0"/>
    <x v="0"/>
    <n v="4.6979865771812082E-2"/>
    <s v="No"/>
    <m/>
  </r>
  <r>
    <n v="39.866666666666667"/>
    <d v="2013-07-24T00:00:00"/>
    <x v="1"/>
    <s v="KMSS"/>
    <s v="Kachin"/>
    <s v="Waingmaw"/>
    <s v="Maina Catholic Church (St. Joseph)"/>
    <m/>
    <m/>
    <n v="40"/>
    <n v="49"/>
    <n v="23"/>
    <n v="49"/>
    <n v="23"/>
    <n v="23"/>
    <n v="23"/>
    <n v="23"/>
    <m/>
    <m/>
    <m/>
    <m/>
    <m/>
    <m/>
    <m/>
    <n v="0"/>
    <n v="0"/>
    <n v="0"/>
    <n v="0"/>
    <n v="0"/>
    <n v="0"/>
    <n v="0"/>
    <n v="0"/>
    <n v="0"/>
    <n v="0"/>
    <n v="0"/>
    <n v="0"/>
    <n v="0"/>
    <n v="0"/>
    <x v="0"/>
    <n v="0"/>
    <n v="0"/>
    <n v="0"/>
    <s v="MMR001CMP029"/>
    <x v="0"/>
    <x v="0"/>
    <x v="0"/>
    <n v="0.1031390134529148"/>
    <s v="No"/>
    <m/>
  </r>
  <r>
    <n v="39.866666666666667"/>
    <d v="2013-07-24T00:00:00"/>
    <x v="1"/>
    <s v="KMSS"/>
    <s v="Kachin"/>
    <s v="Myitkyina"/>
    <s v="Nan Kway St. John Catholic Church"/>
    <m/>
    <m/>
    <n v="21"/>
    <n v="30"/>
    <n v="15"/>
    <n v="30"/>
    <n v="15"/>
    <n v="15"/>
    <n v="15"/>
    <n v="15"/>
    <m/>
    <m/>
    <m/>
    <m/>
    <m/>
    <m/>
    <m/>
    <n v="0"/>
    <n v="0"/>
    <n v="0"/>
    <n v="0"/>
    <n v="0"/>
    <n v="0"/>
    <n v="0"/>
    <n v="0"/>
    <n v="0"/>
    <n v="0"/>
    <n v="0"/>
    <n v="0"/>
    <n v="0"/>
    <n v="0"/>
    <x v="0"/>
    <n v="0"/>
    <n v="0"/>
    <n v="0"/>
    <s v="MMR001CMP024"/>
    <x v="0"/>
    <x v="0"/>
    <x v="0"/>
    <n v="0.22058823529411764"/>
    <s v="No"/>
    <m/>
  </r>
  <r>
    <n v="39.866666666666667"/>
    <d v="2013-07-24T00:00:00"/>
    <x v="1"/>
    <s v="KMSS"/>
    <s v="Kachin"/>
    <s v="Hpakant"/>
    <s v="Nant Ma Hpit Catholic Church"/>
    <m/>
    <m/>
    <n v="15"/>
    <n v="25"/>
    <n v="10"/>
    <n v="25"/>
    <n v="10"/>
    <n v="10"/>
    <n v="10"/>
    <n v="10"/>
    <m/>
    <m/>
    <m/>
    <m/>
    <m/>
    <m/>
    <m/>
    <n v="0"/>
    <n v="0"/>
    <n v="0"/>
    <n v="0"/>
    <n v="0"/>
    <n v="0"/>
    <n v="0"/>
    <n v="0"/>
    <n v="0"/>
    <n v="0"/>
    <n v="0"/>
    <n v="0"/>
    <n v="0"/>
    <n v="0"/>
    <x v="0"/>
    <n v="0"/>
    <n v="0"/>
    <n v="0"/>
    <s v="MMR001CMP103"/>
    <x v="0"/>
    <x v="0"/>
    <x v="0"/>
    <n v="0.19607843137254902"/>
    <s v="No"/>
    <m/>
  </r>
  <r>
    <n v="39.866666666666667"/>
    <d v="2013-07-24T00:00:00"/>
    <x v="1"/>
    <s v="KMSS"/>
    <s v="Kachin"/>
    <s v="Myitkyina"/>
    <s v="Pa Dauk Myaing(Pa La Na)"/>
    <m/>
    <m/>
    <n v="31"/>
    <n v="41"/>
    <n v="17"/>
    <n v="41"/>
    <n v="17"/>
    <n v="17"/>
    <n v="17"/>
    <n v="17"/>
    <m/>
    <m/>
    <m/>
    <m/>
    <m/>
    <m/>
    <m/>
    <n v="0"/>
    <n v="0"/>
    <n v="0"/>
    <n v="0"/>
    <n v="0"/>
    <n v="0"/>
    <n v="0"/>
    <n v="0"/>
    <n v="0"/>
    <n v="0"/>
    <n v="0"/>
    <n v="0"/>
    <n v="0"/>
    <n v="0"/>
    <x v="0"/>
    <n v="0"/>
    <n v="0"/>
    <n v="0"/>
    <s v="MMR001CMP162"/>
    <x v="0"/>
    <x v="0"/>
    <x v="0"/>
    <n v="0.36956521739130432"/>
    <s v="No"/>
    <m/>
  </r>
  <r>
    <n v="39.866666666666667"/>
    <d v="2013-07-24T00:00:00"/>
    <x v="1"/>
    <s v="KBC"/>
    <s v="Kachin"/>
    <s v="Waingmaw"/>
    <s v="Qtr. 2 Myoma Baptist Church"/>
    <m/>
    <m/>
    <n v="31"/>
    <n v="44"/>
    <n v="18"/>
    <n v="44"/>
    <n v="18"/>
    <n v="18"/>
    <n v="18"/>
    <n v="18"/>
    <m/>
    <m/>
    <m/>
    <m/>
    <m/>
    <m/>
    <m/>
    <n v="0"/>
    <n v="0"/>
    <n v="0"/>
    <n v="0"/>
    <n v="0"/>
    <n v="0"/>
    <n v="0"/>
    <n v="0"/>
    <n v="0"/>
    <n v="0"/>
    <n v="0"/>
    <n v="0"/>
    <n v="0"/>
    <n v="0"/>
    <x v="0"/>
    <n v="0"/>
    <n v="0"/>
    <n v="0"/>
    <s v="MMR001CMP025"/>
    <x v="0"/>
    <x v="0"/>
    <x v="0"/>
    <n v="0.58064516129032262"/>
    <s v="No"/>
    <m/>
  </r>
  <r>
    <n v="39.866666666666667"/>
    <d v="2013-07-24T00:00:00"/>
    <x v="1"/>
    <s v="Shalom"/>
    <s v="Kachin"/>
    <s v="Waingmaw"/>
    <s v="Qtr. 4 Monestry (Thargaya Thayett Taw)"/>
    <m/>
    <m/>
    <n v="41"/>
    <n v="73"/>
    <n v="31"/>
    <n v="73"/>
    <n v="31"/>
    <n v="31"/>
    <n v="31"/>
    <n v="31"/>
    <m/>
    <m/>
    <m/>
    <m/>
    <m/>
    <m/>
    <m/>
    <n v="0"/>
    <n v="0"/>
    <n v="0"/>
    <n v="0"/>
    <n v="0"/>
    <n v="0"/>
    <n v="0"/>
    <n v="0"/>
    <n v="0"/>
    <n v="0"/>
    <n v="0"/>
    <n v="0"/>
    <n v="0"/>
    <n v="0"/>
    <x v="0"/>
    <n v="0"/>
    <n v="0"/>
    <n v="0"/>
    <s v="MMR001CMP026"/>
    <x v="0"/>
    <x v="0"/>
    <x v="0"/>
    <n v="0.35632183908045978"/>
    <s v="No"/>
    <m/>
  </r>
  <r>
    <n v="39.866666666666667"/>
    <d v="2013-07-24T00:00:00"/>
    <x v="1"/>
    <s v="KBC"/>
    <s v="Kachin"/>
    <s v="Myitkyina"/>
    <s v="Shatapru Sut Ngai Tawng"/>
    <m/>
    <m/>
    <n v="21"/>
    <n v="36"/>
    <n v="16"/>
    <n v="36"/>
    <n v="16"/>
    <n v="16"/>
    <n v="16"/>
    <n v="16"/>
    <m/>
    <m/>
    <m/>
    <m/>
    <m/>
    <m/>
    <m/>
    <n v="0"/>
    <n v="0"/>
    <n v="0"/>
    <n v="0"/>
    <n v="0"/>
    <n v="0"/>
    <n v="0"/>
    <n v="0"/>
    <n v="0"/>
    <n v="0"/>
    <n v="0"/>
    <n v="0"/>
    <n v="0"/>
    <n v="0"/>
    <x v="0"/>
    <n v="0"/>
    <n v="0"/>
    <n v="0"/>
    <s v="MMR001CMP006"/>
    <x v="0"/>
    <x v="0"/>
    <x v="0"/>
    <n v="0.18181818181818182"/>
    <s v="No"/>
    <m/>
  </r>
  <r>
    <n v="39.866666666666667"/>
    <d v="2013-07-24T00:00:00"/>
    <x v="1"/>
    <s v="KBC"/>
    <s v="Kachin"/>
    <s v="Myitkyina"/>
    <s v="Tat Kone COC Baptist - Tat Kone Htoi San"/>
    <m/>
    <m/>
    <n v="34"/>
    <n v="46"/>
    <n v="22"/>
    <n v="46"/>
    <n v="22"/>
    <n v="22"/>
    <n v="22"/>
    <n v="22"/>
    <m/>
    <m/>
    <m/>
    <m/>
    <m/>
    <m/>
    <m/>
    <n v="0"/>
    <n v="0"/>
    <n v="0"/>
    <n v="0"/>
    <n v="0"/>
    <n v="0"/>
    <n v="0"/>
    <n v="0"/>
    <n v="0"/>
    <n v="0"/>
    <n v="0"/>
    <n v="0"/>
    <n v="0"/>
    <n v="0"/>
    <x v="0"/>
    <n v="0"/>
    <n v="0"/>
    <n v="0"/>
    <s v="MMR001CMP023"/>
    <x v="0"/>
    <x v="0"/>
    <x v="0"/>
    <n v="0.40740740740740738"/>
    <s v="No"/>
    <m/>
  </r>
  <r>
    <n v="39.866666666666667"/>
    <d v="2013-07-24T00:00:00"/>
    <x v="1"/>
    <s v="Shalom"/>
    <s v="Kachin"/>
    <s v="Waingmaw"/>
    <s v="Waingmaw AG Church"/>
    <m/>
    <m/>
    <n v="22"/>
    <n v="32"/>
    <n v="15"/>
    <n v="32"/>
    <n v="15"/>
    <n v="15"/>
    <n v="15"/>
    <n v="15"/>
    <m/>
    <m/>
    <m/>
    <m/>
    <m/>
    <m/>
    <m/>
    <n v="0"/>
    <n v="0"/>
    <n v="0"/>
    <n v="0"/>
    <n v="0"/>
    <n v="0"/>
    <n v="0"/>
    <n v="0"/>
    <n v="0"/>
    <n v="0"/>
    <n v="0"/>
    <n v="0"/>
    <n v="0"/>
    <n v="0"/>
    <x v="0"/>
    <n v="0"/>
    <n v="0"/>
    <n v="0"/>
    <s v="MMR001CMP038"/>
    <x v="0"/>
    <x v="0"/>
    <x v="0"/>
    <n v="0.21428571428571427"/>
    <s v="No"/>
    <m/>
  </r>
  <r>
    <n v="40.133333333333333"/>
    <d v="2013-07-16T00:00:00"/>
    <x v="1"/>
    <s v="Shalom"/>
    <s v="Kachin"/>
    <s v="Myitkyina"/>
    <s v="Tat Kone COC Baptist - Tat Kone Htoi San"/>
    <m/>
    <m/>
    <n v="55"/>
    <n v="74"/>
    <n v="31"/>
    <n v="74"/>
    <n v="31"/>
    <n v="31"/>
    <n v="31"/>
    <n v="31"/>
    <m/>
    <m/>
    <m/>
    <m/>
    <m/>
    <m/>
    <m/>
    <n v="0"/>
    <n v="0"/>
    <n v="0"/>
    <n v="0"/>
    <n v="0"/>
    <n v="0"/>
    <n v="0"/>
    <n v="0"/>
    <n v="0"/>
    <n v="0"/>
    <n v="0"/>
    <n v="0"/>
    <n v="0"/>
    <n v="0"/>
    <x v="0"/>
    <n v="0"/>
    <n v="0"/>
    <n v="0"/>
    <s v="MMR001CMP023"/>
    <x v="0"/>
    <x v="0"/>
    <x v="0"/>
    <n v="0.57407407407407407"/>
    <s v="No"/>
    <m/>
  </r>
  <r>
    <n v="40.666666666666664"/>
    <d v="2013-06-30T00:00:00"/>
    <x v="1"/>
    <m/>
    <s v="Kachin"/>
    <s v="Mansi"/>
    <s v="Maing Khaung"/>
    <m/>
    <m/>
    <m/>
    <m/>
    <m/>
    <n v="9"/>
    <m/>
    <m/>
    <n v="19"/>
    <n v="1"/>
    <m/>
    <m/>
    <m/>
    <m/>
    <m/>
    <m/>
    <m/>
    <n v="0"/>
    <n v="0"/>
    <n v="0"/>
    <n v="0"/>
    <n v="0"/>
    <n v="0"/>
    <n v="0"/>
    <n v="0"/>
    <n v="0"/>
    <n v="0"/>
    <n v="0"/>
    <n v="0"/>
    <n v="0"/>
    <n v="0"/>
    <x v="0"/>
    <n v="0"/>
    <n v="0"/>
    <n v="0"/>
    <s v="MMR001CMP218"/>
    <x v="0"/>
    <x v="0"/>
    <x v="0"/>
    <n v="0"/>
    <m/>
    <m/>
  </r>
  <r>
    <n v="40.666666666666664"/>
    <d v="2013-06-30T00:00:00"/>
    <x v="1"/>
    <m/>
    <s v="Kachin"/>
    <s v="Mansi"/>
    <s v="Maing Khaung Catholic Church"/>
    <m/>
    <m/>
    <m/>
    <n v="50"/>
    <n v="15"/>
    <m/>
    <n v="15"/>
    <m/>
    <n v="15"/>
    <n v="60"/>
    <m/>
    <m/>
    <m/>
    <m/>
    <m/>
    <m/>
    <m/>
    <n v="0"/>
    <n v="0"/>
    <n v="0"/>
    <n v="0"/>
    <n v="0"/>
    <n v="0"/>
    <n v="0"/>
    <n v="0"/>
    <n v="0"/>
    <n v="0"/>
    <n v="0"/>
    <n v="0"/>
    <n v="0"/>
    <n v="0"/>
    <x v="0"/>
    <n v="0"/>
    <n v="0"/>
    <n v="0"/>
    <s v="MMR001CMP223"/>
    <x v="0"/>
    <x v="0"/>
    <x v="0"/>
    <n v="0.10714285714285714"/>
    <m/>
    <m/>
  </r>
  <r>
    <n v="40.700000000000003"/>
    <d v="2013-06-29T00:00:00"/>
    <x v="1"/>
    <m/>
    <s v="Kachin"/>
    <s v="Mansi"/>
    <s v="Maing Khaung"/>
    <m/>
    <m/>
    <m/>
    <m/>
    <n v="19"/>
    <m/>
    <n v="19"/>
    <m/>
    <m/>
    <n v="100"/>
    <m/>
    <m/>
    <m/>
    <m/>
    <m/>
    <m/>
    <m/>
    <n v="0"/>
    <n v="0"/>
    <n v="0"/>
    <n v="0"/>
    <n v="0"/>
    <n v="0"/>
    <n v="0"/>
    <n v="0"/>
    <n v="0"/>
    <n v="0"/>
    <n v="0"/>
    <n v="0"/>
    <n v="0"/>
    <n v="0"/>
    <x v="0"/>
    <n v="0"/>
    <n v="0"/>
    <n v="0"/>
    <s v="MMR001CMP218"/>
    <x v="0"/>
    <x v="0"/>
    <x v="0"/>
    <n v="5.0802139037433157E-2"/>
    <m/>
    <m/>
  </r>
  <r>
    <n v="40.733333333333334"/>
    <d v="2013-06-28T00:00:00"/>
    <x v="1"/>
    <m/>
    <s v="Kachin"/>
    <s v="Mansi"/>
    <s v="Maing Khaung"/>
    <m/>
    <m/>
    <m/>
    <n v="10"/>
    <n v="3"/>
    <n v="10"/>
    <n v="3"/>
    <m/>
    <n v="3"/>
    <n v="10"/>
    <m/>
    <m/>
    <m/>
    <m/>
    <m/>
    <m/>
    <m/>
    <n v="0"/>
    <n v="0"/>
    <n v="0"/>
    <n v="0"/>
    <n v="0"/>
    <n v="0"/>
    <n v="0"/>
    <n v="0"/>
    <n v="0"/>
    <n v="0"/>
    <n v="0"/>
    <n v="0"/>
    <n v="0"/>
    <n v="0"/>
    <x v="0"/>
    <n v="0"/>
    <n v="0"/>
    <n v="0"/>
    <s v="MMR001CMP218"/>
    <x v="0"/>
    <x v="0"/>
    <x v="0"/>
    <n v="8.0213903743315516E-3"/>
    <m/>
    <m/>
  </r>
  <r>
    <n v="40.766666666666666"/>
    <d v="2013-06-27T00:00:00"/>
    <x v="1"/>
    <m/>
    <s v="Kachin"/>
    <s v="Mansi"/>
    <s v="Maing Khaung"/>
    <m/>
    <m/>
    <m/>
    <n v="54"/>
    <n v="18"/>
    <n v="45"/>
    <n v="18"/>
    <m/>
    <n v="18"/>
    <n v="50"/>
    <m/>
    <m/>
    <m/>
    <m/>
    <m/>
    <m/>
    <m/>
    <n v="0"/>
    <n v="0"/>
    <n v="0"/>
    <n v="0"/>
    <n v="0"/>
    <n v="0"/>
    <n v="0"/>
    <n v="0"/>
    <n v="0"/>
    <n v="0"/>
    <n v="0"/>
    <n v="0"/>
    <n v="0"/>
    <n v="0"/>
    <x v="0"/>
    <n v="0"/>
    <n v="0"/>
    <n v="0"/>
    <s v="MMR001CMP218"/>
    <x v="0"/>
    <x v="0"/>
    <x v="0"/>
    <n v="4.8128342245989303E-2"/>
    <m/>
    <m/>
  </r>
  <r>
    <n v="41.2"/>
    <d v="2013-06-14T00:00:00"/>
    <x v="1"/>
    <s v="UNHCR"/>
    <s v="Kachin"/>
    <s v="Momauk"/>
    <s v="Pa Kahtawng "/>
    <m/>
    <m/>
    <n v="42"/>
    <n v="42"/>
    <n v="21"/>
    <n v="42"/>
    <n v="21"/>
    <n v="21"/>
    <n v="21"/>
    <n v="21"/>
    <m/>
    <m/>
    <m/>
    <m/>
    <m/>
    <m/>
    <m/>
    <n v="0"/>
    <n v="0"/>
    <n v="0"/>
    <n v="0"/>
    <n v="0"/>
    <n v="0"/>
    <n v="0"/>
    <n v="0"/>
    <n v="0"/>
    <n v="0"/>
    <n v="0"/>
    <n v="0"/>
    <n v="0"/>
    <n v="0"/>
    <x v="0"/>
    <n v="0"/>
    <n v="0"/>
    <n v="0"/>
    <s v="MMR001CMP126"/>
    <x v="0"/>
    <x v="0"/>
    <x v="6"/>
    <n v="3.1390134529147982E-2"/>
    <s v="No"/>
    <m/>
  </r>
  <r>
    <n v="41.233333333333334"/>
    <d v="2013-06-13T00:00:00"/>
    <x v="1"/>
    <s v="UNHCR"/>
    <s v="Kachin"/>
    <s v="Momauk"/>
    <s v="Loi Je Baptist Church"/>
    <m/>
    <m/>
    <n v="152"/>
    <n v="11"/>
    <n v="4"/>
    <n v="11"/>
    <n v="4"/>
    <n v="4"/>
    <n v="4"/>
    <n v="4"/>
    <m/>
    <m/>
    <m/>
    <m/>
    <m/>
    <m/>
    <m/>
    <n v="0"/>
    <n v="0"/>
    <n v="0"/>
    <n v="0"/>
    <n v="0"/>
    <n v="0"/>
    <n v="0"/>
    <n v="0"/>
    <n v="0"/>
    <n v="0"/>
    <n v="0"/>
    <n v="0"/>
    <n v="0"/>
    <n v="0"/>
    <x v="0"/>
    <n v="0"/>
    <n v="0"/>
    <n v="0"/>
    <s v="MMR001CMP071"/>
    <x v="0"/>
    <x v="0"/>
    <x v="1"/>
    <n v="0.10256410256410256"/>
    <s v="No"/>
    <m/>
  </r>
  <r>
    <n v="41.233333333333334"/>
    <d v="2013-06-13T00:00:00"/>
    <x v="1"/>
    <s v="UNHCR"/>
    <s v="Kachin"/>
    <s v="Momauk"/>
    <s v="Loi Je Catholic Church"/>
    <m/>
    <m/>
    <n v="425"/>
    <n v="30"/>
    <n v="11"/>
    <n v="30"/>
    <n v="11"/>
    <n v="11"/>
    <n v="11"/>
    <n v="11"/>
    <m/>
    <m/>
    <m/>
    <m/>
    <m/>
    <m/>
    <m/>
    <n v="0"/>
    <n v="0"/>
    <n v="0"/>
    <n v="0"/>
    <n v="0"/>
    <n v="0"/>
    <n v="0"/>
    <n v="0"/>
    <n v="0"/>
    <n v="0"/>
    <n v="0"/>
    <n v="0"/>
    <n v="0"/>
    <n v="0"/>
    <x v="0"/>
    <n v="0"/>
    <n v="0"/>
    <n v="0"/>
    <s v="MMR001CMP069"/>
    <x v="0"/>
    <x v="0"/>
    <x v="1"/>
    <n v="8.8709677419354843E-2"/>
    <s v="No"/>
    <m/>
  </r>
  <r>
    <n v="41.233333333333334"/>
    <d v="2013-06-13T00:00:00"/>
    <x v="1"/>
    <s v="UNHCR"/>
    <s v="Kachin"/>
    <s v="Momauk"/>
    <s v="Loi Je Lisu Camp"/>
    <m/>
    <m/>
    <n v="941"/>
    <n v="67"/>
    <n v="24"/>
    <n v="67"/>
    <n v="24"/>
    <n v="24"/>
    <n v="24"/>
    <n v="24"/>
    <m/>
    <m/>
    <m/>
    <m/>
    <m/>
    <m/>
    <m/>
    <n v="0"/>
    <n v="0"/>
    <n v="0"/>
    <n v="0"/>
    <n v="0"/>
    <n v="0"/>
    <n v="0"/>
    <n v="0"/>
    <n v="0"/>
    <n v="0"/>
    <n v="0"/>
    <n v="0"/>
    <n v="0"/>
    <n v="0"/>
    <x v="0"/>
    <n v="0"/>
    <n v="0"/>
    <n v="0"/>
    <s v="MMR001CMP070"/>
    <x v="0"/>
    <x v="0"/>
    <x v="1"/>
    <n v="0.125"/>
    <s v="No"/>
    <m/>
  </r>
  <r>
    <n v="41.966666666666669"/>
    <d v="2013-05-22T00:00:00"/>
    <x v="11"/>
    <s v="KMSS"/>
    <s v="Kachin"/>
    <s v="Chipwi"/>
    <s v="Chipwi KBC camp"/>
    <n v="510"/>
    <m/>
    <m/>
    <m/>
    <m/>
    <m/>
    <m/>
    <m/>
    <m/>
    <m/>
    <m/>
    <m/>
    <m/>
    <m/>
    <m/>
    <m/>
    <m/>
    <n v="0"/>
    <n v="0"/>
    <n v="0"/>
    <n v="0"/>
    <n v="0"/>
    <n v="0"/>
    <n v="0"/>
    <n v="0"/>
    <n v="0"/>
    <n v="0"/>
    <n v="0"/>
    <n v="0"/>
    <n v="0"/>
    <n v="0"/>
    <x v="0"/>
    <n v="0"/>
    <n v="0"/>
    <n v="0"/>
    <s v="MMR001CMP042"/>
    <x v="0"/>
    <x v="0"/>
    <x v="5"/>
    <n v="0"/>
    <s v="No"/>
    <m/>
  </r>
  <r>
    <n v="41.966666666666669"/>
    <d v="2013-05-22T00:00:00"/>
    <x v="1"/>
    <s v="UNHCR"/>
    <s v="Kachin"/>
    <s v="Chipwi"/>
    <s v="Chipwi KBC camp"/>
    <m/>
    <m/>
    <n v="80"/>
    <n v="84"/>
    <n v="41"/>
    <n v="84"/>
    <n v="41"/>
    <n v="41"/>
    <n v="41"/>
    <n v="41"/>
    <m/>
    <m/>
    <m/>
    <m/>
    <m/>
    <m/>
    <m/>
    <n v="0"/>
    <n v="0"/>
    <n v="0"/>
    <n v="0"/>
    <n v="0"/>
    <n v="0"/>
    <n v="0"/>
    <n v="0"/>
    <n v="0"/>
    <n v="0"/>
    <n v="0"/>
    <n v="0"/>
    <n v="0"/>
    <n v="0"/>
    <x v="0"/>
    <n v="0"/>
    <n v="0"/>
    <n v="0"/>
    <s v="MMR001CMP042"/>
    <x v="0"/>
    <x v="0"/>
    <x v="5"/>
    <n v="0.37272727272727274"/>
    <s v="No"/>
    <m/>
  </r>
  <r>
    <n v="41.966666666666669"/>
    <d v="2013-05-22T00:00:00"/>
    <x v="11"/>
    <s v="KMSS"/>
    <s v="Kachin"/>
    <s v="Chipwi"/>
    <s v="Lhaovao Baptist Church (LBC)"/>
    <n v="35"/>
    <m/>
    <m/>
    <m/>
    <m/>
    <m/>
    <m/>
    <m/>
    <m/>
    <m/>
    <m/>
    <m/>
    <m/>
    <m/>
    <m/>
    <m/>
    <m/>
    <n v="0"/>
    <n v="0"/>
    <n v="0"/>
    <n v="0"/>
    <n v="0"/>
    <n v="0"/>
    <n v="0"/>
    <n v="0"/>
    <n v="0"/>
    <n v="0"/>
    <n v="0"/>
    <n v="0"/>
    <n v="0"/>
    <n v="0"/>
    <x v="0"/>
    <n v="0"/>
    <n v="0"/>
    <n v="0"/>
    <s v="MMR001CMP195"/>
    <x v="0"/>
    <x v="0"/>
    <x v="5"/>
    <n v="0"/>
    <s v="No"/>
    <m/>
  </r>
  <r>
    <n v="41.966666666666669"/>
    <d v="2013-05-22T00:00:00"/>
    <x v="1"/>
    <s v="UNHCR"/>
    <s v="Kachin"/>
    <s v="Hpakant"/>
    <s v="Mashi Kahtawng Baptist  Church"/>
    <m/>
    <m/>
    <n v="48"/>
    <n v="74"/>
    <n v="31"/>
    <n v="74"/>
    <n v="31"/>
    <n v="31"/>
    <n v="31"/>
    <n v="31"/>
    <m/>
    <m/>
    <m/>
    <m/>
    <m/>
    <m/>
    <m/>
    <n v="0"/>
    <n v="0"/>
    <n v="0"/>
    <n v="0"/>
    <n v="0"/>
    <n v="0"/>
    <n v="0"/>
    <n v="0"/>
    <n v="0"/>
    <n v="0"/>
    <n v="0"/>
    <n v="0"/>
    <n v="0"/>
    <n v="0"/>
    <x v="0"/>
    <n v="0"/>
    <n v="0"/>
    <n v="0"/>
    <s v="MMR001CMP094"/>
    <x v="0"/>
    <x v="2"/>
    <x v="4"/>
    <s v=""/>
    <s v="No"/>
    <m/>
  </r>
  <r>
    <n v="41.966666666666669"/>
    <d v="2013-05-22T00:00:00"/>
    <x v="1"/>
    <s v="UNHCR"/>
    <s v="Kachin"/>
    <s v="Hpakant"/>
    <s v="Nam Ma Phyit, COC"/>
    <m/>
    <m/>
    <n v="34"/>
    <n v="61"/>
    <n v="30"/>
    <n v="61"/>
    <n v="30"/>
    <n v="30"/>
    <n v="30"/>
    <n v="30"/>
    <m/>
    <m/>
    <m/>
    <m/>
    <m/>
    <m/>
    <m/>
    <n v="0"/>
    <n v="0"/>
    <n v="0"/>
    <n v="0"/>
    <n v="0"/>
    <n v="0"/>
    <n v="0"/>
    <n v="0"/>
    <n v="0"/>
    <n v="0"/>
    <n v="0"/>
    <n v="0"/>
    <n v="0"/>
    <n v="0"/>
    <x v="0"/>
    <n v="0"/>
    <n v="0"/>
    <n v="0"/>
    <s v="MMR001CMP192"/>
    <x v="0"/>
    <x v="0"/>
    <x v="0"/>
    <n v="2.5"/>
    <s v="No"/>
    <m/>
  </r>
  <r>
    <n v="41.966666666666669"/>
    <d v="2013-05-22T00:00:00"/>
    <x v="1"/>
    <s v="UNHCR"/>
    <s v="Kachin"/>
    <s v="Hpakant"/>
    <s v="Nga Pyaw Taw Baptist Nursery School "/>
    <m/>
    <m/>
    <n v="273"/>
    <n v="339"/>
    <n v="151"/>
    <n v="339"/>
    <n v="151"/>
    <n v="151"/>
    <n v="151"/>
    <n v="151"/>
    <m/>
    <m/>
    <m/>
    <m/>
    <m/>
    <m/>
    <m/>
    <n v="0"/>
    <n v="0"/>
    <n v="0"/>
    <n v="0"/>
    <n v="0"/>
    <n v="0"/>
    <n v="0"/>
    <n v="0"/>
    <n v="0"/>
    <n v="0"/>
    <n v="0"/>
    <n v="0"/>
    <n v="0"/>
    <n v="0"/>
    <x v="0"/>
    <n v="0"/>
    <n v="0"/>
    <n v="0"/>
    <s v="MMR001CMP082"/>
    <x v="0"/>
    <x v="2"/>
    <x v="4"/>
    <s v=""/>
    <s v="No"/>
    <m/>
  </r>
  <r>
    <n v="41.966666666666669"/>
    <d v="2013-05-22T00:00:00"/>
    <x v="1"/>
    <s v="UNHCR"/>
    <s v="Kachin"/>
    <s v="Waingmaw"/>
    <s v="Qtr. 2 Lhaovo Baptist Church"/>
    <m/>
    <m/>
    <n v="18"/>
    <n v="20"/>
    <n v="14"/>
    <n v="20"/>
    <n v="10"/>
    <n v="10"/>
    <n v="10"/>
    <n v="10"/>
    <m/>
    <m/>
    <m/>
    <m/>
    <m/>
    <m/>
    <m/>
    <n v="0"/>
    <n v="0"/>
    <n v="0"/>
    <n v="0"/>
    <n v="0"/>
    <n v="0"/>
    <n v="0"/>
    <n v="0"/>
    <n v="0"/>
    <n v="0"/>
    <n v="0"/>
    <n v="0"/>
    <n v="0"/>
    <n v="0"/>
    <x v="0"/>
    <n v="0"/>
    <n v="0"/>
    <n v="0"/>
    <s v="MMR001CMP032"/>
    <x v="0"/>
    <x v="0"/>
    <x v="0"/>
    <n v="0.10989010989010989"/>
    <s v="No"/>
    <m/>
  </r>
  <r>
    <n v="41.966666666666669"/>
    <d v="2013-05-22T00:00:00"/>
    <x v="1"/>
    <s v="UNHCR"/>
    <s v="Kachin"/>
    <s v="Hpakant"/>
    <s v="Yumar Baptist Church"/>
    <m/>
    <m/>
    <n v="42"/>
    <n v="66"/>
    <n v="28"/>
    <n v="66"/>
    <n v="28"/>
    <n v="28"/>
    <n v="28"/>
    <n v="28"/>
    <m/>
    <m/>
    <m/>
    <m/>
    <m/>
    <m/>
    <m/>
    <n v="0"/>
    <n v="0"/>
    <n v="0"/>
    <n v="0"/>
    <n v="0"/>
    <n v="0"/>
    <n v="0"/>
    <n v="0"/>
    <n v="0"/>
    <n v="0"/>
    <n v="0"/>
    <n v="0"/>
    <n v="0"/>
    <n v="0"/>
    <x v="0"/>
    <n v="0"/>
    <n v="0"/>
    <n v="0"/>
    <s v="MMR001CMP105"/>
    <x v="0"/>
    <x v="0"/>
    <x v="0"/>
    <n v="2.3333333333333335"/>
    <s v="No"/>
    <m/>
  </r>
  <r>
    <n v="42.166666666666664"/>
    <d v="2013-05-16T00:00:00"/>
    <x v="11"/>
    <s v="KMSS"/>
    <s v="Kachin"/>
    <s v="Hpakant"/>
    <s v="Lawng Hkang"/>
    <n v="394"/>
    <m/>
    <m/>
    <m/>
    <m/>
    <m/>
    <m/>
    <m/>
    <m/>
    <m/>
    <m/>
    <m/>
    <m/>
    <m/>
    <m/>
    <m/>
    <m/>
    <n v="0"/>
    <n v="0"/>
    <n v="0"/>
    <n v="0"/>
    <n v="0"/>
    <n v="0"/>
    <n v="0"/>
    <n v="0"/>
    <n v="0"/>
    <n v="0"/>
    <n v="0"/>
    <n v="0"/>
    <n v="0"/>
    <n v="0"/>
    <x v="0"/>
    <n v="0"/>
    <n v="0"/>
    <n v="0"/>
    <s v=""/>
    <x v="3"/>
    <x v="1"/>
    <x v="4"/>
    <s v=""/>
    <s v="No"/>
    <m/>
  </r>
  <r>
    <n v="42.166666666666664"/>
    <d v="2013-05-16T00:00:00"/>
    <x v="11"/>
    <s v="KMSS"/>
    <s v="Kachin"/>
    <s v="Hpakant"/>
    <s v="Nant Ma Hpit Catholic Church"/>
    <n v="423"/>
    <m/>
    <m/>
    <m/>
    <m/>
    <m/>
    <m/>
    <m/>
    <m/>
    <m/>
    <m/>
    <m/>
    <m/>
    <m/>
    <m/>
    <m/>
    <m/>
    <n v="0"/>
    <n v="0"/>
    <n v="0"/>
    <n v="0"/>
    <n v="0"/>
    <n v="0"/>
    <n v="0"/>
    <n v="0"/>
    <n v="0"/>
    <n v="0"/>
    <n v="0"/>
    <n v="0"/>
    <n v="0"/>
    <n v="0"/>
    <x v="0"/>
    <n v="0"/>
    <n v="0"/>
    <n v="0"/>
    <s v="MMR001CMP103"/>
    <x v="0"/>
    <x v="0"/>
    <x v="0"/>
    <n v="0"/>
    <s v="No"/>
    <m/>
  </r>
  <r>
    <n v="42.166666666666664"/>
    <d v="2013-05-16T00:00:00"/>
    <x v="11"/>
    <s v="KMSS"/>
    <s v="Kachin"/>
    <s v="Hpakant"/>
    <s v="Ward 2 Cahotlic Church, Seik Mu"/>
    <n v="103"/>
    <m/>
    <m/>
    <m/>
    <m/>
    <m/>
    <m/>
    <m/>
    <m/>
    <m/>
    <m/>
    <m/>
    <m/>
    <m/>
    <m/>
    <m/>
    <m/>
    <n v="0"/>
    <n v="0"/>
    <n v="0"/>
    <n v="0"/>
    <n v="0"/>
    <n v="0"/>
    <n v="0"/>
    <n v="0"/>
    <n v="0"/>
    <n v="0"/>
    <n v="0"/>
    <n v="0"/>
    <n v="0"/>
    <n v="0"/>
    <x v="0"/>
    <n v="0"/>
    <n v="0"/>
    <n v="0"/>
    <s v="MMR001CMP185"/>
    <x v="0"/>
    <x v="2"/>
    <x v="4"/>
    <s v=""/>
    <s v="No"/>
    <m/>
  </r>
  <r>
    <n v="42.233333333333334"/>
    <d v="2013-05-14T00:00:00"/>
    <x v="11"/>
    <s v="KMSS"/>
    <s v="Kachin"/>
    <s v="Waingmaw"/>
    <s v="Border Post 8"/>
    <n v="604"/>
    <m/>
    <m/>
    <m/>
    <m/>
    <m/>
    <m/>
    <m/>
    <m/>
    <m/>
    <m/>
    <m/>
    <m/>
    <m/>
    <m/>
    <m/>
    <m/>
    <n v="0"/>
    <n v="0"/>
    <n v="0"/>
    <n v="0"/>
    <n v="0"/>
    <n v="0"/>
    <n v="0"/>
    <n v="0"/>
    <n v="0"/>
    <n v="0"/>
    <n v="0"/>
    <n v="0"/>
    <n v="0"/>
    <n v="0"/>
    <x v="0"/>
    <n v="0"/>
    <n v="0"/>
    <n v="0"/>
    <s v="MMR001CMP113"/>
    <x v="0"/>
    <x v="0"/>
    <x v="5"/>
    <n v="0"/>
    <s v="No"/>
    <m/>
  </r>
  <r>
    <n v="42.333333333333336"/>
    <d v="2013-05-11T00:00:00"/>
    <x v="11"/>
    <s v="KMSS"/>
    <s v="Kachin"/>
    <s v="Waingmaw"/>
    <s v="Post 6 Camp"/>
    <n v="490"/>
    <m/>
    <m/>
    <m/>
    <m/>
    <m/>
    <m/>
    <m/>
    <m/>
    <m/>
    <m/>
    <m/>
    <m/>
    <m/>
    <m/>
    <m/>
    <m/>
    <n v="0"/>
    <n v="0"/>
    <n v="0"/>
    <n v="0"/>
    <n v="0"/>
    <n v="0"/>
    <n v="0"/>
    <n v="0"/>
    <n v="0"/>
    <n v="0"/>
    <n v="0"/>
    <n v="0"/>
    <n v="0"/>
    <n v="0"/>
    <x v="0"/>
    <n v="0"/>
    <n v="0"/>
    <n v="0"/>
    <s v="MMR001CMP160"/>
    <x v="0"/>
    <x v="0"/>
    <x v="5"/>
    <n v="0"/>
    <s v="No"/>
    <m/>
  </r>
  <r>
    <n v="42.4"/>
    <d v="2013-05-09T00:00:00"/>
    <x v="11"/>
    <s v="KMSS"/>
    <s v="Kachin"/>
    <s v="Myitkyina"/>
    <s v="Jan Mai Kawng Catholic Church"/>
    <n v="460"/>
    <m/>
    <m/>
    <m/>
    <m/>
    <m/>
    <m/>
    <m/>
    <m/>
    <m/>
    <m/>
    <m/>
    <m/>
    <m/>
    <m/>
    <m/>
    <m/>
    <n v="0"/>
    <n v="0"/>
    <n v="0"/>
    <n v="0"/>
    <n v="0"/>
    <n v="0"/>
    <n v="0"/>
    <n v="0"/>
    <n v="0"/>
    <n v="0"/>
    <n v="0"/>
    <n v="0"/>
    <n v="0"/>
    <n v="0"/>
    <x v="0"/>
    <n v="0"/>
    <n v="0"/>
    <n v="0"/>
    <s v="MMR001CMP019"/>
    <x v="0"/>
    <x v="0"/>
    <x v="0"/>
    <n v="0"/>
    <s v="No"/>
    <m/>
  </r>
  <r>
    <n v="42.4"/>
    <d v="2013-05-09T00:00:00"/>
    <x v="11"/>
    <s v="KMSS"/>
    <s v="Kachin"/>
    <s v="Myitkyina"/>
    <s v="Nan Kway St. John Catholic Church"/>
    <n v="324"/>
    <m/>
    <m/>
    <m/>
    <m/>
    <m/>
    <m/>
    <m/>
    <m/>
    <m/>
    <m/>
    <m/>
    <m/>
    <m/>
    <m/>
    <m/>
    <m/>
    <n v="0"/>
    <n v="0"/>
    <n v="0"/>
    <n v="0"/>
    <n v="0"/>
    <n v="0"/>
    <n v="0"/>
    <n v="0"/>
    <n v="0"/>
    <n v="0"/>
    <n v="0"/>
    <n v="0"/>
    <n v="0"/>
    <n v="0"/>
    <x v="0"/>
    <n v="0"/>
    <n v="0"/>
    <n v="0"/>
    <s v="MMR001CMP024"/>
    <x v="0"/>
    <x v="0"/>
    <x v="0"/>
    <n v="0"/>
    <s v="No"/>
    <m/>
  </r>
  <r>
    <n v="42.43333333333333"/>
    <d v="2013-05-08T00:00:00"/>
    <x v="11"/>
    <s v="KMSS"/>
    <s v="Kachin"/>
    <s v="Waingmaw"/>
    <s v="Maina Catholic Church (St. Joseph)"/>
    <n v="1062"/>
    <m/>
    <m/>
    <m/>
    <m/>
    <m/>
    <m/>
    <m/>
    <m/>
    <m/>
    <m/>
    <m/>
    <m/>
    <m/>
    <m/>
    <m/>
    <m/>
    <n v="0"/>
    <n v="0"/>
    <n v="0"/>
    <n v="0"/>
    <n v="0"/>
    <n v="0"/>
    <n v="0"/>
    <n v="0"/>
    <n v="0"/>
    <n v="0"/>
    <n v="0"/>
    <n v="0"/>
    <n v="0"/>
    <n v="0"/>
    <x v="0"/>
    <n v="0"/>
    <n v="0"/>
    <n v="0"/>
    <s v="MMR001CMP029"/>
    <x v="0"/>
    <x v="0"/>
    <x v="0"/>
    <n v="0"/>
    <s v="No"/>
    <m/>
  </r>
  <r>
    <n v="42.466666666666669"/>
    <d v="2013-05-07T00:00:00"/>
    <x v="11"/>
    <s v="KMSS"/>
    <s v="Kachin"/>
    <s v="Myitkyina"/>
    <s v="Pa Dauk Myaing(Pa La Na)"/>
    <n v="149"/>
    <m/>
    <m/>
    <m/>
    <m/>
    <m/>
    <m/>
    <m/>
    <m/>
    <m/>
    <m/>
    <m/>
    <m/>
    <m/>
    <m/>
    <m/>
    <m/>
    <n v="0"/>
    <n v="0"/>
    <n v="0"/>
    <n v="0"/>
    <n v="0"/>
    <n v="0"/>
    <n v="0"/>
    <n v="0"/>
    <n v="0"/>
    <n v="0"/>
    <n v="0"/>
    <n v="0"/>
    <n v="0"/>
    <n v="0"/>
    <x v="0"/>
    <n v="0"/>
    <n v="0"/>
    <n v="0"/>
    <s v="MMR001CMP162"/>
    <x v="0"/>
    <x v="0"/>
    <x v="0"/>
    <n v="0"/>
    <s v="No"/>
    <m/>
  </r>
  <r>
    <n v="43.6"/>
    <d v="2013-04-03T00:00:00"/>
    <x v="1"/>
    <s v="UNHCR"/>
    <s v="Kachin"/>
    <s v="Waingmaw"/>
    <s v="Maina AG Church"/>
    <m/>
    <m/>
    <n v="15"/>
    <n v="22"/>
    <n v="11"/>
    <n v="22"/>
    <n v="11"/>
    <n v="11"/>
    <n v="11"/>
    <n v="11"/>
    <m/>
    <m/>
    <m/>
    <m/>
    <m/>
    <m/>
    <m/>
    <n v="0"/>
    <n v="0"/>
    <n v="0"/>
    <n v="0"/>
    <n v="0"/>
    <n v="0"/>
    <n v="0"/>
    <n v="0"/>
    <n v="0"/>
    <n v="0"/>
    <n v="0"/>
    <n v="0"/>
    <n v="0"/>
    <n v="0"/>
    <x v="0"/>
    <n v="0"/>
    <n v="0"/>
    <n v="0"/>
    <s v="MMR001CMP031"/>
    <x v="0"/>
    <x v="0"/>
    <x v="0"/>
    <n v="7.3825503355704702E-2"/>
    <s v="No"/>
    <m/>
  </r>
  <r>
    <n v="43.6"/>
    <d v="2013-04-03T00:00:00"/>
    <x v="1"/>
    <s v="UNHCR"/>
    <s v="Kachin"/>
    <s v="Waingmaw"/>
    <s v="Waingmaw AG Church"/>
    <m/>
    <m/>
    <n v="4"/>
    <n v="7"/>
    <n v="3"/>
    <n v="7"/>
    <n v="3"/>
    <n v="3"/>
    <n v="3"/>
    <n v="3"/>
    <m/>
    <m/>
    <m/>
    <m/>
    <m/>
    <m/>
    <m/>
    <n v="0"/>
    <n v="0"/>
    <n v="0"/>
    <n v="0"/>
    <n v="0"/>
    <n v="0"/>
    <n v="0"/>
    <n v="0"/>
    <n v="0"/>
    <n v="0"/>
    <n v="0"/>
    <n v="0"/>
    <n v="0"/>
    <n v="0"/>
    <x v="0"/>
    <n v="0"/>
    <n v="0"/>
    <n v="0"/>
    <s v="MMR001CMP038"/>
    <x v="0"/>
    <x v="0"/>
    <x v="0"/>
    <n v="4.2857142857142858E-2"/>
    <s v="No"/>
    <m/>
  </r>
  <r>
    <n v="43.766666666666666"/>
    <d v="2013-03-29T00:00:00"/>
    <x v="10"/>
    <s v="MRCS"/>
    <s v="Kachin"/>
    <s v="Sumprabum"/>
    <s v="Sumprabum"/>
    <m/>
    <m/>
    <n v="6"/>
    <m/>
    <m/>
    <m/>
    <n v="6"/>
    <m/>
    <n v="0"/>
    <n v="0"/>
    <m/>
    <m/>
    <m/>
    <m/>
    <m/>
    <m/>
    <m/>
    <n v="0"/>
    <n v="0"/>
    <n v="0"/>
    <n v="0"/>
    <n v="0"/>
    <n v="0"/>
    <n v="0"/>
    <n v="0"/>
    <n v="0"/>
    <n v="0"/>
    <n v="0"/>
    <n v="0"/>
    <n v="0"/>
    <n v="0"/>
    <x v="0"/>
    <n v="0"/>
    <n v="0"/>
    <n v="0"/>
    <s v="MMR001CMP206"/>
    <x v="0"/>
    <x v="0"/>
    <x v="0"/>
    <n v="1.2"/>
    <s v="No"/>
    <m/>
  </r>
  <r>
    <n v="44.033333333333331"/>
    <d v="2013-03-21T00:00:00"/>
    <x v="1"/>
    <s v="UNHCR"/>
    <s v="Kachin"/>
    <s v="Hpakant"/>
    <s v="Lisu Baptist Church, Maw Shan Vil,. Seik Mu"/>
    <m/>
    <m/>
    <n v="34"/>
    <n v="40"/>
    <n v="40"/>
    <n v="75"/>
    <n v="40"/>
    <n v="75"/>
    <n v="75"/>
    <n v="75"/>
    <m/>
    <m/>
    <m/>
    <m/>
    <m/>
    <m/>
    <m/>
    <n v="0"/>
    <n v="0"/>
    <n v="0"/>
    <n v="0"/>
    <n v="0"/>
    <n v="0"/>
    <n v="0"/>
    <n v="0"/>
    <n v="0"/>
    <n v="0"/>
    <n v="0"/>
    <n v="0"/>
    <n v="0"/>
    <n v="0"/>
    <x v="0"/>
    <n v="0"/>
    <n v="0"/>
    <n v="0"/>
    <s v="MMR001CMP181"/>
    <x v="0"/>
    <x v="0"/>
    <x v="0"/>
    <n v="1.6"/>
    <s v="No"/>
    <m/>
  </r>
  <r>
    <n v="44.033333333333331"/>
    <d v="2013-03-21T00:00:00"/>
    <x v="1"/>
    <s v="UNHCR"/>
    <s v="Kachin"/>
    <s v="Hpakant"/>
    <s v="Rawan Baptist Church, Maw Shan Vil., Seik Mu"/>
    <m/>
    <m/>
    <n v="15"/>
    <n v="8"/>
    <n v="8"/>
    <n v="17"/>
    <n v="8"/>
    <n v="17"/>
    <n v="17"/>
    <n v="17"/>
    <m/>
    <m/>
    <m/>
    <m/>
    <m/>
    <m/>
    <m/>
    <n v="0"/>
    <n v="0"/>
    <n v="0"/>
    <n v="0"/>
    <n v="0"/>
    <n v="0"/>
    <n v="0"/>
    <n v="0"/>
    <n v="0"/>
    <n v="0"/>
    <n v="0"/>
    <n v="0"/>
    <n v="0"/>
    <n v="0"/>
    <x v="0"/>
    <n v="0"/>
    <n v="0"/>
    <n v="0"/>
    <s v="MMR001CMP182"/>
    <x v="0"/>
    <x v="0"/>
    <x v="0"/>
    <n v="0.8"/>
    <s v="No"/>
    <m/>
  </r>
  <r>
    <n v="44.06666666666667"/>
    <d v="2013-03-20T00:00:00"/>
    <x v="1"/>
    <s v="UNHCR"/>
    <s v="Kachin"/>
    <s v="Hpakant"/>
    <s v="AG Church, Maw Wan"/>
    <m/>
    <m/>
    <n v="24"/>
    <n v="17"/>
    <n v="17"/>
    <n v="41"/>
    <n v="17"/>
    <n v="41"/>
    <n v="41"/>
    <n v="41"/>
    <m/>
    <m/>
    <m/>
    <m/>
    <m/>
    <m/>
    <m/>
    <n v="0"/>
    <n v="0"/>
    <n v="0"/>
    <n v="0"/>
    <n v="0"/>
    <n v="0"/>
    <n v="0"/>
    <n v="0"/>
    <n v="0"/>
    <n v="0"/>
    <n v="0"/>
    <n v="0"/>
    <n v="0"/>
    <n v="0"/>
    <x v="0"/>
    <n v="0"/>
    <n v="0"/>
    <n v="0"/>
    <s v="MMR001CMP190"/>
    <x v="0"/>
    <x v="0"/>
    <x v="0"/>
    <n v="1.2142857142857142"/>
    <s v="No"/>
    <m/>
  </r>
  <r>
    <n v="44.06666666666667"/>
    <d v="2013-03-20T00:00:00"/>
    <x v="1"/>
    <s v="UNHCR"/>
    <s v="Kachin"/>
    <s v="Hpakant"/>
    <s v="Anglican Church, Hmaw Si Sar"/>
    <m/>
    <m/>
    <n v="38"/>
    <n v="11"/>
    <n v="11"/>
    <n v="87"/>
    <n v="11"/>
    <n v="26"/>
    <n v="26"/>
    <n v="26"/>
    <m/>
    <m/>
    <m/>
    <m/>
    <m/>
    <m/>
    <m/>
    <n v="0"/>
    <n v="0"/>
    <n v="0"/>
    <n v="0"/>
    <n v="0"/>
    <n v="0"/>
    <n v="0"/>
    <n v="0"/>
    <n v="0"/>
    <n v="0"/>
    <n v="0"/>
    <n v="0"/>
    <n v="0"/>
    <n v="0"/>
    <x v="0"/>
    <n v="0"/>
    <n v="0"/>
    <n v="0"/>
    <s v="MMR001CMP173"/>
    <x v="0"/>
    <x v="2"/>
    <x v="4"/>
    <s v=""/>
    <s v="No"/>
    <m/>
  </r>
  <r>
    <n v="44.06666666666667"/>
    <d v="2013-03-20T00:00:00"/>
    <x v="1"/>
    <s v="UNHCR"/>
    <s v="Kachin"/>
    <s v="Hpakant"/>
    <s v="Chin Church, Seik Mu"/>
    <m/>
    <m/>
    <n v="3"/>
    <n v="8"/>
    <n v="8"/>
    <n v="15"/>
    <n v="8"/>
    <n v="15"/>
    <n v="15"/>
    <n v="15"/>
    <m/>
    <m/>
    <m/>
    <m/>
    <m/>
    <m/>
    <m/>
    <n v="0"/>
    <n v="0"/>
    <n v="0"/>
    <n v="0"/>
    <n v="0"/>
    <n v="0"/>
    <n v="0"/>
    <n v="0"/>
    <n v="0"/>
    <n v="0"/>
    <n v="0"/>
    <n v="0"/>
    <n v="0"/>
    <n v="0"/>
    <x v="0"/>
    <n v="0"/>
    <n v="0"/>
    <n v="0"/>
    <s v="MMR001CMP109"/>
    <x v="0"/>
    <x v="0"/>
    <x v="0"/>
    <n v="1.3333333333333333"/>
    <s v="No"/>
    <m/>
  </r>
  <r>
    <n v="44.06666666666667"/>
    <d v="2013-03-20T00:00:00"/>
    <x v="1"/>
    <s v="UNHCR"/>
    <s v="Kachin"/>
    <s v="Hpakant"/>
    <s v="Chin(Zomi) Baptist Church"/>
    <m/>
    <m/>
    <n v="9"/>
    <n v="6"/>
    <n v="6"/>
    <n v="15"/>
    <n v="6"/>
    <n v="15"/>
    <n v="15"/>
    <n v="15"/>
    <m/>
    <m/>
    <m/>
    <m/>
    <m/>
    <m/>
    <m/>
    <n v="0"/>
    <n v="0"/>
    <n v="0"/>
    <n v="0"/>
    <n v="0"/>
    <n v="0"/>
    <n v="0"/>
    <n v="0"/>
    <n v="0"/>
    <n v="0"/>
    <n v="0"/>
    <n v="0"/>
    <n v="0"/>
    <n v="0"/>
    <x v="0"/>
    <n v="0"/>
    <n v="0"/>
    <n v="0"/>
    <s v="MMR001CMP086"/>
    <x v="0"/>
    <x v="2"/>
    <x v="4"/>
    <s v=""/>
    <s v="No"/>
    <m/>
  </r>
  <r>
    <n v="44.06666666666667"/>
    <d v="2013-03-20T00:00:00"/>
    <x v="1"/>
    <s v="UNHCR"/>
    <s v="Kachin"/>
    <s v="Hpakant"/>
    <s v="Lisu Baptist Church, Maw Wan Ward"/>
    <m/>
    <m/>
    <n v="32"/>
    <n v="27"/>
    <n v="27"/>
    <n v="66"/>
    <n v="27"/>
    <n v="66"/>
    <n v="66"/>
    <n v="66"/>
    <m/>
    <m/>
    <m/>
    <m/>
    <m/>
    <m/>
    <m/>
    <n v="0"/>
    <n v="0"/>
    <n v="0"/>
    <n v="0"/>
    <n v="0"/>
    <n v="0"/>
    <n v="0"/>
    <n v="0"/>
    <n v="0"/>
    <n v="0"/>
    <n v="0"/>
    <n v="0"/>
    <n v="0"/>
    <n v="0"/>
    <x v="0"/>
    <n v="0"/>
    <n v="0"/>
    <n v="0"/>
    <s v="MMR001CMP167"/>
    <x v="0"/>
    <x v="0"/>
    <x v="0"/>
    <n v="1.8"/>
    <s v="No"/>
    <m/>
  </r>
  <r>
    <n v="44.06666666666667"/>
    <d v="2013-03-20T00:00:00"/>
    <x v="1"/>
    <s v="UNHCR"/>
    <s v="Kachin"/>
    <s v="Hpakant"/>
    <s v="Maw Wan, Kachin Baptist Church"/>
    <m/>
    <m/>
    <n v="18"/>
    <n v="17"/>
    <n v="17"/>
    <n v="42"/>
    <n v="17"/>
    <n v="42"/>
    <n v="42"/>
    <n v="42"/>
    <m/>
    <m/>
    <m/>
    <m/>
    <m/>
    <m/>
    <m/>
    <n v="0"/>
    <n v="0"/>
    <n v="0"/>
    <n v="0"/>
    <n v="0"/>
    <n v="0"/>
    <n v="0"/>
    <n v="0"/>
    <n v="0"/>
    <n v="0"/>
    <n v="0"/>
    <n v="0"/>
    <n v="0"/>
    <n v="0"/>
    <x v="0"/>
    <n v="0"/>
    <n v="0"/>
    <n v="0"/>
    <s v="MMR001CMP085"/>
    <x v="0"/>
    <x v="2"/>
    <x v="4"/>
    <s v=""/>
    <s v="No"/>
    <m/>
  </r>
  <r>
    <n v="44.06666666666667"/>
    <d v="2013-03-20T00:00:00"/>
    <x v="1"/>
    <s v="UNHCR"/>
    <s v="Kachin"/>
    <s v="Hpakant"/>
    <s v="Maw Wan, Mu-yin Baptist Church"/>
    <m/>
    <m/>
    <n v="17"/>
    <n v="17"/>
    <n v="17"/>
    <n v="41"/>
    <n v="17"/>
    <n v="41"/>
    <n v="41"/>
    <n v="41"/>
    <m/>
    <m/>
    <m/>
    <m/>
    <m/>
    <m/>
    <m/>
    <n v="0"/>
    <n v="0"/>
    <n v="0"/>
    <n v="0"/>
    <n v="0"/>
    <n v="0"/>
    <n v="0"/>
    <n v="0"/>
    <n v="0"/>
    <n v="0"/>
    <n v="0"/>
    <n v="0"/>
    <n v="0"/>
    <n v="0"/>
    <x v="0"/>
    <n v="0"/>
    <n v="0"/>
    <n v="0"/>
    <s v="MMR001CMP091"/>
    <x v="0"/>
    <x v="0"/>
    <x v="0"/>
    <n v="4.25"/>
    <s v="No"/>
    <m/>
  </r>
  <r>
    <n v="44.06666666666667"/>
    <d v="2013-03-20T00:00:00"/>
    <x v="1"/>
    <s v="UNHCR"/>
    <s v="Kachin"/>
    <s v="Hpakant"/>
    <s v="Muring Baptist Church, Awng Ra, Wa Ra Zut VT"/>
    <m/>
    <m/>
    <n v="48"/>
    <n v="48"/>
    <n v="48"/>
    <n v="98"/>
    <n v="48"/>
    <n v="98"/>
    <n v="98"/>
    <n v="98"/>
    <m/>
    <m/>
    <m/>
    <m/>
    <m/>
    <m/>
    <m/>
    <n v="0"/>
    <n v="0"/>
    <n v="0"/>
    <n v="0"/>
    <n v="0"/>
    <n v="0"/>
    <n v="0"/>
    <n v="0"/>
    <n v="0"/>
    <n v="0"/>
    <n v="0"/>
    <n v="0"/>
    <n v="0"/>
    <n v="0"/>
    <x v="0"/>
    <n v="0"/>
    <n v="0"/>
    <n v="0"/>
    <s v="MMR001CMP177"/>
    <x v="0"/>
    <x v="2"/>
    <x v="4"/>
    <s v=""/>
    <s v="No"/>
    <m/>
  </r>
  <r>
    <n v="44.06666666666667"/>
    <d v="2013-03-20T00:00:00"/>
    <x v="1"/>
    <s v="UNHCR"/>
    <s v="Kachin"/>
    <s v="Hpakant"/>
    <s v="Ward 2 Sai Taung Baptist Church, Seik Mu "/>
    <m/>
    <m/>
    <n v="124"/>
    <n v="117"/>
    <n v="121"/>
    <n v="227"/>
    <n v="122"/>
    <n v="263"/>
    <n v="263"/>
    <n v="263"/>
    <m/>
    <m/>
    <m/>
    <m/>
    <m/>
    <m/>
    <m/>
    <n v="0"/>
    <n v="0"/>
    <n v="0"/>
    <n v="0"/>
    <n v="0"/>
    <n v="0"/>
    <n v="0"/>
    <n v="0"/>
    <n v="0"/>
    <n v="0"/>
    <n v="0"/>
    <n v="0"/>
    <n v="0"/>
    <n v="0"/>
    <x v="0"/>
    <n v="0"/>
    <n v="0"/>
    <n v="0"/>
    <s v="MMR001CMP184"/>
    <x v="0"/>
    <x v="0"/>
    <x v="0"/>
    <n v="3.4857142857142858"/>
    <s v="No"/>
    <m/>
  </r>
  <r>
    <n v="44.06666666666667"/>
    <d v="2013-03-20T00:00:00"/>
    <x v="1"/>
    <s v="UNHCR"/>
    <s v="Kachin"/>
    <s v="Hpakant"/>
    <s v="Wrad(5) Christian Association"/>
    <m/>
    <m/>
    <n v="34"/>
    <n v="26"/>
    <n v="26"/>
    <n v="60"/>
    <n v="26"/>
    <n v="60"/>
    <n v="60"/>
    <n v="60"/>
    <m/>
    <m/>
    <m/>
    <m/>
    <m/>
    <m/>
    <m/>
    <n v="0"/>
    <n v="0"/>
    <n v="0"/>
    <n v="0"/>
    <n v="0"/>
    <n v="0"/>
    <n v="0"/>
    <n v="0"/>
    <n v="0"/>
    <n v="0"/>
    <n v="0"/>
    <n v="0"/>
    <n v="0"/>
    <n v="0"/>
    <x v="0"/>
    <n v="0"/>
    <n v="0"/>
    <n v="0"/>
    <s v="MMR001CMP175"/>
    <x v="0"/>
    <x v="2"/>
    <x v="4"/>
    <s v=""/>
    <s v="No"/>
    <m/>
  </r>
  <r>
    <n v="44.06666666666667"/>
    <d v="2013-03-20T00:00:00"/>
    <x v="1"/>
    <s v="UNHCR"/>
    <s v="Kachin"/>
    <s v="Hpakant"/>
    <s v="Zomee Baptist Church camp, Hmaw Wan"/>
    <m/>
    <m/>
    <n v="6"/>
    <n v="0"/>
    <n v="0"/>
    <n v="11"/>
    <n v="0"/>
    <n v="0"/>
    <m/>
    <m/>
    <m/>
    <m/>
    <m/>
    <m/>
    <m/>
    <m/>
    <m/>
    <n v="0"/>
    <n v="0"/>
    <n v="0"/>
    <n v="0"/>
    <n v="0"/>
    <n v="0"/>
    <n v="0"/>
    <n v="0"/>
    <n v="0"/>
    <n v="0"/>
    <n v="0"/>
    <n v="0"/>
    <n v="0"/>
    <n v="0"/>
    <x v="0"/>
    <n v="0"/>
    <n v="0"/>
    <n v="0"/>
    <s v="MMR001CMP201"/>
    <x v="0"/>
    <x v="2"/>
    <x v="4"/>
    <s v=""/>
    <s v="No"/>
    <m/>
  </r>
  <r>
    <n v="44.533333333333331"/>
    <d v="2013-03-06T00:00:00"/>
    <x v="1"/>
    <s v="UNHCR"/>
    <s v="Kachin"/>
    <s v="Waingmaw"/>
    <s v="Maina KBC (Bawng Ring)"/>
    <m/>
    <m/>
    <n v="34"/>
    <n v="73"/>
    <n v="38"/>
    <n v="73"/>
    <n v="38"/>
    <n v="33"/>
    <n v="33"/>
    <n v="33"/>
    <m/>
    <m/>
    <m/>
    <m/>
    <m/>
    <m/>
    <m/>
    <n v="0"/>
    <n v="0"/>
    <n v="0"/>
    <n v="0"/>
    <n v="0"/>
    <n v="0"/>
    <n v="0"/>
    <n v="0"/>
    <n v="0"/>
    <n v="0"/>
    <n v="0"/>
    <n v="0"/>
    <n v="0"/>
    <n v="0"/>
    <x v="0"/>
    <n v="0"/>
    <n v="0"/>
    <n v="0"/>
    <s v="MMR001CMP040"/>
    <x v="0"/>
    <x v="0"/>
    <x v="0"/>
    <n v="9.2682926829268292E-2"/>
    <s v="No"/>
    <m/>
  </r>
  <r>
    <n v="44.533333333333331"/>
    <d v="2013-03-06T00:00:00"/>
    <x v="1"/>
    <s v="UNHCR"/>
    <s v="Kachin"/>
    <s v="Waingmaw"/>
    <s v="Qtr. 2 Lhaovo Baptist Church"/>
    <m/>
    <m/>
    <n v="6"/>
    <n v="11"/>
    <n v="5"/>
    <n v="11"/>
    <n v="5"/>
    <n v="5"/>
    <n v="5"/>
    <n v="5"/>
    <m/>
    <m/>
    <m/>
    <m/>
    <m/>
    <m/>
    <m/>
    <n v="0"/>
    <n v="0"/>
    <n v="0"/>
    <n v="0"/>
    <n v="0"/>
    <n v="0"/>
    <n v="0"/>
    <n v="0"/>
    <n v="0"/>
    <n v="0"/>
    <n v="0"/>
    <n v="0"/>
    <n v="0"/>
    <n v="0"/>
    <x v="0"/>
    <n v="0"/>
    <n v="0"/>
    <n v="0"/>
    <s v="MMR001CMP032"/>
    <x v="0"/>
    <x v="0"/>
    <x v="0"/>
    <n v="5.4945054945054944E-2"/>
    <s v="No"/>
    <m/>
  </r>
  <r>
    <n v="44.633333333333333"/>
    <d v="2013-03-03T00:00:00"/>
    <x v="0"/>
    <s v="Solidarities"/>
    <s v="Kachin"/>
    <s v="Momauk"/>
    <s v="Seng Ja "/>
    <n v="33"/>
    <m/>
    <m/>
    <m/>
    <m/>
    <m/>
    <m/>
    <m/>
    <n v="0"/>
    <n v="0"/>
    <m/>
    <m/>
    <m/>
    <m/>
    <m/>
    <m/>
    <m/>
    <n v="0"/>
    <n v="0"/>
    <n v="0"/>
    <n v="0"/>
    <n v="0"/>
    <n v="0"/>
    <n v="0"/>
    <n v="0"/>
    <n v="0"/>
    <n v="0"/>
    <n v="0"/>
    <n v="0"/>
    <n v="0"/>
    <n v="0"/>
    <x v="0"/>
    <n v="0"/>
    <n v="0"/>
    <n v="0"/>
    <s v="MMR001CMP073"/>
    <x v="0"/>
    <x v="0"/>
    <x v="1"/>
    <n v="0"/>
    <s v="No"/>
    <m/>
  </r>
  <r>
    <n v="44.666666666666664"/>
    <d v="2013-03-02T00:00:00"/>
    <x v="0"/>
    <s v="Solidarities"/>
    <s v="Kachin"/>
    <s v="Momauk"/>
    <s v="Loi Je Baptist Church"/>
    <n v="3"/>
    <m/>
    <m/>
    <m/>
    <m/>
    <m/>
    <m/>
    <m/>
    <n v="0"/>
    <n v="0"/>
    <m/>
    <m/>
    <m/>
    <m/>
    <m/>
    <m/>
    <m/>
    <n v="0"/>
    <n v="0"/>
    <n v="0"/>
    <n v="0"/>
    <n v="0"/>
    <n v="0"/>
    <n v="0"/>
    <n v="0"/>
    <n v="0"/>
    <n v="0"/>
    <n v="0"/>
    <n v="0"/>
    <n v="0"/>
    <n v="0"/>
    <x v="0"/>
    <n v="0"/>
    <n v="0"/>
    <n v="0"/>
    <s v="MMR001CMP071"/>
    <x v="0"/>
    <x v="0"/>
    <x v="1"/>
    <n v="0"/>
    <s v="No"/>
    <m/>
  </r>
  <r>
    <n v="44.666666666666664"/>
    <d v="2013-03-02T00:00:00"/>
    <x v="0"/>
    <s v="Solidarities"/>
    <s v="Kachin"/>
    <s v="Momauk"/>
    <s v="Loi Je Lisu Camp"/>
    <n v="368"/>
    <m/>
    <m/>
    <m/>
    <m/>
    <m/>
    <m/>
    <m/>
    <n v="0"/>
    <n v="0"/>
    <m/>
    <m/>
    <m/>
    <m/>
    <m/>
    <m/>
    <m/>
    <n v="0"/>
    <n v="0"/>
    <n v="0"/>
    <n v="0"/>
    <n v="0"/>
    <n v="0"/>
    <n v="0"/>
    <n v="0"/>
    <n v="0"/>
    <n v="0"/>
    <n v="0"/>
    <n v="0"/>
    <n v="0"/>
    <n v="0"/>
    <x v="0"/>
    <n v="0"/>
    <n v="0"/>
    <n v="0"/>
    <s v="MMR001CMP070"/>
    <x v="0"/>
    <x v="0"/>
    <x v="1"/>
    <n v="0"/>
    <s v="No"/>
    <m/>
  </r>
  <r>
    <n v="44.666666666666664"/>
    <d v="2013-03-02T00:00:00"/>
    <x v="0"/>
    <s v="Solidarities"/>
    <s v="Kachin"/>
    <s v="Mansi"/>
    <s v="Man Wing Catholic Church"/>
    <n v="1542"/>
    <m/>
    <m/>
    <m/>
    <m/>
    <m/>
    <m/>
    <m/>
    <n v="0"/>
    <n v="0"/>
    <m/>
    <m/>
    <m/>
    <m/>
    <m/>
    <m/>
    <m/>
    <n v="0"/>
    <n v="0"/>
    <n v="0"/>
    <n v="0"/>
    <n v="0"/>
    <n v="0"/>
    <n v="0"/>
    <n v="0"/>
    <n v="0"/>
    <n v="0"/>
    <n v="0"/>
    <n v="0"/>
    <n v="0"/>
    <n v="0"/>
    <x v="0"/>
    <n v="0"/>
    <n v="0"/>
    <n v="0"/>
    <s v="MMR001CMP132"/>
    <x v="0"/>
    <x v="0"/>
    <x v="0"/>
    <n v="0"/>
    <s v="No"/>
    <m/>
  </r>
  <r>
    <n v="44.766666666666666"/>
    <d v="2013-02-27T00:00:00"/>
    <x v="1"/>
    <s v="UNHCR"/>
    <s v="Kachin"/>
    <s v="Waingmaw"/>
    <s v="Maina AG Church"/>
    <m/>
    <m/>
    <n v="23"/>
    <n v="40"/>
    <n v="18"/>
    <n v="40"/>
    <n v="18"/>
    <n v="18"/>
    <n v="18"/>
    <n v="18"/>
    <m/>
    <m/>
    <m/>
    <m/>
    <m/>
    <m/>
    <m/>
    <n v="0"/>
    <n v="0"/>
    <n v="0"/>
    <n v="0"/>
    <n v="0"/>
    <n v="0"/>
    <n v="0"/>
    <n v="0"/>
    <n v="0"/>
    <n v="0"/>
    <n v="0"/>
    <n v="0"/>
    <n v="0"/>
    <n v="0"/>
    <x v="0"/>
    <n v="0"/>
    <n v="0"/>
    <n v="0"/>
    <s v="MMR001CMP031"/>
    <x v="0"/>
    <x v="0"/>
    <x v="0"/>
    <n v="0.12080536912751678"/>
    <s v="No"/>
    <m/>
  </r>
  <r>
    <n v="44.766666666666666"/>
    <d v="2013-02-27T00:00:00"/>
    <x v="0"/>
    <s v="Solidarities"/>
    <s v="Kachin"/>
    <s v="Mansi"/>
    <s v="Man Wing Baptist Church"/>
    <n v="595"/>
    <m/>
    <m/>
    <m/>
    <m/>
    <m/>
    <m/>
    <m/>
    <n v="0"/>
    <n v="0"/>
    <m/>
    <m/>
    <m/>
    <m/>
    <m/>
    <m/>
    <m/>
    <n v="0"/>
    <n v="0"/>
    <n v="0"/>
    <n v="0"/>
    <n v="0"/>
    <n v="0"/>
    <n v="0"/>
    <n v="0"/>
    <n v="0"/>
    <n v="0"/>
    <n v="0"/>
    <n v="0"/>
    <n v="0"/>
    <n v="0"/>
    <x v="0"/>
    <n v="0"/>
    <n v="0"/>
    <n v="0"/>
    <s v="MMR001CMP133"/>
    <x v="0"/>
    <x v="0"/>
    <x v="0"/>
    <n v="0"/>
    <s v="No"/>
    <m/>
  </r>
  <r>
    <n v="44.8"/>
    <d v="2013-02-26T00:00:00"/>
    <x v="10"/>
    <s v="MRCS"/>
    <s v="Kachin"/>
    <s v="Waingmaw"/>
    <s v="Hkat Cho "/>
    <m/>
    <m/>
    <n v="136"/>
    <m/>
    <n v="66"/>
    <m/>
    <n v="70"/>
    <m/>
    <n v="0"/>
    <n v="0"/>
    <m/>
    <m/>
    <m/>
    <m/>
    <m/>
    <m/>
    <m/>
    <n v="0"/>
    <n v="0"/>
    <n v="0"/>
    <n v="0"/>
    <n v="0"/>
    <n v="0"/>
    <n v="0"/>
    <n v="0"/>
    <n v="0"/>
    <n v="0"/>
    <n v="0"/>
    <n v="0"/>
    <n v="0"/>
    <n v="0"/>
    <x v="0"/>
    <n v="0"/>
    <n v="0"/>
    <n v="0"/>
    <s v="MMR001CMP028"/>
    <x v="0"/>
    <x v="0"/>
    <x v="0"/>
    <n v="0.70707070707070707"/>
    <s v="No"/>
    <m/>
  </r>
  <r>
    <n v="44.8"/>
    <d v="2013-02-26T00:00:00"/>
    <x v="10"/>
    <s v="MRCS"/>
    <s v="Kachin"/>
    <s v="Myitkyina"/>
    <s v="Jan Mai Kawng Catholic Church"/>
    <m/>
    <m/>
    <n v="99"/>
    <m/>
    <n v="99"/>
    <m/>
    <m/>
    <m/>
    <n v="0"/>
    <n v="0"/>
    <m/>
    <m/>
    <m/>
    <m/>
    <m/>
    <m/>
    <m/>
    <n v="0"/>
    <n v="0"/>
    <n v="0"/>
    <n v="0"/>
    <n v="0"/>
    <n v="0"/>
    <n v="0"/>
    <n v="0"/>
    <n v="0"/>
    <n v="0"/>
    <n v="0"/>
    <n v="0"/>
    <n v="0"/>
    <n v="0"/>
    <x v="0"/>
    <n v="0"/>
    <n v="0"/>
    <n v="0"/>
    <s v="MMR001CMP019"/>
    <x v="0"/>
    <x v="0"/>
    <x v="0"/>
    <n v="0"/>
    <s v="No"/>
    <m/>
  </r>
  <r>
    <n v="44.833333333333336"/>
    <d v="2013-02-25T00:00:00"/>
    <x v="1"/>
    <s v="Chipwe CM"/>
    <s v="Kachin"/>
    <s v="Chipwi"/>
    <s v="Chipwi KBC camp"/>
    <m/>
    <m/>
    <n v="11"/>
    <n v="17"/>
    <n v="7"/>
    <n v="17"/>
    <n v="7"/>
    <n v="7"/>
    <n v="7"/>
    <n v="7"/>
    <m/>
    <m/>
    <m/>
    <m/>
    <m/>
    <m/>
    <m/>
    <n v="0"/>
    <n v="0"/>
    <n v="0"/>
    <n v="0"/>
    <n v="0"/>
    <n v="0"/>
    <n v="0"/>
    <n v="0"/>
    <n v="0"/>
    <n v="0"/>
    <n v="0"/>
    <n v="0"/>
    <n v="0"/>
    <n v="0"/>
    <x v="0"/>
    <n v="0"/>
    <n v="0"/>
    <n v="0"/>
    <s v="MMR001CMP042"/>
    <x v="0"/>
    <x v="0"/>
    <x v="5"/>
    <n v="6.363636363636363E-2"/>
    <s v="No"/>
    <m/>
  </r>
  <r>
    <n v="44.833333333333336"/>
    <d v="2013-02-25T00:00:00"/>
    <x v="1"/>
    <s v="Chipwe CM"/>
    <s v="Kachin"/>
    <s v="Chipwi"/>
    <s v="Gant Gwin"/>
    <m/>
    <m/>
    <n v="11"/>
    <n v="17"/>
    <n v="7"/>
    <n v="17"/>
    <n v="7"/>
    <n v="7"/>
    <n v="7"/>
    <n v="7"/>
    <m/>
    <m/>
    <m/>
    <m/>
    <m/>
    <m/>
    <m/>
    <n v="0"/>
    <n v="0"/>
    <n v="0"/>
    <n v="0"/>
    <n v="0"/>
    <n v="0"/>
    <n v="0"/>
    <n v="0"/>
    <n v="0"/>
    <n v="0"/>
    <n v="0"/>
    <n v="0"/>
    <n v="0"/>
    <n v="0"/>
    <x v="0"/>
    <n v="0"/>
    <n v="0"/>
    <n v="0"/>
    <s v="MMR001CMP046"/>
    <x v="0"/>
    <x v="2"/>
    <x v="5"/>
    <s v=""/>
    <s v="No"/>
    <m/>
  </r>
  <r>
    <n v="44.833333333333336"/>
    <d v="2013-02-25T00:00:00"/>
    <x v="10"/>
    <s v="MRCS"/>
    <s v="Kachin"/>
    <s v="Waingmaw"/>
    <s v="Hkat Cho "/>
    <m/>
    <m/>
    <m/>
    <m/>
    <n v="1"/>
    <m/>
    <m/>
    <m/>
    <n v="0"/>
    <n v="0"/>
    <m/>
    <m/>
    <m/>
    <m/>
    <m/>
    <m/>
    <m/>
    <n v="0"/>
    <n v="0"/>
    <n v="0"/>
    <n v="0"/>
    <n v="0"/>
    <n v="0"/>
    <n v="0"/>
    <n v="0"/>
    <n v="0"/>
    <n v="0"/>
    <n v="0"/>
    <n v="0"/>
    <n v="0"/>
    <n v="0"/>
    <x v="0"/>
    <n v="0"/>
    <n v="0"/>
    <n v="0"/>
    <s v="MMR001CMP028"/>
    <x v="0"/>
    <x v="0"/>
    <x v="0"/>
    <n v="0"/>
    <s v="No"/>
    <m/>
  </r>
  <r>
    <n v="44.833333333333336"/>
    <d v="2013-02-25T00:00:00"/>
    <x v="1"/>
    <s v="Chipwe CM"/>
    <s v="Kachin"/>
    <s v="Chipwi"/>
    <s v="Hpare Hkyer - BP6"/>
    <m/>
    <m/>
    <n v="11"/>
    <n v="17"/>
    <n v="7"/>
    <n v="17"/>
    <n v="7"/>
    <n v="7"/>
    <n v="7"/>
    <n v="7"/>
    <m/>
    <m/>
    <m/>
    <m/>
    <m/>
    <m/>
    <m/>
    <n v="0"/>
    <n v="0"/>
    <n v="0"/>
    <n v="0"/>
    <n v="0"/>
    <n v="0"/>
    <n v="0"/>
    <n v="0"/>
    <n v="0"/>
    <n v="0"/>
    <n v="0"/>
    <n v="0"/>
    <n v="0"/>
    <n v="0"/>
    <x v="0"/>
    <n v="0"/>
    <n v="0"/>
    <n v="0"/>
    <s v="MMR001CMP043"/>
    <x v="0"/>
    <x v="0"/>
    <x v="5"/>
    <n v="4.4871794871794872E-2"/>
    <s v="No"/>
    <m/>
  </r>
  <r>
    <n v="44.833333333333336"/>
    <d v="2013-02-25T00:00:00"/>
    <x v="1"/>
    <s v="Chipwe CM"/>
    <s v="Kachin"/>
    <s v="Chipwi"/>
    <s v="Lan Jaw "/>
    <m/>
    <m/>
    <n v="11"/>
    <n v="17"/>
    <n v="7"/>
    <n v="17"/>
    <n v="7"/>
    <n v="7"/>
    <n v="7"/>
    <n v="7"/>
    <m/>
    <m/>
    <m/>
    <m/>
    <m/>
    <m/>
    <m/>
    <n v="0"/>
    <n v="0"/>
    <n v="0"/>
    <n v="0"/>
    <n v="0"/>
    <n v="0"/>
    <n v="0"/>
    <n v="0"/>
    <n v="0"/>
    <n v="0"/>
    <n v="0"/>
    <n v="0"/>
    <n v="0"/>
    <n v="0"/>
    <x v="0"/>
    <n v="0"/>
    <n v="0"/>
    <n v="0"/>
    <s v="MMR001CMP045"/>
    <x v="0"/>
    <x v="0"/>
    <x v="5"/>
    <s v=""/>
    <s v="No"/>
    <m/>
  </r>
  <r>
    <n v="44.833333333333336"/>
    <d v="2013-02-25T00:00:00"/>
    <x v="1"/>
    <s v="Chipwe CM"/>
    <s v="Kachin"/>
    <s v="Chipwi"/>
    <s v="Lhaovao Baptist Church (LBC)"/>
    <m/>
    <m/>
    <n v="12"/>
    <n v="17"/>
    <n v="7"/>
    <n v="17"/>
    <n v="7"/>
    <n v="7"/>
    <n v="7"/>
    <n v="7"/>
    <m/>
    <m/>
    <m/>
    <m/>
    <m/>
    <m/>
    <m/>
    <n v="0"/>
    <n v="0"/>
    <n v="0"/>
    <n v="0"/>
    <n v="0"/>
    <n v="0"/>
    <n v="0"/>
    <n v="0"/>
    <n v="0"/>
    <n v="0"/>
    <n v="0"/>
    <n v="0"/>
    <n v="0"/>
    <n v="0"/>
    <x v="0"/>
    <n v="0"/>
    <n v="0"/>
    <n v="0"/>
    <s v="MMR001CMP195"/>
    <x v="0"/>
    <x v="0"/>
    <x v="5"/>
    <n v="4.8951048951048952E-2"/>
    <s v="No"/>
    <m/>
  </r>
  <r>
    <n v="44.833333333333336"/>
    <d v="2013-02-25T00:00:00"/>
    <x v="10"/>
    <s v="MRCS"/>
    <s v="Kachin"/>
    <s v="Waingmaw"/>
    <s v="Maina KBC (Bawng Ring)"/>
    <m/>
    <m/>
    <n v="235"/>
    <m/>
    <n v="174"/>
    <m/>
    <n v="61"/>
    <m/>
    <n v="0"/>
    <n v="0"/>
    <m/>
    <m/>
    <m/>
    <m/>
    <m/>
    <m/>
    <m/>
    <n v="0"/>
    <n v="0"/>
    <n v="0"/>
    <n v="0"/>
    <n v="0"/>
    <n v="0"/>
    <n v="0"/>
    <n v="0"/>
    <n v="0"/>
    <n v="0"/>
    <n v="0"/>
    <n v="0"/>
    <n v="0"/>
    <n v="0"/>
    <x v="0"/>
    <n v="0"/>
    <n v="0"/>
    <n v="0"/>
    <s v="MMR001CMP040"/>
    <x v="0"/>
    <x v="0"/>
    <x v="0"/>
    <n v="0.14878048780487804"/>
    <s v="No"/>
    <m/>
  </r>
  <r>
    <n v="44.833333333333336"/>
    <d v="2013-02-25T00:00:00"/>
    <x v="1"/>
    <s v="Chipwe CM"/>
    <s v="Kachin"/>
    <s v="Chipwi"/>
    <s v="Women's Affairs Association Building"/>
    <m/>
    <m/>
    <n v="12"/>
    <n v="18"/>
    <n v="8"/>
    <n v="18"/>
    <n v="8"/>
    <n v="8"/>
    <n v="8"/>
    <n v="8"/>
    <m/>
    <m/>
    <m/>
    <m/>
    <m/>
    <m/>
    <m/>
    <n v="0"/>
    <n v="0"/>
    <n v="0"/>
    <n v="0"/>
    <n v="0"/>
    <n v="0"/>
    <n v="0"/>
    <n v="0"/>
    <n v="0"/>
    <n v="0"/>
    <n v="0"/>
    <n v="0"/>
    <n v="0"/>
    <n v="0"/>
    <x v="0"/>
    <n v="0"/>
    <n v="0"/>
    <n v="0"/>
    <s v="MMR001CMP044"/>
    <x v="0"/>
    <x v="2"/>
    <x v="4"/>
    <s v=""/>
    <s v="No"/>
    <m/>
  </r>
  <r>
    <n v="45"/>
    <d v="2013-02-20T00:00:00"/>
    <x v="1"/>
    <s v="UNHCR"/>
    <s v="Kachin"/>
    <s v="Hpakant"/>
    <s v="AG Church, Maw Wan"/>
    <m/>
    <m/>
    <m/>
    <n v="59"/>
    <n v="28"/>
    <n v="0"/>
    <n v="28"/>
    <n v="28"/>
    <n v="28"/>
    <n v="28"/>
    <m/>
    <m/>
    <m/>
    <m/>
    <m/>
    <m/>
    <m/>
    <n v="0"/>
    <n v="0"/>
    <n v="0"/>
    <n v="0"/>
    <n v="0"/>
    <n v="0"/>
    <n v="0"/>
    <n v="0"/>
    <n v="0"/>
    <n v="0"/>
    <n v="0"/>
    <n v="0"/>
    <n v="0"/>
    <n v="0"/>
    <x v="0"/>
    <n v="0"/>
    <n v="0"/>
    <n v="0"/>
    <s v="MMR001CMP190"/>
    <x v="0"/>
    <x v="0"/>
    <x v="0"/>
    <n v="2"/>
    <s v="No"/>
    <m/>
  </r>
  <r>
    <n v="45"/>
    <d v="2013-02-20T00:00:00"/>
    <x v="1"/>
    <s v="UNHCR"/>
    <s v="Kachin"/>
    <s v="Hpakant"/>
    <s v="Aye Mya Tharyar Church of Christ "/>
    <m/>
    <m/>
    <n v="18"/>
    <n v="0"/>
    <n v="0"/>
    <n v="0"/>
    <n v="0"/>
    <n v="0"/>
    <m/>
    <m/>
    <m/>
    <m/>
    <m/>
    <m/>
    <m/>
    <m/>
    <m/>
    <n v="0"/>
    <n v="0"/>
    <n v="0"/>
    <n v="0"/>
    <n v="0"/>
    <n v="0"/>
    <n v="0"/>
    <n v="0"/>
    <n v="0"/>
    <n v="0"/>
    <n v="0"/>
    <n v="0"/>
    <n v="0"/>
    <n v="0"/>
    <x v="0"/>
    <n v="0"/>
    <n v="0"/>
    <n v="0"/>
    <s v="MMR001CMP092"/>
    <x v="0"/>
    <x v="2"/>
    <x v="4"/>
    <s v=""/>
    <s v="No"/>
    <m/>
  </r>
  <r>
    <n v="45"/>
    <d v="2013-02-20T00:00:00"/>
    <x v="1"/>
    <s v="UNHCR"/>
    <s v="Kachin"/>
    <s v="Hpakant"/>
    <s v="Chin(Zomi) Baptist Church"/>
    <m/>
    <m/>
    <n v="13"/>
    <n v="28"/>
    <n v="15"/>
    <n v="28"/>
    <n v="15"/>
    <n v="15"/>
    <n v="15"/>
    <n v="15"/>
    <m/>
    <m/>
    <m/>
    <m/>
    <m/>
    <m/>
    <m/>
    <n v="0"/>
    <n v="0"/>
    <n v="0"/>
    <n v="0"/>
    <n v="0"/>
    <n v="0"/>
    <n v="0"/>
    <n v="0"/>
    <n v="0"/>
    <n v="0"/>
    <n v="0"/>
    <n v="0"/>
    <n v="0"/>
    <n v="0"/>
    <x v="0"/>
    <n v="0"/>
    <n v="0"/>
    <n v="0"/>
    <s v="MMR001CMP086"/>
    <x v="0"/>
    <x v="2"/>
    <x v="4"/>
    <s v=""/>
    <s v="No"/>
    <m/>
  </r>
  <r>
    <n v="45"/>
    <d v="2013-02-20T00:00:00"/>
    <x v="1"/>
    <s v="UNHCR"/>
    <s v="Kachin"/>
    <s v="Hpakant"/>
    <s v="Lisu Baptist Church, Maw Wan Ward"/>
    <m/>
    <m/>
    <n v="12"/>
    <n v="20"/>
    <n v="8"/>
    <n v="20"/>
    <n v="8"/>
    <n v="8"/>
    <n v="8"/>
    <n v="8"/>
    <m/>
    <m/>
    <m/>
    <m/>
    <m/>
    <m/>
    <m/>
    <n v="0"/>
    <n v="0"/>
    <n v="0"/>
    <n v="0"/>
    <n v="0"/>
    <n v="0"/>
    <n v="0"/>
    <n v="0"/>
    <n v="0"/>
    <n v="0"/>
    <n v="0"/>
    <n v="0"/>
    <n v="0"/>
    <n v="0"/>
    <x v="0"/>
    <n v="0"/>
    <n v="0"/>
    <n v="0"/>
    <s v="MMR001CMP167"/>
    <x v="0"/>
    <x v="0"/>
    <x v="0"/>
    <n v="0.53333333333333333"/>
    <s v="No"/>
    <m/>
  </r>
  <r>
    <n v="45"/>
    <d v="2013-02-20T00:00:00"/>
    <x v="1"/>
    <s v="UNHCR"/>
    <s v="Kachin"/>
    <s v="Hpakant"/>
    <s v="Mashi Kahtawng Baptist  Church"/>
    <m/>
    <m/>
    <n v="74"/>
    <n v="0"/>
    <n v="0"/>
    <n v="0"/>
    <n v="0"/>
    <n v="0"/>
    <m/>
    <m/>
    <m/>
    <m/>
    <m/>
    <m/>
    <m/>
    <m/>
    <m/>
    <n v="0"/>
    <n v="0"/>
    <n v="0"/>
    <n v="0"/>
    <n v="0"/>
    <n v="0"/>
    <n v="0"/>
    <n v="0"/>
    <n v="0"/>
    <n v="0"/>
    <n v="0"/>
    <n v="0"/>
    <n v="0"/>
    <n v="0"/>
    <x v="0"/>
    <n v="0"/>
    <n v="0"/>
    <n v="0"/>
    <s v="MMR001CMP094"/>
    <x v="0"/>
    <x v="2"/>
    <x v="4"/>
    <s v=""/>
    <s v="No"/>
    <m/>
  </r>
  <r>
    <n v="45"/>
    <d v="2013-02-20T00:00:00"/>
    <x v="1"/>
    <s v="UNHCR"/>
    <s v="Kachin"/>
    <s v="Hpakant"/>
    <s v="Mashi Kahtawng Catholic Church"/>
    <m/>
    <m/>
    <n v="16"/>
    <n v="26"/>
    <n v="13"/>
    <n v="26"/>
    <n v="13"/>
    <n v="13"/>
    <n v="13"/>
    <n v="13"/>
    <m/>
    <m/>
    <m/>
    <m/>
    <m/>
    <m/>
    <m/>
    <n v="0"/>
    <n v="0"/>
    <n v="0"/>
    <n v="0"/>
    <n v="0"/>
    <n v="0"/>
    <n v="0"/>
    <n v="0"/>
    <n v="0"/>
    <n v="0"/>
    <n v="0"/>
    <n v="0"/>
    <n v="0"/>
    <n v="0"/>
    <x v="0"/>
    <n v="0"/>
    <n v="0"/>
    <n v="0"/>
    <s v="MMR001CMP093"/>
    <x v="0"/>
    <x v="2"/>
    <x v="4"/>
    <s v=""/>
    <s v="No"/>
    <m/>
  </r>
  <r>
    <n v="45"/>
    <d v="2013-02-20T00:00:00"/>
    <x v="1"/>
    <s v="UNHCR"/>
    <s v="Kachin"/>
    <s v="Hpakant"/>
    <s v="Maw Wan, Kachin Baptist Church"/>
    <m/>
    <m/>
    <n v="85"/>
    <n v="138"/>
    <n v="65"/>
    <n v="138"/>
    <n v="65"/>
    <n v="65"/>
    <n v="65"/>
    <n v="65"/>
    <m/>
    <m/>
    <m/>
    <m/>
    <m/>
    <m/>
    <m/>
    <n v="0"/>
    <n v="0"/>
    <n v="0"/>
    <n v="0"/>
    <n v="0"/>
    <n v="0"/>
    <n v="0"/>
    <n v="0"/>
    <n v="0"/>
    <n v="0"/>
    <n v="0"/>
    <n v="0"/>
    <n v="0"/>
    <n v="0"/>
    <x v="0"/>
    <n v="0"/>
    <n v="0"/>
    <n v="0"/>
    <s v="MMR001CMP085"/>
    <x v="0"/>
    <x v="2"/>
    <x v="4"/>
    <s v=""/>
    <s v="No"/>
    <m/>
  </r>
  <r>
    <n v="45"/>
    <d v="2013-02-20T00:00:00"/>
    <x v="1"/>
    <s v="UNHCR"/>
    <s v="Kachin"/>
    <s v="Hpakant"/>
    <s v="Nant Ma Hpit Catholic Church"/>
    <m/>
    <m/>
    <n v="35"/>
    <n v="0"/>
    <n v="0"/>
    <n v="0"/>
    <n v="0"/>
    <n v="0"/>
    <m/>
    <m/>
    <m/>
    <m/>
    <m/>
    <m/>
    <m/>
    <m/>
    <m/>
    <n v="0"/>
    <n v="0"/>
    <n v="0"/>
    <n v="0"/>
    <n v="0"/>
    <n v="0"/>
    <n v="0"/>
    <n v="0"/>
    <n v="0"/>
    <n v="0"/>
    <n v="0"/>
    <n v="0"/>
    <n v="0"/>
    <n v="0"/>
    <x v="0"/>
    <n v="0"/>
    <n v="0"/>
    <n v="0"/>
    <s v="MMR001CMP103"/>
    <x v="0"/>
    <x v="0"/>
    <x v="0"/>
    <n v="0"/>
    <s v="No"/>
    <m/>
  </r>
  <r>
    <n v="45"/>
    <d v="2013-02-20T00:00:00"/>
    <x v="1"/>
    <s v="UNHCR"/>
    <s v="Kachin"/>
    <s v="Hpakant"/>
    <s v="Nant Ma Hpit Catholic Church"/>
    <m/>
    <m/>
    <n v="32"/>
    <n v="64"/>
    <n v="33"/>
    <n v="64"/>
    <n v="33"/>
    <n v="33"/>
    <n v="33"/>
    <n v="33"/>
    <m/>
    <m/>
    <m/>
    <m/>
    <m/>
    <m/>
    <m/>
    <n v="0"/>
    <n v="0"/>
    <n v="0"/>
    <n v="0"/>
    <n v="0"/>
    <n v="0"/>
    <n v="0"/>
    <n v="0"/>
    <n v="0"/>
    <n v="0"/>
    <n v="0"/>
    <n v="0"/>
    <n v="0"/>
    <n v="0"/>
    <x v="0"/>
    <n v="0"/>
    <n v="0"/>
    <n v="0"/>
    <s v="MMR001CMP103"/>
    <x v="0"/>
    <x v="0"/>
    <x v="0"/>
    <n v="0.6470588235294118"/>
    <s v="No"/>
    <m/>
  </r>
  <r>
    <n v="45"/>
    <d v="2013-02-20T00:00:00"/>
    <x v="1"/>
    <s v="UNHCR"/>
    <s v="Kachin"/>
    <s v="Hpakant"/>
    <s v="Nga Pyaw Taw Baptist Nursery School "/>
    <m/>
    <m/>
    <n v="175"/>
    <n v="0"/>
    <n v="0"/>
    <n v="0"/>
    <n v="0"/>
    <n v="0"/>
    <m/>
    <m/>
    <m/>
    <m/>
    <m/>
    <m/>
    <m/>
    <m/>
    <m/>
    <n v="0"/>
    <n v="0"/>
    <n v="0"/>
    <n v="0"/>
    <n v="0"/>
    <n v="0"/>
    <n v="0"/>
    <n v="0"/>
    <n v="0"/>
    <n v="0"/>
    <n v="0"/>
    <n v="0"/>
    <n v="0"/>
    <n v="0"/>
    <x v="0"/>
    <n v="0"/>
    <n v="0"/>
    <n v="0"/>
    <s v="MMR001CMP082"/>
    <x v="0"/>
    <x v="2"/>
    <x v="4"/>
    <s v=""/>
    <s v="No"/>
    <m/>
  </r>
  <r>
    <n v="45"/>
    <d v="2013-02-20T00:00:00"/>
    <x v="1"/>
    <s v="UNHCR"/>
    <s v="Kachin"/>
    <s v="Hpakant"/>
    <s v="Nga Pyaw Taw Roman Catholic Church"/>
    <m/>
    <m/>
    <n v="38"/>
    <n v="89"/>
    <n v="44"/>
    <n v="89"/>
    <n v="44"/>
    <n v="44"/>
    <n v="44"/>
    <n v="44"/>
    <m/>
    <m/>
    <m/>
    <m/>
    <m/>
    <m/>
    <m/>
    <n v="0"/>
    <n v="0"/>
    <n v="0"/>
    <n v="0"/>
    <n v="0"/>
    <n v="0"/>
    <n v="0"/>
    <n v="0"/>
    <n v="0"/>
    <n v="0"/>
    <n v="0"/>
    <n v="0"/>
    <n v="0"/>
    <n v="0"/>
    <x v="0"/>
    <n v="0"/>
    <n v="0"/>
    <n v="0"/>
    <s v="MMR001CMP083"/>
    <x v="0"/>
    <x v="2"/>
    <x v="4"/>
    <s v=""/>
    <s v="No"/>
    <m/>
  </r>
  <r>
    <n v="45"/>
    <d v="2013-02-20T00:00:00"/>
    <x v="1"/>
    <s v="UNHCR"/>
    <s v="Kachin"/>
    <s v="Hpakant"/>
    <s v="Yumar Baptist Church"/>
    <m/>
    <m/>
    <n v="46"/>
    <n v="0"/>
    <n v="0"/>
    <n v="0"/>
    <n v="0"/>
    <n v="0"/>
    <m/>
    <m/>
    <m/>
    <m/>
    <m/>
    <m/>
    <m/>
    <m/>
    <m/>
    <n v="0"/>
    <n v="0"/>
    <n v="0"/>
    <n v="0"/>
    <n v="0"/>
    <n v="0"/>
    <n v="0"/>
    <n v="0"/>
    <n v="0"/>
    <n v="0"/>
    <n v="0"/>
    <n v="0"/>
    <n v="0"/>
    <n v="0"/>
    <x v="0"/>
    <n v="0"/>
    <n v="0"/>
    <n v="0"/>
    <s v="MMR001CMP105"/>
    <x v="0"/>
    <x v="0"/>
    <x v="0"/>
    <n v="0"/>
    <s v="No"/>
    <m/>
  </r>
  <r>
    <n v="45"/>
    <d v="2013-02-20T00:00:00"/>
    <x v="1"/>
    <s v="UNHCR"/>
    <s v="Kachin"/>
    <s v="Hpakant"/>
    <s v="Zomee Baptist Church camp, Hmaw Wan"/>
    <m/>
    <m/>
    <m/>
    <n v="11"/>
    <n v="6"/>
    <n v="0"/>
    <n v="6"/>
    <n v="6"/>
    <n v="6"/>
    <n v="6"/>
    <m/>
    <m/>
    <m/>
    <m/>
    <m/>
    <m/>
    <m/>
    <n v="0"/>
    <n v="0"/>
    <n v="0"/>
    <n v="0"/>
    <n v="0"/>
    <n v="0"/>
    <n v="0"/>
    <n v="0"/>
    <n v="0"/>
    <n v="0"/>
    <n v="0"/>
    <n v="0"/>
    <n v="0"/>
    <n v="0"/>
    <x v="0"/>
    <n v="0"/>
    <n v="0"/>
    <n v="0"/>
    <s v="MMR001CMP201"/>
    <x v="0"/>
    <x v="2"/>
    <x v="4"/>
    <s v=""/>
    <s v="No"/>
    <m/>
  </r>
  <r>
    <n v="45.033333333333331"/>
    <d v="2013-02-19T00:00:00"/>
    <x v="1"/>
    <s v="UNHCR"/>
    <s v="Kachin"/>
    <s v="Hpakant"/>
    <s v="1 Ward, Sein Yadanar Company(Lon Khin)"/>
    <m/>
    <m/>
    <n v="3"/>
    <n v="7"/>
    <n v="4"/>
    <n v="7"/>
    <n v="4"/>
    <n v="4"/>
    <n v="4"/>
    <n v="4"/>
    <m/>
    <m/>
    <m/>
    <m/>
    <m/>
    <m/>
    <m/>
    <n v="0"/>
    <n v="0"/>
    <n v="0"/>
    <n v="0"/>
    <n v="0"/>
    <n v="0"/>
    <n v="0"/>
    <n v="0"/>
    <n v="0"/>
    <n v="0"/>
    <n v="0"/>
    <n v="0"/>
    <n v="0"/>
    <n v="0"/>
    <x v="0"/>
    <n v="0"/>
    <n v="0"/>
    <n v="0"/>
    <s v="MMR001CMP171"/>
    <x v="0"/>
    <x v="2"/>
    <x v="4"/>
    <s v=""/>
    <s v="No"/>
    <m/>
  </r>
  <r>
    <n v="45.033333333333331"/>
    <d v="2013-02-19T00:00:00"/>
    <x v="1"/>
    <s v="UNHCR"/>
    <s v="Kachin"/>
    <s v="Hpakant"/>
    <s v="5 Ward Baptist Church(lon Khin)"/>
    <m/>
    <m/>
    <n v="18"/>
    <n v="30"/>
    <n v="17"/>
    <n v="64"/>
    <n v="17"/>
    <n v="17"/>
    <n v="17"/>
    <n v="17"/>
    <m/>
    <m/>
    <m/>
    <m/>
    <m/>
    <m/>
    <m/>
    <n v="0"/>
    <n v="0"/>
    <n v="0"/>
    <n v="0"/>
    <n v="0"/>
    <n v="0"/>
    <n v="0"/>
    <n v="0"/>
    <n v="0"/>
    <n v="0"/>
    <n v="0"/>
    <n v="0"/>
    <n v="0"/>
    <n v="0"/>
    <x v="0"/>
    <n v="0"/>
    <n v="0"/>
    <n v="0"/>
    <s v="MMR001CMP179"/>
    <x v="0"/>
    <x v="0"/>
    <x v="0"/>
    <n v="0.2537313432835821"/>
    <s v="No"/>
    <m/>
  </r>
  <r>
    <n v="45.033333333333331"/>
    <d v="2013-02-19T00:00:00"/>
    <x v="1"/>
    <s v="UNHCR"/>
    <s v="Kachin"/>
    <s v="Hpakant"/>
    <s v="Anglican Church, Hmaw Si Sar"/>
    <m/>
    <m/>
    <n v="1"/>
    <n v="6"/>
    <n v="3"/>
    <n v="15"/>
    <n v="4"/>
    <n v="4"/>
    <n v="4"/>
    <n v="4"/>
    <m/>
    <m/>
    <m/>
    <m/>
    <m/>
    <m/>
    <m/>
    <n v="0"/>
    <n v="0"/>
    <n v="0"/>
    <n v="0"/>
    <n v="0"/>
    <n v="0"/>
    <n v="0"/>
    <n v="0"/>
    <n v="0"/>
    <n v="0"/>
    <n v="0"/>
    <n v="0"/>
    <n v="0"/>
    <n v="0"/>
    <x v="0"/>
    <n v="0"/>
    <n v="0"/>
    <n v="0"/>
    <s v="MMR001CMP173"/>
    <x v="0"/>
    <x v="2"/>
    <x v="4"/>
    <s v=""/>
    <s v="No"/>
    <m/>
  </r>
  <r>
    <n v="45.033333333333331"/>
    <d v="2013-02-19T00:00:00"/>
    <x v="1"/>
    <s v="UNHCR"/>
    <s v="Kachin"/>
    <s v="Hpakant"/>
    <s v="Anglican Church, Hmaw Si Sar"/>
    <m/>
    <m/>
    <n v="92"/>
    <n v="130"/>
    <n v="67"/>
    <n v="130"/>
    <n v="67"/>
    <n v="67"/>
    <n v="67"/>
    <n v="67"/>
    <m/>
    <m/>
    <m/>
    <m/>
    <m/>
    <m/>
    <m/>
    <n v="0"/>
    <n v="0"/>
    <n v="0"/>
    <n v="0"/>
    <n v="0"/>
    <n v="0"/>
    <n v="0"/>
    <n v="0"/>
    <n v="0"/>
    <n v="0"/>
    <n v="0"/>
    <n v="0"/>
    <n v="0"/>
    <n v="0"/>
    <x v="0"/>
    <n v="0"/>
    <n v="0"/>
    <n v="0"/>
    <s v="MMR001CMP173"/>
    <x v="0"/>
    <x v="2"/>
    <x v="4"/>
    <s v=""/>
    <s v="No"/>
    <m/>
  </r>
  <r>
    <n v="45.033333333333331"/>
    <d v="2013-02-19T00:00:00"/>
    <x v="1"/>
    <s v="UNHCR"/>
    <s v="Kachin"/>
    <s v="Hpakant"/>
    <s v="Away Yar Rama Monastery, Ka Day village"/>
    <m/>
    <m/>
    <n v="8"/>
    <n v="16"/>
    <n v="8"/>
    <n v="16"/>
    <n v="8"/>
    <n v="8"/>
    <n v="8"/>
    <n v="8"/>
    <m/>
    <m/>
    <m/>
    <m/>
    <m/>
    <m/>
    <m/>
    <n v="0"/>
    <n v="0"/>
    <n v="0"/>
    <n v="0"/>
    <n v="0"/>
    <n v="0"/>
    <n v="0"/>
    <n v="0"/>
    <n v="0"/>
    <n v="0"/>
    <n v="0"/>
    <n v="0"/>
    <n v="0"/>
    <n v="0"/>
    <x v="0"/>
    <n v="0"/>
    <n v="0"/>
    <n v="0"/>
    <s v="MMR001CMP170"/>
    <x v="0"/>
    <x v="2"/>
    <x v="4"/>
    <s v=""/>
    <s v="No"/>
    <m/>
  </r>
  <r>
    <n v="45.033333333333331"/>
    <d v="2013-02-19T00:00:00"/>
    <x v="1"/>
    <s v="UNHCR"/>
    <s v="Kachin"/>
    <s v="Hpakant"/>
    <s v="Dhama Rakhita, Nyein Chan Tar Yar Ward(Lon Khin)"/>
    <m/>
    <m/>
    <n v="74"/>
    <n v="105"/>
    <n v="59"/>
    <n v="105"/>
    <n v="59"/>
    <n v="59"/>
    <n v="59"/>
    <n v="59"/>
    <m/>
    <m/>
    <m/>
    <m/>
    <m/>
    <m/>
    <m/>
    <n v="0"/>
    <n v="0"/>
    <n v="0"/>
    <n v="0"/>
    <n v="0"/>
    <n v="0"/>
    <n v="0"/>
    <n v="0"/>
    <n v="0"/>
    <n v="0"/>
    <n v="0"/>
    <n v="0"/>
    <n v="0"/>
    <n v="0"/>
    <x v="0"/>
    <n v="0"/>
    <n v="0"/>
    <n v="0"/>
    <s v="MMR001CMP174"/>
    <x v="0"/>
    <x v="0"/>
    <x v="0"/>
    <n v="0.89393939393939392"/>
    <s v="No"/>
    <m/>
  </r>
  <r>
    <n v="45.033333333333331"/>
    <d v="2013-02-19T00:00:00"/>
    <x v="1"/>
    <s v="UNHCR"/>
    <s v="Kachin"/>
    <s v="Hpakant"/>
    <s v="May Di Ka Rama Monastery(Lon Khin)"/>
    <m/>
    <m/>
    <n v="9"/>
    <n v="21"/>
    <n v="9"/>
    <n v="21"/>
    <n v="9"/>
    <n v="9"/>
    <n v="9"/>
    <n v="9"/>
    <m/>
    <m/>
    <m/>
    <m/>
    <m/>
    <m/>
    <m/>
    <n v="0"/>
    <n v="0"/>
    <n v="0"/>
    <n v="0"/>
    <n v="0"/>
    <n v="0"/>
    <n v="0"/>
    <n v="0"/>
    <n v="0"/>
    <n v="0"/>
    <n v="0"/>
    <n v="0"/>
    <n v="0"/>
    <n v="0"/>
    <x v="0"/>
    <n v="0"/>
    <n v="0"/>
    <n v="0"/>
    <s v="MMR001CMP178"/>
    <x v="0"/>
    <x v="2"/>
    <x v="4"/>
    <s v=""/>
    <s v="No"/>
    <m/>
  </r>
  <r>
    <n v="45.033333333333331"/>
    <d v="2013-02-19T00:00:00"/>
    <x v="1"/>
    <s v="UNHCR"/>
    <s v="Kachin"/>
    <s v="Hpakant"/>
    <s v="Nam Ma Phyit, COC"/>
    <m/>
    <m/>
    <n v="19"/>
    <n v="30"/>
    <n v="18"/>
    <n v="68"/>
    <n v="18"/>
    <n v="18"/>
    <n v="18"/>
    <n v="18"/>
    <m/>
    <m/>
    <m/>
    <m/>
    <m/>
    <m/>
    <m/>
    <n v="0"/>
    <n v="0"/>
    <n v="0"/>
    <n v="0"/>
    <n v="0"/>
    <n v="0"/>
    <n v="0"/>
    <n v="0"/>
    <n v="0"/>
    <n v="0"/>
    <n v="0"/>
    <n v="0"/>
    <n v="0"/>
    <n v="0"/>
    <x v="0"/>
    <n v="0"/>
    <n v="0"/>
    <n v="0"/>
    <s v="MMR001CMP192"/>
    <x v="0"/>
    <x v="0"/>
    <x v="0"/>
    <n v="1.5"/>
    <s v="No"/>
    <m/>
  </r>
  <r>
    <n v="45.033333333333331"/>
    <d v="2013-02-19T00:00:00"/>
    <x v="1"/>
    <s v="UNHCR"/>
    <s v="Kachin"/>
    <s v="Hpakant"/>
    <s v="Wrad(5) Christian Association"/>
    <m/>
    <m/>
    <n v="2"/>
    <n v="3"/>
    <n v="2"/>
    <n v="7"/>
    <n v="2"/>
    <n v="2"/>
    <n v="2"/>
    <n v="2"/>
    <m/>
    <m/>
    <m/>
    <m/>
    <m/>
    <m/>
    <m/>
    <n v="0"/>
    <n v="0"/>
    <n v="0"/>
    <n v="0"/>
    <n v="0"/>
    <n v="0"/>
    <n v="0"/>
    <n v="0"/>
    <n v="0"/>
    <n v="0"/>
    <n v="0"/>
    <n v="0"/>
    <n v="0"/>
    <n v="0"/>
    <x v="0"/>
    <n v="0"/>
    <n v="0"/>
    <n v="0"/>
    <s v="MMR001CMP175"/>
    <x v="0"/>
    <x v="2"/>
    <x v="4"/>
    <s v=""/>
    <s v="No"/>
    <m/>
  </r>
  <r>
    <n v="45.06666666666667"/>
    <d v="2013-02-18T00:00:00"/>
    <x v="1"/>
    <s v="UNHCR"/>
    <s v="Kachin"/>
    <s v="Hpakant"/>
    <s v="Hlaing Naung Baptist"/>
    <m/>
    <m/>
    <n v="30"/>
    <n v="0"/>
    <n v="0"/>
    <n v="0"/>
    <n v="0"/>
    <n v="0"/>
    <m/>
    <m/>
    <m/>
    <m/>
    <m/>
    <m/>
    <m/>
    <m/>
    <m/>
    <n v="0"/>
    <n v="0"/>
    <n v="0"/>
    <n v="0"/>
    <n v="0"/>
    <n v="0"/>
    <n v="0"/>
    <n v="0"/>
    <n v="0"/>
    <n v="0"/>
    <n v="0"/>
    <n v="0"/>
    <n v="0"/>
    <n v="0"/>
    <x v="0"/>
    <n v="0"/>
    <n v="0"/>
    <n v="0"/>
    <s v="MMR001CMP148"/>
    <x v="0"/>
    <x v="0"/>
    <x v="0"/>
    <n v="0"/>
    <s v="No"/>
    <m/>
  </r>
  <r>
    <n v="45.06666666666667"/>
    <d v="2013-02-18T00:00:00"/>
    <x v="1"/>
    <s v="KBC"/>
    <s v="Shan_North"/>
    <s v="Kutkai"/>
    <s v="Kutkai downtown (KBC Church)"/>
    <m/>
    <m/>
    <n v="120"/>
    <n v="120"/>
    <n v="60"/>
    <n v="120"/>
    <n v="60"/>
    <n v="60"/>
    <n v="60"/>
    <n v="60"/>
    <m/>
    <m/>
    <m/>
    <m/>
    <m/>
    <m/>
    <m/>
    <n v="0"/>
    <n v="0"/>
    <n v="0"/>
    <n v="0"/>
    <n v="0"/>
    <n v="0"/>
    <n v="0"/>
    <n v="0"/>
    <n v="0"/>
    <n v="0"/>
    <n v="0"/>
    <n v="0"/>
    <n v="0"/>
    <n v="0"/>
    <x v="0"/>
    <n v="0"/>
    <n v="0"/>
    <n v="0"/>
    <s v="MMR015CMP016"/>
    <x v="0"/>
    <x v="0"/>
    <x v="1"/>
    <n v="0.98360655737704916"/>
    <s v="No"/>
    <m/>
  </r>
  <r>
    <n v="45.06666666666667"/>
    <d v="2013-02-18T00:00:00"/>
    <x v="1"/>
    <s v="KBC"/>
    <s v="Kachin"/>
    <s v="Mansi"/>
    <s v="Man Wing Baptist Church"/>
    <m/>
    <m/>
    <n v="221"/>
    <n v="221"/>
    <n v="110"/>
    <n v="221"/>
    <n v="110"/>
    <n v="110"/>
    <n v="110"/>
    <n v="110"/>
    <m/>
    <m/>
    <m/>
    <m/>
    <m/>
    <m/>
    <m/>
    <n v="0"/>
    <n v="0"/>
    <n v="0"/>
    <n v="0"/>
    <n v="0"/>
    <n v="0"/>
    <n v="0"/>
    <n v="0"/>
    <n v="0"/>
    <n v="0"/>
    <n v="0"/>
    <n v="0"/>
    <n v="0"/>
    <n v="0"/>
    <x v="0"/>
    <n v="0"/>
    <n v="0"/>
    <n v="0"/>
    <s v="MMR001CMP133"/>
    <x v="0"/>
    <x v="0"/>
    <x v="0"/>
    <n v="1.02803738317757"/>
    <s v="No"/>
    <m/>
  </r>
  <r>
    <n v="45.06666666666667"/>
    <d v="2013-02-18T00:00:00"/>
    <x v="1"/>
    <s v="KBC"/>
    <s v="Shan_North"/>
    <s v="Manton"/>
    <s v="Mandung - Jinghpaw"/>
    <m/>
    <m/>
    <n v="57"/>
    <n v="57"/>
    <n v="29"/>
    <n v="57"/>
    <n v="29"/>
    <n v="29"/>
    <n v="29"/>
    <n v="29"/>
    <m/>
    <m/>
    <m/>
    <m/>
    <m/>
    <m/>
    <m/>
    <n v="0"/>
    <n v="0"/>
    <n v="0"/>
    <n v="0"/>
    <n v="0"/>
    <n v="0"/>
    <n v="0"/>
    <n v="0"/>
    <n v="0"/>
    <n v="0"/>
    <n v="0"/>
    <n v="0"/>
    <n v="0"/>
    <n v="0"/>
    <x v="0"/>
    <n v="0"/>
    <n v="0"/>
    <n v="0"/>
    <s v="MMR015CMP009"/>
    <x v="0"/>
    <x v="0"/>
    <x v="6"/>
    <n v="0.80555555555555558"/>
    <s v="No"/>
    <m/>
  </r>
  <r>
    <n v="45.06666666666667"/>
    <d v="2013-02-18T00:00:00"/>
    <x v="1"/>
    <s v="KBC"/>
    <s v="Shan_North"/>
    <s v="Muse"/>
    <s v="Munekoe Pa (Giwang) - Hka San (Mung  Go  Pa ) "/>
    <m/>
    <m/>
    <n v="60"/>
    <n v="60"/>
    <n v="30"/>
    <n v="60"/>
    <n v="30"/>
    <n v="30"/>
    <n v="30"/>
    <n v="30"/>
    <m/>
    <m/>
    <m/>
    <m/>
    <m/>
    <m/>
    <m/>
    <n v="0"/>
    <n v="0"/>
    <n v="0"/>
    <n v="0"/>
    <n v="0"/>
    <n v="0"/>
    <n v="0"/>
    <n v="0"/>
    <n v="0"/>
    <n v="0"/>
    <n v="0"/>
    <n v="0"/>
    <n v="0"/>
    <n v="0"/>
    <x v="0"/>
    <n v="0"/>
    <n v="0"/>
    <n v="0"/>
    <s v="MMR015CMP012"/>
    <x v="0"/>
    <x v="2"/>
    <x v="5"/>
    <s v=""/>
    <s v="No"/>
    <m/>
  </r>
  <r>
    <n v="45.06666666666667"/>
    <d v="2013-02-18T00:00:00"/>
    <x v="1"/>
    <s v="KBC"/>
    <s v="Shan_North"/>
    <s v="Kutkai"/>
    <s v="Mungji Pa Dabang (Baptist Church)         "/>
    <m/>
    <m/>
    <n v="93"/>
    <n v="93"/>
    <n v="46"/>
    <n v="93"/>
    <n v="46"/>
    <n v="46"/>
    <n v="46"/>
    <n v="46"/>
    <m/>
    <m/>
    <m/>
    <m/>
    <m/>
    <m/>
    <m/>
    <n v="0"/>
    <n v="0"/>
    <n v="0"/>
    <n v="0"/>
    <n v="0"/>
    <n v="0"/>
    <n v="0"/>
    <n v="0"/>
    <n v="0"/>
    <n v="0"/>
    <n v="0"/>
    <n v="0"/>
    <n v="0"/>
    <n v="0"/>
    <x v="0"/>
    <n v="0"/>
    <n v="0"/>
    <n v="0"/>
    <s v="MMR015CMP006"/>
    <x v="0"/>
    <x v="0"/>
    <x v="5"/>
    <n v="0.93877551020408168"/>
    <s v="No"/>
    <m/>
  </r>
  <r>
    <n v="45.06666666666667"/>
    <d v="2013-02-18T00:00:00"/>
    <x v="1"/>
    <s v="KBC"/>
    <s v="Shan_North"/>
    <s v="Namhkan"/>
    <s v="Nam Hkam - Nay Win Ni (Palawng)"/>
    <m/>
    <m/>
    <n v="118"/>
    <n v="118"/>
    <n v="59"/>
    <n v="118"/>
    <n v="59"/>
    <n v="59"/>
    <n v="59"/>
    <n v="59"/>
    <m/>
    <m/>
    <m/>
    <m/>
    <m/>
    <m/>
    <m/>
    <n v="0"/>
    <n v="0"/>
    <n v="0"/>
    <n v="0"/>
    <n v="0"/>
    <n v="0"/>
    <n v="0"/>
    <n v="0"/>
    <n v="0"/>
    <n v="0"/>
    <n v="0"/>
    <n v="0"/>
    <n v="0"/>
    <n v="0"/>
    <x v="0"/>
    <n v="0"/>
    <n v="0"/>
    <n v="0"/>
    <s v="MMR015CMP004"/>
    <x v="0"/>
    <x v="0"/>
    <x v="1"/>
    <n v="0.78666666666666663"/>
    <s v="No"/>
    <m/>
  </r>
  <r>
    <n v="45.06666666666667"/>
    <d v="2013-02-18T00:00:00"/>
    <x v="1"/>
    <s v="KBC"/>
    <s v="Shan_North"/>
    <s v="Namhkan"/>
    <s v="Nam Hkam (KBC Jaw Wang)"/>
    <m/>
    <m/>
    <n v="139"/>
    <n v="139"/>
    <n v="70"/>
    <n v="139"/>
    <n v="70"/>
    <n v="70"/>
    <n v="70"/>
    <n v="70"/>
    <m/>
    <m/>
    <m/>
    <m/>
    <m/>
    <m/>
    <m/>
    <n v="0"/>
    <n v="0"/>
    <n v="0"/>
    <n v="0"/>
    <n v="0"/>
    <n v="0"/>
    <n v="0"/>
    <n v="0"/>
    <n v="0"/>
    <n v="0"/>
    <n v="0"/>
    <n v="0"/>
    <n v="0"/>
    <n v="0"/>
    <x v="0"/>
    <n v="0"/>
    <n v="0"/>
    <n v="0"/>
    <s v="MMR015CMP001"/>
    <x v="0"/>
    <x v="0"/>
    <x v="1"/>
    <n v="1.0144927536231885"/>
    <s v="No"/>
    <m/>
  </r>
  <r>
    <n v="45.06666666666667"/>
    <d v="2013-02-18T00:00:00"/>
    <x v="1"/>
    <s v="KBC"/>
    <s v="Shan_North"/>
    <s v="Namhkan"/>
    <s v="Nam Hkawng"/>
    <m/>
    <m/>
    <n v="16"/>
    <n v="16"/>
    <n v="8"/>
    <n v="16"/>
    <n v="8"/>
    <n v="8"/>
    <n v="8"/>
    <n v="8"/>
    <m/>
    <m/>
    <m/>
    <m/>
    <m/>
    <m/>
    <m/>
    <n v="0"/>
    <n v="0"/>
    <n v="0"/>
    <n v="0"/>
    <n v="0"/>
    <n v="0"/>
    <n v="0"/>
    <n v="0"/>
    <n v="0"/>
    <n v="0"/>
    <n v="0"/>
    <n v="0"/>
    <n v="0"/>
    <n v="0"/>
    <x v="0"/>
    <n v="0"/>
    <n v="0"/>
    <n v="0"/>
    <s v="MMR015CMP139"/>
    <x v="0"/>
    <x v="2"/>
    <x v="6"/>
    <s v=""/>
    <s v="No"/>
    <m/>
  </r>
  <r>
    <n v="45.06666666666667"/>
    <d v="2013-02-18T00:00:00"/>
    <x v="1"/>
    <s v="KBC"/>
    <s v="Shan_North"/>
    <s v="Kutkai"/>
    <s v="Nam Hpak Ka Mare "/>
    <m/>
    <m/>
    <n v="86"/>
    <n v="86"/>
    <n v="43"/>
    <n v="86"/>
    <n v="43"/>
    <n v="43"/>
    <n v="43"/>
    <n v="43"/>
    <m/>
    <m/>
    <m/>
    <m/>
    <m/>
    <m/>
    <m/>
    <n v="0"/>
    <n v="0"/>
    <n v="0"/>
    <n v="0"/>
    <n v="0"/>
    <n v="0"/>
    <n v="0"/>
    <n v="0"/>
    <n v="0"/>
    <n v="0"/>
    <n v="0"/>
    <n v="0"/>
    <n v="0"/>
    <n v="0"/>
    <x v="0"/>
    <n v="0"/>
    <n v="0"/>
    <n v="0"/>
    <s v="MMR015CMP007"/>
    <x v="0"/>
    <x v="0"/>
    <x v="1"/>
    <n v="0.671875"/>
    <s v="No"/>
    <m/>
  </r>
  <r>
    <n v="45.06666666666667"/>
    <d v="2013-02-18T00:00:00"/>
    <x v="1"/>
    <s v="KBC"/>
    <s v="Shan_North"/>
    <s v="Namtu"/>
    <s v="Nam Tu RC"/>
    <m/>
    <m/>
    <n v="90"/>
    <n v="90"/>
    <n v="45"/>
    <n v="90"/>
    <n v="45"/>
    <n v="45"/>
    <n v="45"/>
    <n v="45"/>
    <m/>
    <m/>
    <m/>
    <m/>
    <m/>
    <m/>
    <m/>
    <n v="0"/>
    <n v="0"/>
    <n v="0"/>
    <n v="0"/>
    <n v="0"/>
    <n v="0"/>
    <n v="0"/>
    <n v="0"/>
    <n v="0"/>
    <n v="0"/>
    <n v="0"/>
    <n v="0"/>
    <n v="0"/>
    <n v="0"/>
    <x v="0"/>
    <n v="0"/>
    <n v="0"/>
    <n v="0"/>
    <s v="MMR015CMP210"/>
    <x v="0"/>
    <x v="0"/>
    <x v="1"/>
    <n v="0.38135593220338981"/>
    <s v="No"/>
    <m/>
  </r>
  <r>
    <n v="45.333333333333336"/>
    <d v="2013-02-10T00:00:00"/>
    <x v="10"/>
    <s v="MRCS"/>
    <s v="Kachin"/>
    <s v="Mohnyin"/>
    <s v="Nant Mun"/>
    <m/>
    <m/>
    <m/>
    <m/>
    <n v="36"/>
    <m/>
    <n v="22"/>
    <m/>
    <n v="0"/>
    <n v="0"/>
    <m/>
    <m/>
    <m/>
    <m/>
    <m/>
    <m/>
    <m/>
    <n v="0"/>
    <n v="0"/>
    <n v="0"/>
    <n v="0"/>
    <n v="0"/>
    <n v="0"/>
    <n v="0"/>
    <n v="0"/>
    <n v="0"/>
    <n v="0"/>
    <n v="0"/>
    <n v="0"/>
    <n v="0"/>
    <n v="0"/>
    <x v="0"/>
    <n v="0"/>
    <n v="0"/>
    <n v="0"/>
    <s v="MMR001CMP081"/>
    <x v="0"/>
    <x v="2"/>
    <x v="0"/>
    <s v=""/>
    <s v="No"/>
    <m/>
  </r>
  <r>
    <n v="45.333333333333336"/>
    <d v="2013-02-10T00:00:00"/>
    <x v="10"/>
    <s v="MRCS"/>
    <s v="Kachin"/>
    <s v="Mohnyin"/>
    <s v="St. Patrick Catholic Church "/>
    <m/>
    <m/>
    <m/>
    <m/>
    <n v="20"/>
    <m/>
    <n v="12"/>
    <m/>
    <n v="0"/>
    <n v="0"/>
    <m/>
    <m/>
    <m/>
    <m/>
    <m/>
    <m/>
    <m/>
    <n v="0"/>
    <n v="0"/>
    <n v="0"/>
    <n v="0"/>
    <n v="0"/>
    <n v="0"/>
    <n v="0"/>
    <n v="0"/>
    <n v="0"/>
    <n v="0"/>
    <n v="0"/>
    <n v="0"/>
    <n v="0"/>
    <n v="0"/>
    <x v="0"/>
    <n v="0"/>
    <n v="0"/>
    <n v="0"/>
    <s v="MMR001CMP080"/>
    <x v="0"/>
    <x v="0"/>
    <x v="0"/>
    <n v="1"/>
    <s v="No"/>
    <m/>
  </r>
  <r>
    <n v="45.366666666666667"/>
    <d v="2013-02-09T00:00:00"/>
    <x v="10"/>
    <s v="MRCS"/>
    <s v="Kachin"/>
    <s v="Myitkyina"/>
    <s v="Jan Mai Kawng Baptist Church"/>
    <m/>
    <m/>
    <m/>
    <m/>
    <n v="177"/>
    <n v="10"/>
    <n v="10"/>
    <m/>
    <n v="0"/>
    <n v="0"/>
    <m/>
    <m/>
    <m/>
    <m/>
    <m/>
    <m/>
    <m/>
    <n v="0"/>
    <n v="0"/>
    <n v="0"/>
    <n v="0"/>
    <n v="0"/>
    <n v="0"/>
    <n v="0"/>
    <n v="0"/>
    <n v="0"/>
    <n v="0"/>
    <n v="0"/>
    <n v="0"/>
    <n v="0"/>
    <n v="0"/>
    <x v="0"/>
    <n v="0"/>
    <n v="0"/>
    <n v="0"/>
    <s v="MMR001CMP018"/>
    <x v="0"/>
    <x v="0"/>
    <x v="0"/>
    <n v="5.0505050505050504E-2"/>
    <s v="No"/>
    <m/>
  </r>
  <r>
    <n v="45.366666666666667"/>
    <d v="2013-02-09T00:00:00"/>
    <x v="10"/>
    <s v="MRCS"/>
    <s v="Kachin"/>
    <s v="Myitkyina"/>
    <s v="Shatapru Sut Ngai Tawng"/>
    <m/>
    <m/>
    <m/>
    <m/>
    <n v="109"/>
    <n v="10"/>
    <n v="10"/>
    <m/>
    <n v="0"/>
    <n v="0"/>
    <m/>
    <m/>
    <m/>
    <m/>
    <m/>
    <m/>
    <m/>
    <n v="0"/>
    <n v="0"/>
    <n v="0"/>
    <n v="0"/>
    <n v="0"/>
    <n v="0"/>
    <n v="0"/>
    <n v="0"/>
    <n v="0"/>
    <n v="0"/>
    <n v="0"/>
    <n v="0"/>
    <n v="0"/>
    <n v="0"/>
    <x v="0"/>
    <n v="0"/>
    <n v="0"/>
    <n v="0"/>
    <s v="MMR001CMP006"/>
    <x v="0"/>
    <x v="0"/>
    <x v="0"/>
    <n v="0.11363636363636363"/>
    <s v="No"/>
    <m/>
  </r>
  <r>
    <n v="45.466666666666669"/>
    <d v="2013-02-06T00:00:00"/>
    <x v="1"/>
    <s v="UNHCR"/>
    <s v="Kachin"/>
    <s v="Waingmaw"/>
    <s v="Qtr. 2 Lhaovo Baptist Church"/>
    <m/>
    <m/>
    <n v="17"/>
    <n v="20"/>
    <n v="15"/>
    <n v="20"/>
    <n v="14"/>
    <n v="11"/>
    <n v="11"/>
    <n v="11"/>
    <m/>
    <m/>
    <m/>
    <m/>
    <m/>
    <m/>
    <m/>
    <n v="0"/>
    <n v="0"/>
    <n v="0"/>
    <n v="0"/>
    <n v="0"/>
    <n v="0"/>
    <n v="0"/>
    <n v="0"/>
    <n v="0"/>
    <n v="0"/>
    <n v="0"/>
    <n v="0"/>
    <n v="0"/>
    <n v="0"/>
    <x v="0"/>
    <n v="0"/>
    <n v="0"/>
    <n v="0"/>
    <s v="MMR001CMP032"/>
    <x v="0"/>
    <x v="0"/>
    <x v="0"/>
    <n v="0.15384615384615385"/>
    <s v="No"/>
    <m/>
  </r>
  <r>
    <n v="45.5"/>
    <d v="2013-02-05T00:00:00"/>
    <x v="10"/>
    <s v="MRCS"/>
    <s v="Kachin"/>
    <s v="Myitkyina"/>
    <s v="Jan Mai Kawng Baptist Church"/>
    <n v="22"/>
    <m/>
    <m/>
    <m/>
    <m/>
    <m/>
    <m/>
    <m/>
    <n v="0"/>
    <n v="0"/>
    <m/>
    <m/>
    <m/>
    <m/>
    <m/>
    <m/>
    <m/>
    <n v="0"/>
    <n v="0"/>
    <n v="0"/>
    <n v="0"/>
    <n v="0"/>
    <n v="0"/>
    <n v="0"/>
    <n v="0"/>
    <n v="0"/>
    <n v="0"/>
    <n v="0"/>
    <n v="0"/>
    <n v="0"/>
    <n v="0"/>
    <x v="0"/>
    <n v="0"/>
    <n v="0"/>
    <n v="0"/>
    <s v="MMR001CMP018"/>
    <x v="0"/>
    <x v="0"/>
    <x v="0"/>
    <n v="0"/>
    <s v="No"/>
    <m/>
  </r>
  <r>
    <n v="45.5"/>
    <d v="2013-02-05T00:00:00"/>
    <x v="1"/>
    <s v="UNHCR"/>
    <s v="Kachin"/>
    <s v="Waingmaw"/>
    <s v="Maina AG Church"/>
    <m/>
    <m/>
    <n v="37"/>
    <n v="70"/>
    <n v="34"/>
    <n v="70"/>
    <n v="34"/>
    <n v="34"/>
    <n v="34"/>
    <n v="34"/>
    <m/>
    <m/>
    <m/>
    <m/>
    <m/>
    <m/>
    <m/>
    <n v="0"/>
    <n v="0"/>
    <n v="0"/>
    <n v="0"/>
    <n v="0"/>
    <n v="0"/>
    <n v="0"/>
    <n v="0"/>
    <n v="0"/>
    <n v="0"/>
    <n v="0"/>
    <n v="0"/>
    <n v="0"/>
    <n v="0"/>
    <x v="0"/>
    <n v="0"/>
    <n v="0"/>
    <n v="0"/>
    <s v="MMR001CMP031"/>
    <x v="0"/>
    <x v="0"/>
    <x v="0"/>
    <n v="0.22818791946308725"/>
    <s v="No"/>
    <m/>
  </r>
  <r>
    <n v="45.5"/>
    <d v="2013-02-05T00:00:00"/>
    <x v="10"/>
    <s v="MRCS"/>
    <s v="Kachin"/>
    <s v="Waingmaw"/>
    <s v="Maina Catholic Church (St. Joseph)"/>
    <n v="46"/>
    <m/>
    <m/>
    <m/>
    <m/>
    <m/>
    <m/>
    <m/>
    <n v="0"/>
    <n v="0"/>
    <m/>
    <m/>
    <m/>
    <m/>
    <m/>
    <m/>
    <m/>
    <n v="0"/>
    <n v="0"/>
    <n v="0"/>
    <n v="0"/>
    <n v="0"/>
    <n v="0"/>
    <n v="0"/>
    <n v="0"/>
    <n v="0"/>
    <n v="0"/>
    <n v="0"/>
    <n v="0"/>
    <n v="0"/>
    <n v="0"/>
    <x v="0"/>
    <n v="0"/>
    <n v="0"/>
    <n v="0"/>
    <s v="MMR001CMP029"/>
    <x v="0"/>
    <x v="0"/>
    <x v="0"/>
    <n v="0"/>
    <s v="No"/>
    <m/>
  </r>
  <r>
    <n v="45.5"/>
    <d v="2013-02-05T00:00:00"/>
    <x v="1"/>
    <s v="UNHCR"/>
    <s v="Kachin"/>
    <s v="Myitkyina"/>
    <s v="Maw Hpawng Lhaovo Baptist Church"/>
    <m/>
    <m/>
    <n v="10"/>
    <n v="16"/>
    <n v="7"/>
    <n v="16"/>
    <n v="7"/>
    <n v="7"/>
    <n v="7"/>
    <n v="7"/>
    <m/>
    <m/>
    <m/>
    <m/>
    <m/>
    <m/>
    <m/>
    <n v="0"/>
    <n v="0"/>
    <n v="0"/>
    <n v="0"/>
    <n v="0"/>
    <n v="0"/>
    <n v="0"/>
    <n v="0"/>
    <n v="0"/>
    <n v="0"/>
    <n v="0"/>
    <n v="0"/>
    <n v="0"/>
    <n v="0"/>
    <x v="0"/>
    <n v="0"/>
    <n v="0"/>
    <n v="0"/>
    <s v="MMR001CMP021"/>
    <x v="0"/>
    <x v="0"/>
    <x v="0"/>
    <n v="0.5"/>
    <s v="No"/>
    <m/>
  </r>
  <r>
    <n v="45.5"/>
    <d v="2013-02-05T00:00:00"/>
    <x v="10"/>
    <s v="MRCS"/>
    <s v="Kachin"/>
    <s v="Waingmaw"/>
    <s v="Qtr. 4 Monestry (Thargaya Thayett Taw)"/>
    <n v="20"/>
    <m/>
    <m/>
    <m/>
    <m/>
    <m/>
    <m/>
    <m/>
    <n v="0"/>
    <n v="0"/>
    <m/>
    <m/>
    <m/>
    <m/>
    <m/>
    <m/>
    <m/>
    <n v="0"/>
    <n v="0"/>
    <n v="0"/>
    <n v="0"/>
    <n v="0"/>
    <n v="0"/>
    <n v="0"/>
    <n v="0"/>
    <n v="0"/>
    <n v="0"/>
    <n v="0"/>
    <n v="0"/>
    <n v="0"/>
    <n v="0"/>
    <x v="0"/>
    <n v="0"/>
    <n v="0"/>
    <n v="0"/>
    <s v="MMR001CMP026"/>
    <x v="0"/>
    <x v="0"/>
    <x v="0"/>
    <n v="0"/>
    <s v="No"/>
    <m/>
  </r>
  <r>
    <n v="45.5"/>
    <d v="2013-02-05T00:00:00"/>
    <x v="10"/>
    <s v="MRCS"/>
    <s v="Kachin"/>
    <s v="Myitkyina"/>
    <s v="Shatapru Sut Ngai Tawng"/>
    <n v="36"/>
    <m/>
    <m/>
    <m/>
    <m/>
    <m/>
    <m/>
    <m/>
    <n v="0"/>
    <n v="0"/>
    <m/>
    <m/>
    <m/>
    <m/>
    <m/>
    <m/>
    <m/>
    <n v="0"/>
    <n v="0"/>
    <n v="0"/>
    <n v="0"/>
    <n v="0"/>
    <n v="0"/>
    <n v="0"/>
    <n v="0"/>
    <n v="0"/>
    <n v="0"/>
    <n v="0"/>
    <n v="0"/>
    <n v="0"/>
    <n v="0"/>
    <x v="0"/>
    <n v="0"/>
    <n v="0"/>
    <n v="0"/>
    <s v="MMR001CMP006"/>
    <x v="0"/>
    <x v="0"/>
    <x v="0"/>
    <n v="0"/>
    <s v="No"/>
    <m/>
  </r>
  <r>
    <n v="45.533333333333331"/>
    <d v="2013-02-04T00:00:00"/>
    <x v="10"/>
    <s v="MRCS"/>
    <s v="Kachin"/>
    <s v="Hpakant"/>
    <s v="5 Ward Baptist Church(lon Khin)"/>
    <m/>
    <m/>
    <m/>
    <m/>
    <m/>
    <m/>
    <n v="162"/>
    <m/>
    <n v="0"/>
    <n v="0"/>
    <m/>
    <m/>
    <m/>
    <m/>
    <m/>
    <m/>
    <m/>
    <n v="0"/>
    <n v="0"/>
    <n v="0"/>
    <n v="0"/>
    <n v="0"/>
    <n v="0"/>
    <n v="0"/>
    <n v="0"/>
    <n v="0"/>
    <n v="0"/>
    <n v="0"/>
    <n v="0"/>
    <n v="0"/>
    <n v="0"/>
    <x v="0"/>
    <n v="0"/>
    <n v="0"/>
    <n v="0"/>
    <s v="MMR001CMP179"/>
    <x v="0"/>
    <x v="0"/>
    <x v="0"/>
    <n v="2.4179104477611939"/>
    <s v="No"/>
    <m/>
  </r>
  <r>
    <n v="45.533333333333331"/>
    <d v="2013-02-04T00:00:00"/>
    <x v="10"/>
    <s v="MRCS"/>
    <s v="Kachin"/>
    <s v="Hpakant"/>
    <s v="5 Ward RC Church(lon Khin)"/>
    <m/>
    <m/>
    <m/>
    <m/>
    <m/>
    <m/>
    <n v="117"/>
    <m/>
    <n v="0"/>
    <n v="0"/>
    <m/>
    <m/>
    <m/>
    <m/>
    <m/>
    <m/>
    <m/>
    <n v="0"/>
    <n v="0"/>
    <n v="0"/>
    <n v="0"/>
    <n v="0"/>
    <n v="0"/>
    <n v="0"/>
    <n v="0"/>
    <n v="0"/>
    <n v="0"/>
    <n v="0"/>
    <n v="0"/>
    <n v="0"/>
    <n v="0"/>
    <x v="0"/>
    <n v="0"/>
    <n v="0"/>
    <n v="0"/>
    <s v="MMR001CMP168"/>
    <x v="0"/>
    <x v="0"/>
    <x v="0"/>
    <n v="1.5194805194805194"/>
    <s v="No"/>
    <m/>
  </r>
  <r>
    <n v="45.533333333333331"/>
    <d v="2013-02-04T00:00:00"/>
    <x v="10"/>
    <s v="MRCS"/>
    <s v="Kachin"/>
    <s v="Hpakant"/>
    <s v="Baptist Church, Hmaw Si Sar(Lon Khin)"/>
    <m/>
    <m/>
    <m/>
    <m/>
    <m/>
    <m/>
    <n v="106"/>
    <m/>
    <n v="0"/>
    <n v="0"/>
    <m/>
    <m/>
    <m/>
    <m/>
    <m/>
    <m/>
    <m/>
    <n v="0"/>
    <n v="0"/>
    <n v="0"/>
    <n v="0"/>
    <n v="0"/>
    <n v="0"/>
    <n v="0"/>
    <n v="0"/>
    <n v="0"/>
    <n v="0"/>
    <n v="0"/>
    <n v="0"/>
    <n v="0"/>
    <n v="0"/>
    <x v="0"/>
    <n v="0"/>
    <n v="0"/>
    <n v="0"/>
    <s v="MMR001CMP169"/>
    <x v="0"/>
    <x v="0"/>
    <x v="0"/>
    <n v="2.7894736842105261"/>
    <s v="No"/>
    <m/>
  </r>
  <r>
    <n v="45.533333333333331"/>
    <d v="2013-02-04T00:00:00"/>
    <x v="10"/>
    <s v="MRCS"/>
    <s v="Kachin"/>
    <s v="Hpakant"/>
    <s v="Dhama Rakhita, Nyein Chan Tar Yar Ward(Lon Khin)"/>
    <m/>
    <m/>
    <m/>
    <m/>
    <m/>
    <m/>
    <n v="58"/>
    <m/>
    <n v="0"/>
    <n v="0"/>
    <m/>
    <m/>
    <m/>
    <m/>
    <m/>
    <m/>
    <m/>
    <n v="0"/>
    <n v="0"/>
    <n v="0"/>
    <n v="0"/>
    <n v="0"/>
    <n v="0"/>
    <n v="0"/>
    <n v="0"/>
    <n v="0"/>
    <n v="0"/>
    <n v="0"/>
    <n v="0"/>
    <n v="0"/>
    <n v="0"/>
    <x v="0"/>
    <n v="0"/>
    <n v="0"/>
    <n v="0"/>
    <s v="MMR001CMP174"/>
    <x v="0"/>
    <x v="0"/>
    <x v="0"/>
    <n v="0.87878787878787878"/>
    <s v="No"/>
    <m/>
  </r>
  <r>
    <n v="45.533333333333331"/>
    <d v="2013-02-04T00:00:00"/>
    <x v="1"/>
    <s v="UNHCR"/>
    <s v="Kachin"/>
    <s v="Myitkyina"/>
    <s v="Pa Dauk Myaing(Pa La Na)"/>
    <m/>
    <m/>
    <n v="5"/>
    <n v="8"/>
    <n v="5"/>
    <n v="8"/>
    <n v="5"/>
    <n v="5"/>
    <n v="5"/>
    <n v="5"/>
    <m/>
    <m/>
    <m/>
    <m/>
    <m/>
    <m/>
    <m/>
    <n v="0"/>
    <n v="0"/>
    <n v="0"/>
    <n v="0"/>
    <n v="0"/>
    <n v="0"/>
    <n v="0"/>
    <n v="0"/>
    <n v="0"/>
    <n v="0"/>
    <n v="0"/>
    <n v="0"/>
    <n v="0"/>
    <n v="0"/>
    <x v="0"/>
    <n v="0"/>
    <n v="0"/>
    <n v="0"/>
    <s v="MMR001CMP162"/>
    <x v="0"/>
    <x v="0"/>
    <x v="0"/>
    <n v="0.10869565217391304"/>
    <s v="No"/>
    <m/>
  </r>
  <r>
    <n v="45.666666666666664"/>
    <d v="2013-01-31T00:00:00"/>
    <x v="12"/>
    <s v="World Vision"/>
    <s v="Kachin"/>
    <s v="Hpakant"/>
    <s v="Baptist Church, Naung Hmee VT"/>
    <m/>
    <m/>
    <m/>
    <m/>
    <m/>
    <n v="26"/>
    <m/>
    <m/>
    <n v="0"/>
    <n v="0"/>
    <m/>
    <m/>
    <m/>
    <m/>
    <m/>
    <m/>
    <m/>
    <n v="0"/>
    <n v="0"/>
    <n v="0"/>
    <n v="0"/>
    <n v="0"/>
    <n v="0"/>
    <n v="0"/>
    <n v="0"/>
    <n v="0"/>
    <n v="0"/>
    <n v="0"/>
    <n v="0"/>
    <n v="0"/>
    <n v="0"/>
    <x v="0"/>
    <n v="0"/>
    <n v="0"/>
    <n v="0"/>
    <s v="MMR001CMP188"/>
    <x v="0"/>
    <x v="2"/>
    <x v="0"/>
    <s v=""/>
    <s v="No"/>
    <m/>
  </r>
  <r>
    <n v="45.666666666666664"/>
    <d v="2013-01-31T00:00:00"/>
    <x v="12"/>
    <s v="World Vision"/>
    <s v="Kachin"/>
    <s v="Waingmaw"/>
    <s v="Hkat Cho "/>
    <m/>
    <m/>
    <m/>
    <m/>
    <m/>
    <n v="256"/>
    <m/>
    <m/>
    <n v="0"/>
    <n v="0"/>
    <m/>
    <m/>
    <m/>
    <m/>
    <m/>
    <m/>
    <m/>
    <n v="0"/>
    <n v="0"/>
    <n v="0"/>
    <n v="0"/>
    <n v="0"/>
    <n v="0"/>
    <n v="0"/>
    <n v="0"/>
    <n v="0"/>
    <n v="0"/>
    <n v="0"/>
    <n v="0"/>
    <n v="0"/>
    <n v="0"/>
    <x v="0"/>
    <n v="0"/>
    <n v="0"/>
    <n v="0"/>
    <s v="MMR001CMP028"/>
    <x v="0"/>
    <x v="0"/>
    <x v="0"/>
    <n v="0"/>
    <s v="No"/>
    <m/>
  </r>
  <r>
    <n v="45.666666666666664"/>
    <d v="2013-01-31T00:00:00"/>
    <x v="12"/>
    <s v="World Vision"/>
    <s v="Kachin"/>
    <s v="Waingmaw"/>
    <s v="Mading Baptist Church"/>
    <m/>
    <m/>
    <m/>
    <m/>
    <m/>
    <n v="42"/>
    <m/>
    <m/>
    <n v="0"/>
    <n v="0"/>
    <m/>
    <m/>
    <m/>
    <m/>
    <m/>
    <m/>
    <m/>
    <n v="0"/>
    <n v="0"/>
    <n v="0"/>
    <n v="0"/>
    <n v="0"/>
    <n v="0"/>
    <n v="0"/>
    <n v="0"/>
    <n v="0"/>
    <n v="0"/>
    <n v="0"/>
    <n v="0"/>
    <n v="0"/>
    <n v="0"/>
    <x v="0"/>
    <n v="0"/>
    <n v="0"/>
    <n v="0"/>
    <s v="MMR001CMP027"/>
    <x v="0"/>
    <x v="0"/>
    <x v="0"/>
    <n v="0"/>
    <s v="No"/>
    <m/>
  </r>
  <r>
    <n v="45.666666666666664"/>
    <d v="2013-01-31T00:00:00"/>
    <x v="12"/>
    <s v="World Vision"/>
    <s v="Kachin"/>
    <s v="Waingmaw"/>
    <s v="Maina AG Church"/>
    <m/>
    <m/>
    <m/>
    <m/>
    <m/>
    <n v="128"/>
    <m/>
    <m/>
    <n v="0"/>
    <n v="0"/>
    <m/>
    <m/>
    <m/>
    <m/>
    <m/>
    <m/>
    <m/>
    <n v="0"/>
    <n v="0"/>
    <n v="0"/>
    <n v="0"/>
    <n v="0"/>
    <n v="0"/>
    <n v="0"/>
    <n v="0"/>
    <n v="0"/>
    <n v="0"/>
    <n v="0"/>
    <n v="0"/>
    <n v="0"/>
    <n v="0"/>
    <x v="0"/>
    <n v="0"/>
    <n v="0"/>
    <n v="0"/>
    <s v="MMR001CMP031"/>
    <x v="0"/>
    <x v="0"/>
    <x v="0"/>
    <n v="0"/>
    <s v="No"/>
    <m/>
  </r>
  <r>
    <n v="45.666666666666664"/>
    <d v="2013-01-31T00:00:00"/>
    <x v="12"/>
    <s v="World Vision"/>
    <s v="Kachin"/>
    <s v="Waingmaw"/>
    <s v="Maina Catholic Church (St. Joseph)"/>
    <m/>
    <m/>
    <m/>
    <m/>
    <m/>
    <n v="442"/>
    <m/>
    <m/>
    <n v="0"/>
    <n v="0"/>
    <m/>
    <m/>
    <m/>
    <m/>
    <m/>
    <m/>
    <m/>
    <n v="0"/>
    <n v="0"/>
    <n v="0"/>
    <n v="0"/>
    <n v="0"/>
    <n v="0"/>
    <n v="0"/>
    <n v="0"/>
    <n v="0"/>
    <n v="0"/>
    <n v="0"/>
    <n v="0"/>
    <n v="0"/>
    <n v="0"/>
    <x v="0"/>
    <n v="0"/>
    <n v="0"/>
    <n v="0"/>
    <s v="MMR001CMP029"/>
    <x v="0"/>
    <x v="0"/>
    <x v="0"/>
    <n v="0"/>
    <s v="No"/>
    <m/>
  </r>
  <r>
    <n v="45.666666666666664"/>
    <d v="2013-01-31T00:00:00"/>
    <x v="12"/>
    <s v="World Vision"/>
    <s v="Kachin"/>
    <s v="Waingmaw"/>
    <s v="Maina KBC (Bawng Ring)"/>
    <m/>
    <m/>
    <m/>
    <m/>
    <m/>
    <n v="324"/>
    <m/>
    <m/>
    <n v="0"/>
    <n v="0"/>
    <m/>
    <m/>
    <m/>
    <m/>
    <m/>
    <m/>
    <m/>
    <n v="0"/>
    <n v="0"/>
    <n v="0"/>
    <n v="0"/>
    <n v="0"/>
    <n v="0"/>
    <n v="0"/>
    <n v="0"/>
    <n v="0"/>
    <n v="0"/>
    <n v="0"/>
    <n v="0"/>
    <n v="0"/>
    <n v="0"/>
    <x v="0"/>
    <n v="0"/>
    <n v="0"/>
    <n v="0"/>
    <s v="MMR001CMP040"/>
    <x v="0"/>
    <x v="0"/>
    <x v="0"/>
    <n v="0"/>
    <s v="No"/>
    <m/>
  </r>
  <r>
    <n v="45.666666666666664"/>
    <d v="2013-01-31T00:00:00"/>
    <x v="12"/>
    <s v="World Vision"/>
    <s v="Kachin"/>
    <s v="Waingmaw"/>
    <s v="Maina Lawang Baptist Church"/>
    <m/>
    <m/>
    <m/>
    <m/>
    <m/>
    <n v="94"/>
    <m/>
    <m/>
    <n v="0"/>
    <n v="0"/>
    <m/>
    <m/>
    <m/>
    <m/>
    <m/>
    <m/>
    <m/>
    <n v="0"/>
    <n v="0"/>
    <n v="0"/>
    <n v="0"/>
    <n v="0"/>
    <n v="0"/>
    <n v="0"/>
    <n v="0"/>
    <n v="0"/>
    <n v="0"/>
    <n v="0"/>
    <n v="0"/>
    <n v="0"/>
    <n v="0"/>
    <x v="0"/>
    <n v="0"/>
    <n v="0"/>
    <n v="0"/>
    <s v="MMR001CMP039"/>
    <x v="0"/>
    <x v="0"/>
    <x v="0"/>
    <n v="0"/>
    <s v="No"/>
    <m/>
  </r>
  <r>
    <n v="45.666666666666664"/>
    <d v="2013-01-31T00:00:00"/>
    <x v="12"/>
    <s v="World Vision"/>
    <s v="Kachin"/>
    <s v="Waingmaw"/>
    <s v="Qtr. 2 Lhaovo Baptist Church"/>
    <m/>
    <m/>
    <m/>
    <m/>
    <m/>
    <n v="184"/>
    <m/>
    <m/>
    <n v="0"/>
    <n v="0"/>
    <m/>
    <m/>
    <m/>
    <m/>
    <m/>
    <m/>
    <m/>
    <n v="0"/>
    <n v="0"/>
    <n v="0"/>
    <n v="0"/>
    <n v="0"/>
    <n v="0"/>
    <n v="0"/>
    <n v="0"/>
    <n v="0"/>
    <n v="0"/>
    <n v="0"/>
    <n v="0"/>
    <n v="0"/>
    <n v="0"/>
    <x v="0"/>
    <n v="0"/>
    <n v="0"/>
    <n v="0"/>
    <s v="MMR001CMP032"/>
    <x v="0"/>
    <x v="0"/>
    <x v="0"/>
    <n v="0"/>
    <s v="No"/>
    <m/>
  </r>
  <r>
    <n v="45.666666666666664"/>
    <d v="2013-01-31T00:00:00"/>
    <x v="12"/>
    <s v="World Vision"/>
    <s v="Kachin"/>
    <s v="Waingmaw"/>
    <s v="Qtr. 2 Myoma Baptist Church"/>
    <m/>
    <m/>
    <m/>
    <m/>
    <m/>
    <n v="242"/>
    <m/>
    <m/>
    <n v="0"/>
    <n v="0"/>
    <m/>
    <m/>
    <m/>
    <m/>
    <m/>
    <m/>
    <m/>
    <n v="0"/>
    <n v="0"/>
    <n v="0"/>
    <n v="0"/>
    <n v="0"/>
    <n v="0"/>
    <n v="0"/>
    <n v="0"/>
    <n v="0"/>
    <n v="0"/>
    <n v="0"/>
    <n v="0"/>
    <n v="0"/>
    <n v="0"/>
    <x v="0"/>
    <n v="0"/>
    <n v="0"/>
    <n v="0"/>
    <s v="MMR001CMP025"/>
    <x v="0"/>
    <x v="0"/>
    <x v="0"/>
    <n v="0"/>
    <s v="No"/>
    <m/>
  </r>
  <r>
    <n v="45.666666666666664"/>
    <d v="2013-01-31T00:00:00"/>
    <x v="12"/>
    <s v="World Vision"/>
    <s v="Kachin"/>
    <s v="Waingmaw"/>
    <s v="Qtr. 3 Mu-yin  Baptist Church"/>
    <m/>
    <m/>
    <m/>
    <m/>
    <m/>
    <n v="54"/>
    <m/>
    <m/>
    <n v="0"/>
    <n v="0"/>
    <m/>
    <m/>
    <m/>
    <m/>
    <m/>
    <m/>
    <m/>
    <n v="0"/>
    <n v="0"/>
    <n v="0"/>
    <n v="0"/>
    <n v="0"/>
    <n v="0"/>
    <n v="0"/>
    <n v="0"/>
    <n v="0"/>
    <n v="0"/>
    <n v="0"/>
    <n v="0"/>
    <n v="0"/>
    <n v="0"/>
    <x v="0"/>
    <n v="0"/>
    <n v="0"/>
    <n v="0"/>
    <s v="MMR001CMP030"/>
    <x v="0"/>
    <x v="0"/>
    <x v="0"/>
    <n v="0"/>
    <s v="No"/>
    <m/>
  </r>
  <r>
    <n v="45.666666666666664"/>
    <d v="2013-01-31T00:00:00"/>
    <x v="12"/>
    <s v="World Vision"/>
    <s v="Kachin"/>
    <s v="Waingmaw"/>
    <s v="Qtr. 4 Monestry (Thargaya Thayett Taw)"/>
    <m/>
    <m/>
    <m/>
    <m/>
    <m/>
    <n v="188"/>
    <m/>
    <m/>
    <n v="0"/>
    <n v="0"/>
    <m/>
    <m/>
    <m/>
    <m/>
    <m/>
    <m/>
    <m/>
    <n v="0"/>
    <n v="0"/>
    <n v="0"/>
    <n v="0"/>
    <n v="0"/>
    <n v="0"/>
    <n v="0"/>
    <n v="0"/>
    <n v="0"/>
    <n v="0"/>
    <n v="0"/>
    <n v="0"/>
    <n v="0"/>
    <n v="0"/>
    <x v="0"/>
    <n v="0"/>
    <n v="0"/>
    <n v="0"/>
    <s v="MMR001CMP026"/>
    <x v="0"/>
    <x v="0"/>
    <x v="0"/>
    <n v="0"/>
    <s v="No"/>
    <m/>
  </r>
  <r>
    <n v="45.666666666666664"/>
    <d v="2013-01-31T00:00:00"/>
    <x v="12"/>
    <s v="World Vision"/>
    <s v="Kachin"/>
    <s v="Waingmaw"/>
    <s v="Shing Jai"/>
    <m/>
    <m/>
    <m/>
    <m/>
    <m/>
    <n v="358"/>
    <m/>
    <m/>
    <n v="0"/>
    <n v="0"/>
    <m/>
    <m/>
    <m/>
    <m/>
    <m/>
    <m/>
    <m/>
    <n v="0"/>
    <n v="0"/>
    <n v="0"/>
    <n v="0"/>
    <n v="0"/>
    <n v="0"/>
    <n v="0"/>
    <n v="0"/>
    <n v="0"/>
    <n v="0"/>
    <n v="0"/>
    <n v="0"/>
    <n v="0"/>
    <n v="0"/>
    <x v="0"/>
    <n v="0"/>
    <n v="0"/>
    <n v="0"/>
    <s v="MMR001CMP041"/>
    <x v="0"/>
    <x v="0"/>
    <x v="5"/>
    <n v="0"/>
    <s v="No"/>
    <m/>
  </r>
  <r>
    <n v="45.666666666666664"/>
    <d v="2013-01-31T00:00:00"/>
    <x v="12"/>
    <s v="World Vision"/>
    <s v="Kachin"/>
    <s v="Waingmaw"/>
    <s v="Thargaya Lisu Baptist Church"/>
    <m/>
    <m/>
    <m/>
    <m/>
    <m/>
    <n v="122"/>
    <m/>
    <m/>
    <n v="0"/>
    <n v="0"/>
    <m/>
    <m/>
    <m/>
    <m/>
    <m/>
    <m/>
    <m/>
    <n v="0"/>
    <n v="0"/>
    <n v="0"/>
    <n v="0"/>
    <n v="0"/>
    <n v="0"/>
    <n v="0"/>
    <n v="0"/>
    <n v="0"/>
    <n v="0"/>
    <n v="0"/>
    <n v="0"/>
    <n v="0"/>
    <n v="0"/>
    <x v="0"/>
    <n v="0"/>
    <n v="0"/>
    <n v="0"/>
    <s v="MMR001CMP037"/>
    <x v="0"/>
    <x v="0"/>
    <x v="0"/>
    <n v="0"/>
    <s v="No"/>
    <m/>
  </r>
  <r>
    <n v="45.666666666666664"/>
    <d v="2013-01-31T00:00:00"/>
    <x v="12"/>
    <s v="World Vision"/>
    <s v="Kachin"/>
    <s v="Waingmaw"/>
    <s v="Waingmaw AG Church"/>
    <m/>
    <m/>
    <m/>
    <m/>
    <m/>
    <n v="104"/>
    <m/>
    <m/>
    <n v="0"/>
    <n v="0"/>
    <m/>
    <m/>
    <m/>
    <m/>
    <m/>
    <m/>
    <m/>
    <n v="0"/>
    <n v="0"/>
    <n v="0"/>
    <n v="0"/>
    <n v="0"/>
    <n v="0"/>
    <n v="0"/>
    <n v="0"/>
    <n v="0"/>
    <n v="0"/>
    <n v="0"/>
    <n v="0"/>
    <n v="0"/>
    <n v="0"/>
    <x v="0"/>
    <n v="0"/>
    <n v="0"/>
    <n v="0"/>
    <s v="MMR001CMP038"/>
    <x v="0"/>
    <x v="0"/>
    <x v="0"/>
    <n v="0"/>
    <s v="No"/>
    <m/>
  </r>
  <r>
    <n v="45.666666666666664"/>
    <d v="2013-01-31T00:00:00"/>
    <x v="12"/>
    <s v="World Vision"/>
    <s v="Kachin"/>
    <s v="Waingmaw"/>
    <s v="Waingmaw Baptist Zonal Office"/>
    <m/>
    <m/>
    <m/>
    <m/>
    <m/>
    <n v="224"/>
    <m/>
    <m/>
    <n v="0"/>
    <n v="0"/>
    <m/>
    <m/>
    <m/>
    <m/>
    <m/>
    <m/>
    <m/>
    <n v="0"/>
    <n v="0"/>
    <n v="0"/>
    <n v="0"/>
    <n v="0"/>
    <n v="0"/>
    <n v="0"/>
    <n v="0"/>
    <n v="0"/>
    <n v="0"/>
    <n v="0"/>
    <n v="0"/>
    <n v="0"/>
    <n v="0"/>
    <x v="0"/>
    <n v="0"/>
    <n v="0"/>
    <n v="0"/>
    <s v="MMR001CMP036"/>
    <x v="0"/>
    <x v="2"/>
    <x v="0"/>
    <s v=""/>
    <s v="No"/>
    <m/>
  </r>
  <r>
    <n v="45.7"/>
    <d v="2013-01-30T00:00:00"/>
    <x v="0"/>
    <s v="LDO"/>
    <s v="Kachin"/>
    <s v="Shwegu"/>
    <s v="Shwe Gu Baptist Church"/>
    <n v="272"/>
    <m/>
    <m/>
    <m/>
    <m/>
    <m/>
    <m/>
    <m/>
    <n v="0"/>
    <n v="0"/>
    <m/>
    <m/>
    <m/>
    <m/>
    <m/>
    <m/>
    <m/>
    <n v="0"/>
    <n v="0"/>
    <n v="0"/>
    <n v="0"/>
    <n v="0"/>
    <n v="0"/>
    <n v="0"/>
    <n v="0"/>
    <n v="0"/>
    <n v="0"/>
    <n v="0"/>
    <n v="0"/>
    <n v="0"/>
    <n v="0"/>
    <x v="0"/>
    <n v="0"/>
    <n v="0"/>
    <n v="0"/>
    <s v="MMR001CMP067"/>
    <x v="0"/>
    <x v="0"/>
    <x v="0"/>
    <n v="0"/>
    <s v="No"/>
    <m/>
  </r>
  <r>
    <n v="45.733333333333334"/>
    <d v="2013-01-29T00:00:00"/>
    <x v="0"/>
    <s v="LDO"/>
    <s v="Kachin"/>
    <s v="Shwegu"/>
    <s v="Shwe Gu Catholic Church"/>
    <n v="177"/>
    <m/>
    <m/>
    <m/>
    <m/>
    <m/>
    <m/>
    <m/>
    <n v="0"/>
    <n v="0"/>
    <m/>
    <m/>
    <m/>
    <m/>
    <m/>
    <m/>
    <m/>
    <n v="0"/>
    <n v="0"/>
    <n v="0"/>
    <n v="0"/>
    <n v="0"/>
    <n v="0"/>
    <n v="0"/>
    <n v="0"/>
    <n v="0"/>
    <n v="0"/>
    <n v="0"/>
    <n v="0"/>
    <n v="0"/>
    <n v="0"/>
    <x v="0"/>
    <n v="0"/>
    <n v="0"/>
    <n v="0"/>
    <s v="MMR001CMP068"/>
    <x v="0"/>
    <x v="0"/>
    <x v="0"/>
    <n v="0"/>
    <s v="No"/>
    <m/>
  </r>
  <r>
    <n v="45.866666666666667"/>
    <d v="2013-01-25T00:00:00"/>
    <x v="0"/>
    <s v="Solidarities"/>
    <s v="Kachin"/>
    <s v="Momauk"/>
    <s v="Ni Thaw Ka Monestry"/>
    <n v="75"/>
    <m/>
    <m/>
    <m/>
    <m/>
    <m/>
    <m/>
    <m/>
    <n v="0"/>
    <n v="0"/>
    <m/>
    <m/>
    <m/>
    <m/>
    <m/>
    <m/>
    <m/>
    <n v="0"/>
    <n v="0"/>
    <n v="0"/>
    <n v="0"/>
    <n v="0"/>
    <n v="0"/>
    <n v="0"/>
    <n v="0"/>
    <n v="0"/>
    <n v="0"/>
    <n v="0"/>
    <n v="0"/>
    <n v="0"/>
    <n v="0"/>
    <x v="0"/>
    <n v="0"/>
    <n v="0"/>
    <n v="0"/>
    <s v="MMR001CMP059"/>
    <x v="0"/>
    <x v="2"/>
    <x v="0"/>
    <s v=""/>
    <s v="No"/>
    <m/>
  </r>
  <r>
    <n v="45.9"/>
    <d v="2013-01-24T00:00:00"/>
    <x v="0"/>
    <s v="Solidarities"/>
    <s v="Kachin"/>
    <s v="Momauk"/>
    <s v="Man Bung Catholic compound"/>
    <n v="200"/>
    <m/>
    <m/>
    <m/>
    <m/>
    <m/>
    <m/>
    <m/>
    <n v="0"/>
    <n v="0"/>
    <m/>
    <m/>
    <m/>
    <m/>
    <m/>
    <m/>
    <m/>
    <n v="0"/>
    <n v="0"/>
    <n v="0"/>
    <n v="0"/>
    <n v="0"/>
    <n v="0"/>
    <n v="0"/>
    <n v="0"/>
    <n v="0"/>
    <n v="0"/>
    <n v="0"/>
    <n v="0"/>
    <n v="0"/>
    <n v="0"/>
    <x v="0"/>
    <n v="0"/>
    <n v="0"/>
    <n v="0"/>
    <s v="MMR001CMP062"/>
    <x v="0"/>
    <x v="0"/>
    <x v="0"/>
    <n v="0"/>
    <s v="No"/>
    <m/>
  </r>
  <r>
    <n v="45.9"/>
    <d v="2013-01-24T00:00:00"/>
    <x v="0"/>
    <s v="Solidarities"/>
    <s v="Kachin"/>
    <s v="Momauk"/>
    <s v="Momauk Catholic Church (St. Patrick)"/>
    <n v="793"/>
    <m/>
    <m/>
    <m/>
    <m/>
    <m/>
    <m/>
    <m/>
    <n v="0"/>
    <n v="0"/>
    <m/>
    <m/>
    <m/>
    <m/>
    <m/>
    <m/>
    <m/>
    <n v="0"/>
    <n v="0"/>
    <n v="0"/>
    <n v="0"/>
    <n v="0"/>
    <n v="0"/>
    <n v="0"/>
    <n v="0"/>
    <n v="0"/>
    <n v="0"/>
    <n v="0"/>
    <n v="0"/>
    <n v="0"/>
    <n v="0"/>
    <x v="0"/>
    <n v="0"/>
    <n v="0"/>
    <n v="0"/>
    <s v="MMR001CMP057"/>
    <x v="0"/>
    <x v="2"/>
    <x v="0"/>
    <s v=""/>
    <s v="No"/>
    <m/>
  </r>
  <r>
    <n v="45.966666666666669"/>
    <d v="2013-01-22T00:00:00"/>
    <x v="0"/>
    <s v="Solidarities"/>
    <s v="Kachin"/>
    <s v="Bhamo"/>
    <s v="Robert Church"/>
    <n v="1824"/>
    <m/>
    <m/>
    <m/>
    <m/>
    <m/>
    <m/>
    <m/>
    <n v="0"/>
    <n v="0"/>
    <m/>
    <m/>
    <m/>
    <m/>
    <m/>
    <m/>
    <m/>
    <n v="0"/>
    <n v="0"/>
    <n v="0"/>
    <n v="0"/>
    <n v="0"/>
    <n v="0"/>
    <n v="0"/>
    <n v="0"/>
    <n v="0"/>
    <n v="0"/>
    <n v="0"/>
    <n v="0"/>
    <n v="0"/>
    <n v="0"/>
    <x v="0"/>
    <n v="0"/>
    <n v="0"/>
    <n v="0"/>
    <s v="MMR001CMP047"/>
    <x v="0"/>
    <x v="0"/>
    <x v="0"/>
    <n v="0"/>
    <s v="No"/>
    <m/>
  </r>
  <r>
    <n v="46"/>
    <d v="2013-01-21T00:00:00"/>
    <x v="0"/>
    <s v="Solidarities"/>
    <s v="Kachin"/>
    <s v="Bhamo"/>
    <s v="Nant Hlaing Church"/>
    <n v="85"/>
    <m/>
    <m/>
    <m/>
    <m/>
    <m/>
    <m/>
    <m/>
    <n v="0"/>
    <n v="0"/>
    <m/>
    <m/>
    <m/>
    <m/>
    <m/>
    <m/>
    <m/>
    <n v="0"/>
    <n v="0"/>
    <n v="0"/>
    <n v="0"/>
    <n v="0"/>
    <n v="0"/>
    <n v="0"/>
    <n v="0"/>
    <n v="0"/>
    <n v="0"/>
    <n v="0"/>
    <n v="0"/>
    <n v="0"/>
    <n v="0"/>
    <x v="0"/>
    <n v="0"/>
    <n v="0"/>
    <n v="0"/>
    <s v="MMR001CMP054"/>
    <x v="0"/>
    <x v="0"/>
    <x v="0"/>
    <n v="0"/>
    <s v="No"/>
    <m/>
  </r>
  <r>
    <n v="46.166666666666664"/>
    <d v="2013-01-16T00:00:00"/>
    <x v="0"/>
    <s v="Solidarities"/>
    <s v="Kachin"/>
    <s v="Momauk"/>
    <s v="Momauk Baptist Church"/>
    <n v="1215"/>
    <m/>
    <m/>
    <m/>
    <m/>
    <m/>
    <m/>
    <m/>
    <n v="0"/>
    <n v="0"/>
    <m/>
    <m/>
    <m/>
    <m/>
    <m/>
    <m/>
    <m/>
    <n v="0"/>
    <n v="0"/>
    <n v="0"/>
    <n v="0"/>
    <n v="0"/>
    <n v="0"/>
    <n v="0"/>
    <n v="0"/>
    <n v="0"/>
    <n v="0"/>
    <n v="0"/>
    <n v="0"/>
    <n v="0"/>
    <n v="0"/>
    <x v="0"/>
    <n v="0"/>
    <n v="0"/>
    <n v="0"/>
    <s v="MMR001CMP056"/>
    <x v="0"/>
    <x v="0"/>
    <x v="0"/>
    <n v="0"/>
    <s v="No"/>
    <m/>
  </r>
  <r>
    <n v="46.233333333333334"/>
    <d v="2013-01-14T00:00:00"/>
    <x v="0"/>
    <s v="Solidarities"/>
    <s v="Kachin"/>
    <s v="Bhamo"/>
    <s v="AD-2000 Tharthana Compound"/>
    <n v="940"/>
    <m/>
    <m/>
    <m/>
    <m/>
    <m/>
    <m/>
    <m/>
    <n v="0"/>
    <n v="0"/>
    <m/>
    <m/>
    <m/>
    <m/>
    <m/>
    <m/>
    <m/>
    <n v="0"/>
    <n v="0"/>
    <n v="0"/>
    <n v="0"/>
    <n v="0"/>
    <n v="0"/>
    <n v="0"/>
    <n v="0"/>
    <n v="0"/>
    <n v="0"/>
    <n v="0"/>
    <n v="0"/>
    <n v="0"/>
    <n v="0"/>
    <x v="0"/>
    <n v="0"/>
    <n v="0"/>
    <n v="0"/>
    <s v="MMR001CMP050"/>
    <x v="0"/>
    <x v="0"/>
    <x v="0"/>
    <n v="0"/>
    <s v="No"/>
    <m/>
  </r>
  <r>
    <n v="46.366666666666667"/>
    <d v="2013-01-10T00:00:00"/>
    <x v="0"/>
    <s v="Solidarities"/>
    <s v="Kachin"/>
    <s v="Bhamo"/>
    <s v="Htoi San Church"/>
    <n v="212"/>
    <m/>
    <m/>
    <m/>
    <m/>
    <m/>
    <m/>
    <m/>
    <n v="0"/>
    <n v="0"/>
    <m/>
    <m/>
    <m/>
    <m/>
    <m/>
    <m/>
    <m/>
    <n v="0"/>
    <n v="0"/>
    <n v="0"/>
    <n v="0"/>
    <n v="0"/>
    <n v="0"/>
    <n v="0"/>
    <n v="0"/>
    <n v="0"/>
    <n v="0"/>
    <n v="0"/>
    <n v="0"/>
    <n v="0"/>
    <n v="0"/>
    <x v="0"/>
    <n v="0"/>
    <n v="0"/>
    <n v="0"/>
    <s v="MMR001CMP052"/>
    <x v="0"/>
    <x v="0"/>
    <x v="0"/>
    <n v="0"/>
    <s v="No"/>
    <m/>
  </r>
  <r>
    <n v="46.4"/>
    <d v="2013-01-09T00:00:00"/>
    <x v="0"/>
    <s v="Solidarities"/>
    <s v="Kachin"/>
    <s v="Bhamo"/>
    <s v="Lisu Boarding-House"/>
    <n v="205"/>
    <m/>
    <m/>
    <m/>
    <m/>
    <m/>
    <m/>
    <m/>
    <n v="0"/>
    <n v="0"/>
    <m/>
    <m/>
    <m/>
    <m/>
    <m/>
    <m/>
    <m/>
    <n v="0"/>
    <n v="0"/>
    <n v="0"/>
    <n v="0"/>
    <n v="0"/>
    <n v="0"/>
    <n v="0"/>
    <n v="0"/>
    <n v="0"/>
    <n v="0"/>
    <n v="0"/>
    <n v="0"/>
    <n v="0"/>
    <n v="0"/>
    <x v="0"/>
    <n v="0"/>
    <n v="0"/>
    <n v="0"/>
    <s v="MMR001CMP049"/>
    <x v="0"/>
    <x v="0"/>
    <x v="0"/>
    <n v="0"/>
    <s v="No"/>
    <m/>
  </r>
  <r>
    <n v="46.43333333333333"/>
    <d v="2013-01-08T00:00:00"/>
    <x v="0"/>
    <s v="Solidarities"/>
    <s v="Kachin"/>
    <s v="Momauk"/>
    <s v="Loi Je Catholic Church"/>
    <n v="353"/>
    <m/>
    <m/>
    <m/>
    <m/>
    <m/>
    <m/>
    <m/>
    <n v="0"/>
    <n v="0"/>
    <m/>
    <m/>
    <m/>
    <m/>
    <m/>
    <m/>
    <m/>
    <n v="0"/>
    <n v="0"/>
    <n v="0"/>
    <n v="0"/>
    <n v="0"/>
    <n v="0"/>
    <n v="0"/>
    <n v="0"/>
    <n v="0"/>
    <n v="0"/>
    <n v="0"/>
    <n v="0"/>
    <n v="0"/>
    <n v="0"/>
    <x v="0"/>
    <n v="0"/>
    <n v="0"/>
    <n v="0"/>
    <s v="MMR001CMP069"/>
    <x v="0"/>
    <x v="0"/>
    <x v="1"/>
    <n v="0"/>
    <s v="No"/>
    <m/>
  </r>
  <r>
    <n v="46.43333333333333"/>
    <d v="2013-01-08T00:00:00"/>
    <x v="0"/>
    <s v="Solidarities"/>
    <s v="Kachin"/>
    <s v="Bhamo"/>
    <s v="Yoe Kyi Monastery"/>
    <n v="132"/>
    <m/>
    <m/>
    <m/>
    <m/>
    <m/>
    <m/>
    <m/>
    <n v="0"/>
    <n v="0"/>
    <m/>
    <m/>
    <m/>
    <m/>
    <m/>
    <m/>
    <m/>
    <n v="0"/>
    <n v="0"/>
    <n v="0"/>
    <n v="0"/>
    <n v="0"/>
    <n v="0"/>
    <n v="0"/>
    <n v="0"/>
    <n v="0"/>
    <n v="0"/>
    <n v="0"/>
    <n v="0"/>
    <n v="0"/>
    <n v="0"/>
    <x v="0"/>
    <n v="0"/>
    <n v="0"/>
    <n v="0"/>
    <s v="MMR001CMP053"/>
    <x v="0"/>
    <x v="0"/>
    <x v="0"/>
    <n v="0"/>
    <s v="No"/>
    <m/>
  </r>
  <r>
    <n v="46.5"/>
    <d v="2013-01-06T00:00:00"/>
    <x v="0"/>
    <s v="Solidarities"/>
    <s v="Kachin"/>
    <s v="Mansi"/>
    <s v="Mansi Baptist Church"/>
    <n v="351"/>
    <m/>
    <m/>
    <m/>
    <m/>
    <m/>
    <m/>
    <m/>
    <n v="0"/>
    <n v="0"/>
    <m/>
    <m/>
    <m/>
    <m/>
    <m/>
    <m/>
    <m/>
    <n v="0"/>
    <n v="0"/>
    <n v="0"/>
    <n v="0"/>
    <n v="0"/>
    <n v="0"/>
    <n v="0"/>
    <n v="0"/>
    <n v="0"/>
    <n v="0"/>
    <n v="0"/>
    <n v="0"/>
    <n v="0"/>
    <n v="0"/>
    <x v="0"/>
    <n v="0"/>
    <n v="0"/>
    <n v="0"/>
    <s v="MMR001CMP066"/>
    <x v="0"/>
    <x v="0"/>
    <x v="0"/>
    <n v="0"/>
    <s v="No"/>
    <m/>
  </r>
  <r>
    <n v="46.7"/>
    <d v="2012-12-31T00:00:00"/>
    <x v="6"/>
    <s v="DRC"/>
    <s v="Kachin"/>
    <s v="Hpakant"/>
    <s v="5 Ward Baptist Church(lon Khin)"/>
    <n v="12"/>
    <m/>
    <m/>
    <m/>
    <m/>
    <m/>
    <m/>
    <m/>
    <n v="0"/>
    <n v="0"/>
    <m/>
    <m/>
    <m/>
    <m/>
    <m/>
    <m/>
    <m/>
    <n v="0"/>
    <n v="0"/>
    <n v="0"/>
    <n v="0"/>
    <n v="0"/>
    <n v="0"/>
    <n v="0"/>
    <n v="0"/>
    <n v="0"/>
    <n v="0"/>
    <n v="0"/>
    <n v="0"/>
    <n v="0"/>
    <n v="0"/>
    <x v="0"/>
    <n v="0"/>
    <n v="0"/>
    <n v="0"/>
    <s v="MMR001CMP179"/>
    <x v="0"/>
    <x v="0"/>
    <x v="0"/>
    <n v="0"/>
    <s v="No"/>
    <m/>
  </r>
  <r>
    <n v="46.7"/>
    <d v="2012-12-31T00:00:00"/>
    <x v="6"/>
    <s v="DRC"/>
    <s v="Kachin"/>
    <s v="Hpakant"/>
    <s v="5 Ward RC Church(lon Khin)"/>
    <n v="19"/>
    <m/>
    <m/>
    <m/>
    <m/>
    <m/>
    <m/>
    <m/>
    <n v="0"/>
    <n v="0"/>
    <m/>
    <m/>
    <m/>
    <m/>
    <m/>
    <m/>
    <m/>
    <n v="0"/>
    <n v="0"/>
    <n v="0"/>
    <n v="0"/>
    <n v="0"/>
    <n v="0"/>
    <n v="0"/>
    <n v="0"/>
    <n v="0"/>
    <n v="0"/>
    <n v="0"/>
    <n v="0"/>
    <n v="0"/>
    <n v="0"/>
    <x v="0"/>
    <n v="0"/>
    <n v="0"/>
    <n v="0"/>
    <s v="MMR001CMP168"/>
    <x v="0"/>
    <x v="0"/>
    <x v="0"/>
    <n v="0"/>
    <s v="No"/>
    <m/>
  </r>
  <r>
    <n v="46.7"/>
    <d v="2012-12-31T00:00:00"/>
    <x v="6"/>
    <s v="DRC"/>
    <s v="Kachin"/>
    <s v="Hpakant"/>
    <s v="AG Church, Hmaw Si Sa"/>
    <n v="7"/>
    <m/>
    <m/>
    <m/>
    <m/>
    <m/>
    <m/>
    <m/>
    <n v="0"/>
    <n v="0"/>
    <m/>
    <m/>
    <m/>
    <m/>
    <m/>
    <m/>
    <m/>
    <n v="0"/>
    <n v="0"/>
    <n v="0"/>
    <n v="0"/>
    <n v="0"/>
    <n v="0"/>
    <n v="0"/>
    <n v="0"/>
    <n v="0"/>
    <n v="0"/>
    <n v="0"/>
    <n v="0"/>
    <n v="0"/>
    <n v="0"/>
    <x v="0"/>
    <n v="0"/>
    <n v="0"/>
    <n v="0"/>
    <s v="MMR001CMP176"/>
    <x v="0"/>
    <x v="0"/>
    <x v="0"/>
    <n v="0"/>
    <s v="No"/>
    <m/>
  </r>
  <r>
    <n v="46.7"/>
    <d v="2012-12-31T00:00:00"/>
    <x v="6"/>
    <s v="DRC"/>
    <s v="Kachin"/>
    <s v="Hpakant"/>
    <s v="AG Church, Maw Wan"/>
    <n v="4"/>
    <m/>
    <m/>
    <m/>
    <m/>
    <m/>
    <m/>
    <m/>
    <n v="0"/>
    <n v="0"/>
    <m/>
    <m/>
    <m/>
    <m/>
    <m/>
    <m/>
    <m/>
    <n v="0"/>
    <n v="0"/>
    <n v="0"/>
    <n v="0"/>
    <n v="0"/>
    <n v="0"/>
    <n v="0"/>
    <n v="0"/>
    <n v="0"/>
    <n v="0"/>
    <n v="0"/>
    <n v="0"/>
    <n v="0"/>
    <n v="0"/>
    <x v="0"/>
    <n v="0"/>
    <n v="0"/>
    <n v="0"/>
    <s v="MMR001CMP190"/>
    <x v="0"/>
    <x v="0"/>
    <x v="0"/>
    <n v="0"/>
    <s v="No"/>
    <m/>
  </r>
  <r>
    <n v="46.7"/>
    <d v="2012-12-31T00:00:00"/>
    <x v="6"/>
    <s v="DRC"/>
    <s v="Kachin"/>
    <s v="Hpakant"/>
    <s v="Aye Mya Tharyar Church of Christ "/>
    <n v="16"/>
    <m/>
    <m/>
    <m/>
    <m/>
    <m/>
    <m/>
    <m/>
    <n v="0"/>
    <n v="0"/>
    <m/>
    <m/>
    <m/>
    <m/>
    <m/>
    <m/>
    <m/>
    <n v="0"/>
    <n v="0"/>
    <n v="0"/>
    <n v="0"/>
    <n v="0"/>
    <n v="0"/>
    <n v="0"/>
    <n v="0"/>
    <n v="0"/>
    <n v="0"/>
    <n v="0"/>
    <n v="0"/>
    <n v="0"/>
    <n v="0"/>
    <x v="0"/>
    <n v="0"/>
    <n v="0"/>
    <n v="0"/>
    <s v="MMR001CMP092"/>
    <x v="0"/>
    <x v="2"/>
    <x v="4"/>
    <s v=""/>
    <s v="No"/>
    <m/>
  </r>
  <r>
    <n v="46.7"/>
    <d v="2012-12-31T00:00:00"/>
    <x v="6"/>
    <s v="DRC"/>
    <s v="Kachin"/>
    <s v="Hpakant"/>
    <s v="Baptist Church, Hmaw Si Sar(Lon Khin)"/>
    <n v="20"/>
    <m/>
    <m/>
    <m/>
    <m/>
    <m/>
    <m/>
    <m/>
    <n v="0"/>
    <n v="0"/>
    <m/>
    <m/>
    <m/>
    <m/>
    <m/>
    <m/>
    <m/>
    <n v="0"/>
    <n v="0"/>
    <n v="0"/>
    <n v="0"/>
    <n v="0"/>
    <n v="0"/>
    <n v="0"/>
    <n v="0"/>
    <n v="0"/>
    <n v="0"/>
    <n v="0"/>
    <n v="0"/>
    <n v="0"/>
    <n v="0"/>
    <x v="0"/>
    <n v="0"/>
    <n v="0"/>
    <n v="0"/>
    <s v="MMR001CMP169"/>
    <x v="0"/>
    <x v="0"/>
    <x v="0"/>
    <n v="0"/>
    <s v="No"/>
    <m/>
  </r>
  <r>
    <n v="46.7"/>
    <d v="2012-12-31T00:00:00"/>
    <x v="6"/>
    <s v="DRC"/>
    <s v="Kachin"/>
    <s v="Hpakant"/>
    <s v="Baptist Church, Sai Ra village"/>
    <n v="3"/>
    <m/>
    <m/>
    <m/>
    <m/>
    <m/>
    <m/>
    <m/>
    <n v="0"/>
    <n v="0"/>
    <m/>
    <m/>
    <m/>
    <m/>
    <m/>
    <m/>
    <m/>
    <n v="0"/>
    <n v="0"/>
    <n v="0"/>
    <n v="0"/>
    <n v="0"/>
    <n v="0"/>
    <n v="0"/>
    <n v="0"/>
    <n v="0"/>
    <n v="0"/>
    <n v="0"/>
    <n v="0"/>
    <n v="0"/>
    <n v="0"/>
    <x v="0"/>
    <n v="0"/>
    <n v="0"/>
    <n v="0"/>
    <s v="MMR001CMP172"/>
    <x v="0"/>
    <x v="2"/>
    <x v="4"/>
    <s v=""/>
    <s v="No"/>
    <m/>
  </r>
  <r>
    <n v="46.7"/>
    <d v="2012-12-31T00:00:00"/>
    <x v="6"/>
    <s v="DRC"/>
    <s v="Kachin"/>
    <s v="Hpakant"/>
    <s v="Dhama Rakhita, Nyein Chan Tar Yar Ward(Lon Khin)"/>
    <n v="6"/>
    <m/>
    <m/>
    <m/>
    <m/>
    <m/>
    <m/>
    <m/>
    <n v="0"/>
    <n v="0"/>
    <m/>
    <m/>
    <m/>
    <m/>
    <m/>
    <m/>
    <m/>
    <n v="0"/>
    <n v="0"/>
    <n v="0"/>
    <n v="0"/>
    <n v="0"/>
    <n v="0"/>
    <n v="0"/>
    <n v="0"/>
    <n v="0"/>
    <n v="0"/>
    <n v="0"/>
    <n v="0"/>
    <n v="0"/>
    <n v="0"/>
    <x v="0"/>
    <n v="0"/>
    <n v="0"/>
    <n v="0"/>
    <s v="MMR001CMP174"/>
    <x v="0"/>
    <x v="0"/>
    <x v="0"/>
    <n v="0"/>
    <s v="No"/>
    <m/>
  </r>
  <r>
    <n v="46.7"/>
    <d v="2012-12-31T00:00:00"/>
    <x v="6"/>
    <s v="DRC"/>
    <s v="Kachin"/>
    <s v="Waingmaw"/>
    <s v="Hkat Cho "/>
    <n v="136"/>
    <m/>
    <m/>
    <m/>
    <m/>
    <m/>
    <m/>
    <m/>
    <n v="0"/>
    <n v="0"/>
    <m/>
    <m/>
    <m/>
    <m/>
    <m/>
    <m/>
    <m/>
    <n v="0"/>
    <n v="0"/>
    <n v="0"/>
    <n v="0"/>
    <n v="0"/>
    <n v="0"/>
    <n v="0"/>
    <n v="0"/>
    <n v="0"/>
    <n v="0"/>
    <n v="0"/>
    <n v="0"/>
    <n v="0"/>
    <n v="0"/>
    <x v="0"/>
    <n v="0"/>
    <n v="0"/>
    <n v="0"/>
    <s v="MMR001CMP028"/>
    <x v="0"/>
    <x v="0"/>
    <x v="0"/>
    <n v="0"/>
    <s v="No"/>
    <m/>
  </r>
  <r>
    <n v="46.7"/>
    <d v="2012-12-31T00:00:00"/>
    <x v="6"/>
    <s v="DRC"/>
    <s v="Kachin"/>
    <s v="Hpakant"/>
    <s v="Hlaing Naung Baptist"/>
    <n v="4"/>
    <m/>
    <m/>
    <m/>
    <m/>
    <m/>
    <m/>
    <m/>
    <n v="0"/>
    <n v="0"/>
    <m/>
    <m/>
    <m/>
    <m/>
    <m/>
    <m/>
    <m/>
    <n v="0"/>
    <n v="0"/>
    <n v="0"/>
    <n v="0"/>
    <n v="0"/>
    <n v="0"/>
    <n v="0"/>
    <n v="0"/>
    <n v="0"/>
    <n v="0"/>
    <n v="0"/>
    <n v="0"/>
    <n v="0"/>
    <n v="0"/>
    <x v="0"/>
    <n v="0"/>
    <n v="0"/>
    <n v="0"/>
    <s v="MMR001CMP148"/>
    <x v="0"/>
    <x v="0"/>
    <x v="0"/>
    <n v="0"/>
    <s v="No"/>
    <m/>
  </r>
  <r>
    <n v="46.7"/>
    <d v="2012-12-31T00:00:00"/>
    <x v="6"/>
    <s v="DRC"/>
    <s v="Kachin"/>
    <s v="Hpakant"/>
    <s v="Hmaw Wan, Anglican"/>
    <n v="3"/>
    <m/>
    <m/>
    <m/>
    <m/>
    <m/>
    <m/>
    <m/>
    <n v="0"/>
    <n v="0"/>
    <m/>
    <m/>
    <m/>
    <m/>
    <m/>
    <m/>
    <m/>
    <n v="0"/>
    <n v="0"/>
    <n v="0"/>
    <n v="0"/>
    <n v="0"/>
    <n v="0"/>
    <n v="0"/>
    <n v="0"/>
    <n v="0"/>
    <n v="0"/>
    <n v="0"/>
    <n v="0"/>
    <n v="0"/>
    <n v="0"/>
    <x v="0"/>
    <n v="0"/>
    <n v="0"/>
    <n v="0"/>
    <s v="MMR001CMP191"/>
    <x v="0"/>
    <x v="0"/>
    <x v="0"/>
    <n v="0"/>
    <s v="No"/>
    <m/>
  </r>
  <r>
    <n v="46.7"/>
    <d v="2012-12-31T00:00:00"/>
    <x v="6"/>
    <s v="DRC"/>
    <s v="Kachin"/>
    <s v="Hpakant"/>
    <s v="Lisu Baptist Church, Maw Wan Ward"/>
    <n v="1"/>
    <m/>
    <m/>
    <m/>
    <m/>
    <m/>
    <m/>
    <m/>
    <n v="0"/>
    <n v="0"/>
    <m/>
    <m/>
    <m/>
    <m/>
    <m/>
    <m/>
    <m/>
    <n v="0"/>
    <n v="0"/>
    <n v="0"/>
    <n v="0"/>
    <n v="0"/>
    <n v="0"/>
    <n v="0"/>
    <n v="0"/>
    <n v="0"/>
    <n v="0"/>
    <n v="0"/>
    <n v="0"/>
    <n v="0"/>
    <n v="0"/>
    <x v="0"/>
    <n v="0"/>
    <n v="0"/>
    <n v="0"/>
    <s v="MMR001CMP167"/>
    <x v="0"/>
    <x v="0"/>
    <x v="0"/>
    <n v="0"/>
    <s v="No"/>
    <m/>
  </r>
  <r>
    <n v="46.7"/>
    <d v="2012-12-31T00:00:00"/>
    <x v="6"/>
    <s v="DRC"/>
    <s v="Kachin"/>
    <s v="Waingmaw"/>
    <s v="Mading Baptist Church"/>
    <n v="23"/>
    <m/>
    <m/>
    <m/>
    <m/>
    <m/>
    <m/>
    <m/>
    <n v="0"/>
    <n v="0"/>
    <m/>
    <m/>
    <m/>
    <m/>
    <m/>
    <m/>
    <m/>
    <n v="0"/>
    <n v="0"/>
    <n v="0"/>
    <n v="0"/>
    <n v="0"/>
    <n v="0"/>
    <n v="0"/>
    <n v="0"/>
    <n v="0"/>
    <n v="0"/>
    <n v="0"/>
    <n v="0"/>
    <n v="0"/>
    <n v="0"/>
    <x v="0"/>
    <n v="0"/>
    <n v="0"/>
    <n v="0"/>
    <s v="MMR001CMP027"/>
    <x v="0"/>
    <x v="0"/>
    <x v="0"/>
    <n v="0"/>
    <s v="No"/>
    <m/>
  </r>
  <r>
    <n v="46.7"/>
    <d v="2012-12-31T00:00:00"/>
    <x v="6"/>
    <s v="DRC"/>
    <s v="Kachin"/>
    <s v="Waingmaw"/>
    <s v="Maina AG Church"/>
    <n v="79"/>
    <m/>
    <m/>
    <m/>
    <m/>
    <m/>
    <m/>
    <m/>
    <n v="0"/>
    <n v="0"/>
    <m/>
    <m/>
    <m/>
    <m/>
    <m/>
    <m/>
    <m/>
    <n v="0"/>
    <n v="0"/>
    <n v="0"/>
    <n v="0"/>
    <n v="0"/>
    <n v="0"/>
    <n v="0"/>
    <n v="0"/>
    <n v="0"/>
    <n v="0"/>
    <n v="0"/>
    <n v="0"/>
    <n v="0"/>
    <n v="0"/>
    <x v="0"/>
    <n v="0"/>
    <n v="0"/>
    <n v="0"/>
    <s v="MMR001CMP031"/>
    <x v="0"/>
    <x v="0"/>
    <x v="0"/>
    <n v="0"/>
    <s v="No"/>
    <m/>
  </r>
  <r>
    <n v="46.7"/>
    <d v="2012-12-31T00:00:00"/>
    <x v="6"/>
    <s v="DRC"/>
    <s v="Kachin"/>
    <s v="Hpakant"/>
    <s v="Mashi Kahtawng Baptist  Church"/>
    <n v="57"/>
    <m/>
    <m/>
    <m/>
    <m/>
    <m/>
    <m/>
    <m/>
    <n v="0"/>
    <n v="0"/>
    <m/>
    <m/>
    <m/>
    <m/>
    <m/>
    <m/>
    <m/>
    <n v="0"/>
    <n v="0"/>
    <n v="0"/>
    <n v="0"/>
    <n v="0"/>
    <n v="0"/>
    <n v="0"/>
    <n v="0"/>
    <n v="0"/>
    <n v="0"/>
    <n v="0"/>
    <n v="0"/>
    <n v="0"/>
    <n v="0"/>
    <x v="0"/>
    <n v="0"/>
    <n v="0"/>
    <n v="0"/>
    <s v="MMR001CMP094"/>
    <x v="0"/>
    <x v="2"/>
    <x v="4"/>
    <s v=""/>
    <s v="No"/>
    <m/>
  </r>
  <r>
    <n v="46.7"/>
    <d v="2012-12-31T00:00:00"/>
    <x v="6"/>
    <s v="DRC"/>
    <s v="Kachin"/>
    <s v="Hpakant"/>
    <s v="Mashi Kahtawng Catholic Church"/>
    <n v="2"/>
    <m/>
    <m/>
    <m/>
    <m/>
    <m/>
    <m/>
    <m/>
    <n v="0"/>
    <n v="0"/>
    <m/>
    <m/>
    <m/>
    <m/>
    <m/>
    <m/>
    <m/>
    <n v="0"/>
    <n v="0"/>
    <n v="0"/>
    <n v="0"/>
    <n v="0"/>
    <n v="0"/>
    <n v="0"/>
    <n v="0"/>
    <n v="0"/>
    <n v="0"/>
    <n v="0"/>
    <n v="0"/>
    <n v="0"/>
    <n v="0"/>
    <x v="0"/>
    <n v="0"/>
    <n v="0"/>
    <n v="0"/>
    <s v="MMR001CMP093"/>
    <x v="0"/>
    <x v="2"/>
    <x v="4"/>
    <s v=""/>
    <s v="No"/>
    <m/>
  </r>
  <r>
    <n v="46.7"/>
    <d v="2012-12-31T00:00:00"/>
    <x v="6"/>
    <s v="DRC"/>
    <s v="Kachin"/>
    <s v="Myitkyina"/>
    <s v="Maw Hpawng Hka Nan Baptist Church"/>
    <n v="14"/>
    <m/>
    <m/>
    <m/>
    <m/>
    <m/>
    <m/>
    <m/>
    <n v="0"/>
    <n v="0"/>
    <m/>
    <m/>
    <m/>
    <m/>
    <m/>
    <m/>
    <m/>
    <n v="0"/>
    <n v="0"/>
    <n v="0"/>
    <n v="0"/>
    <n v="0"/>
    <n v="0"/>
    <n v="0"/>
    <n v="0"/>
    <n v="0"/>
    <n v="0"/>
    <n v="0"/>
    <n v="0"/>
    <n v="0"/>
    <n v="0"/>
    <x v="0"/>
    <n v="0"/>
    <n v="0"/>
    <n v="0"/>
    <s v="MMR001CMP020"/>
    <x v="0"/>
    <x v="0"/>
    <x v="0"/>
    <n v="0"/>
    <s v="No"/>
    <m/>
  </r>
  <r>
    <n v="46.7"/>
    <d v="2012-12-31T00:00:00"/>
    <x v="6"/>
    <s v="DRC"/>
    <s v="Kachin"/>
    <s v="Myitkyina"/>
    <s v="Maw Hpawng Lhaovo Baptist Church"/>
    <n v="23"/>
    <m/>
    <m/>
    <m/>
    <m/>
    <m/>
    <m/>
    <m/>
    <n v="0"/>
    <n v="0"/>
    <m/>
    <m/>
    <m/>
    <m/>
    <m/>
    <m/>
    <m/>
    <n v="0"/>
    <n v="0"/>
    <n v="0"/>
    <n v="0"/>
    <n v="0"/>
    <n v="0"/>
    <n v="0"/>
    <n v="0"/>
    <n v="0"/>
    <n v="0"/>
    <n v="0"/>
    <n v="0"/>
    <n v="0"/>
    <n v="0"/>
    <x v="0"/>
    <n v="0"/>
    <n v="0"/>
    <n v="0"/>
    <s v="MMR001CMP021"/>
    <x v="0"/>
    <x v="0"/>
    <x v="0"/>
    <n v="0"/>
    <s v="No"/>
    <m/>
  </r>
  <r>
    <n v="46.7"/>
    <d v="2012-12-31T00:00:00"/>
    <x v="6"/>
    <s v="DRC"/>
    <s v="Kachin"/>
    <s v="Hpakant"/>
    <s v="Maw Si Zar, Thiriyardanar Sein, Damma Compound, Lone Khin"/>
    <n v="3"/>
    <m/>
    <m/>
    <m/>
    <m/>
    <m/>
    <m/>
    <m/>
    <n v="0"/>
    <n v="0"/>
    <m/>
    <m/>
    <m/>
    <m/>
    <m/>
    <m/>
    <m/>
    <n v="0"/>
    <n v="0"/>
    <n v="0"/>
    <n v="0"/>
    <n v="0"/>
    <n v="0"/>
    <n v="0"/>
    <n v="0"/>
    <n v="0"/>
    <n v="0"/>
    <n v="0"/>
    <n v="0"/>
    <n v="0"/>
    <n v="0"/>
    <x v="0"/>
    <n v="0"/>
    <n v="0"/>
    <n v="0"/>
    <s v="MMR001CMP106"/>
    <x v="0"/>
    <x v="2"/>
    <x v="4"/>
    <s v=""/>
    <s v="No"/>
    <m/>
  </r>
  <r>
    <n v="46.7"/>
    <d v="2012-12-31T00:00:00"/>
    <x v="6"/>
    <s v="DRC"/>
    <s v="Kachin"/>
    <s v="Hpakant"/>
    <s v="Maw Wan, Kachin Baptist Church"/>
    <n v="10"/>
    <m/>
    <m/>
    <m/>
    <m/>
    <m/>
    <m/>
    <m/>
    <n v="0"/>
    <n v="0"/>
    <m/>
    <m/>
    <m/>
    <m/>
    <m/>
    <m/>
    <m/>
    <n v="0"/>
    <n v="0"/>
    <n v="0"/>
    <n v="0"/>
    <n v="0"/>
    <n v="0"/>
    <n v="0"/>
    <n v="0"/>
    <n v="0"/>
    <n v="0"/>
    <n v="0"/>
    <n v="0"/>
    <n v="0"/>
    <n v="0"/>
    <x v="0"/>
    <n v="0"/>
    <n v="0"/>
    <n v="0"/>
    <s v="MMR001CMP085"/>
    <x v="0"/>
    <x v="2"/>
    <x v="4"/>
    <s v=""/>
    <s v="No"/>
    <m/>
  </r>
  <r>
    <n v="46.7"/>
    <d v="2012-12-31T00:00:00"/>
    <x v="6"/>
    <s v="DRC"/>
    <s v="Kachin"/>
    <s v="Hpakant"/>
    <s v="Maw Wan, Mu-yin Baptist Church"/>
    <n v="2"/>
    <m/>
    <m/>
    <m/>
    <m/>
    <m/>
    <m/>
    <m/>
    <n v="0"/>
    <n v="0"/>
    <m/>
    <m/>
    <m/>
    <m/>
    <m/>
    <m/>
    <m/>
    <n v="0"/>
    <n v="0"/>
    <n v="0"/>
    <n v="0"/>
    <n v="0"/>
    <n v="0"/>
    <n v="0"/>
    <n v="0"/>
    <n v="0"/>
    <n v="0"/>
    <n v="0"/>
    <n v="0"/>
    <n v="0"/>
    <n v="0"/>
    <x v="0"/>
    <n v="0"/>
    <n v="0"/>
    <n v="0"/>
    <s v="MMR001CMP091"/>
    <x v="0"/>
    <x v="0"/>
    <x v="0"/>
    <n v="0"/>
    <s v="No"/>
    <m/>
  </r>
  <r>
    <n v="46.7"/>
    <d v="2012-12-31T00:00:00"/>
    <x v="6"/>
    <s v="DRC"/>
    <s v="Kachin"/>
    <s v="Hpakant"/>
    <s v="May Di Ka Rama Monastery(Lon Khin)"/>
    <n v="5"/>
    <m/>
    <m/>
    <m/>
    <m/>
    <m/>
    <m/>
    <m/>
    <n v="0"/>
    <n v="0"/>
    <m/>
    <m/>
    <m/>
    <m/>
    <m/>
    <m/>
    <m/>
    <n v="0"/>
    <n v="0"/>
    <n v="0"/>
    <n v="0"/>
    <n v="0"/>
    <n v="0"/>
    <n v="0"/>
    <n v="0"/>
    <n v="0"/>
    <n v="0"/>
    <n v="0"/>
    <n v="0"/>
    <n v="0"/>
    <n v="0"/>
    <x v="0"/>
    <n v="0"/>
    <n v="0"/>
    <n v="0"/>
    <s v="MMR001CMP178"/>
    <x v="0"/>
    <x v="2"/>
    <x v="4"/>
    <s v=""/>
    <s v="No"/>
    <m/>
  </r>
  <r>
    <n v="46.7"/>
    <d v="2012-12-31T00:00:00"/>
    <x v="6"/>
    <s v="DRC"/>
    <s v="Kachin"/>
    <s v="Hpakant"/>
    <s v="Muring Baptist Church, Awng Ra, Wa Ra Zut VT"/>
    <n v="1"/>
    <m/>
    <m/>
    <m/>
    <m/>
    <m/>
    <m/>
    <m/>
    <n v="0"/>
    <n v="0"/>
    <m/>
    <m/>
    <m/>
    <m/>
    <m/>
    <m/>
    <m/>
    <n v="0"/>
    <n v="0"/>
    <n v="0"/>
    <n v="0"/>
    <n v="0"/>
    <n v="0"/>
    <n v="0"/>
    <n v="0"/>
    <n v="0"/>
    <n v="0"/>
    <n v="0"/>
    <n v="0"/>
    <n v="0"/>
    <n v="0"/>
    <x v="0"/>
    <n v="0"/>
    <n v="0"/>
    <n v="0"/>
    <s v="MMR001CMP177"/>
    <x v="0"/>
    <x v="2"/>
    <x v="4"/>
    <s v=""/>
    <s v="No"/>
    <m/>
  </r>
  <r>
    <n v="46.7"/>
    <d v="2012-12-31T00:00:00"/>
    <x v="6"/>
    <s v="DRC"/>
    <s v="Kachin"/>
    <s v="Myitkyina"/>
    <s v="Myay Myint Baptist Church"/>
    <n v="12"/>
    <m/>
    <m/>
    <m/>
    <m/>
    <m/>
    <m/>
    <m/>
    <n v="0"/>
    <n v="0"/>
    <m/>
    <m/>
    <m/>
    <m/>
    <m/>
    <m/>
    <m/>
    <n v="0"/>
    <n v="0"/>
    <n v="0"/>
    <n v="0"/>
    <n v="0"/>
    <n v="0"/>
    <n v="0"/>
    <n v="0"/>
    <n v="0"/>
    <n v="0"/>
    <n v="0"/>
    <n v="0"/>
    <n v="0"/>
    <n v="0"/>
    <x v="0"/>
    <n v="0"/>
    <n v="0"/>
    <n v="0"/>
    <s v="MMR001CMP017"/>
    <x v="0"/>
    <x v="2"/>
    <x v="0"/>
    <s v=""/>
    <s v="No"/>
    <m/>
  </r>
  <r>
    <n v="46.7"/>
    <d v="2012-12-31T00:00:00"/>
    <x v="6"/>
    <s v="DRC"/>
    <s v="Kachin"/>
    <s v="Hpakant"/>
    <s v="Nam Ma Phyit, COC"/>
    <n v="32"/>
    <m/>
    <m/>
    <m/>
    <m/>
    <m/>
    <m/>
    <m/>
    <n v="0"/>
    <n v="0"/>
    <m/>
    <m/>
    <m/>
    <m/>
    <m/>
    <m/>
    <m/>
    <n v="0"/>
    <n v="0"/>
    <n v="0"/>
    <n v="0"/>
    <n v="0"/>
    <n v="0"/>
    <n v="0"/>
    <n v="0"/>
    <n v="0"/>
    <n v="0"/>
    <n v="0"/>
    <n v="0"/>
    <n v="0"/>
    <n v="0"/>
    <x v="0"/>
    <n v="0"/>
    <n v="0"/>
    <n v="0"/>
    <s v="MMR001CMP192"/>
    <x v="0"/>
    <x v="0"/>
    <x v="0"/>
    <n v="0"/>
    <s v="No"/>
    <m/>
  </r>
  <r>
    <n v="46.7"/>
    <d v="2012-12-31T00:00:00"/>
    <x v="6"/>
    <s v="DRC"/>
    <s v="Kachin"/>
    <s v="Hpakant"/>
    <s v="Nant Ma Hpit Catholic Church"/>
    <n v="4"/>
    <m/>
    <m/>
    <m/>
    <m/>
    <m/>
    <m/>
    <m/>
    <n v="0"/>
    <n v="0"/>
    <m/>
    <m/>
    <m/>
    <m/>
    <m/>
    <m/>
    <m/>
    <n v="0"/>
    <n v="0"/>
    <n v="0"/>
    <n v="0"/>
    <n v="0"/>
    <n v="0"/>
    <n v="0"/>
    <n v="0"/>
    <n v="0"/>
    <n v="0"/>
    <n v="0"/>
    <n v="0"/>
    <n v="0"/>
    <n v="0"/>
    <x v="0"/>
    <n v="0"/>
    <n v="0"/>
    <n v="0"/>
    <s v="MMR001CMP103"/>
    <x v="0"/>
    <x v="0"/>
    <x v="0"/>
    <n v="0"/>
    <s v="No"/>
    <m/>
  </r>
  <r>
    <n v="46.7"/>
    <d v="2012-12-31T00:00:00"/>
    <x v="6"/>
    <s v="DRC"/>
    <s v="Kachin"/>
    <s v="Hpakant"/>
    <s v="Nga Pyaw Taw Roman Catholic Church"/>
    <n v="3"/>
    <m/>
    <m/>
    <m/>
    <m/>
    <m/>
    <m/>
    <m/>
    <n v="0"/>
    <n v="0"/>
    <m/>
    <m/>
    <m/>
    <m/>
    <m/>
    <m/>
    <m/>
    <n v="0"/>
    <n v="0"/>
    <n v="0"/>
    <n v="0"/>
    <n v="0"/>
    <n v="0"/>
    <n v="0"/>
    <n v="0"/>
    <n v="0"/>
    <n v="0"/>
    <n v="0"/>
    <n v="0"/>
    <n v="0"/>
    <n v="0"/>
    <x v="0"/>
    <n v="0"/>
    <n v="0"/>
    <n v="0"/>
    <s v="MMR001CMP083"/>
    <x v="0"/>
    <x v="2"/>
    <x v="4"/>
    <s v=""/>
    <s v="No"/>
    <m/>
  </r>
  <r>
    <n v="46.7"/>
    <d v="2012-12-31T00:00:00"/>
    <x v="6"/>
    <s v="DRC"/>
    <s v="Kachin"/>
    <s v="Waingmaw"/>
    <s v="Qtr. 2 Lhaovo Baptist Church"/>
    <n v="92"/>
    <m/>
    <m/>
    <m/>
    <m/>
    <m/>
    <m/>
    <m/>
    <n v="0"/>
    <n v="0"/>
    <m/>
    <m/>
    <m/>
    <m/>
    <m/>
    <m/>
    <m/>
    <n v="0"/>
    <n v="0"/>
    <n v="0"/>
    <n v="0"/>
    <n v="0"/>
    <n v="0"/>
    <n v="0"/>
    <n v="0"/>
    <n v="0"/>
    <n v="0"/>
    <n v="0"/>
    <n v="0"/>
    <n v="0"/>
    <n v="0"/>
    <x v="0"/>
    <n v="0"/>
    <n v="0"/>
    <n v="0"/>
    <s v="MMR001CMP032"/>
    <x v="0"/>
    <x v="0"/>
    <x v="0"/>
    <n v="0"/>
    <s v="No"/>
    <m/>
  </r>
  <r>
    <n v="46.7"/>
    <d v="2012-12-31T00:00:00"/>
    <x v="6"/>
    <s v="DRC"/>
    <s v="Kachin"/>
    <s v="Waingmaw"/>
    <s v="Qtr. 3 Mu-yin  Baptist Church"/>
    <n v="27"/>
    <m/>
    <m/>
    <m/>
    <m/>
    <m/>
    <m/>
    <m/>
    <n v="0"/>
    <n v="0"/>
    <m/>
    <m/>
    <m/>
    <m/>
    <m/>
    <m/>
    <m/>
    <n v="0"/>
    <n v="0"/>
    <n v="0"/>
    <n v="0"/>
    <n v="0"/>
    <n v="0"/>
    <n v="0"/>
    <n v="0"/>
    <n v="0"/>
    <n v="0"/>
    <n v="0"/>
    <n v="0"/>
    <n v="0"/>
    <n v="0"/>
    <x v="0"/>
    <n v="0"/>
    <n v="0"/>
    <n v="0"/>
    <s v="MMR001CMP030"/>
    <x v="0"/>
    <x v="0"/>
    <x v="0"/>
    <n v="0"/>
    <s v="No"/>
    <m/>
  </r>
  <r>
    <n v="46.7"/>
    <d v="2012-12-31T00:00:00"/>
    <x v="6"/>
    <s v="DRC"/>
    <s v="Kachin"/>
    <s v="Waingmaw"/>
    <s v="Qtr. 4 Monestry (Thargaya Thayett Taw)"/>
    <n v="96"/>
    <m/>
    <m/>
    <m/>
    <m/>
    <m/>
    <m/>
    <m/>
    <n v="0"/>
    <n v="0"/>
    <m/>
    <m/>
    <m/>
    <m/>
    <m/>
    <m/>
    <m/>
    <n v="0"/>
    <n v="0"/>
    <n v="0"/>
    <n v="0"/>
    <n v="0"/>
    <n v="0"/>
    <n v="0"/>
    <n v="0"/>
    <n v="0"/>
    <n v="0"/>
    <n v="0"/>
    <n v="0"/>
    <n v="0"/>
    <n v="0"/>
    <x v="0"/>
    <n v="0"/>
    <n v="0"/>
    <n v="0"/>
    <s v="MMR001CMP026"/>
    <x v="0"/>
    <x v="0"/>
    <x v="0"/>
    <n v="0"/>
    <s v="No"/>
    <m/>
  </r>
  <r>
    <n v="46.7"/>
    <d v="2012-12-31T00:00:00"/>
    <x v="6"/>
    <s v="DRC"/>
    <s v="Kachin"/>
    <s v="Myitkyina"/>
    <s v="Shatapru Thida Aye Baptist Church"/>
    <n v="17"/>
    <m/>
    <m/>
    <m/>
    <m/>
    <m/>
    <m/>
    <m/>
    <n v="0"/>
    <n v="0"/>
    <m/>
    <m/>
    <m/>
    <m/>
    <m/>
    <m/>
    <m/>
    <n v="0"/>
    <n v="0"/>
    <n v="0"/>
    <n v="0"/>
    <n v="0"/>
    <n v="0"/>
    <n v="0"/>
    <n v="0"/>
    <n v="0"/>
    <n v="0"/>
    <n v="0"/>
    <n v="0"/>
    <n v="0"/>
    <n v="0"/>
    <x v="0"/>
    <n v="0"/>
    <n v="0"/>
    <n v="0"/>
    <s v="MMR001CMP007"/>
    <x v="0"/>
    <x v="0"/>
    <x v="0"/>
    <n v="0"/>
    <s v="No"/>
    <m/>
  </r>
  <r>
    <n v="46.7"/>
    <d v="2012-12-31T00:00:00"/>
    <x v="6"/>
    <s v="DRC"/>
    <s v="Kachin"/>
    <s v="Myitkyina"/>
    <s v="Tat Kone COC Baptist - Tat Kone Htoi San"/>
    <n v="34"/>
    <m/>
    <m/>
    <m/>
    <m/>
    <m/>
    <m/>
    <m/>
    <n v="0"/>
    <n v="0"/>
    <m/>
    <m/>
    <m/>
    <m/>
    <m/>
    <m/>
    <m/>
    <n v="0"/>
    <n v="0"/>
    <n v="0"/>
    <n v="0"/>
    <n v="0"/>
    <n v="0"/>
    <n v="0"/>
    <n v="0"/>
    <n v="0"/>
    <n v="0"/>
    <n v="0"/>
    <n v="0"/>
    <n v="0"/>
    <n v="0"/>
    <x v="0"/>
    <n v="0"/>
    <n v="0"/>
    <n v="0"/>
    <s v="MMR001CMP023"/>
    <x v="0"/>
    <x v="0"/>
    <x v="0"/>
    <n v="0"/>
    <s v="No"/>
    <m/>
  </r>
  <r>
    <n v="46.7"/>
    <d v="2012-12-31T00:00:00"/>
    <x v="6"/>
    <s v="DRC"/>
    <s v="Kachin"/>
    <s v="Myitkyina"/>
    <s v="Tat Kone Emanuel Church"/>
    <n v="14"/>
    <m/>
    <m/>
    <m/>
    <m/>
    <m/>
    <m/>
    <m/>
    <n v="0"/>
    <n v="0"/>
    <m/>
    <m/>
    <m/>
    <m/>
    <m/>
    <m/>
    <m/>
    <n v="0"/>
    <n v="0"/>
    <n v="0"/>
    <n v="0"/>
    <n v="0"/>
    <n v="0"/>
    <n v="0"/>
    <n v="0"/>
    <n v="0"/>
    <n v="0"/>
    <n v="0"/>
    <n v="0"/>
    <n v="0"/>
    <n v="0"/>
    <x v="0"/>
    <n v="0"/>
    <n v="0"/>
    <n v="0"/>
    <s v="MMR001CMP004"/>
    <x v="0"/>
    <x v="0"/>
    <x v="0"/>
    <n v="0"/>
    <s v="No"/>
    <m/>
  </r>
  <r>
    <n v="46.7"/>
    <d v="2012-12-31T00:00:00"/>
    <x v="6"/>
    <s v="DRC"/>
    <s v="Kachin"/>
    <s v="Waingmaw"/>
    <s v="Thargaya Lisu Baptist Church"/>
    <n v="68"/>
    <m/>
    <m/>
    <m/>
    <m/>
    <m/>
    <m/>
    <m/>
    <n v="0"/>
    <n v="0"/>
    <m/>
    <m/>
    <m/>
    <m/>
    <m/>
    <m/>
    <m/>
    <n v="0"/>
    <n v="0"/>
    <n v="0"/>
    <n v="0"/>
    <n v="0"/>
    <n v="0"/>
    <n v="0"/>
    <n v="0"/>
    <n v="0"/>
    <n v="0"/>
    <n v="0"/>
    <n v="0"/>
    <n v="0"/>
    <n v="0"/>
    <x v="0"/>
    <n v="0"/>
    <n v="0"/>
    <n v="0"/>
    <s v="MMR001CMP037"/>
    <x v="0"/>
    <x v="0"/>
    <x v="0"/>
    <n v="0"/>
    <s v="No"/>
    <m/>
  </r>
  <r>
    <n v="46.7"/>
    <d v="2012-12-31T00:00:00"/>
    <x v="6"/>
    <s v="DRC"/>
    <s v="Kachin"/>
    <s v="Waingmaw"/>
    <s v="Waingmaw AG Church"/>
    <n v="56"/>
    <m/>
    <m/>
    <m/>
    <m/>
    <m/>
    <m/>
    <m/>
    <n v="0"/>
    <n v="0"/>
    <m/>
    <m/>
    <m/>
    <m/>
    <m/>
    <m/>
    <m/>
    <n v="0"/>
    <n v="0"/>
    <n v="0"/>
    <n v="0"/>
    <n v="0"/>
    <n v="0"/>
    <n v="0"/>
    <n v="0"/>
    <n v="0"/>
    <n v="0"/>
    <n v="0"/>
    <n v="0"/>
    <n v="0"/>
    <n v="0"/>
    <x v="0"/>
    <n v="0"/>
    <n v="0"/>
    <n v="0"/>
    <s v="MMR001CMP038"/>
    <x v="0"/>
    <x v="0"/>
    <x v="0"/>
    <n v="0"/>
    <s v="No"/>
    <m/>
  </r>
  <r>
    <n v="46.7"/>
    <d v="2012-12-31T00:00:00"/>
    <x v="6"/>
    <s v="DRC"/>
    <s v="Kachin"/>
    <s v="Hpakant"/>
    <s v="Wrad(5) Christian Association"/>
    <n v="3"/>
    <m/>
    <m/>
    <m/>
    <m/>
    <m/>
    <m/>
    <m/>
    <n v="0"/>
    <n v="0"/>
    <m/>
    <m/>
    <m/>
    <m/>
    <m/>
    <m/>
    <m/>
    <n v="0"/>
    <n v="0"/>
    <n v="0"/>
    <n v="0"/>
    <n v="0"/>
    <n v="0"/>
    <n v="0"/>
    <n v="0"/>
    <n v="0"/>
    <n v="0"/>
    <n v="0"/>
    <n v="0"/>
    <n v="0"/>
    <n v="0"/>
    <x v="0"/>
    <n v="0"/>
    <n v="0"/>
    <n v="0"/>
    <s v="MMR001CMP175"/>
    <x v="0"/>
    <x v="2"/>
    <x v="4"/>
    <s v=""/>
    <s v="No"/>
    <m/>
  </r>
  <r>
    <n v="46.7"/>
    <d v="2012-12-31T00:00:00"/>
    <x v="6"/>
    <s v="DRC"/>
    <s v="Kachin"/>
    <s v="Myitkyina"/>
    <s v="Wun Tho Buddhist Monastery"/>
    <n v="24"/>
    <m/>
    <m/>
    <m/>
    <m/>
    <m/>
    <m/>
    <m/>
    <n v="0"/>
    <n v="0"/>
    <m/>
    <m/>
    <m/>
    <m/>
    <m/>
    <m/>
    <m/>
    <n v="0"/>
    <n v="0"/>
    <n v="0"/>
    <n v="0"/>
    <n v="0"/>
    <n v="0"/>
    <n v="0"/>
    <n v="0"/>
    <n v="0"/>
    <n v="0"/>
    <n v="0"/>
    <n v="0"/>
    <n v="0"/>
    <n v="0"/>
    <x v="0"/>
    <n v="0"/>
    <n v="0"/>
    <n v="0"/>
    <s v="MMR001CMP022"/>
    <x v="0"/>
    <x v="0"/>
    <x v="0"/>
    <n v="0"/>
    <s v="No"/>
    <m/>
  </r>
  <r>
    <n v="46.7"/>
    <d v="2012-12-31T00:00:00"/>
    <x v="6"/>
    <s v="DRC"/>
    <s v="Kachin"/>
    <s v="Hpakant"/>
    <s v="Yumar Baptist Church"/>
    <n v="42"/>
    <m/>
    <m/>
    <m/>
    <m/>
    <m/>
    <m/>
    <m/>
    <n v="0"/>
    <n v="0"/>
    <m/>
    <m/>
    <m/>
    <m/>
    <m/>
    <m/>
    <m/>
    <n v="0"/>
    <n v="0"/>
    <n v="0"/>
    <n v="0"/>
    <n v="0"/>
    <n v="0"/>
    <n v="0"/>
    <n v="0"/>
    <n v="0"/>
    <n v="0"/>
    <n v="0"/>
    <n v="0"/>
    <n v="0"/>
    <n v="0"/>
    <x v="0"/>
    <n v="0"/>
    <n v="0"/>
    <n v="0"/>
    <s v="MMR001CMP105"/>
    <x v="0"/>
    <x v="0"/>
    <x v="0"/>
    <n v="0"/>
    <s v="No"/>
    <m/>
  </r>
  <r>
    <n v="47.033333333333331"/>
    <d v="2012-12-21T00:00:00"/>
    <x v="1"/>
    <s v="UNHCR"/>
    <s v="Kachin"/>
    <s v="Bhamo"/>
    <s v="Lisu Boarding-House"/>
    <m/>
    <m/>
    <m/>
    <n v="0"/>
    <n v="12"/>
    <n v="0"/>
    <n v="12"/>
    <n v="12"/>
    <n v="12"/>
    <n v="12"/>
    <m/>
    <m/>
    <m/>
    <m/>
    <m/>
    <m/>
    <m/>
    <n v="0"/>
    <n v="0"/>
    <n v="0"/>
    <n v="0"/>
    <n v="0"/>
    <n v="0"/>
    <n v="0"/>
    <n v="0"/>
    <n v="0"/>
    <n v="0"/>
    <n v="0"/>
    <n v="0"/>
    <n v="0"/>
    <n v="0"/>
    <x v="0"/>
    <n v="0"/>
    <n v="0"/>
    <n v="0"/>
    <s v="MMR001CMP049"/>
    <x v="0"/>
    <x v="0"/>
    <x v="0"/>
    <n v="0.10344827586206896"/>
    <s v="No"/>
    <m/>
  </r>
  <r>
    <n v="47.033333333333331"/>
    <d v="2012-12-21T00:00:00"/>
    <x v="1"/>
    <s v="UNHCR"/>
    <s v="Kachin"/>
    <s v="Bhamo"/>
    <s v="Robert Church"/>
    <m/>
    <m/>
    <m/>
    <n v="0"/>
    <n v="0"/>
    <n v="73"/>
    <n v="0"/>
    <n v="0"/>
    <m/>
    <m/>
    <m/>
    <m/>
    <m/>
    <m/>
    <m/>
    <m/>
    <m/>
    <n v="0"/>
    <n v="0"/>
    <n v="0"/>
    <n v="0"/>
    <n v="0"/>
    <n v="0"/>
    <n v="0"/>
    <n v="0"/>
    <n v="0"/>
    <n v="0"/>
    <n v="0"/>
    <n v="0"/>
    <n v="0"/>
    <n v="0"/>
    <x v="0"/>
    <n v="0"/>
    <n v="0"/>
    <n v="0"/>
    <s v="MMR001CMP047"/>
    <x v="0"/>
    <x v="0"/>
    <x v="0"/>
    <n v="0"/>
    <s v="No"/>
    <m/>
  </r>
  <r>
    <n v="47.033333333333331"/>
    <d v="2012-12-21T00:00:00"/>
    <x v="1"/>
    <s v="UNHCR"/>
    <s v="Kachin"/>
    <s v="Bhamo"/>
    <s v="Robert Church"/>
    <m/>
    <m/>
    <m/>
    <n v="24"/>
    <n v="12"/>
    <n v="24"/>
    <n v="12"/>
    <n v="12"/>
    <n v="12"/>
    <n v="12"/>
    <m/>
    <m/>
    <m/>
    <m/>
    <m/>
    <m/>
    <m/>
    <n v="0"/>
    <n v="0"/>
    <n v="0"/>
    <n v="0"/>
    <n v="0"/>
    <n v="0"/>
    <n v="0"/>
    <n v="0"/>
    <n v="0"/>
    <n v="0"/>
    <n v="0"/>
    <n v="0"/>
    <n v="0"/>
    <n v="0"/>
    <x v="0"/>
    <n v="0"/>
    <n v="0"/>
    <n v="0"/>
    <s v="MMR001CMP047"/>
    <x v="0"/>
    <x v="0"/>
    <x v="0"/>
    <n v="1.9169329073482427E-2"/>
    <s v="No"/>
    <m/>
  </r>
  <r>
    <n v="47.033333333333331"/>
    <d v="2012-12-21T00:00:00"/>
    <x v="1"/>
    <s v="UNHCR"/>
    <s v="Kachin"/>
    <s v="Shwegu"/>
    <s v="Shwe Gu Baptist Church"/>
    <m/>
    <m/>
    <m/>
    <n v="0"/>
    <n v="0"/>
    <n v="83"/>
    <n v="0"/>
    <n v="0"/>
    <m/>
    <m/>
    <m/>
    <m/>
    <m/>
    <m/>
    <m/>
    <m/>
    <m/>
    <n v="0"/>
    <n v="0"/>
    <n v="0"/>
    <n v="0"/>
    <n v="0"/>
    <n v="0"/>
    <n v="0"/>
    <n v="0"/>
    <n v="0"/>
    <n v="0"/>
    <n v="0"/>
    <n v="0"/>
    <n v="0"/>
    <n v="0"/>
    <x v="0"/>
    <n v="0"/>
    <n v="0"/>
    <n v="0"/>
    <s v="MMR001CMP067"/>
    <x v="0"/>
    <x v="0"/>
    <x v="0"/>
    <n v="0"/>
    <s v="No"/>
    <m/>
  </r>
  <r>
    <n v="47.033333333333331"/>
    <d v="2012-12-21T00:00:00"/>
    <x v="0"/>
    <s v="Solidarities"/>
    <s v="Kachin"/>
    <s v="Bhamo"/>
    <s v="Yoe Kyi Monastery"/>
    <n v="178"/>
    <m/>
    <m/>
    <m/>
    <m/>
    <m/>
    <m/>
    <m/>
    <m/>
    <m/>
    <m/>
    <m/>
    <m/>
    <m/>
    <m/>
    <m/>
    <m/>
    <n v="0"/>
    <n v="0"/>
    <n v="0"/>
    <n v="0"/>
    <n v="0"/>
    <n v="0"/>
    <n v="0"/>
    <n v="0"/>
    <n v="0"/>
    <n v="0"/>
    <n v="0"/>
    <n v="0"/>
    <n v="0"/>
    <n v="0"/>
    <x v="0"/>
    <n v="0"/>
    <n v="0"/>
    <n v="0"/>
    <s v="MMR001CMP053"/>
    <x v="0"/>
    <x v="0"/>
    <x v="0"/>
    <n v="0"/>
    <m/>
    <m/>
  </r>
  <r>
    <n v="47.033333333333331"/>
    <d v="2012-12-21T00:00:00"/>
    <x v="1"/>
    <s v="UNHCR"/>
    <s v="Kachin"/>
    <s v="Bhamo"/>
    <s v="Yoe Kyi Monastery"/>
    <m/>
    <m/>
    <m/>
    <n v="0"/>
    <n v="3"/>
    <n v="0"/>
    <n v="3"/>
    <n v="3"/>
    <n v="3"/>
    <n v="3"/>
    <m/>
    <m/>
    <m/>
    <m/>
    <m/>
    <m/>
    <m/>
    <n v="0"/>
    <n v="0"/>
    <n v="0"/>
    <n v="0"/>
    <n v="0"/>
    <n v="0"/>
    <n v="0"/>
    <n v="0"/>
    <n v="0"/>
    <n v="0"/>
    <n v="0"/>
    <n v="0"/>
    <n v="0"/>
    <n v="0"/>
    <x v="0"/>
    <n v="0"/>
    <n v="0"/>
    <n v="0"/>
    <s v="MMR001CMP053"/>
    <x v="0"/>
    <x v="0"/>
    <x v="0"/>
    <n v="0.2"/>
    <s v="No"/>
    <m/>
  </r>
  <r>
    <n v="47.06666666666667"/>
    <d v="2012-12-20T00:00:00"/>
    <x v="1"/>
    <s v="KBC"/>
    <s v="Kachin"/>
    <s v="Hpakant"/>
    <s v="Hlaing Naung Baptist"/>
    <m/>
    <m/>
    <m/>
    <n v="12"/>
    <n v="0"/>
    <n v="12"/>
    <n v="0"/>
    <n v="0"/>
    <m/>
    <m/>
    <m/>
    <m/>
    <m/>
    <m/>
    <m/>
    <m/>
    <m/>
    <n v="0"/>
    <n v="0"/>
    <n v="0"/>
    <n v="0"/>
    <n v="0"/>
    <n v="0"/>
    <n v="0"/>
    <n v="0"/>
    <n v="0"/>
    <n v="0"/>
    <n v="0"/>
    <n v="0"/>
    <n v="0"/>
    <n v="0"/>
    <x v="0"/>
    <n v="0"/>
    <n v="0"/>
    <n v="0"/>
    <s v="MMR001CMP148"/>
    <x v="0"/>
    <x v="0"/>
    <x v="0"/>
    <n v="0"/>
    <s v="No"/>
    <m/>
  </r>
  <r>
    <n v="47.06666666666667"/>
    <d v="2012-12-20T00:00:00"/>
    <x v="1"/>
    <s v="UNHCR"/>
    <s v="Kachin"/>
    <s v="Myitkyina"/>
    <s v="Jan Mai Kawng Baptist Church"/>
    <m/>
    <m/>
    <m/>
    <n v="19"/>
    <n v="10"/>
    <n v="19"/>
    <n v="10"/>
    <n v="10"/>
    <n v="10"/>
    <n v="10"/>
    <m/>
    <m/>
    <m/>
    <m/>
    <m/>
    <m/>
    <m/>
    <n v="0"/>
    <n v="0"/>
    <n v="0"/>
    <n v="0"/>
    <n v="0"/>
    <n v="0"/>
    <n v="0"/>
    <n v="0"/>
    <n v="0"/>
    <n v="0"/>
    <n v="0"/>
    <n v="0"/>
    <n v="0"/>
    <n v="0"/>
    <x v="0"/>
    <n v="0"/>
    <n v="0"/>
    <n v="0"/>
    <s v="MMR001CMP018"/>
    <x v="0"/>
    <x v="0"/>
    <x v="0"/>
    <n v="5.0505050505050504E-2"/>
    <s v="No"/>
    <m/>
  </r>
  <r>
    <n v="47.1"/>
    <d v="2012-12-19T00:00:00"/>
    <x v="1"/>
    <s v="UNHCR"/>
    <s v="Kachin"/>
    <s v="Myitkyina"/>
    <s v="Pa Dauk Myaing(Pa La Na)"/>
    <m/>
    <m/>
    <m/>
    <n v="37"/>
    <n v="10"/>
    <n v="37"/>
    <n v="10"/>
    <n v="10"/>
    <n v="10"/>
    <n v="10"/>
    <m/>
    <m/>
    <m/>
    <m/>
    <m/>
    <m/>
    <m/>
    <n v="0"/>
    <n v="0"/>
    <n v="0"/>
    <n v="0"/>
    <n v="0"/>
    <n v="0"/>
    <n v="0"/>
    <n v="0"/>
    <n v="0"/>
    <n v="0"/>
    <n v="0"/>
    <n v="0"/>
    <n v="0"/>
    <n v="0"/>
    <x v="0"/>
    <n v="0"/>
    <n v="0"/>
    <n v="0"/>
    <s v="MMR001CMP162"/>
    <x v="0"/>
    <x v="0"/>
    <x v="0"/>
    <n v="0.21739130434782608"/>
    <s v="No"/>
    <m/>
  </r>
  <r>
    <n v="47.133333333333333"/>
    <d v="2012-12-18T00:00:00"/>
    <x v="0"/>
    <s v="Solidarities"/>
    <s v="Kachin"/>
    <s v="Momauk"/>
    <s v="Loi Je Baptist Church"/>
    <m/>
    <m/>
    <n v="54"/>
    <m/>
    <m/>
    <m/>
    <m/>
    <m/>
    <m/>
    <m/>
    <m/>
    <m/>
    <m/>
    <m/>
    <m/>
    <m/>
    <m/>
    <n v="0"/>
    <n v="0"/>
    <n v="0"/>
    <n v="0"/>
    <n v="0"/>
    <n v="0"/>
    <n v="0"/>
    <n v="0"/>
    <n v="0"/>
    <n v="0"/>
    <n v="0"/>
    <n v="0"/>
    <n v="0"/>
    <n v="0"/>
    <x v="0"/>
    <n v="0"/>
    <n v="0"/>
    <n v="0"/>
    <s v="MMR001CMP071"/>
    <x v="0"/>
    <x v="0"/>
    <x v="1"/>
    <n v="0"/>
    <m/>
    <m/>
  </r>
  <r>
    <n v="47.133333333333333"/>
    <d v="2012-12-18T00:00:00"/>
    <x v="1"/>
    <s v="UNHCR"/>
    <s v="Kachin"/>
    <s v="Myitkyina"/>
    <s v="Shwe Zet Baptist Church"/>
    <m/>
    <m/>
    <m/>
    <n v="30"/>
    <n v="20"/>
    <n v="30"/>
    <n v="20"/>
    <n v="20"/>
    <n v="20"/>
    <n v="20"/>
    <m/>
    <m/>
    <m/>
    <m/>
    <m/>
    <m/>
    <m/>
    <n v="0"/>
    <n v="0"/>
    <n v="0"/>
    <n v="0"/>
    <n v="0"/>
    <n v="0"/>
    <n v="0"/>
    <n v="0"/>
    <n v="0"/>
    <n v="0"/>
    <n v="0"/>
    <n v="0"/>
    <n v="0"/>
    <n v="0"/>
    <x v="0"/>
    <n v="0"/>
    <n v="0"/>
    <n v="0"/>
    <s v="MMR001CMP009"/>
    <x v="0"/>
    <x v="0"/>
    <x v="0"/>
    <n v="0.27397260273972601"/>
    <s v="No"/>
    <m/>
  </r>
  <r>
    <n v="47.233333333333334"/>
    <d v="2012-12-15T00:00:00"/>
    <x v="0"/>
    <s v="KBC"/>
    <s v="Kachin"/>
    <s v="Mansi"/>
    <s v="Bum Tsit Pa "/>
    <n v="587"/>
    <m/>
    <m/>
    <m/>
    <m/>
    <m/>
    <m/>
    <m/>
    <n v="0"/>
    <n v="0"/>
    <m/>
    <m/>
    <m/>
    <m/>
    <m/>
    <m/>
    <m/>
    <n v="0"/>
    <n v="0"/>
    <n v="0"/>
    <n v="0"/>
    <n v="0"/>
    <n v="0"/>
    <n v="0"/>
    <n v="0"/>
    <n v="0"/>
    <n v="0"/>
    <n v="0"/>
    <n v="0"/>
    <n v="0"/>
    <n v="0"/>
    <x v="0"/>
    <n v="0"/>
    <n v="0"/>
    <n v="0"/>
    <s v="MMR001CMP129"/>
    <x v="0"/>
    <x v="0"/>
    <x v="6"/>
    <n v="0"/>
    <s v="No"/>
    <m/>
  </r>
  <r>
    <n v="47.3"/>
    <d v="2012-12-13T00:00:00"/>
    <x v="1"/>
    <s v="UNHCR"/>
    <s v="Kachin"/>
    <s v="Myitkyina"/>
    <s v="Nan Kway St. John Catholic Church"/>
    <m/>
    <m/>
    <m/>
    <n v="16"/>
    <n v="7"/>
    <n v="16"/>
    <n v="7"/>
    <n v="7"/>
    <n v="7"/>
    <n v="7"/>
    <m/>
    <m/>
    <m/>
    <m/>
    <m/>
    <m/>
    <m/>
    <n v="0"/>
    <n v="0"/>
    <n v="0"/>
    <n v="0"/>
    <n v="0"/>
    <n v="0"/>
    <n v="0"/>
    <n v="0"/>
    <n v="0"/>
    <n v="0"/>
    <n v="0"/>
    <n v="0"/>
    <n v="0"/>
    <n v="0"/>
    <x v="0"/>
    <n v="0"/>
    <n v="0"/>
    <n v="0"/>
    <s v="MMR001CMP024"/>
    <x v="0"/>
    <x v="0"/>
    <x v="0"/>
    <n v="0.10294117647058823"/>
    <s v="No"/>
    <m/>
  </r>
  <r>
    <n v="47.333333333333336"/>
    <d v="2012-12-12T00:00:00"/>
    <x v="0"/>
    <s v="Solidarities"/>
    <s v="Kachin"/>
    <s v="Momauk"/>
    <s v="Je Yang Hka "/>
    <n v="5228"/>
    <m/>
    <m/>
    <m/>
    <m/>
    <m/>
    <m/>
    <m/>
    <n v="0"/>
    <n v="0"/>
    <m/>
    <m/>
    <m/>
    <m/>
    <m/>
    <m/>
    <m/>
    <n v="0"/>
    <n v="0"/>
    <n v="0"/>
    <n v="0"/>
    <n v="0"/>
    <n v="0"/>
    <n v="0"/>
    <n v="0"/>
    <n v="0"/>
    <n v="0"/>
    <n v="0"/>
    <n v="0"/>
    <n v="0"/>
    <n v="0"/>
    <x v="0"/>
    <n v="0"/>
    <n v="0"/>
    <n v="0"/>
    <s v="MMR001CMP121"/>
    <x v="0"/>
    <x v="0"/>
    <x v="6"/>
    <n v="0"/>
    <s v="No"/>
    <m/>
  </r>
  <r>
    <n v="47.366666666666667"/>
    <d v="2012-12-11T00:00:00"/>
    <x v="0"/>
    <s v="Solidarities"/>
    <s v="Kachin"/>
    <s v="Momauk"/>
    <s v="Hpun Lum Yang "/>
    <n v="1658"/>
    <m/>
    <m/>
    <m/>
    <m/>
    <m/>
    <m/>
    <m/>
    <n v="0"/>
    <n v="0"/>
    <m/>
    <m/>
    <m/>
    <m/>
    <m/>
    <m/>
    <m/>
    <n v="0"/>
    <n v="0"/>
    <n v="0"/>
    <n v="0"/>
    <n v="0"/>
    <n v="0"/>
    <n v="0"/>
    <n v="0"/>
    <n v="0"/>
    <n v="0"/>
    <n v="0"/>
    <n v="0"/>
    <n v="0"/>
    <n v="0"/>
    <x v="0"/>
    <n v="0"/>
    <n v="0"/>
    <n v="0"/>
    <s v="MMR001CMP122"/>
    <x v="0"/>
    <x v="0"/>
    <x v="6"/>
    <n v="0"/>
    <s v="No"/>
    <m/>
  </r>
  <r>
    <n v="47.4"/>
    <d v="2012-12-10T00:00:00"/>
    <x v="0"/>
    <s v="KBC"/>
    <s v="Kachin"/>
    <s v="Waingmaw"/>
    <s v="Woi Chyai "/>
    <n v="4285"/>
    <m/>
    <m/>
    <m/>
    <m/>
    <m/>
    <m/>
    <m/>
    <n v="0"/>
    <n v="0"/>
    <m/>
    <m/>
    <m/>
    <m/>
    <m/>
    <m/>
    <m/>
    <n v="0"/>
    <n v="0"/>
    <n v="0"/>
    <n v="0"/>
    <n v="0"/>
    <n v="0"/>
    <n v="0"/>
    <n v="0"/>
    <n v="0"/>
    <n v="0"/>
    <n v="0"/>
    <n v="0"/>
    <n v="0"/>
    <n v="0"/>
    <x v="0"/>
    <n v="0"/>
    <n v="0"/>
    <n v="0"/>
    <s v="MMR001CMP116"/>
    <x v="0"/>
    <x v="0"/>
    <x v="0"/>
    <n v="0"/>
    <s v="No"/>
    <m/>
  </r>
  <r>
    <n v="47.466666666666669"/>
    <d v="2012-12-08T00:00:00"/>
    <x v="0"/>
    <s v="KBC"/>
    <s v="Kachin"/>
    <s v="Waingmaw"/>
    <s v="Laiza Market 3 - Laiza Gat"/>
    <n v="1690"/>
    <m/>
    <m/>
    <m/>
    <m/>
    <m/>
    <m/>
    <m/>
    <n v="0"/>
    <n v="0"/>
    <m/>
    <m/>
    <m/>
    <m/>
    <m/>
    <m/>
    <m/>
    <n v="0"/>
    <n v="0"/>
    <n v="0"/>
    <n v="0"/>
    <n v="0"/>
    <n v="0"/>
    <n v="0"/>
    <n v="0"/>
    <n v="0"/>
    <n v="0"/>
    <n v="0"/>
    <n v="0"/>
    <n v="0"/>
    <n v="0"/>
    <x v="0"/>
    <n v="0"/>
    <n v="0"/>
    <n v="0"/>
    <s v="MMR001CMP117"/>
    <x v="0"/>
    <x v="2"/>
    <x v="6"/>
    <s v=""/>
    <s v="No"/>
    <m/>
  </r>
  <r>
    <n v="48.333333333333336"/>
    <d v="2012-11-12T00:00:00"/>
    <x v="1"/>
    <s v="UNHCR"/>
    <s v="Kachin"/>
    <s v="Waingmaw"/>
    <s v="Qtr. 2 Lhaovo Baptist Church"/>
    <m/>
    <m/>
    <m/>
    <n v="12"/>
    <n v="12"/>
    <n v="12"/>
    <n v="5"/>
    <n v="5"/>
    <n v="5"/>
    <n v="5"/>
    <m/>
    <m/>
    <m/>
    <m/>
    <m/>
    <m/>
    <m/>
    <n v="0"/>
    <n v="0"/>
    <n v="0"/>
    <n v="0"/>
    <n v="0"/>
    <n v="0"/>
    <n v="0"/>
    <n v="0"/>
    <n v="0"/>
    <n v="0"/>
    <n v="0"/>
    <n v="0"/>
    <n v="0"/>
    <n v="0"/>
    <x v="0"/>
    <n v="0"/>
    <n v="0"/>
    <n v="0"/>
    <s v="MMR001CMP032"/>
    <x v="0"/>
    <x v="0"/>
    <x v="0"/>
    <n v="5.4945054945054944E-2"/>
    <s v="No"/>
    <m/>
  </r>
  <r>
    <n v="48.4"/>
    <d v="2012-11-10T00:00:00"/>
    <x v="1"/>
    <s v="UNHCR"/>
    <s v="Kachin"/>
    <s v="Hpakant"/>
    <s v="Hlaing Naung Baptist"/>
    <m/>
    <m/>
    <m/>
    <n v="12"/>
    <n v="0"/>
    <n v="12"/>
    <n v="0"/>
    <n v="0"/>
    <m/>
    <m/>
    <m/>
    <m/>
    <m/>
    <m/>
    <m/>
    <m/>
    <m/>
    <n v="0"/>
    <n v="0"/>
    <n v="0"/>
    <n v="0"/>
    <n v="0"/>
    <n v="0"/>
    <n v="0"/>
    <n v="0"/>
    <n v="0"/>
    <n v="0"/>
    <n v="0"/>
    <n v="0"/>
    <n v="0"/>
    <n v="0"/>
    <x v="0"/>
    <n v="0"/>
    <n v="0"/>
    <n v="0"/>
    <s v="MMR001CMP148"/>
    <x v="0"/>
    <x v="0"/>
    <x v="0"/>
    <n v="0"/>
    <s v="No"/>
    <m/>
  </r>
  <r>
    <n v="48.56666666666667"/>
    <d v="2012-11-05T00:00:00"/>
    <x v="1"/>
    <s v="UNHCR"/>
    <s v="Kachin"/>
    <s v="Hpakant"/>
    <s v="Hlaing Naung Baptist"/>
    <m/>
    <m/>
    <m/>
    <n v="70"/>
    <n v="40"/>
    <n v="70"/>
    <n v="40"/>
    <n v="40"/>
    <n v="40"/>
    <n v="40"/>
    <m/>
    <m/>
    <m/>
    <m/>
    <m/>
    <m/>
    <m/>
    <n v="0"/>
    <n v="0"/>
    <n v="0"/>
    <n v="0"/>
    <n v="0"/>
    <n v="0"/>
    <n v="0"/>
    <n v="0"/>
    <n v="0"/>
    <n v="0"/>
    <n v="0"/>
    <n v="0"/>
    <n v="0"/>
    <n v="0"/>
    <x v="0"/>
    <n v="0"/>
    <n v="0"/>
    <n v="0"/>
    <s v="MMR001CMP148"/>
    <x v="0"/>
    <x v="0"/>
    <x v="0"/>
    <n v="3.0769230769230771"/>
    <s v="No"/>
    <m/>
  </r>
  <r>
    <n v="48.93333333333333"/>
    <d v="2012-10-25T00:00:00"/>
    <x v="0"/>
    <s v="Solidarities"/>
    <s v="Kachin"/>
    <s v="Momauk"/>
    <s v="Khun Sint Village"/>
    <n v="23"/>
    <m/>
    <m/>
    <m/>
    <m/>
    <m/>
    <m/>
    <m/>
    <m/>
    <m/>
    <m/>
    <m/>
    <m/>
    <m/>
    <m/>
    <m/>
    <m/>
    <n v="0"/>
    <n v="0"/>
    <n v="0"/>
    <n v="0"/>
    <n v="0"/>
    <n v="0"/>
    <n v="0"/>
    <n v="0"/>
    <n v="0"/>
    <n v="0"/>
    <n v="0"/>
    <n v="0"/>
    <n v="0"/>
    <n v="0"/>
    <x v="0"/>
    <n v="0"/>
    <n v="0"/>
    <n v="0"/>
    <s v="MMR001CMP200"/>
    <x v="0"/>
    <x v="0"/>
    <x v="0"/>
    <n v="0"/>
    <m/>
    <m/>
  </r>
  <r>
    <n v="49.133333333333333"/>
    <d v="2012-10-19T00:00:00"/>
    <x v="0"/>
    <s v="Solidarities"/>
    <s v="Kachin"/>
    <s v="Bhamo"/>
    <s v="Ta Gun Taing Monastery (Shwe Kyi Na)"/>
    <n v="47"/>
    <m/>
    <m/>
    <m/>
    <m/>
    <m/>
    <m/>
    <m/>
    <m/>
    <m/>
    <m/>
    <m/>
    <m/>
    <m/>
    <m/>
    <m/>
    <m/>
    <n v="0"/>
    <n v="0"/>
    <n v="0"/>
    <n v="0"/>
    <n v="0"/>
    <n v="0"/>
    <n v="0"/>
    <n v="0"/>
    <n v="0"/>
    <n v="0"/>
    <n v="0"/>
    <n v="0"/>
    <n v="0"/>
    <n v="0"/>
    <x v="0"/>
    <n v="0"/>
    <n v="0"/>
    <n v="0"/>
    <s v="MMR001CMP055"/>
    <x v="0"/>
    <x v="0"/>
    <x v="0"/>
    <n v="0"/>
    <m/>
    <m/>
  </r>
  <r>
    <n v="49.266666666666666"/>
    <d v="2012-10-15T00:00:00"/>
    <x v="0"/>
    <s v="LDO"/>
    <s v="Kachin"/>
    <s v="Shwegu"/>
    <s v="Thai Ra Yan"/>
    <n v="38"/>
    <m/>
    <m/>
    <m/>
    <m/>
    <m/>
    <m/>
    <m/>
    <m/>
    <m/>
    <m/>
    <m/>
    <m/>
    <m/>
    <m/>
    <m/>
    <m/>
    <n v="0"/>
    <n v="0"/>
    <n v="0"/>
    <n v="0"/>
    <n v="0"/>
    <n v="0"/>
    <n v="0"/>
    <n v="0"/>
    <n v="0"/>
    <n v="0"/>
    <n v="0"/>
    <n v="0"/>
    <n v="0"/>
    <n v="0"/>
    <x v="0"/>
    <n v="0"/>
    <n v="0"/>
    <n v="0"/>
    <s v=""/>
    <x v="3"/>
    <x v="1"/>
    <x v="4"/>
    <s v=""/>
    <m/>
    <m/>
  </r>
  <r>
    <n v="49.4"/>
    <d v="2012-10-11T00:00:00"/>
    <x v="1"/>
    <s v="UNHCR"/>
    <s v="Kachin"/>
    <s v="Momauk"/>
    <s v="Seng Ja "/>
    <m/>
    <m/>
    <m/>
    <n v="28"/>
    <n v="17"/>
    <n v="28"/>
    <n v="17"/>
    <n v="17"/>
    <n v="17"/>
    <n v="17"/>
    <m/>
    <m/>
    <m/>
    <m/>
    <m/>
    <m/>
    <m/>
    <n v="0"/>
    <n v="0"/>
    <n v="0"/>
    <n v="0"/>
    <n v="0"/>
    <n v="0"/>
    <n v="0"/>
    <n v="0"/>
    <n v="0"/>
    <n v="0"/>
    <n v="0"/>
    <n v="0"/>
    <n v="0"/>
    <n v="0"/>
    <x v="0"/>
    <n v="0"/>
    <n v="0"/>
    <n v="0"/>
    <s v="MMR001CMP073"/>
    <x v="0"/>
    <x v="0"/>
    <x v="1"/>
    <n v="0.41463414634146339"/>
    <s v="No"/>
    <m/>
  </r>
  <r>
    <n v="49.766666666666666"/>
    <d v="2012-09-30T00:00:00"/>
    <x v="1"/>
    <s v="Chipwe CM"/>
    <s v="Kachin"/>
    <s v="Chipwi"/>
    <s v="Women's Affairs Association Building"/>
    <m/>
    <m/>
    <m/>
    <n v="34"/>
    <n v="12"/>
    <n v="34"/>
    <n v="12"/>
    <n v="12"/>
    <n v="12"/>
    <n v="12"/>
    <m/>
    <m/>
    <m/>
    <m/>
    <m/>
    <m/>
    <m/>
    <n v="0"/>
    <n v="0"/>
    <n v="0"/>
    <n v="0"/>
    <n v="0"/>
    <n v="0"/>
    <n v="0"/>
    <n v="0"/>
    <n v="0"/>
    <n v="0"/>
    <n v="0"/>
    <n v="0"/>
    <n v="0"/>
    <n v="0"/>
    <x v="0"/>
    <n v="0"/>
    <n v="0"/>
    <n v="0"/>
    <s v="MMR001CMP044"/>
    <x v="0"/>
    <x v="2"/>
    <x v="4"/>
    <s v=""/>
    <s v="No"/>
    <m/>
  </r>
  <r>
    <n v="49.8"/>
    <d v="2012-09-29T00:00:00"/>
    <x v="1"/>
    <s v="Chipwe CM"/>
    <s v="Kachin"/>
    <s v="Chipwi"/>
    <s v="Lhaovao Baptist Church (LBC)"/>
    <m/>
    <m/>
    <m/>
    <n v="34"/>
    <n v="12"/>
    <n v="34"/>
    <n v="12"/>
    <n v="12"/>
    <n v="12"/>
    <n v="12"/>
    <m/>
    <m/>
    <m/>
    <m/>
    <m/>
    <m/>
    <m/>
    <n v="0"/>
    <n v="0"/>
    <n v="0"/>
    <n v="0"/>
    <n v="0"/>
    <n v="0"/>
    <n v="0"/>
    <n v="0"/>
    <n v="0"/>
    <n v="0"/>
    <n v="0"/>
    <n v="0"/>
    <n v="0"/>
    <n v="0"/>
    <x v="0"/>
    <n v="0"/>
    <n v="0"/>
    <n v="0"/>
    <s v="MMR001CMP195"/>
    <x v="0"/>
    <x v="0"/>
    <x v="5"/>
    <n v="8.3916083916083919E-2"/>
    <s v="No"/>
    <m/>
  </r>
  <r>
    <n v="49.8"/>
    <d v="2012-09-29T00:00:00"/>
    <x v="1"/>
    <s v="UNHCR"/>
    <s v="Kachin"/>
    <s v="Momauk"/>
    <s v="Loi Je Lisu Camp"/>
    <m/>
    <m/>
    <m/>
    <n v="151"/>
    <n v="59"/>
    <n v="151"/>
    <n v="59"/>
    <n v="59"/>
    <n v="59"/>
    <n v="59"/>
    <m/>
    <m/>
    <m/>
    <m/>
    <m/>
    <m/>
    <m/>
    <n v="0"/>
    <n v="0"/>
    <n v="0"/>
    <n v="0"/>
    <n v="0"/>
    <n v="0"/>
    <n v="0"/>
    <n v="0"/>
    <n v="0"/>
    <n v="0"/>
    <n v="0"/>
    <n v="0"/>
    <n v="0"/>
    <n v="0"/>
    <x v="0"/>
    <n v="0"/>
    <n v="0"/>
    <n v="0"/>
    <s v="MMR001CMP070"/>
    <x v="0"/>
    <x v="0"/>
    <x v="1"/>
    <n v="0.30729166666666669"/>
    <s v="No"/>
    <m/>
  </r>
  <r>
    <n v="49.833333333333336"/>
    <d v="2012-09-28T00:00:00"/>
    <x v="1"/>
    <s v="Chipwe CM"/>
    <s v="Kachin"/>
    <s v="Chipwi"/>
    <s v="Lan Jaw "/>
    <m/>
    <m/>
    <m/>
    <n v="33"/>
    <n v="11"/>
    <n v="33"/>
    <n v="11"/>
    <n v="11"/>
    <n v="11"/>
    <n v="11"/>
    <m/>
    <m/>
    <m/>
    <m/>
    <m/>
    <m/>
    <m/>
    <n v="0"/>
    <n v="0"/>
    <n v="0"/>
    <n v="0"/>
    <n v="0"/>
    <n v="0"/>
    <n v="0"/>
    <n v="0"/>
    <n v="0"/>
    <n v="0"/>
    <n v="0"/>
    <n v="0"/>
    <n v="0"/>
    <n v="0"/>
    <x v="0"/>
    <n v="0"/>
    <n v="0"/>
    <n v="0"/>
    <s v="MMR001CMP045"/>
    <x v="0"/>
    <x v="0"/>
    <x v="5"/>
    <s v=""/>
    <s v="No"/>
    <m/>
  </r>
  <r>
    <n v="49.866666666666667"/>
    <d v="2012-09-27T00:00:00"/>
    <x v="1"/>
    <s v="Chipwe CM"/>
    <s v="Kachin"/>
    <s v="Chipwi"/>
    <s v="Hpare Hkyer - BP6"/>
    <m/>
    <m/>
    <m/>
    <n v="33"/>
    <n v="11"/>
    <n v="33"/>
    <n v="11"/>
    <n v="11"/>
    <n v="11"/>
    <n v="11"/>
    <m/>
    <m/>
    <m/>
    <m/>
    <m/>
    <m/>
    <m/>
    <n v="0"/>
    <n v="0"/>
    <n v="0"/>
    <n v="0"/>
    <n v="0"/>
    <n v="0"/>
    <n v="0"/>
    <n v="0"/>
    <n v="0"/>
    <n v="0"/>
    <n v="0"/>
    <n v="0"/>
    <n v="0"/>
    <n v="0"/>
    <x v="0"/>
    <n v="0"/>
    <n v="0"/>
    <n v="0"/>
    <s v="MMR001CMP043"/>
    <x v="0"/>
    <x v="0"/>
    <x v="5"/>
    <n v="7.0512820512820512E-2"/>
    <s v="No"/>
    <m/>
  </r>
  <r>
    <n v="49.9"/>
    <d v="2012-09-26T00:00:00"/>
    <x v="1"/>
    <s v="Chipwe CM"/>
    <s v="Kachin"/>
    <s v="Chipwi"/>
    <s v="Gant Gwin"/>
    <m/>
    <m/>
    <m/>
    <n v="33"/>
    <n v="11"/>
    <n v="33"/>
    <n v="11"/>
    <n v="11"/>
    <n v="11"/>
    <n v="11"/>
    <m/>
    <m/>
    <m/>
    <m/>
    <m/>
    <m/>
    <m/>
    <n v="0"/>
    <n v="0"/>
    <n v="0"/>
    <n v="0"/>
    <n v="0"/>
    <n v="0"/>
    <n v="0"/>
    <n v="0"/>
    <n v="0"/>
    <n v="0"/>
    <n v="0"/>
    <n v="0"/>
    <n v="0"/>
    <n v="0"/>
    <x v="0"/>
    <n v="0"/>
    <n v="0"/>
    <n v="0"/>
    <s v="MMR001CMP046"/>
    <x v="0"/>
    <x v="2"/>
    <x v="5"/>
    <s v=""/>
    <s v="No"/>
    <m/>
  </r>
  <r>
    <n v="49.93333333333333"/>
    <d v="2012-09-25T00:00:00"/>
    <x v="1"/>
    <s v="Chipwe CM"/>
    <s v="Kachin"/>
    <s v="Chipwi"/>
    <s v="Chipwi KBC camp"/>
    <m/>
    <m/>
    <m/>
    <n v="33"/>
    <n v="11"/>
    <n v="33"/>
    <n v="11"/>
    <n v="11"/>
    <n v="11"/>
    <n v="11"/>
    <m/>
    <m/>
    <m/>
    <m/>
    <m/>
    <m/>
    <m/>
    <n v="0"/>
    <n v="0"/>
    <n v="0"/>
    <n v="0"/>
    <n v="0"/>
    <n v="0"/>
    <n v="0"/>
    <n v="0"/>
    <n v="0"/>
    <n v="0"/>
    <n v="0"/>
    <n v="0"/>
    <n v="0"/>
    <n v="0"/>
    <x v="0"/>
    <n v="0"/>
    <n v="0"/>
    <n v="0"/>
    <s v="MMR001CMP042"/>
    <x v="0"/>
    <x v="0"/>
    <x v="5"/>
    <n v="0.1"/>
    <s v="No"/>
    <m/>
  </r>
  <r>
    <n v="50.1"/>
    <d v="2012-09-20T00:00:00"/>
    <x v="0"/>
    <s v="LDO"/>
    <s v="Kachin"/>
    <s v="Shwegu"/>
    <s v="Kapaung"/>
    <n v="92"/>
    <m/>
    <m/>
    <m/>
    <m/>
    <m/>
    <m/>
    <m/>
    <m/>
    <m/>
    <m/>
    <m/>
    <m/>
    <m/>
    <m/>
    <m/>
    <m/>
    <n v="0"/>
    <n v="0"/>
    <n v="0"/>
    <n v="0"/>
    <n v="0"/>
    <n v="0"/>
    <n v="0"/>
    <n v="0"/>
    <n v="0"/>
    <n v="0"/>
    <n v="0"/>
    <n v="0"/>
    <n v="0"/>
    <n v="0"/>
    <x v="0"/>
    <n v="0"/>
    <n v="0"/>
    <n v="0"/>
    <s v=""/>
    <x v="3"/>
    <x v="1"/>
    <x v="4"/>
    <s v=""/>
    <m/>
    <m/>
  </r>
  <r>
    <n v="50.166666666666664"/>
    <d v="2012-09-18T00:00:00"/>
    <x v="0"/>
    <s v="LDO"/>
    <s v="Kachin"/>
    <s v="Shwegu"/>
    <s v="Shwe Gu Baptist Church"/>
    <n v="98"/>
    <m/>
    <m/>
    <m/>
    <m/>
    <m/>
    <m/>
    <m/>
    <m/>
    <m/>
    <m/>
    <m/>
    <m/>
    <m/>
    <m/>
    <m/>
    <m/>
    <n v="0"/>
    <n v="0"/>
    <n v="0"/>
    <n v="0"/>
    <n v="0"/>
    <n v="0"/>
    <n v="0"/>
    <n v="0"/>
    <n v="0"/>
    <n v="0"/>
    <n v="0"/>
    <n v="0"/>
    <n v="0"/>
    <n v="0"/>
    <x v="0"/>
    <n v="0"/>
    <n v="0"/>
    <n v="0"/>
    <s v="MMR001CMP067"/>
    <x v="0"/>
    <x v="0"/>
    <x v="0"/>
    <n v="0"/>
    <m/>
    <m/>
  </r>
  <r>
    <n v="50.166666666666664"/>
    <d v="2012-09-18T00:00:00"/>
    <x v="0"/>
    <s v="LDO"/>
    <s v="Kachin"/>
    <s v="Shwegu"/>
    <s v="Shwe Gu Catholic Church"/>
    <n v="59"/>
    <m/>
    <m/>
    <m/>
    <m/>
    <m/>
    <m/>
    <m/>
    <m/>
    <m/>
    <m/>
    <m/>
    <m/>
    <m/>
    <m/>
    <m/>
    <m/>
    <n v="0"/>
    <n v="0"/>
    <n v="0"/>
    <n v="0"/>
    <n v="0"/>
    <n v="0"/>
    <n v="0"/>
    <n v="0"/>
    <n v="0"/>
    <n v="0"/>
    <n v="0"/>
    <n v="0"/>
    <n v="0"/>
    <n v="0"/>
    <x v="0"/>
    <n v="0"/>
    <n v="0"/>
    <n v="0"/>
    <s v="MMR001CMP068"/>
    <x v="0"/>
    <x v="0"/>
    <x v="0"/>
    <n v="0"/>
    <m/>
    <m/>
  </r>
  <r>
    <n v="50.166666666666664"/>
    <d v="2012-09-18T00:00:00"/>
    <x v="0"/>
    <s v="LDO"/>
    <s v="Kachin"/>
    <s v="Shwegu"/>
    <s v="Lot Aung"/>
    <n v="45"/>
    <m/>
    <m/>
    <m/>
    <m/>
    <m/>
    <m/>
    <m/>
    <m/>
    <m/>
    <m/>
    <m/>
    <m/>
    <m/>
    <m/>
    <m/>
    <m/>
    <n v="0"/>
    <n v="0"/>
    <n v="0"/>
    <n v="0"/>
    <n v="0"/>
    <n v="0"/>
    <n v="0"/>
    <n v="0"/>
    <n v="0"/>
    <n v="0"/>
    <n v="0"/>
    <n v="0"/>
    <n v="0"/>
    <n v="0"/>
    <x v="0"/>
    <n v="0"/>
    <n v="0"/>
    <n v="0"/>
    <s v=""/>
    <x v="3"/>
    <x v="1"/>
    <x v="4"/>
    <s v=""/>
    <m/>
    <m/>
  </r>
  <r>
    <n v="50.166666666666664"/>
    <d v="2012-09-18T00:00:00"/>
    <x v="0"/>
    <s v="LDO"/>
    <s v="Kachin"/>
    <s v="Shwegu"/>
    <s v="Pan Dang"/>
    <n v="22"/>
    <m/>
    <m/>
    <m/>
    <m/>
    <m/>
    <m/>
    <m/>
    <m/>
    <m/>
    <m/>
    <m/>
    <m/>
    <m/>
    <m/>
    <m/>
    <m/>
    <n v="0"/>
    <n v="0"/>
    <n v="0"/>
    <n v="0"/>
    <n v="0"/>
    <n v="0"/>
    <n v="0"/>
    <n v="0"/>
    <n v="0"/>
    <n v="0"/>
    <n v="0"/>
    <n v="0"/>
    <n v="0"/>
    <n v="0"/>
    <x v="0"/>
    <n v="0"/>
    <n v="0"/>
    <n v="0"/>
    <s v=""/>
    <x v="3"/>
    <x v="1"/>
    <x v="4"/>
    <s v=""/>
    <m/>
    <m/>
  </r>
  <r>
    <n v="50.166666666666664"/>
    <d v="2012-09-18T00:00:00"/>
    <x v="0"/>
    <s v="LDO"/>
    <s v="Kachin"/>
    <s v="Shwegu"/>
    <s v="Pan Hkawn"/>
    <n v="130"/>
    <m/>
    <m/>
    <m/>
    <m/>
    <m/>
    <m/>
    <m/>
    <m/>
    <m/>
    <m/>
    <m/>
    <m/>
    <m/>
    <m/>
    <m/>
    <m/>
    <n v="0"/>
    <n v="0"/>
    <n v="0"/>
    <n v="0"/>
    <n v="0"/>
    <n v="0"/>
    <n v="0"/>
    <n v="0"/>
    <n v="0"/>
    <n v="0"/>
    <n v="0"/>
    <n v="0"/>
    <n v="0"/>
    <n v="0"/>
    <x v="0"/>
    <n v="0"/>
    <n v="0"/>
    <n v="0"/>
    <s v=""/>
    <x v="3"/>
    <x v="1"/>
    <x v="4"/>
    <s v=""/>
    <m/>
    <m/>
  </r>
  <r>
    <n v="50.2"/>
    <d v="2012-09-17T00:00:00"/>
    <x v="1"/>
    <s v="UNHCR"/>
    <s v="Kachin"/>
    <s v="Momauk"/>
    <s v="Man Bung Catholic compound"/>
    <m/>
    <m/>
    <m/>
    <n v="86"/>
    <n v="43"/>
    <n v="86"/>
    <n v="43"/>
    <n v="43"/>
    <n v="43"/>
    <n v="43"/>
    <m/>
    <m/>
    <m/>
    <m/>
    <m/>
    <m/>
    <m/>
    <n v="0"/>
    <n v="0"/>
    <n v="0"/>
    <n v="0"/>
    <n v="0"/>
    <n v="0"/>
    <n v="0"/>
    <n v="0"/>
    <n v="0"/>
    <n v="0"/>
    <n v="0"/>
    <n v="0"/>
    <n v="0"/>
    <n v="0"/>
    <x v="0"/>
    <n v="0"/>
    <n v="0"/>
    <n v="0"/>
    <s v="MMR001CMP062"/>
    <x v="0"/>
    <x v="0"/>
    <x v="0"/>
    <n v="0.1634980988593156"/>
    <s v="No"/>
    <m/>
  </r>
  <r>
    <n v="50.2"/>
    <d v="2012-09-17T00:00:00"/>
    <x v="1"/>
    <s v="UNHCR"/>
    <s v="Kachin"/>
    <s v="Momauk"/>
    <s v="Momauk Catholic Church (St. Patrick)"/>
    <m/>
    <m/>
    <m/>
    <n v="86"/>
    <n v="43"/>
    <n v="86"/>
    <n v="43"/>
    <n v="43"/>
    <n v="43"/>
    <n v="43"/>
    <m/>
    <m/>
    <m/>
    <m/>
    <m/>
    <m/>
    <m/>
    <n v="0"/>
    <n v="0"/>
    <n v="0"/>
    <n v="0"/>
    <n v="0"/>
    <n v="0"/>
    <n v="0"/>
    <n v="0"/>
    <n v="0"/>
    <n v="0"/>
    <n v="0"/>
    <n v="0"/>
    <n v="0"/>
    <n v="0"/>
    <x v="0"/>
    <n v="0"/>
    <n v="0"/>
    <n v="0"/>
    <s v="MMR001CMP057"/>
    <x v="0"/>
    <x v="2"/>
    <x v="0"/>
    <s v=""/>
    <s v="No"/>
    <m/>
  </r>
  <r>
    <n v="50.3"/>
    <d v="2012-09-14T00:00:00"/>
    <x v="1"/>
    <s v="UNHCR"/>
    <s v="Kachin"/>
    <s v="Waingmaw"/>
    <s v="Maina Catholic Church (St. Joseph)"/>
    <m/>
    <m/>
    <m/>
    <n v="94"/>
    <n v="48"/>
    <n v="94"/>
    <n v="48"/>
    <n v="48"/>
    <n v="48"/>
    <n v="48"/>
    <m/>
    <m/>
    <m/>
    <m/>
    <m/>
    <m/>
    <m/>
    <n v="0"/>
    <n v="0"/>
    <n v="0"/>
    <n v="0"/>
    <n v="0"/>
    <n v="0"/>
    <n v="0"/>
    <n v="0"/>
    <n v="0"/>
    <n v="0"/>
    <n v="0"/>
    <n v="0"/>
    <n v="0"/>
    <n v="0"/>
    <x v="0"/>
    <n v="0"/>
    <n v="0"/>
    <n v="0"/>
    <s v="MMR001CMP029"/>
    <x v="0"/>
    <x v="0"/>
    <x v="0"/>
    <n v="0.21524663677130046"/>
    <s v="No"/>
    <m/>
  </r>
  <r>
    <n v="50.3"/>
    <d v="2012-09-14T00:00:00"/>
    <x v="1"/>
    <s v="UNHCR"/>
    <s v="Kachin"/>
    <s v="Waingmaw"/>
    <s v="Waingmaw AG Church"/>
    <m/>
    <m/>
    <m/>
    <n v="14"/>
    <n v="8"/>
    <n v="14"/>
    <n v="8"/>
    <n v="8"/>
    <n v="8"/>
    <n v="8"/>
    <m/>
    <m/>
    <m/>
    <m/>
    <m/>
    <m/>
    <m/>
    <n v="0"/>
    <n v="0"/>
    <n v="0"/>
    <n v="0"/>
    <n v="0"/>
    <n v="0"/>
    <n v="0"/>
    <n v="0"/>
    <n v="0"/>
    <n v="0"/>
    <n v="0"/>
    <n v="0"/>
    <n v="0"/>
    <n v="0"/>
    <x v="0"/>
    <n v="0"/>
    <n v="0"/>
    <n v="0"/>
    <s v="MMR001CMP038"/>
    <x v="0"/>
    <x v="0"/>
    <x v="0"/>
    <n v="0.11428571428571428"/>
    <s v="No"/>
    <m/>
  </r>
  <r>
    <n v="50.43333333333333"/>
    <d v="2012-09-10T00:00:00"/>
    <x v="1"/>
    <s v="UNHCR"/>
    <s v="Kachin"/>
    <s v="Myitkyina"/>
    <s v="Myay Myint Baptist Church"/>
    <m/>
    <m/>
    <m/>
    <n v="10"/>
    <n v="6"/>
    <n v="10"/>
    <n v="6"/>
    <n v="6"/>
    <n v="6"/>
    <n v="6"/>
    <m/>
    <m/>
    <m/>
    <m/>
    <m/>
    <m/>
    <m/>
    <n v="0"/>
    <n v="0"/>
    <n v="0"/>
    <n v="0"/>
    <n v="0"/>
    <n v="0"/>
    <n v="0"/>
    <n v="0"/>
    <n v="0"/>
    <n v="0"/>
    <n v="0"/>
    <n v="0"/>
    <n v="0"/>
    <n v="0"/>
    <x v="0"/>
    <n v="0"/>
    <n v="0"/>
    <n v="0"/>
    <s v="MMR001CMP017"/>
    <x v="0"/>
    <x v="2"/>
    <x v="0"/>
    <s v=""/>
    <s v="No"/>
    <m/>
  </r>
  <r>
    <n v="50.6"/>
    <d v="2012-09-05T00:00:00"/>
    <x v="1"/>
    <s v="UNHCR"/>
    <s v="Kachin"/>
    <s v="Momauk"/>
    <s v="Loi Je Baptist Church"/>
    <m/>
    <m/>
    <m/>
    <n v="40"/>
    <n v="17"/>
    <n v="40"/>
    <n v="17"/>
    <n v="17"/>
    <n v="17"/>
    <n v="17"/>
    <m/>
    <m/>
    <m/>
    <m/>
    <m/>
    <m/>
    <m/>
    <n v="0"/>
    <n v="0"/>
    <n v="0"/>
    <n v="0"/>
    <n v="0"/>
    <n v="0"/>
    <n v="0"/>
    <n v="0"/>
    <n v="0"/>
    <n v="0"/>
    <n v="0"/>
    <n v="0"/>
    <n v="0"/>
    <n v="0"/>
    <x v="0"/>
    <n v="0"/>
    <n v="0"/>
    <n v="0"/>
    <s v="MMR001CMP071"/>
    <x v="0"/>
    <x v="0"/>
    <x v="1"/>
    <n v="0.4358974358974359"/>
    <s v="No"/>
    <m/>
  </r>
  <r>
    <n v="50.6"/>
    <d v="2012-09-05T00:00:00"/>
    <x v="1"/>
    <s v="UNHCR"/>
    <s v="Kachin"/>
    <s v="Momauk"/>
    <s v="Loi Je Catholic Church"/>
    <m/>
    <m/>
    <m/>
    <n v="21"/>
    <n v="10"/>
    <n v="21"/>
    <n v="10"/>
    <n v="10"/>
    <n v="10"/>
    <n v="10"/>
    <m/>
    <m/>
    <m/>
    <m/>
    <m/>
    <m/>
    <m/>
    <n v="0"/>
    <n v="0"/>
    <n v="0"/>
    <n v="0"/>
    <n v="0"/>
    <n v="0"/>
    <n v="0"/>
    <n v="0"/>
    <n v="0"/>
    <n v="0"/>
    <n v="0"/>
    <n v="0"/>
    <n v="0"/>
    <n v="0"/>
    <x v="0"/>
    <n v="0"/>
    <n v="0"/>
    <n v="0"/>
    <s v="MMR001CMP069"/>
    <x v="0"/>
    <x v="0"/>
    <x v="1"/>
    <n v="8.0645161290322578E-2"/>
    <s v="No"/>
    <m/>
  </r>
  <r>
    <n v="50.6"/>
    <d v="2012-09-05T00:00:00"/>
    <x v="1"/>
    <s v="UNHCR"/>
    <s v="Kachin"/>
    <s v="Momauk"/>
    <s v="Loi Je Lisu Camp"/>
    <m/>
    <m/>
    <m/>
    <n v="133"/>
    <n v="62"/>
    <n v="133"/>
    <n v="62"/>
    <n v="62"/>
    <n v="62"/>
    <n v="62"/>
    <m/>
    <m/>
    <m/>
    <m/>
    <m/>
    <m/>
    <m/>
    <n v="0"/>
    <n v="0"/>
    <n v="0"/>
    <n v="0"/>
    <n v="0"/>
    <n v="0"/>
    <n v="0"/>
    <n v="0"/>
    <n v="0"/>
    <n v="0"/>
    <n v="0"/>
    <n v="0"/>
    <n v="0"/>
    <n v="0"/>
    <x v="0"/>
    <n v="0"/>
    <n v="0"/>
    <n v="0"/>
    <s v="MMR001CMP070"/>
    <x v="0"/>
    <x v="0"/>
    <x v="1"/>
    <n v="0.32291666666666669"/>
    <s v="No"/>
    <m/>
  </r>
  <r>
    <n v="50.6"/>
    <d v="2012-09-05T00:00:00"/>
    <x v="1"/>
    <s v="UNHCR"/>
    <s v="Kachin"/>
    <s v="Momauk"/>
    <s v="Seng Ja "/>
    <m/>
    <m/>
    <m/>
    <n v="26"/>
    <n v="11"/>
    <n v="26"/>
    <n v="11"/>
    <n v="11"/>
    <n v="11"/>
    <n v="11"/>
    <m/>
    <m/>
    <m/>
    <m/>
    <m/>
    <m/>
    <m/>
    <n v="0"/>
    <n v="0"/>
    <n v="0"/>
    <n v="0"/>
    <n v="0"/>
    <n v="0"/>
    <n v="0"/>
    <n v="0"/>
    <n v="0"/>
    <n v="0"/>
    <n v="0"/>
    <n v="0"/>
    <n v="0"/>
    <n v="0"/>
    <x v="0"/>
    <n v="0"/>
    <n v="0"/>
    <n v="0"/>
    <s v="MMR001CMP073"/>
    <x v="0"/>
    <x v="0"/>
    <x v="1"/>
    <n v="0.26829268292682928"/>
    <s v="No"/>
    <m/>
  </r>
  <r>
    <n v="50.833333333333336"/>
    <d v="2012-08-29T00:00:00"/>
    <x v="1"/>
    <s v="UNHCR"/>
    <s v="Kachin"/>
    <s v="Momauk"/>
    <s v="Nyaung Na Pin "/>
    <m/>
    <m/>
    <m/>
    <n v="112"/>
    <n v="41"/>
    <n v="112"/>
    <n v="41"/>
    <n v="41"/>
    <n v="41"/>
    <n v="41"/>
    <m/>
    <m/>
    <m/>
    <m/>
    <m/>
    <m/>
    <m/>
    <n v="0"/>
    <n v="0"/>
    <n v="0"/>
    <n v="0"/>
    <n v="0"/>
    <n v="0"/>
    <n v="0"/>
    <n v="0"/>
    <n v="0"/>
    <n v="0"/>
    <n v="0"/>
    <n v="0"/>
    <n v="0"/>
    <n v="0"/>
    <x v="0"/>
    <n v="0"/>
    <n v="0"/>
    <n v="0"/>
    <s v="MMR001CMP072"/>
    <x v="0"/>
    <x v="0"/>
    <x v="1"/>
    <n v="0.83673469387755106"/>
    <s v="No"/>
    <m/>
  </r>
  <r>
    <n v="50.9"/>
    <d v="2012-08-27T00:00:00"/>
    <x v="1"/>
    <s v="UNHCR"/>
    <s v="Kachin"/>
    <s v="Myitkyina"/>
    <s v="Jan Mai Kawng Baptist Church"/>
    <m/>
    <m/>
    <m/>
    <n v="7"/>
    <n v="4"/>
    <n v="7"/>
    <n v="3"/>
    <n v="3"/>
    <n v="3"/>
    <n v="3"/>
    <m/>
    <m/>
    <m/>
    <m/>
    <m/>
    <m/>
    <m/>
    <n v="0"/>
    <n v="0"/>
    <n v="0"/>
    <n v="0"/>
    <n v="0"/>
    <n v="0"/>
    <n v="0"/>
    <n v="0"/>
    <n v="0"/>
    <n v="0"/>
    <n v="0"/>
    <n v="0"/>
    <n v="0"/>
    <n v="0"/>
    <x v="0"/>
    <n v="0"/>
    <n v="0"/>
    <n v="0"/>
    <s v="MMR001CMP018"/>
    <x v="0"/>
    <x v="0"/>
    <x v="0"/>
    <n v="1.5151515151515152E-2"/>
    <s v="No"/>
    <m/>
  </r>
  <r>
    <n v="50.9"/>
    <d v="2012-08-27T00:00:00"/>
    <x v="1"/>
    <s v="UNHCR"/>
    <s v="Kachin"/>
    <s v="Myitkyina"/>
    <s v="Maliyang Baptist Church"/>
    <m/>
    <m/>
    <m/>
    <n v="2"/>
    <n v="1"/>
    <n v="2"/>
    <n v="1"/>
    <n v="1"/>
    <n v="1"/>
    <n v="1"/>
    <m/>
    <m/>
    <m/>
    <m/>
    <m/>
    <m/>
    <m/>
    <n v="0"/>
    <n v="0"/>
    <n v="0"/>
    <n v="0"/>
    <n v="0"/>
    <n v="0"/>
    <n v="0"/>
    <n v="0"/>
    <n v="0"/>
    <n v="0"/>
    <n v="0"/>
    <n v="0"/>
    <n v="0"/>
    <n v="0"/>
    <x v="0"/>
    <n v="0"/>
    <n v="0"/>
    <n v="0"/>
    <s v="MMR001CMP016"/>
    <x v="0"/>
    <x v="0"/>
    <x v="0"/>
    <n v="1.6666666666666666E-2"/>
    <s v="No"/>
    <m/>
  </r>
  <r>
    <n v="50.9"/>
    <d v="2012-08-27T00:00:00"/>
    <x v="1"/>
    <s v="UNHCR"/>
    <s v="Kachin"/>
    <s v="Myitkyina"/>
    <s v="Maw Hpawng Hka Nan Baptist Church"/>
    <m/>
    <m/>
    <m/>
    <n v="2"/>
    <n v="1"/>
    <n v="2"/>
    <n v="1"/>
    <n v="1"/>
    <n v="1"/>
    <n v="1"/>
    <m/>
    <m/>
    <m/>
    <m/>
    <m/>
    <m/>
    <m/>
    <n v="0"/>
    <n v="0"/>
    <n v="0"/>
    <n v="0"/>
    <n v="0"/>
    <n v="0"/>
    <n v="0"/>
    <n v="0"/>
    <n v="0"/>
    <n v="0"/>
    <n v="0"/>
    <n v="0"/>
    <n v="0"/>
    <n v="0"/>
    <x v="0"/>
    <n v="0"/>
    <n v="0"/>
    <n v="0"/>
    <s v="MMR001CMP020"/>
    <x v="0"/>
    <x v="0"/>
    <x v="0"/>
    <n v="4.7619047619047616E-2"/>
    <s v="No"/>
    <m/>
  </r>
  <r>
    <n v="50.9"/>
    <d v="2012-08-27T00:00:00"/>
    <x v="1"/>
    <s v="UNHCR"/>
    <s v="Kachin"/>
    <s v="Myitkyina"/>
    <s v="Maw Hpawng Lhaovo Baptist Church"/>
    <m/>
    <m/>
    <m/>
    <n v="10"/>
    <n v="5"/>
    <n v="10"/>
    <n v="5"/>
    <n v="5"/>
    <n v="5"/>
    <n v="5"/>
    <m/>
    <m/>
    <m/>
    <m/>
    <m/>
    <m/>
    <m/>
    <n v="0"/>
    <n v="0"/>
    <n v="0"/>
    <n v="0"/>
    <n v="0"/>
    <n v="0"/>
    <n v="0"/>
    <n v="0"/>
    <n v="0"/>
    <n v="0"/>
    <n v="0"/>
    <n v="0"/>
    <n v="0"/>
    <n v="0"/>
    <x v="0"/>
    <n v="0"/>
    <n v="0"/>
    <n v="0"/>
    <s v="MMR001CMP021"/>
    <x v="0"/>
    <x v="0"/>
    <x v="0"/>
    <n v="0.35714285714285715"/>
    <s v="No"/>
    <m/>
  </r>
  <r>
    <n v="50.9"/>
    <d v="2012-08-27T00:00:00"/>
    <x v="1"/>
    <s v="UNHCR"/>
    <s v="Kachin"/>
    <s v="Myitkyina"/>
    <s v="Wun Tho Buddhist Monastery"/>
    <m/>
    <m/>
    <m/>
    <n v="10"/>
    <n v="5"/>
    <n v="10"/>
    <n v="5"/>
    <n v="5"/>
    <n v="5"/>
    <n v="5"/>
    <m/>
    <m/>
    <m/>
    <m/>
    <m/>
    <m/>
    <m/>
    <n v="0"/>
    <n v="0"/>
    <n v="0"/>
    <n v="0"/>
    <n v="0"/>
    <n v="0"/>
    <n v="0"/>
    <n v="0"/>
    <n v="0"/>
    <n v="0"/>
    <n v="0"/>
    <n v="0"/>
    <n v="0"/>
    <n v="0"/>
    <x v="0"/>
    <n v="0"/>
    <n v="0"/>
    <n v="0"/>
    <s v="MMR001CMP022"/>
    <x v="0"/>
    <x v="0"/>
    <x v="0"/>
    <n v="0.7142857142857143"/>
    <s v="No"/>
    <m/>
  </r>
  <r>
    <n v="51.3"/>
    <d v="2012-08-15T00:00:00"/>
    <x v="0"/>
    <s v="Solidarities"/>
    <s v="Kachin"/>
    <s v="Momauk"/>
    <s v="Loi Je Catholic Church"/>
    <n v="73"/>
    <m/>
    <m/>
    <m/>
    <m/>
    <m/>
    <m/>
    <m/>
    <m/>
    <m/>
    <m/>
    <m/>
    <m/>
    <m/>
    <m/>
    <m/>
    <m/>
    <n v="0"/>
    <n v="0"/>
    <n v="0"/>
    <n v="0"/>
    <n v="0"/>
    <n v="0"/>
    <n v="0"/>
    <n v="0"/>
    <n v="0"/>
    <n v="0"/>
    <n v="0"/>
    <n v="0"/>
    <n v="0"/>
    <n v="0"/>
    <x v="0"/>
    <n v="0"/>
    <n v="0"/>
    <n v="0"/>
    <s v="MMR001CMP069"/>
    <x v="0"/>
    <x v="0"/>
    <x v="1"/>
    <n v="0"/>
    <m/>
    <m/>
  </r>
  <r>
    <n v="51.366666666666667"/>
    <d v="2012-08-13T00:00:00"/>
    <x v="1"/>
    <s v="UNHCR "/>
    <s v="Kachin"/>
    <s v="Bhamo"/>
    <s v="Robert Church"/>
    <m/>
    <m/>
    <m/>
    <n v="310"/>
    <n v="151"/>
    <n v="310"/>
    <n v="151"/>
    <n v="151"/>
    <n v="151"/>
    <n v="151"/>
    <m/>
    <m/>
    <m/>
    <m/>
    <m/>
    <m/>
    <m/>
    <n v="0"/>
    <n v="0"/>
    <n v="0"/>
    <n v="0"/>
    <n v="0"/>
    <n v="0"/>
    <n v="0"/>
    <n v="0"/>
    <n v="0"/>
    <n v="0"/>
    <n v="0"/>
    <n v="0"/>
    <n v="0"/>
    <n v="0"/>
    <x v="0"/>
    <n v="0"/>
    <n v="0"/>
    <n v="0"/>
    <s v="MMR001CMP047"/>
    <x v="0"/>
    <x v="0"/>
    <x v="0"/>
    <n v="0.24121405750798722"/>
    <s v="No"/>
    <m/>
  </r>
  <r>
    <n v="51.5"/>
    <d v="2012-08-09T00:00:00"/>
    <x v="1"/>
    <s v="UNHCR"/>
    <s v="Kachin"/>
    <s v="Myitkyina"/>
    <s v="Jan Mai Kawng Baptist Church"/>
    <m/>
    <m/>
    <m/>
    <n v="7"/>
    <n v="3"/>
    <n v="7"/>
    <n v="3"/>
    <n v="3"/>
    <n v="3"/>
    <n v="3"/>
    <m/>
    <m/>
    <m/>
    <m/>
    <m/>
    <m/>
    <m/>
    <n v="0"/>
    <n v="0"/>
    <n v="0"/>
    <n v="0"/>
    <n v="0"/>
    <n v="0"/>
    <n v="0"/>
    <n v="0"/>
    <n v="0"/>
    <n v="0"/>
    <n v="0"/>
    <n v="0"/>
    <n v="0"/>
    <n v="0"/>
    <x v="0"/>
    <n v="0"/>
    <n v="0"/>
    <n v="0"/>
    <s v="MMR001CMP018"/>
    <x v="0"/>
    <x v="0"/>
    <x v="0"/>
    <n v="1.5151515151515152E-2"/>
    <s v="No"/>
    <m/>
  </r>
  <r>
    <n v="51.5"/>
    <d v="2012-08-09T00:00:00"/>
    <x v="1"/>
    <s v="UNHCR"/>
    <s v="Kachin"/>
    <s v="Myitkyina"/>
    <s v="Maliyang Baptist Church"/>
    <m/>
    <m/>
    <m/>
    <n v="2"/>
    <n v="1"/>
    <n v="2"/>
    <n v="1"/>
    <n v="1"/>
    <n v="1"/>
    <n v="1"/>
    <m/>
    <m/>
    <m/>
    <m/>
    <m/>
    <m/>
    <m/>
    <n v="0"/>
    <n v="0"/>
    <n v="0"/>
    <n v="0"/>
    <n v="0"/>
    <n v="0"/>
    <n v="0"/>
    <n v="0"/>
    <n v="0"/>
    <n v="0"/>
    <n v="0"/>
    <n v="0"/>
    <n v="0"/>
    <n v="0"/>
    <x v="0"/>
    <n v="0"/>
    <n v="0"/>
    <n v="0"/>
    <s v="MMR001CMP016"/>
    <x v="0"/>
    <x v="0"/>
    <x v="0"/>
    <n v="1.6666666666666666E-2"/>
    <s v="No"/>
    <m/>
  </r>
  <r>
    <n v="51.5"/>
    <d v="2012-08-09T00:00:00"/>
    <x v="1"/>
    <s v="UNHCR"/>
    <s v="Kachin"/>
    <s v="Myitkyina"/>
    <s v="Maw Hpawng Hka Nan Baptist Church"/>
    <m/>
    <m/>
    <m/>
    <n v="2"/>
    <n v="1"/>
    <n v="2"/>
    <n v="1"/>
    <n v="1"/>
    <n v="1"/>
    <n v="1"/>
    <m/>
    <m/>
    <m/>
    <m/>
    <m/>
    <m/>
    <m/>
    <n v="0"/>
    <n v="0"/>
    <n v="0"/>
    <n v="0"/>
    <n v="0"/>
    <n v="0"/>
    <n v="0"/>
    <n v="0"/>
    <n v="0"/>
    <n v="0"/>
    <n v="0"/>
    <n v="0"/>
    <n v="0"/>
    <n v="0"/>
    <x v="0"/>
    <n v="0"/>
    <n v="0"/>
    <n v="0"/>
    <s v="MMR001CMP020"/>
    <x v="0"/>
    <x v="0"/>
    <x v="0"/>
    <n v="4.7619047619047616E-2"/>
    <s v="No"/>
    <m/>
  </r>
  <r>
    <n v="51.5"/>
    <d v="2012-08-09T00:00:00"/>
    <x v="1"/>
    <s v="UNHCR"/>
    <s v="Kachin"/>
    <s v="Myitkyina"/>
    <s v="Maw Hpawng Lhaovo Baptist Church"/>
    <m/>
    <m/>
    <m/>
    <n v="10"/>
    <n v="5"/>
    <n v="10"/>
    <n v="5"/>
    <n v="5"/>
    <n v="5"/>
    <n v="5"/>
    <m/>
    <m/>
    <m/>
    <m/>
    <m/>
    <m/>
    <m/>
    <n v="0"/>
    <n v="0"/>
    <n v="0"/>
    <n v="0"/>
    <n v="0"/>
    <n v="0"/>
    <n v="0"/>
    <n v="0"/>
    <n v="0"/>
    <n v="0"/>
    <n v="0"/>
    <n v="0"/>
    <n v="0"/>
    <n v="0"/>
    <x v="0"/>
    <n v="0"/>
    <n v="0"/>
    <n v="0"/>
    <s v="MMR001CMP021"/>
    <x v="0"/>
    <x v="0"/>
    <x v="0"/>
    <n v="0.35714285714285715"/>
    <s v="No"/>
    <m/>
  </r>
  <r>
    <n v="51.5"/>
    <d v="2012-08-09T00:00:00"/>
    <x v="1"/>
    <s v="UNHCR"/>
    <s v="Kachin"/>
    <s v="Myitkyina"/>
    <s v="Nan Kway St. John Catholic Church"/>
    <m/>
    <m/>
    <m/>
    <n v="42"/>
    <n v="20"/>
    <n v="42"/>
    <n v="20"/>
    <n v="20"/>
    <n v="20"/>
    <n v="20"/>
    <m/>
    <m/>
    <m/>
    <m/>
    <m/>
    <m/>
    <m/>
    <n v="0"/>
    <n v="0"/>
    <n v="0"/>
    <n v="0"/>
    <n v="0"/>
    <n v="0"/>
    <n v="0"/>
    <n v="0"/>
    <n v="0"/>
    <n v="0"/>
    <n v="0"/>
    <n v="0"/>
    <n v="0"/>
    <n v="0"/>
    <x v="0"/>
    <n v="0"/>
    <n v="0"/>
    <n v="0"/>
    <s v="MMR001CMP024"/>
    <x v="0"/>
    <x v="0"/>
    <x v="0"/>
    <n v="0.29411764705882354"/>
    <s v="No"/>
    <m/>
  </r>
  <r>
    <n v="51.5"/>
    <d v="2012-08-09T00:00:00"/>
    <x v="1"/>
    <s v="UNHCR"/>
    <s v="Kachin"/>
    <s v="Myitkyina"/>
    <s v="Wun Tho Buddhist Monastery"/>
    <m/>
    <m/>
    <m/>
    <n v="10"/>
    <n v="5"/>
    <n v="10"/>
    <n v="5"/>
    <n v="5"/>
    <n v="5"/>
    <n v="5"/>
    <m/>
    <m/>
    <m/>
    <m/>
    <m/>
    <m/>
    <m/>
    <n v="0"/>
    <n v="0"/>
    <n v="0"/>
    <n v="0"/>
    <n v="0"/>
    <n v="0"/>
    <n v="0"/>
    <n v="0"/>
    <n v="0"/>
    <n v="0"/>
    <n v="0"/>
    <n v="0"/>
    <n v="0"/>
    <n v="0"/>
    <x v="0"/>
    <n v="0"/>
    <n v="0"/>
    <n v="0"/>
    <s v="MMR001CMP022"/>
    <x v="0"/>
    <x v="0"/>
    <x v="0"/>
    <n v="0.7142857142857143"/>
    <s v="No"/>
    <m/>
  </r>
  <r>
    <n v="51.56666666666667"/>
    <d v="2012-08-07T00:00:00"/>
    <x v="1"/>
    <s v="UNHCR "/>
    <s v="Kachin"/>
    <s v="Mansi"/>
    <s v="Mansi Baptist Church"/>
    <m/>
    <m/>
    <m/>
    <n v="0"/>
    <n v="73"/>
    <n v="0"/>
    <n v="73"/>
    <n v="73"/>
    <n v="73"/>
    <n v="73"/>
    <m/>
    <m/>
    <m/>
    <m/>
    <m/>
    <m/>
    <m/>
    <n v="0"/>
    <n v="0"/>
    <n v="0"/>
    <n v="0"/>
    <n v="0"/>
    <n v="0"/>
    <n v="0"/>
    <n v="0"/>
    <n v="0"/>
    <n v="0"/>
    <n v="0"/>
    <n v="0"/>
    <n v="0"/>
    <n v="0"/>
    <x v="0"/>
    <n v="0"/>
    <n v="0"/>
    <n v="0"/>
    <s v="MMR001CMP066"/>
    <x v="0"/>
    <x v="0"/>
    <x v="0"/>
    <n v="0.37055837563451777"/>
    <s v="No"/>
    <m/>
  </r>
  <r>
    <n v="51.93333333333333"/>
    <d v="2012-07-27T00:00:00"/>
    <x v="1"/>
    <s v="UNHCR"/>
    <s v="Kachin"/>
    <s v="Mogaung"/>
    <s v="Kyun Taw Baptist Church "/>
    <m/>
    <m/>
    <m/>
    <n v="35"/>
    <n v="14"/>
    <n v="35"/>
    <n v="14"/>
    <n v="14"/>
    <n v="14"/>
    <n v="14"/>
    <m/>
    <m/>
    <m/>
    <m/>
    <m/>
    <m/>
    <m/>
    <n v="0"/>
    <n v="0"/>
    <n v="0"/>
    <n v="0"/>
    <n v="0"/>
    <n v="0"/>
    <n v="0"/>
    <n v="0"/>
    <n v="0"/>
    <n v="0"/>
    <n v="0"/>
    <n v="0"/>
    <n v="0"/>
    <n v="0"/>
    <x v="0"/>
    <n v="0"/>
    <n v="0"/>
    <n v="0"/>
    <s v="MMR001CMP078"/>
    <x v="0"/>
    <x v="0"/>
    <x v="0"/>
    <n v="1.0769230769230769"/>
    <s v="No"/>
    <m/>
  </r>
  <r>
    <n v="51.93333333333333"/>
    <d v="2012-07-27T00:00:00"/>
    <x v="1"/>
    <s v="UNHCR"/>
    <s v="Kachin"/>
    <s v="Mohnyin"/>
    <s v="St. Patrick Catholic Church "/>
    <m/>
    <m/>
    <m/>
    <n v="0"/>
    <n v="8"/>
    <n v="0"/>
    <n v="8"/>
    <n v="8"/>
    <n v="8"/>
    <n v="8"/>
    <m/>
    <m/>
    <m/>
    <m/>
    <m/>
    <m/>
    <m/>
    <n v="0"/>
    <n v="0"/>
    <n v="0"/>
    <n v="0"/>
    <n v="0"/>
    <n v="0"/>
    <n v="0"/>
    <n v="0"/>
    <n v="0"/>
    <n v="0"/>
    <n v="0"/>
    <n v="0"/>
    <n v="0"/>
    <n v="0"/>
    <x v="0"/>
    <n v="0"/>
    <n v="0"/>
    <n v="0"/>
    <s v="MMR001CMP080"/>
    <x v="0"/>
    <x v="0"/>
    <x v="0"/>
    <n v="0.66666666666666663"/>
    <s v="No"/>
    <m/>
  </r>
  <r>
    <n v="51.966666666666669"/>
    <d v="2012-07-26T00:00:00"/>
    <x v="1"/>
    <s v="UNHCR"/>
    <s v="Kachin"/>
    <s v="Mogaung"/>
    <s v="Mang Hawng Baptist Church"/>
    <m/>
    <m/>
    <m/>
    <n v="31"/>
    <n v="15"/>
    <n v="31"/>
    <n v="15"/>
    <n v="16"/>
    <n v="16"/>
    <n v="16"/>
    <m/>
    <m/>
    <m/>
    <m/>
    <m/>
    <m/>
    <m/>
    <n v="0"/>
    <n v="0"/>
    <n v="0"/>
    <n v="0"/>
    <n v="0"/>
    <n v="0"/>
    <n v="0"/>
    <n v="0"/>
    <n v="0"/>
    <n v="0"/>
    <n v="0"/>
    <n v="0"/>
    <n v="0"/>
    <n v="0"/>
    <x v="0"/>
    <n v="0"/>
    <n v="0"/>
    <n v="0"/>
    <s v="MMR001CMP077"/>
    <x v="0"/>
    <x v="0"/>
    <x v="0"/>
    <n v="1"/>
    <s v="No"/>
    <m/>
  </r>
  <r>
    <n v="51.966666666666669"/>
    <d v="2012-07-26T00:00:00"/>
    <x v="1"/>
    <s v="UNHCR"/>
    <s v="Kachin"/>
    <s v="Mogaung"/>
    <s v="Nat Gyi Kone Baptist Church "/>
    <m/>
    <m/>
    <m/>
    <n v="21"/>
    <n v="17"/>
    <n v="21"/>
    <n v="17"/>
    <n v="17"/>
    <n v="17"/>
    <n v="17"/>
    <m/>
    <m/>
    <m/>
    <m/>
    <m/>
    <m/>
    <m/>
    <n v="0"/>
    <n v="0"/>
    <n v="0"/>
    <n v="0"/>
    <n v="0"/>
    <n v="0"/>
    <n v="0"/>
    <n v="0"/>
    <n v="0"/>
    <n v="0"/>
    <n v="0"/>
    <n v="0"/>
    <n v="0"/>
    <n v="0"/>
    <x v="0"/>
    <n v="0"/>
    <n v="0"/>
    <n v="0"/>
    <s v="MMR001CMP079"/>
    <x v="0"/>
    <x v="0"/>
    <x v="0"/>
    <n v="1.4166666666666667"/>
    <s v="No"/>
    <m/>
  </r>
  <r>
    <n v="52.06666666666667"/>
    <d v="2012-07-23T00:00:00"/>
    <x v="1"/>
    <s v="UNHCR"/>
    <s v="Kachin"/>
    <s v="Myitkyina"/>
    <s v="Jan Mai Kawng Catholic Church"/>
    <m/>
    <m/>
    <m/>
    <n v="19"/>
    <n v="10"/>
    <n v="19"/>
    <n v="10"/>
    <n v="11"/>
    <n v="11"/>
    <n v="11"/>
    <m/>
    <m/>
    <m/>
    <m/>
    <m/>
    <m/>
    <m/>
    <n v="0"/>
    <n v="0"/>
    <n v="0"/>
    <n v="0"/>
    <n v="0"/>
    <n v="0"/>
    <n v="0"/>
    <n v="0"/>
    <n v="0"/>
    <n v="0"/>
    <n v="0"/>
    <n v="0"/>
    <n v="0"/>
    <n v="0"/>
    <x v="0"/>
    <n v="0"/>
    <n v="0"/>
    <n v="0"/>
    <s v="MMR001CMP019"/>
    <x v="0"/>
    <x v="0"/>
    <x v="0"/>
    <n v="0.10101010101010101"/>
    <s v="No"/>
    <m/>
  </r>
  <r>
    <n v="52.06666666666667"/>
    <d v="2012-07-23T00:00:00"/>
    <x v="1"/>
    <s v="UNHCR"/>
    <s v="Kachin"/>
    <s v="Myitkyina"/>
    <s v="Maliyang Baptist Church"/>
    <m/>
    <m/>
    <m/>
    <n v="72"/>
    <n v="39"/>
    <n v="72"/>
    <n v="39"/>
    <n v="39"/>
    <n v="39"/>
    <n v="39"/>
    <m/>
    <m/>
    <m/>
    <m/>
    <m/>
    <m/>
    <m/>
    <n v="0"/>
    <n v="0"/>
    <n v="0"/>
    <n v="0"/>
    <n v="0"/>
    <n v="0"/>
    <n v="0"/>
    <n v="0"/>
    <n v="0"/>
    <n v="0"/>
    <n v="0"/>
    <n v="0"/>
    <n v="0"/>
    <n v="0"/>
    <x v="0"/>
    <n v="0"/>
    <n v="0"/>
    <n v="0"/>
    <s v="MMR001CMP016"/>
    <x v="0"/>
    <x v="0"/>
    <x v="0"/>
    <n v="0.65"/>
    <s v="No"/>
    <m/>
  </r>
  <r>
    <n v="52.06666666666667"/>
    <d v="2012-07-23T00:00:00"/>
    <x v="1"/>
    <s v="UNHCR"/>
    <s v="Kachin"/>
    <s v="Myitkyina"/>
    <s v="Shatapru Thida Aye Baptist Church"/>
    <m/>
    <m/>
    <m/>
    <n v="30"/>
    <n v="12"/>
    <n v="30"/>
    <n v="12"/>
    <n v="14"/>
    <n v="14"/>
    <n v="14"/>
    <m/>
    <m/>
    <m/>
    <m/>
    <m/>
    <m/>
    <m/>
    <n v="0"/>
    <n v="0"/>
    <n v="0"/>
    <n v="0"/>
    <n v="0"/>
    <n v="0"/>
    <n v="0"/>
    <n v="0"/>
    <n v="0"/>
    <n v="0"/>
    <n v="0"/>
    <n v="0"/>
    <n v="0"/>
    <n v="0"/>
    <x v="0"/>
    <n v="0"/>
    <n v="0"/>
    <n v="0"/>
    <s v="MMR001CMP007"/>
    <x v="0"/>
    <x v="0"/>
    <x v="0"/>
    <n v="0.54545454545454541"/>
    <s v="No"/>
    <m/>
  </r>
  <r>
    <n v="52.06666666666667"/>
    <d v="2012-07-23T00:00:00"/>
    <x v="1"/>
    <s v="UNHCR"/>
    <s v="Kachin"/>
    <s v="Myitkyina"/>
    <s v="Tat Kone San Pya Baptist Church"/>
    <m/>
    <m/>
    <m/>
    <n v="24"/>
    <n v="8"/>
    <n v="24"/>
    <n v="8"/>
    <n v="13"/>
    <n v="13"/>
    <n v="13"/>
    <m/>
    <m/>
    <m/>
    <m/>
    <m/>
    <m/>
    <m/>
    <n v="0"/>
    <n v="0"/>
    <n v="0"/>
    <n v="0"/>
    <n v="0"/>
    <n v="0"/>
    <n v="0"/>
    <n v="0"/>
    <n v="0"/>
    <n v="0"/>
    <n v="0"/>
    <n v="0"/>
    <n v="0"/>
    <n v="0"/>
    <x v="0"/>
    <n v="0"/>
    <n v="0"/>
    <n v="0"/>
    <s v="MMR001CMP005"/>
    <x v="0"/>
    <x v="0"/>
    <x v="0"/>
    <n v="0.25806451612903225"/>
    <s v="No"/>
    <m/>
  </r>
  <r>
    <n v="52.2"/>
    <d v="2012-07-19T00:00:00"/>
    <x v="1"/>
    <s v="UNHCR"/>
    <s v="Kachin"/>
    <s v="Myitkyina"/>
    <s v="Kyun Pin Thar Baptist Church"/>
    <m/>
    <m/>
    <m/>
    <n v="6"/>
    <n v="4"/>
    <n v="6"/>
    <n v="4"/>
    <n v="4"/>
    <n v="4"/>
    <n v="4"/>
    <m/>
    <m/>
    <m/>
    <m/>
    <m/>
    <m/>
    <m/>
    <n v="0"/>
    <n v="0"/>
    <n v="0"/>
    <n v="0"/>
    <n v="0"/>
    <n v="0"/>
    <n v="0"/>
    <n v="0"/>
    <n v="0"/>
    <n v="0"/>
    <n v="0"/>
    <n v="0"/>
    <n v="0"/>
    <n v="0"/>
    <x v="0"/>
    <n v="0"/>
    <n v="0"/>
    <n v="0"/>
    <s v="MMR001CMP013"/>
    <x v="0"/>
    <x v="0"/>
    <x v="0"/>
    <n v="0.23529411764705882"/>
    <s v="No"/>
    <m/>
  </r>
  <r>
    <n v="52.2"/>
    <d v="2012-07-19T00:00:00"/>
    <x v="1"/>
    <s v="UNHCR"/>
    <s v="Kachin"/>
    <s v="Myitkyina"/>
    <s v="Tat Kone COC Baptist - Tat Kone Htoi San"/>
    <m/>
    <m/>
    <m/>
    <n v="3"/>
    <n v="2"/>
    <n v="3"/>
    <n v="2"/>
    <n v="2"/>
    <n v="2"/>
    <n v="2"/>
    <m/>
    <m/>
    <m/>
    <m/>
    <m/>
    <m/>
    <m/>
    <n v="0"/>
    <n v="0"/>
    <n v="0"/>
    <n v="0"/>
    <n v="0"/>
    <n v="0"/>
    <n v="0"/>
    <n v="0"/>
    <n v="0"/>
    <n v="0"/>
    <n v="0"/>
    <n v="0"/>
    <n v="0"/>
    <n v="0"/>
    <x v="0"/>
    <n v="0"/>
    <n v="0"/>
    <n v="0"/>
    <s v="MMR001CMP023"/>
    <x v="0"/>
    <x v="0"/>
    <x v="0"/>
    <n v="3.7037037037037035E-2"/>
    <s v="No"/>
    <m/>
  </r>
  <r>
    <n v="52.2"/>
    <d v="2012-07-19T00:00:00"/>
    <x v="1"/>
    <s v="UNHCR"/>
    <s v="Kachin"/>
    <s v="Myitkyina"/>
    <s v="Wun Tho Buddhist Monastery"/>
    <m/>
    <m/>
    <m/>
    <n v="9"/>
    <n v="5"/>
    <n v="9"/>
    <n v="5"/>
    <n v="5"/>
    <n v="5"/>
    <n v="5"/>
    <m/>
    <m/>
    <m/>
    <m/>
    <m/>
    <m/>
    <m/>
    <n v="0"/>
    <n v="0"/>
    <n v="0"/>
    <n v="0"/>
    <n v="0"/>
    <n v="0"/>
    <n v="0"/>
    <n v="0"/>
    <n v="0"/>
    <n v="0"/>
    <n v="0"/>
    <n v="0"/>
    <n v="0"/>
    <n v="0"/>
    <x v="0"/>
    <n v="0"/>
    <n v="0"/>
    <n v="0"/>
    <s v="MMR001CMP022"/>
    <x v="0"/>
    <x v="0"/>
    <x v="0"/>
    <n v="0.7142857142857143"/>
    <s v="No"/>
    <m/>
  </r>
  <r>
    <n v="52.233333333333334"/>
    <d v="2012-07-18T00:00:00"/>
    <x v="0"/>
    <s v="LDO"/>
    <s v="Kachin"/>
    <s v="Momauk"/>
    <s v="Dum Bung "/>
    <n v="33"/>
    <m/>
    <m/>
    <m/>
    <m/>
    <m/>
    <m/>
    <m/>
    <m/>
    <m/>
    <m/>
    <m/>
    <m/>
    <m/>
    <m/>
    <m/>
    <m/>
    <n v="0"/>
    <n v="0"/>
    <n v="0"/>
    <n v="0"/>
    <n v="0"/>
    <n v="0"/>
    <n v="0"/>
    <n v="0"/>
    <n v="0"/>
    <n v="0"/>
    <n v="0"/>
    <n v="0"/>
    <n v="0"/>
    <n v="0"/>
    <x v="0"/>
    <n v="0"/>
    <n v="0"/>
    <n v="0"/>
    <s v="MMR001CMP123"/>
    <x v="0"/>
    <x v="0"/>
    <x v="6"/>
    <n v="0"/>
    <m/>
    <m/>
  </r>
  <r>
    <n v="52.233333333333334"/>
    <d v="2012-07-18T00:00:00"/>
    <x v="1"/>
    <s v="UNHCR"/>
    <s v="Kachin"/>
    <s v="Mansi"/>
    <s v="Mung Ding Pa  (Boarder)"/>
    <m/>
    <m/>
    <m/>
    <n v="170"/>
    <n v="16"/>
    <n v="170"/>
    <n v="85"/>
    <n v="85"/>
    <n v="85"/>
    <n v="85"/>
    <m/>
    <m/>
    <m/>
    <m/>
    <m/>
    <m/>
    <m/>
    <n v="0"/>
    <n v="0"/>
    <n v="0"/>
    <n v="0"/>
    <n v="0"/>
    <n v="0"/>
    <n v="0"/>
    <n v="0"/>
    <n v="0"/>
    <n v="0"/>
    <n v="0"/>
    <n v="0"/>
    <n v="0"/>
    <n v="0"/>
    <x v="0"/>
    <n v="0"/>
    <n v="0"/>
    <n v="0"/>
    <s v="MMR001CMP203"/>
    <x v="0"/>
    <x v="2"/>
    <x v="4"/>
    <s v=""/>
    <s v="No"/>
    <m/>
  </r>
  <r>
    <n v="52.233333333333334"/>
    <d v="2012-07-18T00:00:00"/>
    <x v="1"/>
    <s v="UNHCR"/>
    <s v="Kachin"/>
    <s v="Mansi"/>
    <s v="Nam Lim Pa - Scattered IDPs in forest"/>
    <m/>
    <m/>
    <m/>
    <n v="206"/>
    <n v="78"/>
    <n v="206"/>
    <n v="103"/>
    <n v="103"/>
    <n v="103"/>
    <n v="103"/>
    <m/>
    <m/>
    <m/>
    <m/>
    <m/>
    <m/>
    <m/>
    <n v="0"/>
    <n v="0"/>
    <n v="0"/>
    <n v="0"/>
    <n v="0"/>
    <n v="0"/>
    <n v="0"/>
    <n v="0"/>
    <n v="0"/>
    <n v="0"/>
    <n v="0"/>
    <n v="0"/>
    <n v="0"/>
    <n v="0"/>
    <x v="0"/>
    <n v="0"/>
    <n v="0"/>
    <n v="0"/>
    <s v="MMR001CMP137"/>
    <x v="0"/>
    <x v="2"/>
    <x v="4"/>
    <s v=""/>
    <s v="No"/>
    <m/>
  </r>
  <r>
    <n v="52.266666666666666"/>
    <d v="2012-07-17T00:00:00"/>
    <x v="1"/>
    <s v="UNHCR"/>
    <s v="Kachin"/>
    <s v="Waingmaw"/>
    <s v="Border Post 8"/>
    <m/>
    <m/>
    <m/>
    <n v="19"/>
    <n v="19"/>
    <n v="19"/>
    <n v="19"/>
    <n v="19"/>
    <n v="19"/>
    <n v="19"/>
    <m/>
    <m/>
    <m/>
    <m/>
    <m/>
    <m/>
    <m/>
    <n v="0"/>
    <n v="0"/>
    <n v="0"/>
    <n v="0"/>
    <n v="0"/>
    <n v="0"/>
    <n v="0"/>
    <n v="0"/>
    <n v="0"/>
    <n v="0"/>
    <n v="0"/>
    <n v="0"/>
    <n v="0"/>
    <n v="0"/>
    <x v="0"/>
    <n v="0"/>
    <n v="0"/>
    <n v="0"/>
    <s v="MMR001CMP113"/>
    <x v="0"/>
    <x v="0"/>
    <x v="5"/>
    <n v="0.11801242236024845"/>
    <s v="No"/>
    <m/>
  </r>
  <r>
    <n v="52.266666666666666"/>
    <d v="2012-07-17T00:00:00"/>
    <x v="1"/>
    <s v="UNHCR"/>
    <s v="Kachin"/>
    <s v="Myitkyina"/>
    <s v="Du Kahtawng Qtr. 14"/>
    <m/>
    <m/>
    <m/>
    <n v="5"/>
    <n v="5"/>
    <n v="5"/>
    <n v="5"/>
    <n v="5"/>
    <n v="5"/>
    <n v="5"/>
    <m/>
    <m/>
    <m/>
    <m/>
    <m/>
    <m/>
    <m/>
    <n v="0"/>
    <n v="0"/>
    <n v="0"/>
    <n v="0"/>
    <n v="0"/>
    <n v="0"/>
    <n v="0"/>
    <n v="0"/>
    <n v="0"/>
    <n v="0"/>
    <n v="0"/>
    <n v="0"/>
    <n v="0"/>
    <n v="0"/>
    <x v="0"/>
    <n v="0"/>
    <n v="0"/>
    <n v="0"/>
    <s v="MMR001CMP012"/>
    <x v="0"/>
    <x v="0"/>
    <x v="0"/>
    <n v="0.83333333333333337"/>
    <s v="No"/>
    <m/>
  </r>
  <r>
    <n v="52.266666666666666"/>
    <d v="2012-07-17T00:00:00"/>
    <x v="1"/>
    <s v="UNHCR"/>
    <s v="Kachin"/>
    <s v="Myitkyina"/>
    <s v="Du Kahtawng Qtr. 4"/>
    <m/>
    <m/>
    <m/>
    <n v="6"/>
    <n v="6"/>
    <n v="6"/>
    <n v="6"/>
    <n v="6"/>
    <n v="6"/>
    <n v="6"/>
    <m/>
    <m/>
    <m/>
    <m/>
    <m/>
    <m/>
    <m/>
    <n v="0"/>
    <n v="0"/>
    <n v="0"/>
    <n v="0"/>
    <n v="0"/>
    <n v="0"/>
    <n v="0"/>
    <n v="0"/>
    <n v="0"/>
    <n v="0"/>
    <n v="0"/>
    <n v="0"/>
    <n v="0"/>
    <n v="0"/>
    <x v="0"/>
    <n v="0"/>
    <n v="0"/>
    <n v="0"/>
    <s v="MMR001CMP010"/>
    <x v="0"/>
    <x v="0"/>
    <x v="0"/>
    <n v="1"/>
    <s v="No"/>
    <m/>
  </r>
  <r>
    <n v="52.266666666666666"/>
    <d v="2012-07-17T00:00:00"/>
    <x v="1"/>
    <s v="UNHCR"/>
    <s v="Kachin"/>
    <s v="Myitkyina"/>
    <s v="Du Kahtawng Qtr. 5"/>
    <m/>
    <m/>
    <m/>
    <n v="6"/>
    <n v="6"/>
    <n v="6"/>
    <n v="6"/>
    <n v="6"/>
    <n v="6"/>
    <n v="6"/>
    <m/>
    <m/>
    <m/>
    <m/>
    <m/>
    <m/>
    <m/>
    <n v="0"/>
    <n v="0"/>
    <n v="0"/>
    <n v="0"/>
    <n v="0"/>
    <n v="0"/>
    <n v="0"/>
    <n v="0"/>
    <n v="0"/>
    <n v="0"/>
    <n v="0"/>
    <n v="0"/>
    <n v="0"/>
    <n v="0"/>
    <x v="0"/>
    <n v="0"/>
    <n v="0"/>
    <n v="0"/>
    <s v="MMR001CMP011"/>
    <x v="0"/>
    <x v="0"/>
    <x v="0"/>
    <n v="0.3"/>
    <s v="No"/>
    <m/>
  </r>
  <r>
    <n v="52.266666666666666"/>
    <d v="2012-07-17T00:00:00"/>
    <x v="1"/>
    <s v="UNHCR"/>
    <s v="Kachin"/>
    <s v="Momauk"/>
    <s v="Dum Bung "/>
    <m/>
    <m/>
    <m/>
    <n v="380"/>
    <n v="156"/>
    <n v="380"/>
    <n v="156"/>
    <n v="156"/>
    <n v="156"/>
    <n v="156"/>
    <m/>
    <m/>
    <m/>
    <m/>
    <m/>
    <m/>
    <m/>
    <n v="0"/>
    <n v="0"/>
    <n v="0"/>
    <n v="0"/>
    <n v="0"/>
    <n v="0"/>
    <n v="0"/>
    <n v="0"/>
    <n v="0"/>
    <n v="0"/>
    <n v="0"/>
    <n v="0"/>
    <n v="0"/>
    <n v="0"/>
    <x v="0"/>
    <n v="0"/>
    <n v="0"/>
    <n v="0"/>
    <s v="MMR001CMP123"/>
    <x v="0"/>
    <x v="0"/>
    <x v="6"/>
    <n v="1.4311926605504588"/>
    <s v="No"/>
    <m/>
  </r>
  <r>
    <n v="52.266666666666666"/>
    <d v="2012-07-17T00:00:00"/>
    <x v="1"/>
    <s v="UNHCR"/>
    <s v="Kachin"/>
    <s v="Momauk"/>
    <s v="Hpun Lum Yang "/>
    <m/>
    <m/>
    <m/>
    <n v="0"/>
    <n v="0"/>
    <n v="0"/>
    <n v="0"/>
    <n v="0"/>
    <m/>
    <m/>
    <m/>
    <m/>
    <m/>
    <m/>
    <m/>
    <m/>
    <m/>
    <n v="0"/>
    <n v="0"/>
    <n v="0"/>
    <n v="0"/>
    <n v="0"/>
    <n v="0"/>
    <n v="0"/>
    <n v="0"/>
    <n v="0"/>
    <n v="0"/>
    <n v="0"/>
    <n v="0"/>
    <n v="0"/>
    <n v="0"/>
    <x v="0"/>
    <n v="0"/>
    <n v="0"/>
    <n v="0"/>
    <s v="MMR001CMP122"/>
    <x v="0"/>
    <x v="0"/>
    <x v="6"/>
    <n v="0"/>
    <s v="No"/>
    <m/>
  </r>
  <r>
    <n v="52.266666666666666"/>
    <d v="2012-07-17T00:00:00"/>
    <x v="1"/>
    <s v="UNHCR"/>
    <s v="Kachin"/>
    <s v="Myitkyina"/>
    <s v="Jan Mai Kawng Baptist Church"/>
    <m/>
    <m/>
    <m/>
    <n v="21"/>
    <n v="21"/>
    <n v="21"/>
    <n v="21"/>
    <n v="21"/>
    <n v="21"/>
    <n v="21"/>
    <m/>
    <m/>
    <m/>
    <m/>
    <m/>
    <m/>
    <m/>
    <n v="0"/>
    <n v="0"/>
    <n v="0"/>
    <n v="0"/>
    <n v="0"/>
    <n v="0"/>
    <n v="0"/>
    <n v="0"/>
    <n v="0"/>
    <n v="0"/>
    <n v="0"/>
    <n v="0"/>
    <n v="0"/>
    <n v="0"/>
    <x v="0"/>
    <n v="0"/>
    <n v="0"/>
    <n v="0"/>
    <s v="MMR001CMP018"/>
    <x v="0"/>
    <x v="0"/>
    <x v="0"/>
    <n v="0.10606060606060606"/>
    <s v="No"/>
    <m/>
  </r>
  <r>
    <n v="52.266666666666666"/>
    <d v="2012-07-17T00:00:00"/>
    <x v="1"/>
    <s v="UNHCR"/>
    <s v="Kachin"/>
    <s v="Momauk"/>
    <s v="Loi Je Lisu Camp"/>
    <m/>
    <m/>
    <m/>
    <n v="0"/>
    <n v="0"/>
    <n v="0"/>
    <n v="0"/>
    <n v="0"/>
    <m/>
    <m/>
    <m/>
    <m/>
    <m/>
    <m/>
    <m/>
    <m/>
    <m/>
    <n v="0"/>
    <n v="0"/>
    <n v="0"/>
    <n v="0"/>
    <n v="0"/>
    <n v="0"/>
    <n v="0"/>
    <n v="0"/>
    <n v="0"/>
    <n v="0"/>
    <n v="0"/>
    <n v="0"/>
    <n v="0"/>
    <n v="0"/>
    <x v="0"/>
    <n v="0"/>
    <n v="0"/>
    <n v="0"/>
    <s v="MMR001CMP070"/>
    <x v="0"/>
    <x v="0"/>
    <x v="1"/>
    <n v="0"/>
    <s v="No"/>
    <m/>
  </r>
  <r>
    <n v="52.266666666666666"/>
    <d v="2012-07-17T00:00:00"/>
    <x v="1"/>
    <s v="UNHCR"/>
    <s v="Kachin"/>
    <s v="Mansi"/>
    <s v="Lung Kawk  ( Hka Hkye Zup)"/>
    <m/>
    <m/>
    <m/>
    <n v="0"/>
    <n v="0"/>
    <n v="0"/>
    <n v="0"/>
    <n v="0"/>
    <m/>
    <m/>
    <m/>
    <m/>
    <m/>
    <m/>
    <m/>
    <m/>
    <m/>
    <n v="0"/>
    <n v="0"/>
    <n v="0"/>
    <n v="0"/>
    <n v="0"/>
    <n v="0"/>
    <n v="0"/>
    <n v="0"/>
    <n v="0"/>
    <n v="0"/>
    <n v="0"/>
    <n v="0"/>
    <n v="0"/>
    <n v="0"/>
    <x v="0"/>
    <n v="0"/>
    <n v="0"/>
    <n v="0"/>
    <s v="MMR001CMP135"/>
    <x v="0"/>
    <x v="2"/>
    <x v="6"/>
    <s v=""/>
    <s v="No"/>
    <m/>
  </r>
  <r>
    <n v="52.266666666666666"/>
    <d v="2012-07-17T00:00:00"/>
    <x v="1"/>
    <s v="UNHCR"/>
    <s v="Kachin"/>
    <s v="Momauk"/>
    <s v="Mai Khat "/>
    <m/>
    <m/>
    <m/>
    <n v="0"/>
    <n v="0"/>
    <n v="0"/>
    <n v="0"/>
    <n v="0"/>
    <m/>
    <m/>
    <m/>
    <m/>
    <m/>
    <m/>
    <m/>
    <m/>
    <m/>
    <n v="0"/>
    <n v="0"/>
    <n v="0"/>
    <n v="0"/>
    <n v="0"/>
    <n v="0"/>
    <n v="0"/>
    <n v="0"/>
    <n v="0"/>
    <n v="0"/>
    <n v="0"/>
    <n v="0"/>
    <n v="0"/>
    <n v="0"/>
    <x v="0"/>
    <n v="0"/>
    <n v="0"/>
    <n v="0"/>
    <s v="MMR001CMP064"/>
    <x v="0"/>
    <x v="0"/>
    <x v="0"/>
    <n v="0"/>
    <s v="No"/>
    <m/>
  </r>
  <r>
    <n v="52.266666666666666"/>
    <d v="2012-07-17T00:00:00"/>
    <x v="1"/>
    <s v="UNHCR"/>
    <s v="Kachin"/>
    <s v="Momauk"/>
    <s v="Mai Khat "/>
    <m/>
    <m/>
    <m/>
    <n v="0"/>
    <n v="0"/>
    <n v="0"/>
    <n v="0"/>
    <n v="0"/>
    <m/>
    <m/>
    <m/>
    <m/>
    <m/>
    <m/>
    <m/>
    <m/>
    <m/>
    <n v="0"/>
    <n v="0"/>
    <n v="0"/>
    <n v="0"/>
    <n v="0"/>
    <n v="0"/>
    <n v="0"/>
    <n v="0"/>
    <n v="0"/>
    <n v="0"/>
    <n v="0"/>
    <n v="0"/>
    <n v="0"/>
    <n v="0"/>
    <x v="0"/>
    <n v="0"/>
    <n v="0"/>
    <n v="0"/>
    <s v="MMR001CMP064"/>
    <x v="0"/>
    <x v="0"/>
    <x v="0"/>
    <n v="0"/>
    <s v="No"/>
    <m/>
  </r>
  <r>
    <n v="52.266666666666666"/>
    <d v="2012-07-17T00:00:00"/>
    <x v="1"/>
    <s v="UNHCR"/>
    <s v="Kachin"/>
    <s v="Mansi"/>
    <s v="Man Wing Baptist Church"/>
    <m/>
    <m/>
    <m/>
    <n v="0"/>
    <n v="0"/>
    <n v="0"/>
    <n v="0"/>
    <n v="0"/>
    <m/>
    <m/>
    <m/>
    <m/>
    <m/>
    <m/>
    <m/>
    <m/>
    <m/>
    <n v="0"/>
    <n v="0"/>
    <n v="0"/>
    <n v="0"/>
    <n v="0"/>
    <n v="0"/>
    <n v="0"/>
    <n v="0"/>
    <n v="0"/>
    <n v="0"/>
    <n v="0"/>
    <n v="0"/>
    <n v="0"/>
    <n v="0"/>
    <x v="0"/>
    <n v="0"/>
    <n v="0"/>
    <n v="0"/>
    <s v="MMR001CMP133"/>
    <x v="0"/>
    <x v="0"/>
    <x v="0"/>
    <n v="0"/>
    <s v="No"/>
    <m/>
  </r>
  <r>
    <n v="52.266666666666666"/>
    <d v="2012-07-17T00:00:00"/>
    <x v="1"/>
    <s v="UNHCR"/>
    <s v="Kachin"/>
    <s v="Myitkyina"/>
    <s v="Maw Hpawng Hka Nan Baptist Church"/>
    <m/>
    <m/>
    <m/>
    <n v="0"/>
    <n v="0"/>
    <n v="0"/>
    <n v="0"/>
    <n v="0"/>
    <m/>
    <m/>
    <m/>
    <m/>
    <m/>
    <m/>
    <m/>
    <m/>
    <m/>
    <n v="0"/>
    <n v="0"/>
    <n v="0"/>
    <n v="0"/>
    <n v="0"/>
    <n v="0"/>
    <n v="0"/>
    <n v="0"/>
    <n v="0"/>
    <n v="0"/>
    <n v="0"/>
    <n v="0"/>
    <n v="0"/>
    <n v="0"/>
    <x v="0"/>
    <n v="0"/>
    <n v="0"/>
    <n v="0"/>
    <s v="MMR001CMP020"/>
    <x v="0"/>
    <x v="0"/>
    <x v="0"/>
    <n v="0"/>
    <s v="No"/>
    <m/>
  </r>
  <r>
    <n v="52.266666666666666"/>
    <d v="2012-07-17T00:00:00"/>
    <x v="1"/>
    <s v="UNHCR"/>
    <s v="Kachin"/>
    <s v="Myitkyina"/>
    <s v="Maw Hpawng Hka Nan Baptist Church"/>
    <m/>
    <m/>
    <m/>
    <n v="19"/>
    <n v="19"/>
    <n v="19"/>
    <n v="19"/>
    <n v="19"/>
    <n v="19"/>
    <n v="19"/>
    <m/>
    <m/>
    <m/>
    <m/>
    <m/>
    <m/>
    <m/>
    <n v="0"/>
    <n v="0"/>
    <n v="0"/>
    <n v="0"/>
    <n v="0"/>
    <n v="0"/>
    <n v="0"/>
    <n v="0"/>
    <n v="0"/>
    <n v="0"/>
    <n v="0"/>
    <n v="0"/>
    <n v="0"/>
    <n v="0"/>
    <x v="0"/>
    <n v="0"/>
    <n v="0"/>
    <n v="0"/>
    <s v="MMR001CMP020"/>
    <x v="0"/>
    <x v="0"/>
    <x v="0"/>
    <n v="0.90476190476190477"/>
    <s v="No"/>
    <m/>
  </r>
  <r>
    <n v="52.266666666666666"/>
    <d v="2012-07-17T00:00:00"/>
    <x v="1"/>
    <s v="UNHCR"/>
    <s v="Kachin"/>
    <s v="Waingmaw"/>
    <s v="Moke Lwe Village - Hkar Shi"/>
    <m/>
    <m/>
    <m/>
    <n v="0"/>
    <n v="0"/>
    <n v="0"/>
    <n v="0"/>
    <n v="0"/>
    <m/>
    <m/>
    <m/>
    <m/>
    <m/>
    <m/>
    <m/>
    <m/>
    <m/>
    <n v="0"/>
    <n v="0"/>
    <n v="0"/>
    <n v="0"/>
    <n v="0"/>
    <n v="0"/>
    <n v="0"/>
    <n v="0"/>
    <n v="0"/>
    <n v="0"/>
    <n v="0"/>
    <n v="0"/>
    <n v="0"/>
    <n v="0"/>
    <x v="0"/>
    <n v="0"/>
    <n v="0"/>
    <n v="0"/>
    <s v="MMR001CMP035"/>
    <x v="0"/>
    <x v="2"/>
    <x v="4"/>
    <s v=""/>
    <s v="No"/>
    <m/>
  </r>
  <r>
    <n v="52.266666666666666"/>
    <d v="2012-07-17T00:00:00"/>
    <x v="1"/>
    <s v="UNHCR"/>
    <s v="Kachin"/>
    <s v="Myitkyina"/>
    <s v="Nan Kway St. John Catholic Church"/>
    <m/>
    <m/>
    <m/>
    <n v="6"/>
    <n v="6"/>
    <n v="6"/>
    <n v="6"/>
    <n v="6"/>
    <n v="6"/>
    <n v="6"/>
    <m/>
    <m/>
    <m/>
    <m/>
    <m/>
    <m/>
    <m/>
    <n v="0"/>
    <n v="0"/>
    <n v="0"/>
    <n v="0"/>
    <n v="0"/>
    <n v="0"/>
    <n v="0"/>
    <n v="0"/>
    <n v="0"/>
    <n v="0"/>
    <n v="0"/>
    <n v="0"/>
    <n v="0"/>
    <n v="0"/>
    <x v="0"/>
    <n v="0"/>
    <n v="0"/>
    <n v="0"/>
    <s v="MMR001CMP024"/>
    <x v="0"/>
    <x v="0"/>
    <x v="0"/>
    <n v="8.8235294117647065E-2"/>
    <s v="No"/>
    <m/>
  </r>
  <r>
    <n v="52.266666666666666"/>
    <d v="2012-07-17T00:00:00"/>
    <x v="1"/>
    <s v="UNHCR"/>
    <s v="Kachin"/>
    <s v="Momauk"/>
    <s v="Pa Kahtawng "/>
    <m/>
    <m/>
    <m/>
    <n v="0"/>
    <n v="0"/>
    <n v="0"/>
    <n v="0"/>
    <n v="0"/>
    <m/>
    <m/>
    <m/>
    <m/>
    <m/>
    <m/>
    <m/>
    <m/>
    <m/>
    <n v="0"/>
    <n v="0"/>
    <n v="0"/>
    <n v="0"/>
    <n v="0"/>
    <n v="0"/>
    <n v="0"/>
    <n v="0"/>
    <n v="0"/>
    <n v="0"/>
    <n v="0"/>
    <n v="0"/>
    <n v="0"/>
    <n v="0"/>
    <x v="0"/>
    <n v="0"/>
    <n v="0"/>
    <n v="0"/>
    <s v="MMR001CMP126"/>
    <x v="0"/>
    <x v="0"/>
    <x v="6"/>
    <n v="0"/>
    <s v="No"/>
    <m/>
  </r>
  <r>
    <n v="52.266666666666666"/>
    <d v="2012-07-17T00:00:00"/>
    <x v="1"/>
    <s v="UNHCR"/>
    <s v="Kachin"/>
    <s v="Momauk"/>
    <s v="Pa Kahtawng "/>
    <m/>
    <m/>
    <m/>
    <n v="0"/>
    <n v="0"/>
    <n v="0"/>
    <n v="0"/>
    <n v="0"/>
    <m/>
    <m/>
    <m/>
    <m/>
    <m/>
    <m/>
    <m/>
    <m/>
    <m/>
    <n v="0"/>
    <n v="0"/>
    <n v="0"/>
    <n v="0"/>
    <n v="0"/>
    <n v="0"/>
    <n v="0"/>
    <n v="0"/>
    <n v="0"/>
    <n v="0"/>
    <n v="0"/>
    <n v="0"/>
    <n v="0"/>
    <n v="0"/>
    <x v="0"/>
    <n v="0"/>
    <n v="0"/>
    <n v="0"/>
    <s v="MMR001CMP126"/>
    <x v="0"/>
    <x v="0"/>
    <x v="6"/>
    <n v="0"/>
    <s v="No"/>
    <m/>
  </r>
  <r>
    <n v="52.266666666666666"/>
    <d v="2012-07-17T00:00:00"/>
    <x v="1"/>
    <s v="UNHCR"/>
    <s v="Kachin"/>
    <s v="Myitkyina"/>
    <s v="Shatapru Thida Aye Baptist Church"/>
    <m/>
    <m/>
    <m/>
    <n v="3"/>
    <n v="3"/>
    <n v="3"/>
    <n v="3"/>
    <n v="3"/>
    <n v="3"/>
    <n v="3"/>
    <m/>
    <m/>
    <m/>
    <m/>
    <m/>
    <m/>
    <m/>
    <n v="0"/>
    <n v="0"/>
    <n v="0"/>
    <n v="0"/>
    <n v="0"/>
    <n v="0"/>
    <n v="0"/>
    <n v="0"/>
    <n v="0"/>
    <n v="0"/>
    <n v="0"/>
    <n v="0"/>
    <n v="0"/>
    <n v="0"/>
    <x v="0"/>
    <n v="0"/>
    <n v="0"/>
    <n v="0"/>
    <s v="MMR001CMP007"/>
    <x v="0"/>
    <x v="0"/>
    <x v="0"/>
    <n v="0.13636363636363635"/>
    <s v="No"/>
    <m/>
  </r>
  <r>
    <n v="52.266666666666666"/>
    <d v="2012-07-17T00:00:00"/>
    <x v="1"/>
    <s v="UNHCR"/>
    <s v="Kachin"/>
    <s v="Myitkyina"/>
    <s v="Tat Kone Galile Baptist Church"/>
    <m/>
    <m/>
    <m/>
    <n v="7"/>
    <n v="7"/>
    <n v="7"/>
    <n v="7"/>
    <n v="7"/>
    <n v="7"/>
    <n v="7"/>
    <m/>
    <m/>
    <m/>
    <m/>
    <m/>
    <m/>
    <m/>
    <n v="0"/>
    <n v="0"/>
    <n v="0"/>
    <n v="0"/>
    <n v="0"/>
    <n v="0"/>
    <n v="0"/>
    <n v="0"/>
    <n v="0"/>
    <n v="0"/>
    <n v="0"/>
    <n v="0"/>
    <n v="0"/>
    <n v="0"/>
    <x v="0"/>
    <n v="0"/>
    <n v="0"/>
    <n v="0"/>
    <s v="MMR001CMP003"/>
    <x v="0"/>
    <x v="0"/>
    <x v="0"/>
    <n v="0.26923076923076922"/>
    <s v="No"/>
    <m/>
  </r>
  <r>
    <n v="52.3"/>
    <d v="2012-07-16T00:00:00"/>
    <x v="1"/>
    <s v="UNHCR"/>
    <s v="Kachin"/>
    <s v="Myitkyina"/>
    <s v="Kyun Pin Thar Baptist Church"/>
    <m/>
    <m/>
    <m/>
    <n v="33"/>
    <n v="33"/>
    <n v="33"/>
    <n v="33"/>
    <n v="33"/>
    <n v="33"/>
    <n v="33"/>
    <m/>
    <m/>
    <m/>
    <m/>
    <m/>
    <m/>
    <m/>
    <n v="0"/>
    <n v="0"/>
    <n v="0"/>
    <n v="0"/>
    <n v="0"/>
    <n v="0"/>
    <n v="0"/>
    <n v="0"/>
    <n v="0"/>
    <n v="0"/>
    <n v="0"/>
    <n v="0"/>
    <n v="0"/>
    <n v="0"/>
    <x v="0"/>
    <n v="0"/>
    <n v="0"/>
    <n v="0"/>
    <s v="MMR001CMP013"/>
    <x v="0"/>
    <x v="0"/>
    <x v="0"/>
    <n v="1.9411764705882353"/>
    <s v="No"/>
    <m/>
  </r>
  <r>
    <n v="52.3"/>
    <d v="2012-07-16T00:00:00"/>
    <x v="1"/>
    <s v="UNHCR"/>
    <s v="Kachin"/>
    <s v="Myitkyina"/>
    <s v="Le Kone Bethlehem Church"/>
    <m/>
    <m/>
    <m/>
    <n v="6"/>
    <n v="6"/>
    <n v="6"/>
    <n v="6"/>
    <n v="6"/>
    <n v="6"/>
    <n v="6"/>
    <m/>
    <m/>
    <m/>
    <m/>
    <m/>
    <m/>
    <m/>
    <n v="0"/>
    <n v="0"/>
    <n v="0"/>
    <n v="0"/>
    <n v="0"/>
    <n v="0"/>
    <n v="0"/>
    <n v="0"/>
    <n v="0"/>
    <n v="0"/>
    <n v="0"/>
    <n v="0"/>
    <n v="0"/>
    <n v="0"/>
    <x v="0"/>
    <n v="0"/>
    <n v="0"/>
    <n v="0"/>
    <s v="MMR001CMP015"/>
    <x v="0"/>
    <x v="0"/>
    <x v="0"/>
    <n v="0.2"/>
    <s v="No"/>
    <m/>
  </r>
  <r>
    <n v="52.3"/>
    <d v="2012-07-16T00:00:00"/>
    <x v="1"/>
    <s v="UNHCR"/>
    <s v="Kachin"/>
    <s v="Myitkyina"/>
    <s v="Le Kone Bethlehem Church"/>
    <m/>
    <m/>
    <m/>
    <n v="13"/>
    <n v="13"/>
    <n v="13"/>
    <n v="13"/>
    <n v="13"/>
    <n v="13"/>
    <n v="13"/>
    <m/>
    <m/>
    <m/>
    <m/>
    <m/>
    <m/>
    <m/>
    <n v="0"/>
    <n v="0"/>
    <n v="0"/>
    <n v="0"/>
    <n v="0"/>
    <n v="0"/>
    <n v="0"/>
    <n v="0"/>
    <n v="0"/>
    <n v="0"/>
    <n v="0"/>
    <n v="0"/>
    <n v="0"/>
    <n v="0"/>
    <x v="0"/>
    <n v="0"/>
    <n v="0"/>
    <n v="0"/>
    <s v="MMR001CMP015"/>
    <x v="0"/>
    <x v="0"/>
    <x v="0"/>
    <n v="0.43333333333333335"/>
    <s v="No"/>
    <m/>
  </r>
  <r>
    <n v="52.3"/>
    <d v="2012-07-16T00:00:00"/>
    <x v="1"/>
    <s v="UNHCR"/>
    <s v="Kachin"/>
    <s v="Myitkyina"/>
    <s v="Le Kone Ziun Baptist Church "/>
    <m/>
    <m/>
    <m/>
    <n v="50"/>
    <n v="50"/>
    <n v="50"/>
    <n v="50"/>
    <n v="50"/>
    <n v="50"/>
    <n v="50"/>
    <m/>
    <m/>
    <m/>
    <m/>
    <m/>
    <m/>
    <m/>
    <n v="0"/>
    <n v="0"/>
    <n v="0"/>
    <n v="0"/>
    <n v="0"/>
    <n v="0"/>
    <n v="0"/>
    <n v="0"/>
    <n v="0"/>
    <n v="0"/>
    <n v="0"/>
    <n v="0"/>
    <n v="0"/>
    <n v="0"/>
    <x v="0"/>
    <n v="0"/>
    <n v="0"/>
    <n v="0"/>
    <s v="MMR001CMP014"/>
    <x v="0"/>
    <x v="0"/>
    <x v="0"/>
    <n v="0.58823529411764708"/>
    <s v="No"/>
    <m/>
  </r>
  <r>
    <n v="52.3"/>
    <d v="2012-07-16T00:00:00"/>
    <x v="1"/>
    <s v="UNHCR"/>
    <s v="Kachin"/>
    <s v="Myitkyina"/>
    <s v="Maliyang Baptist Church"/>
    <m/>
    <m/>
    <m/>
    <n v="3"/>
    <n v="3"/>
    <n v="3"/>
    <n v="3"/>
    <n v="3"/>
    <n v="3"/>
    <n v="3"/>
    <m/>
    <m/>
    <m/>
    <m/>
    <m/>
    <m/>
    <m/>
    <n v="0"/>
    <n v="0"/>
    <n v="0"/>
    <n v="0"/>
    <n v="0"/>
    <n v="0"/>
    <n v="0"/>
    <n v="0"/>
    <n v="0"/>
    <n v="0"/>
    <n v="0"/>
    <n v="0"/>
    <n v="0"/>
    <n v="0"/>
    <x v="0"/>
    <n v="0"/>
    <n v="0"/>
    <n v="0"/>
    <s v="MMR001CMP016"/>
    <x v="0"/>
    <x v="0"/>
    <x v="0"/>
    <n v="0.05"/>
    <s v="No"/>
    <m/>
  </r>
  <r>
    <n v="52.3"/>
    <d v="2012-07-16T00:00:00"/>
    <x v="1"/>
    <s v="UNHCR"/>
    <s v="Kachin"/>
    <s v="Myitkyina"/>
    <s v="Njang Dung Baptist Church "/>
    <m/>
    <m/>
    <m/>
    <n v="25"/>
    <n v="25"/>
    <n v="25"/>
    <n v="25"/>
    <n v="25"/>
    <n v="25"/>
    <n v="25"/>
    <m/>
    <m/>
    <m/>
    <m/>
    <m/>
    <m/>
    <m/>
    <n v="0"/>
    <n v="0"/>
    <n v="0"/>
    <n v="0"/>
    <n v="0"/>
    <n v="0"/>
    <n v="0"/>
    <n v="0"/>
    <n v="0"/>
    <n v="0"/>
    <n v="0"/>
    <n v="0"/>
    <n v="0"/>
    <n v="0"/>
    <x v="0"/>
    <n v="0"/>
    <n v="0"/>
    <n v="0"/>
    <s v="MMR001CMP002"/>
    <x v="0"/>
    <x v="0"/>
    <x v="0"/>
    <n v="0.40322580645161288"/>
    <s v="No"/>
    <m/>
  </r>
  <r>
    <n v="52.4"/>
    <d v="2012-07-13T00:00:00"/>
    <x v="1"/>
    <s v="UNHCR"/>
    <s v="Kachin"/>
    <s v="Waingmaw"/>
    <s v="Hkat Cho "/>
    <m/>
    <m/>
    <m/>
    <n v="9"/>
    <n v="9"/>
    <n v="9"/>
    <n v="9"/>
    <n v="9"/>
    <n v="9"/>
    <n v="9"/>
    <m/>
    <m/>
    <m/>
    <m/>
    <m/>
    <m/>
    <m/>
    <n v="0"/>
    <n v="0"/>
    <n v="0"/>
    <n v="0"/>
    <n v="0"/>
    <n v="0"/>
    <n v="0"/>
    <n v="0"/>
    <n v="0"/>
    <n v="0"/>
    <n v="0"/>
    <n v="0"/>
    <n v="0"/>
    <n v="0"/>
    <x v="0"/>
    <n v="0"/>
    <n v="0"/>
    <n v="0"/>
    <s v="MMR001CMP028"/>
    <x v="0"/>
    <x v="0"/>
    <x v="0"/>
    <n v="9.0909090909090912E-2"/>
    <s v="No"/>
    <m/>
  </r>
  <r>
    <n v="52.4"/>
    <d v="2012-07-13T00:00:00"/>
    <x v="1"/>
    <s v="UNHCR"/>
    <s v="Kachin"/>
    <s v="Waingmaw"/>
    <s v="Maina Lawang Baptist Church"/>
    <m/>
    <m/>
    <m/>
    <n v="6"/>
    <n v="6"/>
    <n v="6"/>
    <n v="6"/>
    <n v="6"/>
    <n v="6"/>
    <n v="6"/>
    <m/>
    <m/>
    <m/>
    <m/>
    <m/>
    <m/>
    <m/>
    <n v="0"/>
    <n v="0"/>
    <n v="0"/>
    <n v="0"/>
    <n v="0"/>
    <n v="0"/>
    <n v="0"/>
    <n v="0"/>
    <n v="0"/>
    <n v="0"/>
    <n v="0"/>
    <n v="0"/>
    <n v="0"/>
    <n v="0"/>
    <x v="0"/>
    <n v="0"/>
    <n v="0"/>
    <n v="0"/>
    <s v="MMR001CMP039"/>
    <x v="0"/>
    <x v="0"/>
    <x v="0"/>
    <n v="0.15789473684210525"/>
    <s v="No"/>
    <m/>
  </r>
  <r>
    <n v="52.4"/>
    <d v="2012-07-13T00:00:00"/>
    <x v="1"/>
    <s v="UNHCR"/>
    <s v="Kachin"/>
    <s v="Waingmaw"/>
    <s v="Qtr. 2 Lhaovo Baptist Church"/>
    <m/>
    <m/>
    <m/>
    <n v="13"/>
    <n v="13"/>
    <n v="13"/>
    <n v="13"/>
    <n v="13"/>
    <n v="13"/>
    <n v="13"/>
    <m/>
    <m/>
    <m/>
    <m/>
    <m/>
    <m/>
    <m/>
    <n v="0"/>
    <n v="0"/>
    <n v="0"/>
    <n v="0"/>
    <n v="0"/>
    <n v="0"/>
    <n v="0"/>
    <n v="0"/>
    <n v="0"/>
    <n v="0"/>
    <n v="0"/>
    <n v="0"/>
    <n v="0"/>
    <n v="0"/>
    <x v="0"/>
    <n v="0"/>
    <n v="0"/>
    <n v="0"/>
    <s v="MMR001CMP032"/>
    <x v="0"/>
    <x v="0"/>
    <x v="0"/>
    <n v="0.14285714285714285"/>
    <s v="No"/>
    <m/>
  </r>
  <r>
    <n v="52.4"/>
    <d v="2012-07-13T00:00:00"/>
    <x v="1"/>
    <s v="UNHCR"/>
    <s v="Kachin"/>
    <s v="Waingmaw"/>
    <s v="Qtr. 4 Monestry (Thargaya Thayett Taw)"/>
    <m/>
    <m/>
    <m/>
    <n v="3"/>
    <n v="3"/>
    <n v="3"/>
    <n v="3"/>
    <n v="3"/>
    <n v="3"/>
    <n v="3"/>
    <m/>
    <m/>
    <m/>
    <m/>
    <m/>
    <m/>
    <m/>
    <n v="0"/>
    <n v="0"/>
    <n v="0"/>
    <n v="0"/>
    <n v="0"/>
    <n v="0"/>
    <n v="0"/>
    <n v="0"/>
    <n v="0"/>
    <n v="0"/>
    <n v="0"/>
    <n v="0"/>
    <n v="0"/>
    <n v="0"/>
    <x v="0"/>
    <n v="0"/>
    <n v="0"/>
    <n v="0"/>
    <s v="MMR001CMP026"/>
    <x v="0"/>
    <x v="0"/>
    <x v="0"/>
    <n v="3.4482758620689655E-2"/>
    <s v="No"/>
    <m/>
  </r>
  <r>
    <n v="52.4"/>
    <d v="2012-07-13T00:00:00"/>
    <x v="1"/>
    <s v="UNHCR"/>
    <s v="Kachin"/>
    <s v="Waingmaw"/>
    <s v="Thargaya Lisu Baptist Church"/>
    <m/>
    <m/>
    <m/>
    <n v="8"/>
    <n v="8"/>
    <n v="8"/>
    <n v="8"/>
    <n v="8"/>
    <n v="8"/>
    <n v="8"/>
    <m/>
    <m/>
    <m/>
    <m/>
    <m/>
    <m/>
    <m/>
    <n v="0"/>
    <n v="0"/>
    <n v="0"/>
    <n v="0"/>
    <n v="0"/>
    <n v="0"/>
    <n v="0"/>
    <n v="0"/>
    <n v="0"/>
    <n v="0"/>
    <n v="0"/>
    <n v="0"/>
    <n v="0"/>
    <n v="0"/>
    <x v="0"/>
    <n v="0"/>
    <n v="0"/>
    <n v="0"/>
    <s v="MMR001CMP037"/>
    <x v="0"/>
    <x v="0"/>
    <x v="0"/>
    <n v="0.18181818181818182"/>
    <s v="No"/>
    <m/>
  </r>
  <r>
    <n v="52.4"/>
    <d v="2012-07-13T00:00:00"/>
    <x v="1"/>
    <s v="UNHCR"/>
    <s v="Kachin"/>
    <s v="Waingmaw"/>
    <s v="Waingmaw Baptist Zonal Office"/>
    <m/>
    <m/>
    <m/>
    <n v="2"/>
    <n v="2"/>
    <n v="2"/>
    <n v="2"/>
    <n v="2"/>
    <n v="2"/>
    <n v="2"/>
    <m/>
    <m/>
    <m/>
    <m/>
    <m/>
    <m/>
    <m/>
    <n v="0"/>
    <n v="0"/>
    <n v="0"/>
    <n v="0"/>
    <n v="0"/>
    <n v="0"/>
    <n v="0"/>
    <n v="0"/>
    <n v="0"/>
    <n v="0"/>
    <n v="0"/>
    <n v="0"/>
    <n v="0"/>
    <n v="0"/>
    <x v="0"/>
    <n v="0"/>
    <n v="0"/>
    <n v="0"/>
    <s v="MMR001CMP036"/>
    <x v="0"/>
    <x v="2"/>
    <x v="0"/>
    <s v=""/>
    <s v="No"/>
    <m/>
  </r>
  <r>
    <n v="52.5"/>
    <d v="2012-07-10T00:00:00"/>
    <x v="1"/>
    <s v="KMSS"/>
    <s v="Kachin"/>
    <s v="Waingmaw"/>
    <s v="Maga Yang "/>
    <m/>
    <m/>
    <m/>
    <n v="0"/>
    <n v="599"/>
    <n v="675"/>
    <n v="599"/>
    <n v="0"/>
    <m/>
    <m/>
    <m/>
    <m/>
    <m/>
    <m/>
    <m/>
    <m/>
    <m/>
    <n v="0"/>
    <n v="0"/>
    <n v="0"/>
    <n v="0"/>
    <n v="0"/>
    <n v="0"/>
    <n v="0"/>
    <n v="0"/>
    <n v="0"/>
    <n v="0"/>
    <n v="0"/>
    <n v="0"/>
    <n v="0"/>
    <n v="0"/>
    <x v="0"/>
    <n v="0"/>
    <n v="0"/>
    <n v="0"/>
    <s v="MMR001CMP119"/>
    <x v="0"/>
    <x v="0"/>
    <x v="6"/>
    <n v="1.0239316239316238"/>
    <s v="No"/>
    <m/>
  </r>
  <r>
    <n v="52.533333333333331"/>
    <d v="2012-07-09T00:00:00"/>
    <x v="1"/>
    <s v="UNHCR"/>
    <s v="Kachin"/>
    <s v="Waingmaw"/>
    <s v="Qtr. 2 Lhaovo Baptist Church"/>
    <m/>
    <m/>
    <m/>
    <n v="77"/>
    <n v="34"/>
    <n v="77"/>
    <n v="35"/>
    <n v="52"/>
    <n v="52"/>
    <n v="52"/>
    <m/>
    <m/>
    <m/>
    <m/>
    <m/>
    <m/>
    <m/>
    <n v="0"/>
    <n v="0"/>
    <n v="0"/>
    <n v="0"/>
    <n v="0"/>
    <n v="0"/>
    <n v="0"/>
    <n v="0"/>
    <n v="0"/>
    <n v="0"/>
    <n v="0"/>
    <n v="0"/>
    <n v="0"/>
    <n v="0"/>
    <x v="0"/>
    <n v="0"/>
    <n v="0"/>
    <n v="0"/>
    <s v="MMR001CMP032"/>
    <x v="0"/>
    <x v="0"/>
    <x v="0"/>
    <n v="0.38461538461538464"/>
    <s v="No"/>
    <m/>
  </r>
  <r>
    <n v="52.56666666666667"/>
    <d v="2012-07-08T00:00:00"/>
    <x v="0"/>
    <s v="Solidarities"/>
    <s v="Kachin"/>
    <s v="Momauk"/>
    <s v="Momauk Baptist Church"/>
    <n v="64"/>
    <m/>
    <m/>
    <m/>
    <m/>
    <m/>
    <m/>
    <m/>
    <m/>
    <m/>
    <m/>
    <m/>
    <m/>
    <m/>
    <m/>
    <m/>
    <m/>
    <n v="0"/>
    <n v="0"/>
    <n v="0"/>
    <n v="0"/>
    <n v="0"/>
    <n v="0"/>
    <n v="0"/>
    <n v="0"/>
    <n v="0"/>
    <n v="0"/>
    <n v="0"/>
    <n v="0"/>
    <n v="0"/>
    <n v="0"/>
    <x v="0"/>
    <n v="0"/>
    <n v="0"/>
    <n v="0"/>
    <s v="MMR001CMP056"/>
    <x v="0"/>
    <x v="0"/>
    <x v="0"/>
    <n v="0"/>
    <m/>
    <m/>
  </r>
  <r>
    <n v="52.56666666666667"/>
    <d v="2012-07-08T00:00:00"/>
    <x v="1"/>
    <s v="Shalom"/>
    <s v="Kachin"/>
    <s v="Momauk"/>
    <s v="Ni Thaw Ka Monestry"/>
    <n v="16"/>
    <m/>
    <m/>
    <m/>
    <m/>
    <m/>
    <m/>
    <m/>
    <m/>
    <m/>
    <m/>
    <m/>
    <m/>
    <m/>
    <m/>
    <m/>
    <m/>
    <n v="0"/>
    <n v="0"/>
    <n v="0"/>
    <n v="0"/>
    <n v="0"/>
    <n v="0"/>
    <n v="0"/>
    <n v="0"/>
    <n v="0"/>
    <n v="0"/>
    <n v="0"/>
    <n v="0"/>
    <n v="0"/>
    <n v="0"/>
    <x v="0"/>
    <n v="0"/>
    <n v="0"/>
    <n v="0"/>
    <s v="MMR001CMP059"/>
    <x v="0"/>
    <x v="2"/>
    <x v="0"/>
    <s v=""/>
    <m/>
    <m/>
  </r>
  <r>
    <n v="52.56666666666667"/>
    <d v="2012-07-08T00:00:00"/>
    <x v="0"/>
    <s v="Solidarities"/>
    <s v="Kachin"/>
    <s v="Momauk"/>
    <s v="Ni Thaw Ka Monestry"/>
    <n v="16"/>
    <m/>
    <m/>
    <m/>
    <m/>
    <m/>
    <m/>
    <m/>
    <m/>
    <m/>
    <m/>
    <m/>
    <m/>
    <m/>
    <m/>
    <m/>
    <m/>
    <n v="0"/>
    <n v="0"/>
    <n v="0"/>
    <n v="0"/>
    <n v="0"/>
    <n v="0"/>
    <n v="0"/>
    <n v="0"/>
    <n v="0"/>
    <n v="0"/>
    <n v="0"/>
    <n v="0"/>
    <n v="0"/>
    <n v="0"/>
    <x v="0"/>
    <n v="0"/>
    <n v="0"/>
    <n v="0"/>
    <s v="MMR001CMP059"/>
    <x v="0"/>
    <x v="2"/>
    <x v="0"/>
    <s v=""/>
    <m/>
    <m/>
  </r>
  <r>
    <n v="52.56666666666667"/>
    <d v="2012-07-08T00:00:00"/>
    <x v="0"/>
    <s v="Solidarities"/>
    <s v="Kachin"/>
    <s v="Bhamo"/>
    <s v="Chan Myae monastery"/>
    <n v="3"/>
    <m/>
    <m/>
    <m/>
    <m/>
    <m/>
    <m/>
    <m/>
    <m/>
    <m/>
    <m/>
    <m/>
    <m/>
    <m/>
    <m/>
    <m/>
    <m/>
    <n v="0"/>
    <n v="0"/>
    <n v="0"/>
    <n v="0"/>
    <n v="0"/>
    <n v="0"/>
    <n v="0"/>
    <n v="0"/>
    <n v="0"/>
    <n v="0"/>
    <n v="0"/>
    <n v="0"/>
    <n v="0"/>
    <n v="0"/>
    <x v="0"/>
    <n v="0"/>
    <n v="0"/>
    <n v="0"/>
    <s v=""/>
    <x v="3"/>
    <x v="1"/>
    <x v="4"/>
    <s v=""/>
    <m/>
    <m/>
  </r>
  <r>
    <n v="52.633333333333333"/>
    <d v="2012-07-06T00:00:00"/>
    <x v="1"/>
    <s v="UNHCR"/>
    <s v="Kachin"/>
    <s v="Waingmaw"/>
    <s v="Waingmaw AG Church"/>
    <m/>
    <m/>
    <m/>
    <n v="17"/>
    <n v="17"/>
    <n v="17"/>
    <n v="17"/>
    <n v="17"/>
    <n v="17"/>
    <n v="17"/>
    <m/>
    <m/>
    <m/>
    <m/>
    <m/>
    <m/>
    <m/>
    <n v="0"/>
    <n v="0"/>
    <n v="0"/>
    <n v="0"/>
    <n v="0"/>
    <n v="0"/>
    <n v="0"/>
    <n v="0"/>
    <n v="0"/>
    <n v="0"/>
    <n v="0"/>
    <n v="0"/>
    <n v="0"/>
    <n v="0"/>
    <x v="0"/>
    <n v="0"/>
    <n v="0"/>
    <n v="0"/>
    <s v="MMR001CMP038"/>
    <x v="0"/>
    <x v="0"/>
    <x v="0"/>
    <n v="0.24285714285714285"/>
    <s v="No"/>
    <m/>
  </r>
  <r>
    <n v="52.666666666666664"/>
    <d v="2012-07-05T00:00:00"/>
    <x v="1"/>
    <s v="UNHCR"/>
    <s v="Kachin"/>
    <s v="Bhamo"/>
    <s v="Ta Gun Taing Monastery (Shwe Kyi Na)"/>
    <m/>
    <m/>
    <m/>
    <n v="36"/>
    <n v="14"/>
    <n v="36"/>
    <n v="14"/>
    <n v="14"/>
    <n v="14"/>
    <n v="14"/>
    <m/>
    <m/>
    <m/>
    <m/>
    <m/>
    <m/>
    <m/>
    <n v="0"/>
    <n v="0"/>
    <n v="0"/>
    <n v="0"/>
    <n v="0"/>
    <n v="0"/>
    <n v="0"/>
    <n v="0"/>
    <n v="0"/>
    <n v="0"/>
    <n v="0"/>
    <n v="0"/>
    <n v="0"/>
    <n v="0"/>
    <x v="0"/>
    <n v="0"/>
    <n v="0"/>
    <n v="0"/>
    <s v="MMR001CMP055"/>
    <x v="0"/>
    <x v="0"/>
    <x v="0"/>
    <n v="0.66666666666666663"/>
    <s v="No"/>
    <m/>
  </r>
  <r>
    <n v="53"/>
    <d v="2012-06-25T00:00:00"/>
    <x v="1"/>
    <s v="UNHCR"/>
    <s v="Kachin"/>
    <s v="Momauk"/>
    <s v="Momauk Baptist Church"/>
    <m/>
    <m/>
    <m/>
    <n v="290"/>
    <n v="145"/>
    <n v="290"/>
    <n v="145"/>
    <n v="145"/>
    <n v="145"/>
    <n v="145"/>
    <m/>
    <m/>
    <m/>
    <m/>
    <m/>
    <m/>
    <m/>
    <n v="0"/>
    <n v="0"/>
    <n v="0"/>
    <n v="0"/>
    <n v="0"/>
    <n v="0"/>
    <n v="0"/>
    <n v="0"/>
    <n v="0"/>
    <n v="0"/>
    <n v="0"/>
    <n v="0"/>
    <n v="0"/>
    <n v="0"/>
    <x v="0"/>
    <n v="0"/>
    <n v="0"/>
    <n v="0"/>
    <s v="MMR001CMP056"/>
    <x v="0"/>
    <x v="0"/>
    <x v="0"/>
    <n v="0.6415929203539823"/>
    <s v="No"/>
    <m/>
  </r>
  <r>
    <n v="53.06666666666667"/>
    <d v="2012-06-23T00:00:00"/>
    <x v="1"/>
    <s v="UNHCR"/>
    <s v="Kachin"/>
    <s v="Momauk"/>
    <s v="Dum Bung "/>
    <m/>
    <m/>
    <m/>
    <n v="24"/>
    <n v="13"/>
    <n v="24"/>
    <n v="13"/>
    <n v="13"/>
    <n v="13"/>
    <n v="13"/>
    <m/>
    <m/>
    <m/>
    <m/>
    <m/>
    <m/>
    <m/>
    <n v="0"/>
    <n v="0"/>
    <n v="0"/>
    <n v="0"/>
    <n v="0"/>
    <n v="0"/>
    <n v="0"/>
    <n v="0"/>
    <n v="0"/>
    <n v="0"/>
    <n v="0"/>
    <n v="0"/>
    <n v="0"/>
    <n v="0"/>
    <x v="0"/>
    <n v="0"/>
    <n v="0"/>
    <n v="0"/>
    <s v="MMR001CMP123"/>
    <x v="0"/>
    <x v="0"/>
    <x v="6"/>
    <n v="0.11926605504587157"/>
    <s v="No"/>
    <m/>
  </r>
  <r>
    <n v="53.1"/>
    <d v="2012-06-22T00:00:00"/>
    <x v="1"/>
    <s v="UNHCR"/>
    <s v="Kachin"/>
    <s v="Momauk"/>
    <s v="Nhkawng Pa "/>
    <m/>
    <m/>
    <m/>
    <n v="140"/>
    <n v="70"/>
    <n v="140"/>
    <n v="70"/>
    <n v="70"/>
    <n v="70"/>
    <n v="70"/>
    <m/>
    <m/>
    <m/>
    <m/>
    <m/>
    <m/>
    <m/>
    <n v="0"/>
    <n v="0"/>
    <n v="0"/>
    <n v="0"/>
    <n v="0"/>
    <n v="0"/>
    <n v="0"/>
    <n v="0"/>
    <n v="0"/>
    <n v="0"/>
    <n v="0"/>
    <n v="0"/>
    <n v="0"/>
    <n v="0"/>
    <x v="0"/>
    <n v="0"/>
    <n v="0"/>
    <n v="0"/>
    <s v="MMR001CMP131"/>
    <x v="0"/>
    <x v="0"/>
    <x v="5"/>
    <n v="0.19718309859154928"/>
    <s v="No"/>
    <m/>
  </r>
  <r>
    <n v="53.166666666666664"/>
    <d v="2012-06-20T00:00:00"/>
    <x v="1"/>
    <s v="UNHCR"/>
    <s v="Kachin"/>
    <s v="Waingmaw"/>
    <s v="Waingmaw Baptist Zonal Office"/>
    <m/>
    <m/>
    <m/>
    <n v="141"/>
    <n v="81"/>
    <n v="148"/>
    <n v="84"/>
    <n v="78"/>
    <n v="78"/>
    <n v="78"/>
    <m/>
    <m/>
    <m/>
    <m/>
    <m/>
    <m/>
    <m/>
    <n v="0"/>
    <n v="0"/>
    <n v="0"/>
    <n v="0"/>
    <n v="0"/>
    <n v="0"/>
    <n v="0"/>
    <n v="0"/>
    <n v="0"/>
    <n v="0"/>
    <n v="0"/>
    <n v="0"/>
    <n v="0"/>
    <n v="0"/>
    <x v="0"/>
    <n v="0"/>
    <n v="0"/>
    <n v="0"/>
    <s v="MMR001CMP036"/>
    <x v="0"/>
    <x v="2"/>
    <x v="0"/>
    <s v=""/>
    <s v="No"/>
    <m/>
  </r>
  <r>
    <n v="53.2"/>
    <d v="2012-06-19T00:00:00"/>
    <x v="1"/>
    <s v="UNHCR"/>
    <s v="Kachin"/>
    <s v="Waingmaw"/>
    <s v="Maina KBC (Bawng Ring)"/>
    <m/>
    <m/>
    <m/>
    <n v="32"/>
    <n v="17"/>
    <n v="32"/>
    <n v="17"/>
    <n v="17"/>
    <n v="17"/>
    <n v="17"/>
    <m/>
    <m/>
    <m/>
    <m/>
    <m/>
    <m/>
    <m/>
    <n v="0"/>
    <n v="0"/>
    <n v="0"/>
    <n v="0"/>
    <n v="0"/>
    <n v="0"/>
    <n v="0"/>
    <n v="0"/>
    <n v="0"/>
    <n v="0"/>
    <n v="0"/>
    <n v="0"/>
    <n v="0"/>
    <n v="0"/>
    <x v="0"/>
    <n v="0"/>
    <n v="0"/>
    <n v="0"/>
    <s v="MMR001CMP040"/>
    <x v="0"/>
    <x v="0"/>
    <x v="0"/>
    <n v="4.1463414634146344E-2"/>
    <s v="No"/>
    <m/>
  </r>
  <r>
    <n v="53.2"/>
    <d v="2012-06-19T00:00:00"/>
    <x v="1"/>
    <s v="UNHCR"/>
    <s v="Kachin"/>
    <s v="Waingmaw"/>
    <s v="Thargaya Lisu Baptist Church"/>
    <m/>
    <m/>
    <m/>
    <n v="31"/>
    <n v="15"/>
    <n v="31"/>
    <n v="15"/>
    <n v="15"/>
    <n v="15"/>
    <n v="15"/>
    <m/>
    <m/>
    <m/>
    <m/>
    <m/>
    <m/>
    <m/>
    <n v="0"/>
    <n v="0"/>
    <n v="0"/>
    <n v="0"/>
    <n v="0"/>
    <n v="0"/>
    <n v="0"/>
    <n v="0"/>
    <n v="0"/>
    <n v="0"/>
    <n v="0"/>
    <n v="0"/>
    <n v="0"/>
    <n v="0"/>
    <x v="0"/>
    <n v="0"/>
    <n v="0"/>
    <n v="0"/>
    <s v="MMR001CMP037"/>
    <x v="0"/>
    <x v="0"/>
    <x v="0"/>
    <n v="0.34090909090909088"/>
    <s v="No"/>
    <m/>
  </r>
  <r>
    <n v="53.2"/>
    <d v="2012-06-19T00:00:00"/>
    <x v="1"/>
    <s v="UNHCR"/>
    <s v="Kachin"/>
    <s v="Waingmaw"/>
    <s v="Waingmaw AG Church"/>
    <m/>
    <m/>
    <m/>
    <n v="28"/>
    <n v="15"/>
    <n v="28"/>
    <n v="15"/>
    <n v="15"/>
    <n v="15"/>
    <n v="15"/>
    <m/>
    <m/>
    <m/>
    <m/>
    <m/>
    <m/>
    <m/>
    <n v="0"/>
    <n v="0"/>
    <n v="0"/>
    <n v="0"/>
    <n v="0"/>
    <n v="0"/>
    <n v="0"/>
    <n v="0"/>
    <n v="0"/>
    <n v="0"/>
    <n v="0"/>
    <n v="0"/>
    <n v="0"/>
    <n v="0"/>
    <x v="0"/>
    <n v="0"/>
    <n v="0"/>
    <n v="0"/>
    <s v="MMR001CMP038"/>
    <x v="0"/>
    <x v="0"/>
    <x v="0"/>
    <n v="0.21428571428571427"/>
    <s v="No"/>
    <m/>
  </r>
  <r>
    <n v="53.5"/>
    <d v="2012-06-10T00:00:00"/>
    <x v="1"/>
    <s v="UNHCR"/>
    <s v="Kachin"/>
    <s v="Chipwi"/>
    <s v="Lhaovao Baptist Church (LBC)"/>
    <m/>
    <m/>
    <m/>
    <n v="200"/>
    <n v="100"/>
    <n v="150"/>
    <n v="100"/>
    <n v="100"/>
    <n v="100"/>
    <n v="100"/>
    <m/>
    <m/>
    <m/>
    <m/>
    <m/>
    <m/>
    <m/>
    <n v="0"/>
    <n v="0"/>
    <n v="0"/>
    <n v="0"/>
    <n v="0"/>
    <n v="0"/>
    <n v="0"/>
    <n v="0"/>
    <n v="0"/>
    <n v="0"/>
    <n v="0"/>
    <n v="0"/>
    <n v="0"/>
    <n v="0"/>
    <x v="0"/>
    <n v="0"/>
    <n v="0"/>
    <n v="0"/>
    <s v="MMR001CMP195"/>
    <x v="0"/>
    <x v="0"/>
    <x v="5"/>
    <n v="0.69930069930069927"/>
    <s v="No"/>
    <m/>
  </r>
  <r>
    <n v="53.56666666666667"/>
    <d v="2012-06-08T00:00:00"/>
    <x v="0"/>
    <s v="Solidarities"/>
    <s v="Kachin"/>
    <s v="Bhamo"/>
    <s v="Htoi San Church"/>
    <n v="22"/>
    <m/>
    <m/>
    <m/>
    <m/>
    <m/>
    <m/>
    <m/>
    <m/>
    <m/>
    <m/>
    <m/>
    <m/>
    <m/>
    <m/>
    <m/>
    <m/>
    <n v="0"/>
    <n v="0"/>
    <n v="0"/>
    <n v="0"/>
    <n v="0"/>
    <n v="0"/>
    <n v="0"/>
    <n v="0"/>
    <n v="0"/>
    <n v="0"/>
    <n v="0"/>
    <n v="0"/>
    <n v="0"/>
    <n v="0"/>
    <x v="0"/>
    <n v="0"/>
    <n v="0"/>
    <n v="0"/>
    <s v="MMR001CMP052"/>
    <x v="0"/>
    <x v="0"/>
    <x v="0"/>
    <n v="0"/>
    <m/>
    <m/>
  </r>
  <r>
    <n v="53.56666666666667"/>
    <d v="2012-06-08T00:00:00"/>
    <x v="0"/>
    <s v="Solidarities"/>
    <s v="Kachin"/>
    <s v="Bhamo"/>
    <s v="Nant Hlaing Church"/>
    <n v="21"/>
    <m/>
    <m/>
    <m/>
    <m/>
    <m/>
    <m/>
    <m/>
    <m/>
    <m/>
    <m/>
    <m/>
    <m/>
    <m/>
    <m/>
    <m/>
    <m/>
    <n v="0"/>
    <n v="0"/>
    <n v="0"/>
    <n v="0"/>
    <n v="0"/>
    <n v="0"/>
    <n v="0"/>
    <n v="0"/>
    <n v="0"/>
    <n v="0"/>
    <n v="0"/>
    <n v="0"/>
    <n v="0"/>
    <n v="0"/>
    <x v="0"/>
    <n v="0"/>
    <n v="0"/>
    <n v="0"/>
    <s v="MMR001CMP054"/>
    <x v="0"/>
    <x v="0"/>
    <x v="0"/>
    <n v="0"/>
    <m/>
    <m/>
  </r>
  <r>
    <n v="53.56666666666667"/>
    <d v="2012-06-08T00:00:00"/>
    <x v="1"/>
    <s v="UNHCR"/>
    <s v="Kachin"/>
    <s v="Bhamo"/>
    <s v="Nant Hlaing Church"/>
    <m/>
    <m/>
    <m/>
    <n v="12"/>
    <n v="6"/>
    <n v="12"/>
    <n v="6"/>
    <n v="6"/>
    <n v="6"/>
    <n v="6"/>
    <m/>
    <m/>
    <m/>
    <m/>
    <m/>
    <m/>
    <m/>
    <n v="0"/>
    <n v="0"/>
    <n v="0"/>
    <n v="0"/>
    <n v="0"/>
    <n v="0"/>
    <n v="0"/>
    <n v="0"/>
    <n v="0"/>
    <n v="0"/>
    <n v="0"/>
    <n v="0"/>
    <n v="0"/>
    <n v="0"/>
    <x v="0"/>
    <n v="0"/>
    <n v="0"/>
    <n v="0"/>
    <s v="MMR001CMP054"/>
    <x v="0"/>
    <x v="0"/>
    <x v="0"/>
    <n v="0.2857142857142857"/>
    <s v="No"/>
    <m/>
  </r>
  <r>
    <n v="53.633333333333333"/>
    <d v="2012-06-06T00:00:00"/>
    <x v="1"/>
    <s v="UNHCR "/>
    <s v="Kachin"/>
    <s v="Momauk"/>
    <s v="Hpun Lum Yang "/>
    <m/>
    <m/>
    <m/>
    <n v="0"/>
    <n v="200"/>
    <n v="0"/>
    <n v="0"/>
    <n v="0"/>
    <m/>
    <m/>
    <m/>
    <m/>
    <m/>
    <m/>
    <m/>
    <m/>
    <m/>
    <n v="0"/>
    <n v="0"/>
    <n v="0"/>
    <n v="0"/>
    <n v="0"/>
    <n v="0"/>
    <n v="0"/>
    <n v="0"/>
    <n v="0"/>
    <n v="0"/>
    <n v="0"/>
    <n v="0"/>
    <n v="0"/>
    <n v="0"/>
    <x v="0"/>
    <n v="0"/>
    <n v="0"/>
    <n v="0"/>
    <s v="MMR001CMP122"/>
    <x v="0"/>
    <x v="0"/>
    <x v="6"/>
    <n v="0"/>
    <s v="No"/>
    <m/>
  </r>
  <r>
    <n v="53.633333333333333"/>
    <d v="2012-06-06T00:00:00"/>
    <x v="1"/>
    <s v="UNHCR"/>
    <s v="Kachin"/>
    <s v="Momauk"/>
    <s v="Pa Kahtawng "/>
    <m/>
    <m/>
    <m/>
    <n v="144"/>
    <n v="76"/>
    <n v="143"/>
    <n v="76"/>
    <n v="78"/>
    <n v="78"/>
    <n v="78"/>
    <m/>
    <m/>
    <m/>
    <m/>
    <m/>
    <m/>
    <m/>
    <n v="0"/>
    <n v="0"/>
    <n v="0"/>
    <n v="0"/>
    <n v="0"/>
    <n v="0"/>
    <n v="0"/>
    <n v="0"/>
    <n v="0"/>
    <n v="0"/>
    <n v="0"/>
    <n v="0"/>
    <n v="0"/>
    <n v="0"/>
    <x v="0"/>
    <n v="0"/>
    <n v="0"/>
    <n v="0"/>
    <s v="MMR001CMP126"/>
    <x v="0"/>
    <x v="0"/>
    <x v="6"/>
    <n v="0.11360239162929746"/>
    <s v="No"/>
    <m/>
  </r>
  <r>
    <n v="53.666666666666664"/>
    <d v="2012-06-05T00:00:00"/>
    <x v="1"/>
    <s v="UNHCR"/>
    <s v="Kachin"/>
    <s v="Momauk"/>
    <s v="Momauk Catholic Church (St. Patrick)"/>
    <m/>
    <m/>
    <m/>
    <n v="10"/>
    <n v="5"/>
    <n v="10"/>
    <n v="5"/>
    <n v="5"/>
    <n v="5"/>
    <n v="5"/>
    <m/>
    <m/>
    <m/>
    <m/>
    <m/>
    <m/>
    <m/>
    <n v="0"/>
    <n v="0"/>
    <n v="0"/>
    <n v="0"/>
    <n v="0"/>
    <n v="0"/>
    <n v="0"/>
    <n v="0"/>
    <n v="0"/>
    <n v="0"/>
    <n v="0"/>
    <n v="0"/>
    <n v="0"/>
    <n v="0"/>
    <x v="0"/>
    <n v="0"/>
    <n v="0"/>
    <n v="0"/>
    <s v="MMR001CMP057"/>
    <x v="0"/>
    <x v="2"/>
    <x v="0"/>
    <s v=""/>
    <s v="No"/>
    <m/>
  </r>
  <r>
    <n v="53.8"/>
    <d v="2012-06-01T00:00:00"/>
    <x v="1"/>
    <s v="UNHCR"/>
    <s v="Kachin"/>
    <s v="Myitkyina"/>
    <s v="Maw Hpawng Hka Nan Baptist Church"/>
    <m/>
    <m/>
    <m/>
    <n v="22"/>
    <n v="11"/>
    <n v="22"/>
    <n v="11"/>
    <n v="11"/>
    <n v="11"/>
    <n v="11"/>
    <m/>
    <m/>
    <m/>
    <m/>
    <m/>
    <m/>
    <m/>
    <n v="0"/>
    <n v="0"/>
    <n v="0"/>
    <n v="0"/>
    <n v="0"/>
    <n v="0"/>
    <n v="0"/>
    <n v="0"/>
    <n v="0"/>
    <n v="0"/>
    <n v="0"/>
    <n v="0"/>
    <n v="0"/>
    <n v="0"/>
    <x v="0"/>
    <n v="0"/>
    <n v="0"/>
    <n v="0"/>
    <s v="MMR001CMP020"/>
    <x v="0"/>
    <x v="0"/>
    <x v="0"/>
    <n v="0.52380952380952384"/>
    <s v="No"/>
    <m/>
  </r>
  <r>
    <n v="53.8"/>
    <d v="2012-06-01T00:00:00"/>
    <x v="1"/>
    <s v="UNHCR"/>
    <s v="Kachin"/>
    <s v="Myitkyina"/>
    <s v="Maw Hpawng Lhaovo Baptist Church"/>
    <m/>
    <m/>
    <m/>
    <n v="35"/>
    <n v="17"/>
    <n v="35"/>
    <n v="17"/>
    <n v="17"/>
    <n v="17"/>
    <n v="17"/>
    <m/>
    <m/>
    <m/>
    <m/>
    <m/>
    <m/>
    <m/>
    <n v="0"/>
    <n v="0"/>
    <n v="0"/>
    <n v="0"/>
    <n v="0"/>
    <n v="0"/>
    <n v="0"/>
    <n v="0"/>
    <n v="0"/>
    <n v="0"/>
    <n v="0"/>
    <n v="0"/>
    <n v="0"/>
    <n v="0"/>
    <x v="0"/>
    <n v="0"/>
    <n v="0"/>
    <n v="0"/>
    <s v="MMR001CMP021"/>
    <x v="0"/>
    <x v="0"/>
    <x v="0"/>
    <n v="1.2142857142857142"/>
    <s v="No"/>
    <m/>
  </r>
  <r>
    <n v="53.833333333333336"/>
    <d v="2012-05-31T00:00:00"/>
    <x v="1"/>
    <s v="KBC"/>
    <s v="Kachin"/>
    <s v="Bhamo"/>
    <s v="Robert Church"/>
    <m/>
    <m/>
    <m/>
    <n v="0"/>
    <n v="20"/>
    <n v="0"/>
    <n v="0"/>
    <n v="0"/>
    <m/>
    <m/>
    <m/>
    <m/>
    <m/>
    <m/>
    <m/>
    <m/>
    <m/>
    <n v="0"/>
    <n v="0"/>
    <n v="0"/>
    <n v="0"/>
    <n v="0"/>
    <n v="0"/>
    <n v="0"/>
    <n v="0"/>
    <n v="0"/>
    <n v="0"/>
    <n v="0"/>
    <n v="0"/>
    <n v="0"/>
    <n v="0"/>
    <x v="0"/>
    <n v="0"/>
    <n v="0"/>
    <n v="0"/>
    <s v="MMR001CMP047"/>
    <x v="0"/>
    <x v="0"/>
    <x v="0"/>
    <n v="0"/>
    <s v="No"/>
    <m/>
  </r>
  <r>
    <n v="53.93333333333333"/>
    <d v="2012-05-28T00:00:00"/>
    <x v="1"/>
    <s v="UNHCR"/>
    <s v="Kachin"/>
    <s v="Waingmaw"/>
    <s v="Qtr. 3 Mu-yin  Baptist Church"/>
    <m/>
    <m/>
    <m/>
    <n v="0"/>
    <n v="11"/>
    <n v="0"/>
    <n v="0"/>
    <n v="0"/>
    <m/>
    <m/>
    <m/>
    <m/>
    <m/>
    <m/>
    <m/>
    <m/>
    <m/>
    <n v="0"/>
    <n v="0"/>
    <n v="0"/>
    <n v="0"/>
    <n v="0"/>
    <n v="0"/>
    <n v="0"/>
    <n v="0"/>
    <n v="0"/>
    <n v="0"/>
    <n v="0"/>
    <n v="0"/>
    <n v="0"/>
    <n v="0"/>
    <x v="0"/>
    <n v="0"/>
    <n v="0"/>
    <n v="0"/>
    <s v="MMR001CMP030"/>
    <x v="0"/>
    <x v="0"/>
    <x v="0"/>
    <n v="0"/>
    <s v="No"/>
    <m/>
  </r>
  <r>
    <n v="54"/>
    <d v="2012-05-26T00:00:00"/>
    <x v="1"/>
    <s v="KBC"/>
    <s v="Kachin"/>
    <s v="Shwegu"/>
    <s v="Lawk Awng Mare D. (Sinbo Area)"/>
    <m/>
    <m/>
    <m/>
    <n v="200"/>
    <n v="200"/>
    <n v="0"/>
    <n v="0"/>
    <n v="0"/>
    <m/>
    <m/>
    <m/>
    <m/>
    <m/>
    <m/>
    <m/>
    <m/>
    <m/>
    <n v="0"/>
    <n v="0"/>
    <n v="0"/>
    <n v="0"/>
    <n v="0"/>
    <n v="0"/>
    <n v="0"/>
    <n v="0"/>
    <n v="0"/>
    <n v="0"/>
    <n v="0"/>
    <n v="0"/>
    <n v="0"/>
    <n v="0"/>
    <x v="0"/>
    <n v="0"/>
    <n v="0"/>
    <n v="0"/>
    <s v="MMR001CMP147"/>
    <x v="1"/>
    <x v="0"/>
    <x v="0"/>
    <n v="0"/>
    <s v="No"/>
    <m/>
  </r>
  <r>
    <n v="54.033333333333331"/>
    <d v="2012-05-25T00:00:00"/>
    <x v="1"/>
    <s v="UNHCR"/>
    <s v="Kachin"/>
    <s v="Myitkyina"/>
    <s v="Shwe Zet Baptist Church"/>
    <m/>
    <m/>
    <m/>
    <n v="0"/>
    <n v="25"/>
    <n v="0"/>
    <n v="0"/>
    <n v="0"/>
    <m/>
    <m/>
    <m/>
    <m/>
    <m/>
    <m/>
    <m/>
    <m/>
    <m/>
    <n v="0"/>
    <n v="0"/>
    <n v="0"/>
    <n v="0"/>
    <n v="0"/>
    <n v="0"/>
    <n v="0"/>
    <n v="0"/>
    <n v="0"/>
    <n v="0"/>
    <n v="0"/>
    <n v="0"/>
    <n v="0"/>
    <n v="0"/>
    <x v="0"/>
    <n v="0"/>
    <n v="0"/>
    <n v="0"/>
    <s v="MMR001CMP009"/>
    <x v="0"/>
    <x v="0"/>
    <x v="0"/>
    <n v="0"/>
    <s v="No"/>
    <m/>
  </r>
  <r>
    <n v="54.1"/>
    <d v="2012-05-23T00:00:00"/>
    <x v="1"/>
    <s v="UNHCR"/>
    <s v="Kachin"/>
    <s v="Myitkyina"/>
    <s v="Jan Mai Kawng Baptist Church"/>
    <m/>
    <m/>
    <m/>
    <n v="22"/>
    <n v="15"/>
    <n v="22"/>
    <n v="15"/>
    <n v="15"/>
    <n v="15"/>
    <n v="15"/>
    <m/>
    <m/>
    <m/>
    <m/>
    <m/>
    <m/>
    <m/>
    <n v="0"/>
    <n v="0"/>
    <n v="0"/>
    <n v="0"/>
    <n v="0"/>
    <n v="0"/>
    <n v="0"/>
    <n v="0"/>
    <n v="0"/>
    <n v="0"/>
    <n v="0"/>
    <n v="0"/>
    <n v="0"/>
    <n v="0"/>
    <x v="0"/>
    <n v="0"/>
    <n v="0"/>
    <n v="0"/>
    <s v="MMR001CMP018"/>
    <x v="0"/>
    <x v="0"/>
    <x v="0"/>
    <n v="7.575757575757576E-2"/>
    <s v="No"/>
    <m/>
  </r>
  <r>
    <n v="54.1"/>
    <d v="2012-05-23T00:00:00"/>
    <x v="1"/>
    <s v="UNHCR"/>
    <s v="Kachin"/>
    <s v="Myitkyina"/>
    <s v="Nan Kway St. John Catholic Church"/>
    <m/>
    <m/>
    <m/>
    <n v="58"/>
    <n v="29"/>
    <n v="58"/>
    <n v="29"/>
    <n v="29"/>
    <n v="29"/>
    <n v="29"/>
    <m/>
    <m/>
    <m/>
    <m/>
    <m/>
    <m/>
    <m/>
    <n v="0"/>
    <n v="0"/>
    <n v="0"/>
    <n v="0"/>
    <n v="0"/>
    <n v="0"/>
    <n v="0"/>
    <n v="0"/>
    <n v="0"/>
    <n v="0"/>
    <n v="0"/>
    <n v="0"/>
    <n v="0"/>
    <n v="0"/>
    <x v="0"/>
    <n v="0"/>
    <n v="0"/>
    <n v="0"/>
    <s v="MMR001CMP024"/>
    <x v="0"/>
    <x v="0"/>
    <x v="0"/>
    <n v="0.4264705882352941"/>
    <s v="No"/>
    <m/>
  </r>
  <r>
    <n v="54.1"/>
    <d v="2012-05-23T00:00:00"/>
    <x v="1"/>
    <s v="UNHCR"/>
    <s v="Kachin"/>
    <s v="Myitkyina"/>
    <s v="Tat Kone Baptist Church"/>
    <m/>
    <m/>
    <m/>
    <n v="54"/>
    <n v="29"/>
    <n v="54"/>
    <n v="29"/>
    <n v="29"/>
    <n v="29"/>
    <n v="29"/>
    <m/>
    <m/>
    <m/>
    <m/>
    <m/>
    <m/>
    <m/>
    <n v="0"/>
    <n v="0"/>
    <n v="0"/>
    <n v="0"/>
    <n v="0"/>
    <n v="0"/>
    <n v="0"/>
    <n v="0"/>
    <n v="0"/>
    <n v="0"/>
    <n v="0"/>
    <n v="0"/>
    <n v="0"/>
    <n v="0"/>
    <x v="0"/>
    <n v="0"/>
    <n v="0"/>
    <n v="0"/>
    <s v="MMR001CMP001"/>
    <x v="0"/>
    <x v="0"/>
    <x v="0"/>
    <n v="0.60416666666666663"/>
    <s v="No"/>
    <m/>
  </r>
  <r>
    <n v="54.166666666666664"/>
    <d v="2012-05-21T00:00:00"/>
    <x v="1"/>
    <s v="UNHCR"/>
    <s v="Kachin"/>
    <s v="Bhamo"/>
    <s v="AD-2000 Tharthana Compound"/>
    <m/>
    <m/>
    <m/>
    <n v="0"/>
    <n v="15"/>
    <n v="0"/>
    <n v="0"/>
    <n v="0"/>
    <m/>
    <m/>
    <m/>
    <m/>
    <m/>
    <m/>
    <m/>
    <m/>
    <m/>
    <n v="0"/>
    <n v="0"/>
    <n v="0"/>
    <n v="0"/>
    <n v="0"/>
    <n v="0"/>
    <n v="0"/>
    <n v="0"/>
    <n v="0"/>
    <n v="0"/>
    <n v="0"/>
    <n v="0"/>
    <n v="0"/>
    <n v="0"/>
    <x v="0"/>
    <n v="0"/>
    <n v="0"/>
    <n v="0"/>
    <s v="MMR001CMP050"/>
    <x v="0"/>
    <x v="0"/>
    <x v="0"/>
    <n v="0"/>
    <s v="No"/>
    <m/>
  </r>
  <r>
    <n v="54.366666666666667"/>
    <d v="2012-05-15T00:00:00"/>
    <x v="1"/>
    <s v="KBSS"/>
    <s v="Kachin"/>
    <s v="Bhamo"/>
    <s v="AD-2000 Tharthana Compound"/>
    <m/>
    <m/>
    <m/>
    <n v="90"/>
    <n v="0"/>
    <n v="0"/>
    <n v="0"/>
    <n v="0"/>
    <m/>
    <m/>
    <m/>
    <m/>
    <m/>
    <m/>
    <m/>
    <m/>
    <m/>
    <n v="0"/>
    <n v="0"/>
    <n v="0"/>
    <n v="0"/>
    <n v="0"/>
    <n v="0"/>
    <n v="0"/>
    <n v="0"/>
    <n v="0"/>
    <n v="0"/>
    <n v="0"/>
    <n v="0"/>
    <n v="0"/>
    <n v="0"/>
    <x v="0"/>
    <n v="0"/>
    <n v="0"/>
    <n v="0"/>
    <s v="MMR001CMP050"/>
    <x v="0"/>
    <x v="0"/>
    <x v="0"/>
    <n v="0"/>
    <s v="No"/>
    <m/>
  </r>
  <r>
    <n v="54.5"/>
    <d v="2012-05-11T00:00:00"/>
    <x v="1"/>
    <s v="UNHCR"/>
    <s v="Kachin"/>
    <s v="Waingmaw"/>
    <s v="Maina Catholic Church (St. Joseph)"/>
    <m/>
    <m/>
    <m/>
    <n v="57"/>
    <n v="29"/>
    <n v="57"/>
    <n v="29"/>
    <n v="29"/>
    <n v="29"/>
    <n v="29"/>
    <m/>
    <m/>
    <m/>
    <m/>
    <m/>
    <m/>
    <m/>
    <n v="0"/>
    <n v="0"/>
    <n v="0"/>
    <n v="0"/>
    <n v="0"/>
    <n v="0"/>
    <n v="0"/>
    <n v="0"/>
    <n v="0"/>
    <n v="0"/>
    <n v="0"/>
    <n v="0"/>
    <n v="0"/>
    <n v="0"/>
    <x v="0"/>
    <n v="0"/>
    <n v="0"/>
    <n v="0"/>
    <s v="MMR001CMP029"/>
    <x v="0"/>
    <x v="0"/>
    <x v="0"/>
    <n v="0.13004484304932734"/>
    <s v="No"/>
    <m/>
  </r>
  <r>
    <n v="54.5"/>
    <d v="2012-05-11T00:00:00"/>
    <x v="1"/>
    <s v="UNHCR"/>
    <s v="Kachin"/>
    <s v="Waingmaw"/>
    <s v="Maina KBC (Bawng Ring)"/>
    <m/>
    <m/>
    <m/>
    <n v="50"/>
    <n v="25"/>
    <n v="50"/>
    <n v="24"/>
    <n v="13"/>
    <n v="13"/>
    <n v="13"/>
    <m/>
    <m/>
    <m/>
    <m/>
    <m/>
    <m/>
    <m/>
    <n v="0"/>
    <n v="0"/>
    <n v="0"/>
    <n v="0"/>
    <n v="0"/>
    <n v="0"/>
    <n v="0"/>
    <n v="0"/>
    <n v="0"/>
    <n v="0"/>
    <n v="0"/>
    <n v="0"/>
    <n v="0"/>
    <n v="0"/>
    <x v="0"/>
    <n v="0"/>
    <n v="0"/>
    <n v="0"/>
    <s v="MMR001CMP040"/>
    <x v="0"/>
    <x v="0"/>
    <x v="0"/>
    <n v="5.8536585365853662E-2"/>
    <s v="No"/>
    <m/>
  </r>
  <r>
    <n v="54.5"/>
    <d v="2012-05-11T00:00:00"/>
    <x v="1"/>
    <s v="KBSS"/>
    <s v="Kachin"/>
    <s v="Shwegu"/>
    <s v="Shwe Gu Baptist Church"/>
    <m/>
    <m/>
    <m/>
    <n v="38"/>
    <n v="23"/>
    <n v="38"/>
    <n v="23"/>
    <n v="23"/>
    <n v="23"/>
    <n v="23"/>
    <m/>
    <m/>
    <m/>
    <m/>
    <m/>
    <m/>
    <m/>
    <n v="0"/>
    <n v="0"/>
    <n v="0"/>
    <n v="0"/>
    <n v="0"/>
    <n v="0"/>
    <n v="0"/>
    <n v="0"/>
    <n v="0"/>
    <n v="0"/>
    <n v="0"/>
    <n v="0"/>
    <n v="0"/>
    <n v="0"/>
    <x v="0"/>
    <n v="0"/>
    <n v="0"/>
    <n v="0"/>
    <s v="MMR001CMP067"/>
    <x v="0"/>
    <x v="0"/>
    <x v="0"/>
    <n v="0.26744186046511625"/>
    <s v="No"/>
    <m/>
  </r>
  <r>
    <n v="54.5"/>
    <d v="2012-05-11T00:00:00"/>
    <x v="1"/>
    <s v="KBSS"/>
    <s v="Kachin"/>
    <s v="Shwegu"/>
    <s v="Shwe Gu Catholic Church"/>
    <m/>
    <m/>
    <m/>
    <n v="37"/>
    <n v="22"/>
    <n v="37"/>
    <n v="22"/>
    <n v="22"/>
    <n v="22"/>
    <n v="22"/>
    <m/>
    <m/>
    <m/>
    <m/>
    <m/>
    <m/>
    <m/>
    <n v="0"/>
    <n v="0"/>
    <n v="0"/>
    <n v="0"/>
    <n v="0"/>
    <n v="0"/>
    <n v="0"/>
    <n v="0"/>
    <n v="0"/>
    <n v="0"/>
    <n v="0"/>
    <n v="0"/>
    <n v="0"/>
    <n v="0"/>
    <x v="0"/>
    <n v="0"/>
    <n v="0"/>
    <n v="0"/>
    <s v="MMR001CMP068"/>
    <x v="0"/>
    <x v="0"/>
    <x v="0"/>
    <n v="0.55000000000000004"/>
    <s v="No"/>
    <m/>
  </r>
  <r>
    <n v="54.56666666666667"/>
    <d v="2012-05-09T00:00:00"/>
    <x v="1"/>
    <s v="UNHCR"/>
    <s v="Kachin"/>
    <s v="Waingmaw"/>
    <s v="Waingmaw Baptist Zonal Office"/>
    <m/>
    <m/>
    <m/>
    <n v="161"/>
    <n v="83"/>
    <n v="161"/>
    <n v="83"/>
    <n v="83"/>
    <n v="83"/>
    <n v="83"/>
    <m/>
    <m/>
    <m/>
    <m/>
    <m/>
    <m/>
    <m/>
    <n v="0"/>
    <n v="0"/>
    <n v="0"/>
    <n v="0"/>
    <n v="0"/>
    <n v="0"/>
    <n v="0"/>
    <n v="0"/>
    <n v="0"/>
    <n v="0"/>
    <n v="0"/>
    <n v="0"/>
    <n v="0"/>
    <n v="0"/>
    <x v="0"/>
    <n v="0"/>
    <n v="0"/>
    <n v="0"/>
    <s v="MMR001CMP036"/>
    <x v="0"/>
    <x v="2"/>
    <x v="0"/>
    <s v=""/>
    <s v="No"/>
    <m/>
  </r>
  <r>
    <n v="54.766666666666666"/>
    <d v="2012-05-03T00:00:00"/>
    <x v="1"/>
    <s v="UNHCR"/>
    <s v="Kachin"/>
    <s v="Waingmaw"/>
    <s v="Maina AG Church"/>
    <m/>
    <m/>
    <m/>
    <n v="42"/>
    <n v="0"/>
    <n v="42"/>
    <n v="0"/>
    <n v="20"/>
    <n v="20"/>
    <n v="20"/>
    <m/>
    <m/>
    <m/>
    <m/>
    <m/>
    <m/>
    <m/>
    <n v="0"/>
    <n v="0"/>
    <n v="0"/>
    <n v="0"/>
    <n v="0"/>
    <n v="0"/>
    <n v="0"/>
    <n v="0"/>
    <n v="0"/>
    <n v="0"/>
    <n v="0"/>
    <n v="0"/>
    <n v="0"/>
    <n v="0"/>
    <x v="0"/>
    <n v="0"/>
    <n v="0"/>
    <n v="0"/>
    <s v="MMR001CMP031"/>
    <x v="0"/>
    <x v="0"/>
    <x v="0"/>
    <n v="0"/>
    <s v="No"/>
    <m/>
  </r>
  <r>
    <n v="54.766666666666666"/>
    <d v="2012-05-03T00:00:00"/>
    <x v="1"/>
    <s v="UNHCR"/>
    <s v="Kachin"/>
    <s v="Myitkyina"/>
    <s v="Myay Myint Baptist Church"/>
    <m/>
    <m/>
    <m/>
    <n v="0"/>
    <n v="0"/>
    <n v="0"/>
    <n v="0"/>
    <n v="5"/>
    <n v="5"/>
    <n v="5"/>
    <m/>
    <m/>
    <m/>
    <m/>
    <m/>
    <m/>
    <m/>
    <n v="0"/>
    <n v="0"/>
    <n v="0"/>
    <n v="0"/>
    <n v="0"/>
    <n v="0"/>
    <n v="0"/>
    <n v="0"/>
    <n v="0"/>
    <n v="0"/>
    <n v="0"/>
    <n v="0"/>
    <n v="0"/>
    <n v="0"/>
    <x v="0"/>
    <n v="0"/>
    <n v="0"/>
    <n v="0"/>
    <s v="MMR001CMP017"/>
    <x v="0"/>
    <x v="2"/>
    <x v="0"/>
    <s v=""/>
    <s v="No"/>
    <m/>
  </r>
  <r>
    <n v="54.766666666666666"/>
    <d v="2012-05-03T00:00:00"/>
    <x v="1"/>
    <s v="UNHCR"/>
    <s v="Kachin"/>
    <s v="Waingmaw"/>
    <s v="Qtr. 3 Mu-yin  Baptist Church"/>
    <m/>
    <m/>
    <m/>
    <n v="12"/>
    <n v="0"/>
    <n v="12"/>
    <n v="6"/>
    <n v="6"/>
    <n v="6"/>
    <n v="6"/>
    <m/>
    <m/>
    <m/>
    <m/>
    <m/>
    <m/>
    <m/>
    <n v="0"/>
    <n v="0"/>
    <n v="0"/>
    <n v="0"/>
    <n v="0"/>
    <n v="0"/>
    <n v="0"/>
    <n v="0"/>
    <n v="0"/>
    <n v="0"/>
    <n v="0"/>
    <n v="0"/>
    <n v="0"/>
    <n v="0"/>
    <x v="0"/>
    <n v="0"/>
    <n v="0"/>
    <n v="0"/>
    <s v="MMR001CMP030"/>
    <x v="0"/>
    <x v="0"/>
    <x v="0"/>
    <n v="0.19354838709677419"/>
    <s v="No"/>
    <m/>
  </r>
  <r>
    <n v="54.766666666666666"/>
    <d v="2012-05-03T00:00:00"/>
    <x v="1"/>
    <s v="UNHCR"/>
    <s v="Kachin"/>
    <s v="Waingmaw"/>
    <s v="Qtr. 4 Monestry (Thargaya Thayett Taw)"/>
    <m/>
    <m/>
    <m/>
    <n v="34"/>
    <n v="0"/>
    <n v="34"/>
    <n v="0"/>
    <n v="18"/>
    <n v="18"/>
    <n v="18"/>
    <m/>
    <m/>
    <m/>
    <m/>
    <m/>
    <m/>
    <m/>
    <n v="0"/>
    <n v="0"/>
    <n v="0"/>
    <n v="0"/>
    <n v="0"/>
    <n v="0"/>
    <n v="0"/>
    <n v="0"/>
    <n v="0"/>
    <n v="0"/>
    <n v="0"/>
    <n v="0"/>
    <n v="0"/>
    <n v="0"/>
    <x v="0"/>
    <n v="0"/>
    <n v="0"/>
    <n v="0"/>
    <s v="MMR001CMP026"/>
    <x v="0"/>
    <x v="0"/>
    <x v="0"/>
    <n v="0"/>
    <s v="No"/>
    <m/>
  </r>
  <r>
    <n v="54.833333333333336"/>
    <d v="2012-05-01T00:00:00"/>
    <x v="1"/>
    <s v="UNHCR"/>
    <s v="Kachin"/>
    <s v="Waingmaw"/>
    <s v="Qtr. 4 Monestry (Thargaya Thayett Taw)"/>
    <m/>
    <m/>
    <m/>
    <n v="52"/>
    <n v="0"/>
    <n v="52"/>
    <n v="0"/>
    <n v="24"/>
    <n v="24"/>
    <n v="24"/>
    <m/>
    <m/>
    <m/>
    <m/>
    <m/>
    <m/>
    <m/>
    <n v="0"/>
    <n v="0"/>
    <n v="0"/>
    <n v="0"/>
    <n v="0"/>
    <n v="0"/>
    <n v="0"/>
    <n v="0"/>
    <n v="0"/>
    <n v="0"/>
    <n v="0"/>
    <n v="0"/>
    <n v="0"/>
    <n v="0"/>
    <x v="0"/>
    <n v="0"/>
    <n v="0"/>
    <n v="0"/>
    <s v="MMR001CMP026"/>
    <x v="0"/>
    <x v="0"/>
    <x v="0"/>
    <n v="0"/>
    <s v="No"/>
    <m/>
  </r>
  <r>
    <n v="55.033333333333331"/>
    <d v="2012-04-25T00:00:00"/>
    <x v="0"/>
    <m/>
    <s v="Kachin"/>
    <s v="Bhamo"/>
    <s v="AD-2000 Tharthana Compound"/>
    <n v="1173"/>
    <m/>
    <m/>
    <m/>
    <m/>
    <m/>
    <m/>
    <m/>
    <m/>
    <m/>
    <m/>
    <m/>
    <m/>
    <m/>
    <m/>
    <m/>
    <m/>
    <n v="0"/>
    <n v="0"/>
    <n v="0"/>
    <n v="0"/>
    <n v="0"/>
    <n v="0"/>
    <n v="0"/>
    <n v="0"/>
    <n v="0"/>
    <n v="0"/>
    <n v="0"/>
    <n v="0"/>
    <n v="0"/>
    <n v="0"/>
    <x v="0"/>
    <n v="0"/>
    <n v="0"/>
    <n v="0"/>
    <s v="MMR001CMP050"/>
    <x v="0"/>
    <x v="0"/>
    <x v="0"/>
    <n v="0"/>
    <m/>
    <m/>
  </r>
  <r>
    <n v="55.033333333333331"/>
    <d v="2012-04-25T00:00:00"/>
    <x v="1"/>
    <s v="UNHCR"/>
    <s v="Kachin"/>
    <s v="Momauk"/>
    <s v="Dum Bung "/>
    <m/>
    <m/>
    <m/>
    <n v="198"/>
    <n v="99"/>
    <n v="198"/>
    <n v="99"/>
    <n v="99"/>
    <n v="99"/>
    <n v="99"/>
    <m/>
    <m/>
    <m/>
    <m/>
    <m/>
    <m/>
    <m/>
    <n v="0"/>
    <n v="0"/>
    <n v="0"/>
    <n v="0"/>
    <n v="0"/>
    <n v="0"/>
    <n v="0"/>
    <n v="0"/>
    <n v="0"/>
    <n v="0"/>
    <n v="0"/>
    <n v="0"/>
    <n v="0"/>
    <n v="0"/>
    <x v="0"/>
    <n v="0"/>
    <n v="0"/>
    <n v="0"/>
    <s v="MMR001CMP123"/>
    <x v="0"/>
    <x v="0"/>
    <x v="6"/>
    <n v="0.90825688073394495"/>
    <s v="No"/>
    <m/>
  </r>
  <r>
    <n v="55.033333333333331"/>
    <d v="2012-04-25T00:00:00"/>
    <x v="1"/>
    <s v="UNHCR"/>
    <s v="Kachin"/>
    <s v="Myitkyina"/>
    <s v="Wun Tho Buddhist Monastery"/>
    <m/>
    <m/>
    <m/>
    <n v="39"/>
    <n v="19"/>
    <n v="78"/>
    <n v="19"/>
    <n v="0"/>
    <m/>
    <m/>
    <m/>
    <m/>
    <m/>
    <m/>
    <m/>
    <m/>
    <m/>
    <n v="0"/>
    <n v="0"/>
    <n v="0"/>
    <n v="0"/>
    <n v="0"/>
    <n v="0"/>
    <n v="0"/>
    <n v="0"/>
    <n v="0"/>
    <n v="0"/>
    <n v="0"/>
    <n v="0"/>
    <n v="0"/>
    <n v="0"/>
    <x v="0"/>
    <n v="0"/>
    <n v="0"/>
    <n v="0"/>
    <s v="MMR001CMP022"/>
    <x v="0"/>
    <x v="0"/>
    <x v="0"/>
    <n v="2.7142857142857144"/>
    <s v="No"/>
    <m/>
  </r>
  <r>
    <n v="55.133333333333333"/>
    <d v="2012-04-22T00:00:00"/>
    <x v="1"/>
    <s v="UNHCR"/>
    <s v="Kachin"/>
    <s v="Momauk"/>
    <s v="Je Gau  (+ WaRaPa )"/>
    <m/>
    <m/>
    <m/>
    <n v="846"/>
    <n v="423"/>
    <n v="846"/>
    <n v="423"/>
    <n v="423"/>
    <n v="423"/>
    <n v="423"/>
    <m/>
    <m/>
    <m/>
    <m/>
    <m/>
    <m/>
    <m/>
    <n v="0"/>
    <n v="0"/>
    <n v="0"/>
    <n v="0"/>
    <n v="0"/>
    <n v="0"/>
    <n v="0"/>
    <n v="0"/>
    <n v="0"/>
    <n v="0"/>
    <n v="0"/>
    <n v="0"/>
    <n v="0"/>
    <n v="0"/>
    <x v="0"/>
    <n v="0"/>
    <n v="0"/>
    <n v="0"/>
    <s v=""/>
    <x v="3"/>
    <x v="1"/>
    <x v="4"/>
    <s v=""/>
    <s v="No"/>
    <m/>
  </r>
  <r>
    <n v="55.466666666666669"/>
    <d v="2012-04-12T00:00:00"/>
    <x v="1"/>
    <s v="UNHCR"/>
    <s v="Kachin"/>
    <s v="Waingmaw"/>
    <s v="Post 6 Camp"/>
    <m/>
    <m/>
    <m/>
    <n v="123"/>
    <n v="95"/>
    <n v="123"/>
    <n v="95"/>
    <n v="95"/>
    <n v="95"/>
    <n v="95"/>
    <m/>
    <m/>
    <m/>
    <m/>
    <m/>
    <m/>
    <m/>
    <n v="0"/>
    <n v="0"/>
    <n v="0"/>
    <n v="0"/>
    <n v="0"/>
    <n v="0"/>
    <n v="0"/>
    <n v="0"/>
    <n v="0"/>
    <n v="0"/>
    <n v="0"/>
    <n v="0"/>
    <n v="0"/>
    <n v="0"/>
    <x v="0"/>
    <n v="0"/>
    <n v="0"/>
    <n v="0"/>
    <s v="MMR001CMP160"/>
    <x v="0"/>
    <x v="0"/>
    <x v="5"/>
    <n v="0.96938775510204078"/>
    <s v="No"/>
    <m/>
  </r>
  <r>
    <n v="55.533333333333331"/>
    <d v="2012-04-10T00:00:00"/>
    <x v="1"/>
    <s v="KBSS"/>
    <s v="Kachin"/>
    <s v="Shwegu"/>
    <s v="Shwe Gu Baptist Church"/>
    <m/>
    <m/>
    <m/>
    <n v="46"/>
    <n v="27"/>
    <n v="46"/>
    <n v="27"/>
    <n v="27"/>
    <n v="27"/>
    <n v="27"/>
    <m/>
    <m/>
    <m/>
    <m/>
    <m/>
    <m/>
    <m/>
    <n v="0"/>
    <n v="0"/>
    <n v="0"/>
    <n v="0"/>
    <n v="0"/>
    <n v="0"/>
    <n v="0"/>
    <n v="0"/>
    <n v="0"/>
    <n v="0"/>
    <n v="0"/>
    <n v="0"/>
    <n v="0"/>
    <n v="0"/>
    <x v="0"/>
    <n v="0"/>
    <n v="0"/>
    <n v="0"/>
    <s v="MMR001CMP067"/>
    <x v="0"/>
    <x v="0"/>
    <x v="0"/>
    <n v="0.31395348837209303"/>
    <s v="No"/>
    <m/>
  </r>
  <r>
    <n v="55.533333333333331"/>
    <d v="2012-04-10T00:00:00"/>
    <x v="1"/>
    <s v="KBSS"/>
    <s v="Kachin"/>
    <s v="Shwegu"/>
    <s v="Shwe Gu Catholic Church"/>
    <m/>
    <m/>
    <m/>
    <n v="43"/>
    <n v="25"/>
    <n v="43"/>
    <n v="25"/>
    <n v="25"/>
    <n v="25"/>
    <n v="25"/>
    <m/>
    <m/>
    <m/>
    <m/>
    <m/>
    <m/>
    <m/>
    <n v="0"/>
    <n v="0"/>
    <n v="0"/>
    <n v="0"/>
    <n v="0"/>
    <n v="0"/>
    <n v="0"/>
    <n v="0"/>
    <n v="0"/>
    <n v="0"/>
    <n v="0"/>
    <n v="0"/>
    <n v="0"/>
    <n v="0"/>
    <x v="0"/>
    <n v="0"/>
    <n v="0"/>
    <n v="0"/>
    <s v="MMR001CMP068"/>
    <x v="0"/>
    <x v="0"/>
    <x v="0"/>
    <n v="0.625"/>
    <s v="No"/>
    <m/>
  </r>
  <r>
    <n v="55.6"/>
    <d v="2012-04-08T00:00:00"/>
    <x v="0"/>
    <m/>
    <s v="Kachin"/>
    <s v="Bhamo"/>
    <s v="AD-2000 Tharthana Compound"/>
    <n v="302"/>
    <m/>
    <m/>
    <m/>
    <m/>
    <m/>
    <m/>
    <m/>
    <m/>
    <m/>
    <m/>
    <m/>
    <m/>
    <m/>
    <m/>
    <m/>
    <m/>
    <n v="0"/>
    <n v="0"/>
    <n v="0"/>
    <n v="0"/>
    <n v="0"/>
    <n v="0"/>
    <n v="0"/>
    <n v="0"/>
    <n v="0"/>
    <n v="0"/>
    <n v="0"/>
    <n v="0"/>
    <n v="0"/>
    <n v="0"/>
    <x v="0"/>
    <n v="0"/>
    <n v="0"/>
    <n v="0"/>
    <s v="MMR001CMP050"/>
    <x v="0"/>
    <x v="0"/>
    <x v="0"/>
    <n v="0"/>
    <m/>
    <m/>
  </r>
  <r>
    <n v="55.7"/>
    <d v="2012-04-05T00:00:00"/>
    <x v="1"/>
    <s v="UNHCR"/>
    <s v="Kachin"/>
    <s v="Momauk"/>
    <s v="Momauk Catholic Church (St. Patrick)"/>
    <m/>
    <m/>
    <m/>
    <n v="0"/>
    <n v="50"/>
    <n v="0"/>
    <n v="0"/>
    <n v="0"/>
    <m/>
    <m/>
    <m/>
    <m/>
    <m/>
    <m/>
    <m/>
    <m/>
    <m/>
    <n v="0"/>
    <n v="0"/>
    <n v="0"/>
    <n v="0"/>
    <n v="0"/>
    <n v="0"/>
    <n v="0"/>
    <n v="0"/>
    <n v="0"/>
    <n v="0"/>
    <n v="0"/>
    <n v="0"/>
    <n v="0"/>
    <n v="0"/>
    <x v="0"/>
    <n v="0"/>
    <n v="0"/>
    <n v="0"/>
    <s v="MMR001CMP057"/>
    <x v="0"/>
    <x v="2"/>
    <x v="0"/>
    <s v=""/>
    <s v="No"/>
    <m/>
  </r>
  <r>
    <n v="55.733333333333334"/>
    <d v="2012-04-04T00:00:00"/>
    <x v="1"/>
    <s v="UNHCR"/>
    <s v="Kachin"/>
    <s v="Mansi"/>
    <s v="Bum Tsit Pa "/>
    <m/>
    <m/>
    <m/>
    <n v="216"/>
    <n v="108"/>
    <n v="216"/>
    <n v="108"/>
    <n v="108"/>
    <n v="108"/>
    <n v="108"/>
    <m/>
    <m/>
    <m/>
    <m/>
    <m/>
    <m/>
    <m/>
    <n v="0"/>
    <n v="0"/>
    <n v="0"/>
    <n v="0"/>
    <n v="0"/>
    <n v="0"/>
    <n v="0"/>
    <n v="0"/>
    <n v="0"/>
    <n v="0"/>
    <n v="0"/>
    <n v="0"/>
    <n v="0"/>
    <n v="0"/>
    <x v="0"/>
    <n v="0"/>
    <n v="0"/>
    <n v="0"/>
    <s v="MMR001CMP129"/>
    <x v="0"/>
    <x v="0"/>
    <x v="6"/>
    <n v="0.24545454545454545"/>
    <s v="No"/>
    <m/>
  </r>
  <r>
    <n v="55.766666666666666"/>
    <d v="2012-04-03T00:00:00"/>
    <x v="1"/>
    <s v="UNHCR"/>
    <s v="Kachin"/>
    <s v="Mansi"/>
    <s v="Lana Zup Ja "/>
    <m/>
    <m/>
    <m/>
    <n v="510"/>
    <n v="0"/>
    <n v="510"/>
    <n v="255"/>
    <n v="255"/>
    <n v="255"/>
    <n v="255"/>
    <m/>
    <m/>
    <m/>
    <m/>
    <m/>
    <m/>
    <m/>
    <n v="0"/>
    <n v="0"/>
    <n v="0"/>
    <n v="0"/>
    <n v="0"/>
    <n v="0"/>
    <n v="0"/>
    <n v="0"/>
    <n v="0"/>
    <n v="0"/>
    <n v="0"/>
    <n v="0"/>
    <n v="0"/>
    <n v="0"/>
    <x v="0"/>
    <n v="0"/>
    <n v="0"/>
    <n v="0"/>
    <s v="MMR001CMP128"/>
    <x v="0"/>
    <x v="0"/>
    <x v="6"/>
    <n v="0.46703296703296704"/>
    <s v="No"/>
    <m/>
  </r>
  <r>
    <n v="55.93333333333333"/>
    <d v="2012-03-29T00:00:00"/>
    <x v="1"/>
    <s v="UNHCR"/>
    <s v="Kachin"/>
    <s v="Mansi"/>
    <s v="Bum Tsit Pa "/>
    <m/>
    <m/>
    <m/>
    <n v="66"/>
    <n v="66"/>
    <n v="0"/>
    <n v="0"/>
    <n v="0"/>
    <m/>
    <m/>
    <m/>
    <m/>
    <m/>
    <m/>
    <m/>
    <m/>
    <m/>
    <n v="0"/>
    <n v="0"/>
    <n v="0"/>
    <n v="0"/>
    <n v="0"/>
    <n v="0"/>
    <n v="0"/>
    <n v="0"/>
    <n v="0"/>
    <n v="0"/>
    <n v="0"/>
    <n v="0"/>
    <n v="0"/>
    <n v="0"/>
    <x v="0"/>
    <n v="0"/>
    <n v="0"/>
    <n v="0"/>
    <s v="MMR001CMP129"/>
    <x v="0"/>
    <x v="0"/>
    <x v="6"/>
    <n v="0"/>
    <s v="No"/>
    <m/>
  </r>
  <r>
    <n v="55.93333333333333"/>
    <d v="2012-03-29T00:00:00"/>
    <x v="1"/>
    <s v="UNHCR"/>
    <s v="Kachin"/>
    <s v="Momauk"/>
    <s v="Pa Kahtawng "/>
    <m/>
    <m/>
    <m/>
    <n v="0"/>
    <n v="50"/>
    <n v="0"/>
    <n v="0"/>
    <n v="0"/>
    <m/>
    <m/>
    <m/>
    <m/>
    <m/>
    <m/>
    <m/>
    <m/>
    <m/>
    <n v="0"/>
    <n v="0"/>
    <n v="0"/>
    <n v="0"/>
    <n v="0"/>
    <n v="0"/>
    <n v="0"/>
    <n v="0"/>
    <n v="0"/>
    <n v="0"/>
    <n v="0"/>
    <n v="0"/>
    <n v="0"/>
    <n v="0"/>
    <x v="0"/>
    <n v="0"/>
    <n v="0"/>
    <n v="0"/>
    <s v="MMR001CMP126"/>
    <x v="0"/>
    <x v="0"/>
    <x v="6"/>
    <n v="0"/>
    <s v="No"/>
    <m/>
  </r>
  <r>
    <n v="55.93333333333333"/>
    <d v="2012-03-29T00:00:00"/>
    <x v="1"/>
    <s v="UNHCR"/>
    <s v="Kachin"/>
    <s v="Momauk"/>
    <s v="Seng Ja "/>
    <m/>
    <m/>
    <m/>
    <n v="66"/>
    <n v="66"/>
    <n v="0"/>
    <n v="0"/>
    <n v="0"/>
    <m/>
    <m/>
    <m/>
    <m/>
    <m/>
    <m/>
    <m/>
    <m/>
    <m/>
    <n v="0"/>
    <n v="0"/>
    <n v="0"/>
    <n v="0"/>
    <n v="0"/>
    <n v="0"/>
    <n v="0"/>
    <n v="0"/>
    <n v="0"/>
    <n v="0"/>
    <n v="0"/>
    <n v="0"/>
    <n v="0"/>
    <n v="0"/>
    <x v="0"/>
    <n v="0"/>
    <n v="0"/>
    <n v="0"/>
    <s v="MMR001CMP073"/>
    <x v="0"/>
    <x v="0"/>
    <x v="1"/>
    <n v="0"/>
    <s v="No"/>
    <m/>
  </r>
  <r>
    <n v="55.966666666666669"/>
    <d v="2012-03-28T00:00:00"/>
    <x v="1"/>
    <s v="UNHCR"/>
    <s v="Kachin"/>
    <s v="Momauk"/>
    <s v="Mai Ja Yang Ung Lung "/>
    <m/>
    <m/>
    <m/>
    <n v="217"/>
    <n v="217"/>
    <n v="0"/>
    <n v="0"/>
    <n v="0"/>
    <m/>
    <m/>
    <m/>
    <m/>
    <m/>
    <m/>
    <m/>
    <m/>
    <m/>
    <n v="0"/>
    <n v="0"/>
    <n v="0"/>
    <n v="0"/>
    <n v="0"/>
    <n v="0"/>
    <n v="0"/>
    <n v="0"/>
    <n v="0"/>
    <n v="0"/>
    <n v="0"/>
    <n v="0"/>
    <n v="0"/>
    <n v="0"/>
    <x v="0"/>
    <n v="0"/>
    <n v="0"/>
    <n v="0"/>
    <s v=""/>
    <x v="3"/>
    <x v="1"/>
    <x v="4"/>
    <s v=""/>
    <s v="No"/>
    <m/>
  </r>
  <r>
    <n v="56"/>
    <d v="2012-03-27T00:00:00"/>
    <x v="1"/>
    <s v="UNHCR"/>
    <s v="Kachin"/>
    <s v="Bhamo"/>
    <s v="AD-2000 Tharthana Compound"/>
    <m/>
    <m/>
    <m/>
    <n v="560"/>
    <n v="280"/>
    <n v="560"/>
    <n v="280"/>
    <n v="280"/>
    <n v="280"/>
    <n v="280"/>
    <m/>
    <m/>
    <m/>
    <m/>
    <m/>
    <m/>
    <m/>
    <n v="0"/>
    <n v="0"/>
    <n v="0"/>
    <n v="0"/>
    <n v="0"/>
    <n v="0"/>
    <n v="0"/>
    <n v="0"/>
    <n v="0"/>
    <n v="0"/>
    <n v="0"/>
    <n v="0"/>
    <n v="0"/>
    <n v="0"/>
    <x v="0"/>
    <n v="0"/>
    <n v="0"/>
    <n v="0"/>
    <s v="MMR001CMP050"/>
    <x v="0"/>
    <x v="0"/>
    <x v="0"/>
    <n v="1.0769230769230769"/>
    <s v="No"/>
    <m/>
  </r>
  <r>
    <n v="56"/>
    <d v="2012-03-27T00:00:00"/>
    <x v="1"/>
    <s v="UNHCR"/>
    <s v="Kachin"/>
    <s v="Waingmaw"/>
    <s v="Border Post 8"/>
    <m/>
    <m/>
    <m/>
    <n v="460"/>
    <n v="228"/>
    <n v="460"/>
    <n v="228"/>
    <n v="228"/>
    <n v="228"/>
    <n v="228"/>
    <m/>
    <m/>
    <m/>
    <m/>
    <m/>
    <m/>
    <m/>
    <n v="0"/>
    <n v="0"/>
    <n v="0"/>
    <n v="0"/>
    <n v="0"/>
    <n v="0"/>
    <n v="0"/>
    <n v="0"/>
    <n v="0"/>
    <n v="0"/>
    <n v="0"/>
    <n v="0"/>
    <n v="0"/>
    <n v="0"/>
    <x v="0"/>
    <n v="0"/>
    <n v="0"/>
    <n v="0"/>
    <s v="MMR001CMP113"/>
    <x v="0"/>
    <x v="0"/>
    <x v="5"/>
    <n v="1.4161490683229814"/>
    <s v="No"/>
    <m/>
  </r>
  <r>
    <n v="56"/>
    <d v="2012-03-27T00:00:00"/>
    <x v="1"/>
    <s v="UNHCR"/>
    <s v="Kachin"/>
    <s v="Momauk"/>
    <s v="Mai Ja Yang Gat Pa "/>
    <m/>
    <m/>
    <m/>
    <n v="52"/>
    <n v="52"/>
    <n v="0"/>
    <n v="0"/>
    <n v="0"/>
    <m/>
    <m/>
    <m/>
    <m/>
    <m/>
    <m/>
    <m/>
    <m/>
    <m/>
    <n v="0"/>
    <n v="0"/>
    <n v="0"/>
    <n v="0"/>
    <n v="0"/>
    <n v="0"/>
    <n v="0"/>
    <n v="0"/>
    <n v="0"/>
    <n v="0"/>
    <n v="0"/>
    <n v="0"/>
    <n v="0"/>
    <n v="0"/>
    <x v="0"/>
    <n v="0"/>
    <n v="0"/>
    <n v="0"/>
    <s v=""/>
    <x v="3"/>
    <x v="1"/>
    <x v="4"/>
    <s v=""/>
    <s v="No"/>
    <m/>
  </r>
  <r>
    <n v="56"/>
    <d v="2012-03-27T00:00:00"/>
    <x v="1"/>
    <s v="UNHCR"/>
    <s v="Kachin"/>
    <s v="Waingmaw"/>
    <s v="Post 6 Camp"/>
    <m/>
    <m/>
    <m/>
    <n v="0"/>
    <n v="40"/>
    <n v="0"/>
    <n v="0"/>
    <n v="0"/>
    <m/>
    <m/>
    <m/>
    <m/>
    <m/>
    <m/>
    <m/>
    <m/>
    <m/>
    <n v="0"/>
    <n v="0"/>
    <n v="0"/>
    <n v="0"/>
    <n v="0"/>
    <n v="0"/>
    <n v="0"/>
    <n v="0"/>
    <n v="0"/>
    <n v="0"/>
    <n v="0"/>
    <n v="0"/>
    <n v="0"/>
    <n v="0"/>
    <x v="0"/>
    <n v="0"/>
    <n v="0"/>
    <n v="0"/>
    <s v="MMR001CMP160"/>
    <x v="0"/>
    <x v="0"/>
    <x v="5"/>
    <n v="0"/>
    <s v="No"/>
    <m/>
  </r>
  <r>
    <n v="56"/>
    <d v="2012-03-27T00:00:00"/>
    <x v="1"/>
    <s v="UNHCR"/>
    <s v="Kachin"/>
    <s v="Bhamo"/>
    <s v="Robert Church"/>
    <m/>
    <m/>
    <m/>
    <n v="1000"/>
    <n v="500"/>
    <n v="1000"/>
    <n v="500"/>
    <n v="500"/>
    <n v="500"/>
    <n v="500"/>
    <m/>
    <m/>
    <m/>
    <m/>
    <m/>
    <m/>
    <m/>
    <n v="0"/>
    <n v="0"/>
    <n v="0"/>
    <n v="0"/>
    <n v="0"/>
    <n v="0"/>
    <n v="0"/>
    <n v="0"/>
    <n v="0"/>
    <n v="0"/>
    <n v="0"/>
    <n v="0"/>
    <n v="0"/>
    <n v="0"/>
    <x v="0"/>
    <n v="0"/>
    <n v="0"/>
    <n v="0"/>
    <s v="MMR001CMP047"/>
    <x v="0"/>
    <x v="0"/>
    <x v="0"/>
    <n v="0.79872204472843455"/>
    <s v="No"/>
    <m/>
  </r>
  <r>
    <n v="56.033333333333331"/>
    <d v="2012-03-26T00:00:00"/>
    <x v="1"/>
    <s v="UNHCR"/>
    <s v="Kachin"/>
    <s v="Waingmaw"/>
    <s v="Border Post 8"/>
    <m/>
    <m/>
    <m/>
    <n v="460"/>
    <n v="250"/>
    <n v="460"/>
    <n v="230"/>
    <n v="0"/>
    <m/>
    <m/>
    <m/>
    <m/>
    <m/>
    <m/>
    <m/>
    <m/>
    <m/>
    <n v="0"/>
    <n v="0"/>
    <n v="0"/>
    <n v="0"/>
    <n v="0"/>
    <n v="0"/>
    <n v="0"/>
    <n v="0"/>
    <n v="0"/>
    <n v="0"/>
    <n v="0"/>
    <n v="0"/>
    <n v="0"/>
    <n v="0"/>
    <x v="0"/>
    <n v="0"/>
    <n v="0"/>
    <n v="0"/>
    <s v="MMR001CMP113"/>
    <x v="0"/>
    <x v="0"/>
    <x v="5"/>
    <n v="1.4285714285714286"/>
    <s v="No"/>
    <m/>
  </r>
  <r>
    <n v="56.033333333333331"/>
    <d v="2012-03-26T00:00:00"/>
    <x v="1"/>
    <s v="UNHCR"/>
    <s v="Kachin"/>
    <s v="Momauk"/>
    <s v="Momauk Catholic Church (St. Patrick)"/>
    <m/>
    <m/>
    <m/>
    <n v="49"/>
    <n v="49"/>
    <n v="0"/>
    <n v="0"/>
    <n v="49"/>
    <n v="49"/>
    <n v="49"/>
    <m/>
    <m/>
    <m/>
    <m/>
    <m/>
    <m/>
    <m/>
    <n v="0"/>
    <n v="0"/>
    <n v="0"/>
    <n v="0"/>
    <n v="0"/>
    <n v="0"/>
    <n v="0"/>
    <n v="0"/>
    <n v="0"/>
    <n v="0"/>
    <n v="0"/>
    <n v="0"/>
    <n v="0"/>
    <n v="0"/>
    <x v="0"/>
    <n v="0"/>
    <n v="0"/>
    <n v="0"/>
    <s v="MMR001CMP057"/>
    <x v="0"/>
    <x v="2"/>
    <x v="0"/>
    <s v=""/>
    <s v="No"/>
    <m/>
  </r>
  <r>
    <n v="56.3"/>
    <d v="2012-03-18T00:00:00"/>
    <x v="0"/>
    <s v="Solidarities"/>
    <s v="Kachin"/>
    <s v="Momauk"/>
    <s v="Khun Sint Village"/>
    <n v="850"/>
    <m/>
    <m/>
    <m/>
    <m/>
    <m/>
    <m/>
    <m/>
    <m/>
    <m/>
    <m/>
    <m/>
    <m/>
    <m/>
    <m/>
    <m/>
    <m/>
    <n v="0"/>
    <n v="0"/>
    <n v="0"/>
    <n v="0"/>
    <n v="0"/>
    <n v="0"/>
    <n v="0"/>
    <n v="0"/>
    <n v="0"/>
    <n v="0"/>
    <n v="0"/>
    <n v="0"/>
    <n v="0"/>
    <n v="0"/>
    <x v="0"/>
    <n v="0"/>
    <n v="0"/>
    <n v="0"/>
    <s v="MMR001CMP200"/>
    <x v="0"/>
    <x v="0"/>
    <x v="0"/>
    <n v="0"/>
    <m/>
    <m/>
  </r>
  <r>
    <n v="56.366666666666667"/>
    <d v="2012-03-16T00:00:00"/>
    <x v="0"/>
    <s v="LDO"/>
    <s v="Kachin"/>
    <s v="Shwegu"/>
    <s v="Shwe Gu Baptist Church"/>
    <n v="94"/>
    <m/>
    <m/>
    <m/>
    <m/>
    <m/>
    <m/>
    <m/>
    <m/>
    <m/>
    <m/>
    <m/>
    <m/>
    <m/>
    <m/>
    <m/>
    <m/>
    <n v="0"/>
    <n v="0"/>
    <n v="0"/>
    <n v="0"/>
    <n v="0"/>
    <n v="0"/>
    <n v="0"/>
    <n v="0"/>
    <n v="0"/>
    <n v="0"/>
    <n v="0"/>
    <n v="0"/>
    <n v="0"/>
    <n v="0"/>
    <x v="0"/>
    <n v="0"/>
    <n v="0"/>
    <n v="0"/>
    <s v="MMR001CMP067"/>
    <x v="0"/>
    <x v="0"/>
    <x v="0"/>
    <n v="0"/>
    <m/>
    <m/>
  </r>
  <r>
    <n v="56.366666666666667"/>
    <d v="2012-03-16T00:00:00"/>
    <x v="0"/>
    <s v="LDO"/>
    <s v="Kachin"/>
    <s v="Shwegu"/>
    <s v="Shwe Gu Catholic Church"/>
    <n v="49"/>
    <m/>
    <m/>
    <m/>
    <m/>
    <m/>
    <m/>
    <m/>
    <m/>
    <m/>
    <m/>
    <m/>
    <m/>
    <m/>
    <m/>
    <m/>
    <m/>
    <n v="0"/>
    <n v="0"/>
    <n v="0"/>
    <n v="0"/>
    <n v="0"/>
    <n v="0"/>
    <n v="0"/>
    <n v="0"/>
    <n v="0"/>
    <n v="0"/>
    <n v="0"/>
    <n v="0"/>
    <n v="0"/>
    <n v="0"/>
    <x v="0"/>
    <n v="0"/>
    <n v="0"/>
    <n v="0"/>
    <s v="MMR001CMP068"/>
    <x v="0"/>
    <x v="0"/>
    <x v="0"/>
    <n v="0"/>
    <m/>
    <m/>
  </r>
  <r>
    <n v="56.43333333333333"/>
    <d v="2012-03-14T00:00:00"/>
    <x v="0"/>
    <s v="Solidarities"/>
    <s v="Kachin"/>
    <s v="Bhamo"/>
    <s v="Robert Church"/>
    <n v="2188"/>
    <m/>
    <m/>
    <m/>
    <m/>
    <m/>
    <m/>
    <m/>
    <m/>
    <m/>
    <m/>
    <m/>
    <m/>
    <m/>
    <m/>
    <m/>
    <m/>
    <n v="0"/>
    <n v="0"/>
    <n v="0"/>
    <n v="0"/>
    <n v="0"/>
    <n v="0"/>
    <n v="0"/>
    <n v="0"/>
    <n v="0"/>
    <n v="0"/>
    <n v="0"/>
    <n v="0"/>
    <n v="0"/>
    <n v="0"/>
    <x v="0"/>
    <n v="0"/>
    <n v="0"/>
    <n v="0"/>
    <s v="MMR001CMP047"/>
    <x v="0"/>
    <x v="0"/>
    <x v="0"/>
    <n v="0"/>
    <m/>
    <m/>
  </r>
  <r>
    <n v="56.56666666666667"/>
    <d v="2012-03-10T00:00:00"/>
    <x v="0"/>
    <m/>
    <s v="Kachin"/>
    <s v="Momauk"/>
    <s v="Tarli "/>
    <n v="36"/>
    <m/>
    <m/>
    <m/>
    <m/>
    <m/>
    <m/>
    <m/>
    <m/>
    <m/>
    <m/>
    <m/>
    <m/>
    <m/>
    <m/>
    <m/>
    <m/>
    <n v="0"/>
    <n v="0"/>
    <n v="0"/>
    <n v="0"/>
    <n v="0"/>
    <n v="0"/>
    <n v="0"/>
    <n v="0"/>
    <n v="0"/>
    <n v="0"/>
    <n v="0"/>
    <n v="0"/>
    <n v="0"/>
    <n v="0"/>
    <x v="0"/>
    <n v="0"/>
    <n v="0"/>
    <n v="0"/>
    <s v="MMR001CMP060"/>
    <x v="0"/>
    <x v="0"/>
    <x v="0"/>
    <n v="0"/>
    <m/>
    <m/>
  </r>
  <r>
    <n v="56.666666666666664"/>
    <d v="2012-03-07T00:00:00"/>
    <x v="1"/>
    <s v="UNHCR"/>
    <s v="Kachin"/>
    <s v="Waingmaw"/>
    <s v="Qtr. 2 Lhaovo Baptist Church"/>
    <m/>
    <m/>
    <m/>
    <n v="12"/>
    <n v="8"/>
    <n v="12"/>
    <n v="8"/>
    <n v="8"/>
    <n v="8"/>
    <n v="8"/>
    <m/>
    <m/>
    <m/>
    <m/>
    <m/>
    <m/>
    <m/>
    <n v="0"/>
    <n v="0"/>
    <n v="0"/>
    <n v="0"/>
    <n v="0"/>
    <n v="0"/>
    <n v="0"/>
    <n v="0"/>
    <n v="0"/>
    <n v="0"/>
    <n v="0"/>
    <n v="0"/>
    <n v="0"/>
    <n v="0"/>
    <x v="0"/>
    <n v="0"/>
    <n v="0"/>
    <n v="0"/>
    <s v="MMR001CMP032"/>
    <x v="0"/>
    <x v="0"/>
    <x v="0"/>
    <n v="8.7912087912087919E-2"/>
    <s v="No"/>
    <m/>
  </r>
  <r>
    <n v="56.666666666666664"/>
    <d v="2012-03-07T00:00:00"/>
    <x v="1"/>
    <s v="UNHCR"/>
    <s v="Kachin"/>
    <s v="Waingmaw"/>
    <s v="Thargaya Lisu Baptist Church"/>
    <m/>
    <m/>
    <m/>
    <n v="38"/>
    <n v="18"/>
    <n v="38"/>
    <n v="17"/>
    <n v="18"/>
    <n v="18"/>
    <n v="18"/>
    <m/>
    <m/>
    <m/>
    <m/>
    <m/>
    <m/>
    <m/>
    <n v="0"/>
    <n v="0"/>
    <n v="0"/>
    <n v="0"/>
    <n v="0"/>
    <n v="0"/>
    <n v="0"/>
    <n v="0"/>
    <n v="0"/>
    <n v="0"/>
    <n v="0"/>
    <n v="0"/>
    <n v="0"/>
    <n v="0"/>
    <x v="0"/>
    <n v="0"/>
    <n v="0"/>
    <n v="0"/>
    <s v="MMR001CMP037"/>
    <x v="0"/>
    <x v="0"/>
    <x v="0"/>
    <n v="0.38636363636363635"/>
    <s v="No"/>
    <m/>
  </r>
  <r>
    <n v="56.966666666666669"/>
    <d v="2012-02-27T00:00:00"/>
    <x v="1"/>
    <s v="SC&amp;L Group"/>
    <s v="Kachin"/>
    <s v="Myitkyina"/>
    <s v="Wun Tho Buddhist Monastery"/>
    <m/>
    <m/>
    <m/>
    <n v="34"/>
    <n v="0"/>
    <n v="34"/>
    <n v="0"/>
    <n v="34"/>
    <n v="34"/>
    <n v="34"/>
    <m/>
    <m/>
    <m/>
    <m/>
    <m/>
    <m/>
    <m/>
    <n v="0"/>
    <n v="0"/>
    <n v="0"/>
    <n v="0"/>
    <n v="0"/>
    <n v="0"/>
    <n v="0"/>
    <n v="0"/>
    <n v="0"/>
    <n v="0"/>
    <n v="0"/>
    <n v="0"/>
    <n v="0"/>
    <n v="0"/>
    <x v="0"/>
    <n v="0"/>
    <n v="0"/>
    <n v="0"/>
    <s v="MMR001CMP022"/>
    <x v="0"/>
    <x v="0"/>
    <x v="0"/>
    <n v="0"/>
    <s v="No"/>
    <m/>
  </r>
  <r>
    <n v="57"/>
    <d v="2012-02-26T00:00:00"/>
    <x v="1"/>
    <s v="UNHCR"/>
    <s v="Kachin"/>
    <s v="Myitkyina"/>
    <s v="Pamati Kayan"/>
    <m/>
    <m/>
    <m/>
    <n v="25"/>
    <n v="18"/>
    <n v="25"/>
    <n v="18"/>
    <n v="18"/>
    <n v="18"/>
    <n v="18"/>
    <m/>
    <m/>
    <m/>
    <m/>
    <m/>
    <m/>
    <m/>
    <n v="0"/>
    <n v="0"/>
    <n v="0"/>
    <n v="0"/>
    <n v="0"/>
    <n v="0"/>
    <n v="0"/>
    <n v="0"/>
    <n v="0"/>
    <n v="0"/>
    <n v="0"/>
    <n v="0"/>
    <n v="0"/>
    <n v="0"/>
    <x v="0"/>
    <n v="0"/>
    <n v="0"/>
    <n v="0"/>
    <s v=""/>
    <x v="3"/>
    <x v="1"/>
    <x v="4"/>
    <s v=""/>
    <s v="No"/>
    <s v="Lone Zut"/>
  </r>
  <r>
    <n v="57"/>
    <d v="2012-02-26T00:00:00"/>
    <x v="1"/>
    <s v="SC&amp;L Group"/>
    <s v="Kachin"/>
    <s v="Myitkyina"/>
    <s v="Pan Ma Tee"/>
    <m/>
    <m/>
    <m/>
    <n v="25"/>
    <n v="0"/>
    <n v="25"/>
    <n v="0"/>
    <n v="10"/>
    <n v="10"/>
    <n v="10"/>
    <m/>
    <m/>
    <m/>
    <m/>
    <m/>
    <m/>
    <m/>
    <n v="0"/>
    <n v="0"/>
    <n v="0"/>
    <n v="0"/>
    <n v="0"/>
    <n v="0"/>
    <n v="0"/>
    <n v="0"/>
    <n v="0"/>
    <n v="0"/>
    <n v="0"/>
    <n v="0"/>
    <n v="0"/>
    <n v="0"/>
    <x v="0"/>
    <n v="0"/>
    <n v="0"/>
    <n v="0"/>
    <s v=""/>
    <x v="3"/>
    <x v="1"/>
    <x v="4"/>
    <s v=""/>
    <s v="No"/>
    <m/>
  </r>
  <r>
    <n v="57.1"/>
    <d v="2012-02-23T00:00:00"/>
    <x v="0"/>
    <s v="Solidarities"/>
    <s v="Kachin"/>
    <s v="Momauk"/>
    <s v="Loi Je Baptist Church"/>
    <n v="172"/>
    <m/>
    <m/>
    <m/>
    <m/>
    <m/>
    <m/>
    <m/>
    <m/>
    <m/>
    <m/>
    <m/>
    <m/>
    <m/>
    <m/>
    <m/>
    <m/>
    <n v="0"/>
    <n v="0"/>
    <n v="0"/>
    <n v="0"/>
    <n v="0"/>
    <n v="0"/>
    <n v="0"/>
    <n v="0"/>
    <n v="0"/>
    <n v="0"/>
    <n v="0"/>
    <n v="0"/>
    <n v="0"/>
    <n v="0"/>
    <x v="0"/>
    <n v="0"/>
    <n v="0"/>
    <n v="0"/>
    <s v="MMR001CMP071"/>
    <x v="0"/>
    <x v="0"/>
    <x v="1"/>
    <n v="0"/>
    <m/>
    <m/>
  </r>
  <r>
    <n v="57.1"/>
    <d v="2012-02-23T00:00:00"/>
    <x v="0"/>
    <s v="Solidarities"/>
    <s v="Kachin"/>
    <s v="Momauk"/>
    <s v="Loi Je Catholic Church"/>
    <n v="227"/>
    <m/>
    <m/>
    <m/>
    <m/>
    <m/>
    <m/>
    <m/>
    <m/>
    <m/>
    <m/>
    <m/>
    <m/>
    <m/>
    <m/>
    <m/>
    <m/>
    <n v="0"/>
    <n v="0"/>
    <n v="0"/>
    <n v="0"/>
    <n v="0"/>
    <n v="0"/>
    <n v="0"/>
    <n v="0"/>
    <n v="0"/>
    <n v="0"/>
    <n v="0"/>
    <n v="0"/>
    <n v="0"/>
    <n v="0"/>
    <x v="0"/>
    <n v="0"/>
    <n v="0"/>
    <n v="0"/>
    <s v="MMR001CMP069"/>
    <x v="0"/>
    <x v="0"/>
    <x v="1"/>
    <n v="0"/>
    <m/>
    <m/>
  </r>
  <r>
    <n v="57.133333333333333"/>
    <d v="2012-02-22T00:00:00"/>
    <x v="1"/>
    <s v="Shalom"/>
    <s v="Kachin"/>
    <s v="Momauk"/>
    <s v="Ni Thaw Ka Monestry"/>
    <n v="149"/>
    <m/>
    <m/>
    <m/>
    <m/>
    <m/>
    <m/>
    <m/>
    <m/>
    <m/>
    <m/>
    <m/>
    <m/>
    <m/>
    <m/>
    <m/>
    <m/>
    <n v="0"/>
    <n v="0"/>
    <n v="0"/>
    <n v="0"/>
    <n v="0"/>
    <n v="0"/>
    <n v="0"/>
    <n v="0"/>
    <n v="0"/>
    <n v="0"/>
    <n v="0"/>
    <n v="0"/>
    <n v="0"/>
    <n v="0"/>
    <x v="0"/>
    <n v="0"/>
    <n v="0"/>
    <n v="0"/>
    <s v="MMR001CMP059"/>
    <x v="0"/>
    <x v="2"/>
    <x v="0"/>
    <s v=""/>
    <m/>
    <m/>
  </r>
  <r>
    <n v="57.133333333333333"/>
    <d v="2012-02-22T00:00:00"/>
    <x v="0"/>
    <s v="Solidarities"/>
    <s v="Kachin"/>
    <s v="Momauk"/>
    <s v="Ni Thaw Ka Monestry"/>
    <n v="149"/>
    <m/>
    <m/>
    <m/>
    <m/>
    <m/>
    <m/>
    <m/>
    <m/>
    <m/>
    <m/>
    <m/>
    <m/>
    <m/>
    <m/>
    <m/>
    <m/>
    <n v="0"/>
    <n v="0"/>
    <n v="0"/>
    <n v="0"/>
    <n v="0"/>
    <n v="0"/>
    <n v="0"/>
    <n v="0"/>
    <n v="0"/>
    <n v="0"/>
    <n v="0"/>
    <n v="0"/>
    <n v="0"/>
    <n v="0"/>
    <x v="0"/>
    <n v="0"/>
    <n v="0"/>
    <n v="0"/>
    <s v="MMR001CMP059"/>
    <x v="0"/>
    <x v="2"/>
    <x v="0"/>
    <s v=""/>
    <m/>
    <m/>
  </r>
  <r>
    <n v="57.133333333333333"/>
    <d v="2012-02-22T00:00:00"/>
    <x v="0"/>
    <s v="Solidarities"/>
    <s v="Kachin"/>
    <s v="Bhamo"/>
    <s v="Chan Myae monastery"/>
    <n v="23"/>
    <m/>
    <m/>
    <m/>
    <m/>
    <m/>
    <m/>
    <m/>
    <m/>
    <m/>
    <m/>
    <m/>
    <m/>
    <m/>
    <m/>
    <m/>
    <m/>
    <n v="0"/>
    <n v="0"/>
    <n v="0"/>
    <n v="0"/>
    <n v="0"/>
    <n v="0"/>
    <n v="0"/>
    <n v="0"/>
    <n v="0"/>
    <n v="0"/>
    <n v="0"/>
    <n v="0"/>
    <n v="0"/>
    <n v="0"/>
    <x v="0"/>
    <n v="0"/>
    <n v="0"/>
    <n v="0"/>
    <s v=""/>
    <x v="3"/>
    <x v="1"/>
    <x v="4"/>
    <s v=""/>
    <m/>
    <m/>
  </r>
  <r>
    <n v="57.3"/>
    <d v="2012-02-17T00:00:00"/>
    <x v="0"/>
    <s v="Solidarities"/>
    <s v="Kachin"/>
    <s v="Bhamo"/>
    <s v="Htoi San Church"/>
    <n v="240"/>
    <m/>
    <m/>
    <m/>
    <m/>
    <m/>
    <m/>
    <m/>
    <m/>
    <m/>
    <m/>
    <m/>
    <m/>
    <m/>
    <m/>
    <m/>
    <m/>
    <n v="0"/>
    <n v="0"/>
    <n v="0"/>
    <n v="0"/>
    <n v="0"/>
    <n v="0"/>
    <n v="0"/>
    <n v="0"/>
    <n v="0"/>
    <n v="0"/>
    <n v="0"/>
    <n v="0"/>
    <n v="0"/>
    <n v="0"/>
    <x v="0"/>
    <n v="0"/>
    <n v="0"/>
    <n v="0"/>
    <s v="MMR001CMP052"/>
    <x v="0"/>
    <x v="0"/>
    <x v="0"/>
    <n v="0"/>
    <m/>
    <m/>
  </r>
  <r>
    <n v="57.366666666666667"/>
    <d v="2012-02-15T00:00:00"/>
    <x v="0"/>
    <s v="Solidarities"/>
    <s v="Kachin"/>
    <s v="Shwegu"/>
    <s v="Host Families"/>
    <n v="1070"/>
    <m/>
    <m/>
    <m/>
    <m/>
    <m/>
    <m/>
    <m/>
    <m/>
    <m/>
    <m/>
    <m/>
    <m/>
    <m/>
    <m/>
    <m/>
    <m/>
    <n v="0"/>
    <n v="0"/>
    <n v="0"/>
    <n v="0"/>
    <n v="0"/>
    <n v="0"/>
    <n v="0"/>
    <n v="0"/>
    <n v="0"/>
    <n v="0"/>
    <n v="0"/>
    <n v="0"/>
    <n v="0"/>
    <n v="0"/>
    <x v="0"/>
    <n v="0"/>
    <n v="0"/>
    <n v="0"/>
    <s v="MMR001CMP163"/>
    <x v="0"/>
    <x v="0"/>
    <x v="0"/>
    <n v="0"/>
    <m/>
    <m/>
  </r>
  <r>
    <n v="57.366666666666667"/>
    <d v="2012-02-15T00:00:00"/>
    <x v="0"/>
    <s v="Solidarities"/>
    <s v="Kachin"/>
    <s v="Momauk"/>
    <s v="Man Bung Catholic compound"/>
    <n v="8"/>
    <m/>
    <m/>
    <m/>
    <m/>
    <m/>
    <m/>
    <m/>
    <m/>
    <m/>
    <m/>
    <m/>
    <m/>
    <m/>
    <m/>
    <m/>
    <m/>
    <n v="0"/>
    <n v="0"/>
    <n v="0"/>
    <n v="0"/>
    <n v="0"/>
    <n v="0"/>
    <n v="0"/>
    <n v="0"/>
    <n v="0"/>
    <n v="0"/>
    <n v="0"/>
    <n v="0"/>
    <n v="0"/>
    <n v="0"/>
    <x v="0"/>
    <n v="0"/>
    <n v="0"/>
    <n v="0"/>
    <s v="MMR001CMP062"/>
    <x v="0"/>
    <x v="0"/>
    <x v="0"/>
    <n v="0"/>
    <m/>
    <m/>
  </r>
  <r>
    <n v="57.4"/>
    <d v="2012-02-14T00:00:00"/>
    <x v="0"/>
    <s v="Solidarities"/>
    <s v="Kachin"/>
    <s v="Shwegu"/>
    <s v="Host Families"/>
    <n v="429"/>
    <m/>
    <m/>
    <m/>
    <m/>
    <m/>
    <m/>
    <m/>
    <m/>
    <m/>
    <m/>
    <m/>
    <m/>
    <m/>
    <m/>
    <m/>
    <m/>
    <n v="0"/>
    <n v="0"/>
    <n v="0"/>
    <n v="0"/>
    <n v="0"/>
    <n v="0"/>
    <n v="0"/>
    <n v="0"/>
    <n v="0"/>
    <n v="0"/>
    <n v="0"/>
    <n v="0"/>
    <n v="0"/>
    <n v="0"/>
    <x v="0"/>
    <n v="0"/>
    <n v="0"/>
    <n v="0"/>
    <s v="MMR001CMP163"/>
    <x v="0"/>
    <x v="0"/>
    <x v="0"/>
    <n v="0"/>
    <m/>
    <m/>
  </r>
  <r>
    <n v="57.533333333333331"/>
    <d v="2012-02-10T00:00:00"/>
    <x v="0"/>
    <s v="Solidarities"/>
    <s v="Kachin"/>
    <s v="Momauk"/>
    <s v="Momauk Catholic Church (St. Patrick)"/>
    <n v="192"/>
    <m/>
    <m/>
    <m/>
    <m/>
    <m/>
    <m/>
    <m/>
    <m/>
    <m/>
    <m/>
    <m/>
    <m/>
    <m/>
    <m/>
    <m/>
    <m/>
    <n v="0"/>
    <n v="0"/>
    <n v="0"/>
    <n v="0"/>
    <n v="0"/>
    <n v="0"/>
    <n v="0"/>
    <n v="0"/>
    <n v="0"/>
    <n v="0"/>
    <n v="0"/>
    <n v="0"/>
    <n v="0"/>
    <n v="0"/>
    <x v="0"/>
    <n v="0"/>
    <n v="0"/>
    <n v="0"/>
    <s v="MMR001CMP057"/>
    <x v="0"/>
    <x v="2"/>
    <x v="0"/>
    <s v=""/>
    <m/>
    <m/>
  </r>
  <r>
    <n v="57.56666666666667"/>
    <d v="2012-02-09T00:00:00"/>
    <x v="0"/>
    <s v="Solidarities"/>
    <s v="Kachin"/>
    <s v="Momauk"/>
    <s v="Momauk Baptist Church"/>
    <n v="138"/>
    <m/>
    <m/>
    <m/>
    <m/>
    <m/>
    <m/>
    <m/>
    <m/>
    <m/>
    <m/>
    <m/>
    <m/>
    <m/>
    <m/>
    <m/>
    <m/>
    <n v="0"/>
    <n v="0"/>
    <n v="0"/>
    <n v="0"/>
    <n v="0"/>
    <n v="0"/>
    <n v="0"/>
    <n v="0"/>
    <n v="0"/>
    <n v="0"/>
    <n v="0"/>
    <n v="0"/>
    <n v="0"/>
    <n v="0"/>
    <x v="0"/>
    <n v="0"/>
    <n v="0"/>
    <n v="0"/>
    <s v="MMR001CMP056"/>
    <x v="0"/>
    <x v="0"/>
    <x v="0"/>
    <n v="0"/>
    <m/>
    <m/>
  </r>
  <r>
    <n v="57.633333333333333"/>
    <d v="2012-02-07T00:00:00"/>
    <x v="1"/>
    <s v="SC&amp;L Group"/>
    <s v="Kachin"/>
    <s v="Myitkyina"/>
    <s v="Maw Hpawng Hka Nan Baptist Church"/>
    <m/>
    <m/>
    <m/>
    <n v="38"/>
    <n v="18"/>
    <n v="38"/>
    <n v="18"/>
    <n v="18"/>
    <n v="18"/>
    <n v="18"/>
    <m/>
    <m/>
    <m/>
    <m/>
    <m/>
    <m/>
    <m/>
    <n v="0"/>
    <n v="0"/>
    <n v="0"/>
    <n v="0"/>
    <n v="0"/>
    <n v="0"/>
    <n v="0"/>
    <n v="0"/>
    <n v="0"/>
    <n v="0"/>
    <n v="0"/>
    <n v="0"/>
    <n v="0"/>
    <n v="0"/>
    <x v="0"/>
    <n v="0"/>
    <n v="0"/>
    <n v="0"/>
    <s v="MMR001CMP020"/>
    <x v="0"/>
    <x v="0"/>
    <x v="0"/>
    <n v="0.8571428571428571"/>
    <s v="No"/>
    <m/>
  </r>
  <r>
    <n v="57.633333333333333"/>
    <d v="2012-02-07T00:00:00"/>
    <x v="0"/>
    <s v="Solidarities"/>
    <s v="Kachin"/>
    <s v="Bhamo"/>
    <s v="Nant Hlaing Church"/>
    <n v="90"/>
    <m/>
    <m/>
    <m/>
    <m/>
    <m/>
    <m/>
    <m/>
    <m/>
    <m/>
    <m/>
    <m/>
    <m/>
    <m/>
    <m/>
    <m/>
    <m/>
    <n v="0"/>
    <n v="0"/>
    <n v="0"/>
    <n v="0"/>
    <n v="0"/>
    <n v="0"/>
    <n v="0"/>
    <n v="0"/>
    <n v="0"/>
    <n v="0"/>
    <n v="0"/>
    <n v="0"/>
    <n v="0"/>
    <n v="0"/>
    <x v="0"/>
    <n v="0"/>
    <n v="0"/>
    <n v="0"/>
    <s v="MMR001CMP054"/>
    <x v="0"/>
    <x v="0"/>
    <x v="0"/>
    <n v="0"/>
    <m/>
    <m/>
  </r>
  <r>
    <n v="57.666666666666664"/>
    <d v="2012-02-06T00:00:00"/>
    <x v="1"/>
    <s v="UNHCR"/>
    <s v="Kachin"/>
    <s v="Waingmaw"/>
    <s v="Qtr. 4 Monestry (Thargaya Thayett Taw)"/>
    <m/>
    <m/>
    <m/>
    <n v="0"/>
    <n v="0"/>
    <n v="0"/>
    <n v="0"/>
    <n v="13"/>
    <n v="13"/>
    <n v="13"/>
    <m/>
    <m/>
    <m/>
    <m/>
    <m/>
    <m/>
    <m/>
    <n v="0"/>
    <n v="0"/>
    <n v="0"/>
    <n v="0"/>
    <n v="0"/>
    <n v="0"/>
    <n v="0"/>
    <n v="0"/>
    <n v="0"/>
    <n v="0"/>
    <n v="0"/>
    <n v="0"/>
    <n v="0"/>
    <n v="0"/>
    <x v="0"/>
    <n v="0"/>
    <n v="0"/>
    <n v="0"/>
    <s v="MMR001CMP026"/>
    <x v="0"/>
    <x v="0"/>
    <x v="0"/>
    <n v="0"/>
    <s v="No"/>
    <m/>
  </r>
  <r>
    <n v="57.8"/>
    <d v="2012-02-02T00:00:00"/>
    <x v="1"/>
    <s v="UNHCR"/>
    <s v="Kachin"/>
    <s v="Mansi"/>
    <s v="Mansi Baptist Church"/>
    <n v="718"/>
    <m/>
    <m/>
    <m/>
    <m/>
    <m/>
    <m/>
    <m/>
    <m/>
    <m/>
    <m/>
    <m/>
    <m/>
    <m/>
    <m/>
    <m/>
    <m/>
    <n v="0"/>
    <n v="0"/>
    <n v="0"/>
    <n v="0"/>
    <n v="0"/>
    <n v="0"/>
    <n v="0"/>
    <n v="0"/>
    <n v="0"/>
    <n v="0"/>
    <n v="0"/>
    <n v="0"/>
    <n v="0"/>
    <n v="0"/>
    <x v="0"/>
    <n v="0"/>
    <n v="0"/>
    <n v="0"/>
    <s v="MMR001CMP066"/>
    <x v="0"/>
    <x v="0"/>
    <x v="0"/>
    <n v="0"/>
    <m/>
    <m/>
  </r>
  <r>
    <n v="57.8"/>
    <d v="2012-02-02T00:00:00"/>
    <x v="0"/>
    <s v="Solidarities"/>
    <s v="Kachin"/>
    <s v="Mansi"/>
    <s v="Mansi Baptist Church"/>
    <n v="718"/>
    <m/>
    <m/>
    <m/>
    <m/>
    <m/>
    <m/>
    <m/>
    <m/>
    <m/>
    <m/>
    <m/>
    <m/>
    <m/>
    <m/>
    <m/>
    <m/>
    <n v="0"/>
    <n v="0"/>
    <n v="0"/>
    <n v="0"/>
    <n v="0"/>
    <n v="0"/>
    <n v="0"/>
    <n v="0"/>
    <n v="0"/>
    <n v="0"/>
    <n v="0"/>
    <n v="0"/>
    <n v="0"/>
    <n v="0"/>
    <x v="0"/>
    <n v="0"/>
    <n v="0"/>
    <n v="0"/>
    <s v="MMR001CMP066"/>
    <x v="0"/>
    <x v="0"/>
    <x v="0"/>
    <n v="0"/>
    <m/>
    <m/>
  </r>
  <r>
    <n v="57.866666666666667"/>
    <d v="2012-01-31T00:00:00"/>
    <x v="1"/>
    <s v="UNHCR"/>
    <s v="Kachin"/>
    <s v="Waingmaw"/>
    <s v="Qtr. 4 Monestry (Thargaya Thayett Taw)"/>
    <m/>
    <m/>
    <m/>
    <n v="0"/>
    <n v="0"/>
    <n v="0"/>
    <n v="0"/>
    <n v="61"/>
    <n v="61"/>
    <n v="61"/>
    <m/>
    <m/>
    <m/>
    <m/>
    <m/>
    <m/>
    <m/>
    <n v="0"/>
    <n v="0"/>
    <n v="0"/>
    <n v="0"/>
    <n v="0"/>
    <n v="0"/>
    <n v="0"/>
    <n v="0"/>
    <n v="0"/>
    <n v="0"/>
    <n v="0"/>
    <n v="0"/>
    <n v="0"/>
    <n v="0"/>
    <x v="0"/>
    <n v="0"/>
    <n v="0"/>
    <n v="0"/>
    <s v="MMR001CMP026"/>
    <x v="0"/>
    <x v="0"/>
    <x v="0"/>
    <n v="0"/>
    <s v="No"/>
    <m/>
  </r>
  <r>
    <n v="58.06666666666667"/>
    <d v="2012-01-25T00:00:00"/>
    <x v="0"/>
    <m/>
    <s v="Kachin"/>
    <s v="Bhamo"/>
    <s v="Lisu Boarding-House"/>
    <n v="94"/>
    <m/>
    <m/>
    <m/>
    <m/>
    <m/>
    <m/>
    <m/>
    <m/>
    <m/>
    <m/>
    <m/>
    <m/>
    <m/>
    <m/>
    <m/>
    <m/>
    <n v="0"/>
    <n v="0"/>
    <n v="0"/>
    <n v="0"/>
    <n v="0"/>
    <n v="0"/>
    <n v="0"/>
    <n v="0"/>
    <n v="0"/>
    <n v="0"/>
    <n v="0"/>
    <n v="0"/>
    <n v="0"/>
    <n v="0"/>
    <x v="0"/>
    <n v="0"/>
    <n v="0"/>
    <n v="0"/>
    <s v="MMR001CMP049"/>
    <x v="0"/>
    <x v="0"/>
    <x v="0"/>
    <n v="0"/>
    <m/>
    <m/>
  </r>
  <r>
    <n v="58.266666666666666"/>
    <d v="2012-01-19T00:00:00"/>
    <x v="1"/>
    <s v="KBC"/>
    <s v="Kachin"/>
    <s v="Myitkyina"/>
    <s v="Jan Mai Kawng Baptist Church"/>
    <m/>
    <m/>
    <m/>
    <n v="0"/>
    <n v="0"/>
    <n v="0"/>
    <n v="0"/>
    <n v="118"/>
    <n v="118"/>
    <n v="118"/>
    <m/>
    <m/>
    <m/>
    <m/>
    <m/>
    <m/>
    <m/>
    <n v="0"/>
    <n v="0"/>
    <n v="0"/>
    <n v="0"/>
    <n v="0"/>
    <n v="0"/>
    <n v="0"/>
    <n v="0"/>
    <n v="0"/>
    <n v="0"/>
    <n v="0"/>
    <n v="0"/>
    <n v="0"/>
    <n v="0"/>
    <x v="0"/>
    <n v="0"/>
    <n v="0"/>
    <n v="0"/>
    <s v="MMR001CMP018"/>
    <x v="0"/>
    <x v="0"/>
    <x v="0"/>
    <n v="0"/>
    <s v="No"/>
    <m/>
  </r>
  <r>
    <n v="58.466666666666669"/>
    <d v="2012-01-13T00:00:00"/>
    <x v="1"/>
    <s v="KBC"/>
    <s v="Kachin"/>
    <s v="Hpakant"/>
    <s v="5 Ward Baptist Church(lon Khin)"/>
    <m/>
    <m/>
    <m/>
    <n v="52"/>
    <n v="26"/>
    <n v="36"/>
    <n v="0"/>
    <n v="26"/>
    <n v="26"/>
    <n v="26"/>
    <m/>
    <m/>
    <m/>
    <m/>
    <m/>
    <m/>
    <m/>
    <n v="0"/>
    <n v="0"/>
    <n v="0"/>
    <n v="0"/>
    <n v="0"/>
    <n v="0"/>
    <n v="0"/>
    <n v="0"/>
    <n v="0"/>
    <n v="0"/>
    <n v="0"/>
    <n v="0"/>
    <n v="0"/>
    <n v="0"/>
    <x v="0"/>
    <n v="0"/>
    <n v="0"/>
    <n v="0"/>
    <s v="MMR001CMP179"/>
    <x v="0"/>
    <x v="0"/>
    <x v="0"/>
    <n v="0"/>
    <s v="No"/>
    <m/>
  </r>
  <r>
    <n v="58.466666666666669"/>
    <d v="2012-01-13T00:00:00"/>
    <x v="1"/>
    <s v="KBC"/>
    <s v="Kachin"/>
    <s v="Hpakant"/>
    <s v="5 Ward Baptist Church(lon Khin)"/>
    <m/>
    <m/>
    <m/>
    <n v="120"/>
    <n v="60"/>
    <n v="60"/>
    <n v="0"/>
    <n v="60"/>
    <n v="60"/>
    <n v="60"/>
    <m/>
    <m/>
    <m/>
    <m/>
    <m/>
    <m/>
    <m/>
    <n v="0"/>
    <n v="0"/>
    <n v="0"/>
    <n v="0"/>
    <n v="0"/>
    <n v="0"/>
    <n v="0"/>
    <n v="0"/>
    <n v="0"/>
    <n v="0"/>
    <n v="0"/>
    <n v="0"/>
    <n v="0"/>
    <n v="0"/>
    <x v="0"/>
    <n v="0"/>
    <n v="0"/>
    <n v="0"/>
    <s v="MMR001CMP179"/>
    <x v="0"/>
    <x v="0"/>
    <x v="0"/>
    <n v="0"/>
    <s v="No"/>
    <m/>
  </r>
  <r>
    <n v="58.466666666666669"/>
    <d v="2012-01-13T00:00:00"/>
    <x v="1"/>
    <s v="KBC"/>
    <s v="Kachin"/>
    <s v="Hpakant"/>
    <s v="5 Ward Baptist Church(lon Khin)"/>
    <m/>
    <m/>
    <m/>
    <n v="148"/>
    <n v="74"/>
    <n v="74"/>
    <n v="0"/>
    <n v="74"/>
    <n v="74"/>
    <n v="74"/>
    <m/>
    <m/>
    <m/>
    <m/>
    <m/>
    <m/>
    <m/>
    <n v="0"/>
    <n v="0"/>
    <n v="0"/>
    <n v="0"/>
    <n v="0"/>
    <n v="0"/>
    <n v="0"/>
    <n v="0"/>
    <n v="0"/>
    <n v="0"/>
    <n v="0"/>
    <n v="0"/>
    <n v="0"/>
    <n v="0"/>
    <x v="0"/>
    <n v="0"/>
    <n v="0"/>
    <n v="0"/>
    <s v="MMR001CMP179"/>
    <x v="0"/>
    <x v="0"/>
    <x v="0"/>
    <n v="0"/>
    <s v="No"/>
    <m/>
  </r>
  <r>
    <n v="58.466666666666669"/>
    <d v="2012-01-13T00:00:00"/>
    <x v="1"/>
    <s v="KBC"/>
    <s v="Kachin"/>
    <s v="Hpakant"/>
    <s v="Baptist Church, Hmaw Si Sar(Lon Khin)"/>
    <m/>
    <m/>
    <m/>
    <n v="70"/>
    <n v="35"/>
    <n v="35"/>
    <n v="0"/>
    <n v="35"/>
    <n v="35"/>
    <n v="35"/>
    <m/>
    <m/>
    <m/>
    <m/>
    <m/>
    <m/>
    <m/>
    <n v="0"/>
    <n v="0"/>
    <n v="0"/>
    <n v="0"/>
    <n v="0"/>
    <n v="0"/>
    <n v="0"/>
    <n v="0"/>
    <n v="0"/>
    <n v="0"/>
    <n v="0"/>
    <n v="0"/>
    <n v="0"/>
    <n v="0"/>
    <x v="0"/>
    <n v="0"/>
    <n v="0"/>
    <n v="0"/>
    <s v="MMR001CMP169"/>
    <x v="0"/>
    <x v="0"/>
    <x v="0"/>
    <n v="0"/>
    <s v="No"/>
    <m/>
  </r>
  <r>
    <n v="58.466666666666669"/>
    <d v="2012-01-13T00:00:00"/>
    <x v="1"/>
    <s v="KBC"/>
    <s v="Kachin"/>
    <s v="Hpakant"/>
    <s v="Hlaing Naung Baptist"/>
    <m/>
    <m/>
    <m/>
    <n v="10"/>
    <n v="5"/>
    <n v="5"/>
    <n v="0"/>
    <n v="5"/>
    <n v="5"/>
    <n v="5"/>
    <m/>
    <m/>
    <m/>
    <m/>
    <m/>
    <m/>
    <m/>
    <n v="0"/>
    <n v="0"/>
    <n v="0"/>
    <n v="0"/>
    <n v="0"/>
    <n v="0"/>
    <n v="0"/>
    <n v="0"/>
    <n v="0"/>
    <n v="0"/>
    <n v="0"/>
    <n v="0"/>
    <n v="0"/>
    <n v="0"/>
    <x v="0"/>
    <n v="0"/>
    <n v="0"/>
    <n v="0"/>
    <s v="MMR001CMP148"/>
    <x v="0"/>
    <x v="0"/>
    <x v="0"/>
    <n v="0"/>
    <s v="No"/>
    <m/>
  </r>
  <r>
    <n v="58.466666666666669"/>
    <d v="2012-01-13T00:00:00"/>
    <x v="1"/>
    <s v="KBC"/>
    <s v="Kachin"/>
    <m/>
    <s v="Kat Hmaw Zut Baptist Church"/>
    <m/>
    <m/>
    <m/>
    <n v="76"/>
    <n v="38"/>
    <n v="38"/>
    <n v="0"/>
    <n v="38"/>
    <n v="38"/>
    <n v="38"/>
    <m/>
    <m/>
    <m/>
    <m/>
    <m/>
    <m/>
    <m/>
    <n v="0"/>
    <n v="0"/>
    <n v="0"/>
    <n v="0"/>
    <n v="0"/>
    <n v="0"/>
    <n v="0"/>
    <n v="0"/>
    <n v="0"/>
    <n v="0"/>
    <n v="0"/>
    <n v="0"/>
    <n v="0"/>
    <n v="0"/>
    <x v="0"/>
    <n v="0"/>
    <n v="0"/>
    <n v="0"/>
    <s v=""/>
    <x v="3"/>
    <x v="1"/>
    <x v="4"/>
    <s v=""/>
    <s v="No"/>
    <m/>
  </r>
  <r>
    <n v="58.466666666666669"/>
    <d v="2012-01-13T00:00:00"/>
    <x v="1"/>
    <s v="KBC"/>
    <s v="Kachin"/>
    <m/>
    <s v="Le Pyin - Kar Gyi Winn"/>
    <m/>
    <m/>
    <m/>
    <n v="18"/>
    <n v="9"/>
    <n v="9"/>
    <n v="0"/>
    <n v="9"/>
    <n v="9"/>
    <n v="9"/>
    <m/>
    <m/>
    <m/>
    <m/>
    <m/>
    <m/>
    <m/>
    <n v="0"/>
    <n v="0"/>
    <n v="0"/>
    <n v="0"/>
    <n v="0"/>
    <n v="0"/>
    <n v="0"/>
    <n v="0"/>
    <n v="0"/>
    <n v="0"/>
    <n v="0"/>
    <n v="0"/>
    <n v="0"/>
    <n v="0"/>
    <x v="0"/>
    <n v="0"/>
    <n v="0"/>
    <n v="0"/>
    <s v=""/>
    <x v="3"/>
    <x v="1"/>
    <x v="4"/>
    <s v=""/>
    <s v="No"/>
    <s v="Lone Zut"/>
  </r>
  <r>
    <n v="58.466666666666669"/>
    <d v="2012-01-13T00:00:00"/>
    <x v="1"/>
    <s v="KBC"/>
    <s v="Kachin"/>
    <m/>
    <s v="Le Pyin Christian Church"/>
    <m/>
    <m/>
    <m/>
    <n v="10"/>
    <n v="5"/>
    <n v="5"/>
    <n v="0"/>
    <n v="5"/>
    <n v="5"/>
    <n v="5"/>
    <m/>
    <m/>
    <m/>
    <m/>
    <m/>
    <m/>
    <m/>
    <n v="0"/>
    <n v="0"/>
    <n v="0"/>
    <n v="0"/>
    <n v="0"/>
    <n v="0"/>
    <n v="0"/>
    <n v="0"/>
    <n v="0"/>
    <n v="0"/>
    <n v="0"/>
    <n v="0"/>
    <n v="0"/>
    <n v="0"/>
    <x v="0"/>
    <n v="0"/>
    <n v="0"/>
    <n v="0"/>
    <s v=""/>
    <x v="3"/>
    <x v="1"/>
    <x v="4"/>
    <s v=""/>
    <s v="No"/>
    <s v="CBP"/>
  </r>
  <r>
    <n v="58.466666666666669"/>
    <d v="2012-01-13T00:00:00"/>
    <x v="1"/>
    <s v="UNHCR"/>
    <s v="Kachin"/>
    <s v="Waingmaw"/>
    <s v="Maina Lawang Baptist Church"/>
    <m/>
    <m/>
    <m/>
    <n v="35"/>
    <n v="17"/>
    <n v="35"/>
    <n v="17"/>
    <n v="17"/>
    <n v="17"/>
    <n v="17"/>
    <m/>
    <m/>
    <m/>
    <m/>
    <m/>
    <m/>
    <m/>
    <n v="0"/>
    <n v="0"/>
    <n v="0"/>
    <n v="0"/>
    <n v="0"/>
    <n v="0"/>
    <n v="0"/>
    <n v="0"/>
    <n v="0"/>
    <n v="0"/>
    <n v="0"/>
    <n v="0"/>
    <n v="0"/>
    <n v="0"/>
    <x v="0"/>
    <n v="0"/>
    <n v="0"/>
    <n v="0"/>
    <s v="MMR001CMP039"/>
    <x v="0"/>
    <x v="0"/>
    <x v="0"/>
    <n v="0.44736842105263158"/>
    <s v="No"/>
    <m/>
  </r>
  <r>
    <n v="58.466666666666669"/>
    <d v="2012-01-13T00:00:00"/>
    <x v="1"/>
    <s v="KBC"/>
    <s v="Kachin"/>
    <s v="Hpakant"/>
    <s v="Maw Si Zar, Thiriyardanar Sein, Damma Compound, Lone Khin"/>
    <m/>
    <m/>
    <m/>
    <n v="224"/>
    <n v="112"/>
    <n v="112"/>
    <n v="0"/>
    <n v="112"/>
    <n v="112"/>
    <n v="112"/>
    <m/>
    <m/>
    <m/>
    <m/>
    <m/>
    <m/>
    <m/>
    <n v="0"/>
    <n v="0"/>
    <n v="0"/>
    <n v="0"/>
    <n v="0"/>
    <n v="0"/>
    <n v="0"/>
    <n v="0"/>
    <n v="0"/>
    <n v="0"/>
    <n v="0"/>
    <n v="0"/>
    <n v="0"/>
    <n v="0"/>
    <x v="0"/>
    <n v="0"/>
    <n v="0"/>
    <n v="0"/>
    <s v="MMR001CMP106"/>
    <x v="0"/>
    <x v="2"/>
    <x v="4"/>
    <s v=""/>
    <s v="No"/>
    <m/>
  </r>
  <r>
    <n v="58.466666666666669"/>
    <d v="2012-01-13T00:00:00"/>
    <x v="1"/>
    <s v="KBC"/>
    <s v="Kachin"/>
    <s v="Hpakant"/>
    <s v="Maw Wan, Kachin Baptist Church"/>
    <m/>
    <m/>
    <m/>
    <n v="34"/>
    <n v="17"/>
    <n v="17"/>
    <n v="0"/>
    <n v="17"/>
    <n v="17"/>
    <n v="17"/>
    <m/>
    <m/>
    <m/>
    <m/>
    <m/>
    <m/>
    <m/>
    <n v="0"/>
    <n v="0"/>
    <n v="0"/>
    <n v="0"/>
    <n v="0"/>
    <n v="0"/>
    <n v="0"/>
    <n v="0"/>
    <n v="0"/>
    <n v="0"/>
    <n v="0"/>
    <n v="0"/>
    <n v="0"/>
    <n v="0"/>
    <x v="0"/>
    <n v="0"/>
    <n v="0"/>
    <n v="0"/>
    <s v="MMR001CMP085"/>
    <x v="0"/>
    <x v="2"/>
    <x v="4"/>
    <s v=""/>
    <s v="No"/>
    <m/>
  </r>
  <r>
    <n v="58.466666666666669"/>
    <d v="2012-01-13T00:00:00"/>
    <x v="1"/>
    <s v="KBC"/>
    <s v="Kachin"/>
    <m/>
    <s v="Nant Yar Baptist Church"/>
    <m/>
    <m/>
    <m/>
    <n v="126"/>
    <n v="63"/>
    <n v="63"/>
    <n v="0"/>
    <n v="63"/>
    <n v="63"/>
    <n v="63"/>
    <m/>
    <m/>
    <m/>
    <m/>
    <m/>
    <m/>
    <m/>
    <n v="0"/>
    <n v="0"/>
    <n v="0"/>
    <n v="0"/>
    <n v="0"/>
    <n v="0"/>
    <n v="0"/>
    <n v="0"/>
    <n v="0"/>
    <n v="0"/>
    <n v="0"/>
    <n v="0"/>
    <n v="0"/>
    <n v="0"/>
    <x v="0"/>
    <n v="0"/>
    <n v="0"/>
    <n v="0"/>
    <s v=""/>
    <x v="3"/>
    <x v="1"/>
    <x v="4"/>
    <s v=""/>
    <s v="No"/>
    <s v="Emergency Aung Bar Li"/>
  </r>
  <r>
    <n v="58.466666666666669"/>
    <d v="2012-01-13T00:00:00"/>
    <x v="1"/>
    <s v="KBC"/>
    <s v="Kachin"/>
    <s v="Hpakant"/>
    <s v="Nga Pyaw Taw Baptist Nursery School "/>
    <m/>
    <m/>
    <m/>
    <n v="112"/>
    <n v="56"/>
    <n v="56"/>
    <n v="0"/>
    <n v="56"/>
    <n v="56"/>
    <n v="56"/>
    <m/>
    <m/>
    <m/>
    <m/>
    <m/>
    <m/>
    <m/>
    <n v="0"/>
    <n v="0"/>
    <n v="0"/>
    <n v="0"/>
    <n v="0"/>
    <n v="0"/>
    <n v="0"/>
    <n v="0"/>
    <n v="0"/>
    <n v="0"/>
    <n v="0"/>
    <n v="0"/>
    <n v="0"/>
    <n v="0"/>
    <x v="0"/>
    <n v="0"/>
    <n v="0"/>
    <n v="0"/>
    <s v="MMR001CMP082"/>
    <x v="0"/>
    <x v="2"/>
    <x v="4"/>
    <s v=""/>
    <s v="No"/>
    <m/>
  </r>
  <r>
    <n v="58.533333333333331"/>
    <d v="2012-01-11T00:00:00"/>
    <x v="1"/>
    <s v="KBC"/>
    <s v="Kachin"/>
    <s v="Waingmaw"/>
    <s v="Shing Jai"/>
    <m/>
    <m/>
    <m/>
    <n v="536"/>
    <n v="268"/>
    <n v="536"/>
    <n v="268"/>
    <n v="268"/>
    <n v="268"/>
    <n v="268"/>
    <m/>
    <m/>
    <m/>
    <m/>
    <m/>
    <m/>
    <m/>
    <n v="0"/>
    <n v="0"/>
    <n v="0"/>
    <n v="0"/>
    <n v="0"/>
    <n v="0"/>
    <n v="0"/>
    <n v="0"/>
    <n v="0"/>
    <n v="0"/>
    <n v="0"/>
    <n v="0"/>
    <n v="0"/>
    <n v="0"/>
    <x v="0"/>
    <n v="0"/>
    <n v="0"/>
    <n v="0"/>
    <s v="MMR001CMP041"/>
    <x v="0"/>
    <x v="0"/>
    <x v="5"/>
    <n v="1.4972067039106145"/>
    <s v="No"/>
    <m/>
  </r>
  <r>
    <n v="58.666666666666664"/>
    <d v="2012-01-07T00:00:00"/>
    <x v="1"/>
    <s v="KMSS"/>
    <s v="Kachin"/>
    <s v="Myitkyina"/>
    <s v="Jan Mai Kawng Baptist Church"/>
    <m/>
    <m/>
    <m/>
    <n v="32"/>
    <n v="16"/>
    <n v="32"/>
    <n v="16"/>
    <n v="16"/>
    <n v="16"/>
    <n v="16"/>
    <m/>
    <m/>
    <m/>
    <m/>
    <m/>
    <m/>
    <m/>
    <n v="0"/>
    <n v="0"/>
    <n v="0"/>
    <n v="0"/>
    <n v="0"/>
    <n v="0"/>
    <n v="0"/>
    <n v="0"/>
    <n v="0"/>
    <n v="0"/>
    <n v="0"/>
    <n v="0"/>
    <n v="0"/>
    <n v="0"/>
    <x v="0"/>
    <n v="0"/>
    <n v="0"/>
    <n v="0"/>
    <s v="MMR001CMP018"/>
    <x v="0"/>
    <x v="0"/>
    <x v="0"/>
    <n v="8.0808080808080815E-2"/>
    <s v="No"/>
    <m/>
  </r>
  <r>
    <n v="58.666666666666664"/>
    <d v="2012-01-07T00:00:00"/>
    <x v="1"/>
    <s v="KMSS"/>
    <s v="Kachin"/>
    <s v="Waingmaw"/>
    <s v="Maina Catholic Church (St. Joseph)"/>
    <m/>
    <m/>
    <m/>
    <n v="50"/>
    <n v="25"/>
    <n v="50"/>
    <n v="25"/>
    <n v="27"/>
    <n v="27"/>
    <n v="27"/>
    <m/>
    <m/>
    <m/>
    <m/>
    <m/>
    <m/>
    <m/>
    <n v="0"/>
    <n v="0"/>
    <n v="0"/>
    <n v="0"/>
    <n v="0"/>
    <n v="0"/>
    <n v="0"/>
    <n v="0"/>
    <n v="0"/>
    <n v="0"/>
    <n v="0"/>
    <n v="0"/>
    <n v="0"/>
    <n v="0"/>
    <x v="0"/>
    <n v="0"/>
    <n v="0"/>
    <n v="0"/>
    <s v="MMR001CMP029"/>
    <x v="0"/>
    <x v="0"/>
    <x v="0"/>
    <n v="0.11210762331838565"/>
    <s v="No"/>
    <m/>
  </r>
  <r>
    <n v="58.7"/>
    <d v="2012-01-06T00:00:00"/>
    <x v="1"/>
    <s v="KMSS"/>
    <s v="Kachin"/>
    <s v="Myitkyina"/>
    <s v="Jan Mai Kawng Catholic Church"/>
    <m/>
    <m/>
    <m/>
    <n v="0"/>
    <n v="0"/>
    <n v="0"/>
    <n v="0"/>
    <n v="9"/>
    <n v="9"/>
    <n v="9"/>
    <m/>
    <m/>
    <m/>
    <m/>
    <m/>
    <m/>
    <m/>
    <n v="0"/>
    <n v="0"/>
    <n v="0"/>
    <n v="0"/>
    <n v="0"/>
    <n v="0"/>
    <n v="0"/>
    <n v="0"/>
    <n v="0"/>
    <n v="0"/>
    <n v="0"/>
    <n v="0"/>
    <n v="0"/>
    <n v="0"/>
    <x v="0"/>
    <n v="0"/>
    <n v="0"/>
    <n v="0"/>
    <s v="MMR001CMP019"/>
    <x v="0"/>
    <x v="0"/>
    <x v="0"/>
    <n v="0"/>
    <s v="No"/>
    <m/>
  </r>
  <r>
    <n v="58.7"/>
    <d v="2012-01-06T00:00:00"/>
    <x v="1"/>
    <s v="UNHCR"/>
    <s v="Kachin"/>
    <s v="Waingmaw"/>
    <s v="Thargaya Lisu Baptist Church"/>
    <m/>
    <m/>
    <m/>
    <n v="29"/>
    <n v="0"/>
    <n v="29"/>
    <n v="15"/>
    <n v="15"/>
    <n v="15"/>
    <n v="15"/>
    <m/>
    <m/>
    <m/>
    <m/>
    <m/>
    <m/>
    <m/>
    <n v="0"/>
    <n v="0"/>
    <n v="0"/>
    <n v="0"/>
    <n v="0"/>
    <n v="0"/>
    <n v="0"/>
    <n v="0"/>
    <n v="0"/>
    <n v="0"/>
    <n v="0"/>
    <n v="0"/>
    <n v="0"/>
    <n v="0"/>
    <x v="0"/>
    <n v="0"/>
    <n v="0"/>
    <n v="0"/>
    <s v="MMR001CMP037"/>
    <x v="0"/>
    <x v="0"/>
    <x v="0"/>
    <n v="0.34090909090909088"/>
    <s v="No"/>
    <m/>
  </r>
  <r>
    <n v="58.7"/>
    <d v="2012-01-06T00:00:00"/>
    <x v="1"/>
    <s v="UNHCR"/>
    <s v="Kachin"/>
    <s v="Waingmaw"/>
    <s v="Thargaya Lisu Baptist Church"/>
    <m/>
    <m/>
    <m/>
    <n v="59"/>
    <n v="30"/>
    <n v="59"/>
    <n v="30"/>
    <n v="30"/>
    <n v="30"/>
    <n v="30"/>
    <m/>
    <m/>
    <m/>
    <m/>
    <m/>
    <m/>
    <m/>
    <n v="0"/>
    <n v="0"/>
    <n v="0"/>
    <n v="0"/>
    <n v="0"/>
    <n v="0"/>
    <n v="0"/>
    <n v="0"/>
    <n v="0"/>
    <n v="0"/>
    <n v="0"/>
    <n v="0"/>
    <n v="0"/>
    <n v="0"/>
    <x v="0"/>
    <n v="0"/>
    <n v="0"/>
    <n v="0"/>
    <s v="MMR001CMP037"/>
    <x v="0"/>
    <x v="0"/>
    <x v="0"/>
    <n v="0.68181818181818177"/>
    <s v="No"/>
    <m/>
  </r>
  <r>
    <n v="58.7"/>
    <d v="2012-01-06T00:00:00"/>
    <x v="1"/>
    <s v="UNHCR"/>
    <s v="Kachin"/>
    <s v="Waingmaw"/>
    <s v="Waingmaw AG Church"/>
    <m/>
    <m/>
    <m/>
    <n v="29"/>
    <n v="14"/>
    <n v="29"/>
    <n v="14"/>
    <n v="14"/>
    <n v="14"/>
    <n v="14"/>
    <m/>
    <m/>
    <m/>
    <m/>
    <m/>
    <m/>
    <m/>
    <n v="0"/>
    <n v="0"/>
    <n v="0"/>
    <n v="0"/>
    <n v="0"/>
    <n v="0"/>
    <n v="0"/>
    <n v="0"/>
    <n v="0"/>
    <n v="0"/>
    <n v="0"/>
    <n v="0"/>
    <n v="0"/>
    <n v="0"/>
    <x v="0"/>
    <n v="0"/>
    <n v="0"/>
    <n v="0"/>
    <s v="MMR001CMP038"/>
    <x v="0"/>
    <x v="0"/>
    <x v="0"/>
    <n v="0.2"/>
    <s v="No"/>
    <m/>
  </r>
  <r>
    <n v="58.733333333333334"/>
    <d v="2012-01-05T00:00:00"/>
    <x v="1"/>
    <s v="KBC"/>
    <s v="Kachin"/>
    <s v="Waingmaw"/>
    <s v="Maina Lawang Baptist Church"/>
    <m/>
    <m/>
    <m/>
    <n v="52"/>
    <n v="29"/>
    <n v="52"/>
    <n v="29"/>
    <n v="29"/>
    <n v="29"/>
    <n v="29"/>
    <m/>
    <m/>
    <m/>
    <m/>
    <m/>
    <m/>
    <m/>
    <n v="0"/>
    <n v="0"/>
    <n v="0"/>
    <n v="0"/>
    <n v="0"/>
    <n v="0"/>
    <n v="0"/>
    <n v="0"/>
    <n v="0"/>
    <n v="0"/>
    <n v="0"/>
    <n v="0"/>
    <n v="0"/>
    <n v="0"/>
    <x v="0"/>
    <n v="0"/>
    <n v="0"/>
    <n v="0"/>
    <s v="MMR001CMP039"/>
    <x v="0"/>
    <x v="0"/>
    <x v="0"/>
    <n v="0.76315789473684215"/>
    <s v="No"/>
    <m/>
  </r>
  <r>
    <n v="58.8"/>
    <d v="2012-01-03T00:00:00"/>
    <x v="1"/>
    <s v="KMSS"/>
    <s v="Kachin"/>
    <s v="Myitkyina"/>
    <s v="Tat Kone Emanuel Church"/>
    <m/>
    <m/>
    <m/>
    <n v="0"/>
    <n v="0"/>
    <n v="0"/>
    <n v="0"/>
    <n v="8"/>
    <n v="8"/>
    <n v="8"/>
    <m/>
    <m/>
    <m/>
    <m/>
    <m/>
    <m/>
    <m/>
    <n v="0"/>
    <n v="0"/>
    <n v="0"/>
    <n v="0"/>
    <n v="0"/>
    <n v="0"/>
    <n v="0"/>
    <n v="0"/>
    <n v="0"/>
    <n v="0"/>
    <n v="0"/>
    <n v="0"/>
    <n v="0"/>
    <n v="0"/>
    <x v="0"/>
    <n v="0"/>
    <n v="0"/>
    <n v="0"/>
    <s v="MMR001CMP004"/>
    <x v="0"/>
    <x v="0"/>
    <x v="0"/>
    <n v="0"/>
    <s v="No"/>
    <m/>
  </r>
  <r>
    <n v="58.9"/>
    <d v="2011-12-31T00:00:00"/>
    <x v="1"/>
    <s v="KMSS"/>
    <s v="Kachin"/>
    <s v="Waingmaw"/>
    <s v="Maina Catholic Church (St. Joseph)"/>
    <m/>
    <m/>
    <m/>
    <n v="46"/>
    <n v="27"/>
    <n v="47"/>
    <n v="27"/>
    <n v="27"/>
    <n v="27"/>
    <n v="27"/>
    <m/>
    <m/>
    <m/>
    <m/>
    <m/>
    <m/>
    <m/>
    <n v="0"/>
    <n v="0"/>
    <n v="0"/>
    <n v="0"/>
    <n v="0"/>
    <n v="0"/>
    <n v="0"/>
    <n v="0"/>
    <n v="0"/>
    <n v="0"/>
    <n v="0"/>
    <n v="0"/>
    <n v="0"/>
    <n v="0"/>
    <x v="0"/>
    <n v="0"/>
    <n v="0"/>
    <n v="0"/>
    <s v="MMR001CMP029"/>
    <x v="0"/>
    <x v="0"/>
    <x v="0"/>
    <n v="0.1210762331838565"/>
    <s v="No"/>
    <m/>
  </r>
  <r>
    <n v="58.93333333333333"/>
    <d v="2011-12-30T00:00:00"/>
    <x v="1"/>
    <s v="KBC"/>
    <s v="Kachin"/>
    <s v="Myitkyina"/>
    <s v="Jan Mai Kawng Baptist Church"/>
    <m/>
    <m/>
    <m/>
    <n v="56"/>
    <n v="29"/>
    <n v="56"/>
    <n v="29"/>
    <n v="29"/>
    <n v="29"/>
    <n v="29"/>
    <m/>
    <m/>
    <m/>
    <m/>
    <m/>
    <m/>
    <m/>
    <n v="0"/>
    <n v="0"/>
    <n v="0"/>
    <n v="0"/>
    <n v="0"/>
    <n v="0"/>
    <n v="0"/>
    <n v="0"/>
    <n v="0"/>
    <n v="0"/>
    <n v="0"/>
    <n v="0"/>
    <n v="0"/>
    <n v="0"/>
    <x v="0"/>
    <n v="0"/>
    <n v="0"/>
    <n v="0"/>
    <s v="MMR001CMP018"/>
    <x v="0"/>
    <x v="0"/>
    <x v="0"/>
    <n v="0.14646464646464646"/>
    <s v="No"/>
    <m/>
  </r>
  <r>
    <n v="59"/>
    <d v="2011-12-28T00:00:00"/>
    <x v="1"/>
    <s v="Shan Community"/>
    <s v="Kachin"/>
    <s v="Waingmaw"/>
    <s v="Hkat Cho "/>
    <m/>
    <m/>
    <m/>
    <n v="31"/>
    <n v="19"/>
    <n v="31"/>
    <n v="19"/>
    <n v="19"/>
    <n v="19"/>
    <n v="19"/>
    <m/>
    <m/>
    <m/>
    <m/>
    <m/>
    <m/>
    <m/>
    <n v="0"/>
    <n v="0"/>
    <n v="0"/>
    <n v="0"/>
    <n v="0"/>
    <n v="0"/>
    <n v="0"/>
    <n v="0"/>
    <n v="0"/>
    <n v="0"/>
    <n v="0"/>
    <n v="0"/>
    <n v="0"/>
    <n v="0"/>
    <x v="0"/>
    <n v="0"/>
    <n v="0"/>
    <n v="0"/>
    <s v="MMR001CMP028"/>
    <x v="0"/>
    <x v="0"/>
    <x v="0"/>
    <n v="0.19191919191919191"/>
    <s v="No"/>
    <m/>
  </r>
  <r>
    <n v="59.06666666666667"/>
    <d v="2011-12-26T00:00:00"/>
    <x v="1"/>
    <s v="KBC"/>
    <s v="Kachin"/>
    <s v="Waingmaw"/>
    <s v="Qtr. 2 Myoma Baptist Church"/>
    <m/>
    <m/>
    <m/>
    <n v="54"/>
    <n v="33"/>
    <n v="54"/>
    <n v="33"/>
    <n v="33"/>
    <n v="33"/>
    <n v="33"/>
    <m/>
    <m/>
    <m/>
    <m/>
    <m/>
    <m/>
    <m/>
    <n v="0"/>
    <n v="0"/>
    <n v="0"/>
    <n v="0"/>
    <n v="0"/>
    <n v="0"/>
    <n v="0"/>
    <n v="0"/>
    <n v="0"/>
    <n v="0"/>
    <n v="0"/>
    <n v="0"/>
    <n v="0"/>
    <n v="0"/>
    <x v="0"/>
    <n v="0"/>
    <n v="0"/>
    <n v="0"/>
    <s v="MMR001CMP025"/>
    <x v="0"/>
    <x v="0"/>
    <x v="0"/>
    <n v="1.064516129032258"/>
    <s v="No"/>
    <m/>
  </r>
  <r>
    <n v="59.2"/>
    <d v="2011-12-22T00:00:00"/>
    <x v="1"/>
    <s v="UNHCR"/>
    <s v="Kachin"/>
    <s v="Waingmaw"/>
    <s v="Qtr. 2 Lhaovo Baptist Church"/>
    <m/>
    <m/>
    <m/>
    <n v="0"/>
    <n v="0"/>
    <n v="0"/>
    <n v="0"/>
    <n v="4"/>
    <n v="4"/>
    <n v="4"/>
    <m/>
    <m/>
    <m/>
    <m/>
    <m/>
    <m/>
    <m/>
    <n v="0"/>
    <n v="0"/>
    <n v="0"/>
    <n v="0"/>
    <n v="0"/>
    <n v="0"/>
    <n v="0"/>
    <n v="0"/>
    <n v="0"/>
    <n v="0"/>
    <n v="0"/>
    <n v="0"/>
    <n v="0"/>
    <n v="0"/>
    <x v="0"/>
    <n v="0"/>
    <n v="0"/>
    <n v="0"/>
    <s v="MMR001CMP032"/>
    <x v="0"/>
    <x v="0"/>
    <x v="0"/>
    <n v="0"/>
    <s v="No"/>
    <m/>
  </r>
  <r>
    <n v="59.5"/>
    <d v="2011-12-13T00:00:00"/>
    <x v="1"/>
    <s v="IRRC"/>
    <s v="Kachin"/>
    <s v="Momauk"/>
    <s v="Hpun Lum Yang "/>
    <m/>
    <m/>
    <m/>
    <n v="250"/>
    <n v="125"/>
    <n v="250"/>
    <n v="125"/>
    <n v="125"/>
    <n v="125"/>
    <n v="125"/>
    <m/>
    <m/>
    <m/>
    <m/>
    <m/>
    <m/>
    <m/>
    <n v="0"/>
    <n v="0"/>
    <n v="0"/>
    <n v="0"/>
    <n v="0"/>
    <n v="0"/>
    <n v="0"/>
    <n v="0"/>
    <n v="0"/>
    <n v="0"/>
    <n v="0"/>
    <n v="0"/>
    <n v="0"/>
    <n v="0"/>
    <x v="0"/>
    <n v="0"/>
    <n v="0"/>
    <n v="0"/>
    <s v="MMR001CMP122"/>
    <x v="0"/>
    <x v="0"/>
    <x v="6"/>
    <n v="0.19500780031201248"/>
    <s v="No"/>
    <m/>
  </r>
  <r>
    <n v="59.5"/>
    <d v="2011-12-13T00:00:00"/>
    <x v="1"/>
    <s v="IRRC"/>
    <s v="Kachin"/>
    <s v="Momauk"/>
    <s v="Je Yang Hka "/>
    <m/>
    <m/>
    <m/>
    <n v="250"/>
    <n v="125"/>
    <n v="250"/>
    <n v="125"/>
    <n v="125"/>
    <n v="125"/>
    <n v="125"/>
    <m/>
    <m/>
    <m/>
    <m/>
    <m/>
    <m/>
    <m/>
    <n v="0"/>
    <n v="0"/>
    <n v="0"/>
    <n v="0"/>
    <n v="0"/>
    <n v="0"/>
    <n v="0"/>
    <n v="0"/>
    <n v="0"/>
    <n v="0"/>
    <n v="0"/>
    <n v="0"/>
    <n v="0"/>
    <n v="0"/>
    <x v="0"/>
    <n v="0"/>
    <n v="0"/>
    <n v="0"/>
    <s v="MMR001CMP121"/>
    <x v="0"/>
    <x v="0"/>
    <x v="6"/>
    <n v="7.5803517283201935E-2"/>
    <s v="No"/>
    <m/>
  </r>
  <r>
    <n v="59.5"/>
    <d v="2011-12-13T00:00:00"/>
    <x v="1"/>
    <s v="IRRC"/>
    <s v="Kachin"/>
    <s v="Waingmaw"/>
    <s v="Maga Yang "/>
    <m/>
    <m/>
    <m/>
    <n v="250"/>
    <n v="125"/>
    <n v="250"/>
    <n v="125"/>
    <n v="125"/>
    <n v="125"/>
    <n v="125"/>
    <m/>
    <m/>
    <m/>
    <m/>
    <m/>
    <m/>
    <m/>
    <n v="0"/>
    <n v="0"/>
    <n v="0"/>
    <n v="0"/>
    <n v="0"/>
    <n v="0"/>
    <n v="0"/>
    <n v="0"/>
    <n v="0"/>
    <n v="0"/>
    <n v="0"/>
    <n v="0"/>
    <n v="0"/>
    <n v="0"/>
    <x v="0"/>
    <n v="0"/>
    <n v="0"/>
    <n v="0"/>
    <s v="MMR001CMP119"/>
    <x v="0"/>
    <x v="0"/>
    <x v="6"/>
    <n v="0.21367521367521367"/>
    <s v="No"/>
    <m/>
  </r>
  <r>
    <n v="59.5"/>
    <d v="2011-12-13T00:00:00"/>
    <x v="1"/>
    <s v="IRRC"/>
    <s v="Kachin"/>
    <s v="Waingmaw"/>
    <s v="Zai Awng - Mung Ga Zup"/>
    <m/>
    <m/>
    <m/>
    <n v="250"/>
    <n v="125"/>
    <n v="250"/>
    <n v="125"/>
    <n v="125"/>
    <n v="125"/>
    <n v="125"/>
    <m/>
    <m/>
    <m/>
    <m/>
    <m/>
    <m/>
    <m/>
    <n v="0"/>
    <n v="0"/>
    <n v="0"/>
    <n v="0"/>
    <n v="0"/>
    <n v="0"/>
    <n v="0"/>
    <n v="0"/>
    <n v="0"/>
    <n v="0"/>
    <n v="0"/>
    <n v="0"/>
    <n v="0"/>
    <n v="0"/>
    <x v="0"/>
    <n v="0"/>
    <n v="0"/>
    <n v="0"/>
    <s v="MMR001CMP111"/>
    <x v="0"/>
    <x v="0"/>
    <x v="6"/>
    <n v="0.20695364238410596"/>
    <s v="No"/>
    <m/>
  </r>
  <r>
    <n v="59.56666666666667"/>
    <d v="2011-12-11T00:00:00"/>
    <x v="1"/>
    <s v="KBC"/>
    <s v="Kachin"/>
    <s v="Myitkyina"/>
    <s v="Man Hkring Baptist Church"/>
    <m/>
    <m/>
    <m/>
    <n v="6"/>
    <n v="4"/>
    <n v="6"/>
    <n v="4"/>
    <n v="4"/>
    <n v="4"/>
    <n v="4"/>
    <m/>
    <m/>
    <m/>
    <m/>
    <m/>
    <m/>
    <m/>
    <n v="0"/>
    <n v="0"/>
    <n v="0"/>
    <n v="0"/>
    <n v="0"/>
    <n v="0"/>
    <n v="0"/>
    <n v="0"/>
    <n v="0"/>
    <n v="0"/>
    <n v="0"/>
    <n v="0"/>
    <n v="0"/>
    <n v="0"/>
    <x v="0"/>
    <n v="0"/>
    <n v="0"/>
    <n v="0"/>
    <s v="MMR001CMP008"/>
    <x v="0"/>
    <x v="0"/>
    <x v="0"/>
    <n v="4.3478260869565216E-2"/>
    <s v="No"/>
    <m/>
  </r>
  <r>
    <n v="59.56666666666667"/>
    <d v="2011-12-11T00:00:00"/>
    <x v="1"/>
    <s v="Shan Community"/>
    <s v="Kachin"/>
    <s v="Myitkyina"/>
    <s v="Shan Ywar Monestary Camp"/>
    <m/>
    <m/>
    <m/>
    <n v="88"/>
    <n v="49"/>
    <n v="88"/>
    <n v="49"/>
    <n v="49"/>
    <n v="49"/>
    <n v="49"/>
    <m/>
    <m/>
    <m/>
    <m/>
    <m/>
    <m/>
    <m/>
    <n v="0"/>
    <n v="0"/>
    <n v="0"/>
    <n v="0"/>
    <n v="0"/>
    <n v="0"/>
    <n v="0"/>
    <n v="0"/>
    <n v="0"/>
    <n v="0"/>
    <n v="0"/>
    <n v="0"/>
    <n v="0"/>
    <n v="0"/>
    <x v="0"/>
    <n v="0"/>
    <n v="0"/>
    <n v="0"/>
    <s v=""/>
    <x v="3"/>
    <x v="1"/>
    <x v="4"/>
    <s v=""/>
    <s v="No"/>
    <m/>
  </r>
  <r>
    <n v="59.56666666666667"/>
    <d v="2011-12-11T00:00:00"/>
    <x v="1"/>
    <s v="KBC"/>
    <s v="Kachin"/>
    <s v="Myitkyina"/>
    <s v="Shatapru Sut Ngai Tawng"/>
    <m/>
    <m/>
    <m/>
    <n v="2"/>
    <n v="2"/>
    <n v="2"/>
    <n v="2"/>
    <n v="2"/>
    <n v="2"/>
    <n v="2"/>
    <m/>
    <m/>
    <m/>
    <m/>
    <m/>
    <m/>
    <m/>
    <n v="0"/>
    <n v="0"/>
    <n v="0"/>
    <n v="0"/>
    <n v="0"/>
    <n v="0"/>
    <n v="0"/>
    <n v="0"/>
    <n v="0"/>
    <n v="0"/>
    <n v="0"/>
    <n v="0"/>
    <n v="0"/>
    <n v="0"/>
    <x v="0"/>
    <n v="0"/>
    <n v="0"/>
    <n v="0"/>
    <s v="MMR001CMP006"/>
    <x v="0"/>
    <x v="0"/>
    <x v="0"/>
    <n v="2.2727272727272728E-2"/>
    <s v="No"/>
    <m/>
  </r>
  <r>
    <n v="59.56666666666667"/>
    <d v="2011-12-11T00:00:00"/>
    <x v="1"/>
    <s v="KBC"/>
    <s v="Kachin"/>
    <s v="Myitkyina"/>
    <s v="Tat Kone San Pya Baptist Church"/>
    <m/>
    <m/>
    <m/>
    <n v="3"/>
    <n v="2"/>
    <n v="3"/>
    <n v="2"/>
    <n v="2"/>
    <n v="2"/>
    <n v="2"/>
    <m/>
    <m/>
    <m/>
    <m/>
    <m/>
    <m/>
    <m/>
    <n v="0"/>
    <n v="0"/>
    <n v="0"/>
    <n v="0"/>
    <n v="0"/>
    <n v="0"/>
    <n v="0"/>
    <n v="0"/>
    <n v="0"/>
    <n v="0"/>
    <n v="0"/>
    <n v="0"/>
    <n v="0"/>
    <n v="0"/>
    <x v="0"/>
    <n v="0"/>
    <n v="0"/>
    <n v="0"/>
    <s v="MMR001CMP005"/>
    <x v="0"/>
    <x v="0"/>
    <x v="0"/>
    <n v="6.4516129032258063E-2"/>
    <s v="No"/>
    <m/>
  </r>
  <r>
    <n v="59.633333333333333"/>
    <d v="2011-12-09T00:00:00"/>
    <x v="1"/>
    <s v="KBC"/>
    <s v="Kachin"/>
    <s v="Myitkyina"/>
    <s v="Le Kone Bethlehem Church"/>
    <m/>
    <m/>
    <m/>
    <n v="13"/>
    <n v="6"/>
    <n v="13"/>
    <n v="6"/>
    <n v="6"/>
    <n v="6"/>
    <n v="6"/>
    <m/>
    <m/>
    <m/>
    <m/>
    <m/>
    <m/>
    <m/>
    <n v="0"/>
    <n v="0"/>
    <n v="0"/>
    <n v="0"/>
    <n v="0"/>
    <n v="0"/>
    <n v="0"/>
    <n v="0"/>
    <n v="0"/>
    <n v="0"/>
    <n v="0"/>
    <n v="0"/>
    <n v="0"/>
    <n v="0"/>
    <x v="0"/>
    <n v="0"/>
    <n v="0"/>
    <n v="0"/>
    <s v="MMR001CMP015"/>
    <x v="0"/>
    <x v="0"/>
    <x v="0"/>
    <n v="0.2"/>
    <s v="No"/>
    <m/>
  </r>
  <r>
    <n v="59.766666666666666"/>
    <d v="2011-12-05T00:00:00"/>
    <x v="1"/>
    <s v="KMSS"/>
    <s v="Kachin"/>
    <s v="Myitkyina"/>
    <s v="Jan Mai Kawng Baptist Church"/>
    <m/>
    <m/>
    <m/>
    <n v="80"/>
    <n v="45"/>
    <n v="80"/>
    <n v="45"/>
    <n v="45"/>
    <n v="45"/>
    <n v="45"/>
    <m/>
    <m/>
    <m/>
    <m/>
    <m/>
    <m/>
    <m/>
    <n v="0"/>
    <n v="0"/>
    <n v="0"/>
    <n v="0"/>
    <n v="0"/>
    <n v="0"/>
    <n v="0"/>
    <n v="0"/>
    <n v="0"/>
    <n v="0"/>
    <n v="0"/>
    <n v="0"/>
    <n v="0"/>
    <n v="0"/>
    <x v="0"/>
    <n v="0"/>
    <n v="0"/>
    <n v="0"/>
    <s v="MMR001CMP018"/>
    <x v="0"/>
    <x v="0"/>
    <x v="0"/>
    <n v="0.22727272727272727"/>
    <s v="No"/>
    <m/>
  </r>
  <r>
    <n v="59.8"/>
    <d v="2011-12-04T00:00:00"/>
    <x v="1"/>
    <s v="KBC"/>
    <s v="Kachin"/>
    <s v="Myitkyina"/>
    <s v="Shwe Zet Baptist Church"/>
    <m/>
    <m/>
    <m/>
    <n v="52"/>
    <n v="27"/>
    <n v="52"/>
    <n v="27"/>
    <n v="27"/>
    <n v="27"/>
    <n v="27"/>
    <m/>
    <m/>
    <m/>
    <m/>
    <m/>
    <m/>
    <m/>
    <n v="0"/>
    <n v="0"/>
    <n v="0"/>
    <n v="0"/>
    <n v="0"/>
    <n v="0"/>
    <n v="0"/>
    <n v="0"/>
    <n v="0"/>
    <n v="0"/>
    <n v="0"/>
    <n v="0"/>
    <n v="0"/>
    <n v="0"/>
    <x v="0"/>
    <n v="0"/>
    <n v="0"/>
    <n v="0"/>
    <s v="MMR001CMP009"/>
    <x v="0"/>
    <x v="0"/>
    <x v="0"/>
    <n v="0.36986301369863012"/>
    <s v="No"/>
    <m/>
  </r>
  <r>
    <n v="60.333333333333336"/>
    <d v="2011-11-18T00:00:00"/>
    <x v="1"/>
    <s v="UNHCR"/>
    <s v="Kachin"/>
    <s v="Myitkyina"/>
    <s v="Bomb Blast Victims"/>
    <m/>
    <m/>
    <m/>
    <n v="24"/>
    <n v="3"/>
    <n v="24"/>
    <n v="3"/>
    <n v="3"/>
    <n v="3"/>
    <n v="3"/>
    <m/>
    <m/>
    <m/>
    <m/>
    <m/>
    <m/>
    <m/>
    <n v="0"/>
    <n v="0"/>
    <n v="0"/>
    <n v="0"/>
    <n v="0"/>
    <n v="0"/>
    <n v="0"/>
    <n v="0"/>
    <n v="0"/>
    <n v="0"/>
    <n v="0"/>
    <n v="0"/>
    <n v="0"/>
    <n v="0"/>
    <x v="0"/>
    <n v="0"/>
    <n v="0"/>
    <n v="0"/>
    <s v=""/>
    <x v="3"/>
    <x v="1"/>
    <x v="4"/>
    <s v=""/>
    <s v="No"/>
    <m/>
  </r>
  <r>
    <n v="60.333333333333336"/>
    <d v="2011-11-18T00:00:00"/>
    <x v="1"/>
    <s v="UNHCR"/>
    <s v="Kachin"/>
    <s v="Myitkyina"/>
    <s v="Wun Tho Buddhist Monastery"/>
    <m/>
    <m/>
    <m/>
    <n v="175"/>
    <n v="0"/>
    <n v="175"/>
    <n v="0"/>
    <n v="0"/>
    <m/>
    <m/>
    <m/>
    <m/>
    <m/>
    <m/>
    <m/>
    <m/>
    <m/>
    <n v="0"/>
    <n v="0"/>
    <n v="0"/>
    <n v="0"/>
    <n v="0"/>
    <n v="0"/>
    <n v="0"/>
    <n v="0"/>
    <n v="0"/>
    <n v="0"/>
    <n v="0"/>
    <n v="0"/>
    <n v="0"/>
    <n v="0"/>
    <x v="0"/>
    <n v="0"/>
    <n v="0"/>
    <n v="0"/>
    <s v="MMR001CMP022"/>
    <x v="0"/>
    <x v="0"/>
    <x v="0"/>
    <n v="0"/>
    <s v="No"/>
    <m/>
  </r>
  <r>
    <n v="60.4"/>
    <d v="2011-11-16T00:00:00"/>
    <x v="1"/>
    <s v="KBC"/>
    <s v="Kachin"/>
    <s v="Myitkyina"/>
    <s v="Njang Dung Baptist Church "/>
    <m/>
    <m/>
    <m/>
    <n v="92"/>
    <n v="53"/>
    <n v="92"/>
    <n v="53"/>
    <n v="53"/>
    <n v="53"/>
    <n v="53"/>
    <m/>
    <m/>
    <m/>
    <m/>
    <m/>
    <m/>
    <m/>
    <n v="0"/>
    <n v="0"/>
    <n v="0"/>
    <n v="0"/>
    <n v="0"/>
    <n v="0"/>
    <n v="0"/>
    <n v="0"/>
    <n v="0"/>
    <n v="0"/>
    <n v="0"/>
    <n v="0"/>
    <n v="0"/>
    <n v="0"/>
    <x v="0"/>
    <n v="0"/>
    <n v="0"/>
    <n v="0"/>
    <s v="MMR001CMP002"/>
    <x v="0"/>
    <x v="0"/>
    <x v="0"/>
    <n v="0.85483870967741937"/>
    <s v="No"/>
    <m/>
  </r>
  <r>
    <n v="60.4"/>
    <d v="2011-11-16T00:00:00"/>
    <x v="1"/>
    <s v="KBC"/>
    <s v="Kachin"/>
    <s v="Myitkyina"/>
    <s v="Shwe Zet Baptist Church"/>
    <m/>
    <m/>
    <m/>
    <n v="63"/>
    <n v="30"/>
    <n v="63"/>
    <n v="30"/>
    <n v="30"/>
    <n v="30"/>
    <n v="30"/>
    <m/>
    <m/>
    <m/>
    <m/>
    <m/>
    <m/>
    <m/>
    <n v="0"/>
    <n v="0"/>
    <n v="0"/>
    <n v="0"/>
    <n v="0"/>
    <n v="0"/>
    <n v="0"/>
    <n v="0"/>
    <n v="0"/>
    <n v="0"/>
    <n v="0"/>
    <n v="0"/>
    <n v="0"/>
    <n v="0"/>
    <x v="0"/>
    <n v="0"/>
    <n v="0"/>
    <n v="0"/>
    <s v="MMR001CMP009"/>
    <x v="0"/>
    <x v="0"/>
    <x v="0"/>
    <n v="0.41095890410958902"/>
    <s v="No"/>
    <m/>
  </r>
  <r>
    <n v="60.4"/>
    <d v="2011-11-16T00:00:00"/>
    <x v="1"/>
    <s v="KBC"/>
    <s v="Kachin"/>
    <s v="Myitkyina"/>
    <s v="Tat Kone Galile Baptist Church"/>
    <m/>
    <m/>
    <m/>
    <n v="53"/>
    <n v="31"/>
    <n v="53"/>
    <n v="31"/>
    <n v="31"/>
    <n v="31"/>
    <n v="31"/>
    <m/>
    <m/>
    <m/>
    <m/>
    <m/>
    <m/>
    <m/>
    <n v="0"/>
    <n v="0"/>
    <n v="0"/>
    <n v="0"/>
    <n v="0"/>
    <n v="0"/>
    <n v="0"/>
    <n v="0"/>
    <n v="0"/>
    <n v="0"/>
    <n v="0"/>
    <n v="0"/>
    <n v="0"/>
    <n v="0"/>
    <x v="0"/>
    <n v="0"/>
    <n v="0"/>
    <n v="0"/>
    <s v="MMR001CMP003"/>
    <x v="0"/>
    <x v="0"/>
    <x v="0"/>
    <n v="1.1923076923076923"/>
    <s v="No"/>
    <m/>
  </r>
  <r>
    <n v="60.43333333333333"/>
    <d v="2011-11-15T00:00:00"/>
    <x v="1"/>
    <s v="KBC"/>
    <s v="Kachin"/>
    <s v="Myitkyina"/>
    <s v="Tat Kone San Pya Baptist Church"/>
    <m/>
    <m/>
    <m/>
    <n v="30"/>
    <n v="17"/>
    <n v="30"/>
    <n v="17"/>
    <n v="17"/>
    <n v="17"/>
    <n v="17"/>
    <m/>
    <m/>
    <m/>
    <m/>
    <m/>
    <m/>
    <m/>
    <n v="0"/>
    <n v="0"/>
    <n v="0"/>
    <n v="0"/>
    <n v="0"/>
    <n v="0"/>
    <n v="0"/>
    <n v="0"/>
    <n v="0"/>
    <n v="0"/>
    <n v="0"/>
    <n v="0"/>
    <n v="0"/>
    <n v="0"/>
    <x v="0"/>
    <n v="0"/>
    <n v="0"/>
    <n v="0"/>
    <s v="MMR001CMP005"/>
    <x v="0"/>
    <x v="0"/>
    <x v="0"/>
    <n v="0.54838709677419351"/>
    <s v="No"/>
    <m/>
  </r>
  <r>
    <n v="60.466666666666669"/>
    <d v="2011-11-14T00:00:00"/>
    <x v="1"/>
    <s v="KBC"/>
    <s v="Kachin"/>
    <s v="Myitkyina"/>
    <s v="Kyun Pin Thar Baptist Church"/>
    <m/>
    <m/>
    <m/>
    <n v="47"/>
    <n v="28"/>
    <n v="47"/>
    <n v="28"/>
    <n v="28"/>
    <n v="28"/>
    <n v="28"/>
    <m/>
    <m/>
    <m/>
    <m/>
    <m/>
    <m/>
    <m/>
    <n v="0"/>
    <n v="0"/>
    <n v="0"/>
    <n v="0"/>
    <n v="0"/>
    <n v="0"/>
    <n v="0"/>
    <n v="0"/>
    <n v="0"/>
    <n v="0"/>
    <n v="0"/>
    <n v="0"/>
    <n v="0"/>
    <n v="0"/>
    <x v="0"/>
    <n v="0"/>
    <n v="0"/>
    <n v="0"/>
    <s v="MMR001CMP013"/>
    <x v="0"/>
    <x v="0"/>
    <x v="0"/>
    <n v="1.6470588235294117"/>
    <s v="No"/>
    <m/>
  </r>
  <r>
    <n v="60.466666666666669"/>
    <d v="2011-11-14T00:00:00"/>
    <x v="1"/>
    <s v="KBC"/>
    <s v="Kachin"/>
    <s v="Myitkyina"/>
    <s v="Le Kone Bethlehem Church"/>
    <m/>
    <m/>
    <m/>
    <n v="52"/>
    <n v="25"/>
    <n v="52"/>
    <n v="25"/>
    <n v="25"/>
    <n v="25"/>
    <n v="25"/>
    <m/>
    <m/>
    <m/>
    <m/>
    <m/>
    <m/>
    <m/>
    <n v="0"/>
    <n v="0"/>
    <n v="0"/>
    <n v="0"/>
    <n v="0"/>
    <n v="0"/>
    <n v="0"/>
    <n v="0"/>
    <n v="0"/>
    <n v="0"/>
    <n v="0"/>
    <n v="0"/>
    <n v="0"/>
    <n v="0"/>
    <x v="0"/>
    <n v="0"/>
    <n v="0"/>
    <n v="0"/>
    <s v="MMR001CMP015"/>
    <x v="0"/>
    <x v="0"/>
    <x v="0"/>
    <n v="0.83333333333333337"/>
    <s v="No"/>
    <m/>
  </r>
  <r>
    <n v="60.466666666666669"/>
    <d v="2011-11-14T00:00:00"/>
    <x v="1"/>
    <s v="KBC"/>
    <s v="Kachin"/>
    <s v="Myitkyina"/>
    <s v="Maliyang Baptist Church"/>
    <m/>
    <m/>
    <m/>
    <n v="57"/>
    <n v="30"/>
    <n v="57"/>
    <n v="30"/>
    <n v="30"/>
    <n v="30"/>
    <n v="30"/>
    <m/>
    <m/>
    <m/>
    <m/>
    <m/>
    <m/>
    <m/>
    <n v="0"/>
    <n v="0"/>
    <n v="0"/>
    <n v="0"/>
    <n v="0"/>
    <n v="0"/>
    <n v="0"/>
    <n v="0"/>
    <n v="0"/>
    <n v="0"/>
    <n v="0"/>
    <n v="0"/>
    <n v="0"/>
    <n v="0"/>
    <x v="0"/>
    <n v="0"/>
    <n v="0"/>
    <n v="0"/>
    <s v="MMR001CMP016"/>
    <x v="0"/>
    <x v="0"/>
    <x v="0"/>
    <n v="0.5"/>
    <s v="No"/>
    <m/>
  </r>
  <r>
    <n v="60.8"/>
    <d v="2011-11-04T00:00:00"/>
    <x v="1"/>
    <s v="KBC"/>
    <s v="Kachin"/>
    <s v="Myitkyina"/>
    <s v="Jan Mai Kawng Baptist Church"/>
    <m/>
    <m/>
    <m/>
    <n v="208"/>
    <n v="102"/>
    <n v="208"/>
    <n v="102"/>
    <n v="102"/>
    <n v="102"/>
    <n v="102"/>
    <m/>
    <m/>
    <m/>
    <m/>
    <m/>
    <m/>
    <m/>
    <n v="0"/>
    <n v="0"/>
    <n v="0"/>
    <n v="0"/>
    <n v="0"/>
    <n v="0"/>
    <n v="0"/>
    <n v="0"/>
    <n v="0"/>
    <n v="0"/>
    <n v="0"/>
    <n v="0"/>
    <n v="0"/>
    <n v="0"/>
    <x v="0"/>
    <n v="0"/>
    <n v="0"/>
    <n v="0"/>
    <s v="MMR001CMP018"/>
    <x v="0"/>
    <x v="0"/>
    <x v="0"/>
    <n v="0.51515151515151514"/>
    <s v="No"/>
    <m/>
  </r>
  <r>
    <n v="60.8"/>
    <d v="2011-11-04T00:00:00"/>
    <x v="1"/>
    <s v="KBC"/>
    <s v="Kachin"/>
    <s v="Myitkyina"/>
    <s v="Myay Myint Baptist Church"/>
    <m/>
    <m/>
    <m/>
    <n v="10"/>
    <n v="6"/>
    <n v="10"/>
    <n v="6"/>
    <n v="6"/>
    <n v="6"/>
    <n v="6"/>
    <m/>
    <m/>
    <m/>
    <m/>
    <m/>
    <m/>
    <m/>
    <n v="0"/>
    <n v="0"/>
    <n v="0"/>
    <n v="0"/>
    <n v="0"/>
    <n v="0"/>
    <n v="0"/>
    <n v="0"/>
    <n v="0"/>
    <n v="0"/>
    <n v="0"/>
    <n v="0"/>
    <n v="0"/>
    <n v="0"/>
    <x v="0"/>
    <n v="0"/>
    <n v="0"/>
    <n v="0"/>
    <s v="MMR001CMP017"/>
    <x v="0"/>
    <x v="2"/>
    <x v="0"/>
    <s v=""/>
    <s v="No"/>
    <m/>
  </r>
  <r>
    <n v="60.833333333333336"/>
    <d v="2011-11-03T00:00:00"/>
    <x v="1"/>
    <s v="KMSS"/>
    <s v="Kachin"/>
    <s v="Myitkyina"/>
    <s v="Jan Mai Kawng Baptist Church"/>
    <m/>
    <m/>
    <m/>
    <n v="106"/>
    <n v="52"/>
    <n v="106"/>
    <n v="52"/>
    <n v="52"/>
    <n v="52"/>
    <n v="52"/>
    <m/>
    <m/>
    <m/>
    <m/>
    <m/>
    <m/>
    <m/>
    <n v="0"/>
    <n v="0"/>
    <n v="0"/>
    <n v="0"/>
    <n v="0"/>
    <n v="0"/>
    <n v="0"/>
    <n v="0"/>
    <n v="0"/>
    <n v="0"/>
    <n v="0"/>
    <n v="0"/>
    <n v="0"/>
    <n v="0"/>
    <x v="0"/>
    <n v="0"/>
    <n v="0"/>
    <n v="0"/>
    <s v="MMR001CMP018"/>
    <x v="0"/>
    <x v="0"/>
    <x v="0"/>
    <n v="0.26262626262626265"/>
    <s v="No"/>
    <m/>
  </r>
  <r>
    <n v="60.833333333333336"/>
    <d v="2011-11-03T00:00:00"/>
    <x v="1"/>
    <s v="KBC"/>
    <s v="Kachin"/>
    <s v="Myitkyina"/>
    <s v="Le Kone Ziun Baptist Church "/>
    <m/>
    <m/>
    <m/>
    <n v="116"/>
    <n v="49"/>
    <n v="116"/>
    <n v="49"/>
    <n v="49"/>
    <n v="49"/>
    <n v="49"/>
    <m/>
    <m/>
    <m/>
    <m/>
    <m/>
    <m/>
    <m/>
    <n v="0"/>
    <n v="0"/>
    <n v="0"/>
    <n v="0"/>
    <n v="0"/>
    <n v="0"/>
    <n v="0"/>
    <n v="0"/>
    <n v="0"/>
    <n v="0"/>
    <n v="0"/>
    <n v="0"/>
    <n v="0"/>
    <n v="0"/>
    <x v="0"/>
    <n v="0"/>
    <n v="0"/>
    <n v="0"/>
    <s v="MMR001CMP014"/>
    <x v="0"/>
    <x v="0"/>
    <x v="0"/>
    <n v="0.57647058823529407"/>
    <s v="No"/>
    <m/>
  </r>
  <r>
    <n v="60.833333333333336"/>
    <d v="2011-11-03T00:00:00"/>
    <x v="1"/>
    <s v="KMSS"/>
    <s v="Kachin"/>
    <s v="Myitkyina"/>
    <s v="Shwe Zet Baptist Church"/>
    <m/>
    <m/>
    <m/>
    <n v="18"/>
    <n v="8"/>
    <n v="18"/>
    <n v="8"/>
    <n v="8"/>
    <n v="8"/>
    <n v="8"/>
    <m/>
    <m/>
    <m/>
    <m/>
    <m/>
    <m/>
    <m/>
    <n v="0"/>
    <n v="0"/>
    <n v="0"/>
    <n v="0"/>
    <n v="0"/>
    <n v="0"/>
    <n v="0"/>
    <n v="0"/>
    <n v="0"/>
    <n v="0"/>
    <n v="0"/>
    <n v="0"/>
    <n v="0"/>
    <n v="0"/>
    <x v="0"/>
    <n v="0"/>
    <n v="0"/>
    <n v="0"/>
    <s v="MMR001CMP009"/>
    <x v="0"/>
    <x v="0"/>
    <x v="0"/>
    <n v="0.1095890410958904"/>
    <s v="No"/>
    <m/>
  </r>
  <r>
    <n v="60.833333333333336"/>
    <d v="2011-11-03T00:00:00"/>
    <x v="1"/>
    <s v="KBC"/>
    <s v="Kachin"/>
    <s v="Myitkyina"/>
    <s v="Tat Kone Baptist Church"/>
    <m/>
    <m/>
    <m/>
    <n v="73"/>
    <n v="34"/>
    <n v="73"/>
    <n v="34"/>
    <n v="34"/>
    <n v="34"/>
    <n v="34"/>
    <m/>
    <m/>
    <m/>
    <m/>
    <m/>
    <m/>
    <m/>
    <n v="0"/>
    <n v="0"/>
    <n v="0"/>
    <n v="0"/>
    <n v="0"/>
    <n v="0"/>
    <n v="0"/>
    <n v="0"/>
    <n v="0"/>
    <n v="0"/>
    <n v="0"/>
    <n v="0"/>
    <n v="0"/>
    <n v="0"/>
    <x v="0"/>
    <n v="0"/>
    <n v="0"/>
    <n v="0"/>
    <s v="MMR001CMP001"/>
    <x v="0"/>
    <x v="0"/>
    <x v="0"/>
    <n v="0.70833333333333337"/>
    <s v="No"/>
    <m/>
  </r>
  <r>
    <n v="60.833333333333336"/>
    <d v="2011-11-03T00:00:00"/>
    <x v="1"/>
    <s v="KMSS"/>
    <s v="Kachin"/>
    <s v="Myitkyina"/>
    <s v="Tat Kone Emanuel Church"/>
    <m/>
    <m/>
    <m/>
    <n v="18"/>
    <n v="8"/>
    <n v="18"/>
    <n v="8"/>
    <n v="8"/>
    <n v="8"/>
    <n v="8"/>
    <m/>
    <m/>
    <m/>
    <m/>
    <m/>
    <m/>
    <m/>
    <n v="0"/>
    <n v="0"/>
    <n v="0"/>
    <n v="0"/>
    <n v="0"/>
    <n v="0"/>
    <n v="0"/>
    <n v="0"/>
    <n v="0"/>
    <n v="0"/>
    <n v="0"/>
    <n v="0"/>
    <n v="0"/>
    <n v="0"/>
    <x v="0"/>
    <n v="0"/>
    <n v="0"/>
    <n v="0"/>
    <s v="MMR001CMP004"/>
    <x v="0"/>
    <x v="0"/>
    <x v="0"/>
    <n v="2"/>
    <s v="No"/>
    <m/>
  </r>
  <r>
    <n v="60.866666666666667"/>
    <d v="2011-11-02T00:00:00"/>
    <x v="1"/>
    <s v="KBC"/>
    <s v="Kachin"/>
    <s v="Myitkyina"/>
    <s v="Du Kahtawng Qtr. 14"/>
    <m/>
    <m/>
    <m/>
    <n v="0"/>
    <n v="5"/>
    <n v="0"/>
    <n v="5"/>
    <n v="5"/>
    <n v="5"/>
    <n v="5"/>
    <m/>
    <m/>
    <m/>
    <m/>
    <m/>
    <m/>
    <m/>
    <n v="0"/>
    <n v="0"/>
    <n v="0"/>
    <n v="0"/>
    <n v="0"/>
    <n v="0"/>
    <n v="0"/>
    <n v="0"/>
    <n v="0"/>
    <n v="0"/>
    <n v="0"/>
    <n v="0"/>
    <n v="0"/>
    <n v="0"/>
    <x v="0"/>
    <n v="0"/>
    <n v="0"/>
    <n v="0"/>
    <s v="MMR001CMP012"/>
    <x v="0"/>
    <x v="0"/>
    <x v="0"/>
    <n v="0.83333333333333337"/>
    <s v="No"/>
    <m/>
  </r>
  <r>
    <n v="60.866666666666667"/>
    <d v="2011-11-02T00:00:00"/>
    <x v="1"/>
    <s v="KBC"/>
    <s v="Kachin"/>
    <s v="Myitkyina"/>
    <s v="Du Kahtawng Qtr. 4"/>
    <m/>
    <m/>
    <m/>
    <n v="0"/>
    <n v="6"/>
    <n v="0"/>
    <n v="6"/>
    <n v="6"/>
    <n v="6"/>
    <n v="6"/>
    <m/>
    <m/>
    <m/>
    <m/>
    <m/>
    <m/>
    <m/>
    <n v="0"/>
    <n v="0"/>
    <n v="0"/>
    <n v="0"/>
    <n v="0"/>
    <n v="0"/>
    <n v="0"/>
    <n v="0"/>
    <n v="0"/>
    <n v="0"/>
    <n v="0"/>
    <n v="0"/>
    <n v="0"/>
    <n v="0"/>
    <x v="0"/>
    <n v="0"/>
    <n v="0"/>
    <n v="0"/>
    <s v="MMR001CMP010"/>
    <x v="0"/>
    <x v="0"/>
    <x v="0"/>
    <n v="1"/>
    <s v="No"/>
    <m/>
  </r>
  <r>
    <n v="60.866666666666667"/>
    <d v="2011-11-02T00:00:00"/>
    <x v="1"/>
    <s v="KBC"/>
    <s v="Kachin"/>
    <s v="Myitkyina"/>
    <s v="Du Kahtawng Qtr. 5"/>
    <m/>
    <m/>
    <m/>
    <n v="39"/>
    <n v="8"/>
    <n v="39"/>
    <n v="8"/>
    <n v="8"/>
    <n v="8"/>
    <n v="8"/>
    <m/>
    <m/>
    <m/>
    <m/>
    <m/>
    <m/>
    <m/>
    <n v="0"/>
    <n v="0"/>
    <n v="0"/>
    <n v="0"/>
    <n v="0"/>
    <n v="0"/>
    <n v="0"/>
    <n v="0"/>
    <n v="0"/>
    <n v="0"/>
    <n v="0"/>
    <n v="0"/>
    <n v="0"/>
    <n v="0"/>
    <x v="0"/>
    <n v="0"/>
    <n v="0"/>
    <n v="0"/>
    <s v="MMR001CMP011"/>
    <x v="0"/>
    <x v="0"/>
    <x v="0"/>
    <n v="0.4"/>
    <s v="No"/>
    <m/>
  </r>
  <r>
    <n v="60.866666666666667"/>
    <d v="2011-11-02T00:00:00"/>
    <x v="1"/>
    <s v="KBC"/>
    <s v="Kachin"/>
    <s v="Myitkyina"/>
    <s v="Man Hkring Baptist Church"/>
    <m/>
    <m/>
    <m/>
    <n v="112"/>
    <n v="68"/>
    <n v="112"/>
    <n v="68"/>
    <n v="68"/>
    <n v="68"/>
    <n v="68"/>
    <m/>
    <m/>
    <m/>
    <m/>
    <m/>
    <m/>
    <m/>
    <n v="0"/>
    <n v="0"/>
    <n v="0"/>
    <n v="0"/>
    <n v="0"/>
    <n v="0"/>
    <n v="0"/>
    <n v="0"/>
    <n v="0"/>
    <n v="0"/>
    <n v="0"/>
    <n v="0"/>
    <n v="0"/>
    <n v="0"/>
    <x v="0"/>
    <n v="0"/>
    <n v="0"/>
    <n v="0"/>
    <s v="MMR001CMP008"/>
    <x v="0"/>
    <x v="0"/>
    <x v="0"/>
    <n v="0.73913043478260865"/>
    <s v="No"/>
    <m/>
  </r>
  <r>
    <n v="60.866666666666667"/>
    <d v="2011-11-02T00:00:00"/>
    <x v="1"/>
    <s v="KBC"/>
    <s v="Kachin"/>
    <s v="Myitkyina"/>
    <s v="Shatapru Sut Ngai Tawng"/>
    <m/>
    <m/>
    <m/>
    <n v="219"/>
    <n v="117"/>
    <n v="219"/>
    <n v="117"/>
    <n v="117"/>
    <n v="117"/>
    <n v="117"/>
    <m/>
    <m/>
    <m/>
    <m/>
    <m/>
    <m/>
    <m/>
    <n v="0"/>
    <n v="0"/>
    <n v="0"/>
    <n v="0"/>
    <n v="0"/>
    <n v="0"/>
    <n v="0"/>
    <n v="0"/>
    <n v="0"/>
    <n v="0"/>
    <n v="0"/>
    <n v="0"/>
    <n v="0"/>
    <n v="0"/>
    <x v="0"/>
    <n v="0"/>
    <n v="0"/>
    <n v="0"/>
    <s v="MMR001CMP006"/>
    <x v="0"/>
    <x v="0"/>
    <x v="0"/>
    <n v="1.3295454545454546"/>
    <s v="No"/>
    <m/>
  </r>
  <r>
    <n v="60.866666666666667"/>
    <d v="2011-11-02T00:00:00"/>
    <x v="1"/>
    <s v="KBC"/>
    <s v="Kachin"/>
    <s v="Myitkyina"/>
    <s v="Shatapru Thida Aye Baptist Church"/>
    <m/>
    <m/>
    <m/>
    <n v="2"/>
    <n v="1"/>
    <n v="2"/>
    <n v="1"/>
    <n v="1"/>
    <n v="1"/>
    <n v="1"/>
    <m/>
    <m/>
    <m/>
    <m/>
    <m/>
    <m/>
    <m/>
    <n v="0"/>
    <n v="0"/>
    <n v="0"/>
    <n v="0"/>
    <n v="0"/>
    <n v="0"/>
    <n v="0"/>
    <n v="0"/>
    <n v="0"/>
    <n v="0"/>
    <n v="0"/>
    <n v="0"/>
    <n v="0"/>
    <n v="0"/>
    <x v="0"/>
    <n v="0"/>
    <n v="0"/>
    <n v="0"/>
    <s v="MMR001CMP007"/>
    <x v="0"/>
    <x v="0"/>
    <x v="0"/>
    <n v="4.5454545454545456E-2"/>
    <s v="No"/>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r>
    <s v=""/>
    <m/>
    <x v="13"/>
    <m/>
    <m/>
    <m/>
    <m/>
    <m/>
    <m/>
    <m/>
    <m/>
    <m/>
    <m/>
    <m/>
    <m/>
    <m/>
    <m/>
    <m/>
    <m/>
    <m/>
    <m/>
    <m/>
    <m/>
    <m/>
    <n v="0"/>
    <n v="0"/>
    <n v="0"/>
    <n v="0"/>
    <n v="0"/>
    <n v="0"/>
    <n v="0"/>
    <n v="0"/>
    <n v="0"/>
    <n v="0"/>
    <n v="0"/>
    <n v="0"/>
    <n v="0"/>
    <n v="0"/>
    <x v="0"/>
    <n v="0"/>
    <n v="0"/>
    <n v="0"/>
    <s v=""/>
    <x v="3"/>
    <x v="1"/>
    <x v="4"/>
    <s v=""/>
    <m/>
    <m/>
  </r>
</pivotCacheRecords>
</file>

<file path=xl/pivotCache/pivotCacheRecords4.xml><?xml version="1.0" encoding="utf-8"?>
<pivotCacheRecords xmlns="http://schemas.openxmlformats.org/spreadsheetml/2006/main" xmlns:r="http://schemas.openxmlformats.org/officeDocument/2006/relationships" count="274">
  <r>
    <x v="0"/>
    <x v="0"/>
    <s v="MMR001"/>
    <s v="Myitkyina"/>
    <s v="MMR001D001"/>
    <x v="0"/>
    <s v="MMR001001"/>
    <s v="Myitkyina Town"/>
    <s v="MMR001001701"/>
    <s v="Tat Kone Ward"/>
    <s v="MMR001001701520"/>
    <x v="0"/>
    <x v="0"/>
    <x v="0"/>
    <n v="25.415482000000001"/>
    <n v="0"/>
    <n v="48"/>
    <n v="247"/>
    <n v="5.145833333333333"/>
    <x v="0"/>
    <x v="0"/>
    <x v="0"/>
    <x v="0"/>
    <d v="2011-06-01T00:00:00"/>
    <n v="1"/>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P4"/>
    <n v="0"/>
    <m/>
    <n v="0"/>
    <s v="Myitkyina Town"/>
    <n v="3.1341427522963001"/>
    <n v="1"/>
  </r>
  <r>
    <x v="0"/>
    <x v="0"/>
    <s v="MMR001"/>
    <s v="Myitkyina"/>
    <s v="MMR001D001"/>
    <x v="0"/>
    <s v="MMR001001"/>
    <s v="Myitkyina Town"/>
    <s v="MMR001001701"/>
    <s v="N Jang Dung"/>
    <m/>
    <x v="1"/>
    <x v="1"/>
    <x v="1"/>
    <n v="25.422194000000001"/>
    <n v="0"/>
    <n v="62"/>
    <n v="264"/>
    <n v="4.258064516129032"/>
    <x v="0"/>
    <x v="0"/>
    <x v="0"/>
    <x v="0"/>
    <d v="2011-06-01T00:00:00"/>
    <n v="1"/>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P4"/>
    <n v="10"/>
    <m/>
    <s v="=MIN([@[Shelter Gap]],[@[Land Status]])"/>
    <s v="Myitkyina Town"/>
    <n v="3.8820329084732199"/>
    <n v="1"/>
  </r>
  <r>
    <x v="0"/>
    <x v="0"/>
    <s v="MMR001"/>
    <s v="Myitkyina"/>
    <s v="MMR001D001"/>
    <x v="0"/>
    <s v="MMR001001"/>
    <s v="Myitkyina Town"/>
    <s v="MMR001001701"/>
    <s v="Tat Kone Ward"/>
    <s v="MMR001001701520"/>
    <x v="2"/>
    <x v="2"/>
    <x v="2"/>
    <n v="25.404752999999999"/>
    <n v="0"/>
    <n v="26"/>
    <n v="139"/>
    <n v="5.3461538461538458"/>
    <x v="0"/>
    <x v="0"/>
    <x v="0"/>
    <x v="0"/>
    <d v="2011-07-01T00:00:00"/>
    <n v="1"/>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P4"/>
    <n v="6"/>
    <m/>
    <n v="6"/>
    <s v="Myitkyina Town"/>
    <n v="2.3045478259125423"/>
    <n v="1"/>
  </r>
  <r>
    <x v="0"/>
    <x v="0"/>
    <s v="MMR001"/>
    <s v="Myitkyina"/>
    <s v="MMR001D001"/>
    <x v="0"/>
    <s v="MMR001001"/>
    <s v="Myitkyina Town"/>
    <s v="MMR001001701"/>
    <s v="Tat Kone Ward"/>
    <s v="MMR001001701520"/>
    <x v="3"/>
    <x v="3"/>
    <x v="3"/>
    <n v="25.417733999999999"/>
    <n v="0"/>
    <n v="4"/>
    <n v="21"/>
    <n v="5.25"/>
    <x v="0"/>
    <x v="0"/>
    <x v="0"/>
    <x v="0"/>
    <d v="2011-08-01T00:00:00"/>
    <n v="1"/>
    <x v="1"/>
    <s v="IP"/>
    <m/>
    <d v="2017-01-10T00:00:00"/>
    <s v="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P4"/>
    <n v="0"/>
    <m/>
    <n v="0"/>
    <s v="Myitkyina Town"/>
    <n v="3.3637010801853577"/>
    <n v="1"/>
  </r>
  <r>
    <x v="0"/>
    <x v="0"/>
    <s v="MMR001"/>
    <s v="Myitkyina"/>
    <s v="MMR001D001"/>
    <x v="0"/>
    <s v="MMR001001"/>
    <s v="Myitkyina Town"/>
    <s v="MMR001001701"/>
    <s v="Tat Kone Ward"/>
    <s v="MMR001001701520"/>
    <x v="4"/>
    <x v="4"/>
    <x v="4"/>
    <n v="25.404015000000001"/>
    <n v="0"/>
    <n v="31"/>
    <n v="154"/>
    <n v="4.967741935483871"/>
    <x v="0"/>
    <x v="0"/>
    <x v="0"/>
    <x v="0"/>
    <d v="2011-10-01T00:00:00"/>
    <n v="1"/>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P4"/>
    <n v="0"/>
    <m/>
    <n v="0"/>
    <s v="Myitkyina Town"/>
    <n v="2.0123527499589278"/>
    <n v="1"/>
  </r>
  <r>
    <x v="0"/>
    <x v="0"/>
    <s v="MMR001"/>
    <s v="Myitkyina"/>
    <s v="MMR001D001"/>
    <x v="0"/>
    <s v="MMR001001"/>
    <s v="Myitkyina Town"/>
    <s v="MMR001001701"/>
    <s v="Si Tar Pu Ward"/>
    <s v="MMR001001701521"/>
    <x v="5"/>
    <x v="5"/>
    <x v="5"/>
    <n v="25.412313000000001"/>
    <n v="0"/>
    <n v="88"/>
    <n v="394"/>
    <n v="4.4772727272727275"/>
    <x v="0"/>
    <x v="0"/>
    <x v="0"/>
    <x v="0"/>
    <d v="2011-08-01T00:00:00"/>
    <n v="2"/>
    <x v="0"/>
    <s v="IP"/>
    <m/>
    <d v="2017-01-10T00:00:00"/>
    <s v="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P4"/>
    <n v="24"/>
    <m/>
    <n v="24"/>
    <s v="Myitkyina Town"/>
    <n v="2.9133254097712102"/>
    <n v="1"/>
  </r>
  <r>
    <x v="0"/>
    <x v="0"/>
    <s v="MMR001"/>
    <s v="Myitkyina"/>
    <s v="MMR001D001"/>
    <x v="0"/>
    <s v="MMR001001"/>
    <s v="Myitkyina Town"/>
    <s v="MMR001001701"/>
    <s v="Si Tar Pu Ward"/>
    <s v="MMR001001701521"/>
    <x v="6"/>
    <x v="6"/>
    <x v="6"/>
    <n v="25.423817"/>
    <n v="0"/>
    <n v="22"/>
    <n v="111"/>
    <n v="5.0454545454545459"/>
    <x v="0"/>
    <x v="0"/>
    <x v="0"/>
    <x v="0"/>
    <d v="2012-01-01T00:00:00"/>
    <n v="1"/>
    <x v="1"/>
    <s v="IP"/>
    <m/>
    <d v="2017-01-10T00:00:00"/>
    <s v="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P4"/>
    <n v="22"/>
    <m/>
    <n v="22"/>
    <s v="Myitkyina Town"/>
    <n v="4.9021696969220816"/>
    <n v="1"/>
  </r>
  <r>
    <x v="0"/>
    <x v="0"/>
    <s v="MMR001"/>
    <s v="Myitkyina"/>
    <s v="MMR001D001"/>
    <x v="0"/>
    <s v="MMR001001"/>
    <s v="Myitkyina Town"/>
    <s v="MMR001001701"/>
    <s v="Man Khein Ward"/>
    <s v="MMR001001701519"/>
    <x v="7"/>
    <x v="7"/>
    <x v="7"/>
    <n v="25.428910999999999"/>
    <n v="0"/>
    <n v="92"/>
    <n v="391"/>
    <n v="4.25"/>
    <x v="0"/>
    <x v="0"/>
    <x v="0"/>
    <x v="0"/>
    <d v="2011-07-01T00:00:00"/>
    <n v="2"/>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P4"/>
    <n v="12"/>
    <m/>
    <n v="12"/>
    <s v="Myitkyina Town"/>
    <n v="5.4145379230647226"/>
    <n v="2"/>
  </r>
  <r>
    <x v="0"/>
    <x v="0"/>
    <s v="MMR001"/>
    <s v="Myitkyina"/>
    <s v="MMR001D001"/>
    <x v="0"/>
    <s v="MMR001001"/>
    <s v="Myitkyina Town"/>
    <s v="MMR001001701"/>
    <s v="Shwe Set Ward"/>
    <s v="MMR001001701518"/>
    <x v="8"/>
    <x v="8"/>
    <x v="8"/>
    <n v="25.440928"/>
    <n v="0"/>
    <n v="73"/>
    <n v="416"/>
    <n v="5.6986301369863011"/>
    <x v="0"/>
    <x v="0"/>
    <x v="0"/>
    <x v="0"/>
    <d v="2011-07-01T00:00:00"/>
    <n v="2"/>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P4"/>
    <n v="23"/>
    <m/>
    <n v="23"/>
    <s v="Myitkyina Town"/>
    <n v="6.6198004689728469"/>
    <n v="2"/>
  </r>
  <r>
    <x v="0"/>
    <x v="0"/>
    <s v="MMR001"/>
    <s v="Myitkyina"/>
    <s v="MMR001D001"/>
    <x v="0"/>
    <s v="MMR001001"/>
    <s v="Myitkyina Town"/>
    <s v="MMR001001701"/>
    <s v="Du Ka Htaung Ward"/>
    <s v="MMR001001701504"/>
    <x v="9"/>
    <x v="9"/>
    <x v="9"/>
    <n v="25.3959740909091"/>
    <n v="0"/>
    <n v="6"/>
    <n v="39"/>
    <n v="6.5"/>
    <x v="0"/>
    <x v="0"/>
    <x v="0"/>
    <x v="0"/>
    <d v="2011-06-01T00:00:00"/>
    <m/>
    <x v="0"/>
    <s v="RRD"/>
    <m/>
    <m/>
    <s v=" "/>
    <s v="P4"/>
    <n v="0"/>
    <m/>
    <n v="0"/>
    <s v="Myitkyina Town"/>
    <n v="1.1985969617964649"/>
    <n v="1"/>
  </r>
  <r>
    <x v="0"/>
    <x v="0"/>
    <s v="MMR001"/>
    <s v="Myitkyina"/>
    <s v="MMR001D001"/>
    <x v="0"/>
    <s v="MMR001001"/>
    <s v="Myitkyina Town"/>
    <s v="MMR001001701"/>
    <s v="Du Ka Htaung Ward"/>
    <s v="MMR001001701504"/>
    <x v="10"/>
    <x v="10"/>
    <x v="10"/>
    <n v="25.396492500000001"/>
    <n v="0"/>
    <n v="20"/>
    <n v="105"/>
    <n v="5.25"/>
    <x v="0"/>
    <x v="0"/>
    <x v="0"/>
    <x v="0"/>
    <d v="2011-06-01T00:00:00"/>
    <n v="2"/>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P4"/>
    <n v="17"/>
    <m/>
    <n v="17"/>
    <s v="Myitkyina Town"/>
    <n v="1.3510454549069482"/>
    <n v="1"/>
  </r>
  <r>
    <x v="0"/>
    <x v="0"/>
    <s v="MMR001"/>
    <s v="Myitkyina"/>
    <s v="MMR001D001"/>
    <x v="0"/>
    <s v="MMR001001"/>
    <s v="Myitkyina Town"/>
    <s v="MMR001001701"/>
    <s v="Du Ka Htaung Ward"/>
    <s v="MMR001001701504"/>
    <x v="11"/>
    <x v="11"/>
    <x v="11"/>
    <n v="25.4002701851852"/>
    <n v="0"/>
    <n v="6"/>
    <n v="28"/>
    <n v="4.666666666666667"/>
    <x v="0"/>
    <x v="0"/>
    <x v="0"/>
    <x v="0"/>
    <d v="2011-06-01T00:00:00"/>
    <m/>
    <x v="0"/>
    <s v="RRD"/>
    <m/>
    <m/>
    <s v=" "/>
    <s v="P4"/>
    <n v="3"/>
    <m/>
    <n v="3"/>
    <s v="Myitkyina Town"/>
    <n v="1.5295244799681529"/>
    <n v="1"/>
  </r>
  <r>
    <x v="0"/>
    <x v="0"/>
    <s v="MMR001"/>
    <s v="Myitkyina"/>
    <s v="MMR001D001"/>
    <x v="0"/>
    <s v="MMR001001"/>
    <s v="Myitkyina Town"/>
    <s v="MMR001001701"/>
    <s v="Kyun Pin Thar Ward"/>
    <s v="MMR001001701510"/>
    <x v="12"/>
    <x v="12"/>
    <x v="12"/>
    <n v="25.3660036111111"/>
    <n v="0"/>
    <n v="17"/>
    <n v="68"/>
    <n v="4"/>
    <x v="0"/>
    <x v="0"/>
    <x v="0"/>
    <x v="0"/>
    <d v="2012-01-01T00:00:00"/>
    <n v="1"/>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Update population according to KBC data"/>
    <s v="P4"/>
    <n v="12"/>
    <m/>
    <n v="12"/>
    <s v="Myitkyina Town"/>
    <n v="2.8164250706222882"/>
    <n v="1"/>
  </r>
  <r>
    <x v="0"/>
    <x v="0"/>
    <s v="MMR001"/>
    <s v="Myitkyina"/>
    <s v="MMR001D001"/>
    <x v="0"/>
    <s v="MMR001001"/>
    <s v="Myitkyina Town"/>
    <s v="MMR001001701"/>
    <s v="Lel Kone Ward"/>
    <s v="MMR001001701525"/>
    <x v="13"/>
    <x v="13"/>
    <x v="13"/>
    <n v="25.3510167948718"/>
    <n v="0"/>
    <n v="85"/>
    <n v="437"/>
    <n v="5.1411764705882357"/>
    <x v="0"/>
    <x v="0"/>
    <x v="0"/>
    <x v="0"/>
    <d v="2011-06-01T00:00:00"/>
    <n v="2"/>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P4"/>
    <n v="0"/>
    <m/>
    <n v="0"/>
    <s v="Myitkyina Town"/>
    <n v="4.262018365878137"/>
    <n v="1"/>
  </r>
  <r>
    <x v="0"/>
    <x v="0"/>
    <s v="MMR001"/>
    <s v="Myitkyina"/>
    <s v="MMR001D001"/>
    <x v="0"/>
    <s v="MMR001001"/>
    <s v="Myitkyina Town"/>
    <s v="MMR001001701"/>
    <s v="Lel Kone Ward"/>
    <s v="MMR001001701525"/>
    <x v="14"/>
    <x v="14"/>
    <x v="14"/>
    <n v="25.362420757575801"/>
    <n v="0"/>
    <n v="30"/>
    <n v="178"/>
    <n v="5.9333333333333336"/>
    <x v="0"/>
    <x v="0"/>
    <x v="0"/>
    <x v="0"/>
    <d v="2011-03-01T00:00:00"/>
    <n v="2"/>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P4"/>
    <n v="6"/>
    <m/>
    <n v="6"/>
    <s v="Myitkyina Town"/>
    <n v="3.3602711423118103"/>
    <n v="1"/>
  </r>
  <r>
    <x v="0"/>
    <x v="0"/>
    <s v="MMR001"/>
    <s v="Myitkyina"/>
    <s v="MMR001D001"/>
    <x v="0"/>
    <s v="MMR001001"/>
    <s v="Myitkyina Town"/>
    <s v="MMR001001701"/>
    <s v="Maliyang Ward"/>
    <m/>
    <x v="15"/>
    <x v="15"/>
    <x v="15"/>
    <n v="25.360463124999999"/>
    <n v="0"/>
    <n v="60"/>
    <n v="294"/>
    <n v="4.9000000000000004"/>
    <x v="0"/>
    <x v="0"/>
    <x v="0"/>
    <x v="0"/>
    <d v="2011-08-01T00:00:00"/>
    <n v="2"/>
    <x v="0"/>
    <s v="IP"/>
    <m/>
    <d v="2017-01-10T00:00:00"/>
    <s v="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P4"/>
    <n v="40"/>
    <m/>
    <n v="40"/>
    <s v="Waingmaw Town"/>
    <n v="3.3362307375127798"/>
    <n v="1"/>
  </r>
  <r>
    <x v="1"/>
    <x v="0"/>
    <s v="MMR001"/>
    <s v="Myitkyina"/>
    <s v="MMR001D001"/>
    <x v="0"/>
    <s v="MMR001001"/>
    <s v="Myitkyina Town"/>
    <s v="MMR001001701"/>
    <s v="Myay Myint Ward"/>
    <s v="MMR001001701517"/>
    <x v="16"/>
    <x v="16"/>
    <x v="16"/>
    <n v="25.387862999999999"/>
    <n v="0"/>
    <n v="0"/>
    <n v="0"/>
    <s v="NA"/>
    <x v="0"/>
    <x v="0"/>
    <x v="0"/>
    <x v="0"/>
    <d v="2011-10-01T00:00:00"/>
    <n v="1"/>
    <x v="1"/>
    <s v="IP"/>
    <m/>
    <d v="2015-06-25T00:00:00"/>
    <s v="25-Jun-15 Relocate to Shatapru Thida Aye Baptist Church_x000a_Population update: Source: Camp Profile Round 2."/>
    <s v="P4"/>
    <n v="0"/>
    <m/>
    <n v="0"/>
    <s v="Myitkyina Town"/>
    <n v="1.3751794210741128"/>
    <n v="1"/>
  </r>
  <r>
    <x v="0"/>
    <x v="0"/>
    <s v="MMR001"/>
    <s v="Myitkyina"/>
    <s v="MMR001D001"/>
    <x v="0"/>
    <s v="MMR001001"/>
    <s v="Myitkyina Town"/>
    <s v="MMR001001701"/>
    <s v="Jan Mai Kawng"/>
    <m/>
    <x v="17"/>
    <x v="17"/>
    <x v="17"/>
    <n v="25.403476999999999"/>
    <n v="0"/>
    <n v="198"/>
    <n v="1107"/>
    <n v="5.5909090909090908"/>
    <x v="0"/>
    <x v="0"/>
    <x v="0"/>
    <x v="0"/>
    <d v="2011-07-01T00:00:00"/>
    <n v="2"/>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P4"/>
    <n v="38"/>
    <m/>
    <n v="38"/>
    <s v="Myitkyina Town"/>
    <n v="2.4647367211404561"/>
    <n v="1"/>
  </r>
  <r>
    <x v="0"/>
    <x v="0"/>
    <s v="MMR001"/>
    <s v="Myitkyina"/>
    <s v="MMR001D001"/>
    <x v="0"/>
    <s v="MMR001001"/>
    <s v="Myitkyina Town"/>
    <s v="MMR001001701"/>
    <s v="Jan Mai Kawng"/>
    <m/>
    <x v="18"/>
    <x v="18"/>
    <x v="18"/>
    <n v="25.401061110000001"/>
    <m/>
    <n v="99"/>
    <n v="454"/>
    <n v="4.5858585858585856"/>
    <x v="0"/>
    <x v="0"/>
    <x v="0"/>
    <x v="0"/>
    <d v="2011-07-01T00:00:00"/>
    <n v="3"/>
    <x v="2"/>
    <s v="IP"/>
    <m/>
    <d v="2017-01-10T00:00:00"/>
    <s v="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P4"/>
    <n v="19"/>
    <m/>
    <n v="19"/>
    <s v="Myitkyina Town"/>
    <n v="1.8563710010113432"/>
    <n v="1"/>
  </r>
  <r>
    <x v="0"/>
    <x v="0"/>
    <s v="MMR001"/>
    <s v="Myitkyina"/>
    <s v="MMR001D001"/>
    <x v="0"/>
    <s v="MMR001001"/>
    <s v="Maw Hpawng"/>
    <s v="MMR001001007"/>
    <s v="Maw Hpawng"/>
    <n v="165698"/>
    <x v="19"/>
    <x v="19"/>
    <x v="19"/>
    <n v="25.374343974359"/>
    <n v="0"/>
    <n v="21"/>
    <n v="98"/>
    <n v="4.666666666666667"/>
    <x v="0"/>
    <x v="0"/>
    <x v="0"/>
    <x v="1"/>
    <d v="2011-10-01T00:00:00"/>
    <n v="1"/>
    <x v="1"/>
    <s v="IP"/>
    <m/>
    <d v="2017-01-10T00:00:00"/>
    <s v="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P4"/>
    <n v="0"/>
    <m/>
    <n v="0"/>
    <s v="Myitkyina Town"/>
    <n v="10.744749696609457"/>
    <n v="3"/>
  </r>
  <r>
    <x v="0"/>
    <x v="0"/>
    <s v="MMR001"/>
    <s v="Myitkyina"/>
    <s v="MMR001D001"/>
    <x v="0"/>
    <s v="MMR001001"/>
    <s v="Maw Hpawng"/>
    <s v="MMR001001007"/>
    <s v="Maw Hpawng"/>
    <n v="165698"/>
    <x v="20"/>
    <x v="20"/>
    <x v="20"/>
    <n v="25.371049444444399"/>
    <n v="476"/>
    <n v="14"/>
    <n v="71"/>
    <n v="5.0714285714285712"/>
    <x v="0"/>
    <x v="0"/>
    <x v="0"/>
    <x v="1"/>
    <d v="2011-10-01T00:00:00"/>
    <n v="1"/>
    <x v="1"/>
    <s v="IP"/>
    <m/>
    <d v="2017-01-10T00:00:00"/>
    <s v="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P4"/>
    <n v="0"/>
    <m/>
    <n v="0"/>
    <s v="Myitkyina Town"/>
    <n v="10.15228229456989"/>
    <n v="3"/>
  </r>
  <r>
    <x v="0"/>
    <x v="0"/>
    <s v="MMR001"/>
    <s v="Myitkyina"/>
    <s v="MMR001D001"/>
    <x v="0"/>
    <s v="MMR001001"/>
    <s v="Myitkyina Town"/>
    <s v="MMR001001701"/>
    <s v="Kachin Su Ward"/>
    <s v="MMR001001701509"/>
    <x v="21"/>
    <x v="21"/>
    <x v="21"/>
    <n v="25.377038166666701"/>
    <n v="0"/>
    <n v="7"/>
    <n v="37"/>
    <n v="5.2857142857142856"/>
    <x v="0"/>
    <x v="0"/>
    <x v="0"/>
    <x v="0"/>
    <d v="2012-04-01T00:00:00"/>
    <n v="1"/>
    <x v="1"/>
    <s v="IP"/>
    <m/>
    <d v="2017-01-10T00:00:00"/>
    <s v="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25-Jun-15 Population update. Source : Shalom._x000a_Population update: Source: Camp Profile Round 2."/>
    <s v="P4"/>
    <n v="0"/>
    <m/>
    <n v="0"/>
    <s v="Myitkyina Town"/>
    <n v="1.7877148351104664"/>
    <n v="1"/>
  </r>
  <r>
    <x v="0"/>
    <x v="0"/>
    <s v="MMR001"/>
    <s v="Myitkyina"/>
    <s v="MMR001D001"/>
    <x v="0"/>
    <s v="MMR001001"/>
    <s v="Myitkyina Town"/>
    <s v="MMR001001701"/>
    <s v="Tat Kone Ward"/>
    <s v="MMR001001701520"/>
    <x v="22"/>
    <x v="22"/>
    <x v="22"/>
    <s v="25°25'23.80"/>
    <n v="0"/>
    <n v="54"/>
    <n v="259"/>
    <n v="4.7962962962962967"/>
    <x v="0"/>
    <x v="0"/>
    <x v="0"/>
    <x v="0"/>
    <d v="2012-04-01T00:00:00"/>
    <n v="1"/>
    <x v="1"/>
    <s v="IP"/>
    <m/>
    <d v="2017-01-10T00:00:00"/>
    <s v="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P4"/>
    <n v="0"/>
    <m/>
    <n v="0"/>
    <s v="Myitkyina Town"/>
    <n v="2.6190942927115026"/>
    <n v="1"/>
  </r>
  <r>
    <x v="0"/>
    <x v="0"/>
    <s v="MMR001"/>
    <s v="Myitkyina"/>
    <s v="MMR001D001"/>
    <x v="0"/>
    <s v="MMR001001"/>
    <s v="Nam Koi"/>
    <s v="MMR001001005"/>
    <s v="Nam Koi"/>
    <n v="165695"/>
    <x v="23"/>
    <x v="23"/>
    <x v="23"/>
    <n v="25.410569299999999"/>
    <m/>
    <n v="68"/>
    <n v="333"/>
    <n v="4.8970588235294121"/>
    <x v="0"/>
    <x v="0"/>
    <x v="0"/>
    <x v="0"/>
    <d v="2012-01-01T00:00:00"/>
    <m/>
    <x v="2"/>
    <s v="IP"/>
    <m/>
    <d v="2017-01-10T00:00:00"/>
    <s v="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P4"/>
    <n v="1"/>
    <m/>
    <n v="1"/>
    <s v="Myitkyina Town"/>
    <n v="4.037940696665812"/>
    <n v="1"/>
  </r>
  <r>
    <x v="0"/>
    <x v="0"/>
    <s v="MMR001"/>
    <s v="Myitkyina"/>
    <s v="MMR001D001"/>
    <x v="1"/>
    <s v="MMR001002"/>
    <s v="Waingmaw Town"/>
    <s v="MMR001002701"/>
    <s v="No (2) Ward"/>
    <s v="MMR001002701502"/>
    <x v="24"/>
    <x v="24"/>
    <x v="24"/>
    <n v="25.351724999999998"/>
    <n v="0"/>
    <n v="31"/>
    <n v="170"/>
    <n v="5.4838709677419351"/>
    <x v="0"/>
    <x v="0"/>
    <x v="0"/>
    <x v="0"/>
    <d v="2011-06-01T00:00:00"/>
    <n v="2"/>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P4"/>
    <n v="0"/>
    <m/>
    <n v="0"/>
    <s v="Waingmaw Town"/>
    <n v="0.4474205416025816"/>
    <n v="1"/>
  </r>
  <r>
    <x v="0"/>
    <x v="0"/>
    <s v="MMR001"/>
    <s v="Myitkyina"/>
    <s v="MMR001D001"/>
    <x v="1"/>
    <s v="MMR001002"/>
    <s v="Waingmaw Town"/>
    <s v="MMR001002701"/>
    <s v="No (4) Ward"/>
    <s v="MMR001002701504"/>
    <x v="25"/>
    <x v="25"/>
    <x v="25"/>
    <n v="25.350809000000002"/>
    <n v="0"/>
    <n v="87"/>
    <n v="479"/>
    <n v="5.5057471264367814"/>
    <x v="0"/>
    <x v="0"/>
    <x v="0"/>
    <x v="0"/>
    <d v="2012-02-01T00:00:00"/>
    <n v="1"/>
    <x v="1"/>
    <s v="IP"/>
    <m/>
    <d v="2017-01-10T00:00:00"/>
    <s v="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1.0367202051285227"/>
    <n v="1"/>
  </r>
  <r>
    <x v="0"/>
    <x v="0"/>
    <s v="MMR001"/>
    <s v="Myitkyina"/>
    <s v="MMR001D001"/>
    <x v="1"/>
    <s v="MMR001002"/>
    <s v="Mading"/>
    <s v="MMR001002001"/>
    <s v="Mading/Hka Kun"/>
    <n v="165730"/>
    <x v="26"/>
    <x v="26"/>
    <x v="26"/>
    <n v="25.356632000000001"/>
    <n v="0"/>
    <n v="30"/>
    <n v="113"/>
    <n v="3.7666666666666666"/>
    <x v="0"/>
    <x v="0"/>
    <x v="0"/>
    <x v="0"/>
    <d v="2012-05-01T00:00:00"/>
    <n v="1"/>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P4"/>
    <n v="5"/>
    <m/>
    <n v="5"/>
    <s v="Waingmaw Town"/>
    <n v="1.1134935940025397"/>
    <n v="1"/>
  </r>
  <r>
    <x v="0"/>
    <x v="0"/>
    <s v="MMR001"/>
    <s v="Myitkyina"/>
    <s v="MMR001D001"/>
    <x v="1"/>
    <s v="MMR001002"/>
    <s v="Hkat Shu"/>
    <s v="MMR001002003"/>
    <s v="Hkat Shu"/>
    <n v="165735"/>
    <x v="27"/>
    <x v="27"/>
    <x v="27"/>
    <n v="25.321710740740698"/>
    <n v="0"/>
    <n v="99"/>
    <n v="472"/>
    <n v="4.7676767676767673"/>
    <x v="0"/>
    <x v="0"/>
    <x v="0"/>
    <x v="1"/>
    <d v="2011-06-01T00:00:00"/>
    <n v="2"/>
    <x v="1"/>
    <s v="IP"/>
    <m/>
    <d v="2017-01-10T00:00:00"/>
    <s v="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5.0655036329811631"/>
    <n v="2"/>
  </r>
  <r>
    <x v="0"/>
    <x v="0"/>
    <s v="MMR001"/>
    <s v="Myitkyina"/>
    <s v="MMR001D001"/>
    <x v="1"/>
    <s v="MMR001002"/>
    <s v="Mai Na"/>
    <s v="MMR001002006"/>
    <s v="Mai Na"/>
    <n v="165740"/>
    <x v="28"/>
    <x v="28"/>
    <x v="28"/>
    <n v="25.415667500000001"/>
    <m/>
    <n v="223"/>
    <n v="1228"/>
    <n v="5.506726457399103"/>
    <x v="0"/>
    <x v="0"/>
    <x v="0"/>
    <x v="0"/>
    <d v="2013-06-01T00:00:00"/>
    <n v="4"/>
    <x v="2"/>
    <s v="IP"/>
    <m/>
    <d v="2017-01-10T00:00:00"/>
    <s v="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P4"/>
    <n v="13"/>
    <m/>
    <n v="13"/>
    <s v="Myitkyina Town"/>
    <n v="5.7019834469756479"/>
    <n v="2"/>
  </r>
  <r>
    <x v="0"/>
    <x v="0"/>
    <s v="MMR001"/>
    <s v="Myitkyina"/>
    <s v="MMR001D001"/>
    <x v="1"/>
    <s v="MMR001002"/>
    <s v="Waingmaw Town"/>
    <s v="MMR001002701"/>
    <s v="No (3) Ward"/>
    <s v="MMR001002701503"/>
    <x v="29"/>
    <x v="29"/>
    <x v="29"/>
    <n v="25.345918166666699"/>
    <m/>
    <n v="31"/>
    <n v="172"/>
    <n v="5.5483870967741939"/>
    <x v="0"/>
    <x v="0"/>
    <x v="0"/>
    <x v="0"/>
    <d v="2011-06-01T00:00:00"/>
    <n v="1"/>
    <x v="1"/>
    <s v="IP"/>
    <m/>
    <d v="2017-01-10T00:00:00"/>
    <s v="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P4"/>
    <n v="0"/>
    <m/>
    <n v="0"/>
    <s v="Waingmaw Town"/>
    <n v="0.77827912736780092"/>
    <n v="1"/>
  </r>
  <r>
    <x v="0"/>
    <x v="0"/>
    <s v="MMR001"/>
    <s v="Myitkyina"/>
    <s v="MMR001D001"/>
    <x v="1"/>
    <s v="MMR001002"/>
    <s v="Mai Na"/>
    <s v="MMR001002006"/>
    <s v="Mai Na"/>
    <n v="165740"/>
    <x v="30"/>
    <x v="30"/>
    <x v="30"/>
    <n v="25.424529444444399"/>
    <n v="0"/>
    <n v="149"/>
    <n v="841"/>
    <n v="5.6442953020134228"/>
    <x v="0"/>
    <x v="0"/>
    <x v="0"/>
    <x v="1"/>
    <d v="2013-07-01T00:00:00"/>
    <n v="1"/>
    <x v="1"/>
    <s v="IP"/>
    <m/>
    <d v="2017-01-10T00:00:00"/>
    <s v="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P4"/>
    <n v="42"/>
    <m/>
    <n v="42"/>
    <s v="Myitkyina Town"/>
    <n v="5.9727739497559158"/>
    <n v="2"/>
  </r>
  <r>
    <x v="0"/>
    <x v="0"/>
    <s v="MMR001"/>
    <s v="Myitkyina"/>
    <s v="MMR001D001"/>
    <x v="1"/>
    <s v="MMR001002"/>
    <s v="Waingmaw Town"/>
    <s v="MMR001002701"/>
    <s v="No (2) Ward"/>
    <s v="MMR001002701502"/>
    <x v="31"/>
    <x v="31"/>
    <x v="31"/>
    <n v="25.3540362037037"/>
    <n v="0"/>
    <n v="91"/>
    <n v="329"/>
    <n v="3.6153846153846154"/>
    <x v="0"/>
    <x v="0"/>
    <x v="0"/>
    <x v="0"/>
    <d v="2011-07-01T00:00:00"/>
    <n v="2"/>
    <x v="1"/>
    <s v="IP"/>
    <m/>
    <d v="2017-01-10T00:00:00"/>
    <s v="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P4"/>
    <n v="0"/>
    <m/>
    <n v="0"/>
    <s v="Waingmaw Town"/>
    <n v="0.37684287609457234"/>
    <n v="1"/>
  </r>
  <r>
    <x v="0"/>
    <x v="0"/>
    <s v="MMR001"/>
    <s v="Myitkyina"/>
    <s v="MMR001D001"/>
    <x v="1"/>
    <s v="MMR001002"/>
    <s v="Ma Hkan Tee"/>
    <s v="MMR001002009"/>
    <s v="Nawng Hee"/>
    <n v="165745"/>
    <x v="32"/>
    <x v="32"/>
    <x v="32"/>
    <n v="25.351965"/>
    <m/>
    <n v="18"/>
    <n v="82"/>
    <n v="4.5555555555555554"/>
    <x v="0"/>
    <x v="0"/>
    <x v="0"/>
    <x v="1"/>
    <d v="2012-05-01T00:00:00"/>
    <n v="1"/>
    <x v="1"/>
    <s v="IP"/>
    <m/>
    <d v="2017-01-10T00:00:00"/>
    <s v="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P4"/>
    <n v="0"/>
    <m/>
    <n v="0"/>
    <s v="Myitkyina Town"/>
    <n v="6.0275881703713861"/>
    <n v="2"/>
  </r>
  <r>
    <x v="1"/>
    <x v="0"/>
    <s v="MMR001"/>
    <s v="Myitkyina"/>
    <s v="MMR001D001"/>
    <x v="1"/>
    <s v="MMR001002"/>
    <s v="Nawng Si Paw"/>
    <s v="MMR001002013"/>
    <s v="Nawng Si Paw"/>
    <n v="165750"/>
    <x v="33"/>
    <x v="33"/>
    <x v="33"/>
    <m/>
    <m/>
    <n v="0"/>
    <n v="0"/>
    <s v="NA"/>
    <x v="0"/>
    <x v="0"/>
    <x v="0"/>
    <x v="2"/>
    <m/>
    <m/>
    <x v="3"/>
    <m/>
    <m/>
    <m/>
    <s v=" "/>
    <s v=""/>
    <n v="0"/>
    <m/>
    <n v="0"/>
    <s v=""/>
    <s v=""/>
    <s v=""/>
  </r>
  <r>
    <x v="1"/>
    <x v="0"/>
    <s v="MMR001"/>
    <s v="Myitkyina"/>
    <s v="MMR001D001"/>
    <x v="1"/>
    <s v="MMR001002"/>
    <s v="Hkat Shu"/>
    <s v="MMR001002003"/>
    <s v="Hkat Shu"/>
    <n v="165735"/>
    <x v="34"/>
    <x v="34"/>
    <x v="34"/>
    <n v="25.328987000000001"/>
    <m/>
    <n v="0"/>
    <n v="0"/>
    <s v="NA"/>
    <x v="0"/>
    <x v="0"/>
    <x v="0"/>
    <x v="2"/>
    <m/>
    <m/>
    <x v="3"/>
    <m/>
    <m/>
    <m/>
    <s v=" "/>
    <s v=""/>
    <n v="0"/>
    <m/>
    <n v="0"/>
    <s v=""/>
    <s v=""/>
    <s v=""/>
  </r>
  <r>
    <x v="1"/>
    <x v="0"/>
    <s v="MMR001"/>
    <s v="Myitkyina"/>
    <s v="MMR001D001"/>
    <x v="1"/>
    <s v="MMR001002"/>
    <s v="Waingmaw Town"/>
    <s v="MMR001002701"/>
    <s v="No (2) Ward"/>
    <s v="MMR001002701502"/>
    <x v="35"/>
    <x v="35"/>
    <x v="35"/>
    <n v="25.355841999999999"/>
    <n v="0"/>
    <m/>
    <m/>
    <s v="NA"/>
    <x v="0"/>
    <x v="0"/>
    <x v="1"/>
    <x v="0"/>
    <d v="2011-11-01T00:00:00"/>
    <n v="1"/>
    <x v="0"/>
    <s v="IP"/>
    <m/>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P4"/>
    <n v="0"/>
    <m/>
    <n v="0"/>
    <s v="Waingmaw Town"/>
    <n v="0.70725493400809891"/>
    <n v="1"/>
  </r>
  <r>
    <x v="0"/>
    <x v="0"/>
    <s v="MMR001"/>
    <s v="Myitkyina"/>
    <s v="MMR001D001"/>
    <x v="1"/>
    <s v="MMR001002"/>
    <s v="Waingmaw Town"/>
    <s v="MMR001002701"/>
    <s v="No (4) Ward"/>
    <s v="MMR001002701504"/>
    <x v="36"/>
    <x v="36"/>
    <x v="36"/>
    <n v="25.333683333333301"/>
    <m/>
    <n v="44"/>
    <n v="182"/>
    <n v="4.1363636363636367"/>
    <x v="0"/>
    <x v="0"/>
    <x v="0"/>
    <x v="0"/>
    <d v="2011-11-01T00:00:00"/>
    <n v="1"/>
    <x v="1"/>
    <s v="IP"/>
    <m/>
    <d v="2017-01-10T00:00:00"/>
    <s v="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2.4174307716662291"/>
    <n v="1"/>
  </r>
  <r>
    <x v="0"/>
    <x v="0"/>
    <s v="MMR001"/>
    <s v="Myitkyina"/>
    <s v="MMR001D001"/>
    <x v="1"/>
    <s v="MMR001002"/>
    <s v="Waingmaw Town"/>
    <s v="MMR001002701"/>
    <s v="No (3) Ward"/>
    <s v="MMR001002701503"/>
    <x v="37"/>
    <x v="37"/>
    <x v="37"/>
    <n v="25.351250396825399"/>
    <n v="476"/>
    <n v="70"/>
    <n v="288"/>
    <n v="4.1142857142857139"/>
    <x v="0"/>
    <x v="0"/>
    <x v="0"/>
    <x v="0"/>
    <d v="2011-11-01T00:00:00"/>
    <n v="1"/>
    <x v="1"/>
    <s v="IP"/>
    <m/>
    <d v="2017-01-10T00:00:00"/>
    <s v="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15"/>
    <m/>
    <n v="15"/>
    <s v="Waingmaw Town"/>
    <n v="0.15089472113650237"/>
    <n v="1"/>
  </r>
  <r>
    <x v="0"/>
    <x v="0"/>
    <s v="MMR001"/>
    <s v="Myitkyina"/>
    <s v="MMR001D001"/>
    <x v="1"/>
    <s v="MMR001002"/>
    <s v="Mai Na"/>
    <s v="MMR001002006"/>
    <s v="Mai Na"/>
    <n v="165740"/>
    <x v="38"/>
    <x v="38"/>
    <x v="38"/>
    <n v="25.409612685185198"/>
    <n v="0"/>
    <n v="38"/>
    <n v="148"/>
    <n v="3.8947368421052633"/>
    <x v="0"/>
    <x v="0"/>
    <x v="0"/>
    <x v="0"/>
    <d v="2011-12-01T00:00:00"/>
    <n v="1"/>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P4"/>
    <n v="0"/>
    <m/>
    <n v="0"/>
    <s v="Myitkyina Town"/>
    <n v="4.3887485673235673"/>
    <n v="1"/>
  </r>
  <r>
    <x v="0"/>
    <x v="0"/>
    <s v="MMR001"/>
    <s v="Myitkyina"/>
    <s v="MMR001D001"/>
    <x v="1"/>
    <s v="MMR001002"/>
    <s v="Mai Na"/>
    <s v="MMR001002006"/>
    <s v="Mai Na"/>
    <n v="165740"/>
    <x v="39"/>
    <x v="39"/>
    <x v="39"/>
    <n v="25.4118005797101"/>
    <n v="0"/>
    <n v="410"/>
    <n v="2135"/>
    <n v="5.2073170731707314"/>
    <x v="0"/>
    <x v="0"/>
    <x v="0"/>
    <x v="1"/>
    <d v="2012-06-01T00:00:00"/>
    <n v="3"/>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P4"/>
    <n v="0"/>
    <m/>
    <n v="0"/>
    <s v="Myitkyina Town"/>
    <n v="5.2238983299151851"/>
    <n v="2"/>
  </r>
  <r>
    <x v="0"/>
    <x v="0"/>
    <s v="MMR001"/>
    <s v="Myitkyina"/>
    <s v="MMR001D001"/>
    <x v="1"/>
    <s v="MMR001002"/>
    <s v="Waw Shung (Kan Paik Ti Sub-township)"/>
    <s v="MMR001002035"/>
    <s v="Shan Kyaing"/>
    <n v="165845"/>
    <x v="40"/>
    <x v="40"/>
    <x v="40"/>
    <n v="25.418084"/>
    <m/>
    <n v="179"/>
    <n v="947"/>
    <n v="5.2905027932960893"/>
    <x v="0"/>
    <x v="0"/>
    <x v="0"/>
    <x v="1"/>
    <d v="2011-11-01T00:00:00"/>
    <n v="2"/>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P1"/>
    <n v="0"/>
    <m/>
    <n v="0"/>
    <s v="Kan Paik Ti Town"/>
    <n v="9.3609732231189877"/>
    <n v="2"/>
  </r>
  <r>
    <x v="0"/>
    <x v="0"/>
    <s v="MMR001"/>
    <s v="Myitkyina"/>
    <s v="MMR001D001"/>
    <x v="2"/>
    <s v="MMR001005"/>
    <s v="Chipwi Town"/>
    <s v="MMR001005701"/>
    <s v="Ba Leit Dan Ward"/>
    <s v="MMR001005701503"/>
    <x v="41"/>
    <x v="41"/>
    <x v="41"/>
    <n v="25.889410000000002"/>
    <n v="304"/>
    <n v="110"/>
    <n v="516"/>
    <n v="4.6909090909090905"/>
    <x v="0"/>
    <x v="0"/>
    <x v="0"/>
    <x v="0"/>
    <d v="2012-12-01T00:00:00"/>
    <n v="1"/>
    <x v="1"/>
    <s v="IP"/>
    <m/>
    <d v="2017-01-10T00:00:00"/>
    <s v="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P1"/>
    <n v="3"/>
    <m/>
    <n v="3"/>
    <s v="Chipwi Town"/>
    <n v="0.15809623370782155"/>
    <n v="1"/>
  </r>
  <r>
    <x v="0"/>
    <x v="0"/>
    <s v="MMR001"/>
    <s v="Myitkyina"/>
    <s v="MMR001D001"/>
    <x v="2"/>
    <s v="MMR001005"/>
    <s v="Hpa Re (Pang War Sub-township)"/>
    <s v="MMR001005026"/>
    <s v="Hpa Re Waw Jang"/>
    <n v="166355"/>
    <x v="42"/>
    <x v="42"/>
    <x v="42"/>
    <n v="25.754110000000001"/>
    <n v="2785"/>
    <n v="156"/>
    <n v="1022"/>
    <n v="6.5512820512820511"/>
    <x v="1"/>
    <x v="0"/>
    <x v="0"/>
    <x v="3"/>
    <d v="2012-05-01T00:00:00"/>
    <n v="2"/>
    <x v="0"/>
    <s v="IP"/>
    <m/>
    <d v="2017-01-10T00:00:00"/>
    <s v="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1"/>
    <n v="156"/>
    <m/>
    <n v="156"/>
    <s v="Pang War Town"/>
    <n v="19.834999342466848"/>
    <n v="4"/>
  </r>
  <r>
    <x v="1"/>
    <x v="0"/>
    <s v="MMR001"/>
    <s v="Myitkyina"/>
    <s v="MMR001D001"/>
    <x v="2"/>
    <s v="MMR001005"/>
    <m/>
    <m/>
    <m/>
    <m/>
    <x v="43"/>
    <x v="43"/>
    <x v="33"/>
    <m/>
    <m/>
    <n v="0"/>
    <n v="0"/>
    <s v="NA"/>
    <x v="0"/>
    <x v="0"/>
    <x v="0"/>
    <x v="2"/>
    <m/>
    <m/>
    <x v="3"/>
    <m/>
    <m/>
    <m/>
    <s v=" "/>
    <s v=""/>
    <n v="0"/>
    <m/>
    <n v="0"/>
    <s v=""/>
    <s v=""/>
    <s v=""/>
  </r>
  <r>
    <x v="0"/>
    <x v="0"/>
    <s v="MMR001"/>
    <s v="Myitkyina"/>
    <s v="MMR001D001"/>
    <x v="2"/>
    <s v="MMR001005"/>
    <s v="Lang Jaw (Pang War Sub-township)"/>
    <s v="MMR001005022"/>
    <s v="Lang Jaw"/>
    <n v="166337"/>
    <x v="44"/>
    <x v="44"/>
    <x v="43"/>
    <n v="25.708763000000001"/>
    <m/>
    <m/>
    <m/>
    <s v="NA"/>
    <x v="0"/>
    <x v="0"/>
    <x v="2"/>
    <x v="1"/>
    <m/>
    <m/>
    <x v="3"/>
    <s v="IP"/>
    <m/>
    <m/>
    <m/>
    <s v="P1"/>
    <n v="0"/>
    <m/>
    <n v="0"/>
    <s v="Pang War Town"/>
    <n v="12.486065224161463"/>
    <n v="3"/>
  </r>
  <r>
    <x v="1"/>
    <x v="0"/>
    <s v="MMR001"/>
    <s v="Myitkyina"/>
    <s v="MMR001D001"/>
    <x v="2"/>
    <s v="MMR001005"/>
    <m/>
    <m/>
    <m/>
    <m/>
    <x v="45"/>
    <x v="45"/>
    <x v="33"/>
    <m/>
    <m/>
    <m/>
    <m/>
    <s v="NA"/>
    <x v="0"/>
    <x v="0"/>
    <x v="0"/>
    <x v="1"/>
    <m/>
    <m/>
    <x v="2"/>
    <s v="IP"/>
    <m/>
    <d v="2015-04-02T00:00:00"/>
    <s v="2-Apr-15 (Closed. Source: GAD)_x000a_Responsible Agency update. KMSS-BMO to KMSS-MYT."/>
    <s v="P1"/>
    <n v="0"/>
    <m/>
    <n v="0"/>
    <s v=""/>
    <s v=""/>
    <s v=""/>
  </r>
  <r>
    <x v="0"/>
    <x v="0"/>
    <s v="MMR001"/>
    <s v="Bhamo"/>
    <s v="MMR001D003"/>
    <x v="3"/>
    <s v="MMR001010"/>
    <s v="Bhamo Town"/>
    <s v="MMR001010701"/>
    <s v="Nyaung Pin Ward"/>
    <s v="MMR001010701508"/>
    <x v="46"/>
    <x v="46"/>
    <x v="44"/>
    <n v="24.268292826086999"/>
    <m/>
    <n v="626"/>
    <n v="3828"/>
    <n v="6.1150159744408947"/>
    <x v="0"/>
    <x v="0"/>
    <x v="0"/>
    <x v="0"/>
    <d v="2011-07-01T00:00:00"/>
    <n v="3"/>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P4"/>
    <n v="201"/>
    <m/>
    <n v="201"/>
    <s v="Bhamo Town"/>
    <n v="1.5797992800898704"/>
    <n v="1"/>
  </r>
  <r>
    <x v="1"/>
    <x v="0"/>
    <s v="MMR001"/>
    <s v="Bhamo"/>
    <s v="MMR001D003"/>
    <x v="3"/>
    <s v="MMR001010"/>
    <m/>
    <m/>
    <m/>
    <m/>
    <x v="47"/>
    <x v="47"/>
    <x v="45"/>
    <n v="24.262418020999998"/>
    <m/>
    <n v="0"/>
    <n v="0"/>
    <s v="NA"/>
    <x v="0"/>
    <x v="0"/>
    <x v="0"/>
    <x v="2"/>
    <m/>
    <m/>
    <x v="3"/>
    <s v="IP"/>
    <m/>
    <d v="2014-01-22T00:00:00"/>
    <s v="Closed: Source UNHCR-Bhamo"/>
    <s v=""/>
    <n v="0"/>
    <m/>
    <n v="0"/>
    <s v=""/>
    <s v=""/>
    <s v=""/>
  </r>
  <r>
    <x v="0"/>
    <x v="0"/>
    <s v="MMR001"/>
    <s v="Bhamo"/>
    <s v="MMR001D003"/>
    <x v="3"/>
    <s v="MMR001010"/>
    <s v="Moe Hping"/>
    <s v="MMR001010009"/>
    <s v="Moe Hping"/>
    <n v="166836"/>
    <x v="48"/>
    <x v="48"/>
    <x v="46"/>
    <n v="24.2631743589744"/>
    <n v="0"/>
    <n v="116"/>
    <n v="659"/>
    <n v="5.681034482758621"/>
    <x v="0"/>
    <x v="0"/>
    <x v="0"/>
    <x v="0"/>
    <d v="2011-06-01T00:00:00"/>
    <n v="2"/>
    <x v="1"/>
    <s v="IP"/>
    <m/>
    <d v="2017-01-10T00:00:00"/>
    <s v="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P4"/>
    <n v="14"/>
    <m/>
    <n v="14"/>
    <s v="Bhamo Town"/>
    <n v="1.0876401420946245"/>
    <n v="1"/>
  </r>
  <r>
    <x v="0"/>
    <x v="0"/>
    <s v="MMR001"/>
    <s v="Bhamo"/>
    <s v="MMR001D003"/>
    <x v="3"/>
    <s v="MMR001010"/>
    <s v="Moe Hping"/>
    <s v="MMR001010009"/>
    <s v="Moe Hping"/>
    <n v="166836"/>
    <x v="49"/>
    <x v="49"/>
    <x v="47"/>
    <n v="24.260719999999999"/>
    <m/>
    <n v="260"/>
    <n v="1263"/>
    <n v="4.8576923076923073"/>
    <x v="0"/>
    <x v="0"/>
    <x v="0"/>
    <x v="0"/>
    <d v="2011-11-01T00:00:00"/>
    <n v="2"/>
    <x v="4"/>
    <s v="IP"/>
    <m/>
    <d v="2017-01-10T00:00:00"/>
    <s v="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P4"/>
    <n v="90"/>
    <n v="20"/>
    <n v="20"/>
    <s v="Bhamo Town"/>
    <n v="0.78440046838596356"/>
    <n v="1"/>
  </r>
  <r>
    <x v="0"/>
    <x v="0"/>
    <s v="MMR001"/>
    <s v="Bhamo"/>
    <s v="MMR001D003"/>
    <x v="3"/>
    <s v="MMR001010"/>
    <s v="Bhamo Town"/>
    <s v="MMR001010701"/>
    <s v="Pauk Kone Ward"/>
    <s v="MMR001010701506"/>
    <x v="50"/>
    <x v="50"/>
    <x v="48"/>
    <n v="24.253067000000001"/>
    <n v="0"/>
    <n v="14"/>
    <n v="61"/>
    <n v="4.3571428571428568"/>
    <x v="0"/>
    <x v="0"/>
    <x v="0"/>
    <x v="0"/>
    <d v="2012-10-01T00:00:00"/>
    <n v="1"/>
    <x v="1"/>
    <s v="IP"/>
    <m/>
    <d v="2017-01-10T00:00:00"/>
    <s v="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P4"/>
    <n v="0"/>
    <m/>
    <n v="0"/>
    <s v="Bhamo Town"/>
    <n v="0.20824727902294948"/>
    <n v="1"/>
  </r>
  <r>
    <x v="0"/>
    <x v="0"/>
    <s v="MMR001"/>
    <s v="Bhamo"/>
    <s v="MMR001D003"/>
    <x v="3"/>
    <s v="MMR001010"/>
    <s v="Bhamo Town"/>
    <s v="MMR001010701"/>
    <s v="Pauk Kone Ward"/>
    <s v="MMR001010701506"/>
    <x v="51"/>
    <x v="51"/>
    <x v="49"/>
    <n v="24.24766"/>
    <n v="0"/>
    <n v="38"/>
    <n v="231"/>
    <n v="6.0789473684210522"/>
    <x v="0"/>
    <x v="0"/>
    <x v="0"/>
    <x v="0"/>
    <d v="2011-12-01T00:00:00"/>
    <n v="1"/>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4"/>
    <n v="0"/>
    <m/>
    <n v="0"/>
    <s v="Bhamo Town"/>
    <n v="0.84749304721635399"/>
    <n v="1"/>
  </r>
  <r>
    <x v="0"/>
    <x v="0"/>
    <s v="MMR001"/>
    <s v="Bhamo"/>
    <s v="MMR001D003"/>
    <x v="3"/>
    <s v="MMR001010"/>
    <s v="Han Te"/>
    <s v="MMR001010024"/>
    <s v="Han Te"/>
    <n v="166851"/>
    <x v="52"/>
    <x v="52"/>
    <x v="50"/>
    <n v="24.24953"/>
    <n v="0"/>
    <n v="15"/>
    <n v="75"/>
    <n v="5"/>
    <x v="0"/>
    <x v="0"/>
    <x v="0"/>
    <x v="0"/>
    <d v="2012-08-01T00:00:00"/>
    <n v="1"/>
    <x v="1"/>
    <s v="IP"/>
    <m/>
    <d v="2017-01-10T00:00:00"/>
    <s v="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P4"/>
    <n v="0"/>
    <n v="0"/>
    <n v="0"/>
    <s v="Bhamo Town"/>
    <n v="0.87147615879849294"/>
    <n v="1"/>
  </r>
  <r>
    <x v="0"/>
    <x v="0"/>
    <s v="MMR001"/>
    <s v="Bhamo"/>
    <s v="MMR001D003"/>
    <x v="3"/>
    <s v="MMR001010"/>
    <s v="Nam Hlaing"/>
    <s v="MMR001010015"/>
    <s v="Nam Hlaing"/>
    <n v="166844"/>
    <x v="53"/>
    <x v="53"/>
    <x v="51"/>
    <n v="24.32638"/>
    <m/>
    <n v="21"/>
    <n v="111"/>
    <n v="5.2857142857142856"/>
    <x v="0"/>
    <x v="0"/>
    <x v="0"/>
    <x v="0"/>
    <d v="2011-11-01T00:00:00"/>
    <n v="2"/>
    <x v="4"/>
    <s v="IP"/>
    <m/>
    <d v="2017-01-10T00:00:00"/>
    <s v="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P4"/>
    <n v="11"/>
    <m/>
    <n v="11"/>
    <s v="Momauk Town"/>
    <n v="8.3788619521763046"/>
    <n v="2"/>
  </r>
  <r>
    <x v="0"/>
    <x v="0"/>
    <s v="MMR001"/>
    <s v="Bhamo"/>
    <s v="MMR001D003"/>
    <x v="3"/>
    <s v="MMR001010"/>
    <s v="Bhamo Town"/>
    <s v="MMR001010701"/>
    <s v="Shwe Kyee Nar Ward"/>
    <s v="MMR001010701513"/>
    <x v="54"/>
    <x v="54"/>
    <x v="52"/>
    <n v="24.29138"/>
    <n v="0"/>
    <n v="21"/>
    <n v="95"/>
    <n v="4.5238095238095237"/>
    <x v="0"/>
    <x v="0"/>
    <x v="0"/>
    <x v="0"/>
    <d v="2012-05-01T00:00:00"/>
    <n v="2"/>
    <x v="1"/>
    <s v="IP"/>
    <m/>
    <d v="2017-01-10T00:00:00"/>
    <s v="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P4"/>
    <n v="0"/>
    <n v="0"/>
    <n v="0"/>
    <s v="Bhamo Town"/>
    <n v="4.108228790802368"/>
    <n v="1"/>
  </r>
  <r>
    <x v="0"/>
    <x v="0"/>
    <s v="MMR001"/>
    <s v="Bhamo"/>
    <s v="MMR001D003"/>
    <x v="4"/>
    <s v="MMR001012"/>
    <s v="Momauk Town"/>
    <s v="MMR001012701"/>
    <s v="Ah Lin Kawng Ward"/>
    <s v="MMR001012701502"/>
    <x v="55"/>
    <x v="55"/>
    <x v="53"/>
    <n v="24.250689999999999"/>
    <n v="0"/>
    <n v="226"/>
    <n v="1830"/>
    <n v="8.0973451327433636"/>
    <x v="0"/>
    <x v="0"/>
    <x v="0"/>
    <x v="0"/>
    <d v="2011-06-01T00:00:00"/>
    <n v="3"/>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4"/>
    <n v="0"/>
    <m/>
    <n v="0"/>
    <s v="Momauk Town"/>
    <n v="0.62513510418653162"/>
    <n v="1"/>
  </r>
  <r>
    <x v="1"/>
    <x v="0"/>
    <s v="MMR001"/>
    <s v="Bhamo"/>
    <s v="MMR001D003"/>
    <x v="4"/>
    <s v="MMR001012"/>
    <s v="Momauk Town"/>
    <s v="MMR001012701"/>
    <s v="Kyay Nan Waing Ward"/>
    <s v="MMR001012701503"/>
    <x v="56"/>
    <x v="56"/>
    <x v="54"/>
    <n v="24.25177"/>
    <n v="0"/>
    <m/>
    <m/>
    <s v="NA"/>
    <x v="0"/>
    <x v="0"/>
    <x v="0"/>
    <x v="0"/>
    <d v="2011-08-01T00:00:00"/>
    <n v="2"/>
    <x v="4"/>
    <s v="IP"/>
    <m/>
    <d v="2014-11-28T00:00:00"/>
    <s v="Closed. Population relocated to Man Bung Catholic Compound (MMR001CMP062)"/>
    <s v="P4"/>
    <n v="0"/>
    <m/>
    <n v="0"/>
    <s v=""/>
    <s v=""/>
    <s v=""/>
  </r>
  <r>
    <x v="1"/>
    <x v="0"/>
    <s v="MMR001"/>
    <s v="Bhamo"/>
    <s v="MMR001D003"/>
    <x v="4"/>
    <s v="MMR001012"/>
    <s v="Momauk Town"/>
    <s v="MMR001012701"/>
    <s v="Ah Lin Kawng Ward"/>
    <s v="MMR001012701502"/>
    <x v="57"/>
    <x v="57"/>
    <x v="55"/>
    <n v="24.251860000000001"/>
    <n v="0"/>
    <m/>
    <m/>
    <s v="NA"/>
    <x v="0"/>
    <x v="0"/>
    <x v="0"/>
    <x v="0"/>
    <d v="2011-10-01T00:00:00"/>
    <m/>
    <x v="3"/>
    <s v="IP"/>
    <m/>
    <d v="2015-11-09T00:00:00"/>
    <s v="9/Nov/2015. updated camp status (Closed). Data Source; Lu Lu Awng by mail._x000a_19-Aug-15 Population update. Source: Shalom_x000a_25-Jun-15 (Population update. Source : Shalom)_x000a_Checked with Shalom data, IDPs figure do not change"/>
    <s v="P4"/>
    <n v="0"/>
    <m/>
    <n v="0"/>
    <m/>
    <m/>
    <m/>
  </r>
  <r>
    <x v="1"/>
    <x v="0"/>
    <s v="MMR001"/>
    <s v="Bhamo"/>
    <s v="MMR001D003"/>
    <x v="4"/>
    <s v="MMR001012"/>
    <s v="Momauk Town"/>
    <s v="MMR001012701"/>
    <s v="Ah Lin Kawng Ward"/>
    <s v="MMR001012701502"/>
    <x v="58"/>
    <x v="58"/>
    <x v="56"/>
    <n v="24.253769999999999"/>
    <n v="0"/>
    <m/>
    <m/>
    <s v="NA"/>
    <x v="0"/>
    <x v="0"/>
    <x v="0"/>
    <x v="0"/>
    <d v="2011-10-01T00:00:00"/>
    <n v="1"/>
    <x v="1"/>
    <s v="IP"/>
    <m/>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P4"/>
    <n v="0"/>
    <m/>
    <n v="0"/>
    <s v="Momauk Town"/>
    <n v="0.32830807173487342"/>
    <n v="1"/>
  </r>
  <r>
    <x v="0"/>
    <x v="0"/>
    <s v="MMR001"/>
    <s v="Bhamo"/>
    <s v="MMR001D003"/>
    <x v="4"/>
    <s v="MMR001012"/>
    <s v="Tar Li"/>
    <s v="MMR001012021"/>
    <s v="Tar Li"/>
    <n v="167086"/>
    <x v="59"/>
    <x v="59"/>
    <x v="57"/>
    <n v="24.492493"/>
    <m/>
    <n v="10"/>
    <n v="38"/>
    <n v="3.8"/>
    <x v="0"/>
    <x v="0"/>
    <x v="2"/>
    <x v="1"/>
    <m/>
    <m/>
    <x v="3"/>
    <s v="RRD"/>
    <m/>
    <d v="2014-06-13T00:00:00"/>
    <s v="Geo-Info, HH/Pop data was updated from Google Earth."/>
    <s v="P4"/>
    <n v="0"/>
    <m/>
    <n v="0"/>
    <s v="Dawthponeyan  Town"/>
    <n v="14.236592976936194"/>
    <n v="3"/>
  </r>
  <r>
    <x v="0"/>
    <x v="0"/>
    <s v="MMR001"/>
    <s v="Bhamo"/>
    <s v="MMR001D003"/>
    <x v="4"/>
    <s v="MMR001012"/>
    <s v="Myo Thit"/>
    <s v="MMR001012010"/>
    <s v="Myo Thit"/>
    <n v="167048"/>
    <x v="60"/>
    <x v="60"/>
    <x v="58"/>
    <n v="24.404876999999999"/>
    <m/>
    <n v="13"/>
    <n v="53"/>
    <n v="4.0769230769230766"/>
    <x v="0"/>
    <x v="0"/>
    <x v="2"/>
    <x v="1"/>
    <m/>
    <m/>
    <x v="3"/>
    <s v="RRD"/>
    <m/>
    <d v="2014-06-13T00:00:00"/>
    <s v="Geo-Info, HH/Pop data was updated from Google Earth."/>
    <s v="P4"/>
    <n v="0"/>
    <m/>
    <n v="0"/>
    <s v="Momauk Town"/>
    <n v="17.689123339899055"/>
    <n v="4"/>
  </r>
  <r>
    <x v="0"/>
    <x v="0"/>
    <s v="MMR001"/>
    <s v="Bhamo"/>
    <s v="MMR001D003"/>
    <x v="4"/>
    <s v="MMR001012"/>
    <s v="Man Pon"/>
    <s v="MMR001012001"/>
    <s v="Man Pon"/>
    <n v="167009"/>
    <x v="61"/>
    <x v="61"/>
    <x v="59"/>
    <n v="24.245100000000001"/>
    <m/>
    <n v="263"/>
    <n v="1169"/>
    <n v="4.4448669201520916"/>
    <x v="0"/>
    <x v="0"/>
    <x v="0"/>
    <x v="0"/>
    <d v="2012-05-01T00:00:00"/>
    <n v="2"/>
    <x v="4"/>
    <s v="IP"/>
    <m/>
    <d v="2017-01-10T00:00:00"/>
    <s v="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P4"/>
    <n v="110"/>
    <m/>
    <n v="110"/>
    <s v="Momauk Town"/>
    <n v="2.4411071835305544"/>
    <n v="1"/>
  </r>
  <r>
    <x v="0"/>
    <x v="0"/>
    <s v="MMR001"/>
    <s v="Bhamo"/>
    <s v="MMR001D003"/>
    <x v="4"/>
    <s v="MMR001012"/>
    <s v="Man Nawng"/>
    <s v="MMR001012014"/>
    <s v="Man Nawng"/>
    <n v="167063"/>
    <x v="62"/>
    <x v="62"/>
    <x v="60"/>
    <n v="24.410008999999999"/>
    <m/>
    <n v="28"/>
    <n v="136"/>
    <n v="4.8571428571428568"/>
    <x v="0"/>
    <x v="0"/>
    <x v="2"/>
    <x v="1"/>
    <m/>
    <m/>
    <x v="3"/>
    <s v="RRD"/>
    <m/>
    <m/>
    <m/>
    <s v="P4"/>
    <n v="0"/>
    <m/>
    <n v="0"/>
    <s v="Momauk Town"/>
    <n v="17.282528446236295"/>
    <n v="4"/>
  </r>
  <r>
    <x v="0"/>
    <x v="0"/>
    <s v="MMR001"/>
    <s v="Bhamo"/>
    <s v="MMR001D003"/>
    <x v="4"/>
    <s v="MMR001012"/>
    <s v="Maing Khat"/>
    <s v="MMR001012020"/>
    <s v="Maing Khat"/>
    <n v="167078"/>
    <x v="63"/>
    <x v="63"/>
    <x v="61"/>
    <n v="24.441697000000001"/>
    <m/>
    <n v="2"/>
    <n v="9"/>
    <n v="4.5"/>
    <x v="0"/>
    <x v="0"/>
    <x v="2"/>
    <x v="1"/>
    <m/>
    <m/>
    <x v="3"/>
    <s v="RRD"/>
    <m/>
    <d v="2014-06-13T00:00:00"/>
    <s v="Geo-Info, HH/Pop data was updated from Google Earth."/>
    <s v="P4"/>
    <n v="0"/>
    <m/>
    <n v="0"/>
    <s v="Dawthponeyan  Town"/>
    <n v="19.860265975801305"/>
    <n v="4"/>
  </r>
  <r>
    <x v="0"/>
    <x v="0"/>
    <s v="MMR001"/>
    <s v="Bhamo"/>
    <s v="MMR001D003"/>
    <x v="4"/>
    <s v="MMR001012"/>
    <s v="Hpar Kei (Dawthponeyan Sub-township)"/>
    <s v="MMR001012046"/>
    <s v="Hpar Kei"/>
    <n v="167242"/>
    <x v="64"/>
    <x v="64"/>
    <x v="62"/>
    <n v="24.630859999999998"/>
    <m/>
    <n v="39"/>
    <n v="176"/>
    <n v="4.5128205128205128"/>
    <x v="0"/>
    <x v="0"/>
    <x v="2"/>
    <x v="1"/>
    <m/>
    <m/>
    <x v="3"/>
    <s v="RRD"/>
    <m/>
    <d v="2014-01-07T00:00:00"/>
    <s v="Update from OCHA Data (2 Jan 2014)"/>
    <s v="P4"/>
    <n v="0"/>
    <m/>
    <n v="0"/>
    <s v="Dawthponeyan  Town"/>
    <n v="3.6887624513681017"/>
    <n v="1"/>
  </r>
  <r>
    <x v="0"/>
    <x v="0"/>
    <s v="MMR001"/>
    <s v="Bhamo"/>
    <s v="MMR001D003"/>
    <x v="5"/>
    <s v="MMR001013"/>
    <s v="Mansi Town"/>
    <s v="MMR001013701"/>
    <s v="Kawng Yar Ward"/>
    <s v="MMR001013701504"/>
    <x v="65"/>
    <x v="65"/>
    <x v="63"/>
    <n v="24.129059999999999"/>
    <n v="0"/>
    <n v="197"/>
    <n v="878"/>
    <n v="4.4568527918781724"/>
    <x v="0"/>
    <x v="0"/>
    <x v="0"/>
    <x v="0"/>
    <d v="2013-11-01T00:00:00"/>
    <n v="2"/>
    <x v="0"/>
    <s v="IP"/>
    <m/>
    <d v="2017-01-10T00:00:00"/>
    <s v="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P4"/>
    <n v="92"/>
    <m/>
    <n v="92"/>
    <s v="Mansi Town"/>
    <n v="1.0576516850656514"/>
    <n v="1"/>
  </r>
  <r>
    <x v="0"/>
    <x v="0"/>
    <s v="MMR001"/>
    <s v="Bhamo"/>
    <s v="MMR001D003"/>
    <x v="6"/>
    <s v="MMR001011"/>
    <s v="Shwegu Town"/>
    <s v="MMR001011701"/>
    <s v="Shwegu Town"/>
    <s v="MMR001011701504"/>
    <x v="66"/>
    <x v="66"/>
    <x v="64"/>
    <n v="24.200361000000001"/>
    <n v="0"/>
    <n v="86"/>
    <n v="313"/>
    <n v="3.63953488372093"/>
    <x v="0"/>
    <x v="0"/>
    <x v="0"/>
    <x v="0"/>
    <d v="2011-07-01T00:00:00"/>
    <n v="1"/>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P4"/>
    <n v="44"/>
    <m/>
    <n v="44"/>
    <s v="Shwegu Town"/>
    <n v="0.74396039478864395"/>
    <n v="1"/>
  </r>
  <r>
    <x v="0"/>
    <x v="0"/>
    <s v="MMR001"/>
    <s v="Bhamo"/>
    <s v="MMR001D003"/>
    <x v="6"/>
    <s v="MMR001011"/>
    <s v="Shwegu Town"/>
    <s v="MMR001011701"/>
    <s v="Shwegu Town"/>
    <s v="MMR001011701504"/>
    <x v="67"/>
    <x v="67"/>
    <x v="64"/>
    <n v="24.200367"/>
    <m/>
    <n v="40"/>
    <n v="196"/>
    <n v="4.9000000000000004"/>
    <x v="0"/>
    <x v="0"/>
    <x v="0"/>
    <x v="0"/>
    <d v="2011-07-01T00:00:00"/>
    <n v="2"/>
    <x v="4"/>
    <s v="IP"/>
    <m/>
    <d v="2017-01-10T00:00:00"/>
    <s v="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P4"/>
    <n v="0"/>
    <m/>
    <n v="0"/>
    <s v="Shwegu Town"/>
    <n v="0.74330366237812662"/>
    <n v="1"/>
  </r>
  <r>
    <x v="0"/>
    <x v="0"/>
    <s v="MMR001"/>
    <s v="Bhamo"/>
    <s v="MMR001D003"/>
    <x v="4"/>
    <s v="MMR001012"/>
    <s v="Lwegel Town"/>
    <s v="MMR001012702"/>
    <s v="Aung Chan Thar Ward"/>
    <s v="MMR001012702503"/>
    <x v="68"/>
    <x v="68"/>
    <x v="65"/>
    <n v="24.205417000000001"/>
    <m/>
    <n v="124"/>
    <n v="651"/>
    <n v="5.25"/>
    <x v="0"/>
    <x v="0"/>
    <x v="0"/>
    <x v="0"/>
    <d v="2011-11-01T00:00:00"/>
    <n v="2"/>
    <x v="4"/>
    <s v="IP"/>
    <m/>
    <d v="2017-01-10T00:00:00"/>
    <s v="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P3"/>
    <n v="57"/>
    <m/>
    <n v="57"/>
    <s v="Lwegel Town"/>
    <n v="0.77978735578277303"/>
    <n v="1"/>
  </r>
  <r>
    <x v="0"/>
    <x v="0"/>
    <s v="MMR001"/>
    <s v="Bhamo"/>
    <s v="MMR001D003"/>
    <x v="4"/>
    <s v="MMR001012"/>
    <s v="Lwegel Town"/>
    <s v="MMR001012702"/>
    <s v="Aung Zay Yar Ward"/>
    <s v="MMR001012702505"/>
    <x v="69"/>
    <x v="69"/>
    <x v="66"/>
    <n v="24.200433"/>
    <n v="0"/>
    <n v="192"/>
    <n v="1044"/>
    <n v="5.4375"/>
    <x v="0"/>
    <x v="0"/>
    <x v="0"/>
    <x v="0"/>
    <d v="2012-04-01T00:00:00"/>
    <n v="2"/>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P3"/>
    <n v="110"/>
    <m/>
    <n v="110"/>
    <s v="Lwegel Town"/>
    <n v="0.38934692601696641"/>
    <n v="1"/>
  </r>
  <r>
    <x v="0"/>
    <x v="0"/>
    <s v="MMR001"/>
    <s v="Bhamo"/>
    <s v="MMR001D003"/>
    <x v="4"/>
    <s v="MMR001012"/>
    <s v="Lwegel Town"/>
    <s v="MMR001012702"/>
    <s v="Aung Chan Thar Ward"/>
    <s v="MMR001012702503"/>
    <x v="70"/>
    <x v="70"/>
    <x v="67"/>
    <n v="24.200972"/>
    <m/>
    <n v="39"/>
    <n v="233"/>
    <n v="5.9743589743589745"/>
    <x v="0"/>
    <x v="0"/>
    <x v="0"/>
    <x v="0"/>
    <d v="2012-05-01T00:00:00"/>
    <n v="1"/>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3"/>
    <n v="0"/>
    <m/>
    <n v="0"/>
    <s v="Lwegel Town"/>
    <n v="0.28829825866869707"/>
    <n v="1"/>
  </r>
  <r>
    <x v="0"/>
    <x v="0"/>
    <s v="MMR001"/>
    <s v="Bhamo"/>
    <s v="MMR001D003"/>
    <x v="4"/>
    <s v="MMR001012"/>
    <s v="Lwegel Town"/>
    <s v="MMR001012039"/>
    <s v="Aung Zay Yar Ward"/>
    <s v="MMR001012702505"/>
    <x v="71"/>
    <x v="71"/>
    <x v="68"/>
    <n v="24.205417000000001"/>
    <n v="0"/>
    <n v="49"/>
    <n v="295"/>
    <n v="6.0204081632653059"/>
    <x v="0"/>
    <x v="0"/>
    <x v="0"/>
    <x v="0"/>
    <d v="2012-08-01T00:00:00"/>
    <n v="1"/>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3"/>
    <n v="4"/>
    <m/>
    <n v="4"/>
    <s v="Lwegel Town"/>
    <n v="0.77561767807574999"/>
    <n v="1"/>
  </r>
  <r>
    <x v="0"/>
    <x v="0"/>
    <s v="MMR001"/>
    <s v="Bhamo"/>
    <s v="MMR001D003"/>
    <x v="4"/>
    <s v="MMR001012"/>
    <s v="Lwegel Town"/>
    <s v="MMR001012702"/>
    <s v="Saing Gyar Ward"/>
    <s v="MMR001012702506"/>
    <x v="72"/>
    <x v="72"/>
    <x v="69"/>
    <n v="24.207332999999998"/>
    <n v="0"/>
    <n v="41"/>
    <n v="258"/>
    <n v="6.2926829268292686"/>
    <x v="0"/>
    <x v="0"/>
    <x v="0"/>
    <x v="0"/>
    <d v="2012-08-01T00:00:00"/>
    <n v="1"/>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3"/>
    <n v="1"/>
    <m/>
    <n v="1"/>
    <s v="Lwegel Town"/>
    <n v="1.343152344964242"/>
    <n v="1"/>
  </r>
  <r>
    <x v="1"/>
    <x v="0"/>
    <s v="MMR001"/>
    <s v="Puta-O"/>
    <s v="MMR001D004"/>
    <x v="7"/>
    <s v="MMR001018"/>
    <s v="La Ja Ga"/>
    <s v="MMR001018021"/>
    <s v="La Ja"/>
    <n v="168236"/>
    <x v="73"/>
    <x v="73"/>
    <x v="70"/>
    <n v="26.890058"/>
    <n v="1393"/>
    <m/>
    <m/>
    <s v="NA"/>
    <x v="0"/>
    <x v="0"/>
    <x v="0"/>
    <x v="1"/>
    <m/>
    <m/>
    <x v="3"/>
    <s v="RRD"/>
    <m/>
    <d v="2017-02-02T00:00:00"/>
    <s v="Closed Camp_x000a_Update data from OCHA IDPs List"/>
    <s v="P4"/>
    <n v="0"/>
    <m/>
    <n v="0"/>
    <s v="Khaunglanhpu Town"/>
    <n v="28.422357500443528"/>
    <n v="6"/>
  </r>
  <r>
    <x v="0"/>
    <x v="0"/>
    <s v="MMR001"/>
    <s v="Puta-O"/>
    <s v="MMR001D004"/>
    <x v="8"/>
    <s v="MMR001014"/>
    <s v="Puta-O Town"/>
    <s v="MMR001014701"/>
    <s v="Doke Tan Ward"/>
    <s v="MMR001014701509"/>
    <x v="74"/>
    <x v="74"/>
    <x v="71"/>
    <n v="27.311699999999998"/>
    <n v="476.7"/>
    <n v="14"/>
    <n v="64"/>
    <n v="4.5714285714285712"/>
    <x v="0"/>
    <x v="0"/>
    <x v="2"/>
    <x v="1"/>
    <m/>
    <m/>
    <x v="3"/>
    <s v="IP"/>
    <m/>
    <d v="2014-04-07T00:00:00"/>
    <s v="Changed Camp to Host Families. Source: Camp Profile Questionnaire."/>
    <s v="P3"/>
    <n v="0"/>
    <m/>
    <n v="0"/>
    <s v="Puta-O Town"/>
    <n v="1.3759254000531889"/>
    <n v="1"/>
  </r>
  <r>
    <x v="0"/>
    <x v="0"/>
    <s v="MMR001"/>
    <s v="Mohnyin"/>
    <s v="MMR001D002"/>
    <x v="9"/>
    <s v="MMR001008"/>
    <s v="Nawng Kaing Htaw"/>
    <s v="MMR001008002"/>
    <s v="Ma Haung"/>
    <n v="166676"/>
    <x v="75"/>
    <x v="75"/>
    <x v="72"/>
    <n v="25.296579999999999"/>
    <n v="0"/>
    <n v="15"/>
    <n v="70"/>
    <n v="4.666666666666667"/>
    <x v="0"/>
    <x v="0"/>
    <x v="0"/>
    <x v="0"/>
    <d v="2012-05-01T00:00:00"/>
    <n v="1"/>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P4"/>
    <n v="5"/>
    <m/>
    <n v="5"/>
    <s v="Mogaung Town"/>
    <n v="0.71141459237180937"/>
    <n v="1"/>
  </r>
  <r>
    <x v="0"/>
    <x v="0"/>
    <s v="MMR001"/>
    <s v="Mohnyin"/>
    <s v="MMR001D002"/>
    <x v="9"/>
    <s v="MMR001008"/>
    <s v="Mogaung Town"/>
    <s v="MMR001008701"/>
    <s v="Kyun Taw Ward"/>
    <s v="MMR001008701510"/>
    <x v="76"/>
    <x v="76"/>
    <x v="73"/>
    <n v="25.305669999999999"/>
    <n v="470"/>
    <n v="13"/>
    <n v="65"/>
    <n v="5"/>
    <x v="0"/>
    <x v="0"/>
    <x v="0"/>
    <x v="0"/>
    <d v="2012-05-01T00:00:00"/>
    <n v="1"/>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P4"/>
    <n v="0"/>
    <m/>
    <n v="0"/>
    <s v="Mogaung Town"/>
    <n v="1.815139598767344"/>
    <n v="1"/>
  </r>
  <r>
    <x v="0"/>
    <x v="0"/>
    <s v="MMR001"/>
    <s v="Mohnyin"/>
    <s v="MMR001D002"/>
    <x v="9"/>
    <s v="MMR001008"/>
    <s v="Mogaung Town"/>
    <s v="MMR001008701"/>
    <s v="Nat Gyi Kone Ward"/>
    <s v="MMR001008701506"/>
    <x v="77"/>
    <x v="77"/>
    <x v="74"/>
    <n v="25.30442"/>
    <n v="100"/>
    <n v="12"/>
    <n v="46"/>
    <n v="3.8333333333333335"/>
    <x v="0"/>
    <x v="0"/>
    <x v="0"/>
    <x v="0"/>
    <d v="2012-03-01T00:00:00"/>
    <n v="1"/>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P4"/>
    <n v="0"/>
    <m/>
    <n v="0"/>
    <s v="Mogaung Town"/>
    <n v="0.86042374061342075"/>
    <n v="1"/>
  </r>
  <r>
    <x v="0"/>
    <x v="0"/>
    <s v="MMR001"/>
    <s v="Mohnyin"/>
    <s v="MMR001D002"/>
    <x v="10"/>
    <s v="MMR001007"/>
    <s v="Mohnyin Town"/>
    <s v="MMR001007701"/>
    <s v="Aung Tha Pyay Ward"/>
    <s v="MMR001007701505"/>
    <x v="78"/>
    <x v="78"/>
    <x v="75"/>
    <n v="24.764800000000001"/>
    <m/>
    <n v="12"/>
    <n v="55"/>
    <n v="4.583333333333333"/>
    <x v="0"/>
    <x v="0"/>
    <x v="0"/>
    <x v="0"/>
    <d v="2012-06-01T00:00:00"/>
    <m/>
    <x v="2"/>
    <s v="IP"/>
    <m/>
    <d v="2017-01-10T00:00:00"/>
    <s v="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P4"/>
    <n v="0"/>
    <m/>
    <n v="0"/>
    <s v="Mohnyin Town"/>
    <n v="1.7021273757523427"/>
    <n v="1"/>
  </r>
  <r>
    <x v="1"/>
    <x v="0"/>
    <s v="MMR001"/>
    <s v="Mohnyin"/>
    <s v="MMR001D002"/>
    <x v="10"/>
    <s v="MMR001007"/>
    <s v="Nam Mun"/>
    <s v="MMR001007016"/>
    <s v="Nam Mun"/>
    <n v="166591"/>
    <x v="79"/>
    <x v="79"/>
    <x v="76"/>
    <n v="24.998349999999999"/>
    <n v="0"/>
    <n v="0"/>
    <n v="0"/>
    <s v="NA"/>
    <x v="0"/>
    <x v="0"/>
    <x v="0"/>
    <x v="1"/>
    <d v="2012-03-01T00:00:00"/>
    <m/>
    <x v="0"/>
    <s v="RRD"/>
    <m/>
    <d v="2014-07-17T00:00:00"/>
    <s v="Closed. Duplicate with (Nawng Ing (Indawgyi) Baptist Church)"/>
    <s v="P4"/>
    <n v="0"/>
    <m/>
    <n v="0"/>
    <s v=""/>
    <s v=""/>
    <s v=""/>
  </r>
  <r>
    <x v="1"/>
    <x v="0"/>
    <s v="MMR001"/>
    <s v="Mohnyin"/>
    <s v="MMR001D002"/>
    <x v="11"/>
    <s v="MMR001009"/>
    <s v="Hpakan Town"/>
    <s v="MMR001009701"/>
    <s v="Hnget Pyaw Taw Ward"/>
    <s v="MMR001009701502"/>
    <x v="80"/>
    <x v="80"/>
    <x v="77"/>
    <n v="25.611160000000002"/>
    <n v="0"/>
    <n v="0"/>
    <n v="0"/>
    <s v="NA"/>
    <x v="0"/>
    <x v="0"/>
    <x v="0"/>
    <x v="0"/>
    <d v="2012-08-01T00:00:00"/>
    <n v="2"/>
    <x v="0"/>
    <s v="IP"/>
    <m/>
    <d v="2014-05-15T00:00:00"/>
    <s v="Closed.Moved to Na Ma Pyit KBC."/>
    <s v=""/>
    <n v="0"/>
    <m/>
    <n v="0"/>
    <s v=""/>
    <s v=""/>
    <s v=""/>
  </r>
  <r>
    <x v="1"/>
    <x v="0"/>
    <s v="MMR001"/>
    <s v="Mohnyin"/>
    <s v="MMR001D002"/>
    <x v="11"/>
    <s v="MMR001009"/>
    <s v="Hpakan Town"/>
    <s v="MMR001009701"/>
    <s v="Hnget Pyaw Taw Ward"/>
    <s v="MMR001009701502"/>
    <x v="81"/>
    <x v="81"/>
    <x v="78"/>
    <n v="25.611899999999999"/>
    <m/>
    <n v="0"/>
    <n v="0"/>
    <s v="NA"/>
    <x v="0"/>
    <x v="0"/>
    <x v="0"/>
    <x v="2"/>
    <m/>
    <m/>
    <x v="3"/>
    <m/>
    <m/>
    <m/>
    <s v=" "/>
    <s v=""/>
    <n v="0"/>
    <m/>
    <n v="0"/>
    <s v=""/>
    <s v=""/>
    <s v=""/>
  </r>
  <r>
    <x v="1"/>
    <x v="0"/>
    <s v="MMR001"/>
    <s v="Mohnyin"/>
    <s v="MMR001D002"/>
    <x v="11"/>
    <s v="MMR001009"/>
    <s v="Hpakan Town"/>
    <s v="MMR001009701"/>
    <s v="Maw Wam Ward"/>
    <s v="MMR001009701501"/>
    <x v="82"/>
    <x v="82"/>
    <x v="33"/>
    <m/>
    <m/>
    <n v="0"/>
    <n v="0"/>
    <s v="NA"/>
    <x v="0"/>
    <x v="0"/>
    <x v="0"/>
    <x v="2"/>
    <m/>
    <m/>
    <x v="3"/>
    <m/>
    <m/>
    <m/>
    <s v=" "/>
    <s v=""/>
    <n v="0"/>
    <m/>
    <n v="0"/>
    <s v=""/>
    <s v=""/>
    <s v=""/>
  </r>
  <r>
    <x v="1"/>
    <x v="0"/>
    <s v="MMR001"/>
    <s v="Mohnyin"/>
    <s v="MMR001D002"/>
    <x v="11"/>
    <s v="MMR001009"/>
    <s v="Hpakan Town"/>
    <s v="MMR001009701"/>
    <s v="Maw Wam Ward"/>
    <s v="MMR001009701501"/>
    <x v="83"/>
    <x v="83"/>
    <x v="79"/>
    <n v="25.619221"/>
    <m/>
    <n v="0"/>
    <n v="0"/>
    <s v="NA"/>
    <x v="0"/>
    <x v="0"/>
    <x v="0"/>
    <x v="2"/>
    <m/>
    <m/>
    <x v="3"/>
    <m/>
    <m/>
    <m/>
    <s v=" "/>
    <s v=""/>
    <n v="0"/>
    <m/>
    <n v="0"/>
    <s v=""/>
    <s v=""/>
    <s v=""/>
  </r>
  <r>
    <x v="1"/>
    <x v="0"/>
    <s v="MMR001"/>
    <s v="Mohnyin"/>
    <s v="MMR001D002"/>
    <x v="11"/>
    <s v="MMR001009"/>
    <m/>
    <m/>
    <m/>
    <m/>
    <x v="84"/>
    <x v="84"/>
    <x v="33"/>
    <m/>
    <m/>
    <n v="0"/>
    <n v="0"/>
    <s v="NA"/>
    <x v="0"/>
    <x v="0"/>
    <x v="0"/>
    <x v="2"/>
    <m/>
    <m/>
    <x v="3"/>
    <m/>
    <m/>
    <m/>
    <s v=" "/>
    <s v=""/>
    <n v="0"/>
    <m/>
    <n v="0"/>
    <s v=""/>
    <s v=""/>
    <s v=""/>
  </r>
  <r>
    <x v="1"/>
    <x v="0"/>
    <s v="MMR001"/>
    <s v="Mohnyin"/>
    <s v="MMR001D002"/>
    <x v="11"/>
    <s v="MMR001009"/>
    <s v="Hpakan Town"/>
    <s v="MMR001009701"/>
    <s v="Maw Wam Ward"/>
    <s v="MMR001009701501"/>
    <x v="85"/>
    <x v="85"/>
    <x v="33"/>
    <m/>
    <m/>
    <n v="0"/>
    <n v="0"/>
    <s v="NA"/>
    <x v="0"/>
    <x v="0"/>
    <x v="0"/>
    <x v="2"/>
    <m/>
    <m/>
    <x v="3"/>
    <m/>
    <m/>
    <m/>
    <s v=" "/>
    <s v=""/>
    <n v="0"/>
    <m/>
    <n v="0"/>
    <s v=""/>
    <s v=""/>
    <s v=""/>
  </r>
  <r>
    <x v="1"/>
    <x v="0"/>
    <s v="MMR001"/>
    <s v="Mohnyin"/>
    <s v="MMR001D002"/>
    <x v="11"/>
    <s v="MMR001009"/>
    <s v="Hpakan Town"/>
    <s v="MMR001009701"/>
    <s v="Maw Wam Ward"/>
    <s v="MMR001009701501"/>
    <x v="86"/>
    <x v="86"/>
    <x v="33"/>
    <m/>
    <m/>
    <n v="0"/>
    <n v="0"/>
    <s v="NA"/>
    <x v="0"/>
    <x v="0"/>
    <x v="0"/>
    <x v="2"/>
    <m/>
    <m/>
    <x v="3"/>
    <m/>
    <m/>
    <m/>
    <s v=" "/>
    <s v=""/>
    <n v="0"/>
    <m/>
    <n v="0"/>
    <s v=""/>
    <s v=""/>
    <s v=""/>
  </r>
  <r>
    <x v="0"/>
    <x v="0"/>
    <s v="MMR001"/>
    <s v="Mohnyin"/>
    <s v="MMR001D002"/>
    <x v="11"/>
    <s v="MMR001009"/>
    <s v="Hpakan Town"/>
    <s v="MMR001009701"/>
    <s v="Maw Wam Ward"/>
    <s v="MMR001009701501"/>
    <x v="87"/>
    <x v="87"/>
    <x v="80"/>
    <n v="25.6145"/>
    <n v="65"/>
    <n v="4"/>
    <n v="22"/>
    <n v="5.5"/>
    <x v="0"/>
    <x v="0"/>
    <x v="0"/>
    <x v="0"/>
    <d v="2012-08-01T00:00:00"/>
    <n v="1"/>
    <x v="1"/>
    <s v="IP"/>
    <m/>
    <d v="2017-01-10T00:00:00"/>
    <s v="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P4"/>
    <n v="0"/>
    <m/>
    <n v="0"/>
    <s v="Hpakant Town"/>
    <n v="0.79577754007276646"/>
    <n v="1"/>
  </r>
  <r>
    <x v="1"/>
    <x v="0"/>
    <s v="MMR001"/>
    <s v="Mohnyin"/>
    <s v="MMR001D002"/>
    <x v="11"/>
    <s v="MMR001009"/>
    <s v="Hpakan Town"/>
    <s v="MMR001009701"/>
    <s v="Aye Mya Thar Yar Ward"/>
    <s v="MMR001009701504"/>
    <x v="88"/>
    <x v="88"/>
    <x v="33"/>
    <m/>
    <m/>
    <n v="0"/>
    <n v="0"/>
    <s v="NA"/>
    <x v="0"/>
    <x v="0"/>
    <x v="0"/>
    <x v="2"/>
    <m/>
    <m/>
    <x v="3"/>
    <m/>
    <m/>
    <m/>
    <s v=" "/>
    <s v=""/>
    <n v="0"/>
    <m/>
    <n v="0"/>
    <s v=""/>
    <s v=""/>
    <s v=""/>
  </r>
  <r>
    <x v="1"/>
    <x v="0"/>
    <s v="MMR001"/>
    <s v="Mohnyin"/>
    <s v="MMR001D002"/>
    <x v="11"/>
    <s v="MMR001009"/>
    <s v="Hpakan Town"/>
    <s v="MMR001009701"/>
    <s v="Ma Shi Ka Htaung Ward"/>
    <s v="MMR001009701505"/>
    <x v="89"/>
    <x v="89"/>
    <x v="33"/>
    <m/>
    <m/>
    <n v="0"/>
    <n v="0"/>
    <s v="NA"/>
    <x v="0"/>
    <x v="0"/>
    <x v="0"/>
    <x v="2"/>
    <m/>
    <m/>
    <x v="3"/>
    <m/>
    <m/>
    <m/>
    <s v=" "/>
    <s v=""/>
    <n v="0"/>
    <m/>
    <n v="0"/>
    <s v=""/>
    <s v=""/>
    <s v=""/>
  </r>
  <r>
    <x v="1"/>
    <x v="0"/>
    <s v="MMR001"/>
    <s v="Mohnyin"/>
    <s v="MMR001D002"/>
    <x v="11"/>
    <s v="MMR001009"/>
    <s v="Hpakan Town"/>
    <s v="MMR001009701"/>
    <s v="Ma Shi Ka Htaung Ward"/>
    <s v="MMR001009701505"/>
    <x v="90"/>
    <x v="90"/>
    <x v="81"/>
    <n v="25.609179999999999"/>
    <m/>
    <n v="0"/>
    <n v="0"/>
    <s v="NA"/>
    <x v="0"/>
    <x v="0"/>
    <x v="0"/>
    <x v="2"/>
    <m/>
    <m/>
    <x v="3"/>
    <m/>
    <m/>
    <m/>
    <s v=" "/>
    <s v=""/>
    <n v="0"/>
    <m/>
    <n v="0"/>
    <s v=""/>
    <s v=""/>
    <s v=""/>
  </r>
  <r>
    <x v="1"/>
    <x v="0"/>
    <s v="MMR001"/>
    <s v="Mohnyin"/>
    <s v="MMR001D002"/>
    <x v="11"/>
    <s v="MMR001009"/>
    <s v="Hpakan Town"/>
    <s v="MMR001009701"/>
    <s v="Ma Shi Ka Htaung Ward"/>
    <s v="MMR001009701505"/>
    <x v="91"/>
    <x v="91"/>
    <x v="33"/>
    <m/>
    <m/>
    <n v="0"/>
    <n v="0"/>
    <s v="NA"/>
    <x v="0"/>
    <x v="0"/>
    <x v="0"/>
    <x v="2"/>
    <m/>
    <m/>
    <x v="3"/>
    <m/>
    <m/>
    <m/>
    <s v=" "/>
    <s v=""/>
    <n v="0"/>
    <m/>
    <n v="0"/>
    <s v=""/>
    <s v=""/>
    <s v=""/>
  </r>
  <r>
    <x v="1"/>
    <x v="0"/>
    <s v="MMR001"/>
    <s v="Mohnyin"/>
    <s v="MMR001D002"/>
    <x v="11"/>
    <s v="MMR001009"/>
    <s v="Hpakan Town"/>
    <s v="MMR001009701"/>
    <s v="Ma Shi Ka Htaung Ward"/>
    <s v="MMR001009701505"/>
    <x v="92"/>
    <x v="92"/>
    <x v="33"/>
    <m/>
    <m/>
    <n v="0"/>
    <n v="0"/>
    <s v="NA"/>
    <x v="0"/>
    <x v="0"/>
    <x v="0"/>
    <x v="2"/>
    <m/>
    <m/>
    <x v="3"/>
    <m/>
    <m/>
    <m/>
    <s v=" "/>
    <s v=""/>
    <n v="0"/>
    <m/>
    <n v="0"/>
    <s v=""/>
    <s v=""/>
    <s v=""/>
  </r>
  <r>
    <x v="1"/>
    <x v="0"/>
    <s v="MMR001"/>
    <s v="Mohnyin"/>
    <s v="MMR001D002"/>
    <x v="11"/>
    <s v="MMR001009"/>
    <s v="Hpakan Town"/>
    <s v="MMR001009701"/>
    <s v="Ma Shi Ka Htaung Ward"/>
    <s v="MMR001009701505"/>
    <x v="93"/>
    <x v="93"/>
    <x v="33"/>
    <m/>
    <m/>
    <n v="0"/>
    <n v="0"/>
    <s v="NA"/>
    <x v="0"/>
    <x v="0"/>
    <x v="0"/>
    <x v="2"/>
    <m/>
    <m/>
    <x v="3"/>
    <m/>
    <m/>
    <m/>
    <s v=" "/>
    <s v=""/>
    <n v="0"/>
    <m/>
    <n v="0"/>
    <s v=""/>
    <s v=""/>
    <s v=""/>
  </r>
  <r>
    <x v="1"/>
    <x v="0"/>
    <s v="MMR001"/>
    <s v="Mohnyin"/>
    <s v="MMR001D002"/>
    <x v="11"/>
    <s v="MMR001009"/>
    <s v="Hpakan Town"/>
    <s v="MMR001009701"/>
    <s v="Ma Shi Ka Htaung Ward"/>
    <s v="MMR001009701505"/>
    <x v="94"/>
    <x v="94"/>
    <x v="33"/>
    <m/>
    <m/>
    <n v="0"/>
    <n v="0"/>
    <s v="NA"/>
    <x v="0"/>
    <x v="0"/>
    <x v="0"/>
    <x v="2"/>
    <m/>
    <m/>
    <x v="3"/>
    <m/>
    <m/>
    <m/>
    <s v=" "/>
    <s v=""/>
    <n v="0"/>
    <m/>
    <n v="0"/>
    <s v=""/>
    <s v=""/>
    <s v=""/>
  </r>
  <r>
    <x v="1"/>
    <x v="0"/>
    <s v="MMR001"/>
    <s v="Mohnyin"/>
    <s v="MMR001D002"/>
    <x v="11"/>
    <s v="MMR001009"/>
    <s v="Hpakan Town"/>
    <s v="MMR001009701"/>
    <s v="Ma Shi Ka Htaung Ward"/>
    <s v="MMR001009701505"/>
    <x v="95"/>
    <x v="95"/>
    <x v="33"/>
    <m/>
    <m/>
    <n v="0"/>
    <n v="0"/>
    <s v="NA"/>
    <x v="0"/>
    <x v="0"/>
    <x v="0"/>
    <x v="2"/>
    <m/>
    <m/>
    <x v="3"/>
    <m/>
    <m/>
    <m/>
    <s v=" "/>
    <s v=""/>
    <n v="0"/>
    <m/>
    <n v="0"/>
    <s v=""/>
    <s v=""/>
    <s v=""/>
  </r>
  <r>
    <x v="1"/>
    <x v="0"/>
    <s v="MMR001"/>
    <s v="Mohnyin"/>
    <s v="MMR001D002"/>
    <x v="11"/>
    <s v="MMR001009"/>
    <s v="Hpakan Town"/>
    <s v="MMR001009701"/>
    <s v="Ma Shi Ka Htaung Ward"/>
    <s v="MMR001009701505"/>
    <x v="96"/>
    <x v="96"/>
    <x v="33"/>
    <m/>
    <m/>
    <n v="0"/>
    <n v="0"/>
    <s v="NA"/>
    <x v="0"/>
    <x v="0"/>
    <x v="0"/>
    <x v="2"/>
    <m/>
    <m/>
    <x v="3"/>
    <m/>
    <m/>
    <m/>
    <s v=" "/>
    <s v=""/>
    <n v="0"/>
    <m/>
    <n v="0"/>
    <s v=""/>
    <s v=""/>
    <s v=""/>
  </r>
  <r>
    <x v="1"/>
    <x v="0"/>
    <s v="MMR001"/>
    <s v="Mohnyin"/>
    <s v="MMR001D002"/>
    <x v="11"/>
    <s v="MMR001009"/>
    <s v="Hpakan Town"/>
    <s v="MMR001009701"/>
    <s v="Myo Ma Ward"/>
    <s v="MMR001009701503"/>
    <x v="97"/>
    <x v="97"/>
    <x v="33"/>
    <m/>
    <m/>
    <n v="0"/>
    <n v="0"/>
    <s v="NA"/>
    <x v="0"/>
    <x v="0"/>
    <x v="0"/>
    <x v="2"/>
    <m/>
    <m/>
    <x v="3"/>
    <m/>
    <m/>
    <m/>
    <s v=" "/>
    <s v=""/>
    <n v="0"/>
    <m/>
    <n v="0"/>
    <s v=""/>
    <s v=""/>
    <s v=""/>
  </r>
  <r>
    <x v="1"/>
    <x v="0"/>
    <s v="MMR001"/>
    <s v="Mohnyin"/>
    <s v="MMR001D002"/>
    <x v="11"/>
    <s v="MMR001009"/>
    <s v="Hpakan Town"/>
    <s v="MMR001009701"/>
    <s v="Myo Ma Ward"/>
    <s v="MMR001009701503"/>
    <x v="98"/>
    <x v="98"/>
    <x v="33"/>
    <m/>
    <m/>
    <n v="0"/>
    <n v="0"/>
    <s v="NA"/>
    <x v="0"/>
    <x v="0"/>
    <x v="0"/>
    <x v="2"/>
    <m/>
    <m/>
    <x v="3"/>
    <m/>
    <m/>
    <m/>
    <s v=" "/>
    <s v=""/>
    <n v="0"/>
    <m/>
    <n v="0"/>
    <s v=""/>
    <s v=""/>
    <s v=""/>
  </r>
  <r>
    <x v="0"/>
    <x v="0"/>
    <s v="MMR001"/>
    <s v="Mohnyin"/>
    <s v="MMR001D002"/>
    <x v="11"/>
    <s v="MMR001009"/>
    <s v="Nam Ma Hpyit"/>
    <s v="MMR001009002"/>
    <s v="Nam Ma Hpyit"/>
    <n v="166776"/>
    <x v="99"/>
    <x v="99"/>
    <x v="82"/>
    <n v="25.613894999999999"/>
    <n v="251"/>
    <n v="51"/>
    <n v="225"/>
    <n v="4.4117647058823533"/>
    <x v="0"/>
    <x v="0"/>
    <x v="0"/>
    <x v="0"/>
    <d v="2013-08-01T00:00:00"/>
    <n v="3"/>
    <x v="2"/>
    <s v="IP"/>
    <m/>
    <d v="2017-01-10T00:00:00"/>
    <s v="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P4"/>
    <n v="0"/>
    <m/>
    <n v="0"/>
    <s v="Hpakant Town"/>
    <n v="2.9334852607184256"/>
    <n v="1"/>
  </r>
  <r>
    <x v="1"/>
    <x v="0"/>
    <s v="MMR001"/>
    <s v="Mohnyin"/>
    <s v="MMR001D002"/>
    <x v="11"/>
    <s v="MMR001009"/>
    <m/>
    <m/>
    <m/>
    <m/>
    <x v="100"/>
    <x v="100"/>
    <x v="33"/>
    <m/>
    <m/>
    <n v="0"/>
    <n v="0"/>
    <s v="NA"/>
    <x v="0"/>
    <x v="0"/>
    <x v="0"/>
    <x v="2"/>
    <m/>
    <m/>
    <x v="3"/>
    <m/>
    <m/>
    <m/>
    <s v=" "/>
    <s v=""/>
    <n v="0"/>
    <m/>
    <n v="0"/>
    <s v=""/>
    <s v=""/>
    <s v=""/>
  </r>
  <r>
    <x v="0"/>
    <x v="0"/>
    <s v="MMR001"/>
    <s v="Mohnyin"/>
    <s v="MMR001D002"/>
    <x v="11"/>
    <s v="MMR001009"/>
    <s v="Nam Ma Hpyit"/>
    <s v="MMR001009002"/>
    <s v="Nam Ma Hpyit"/>
    <n v="166776"/>
    <x v="101"/>
    <x v="101"/>
    <x v="83"/>
    <n v="25.599250000000001"/>
    <n v="0"/>
    <n v="12"/>
    <n v="43"/>
    <n v="3.5833333333333335"/>
    <x v="0"/>
    <x v="0"/>
    <x v="0"/>
    <x v="0"/>
    <d v="2012-08-01T00:00:00"/>
    <n v="1"/>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P4"/>
    <n v="2"/>
    <m/>
    <n v="2"/>
    <s v="Hpakant Town"/>
    <n v="1.5942018764815451"/>
    <n v="1"/>
  </r>
  <r>
    <x v="1"/>
    <x v="0"/>
    <s v="MMR001"/>
    <s v="Mohnyin"/>
    <s v="MMR001D002"/>
    <x v="11"/>
    <s v="MMR001009"/>
    <m/>
    <m/>
    <m/>
    <m/>
    <x v="102"/>
    <x v="102"/>
    <x v="84"/>
    <n v="25.6447"/>
    <m/>
    <n v="0"/>
    <n v="0"/>
    <s v="NA"/>
    <x v="0"/>
    <x v="0"/>
    <x v="0"/>
    <x v="2"/>
    <m/>
    <m/>
    <x v="3"/>
    <m/>
    <m/>
    <m/>
    <s v=" "/>
    <s v=""/>
    <n v="0"/>
    <m/>
    <n v="0"/>
    <s v=""/>
    <s v=""/>
    <s v=""/>
  </r>
  <r>
    <x v="1"/>
    <x v="0"/>
    <s v="MMR001"/>
    <s v="Mohnyin"/>
    <s v="MMR001D002"/>
    <x v="11"/>
    <s v="MMR001009"/>
    <s v="Seik Mu"/>
    <s v="MMR001009003"/>
    <s v="Ma Mon"/>
    <n v="166790"/>
    <x v="103"/>
    <x v="103"/>
    <x v="33"/>
    <m/>
    <m/>
    <n v="0"/>
    <n v="0"/>
    <s v="NA"/>
    <x v="0"/>
    <x v="0"/>
    <x v="0"/>
    <x v="2"/>
    <m/>
    <m/>
    <x v="3"/>
    <m/>
    <m/>
    <m/>
    <s v=" "/>
    <s v=""/>
    <n v="0"/>
    <m/>
    <n v="0"/>
    <s v=""/>
    <s v=""/>
    <s v=""/>
  </r>
  <r>
    <x v="1"/>
    <x v="0"/>
    <s v="MMR001"/>
    <s v="Mohnyin"/>
    <s v="MMR001D002"/>
    <x v="11"/>
    <s v="MMR001009"/>
    <m/>
    <m/>
    <m/>
    <m/>
    <x v="104"/>
    <x v="104"/>
    <x v="33"/>
    <m/>
    <m/>
    <n v="0"/>
    <n v="0"/>
    <s v="NA"/>
    <x v="0"/>
    <x v="0"/>
    <x v="0"/>
    <x v="2"/>
    <m/>
    <m/>
    <x v="3"/>
    <m/>
    <m/>
    <m/>
    <m/>
    <s v=""/>
    <n v="0"/>
    <m/>
    <n v="0"/>
    <s v=""/>
    <s v=""/>
    <s v=""/>
  </r>
  <r>
    <x v="0"/>
    <x v="0"/>
    <s v="MMR001"/>
    <s v="Mohnyin"/>
    <s v="MMR001D002"/>
    <x v="11"/>
    <s v="MMR001009"/>
    <s v="Seik Mu"/>
    <s v="MMR001009003"/>
    <s v="Seik Mu"/>
    <n v="166783"/>
    <x v="105"/>
    <x v="105"/>
    <x v="85"/>
    <n v="25.582065"/>
    <n v="0"/>
    <n v="6"/>
    <n v="30"/>
    <n v="5"/>
    <x v="0"/>
    <x v="0"/>
    <x v="0"/>
    <x v="0"/>
    <d v="2013-08-01T00:00:00"/>
    <n v="1"/>
    <x v="1"/>
    <s v="IP"/>
    <m/>
    <d v="2017-01-10T00:00:00"/>
    <s v="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P4"/>
    <n v="0"/>
    <m/>
    <n v="0"/>
    <s v="Hpakant Town"/>
    <n v="4.4704963044882238"/>
    <n v="1"/>
  </r>
  <r>
    <x v="1"/>
    <x v="0"/>
    <s v="MMR001"/>
    <s v="Mohnyin"/>
    <s v="MMR001D002"/>
    <x v="11"/>
    <s v="MMR001009"/>
    <s v="Haung Par"/>
    <s v="MMR001009004"/>
    <s v="Haung Par"/>
    <n v="166794"/>
    <x v="106"/>
    <x v="106"/>
    <x v="33"/>
    <m/>
    <m/>
    <n v="0"/>
    <n v="0"/>
    <s v="NA"/>
    <x v="0"/>
    <x v="0"/>
    <x v="0"/>
    <x v="2"/>
    <m/>
    <m/>
    <x v="3"/>
    <m/>
    <m/>
    <m/>
    <m/>
    <s v=""/>
    <n v="0"/>
    <m/>
    <n v="0"/>
    <s v=""/>
    <s v=""/>
    <s v=""/>
  </r>
  <r>
    <x v="0"/>
    <x v="0"/>
    <s v="MMR001"/>
    <s v="Myitkyina"/>
    <s v="MMR001D001"/>
    <x v="1"/>
    <s v="MMR001002"/>
    <s v="Hpawt Dawt"/>
    <s v="MMR001002032"/>
    <s v="Mon Gar Zut"/>
    <n v="220360"/>
    <x v="107"/>
    <x v="107"/>
    <x v="86"/>
    <n v="25.106670000000001"/>
    <n v="756"/>
    <n v="604"/>
    <n v="2785"/>
    <n v="4.6109271523178812"/>
    <x v="1"/>
    <x v="0"/>
    <x v="0"/>
    <x v="1"/>
    <d v="2011-11-01T00:00:00"/>
    <n v="3"/>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P2"/>
    <n v="0"/>
    <m/>
    <n v="0"/>
    <s v="Sadung Town"/>
    <n v="32.827754639406997"/>
    <n v="7"/>
  </r>
  <r>
    <x v="0"/>
    <x v="0"/>
    <s v="MMR001"/>
    <s v="Myitkyina"/>
    <s v="MMR001D001"/>
    <x v="1"/>
    <s v="MMR001002"/>
    <s v="Saga Pa (Sadung Sub-township)"/>
    <s v="MMR001002040"/>
    <s v="Saga Pa"/>
    <n v="165895"/>
    <x v="108"/>
    <x v="108"/>
    <x v="87"/>
    <n v="25.220278"/>
    <n v="2404"/>
    <n v="161"/>
    <n v="637"/>
    <n v="3.9565217391304346"/>
    <x v="1"/>
    <x v="0"/>
    <x v="0"/>
    <x v="3"/>
    <d v="2011-11-01T00:00:00"/>
    <n v="3"/>
    <x v="2"/>
    <s v="IP"/>
    <m/>
    <d v="2017-01-10T00:00:00"/>
    <s v="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P1"/>
    <n v="0"/>
    <m/>
    <n v="0"/>
    <s v="Sadung Town"/>
    <n v="18.198335991626355"/>
    <n v="4"/>
  </r>
  <r>
    <x v="1"/>
    <x v="0"/>
    <s v="MMR001"/>
    <s v="Myitkyina"/>
    <s v="MMR001D001"/>
    <x v="1"/>
    <s v="MMR001002"/>
    <s v="Saga Pa (Sadung Sub-township)"/>
    <m/>
    <m/>
    <m/>
    <x v="109"/>
    <x v="109"/>
    <x v="88"/>
    <n v="25.273333000000001"/>
    <m/>
    <n v="0"/>
    <n v="0"/>
    <s v="NA"/>
    <x v="1"/>
    <x v="0"/>
    <x v="0"/>
    <x v="2"/>
    <m/>
    <m/>
    <x v="3"/>
    <m/>
    <m/>
    <m/>
    <m/>
    <s v=""/>
    <n v="0"/>
    <m/>
    <n v="0"/>
    <s v=""/>
    <s v=""/>
    <s v=""/>
  </r>
  <r>
    <x v="0"/>
    <x v="0"/>
    <s v="MMR001"/>
    <s v="Myitkyina"/>
    <s v="MMR001D001"/>
    <x v="1"/>
    <s v="MMR001002"/>
    <s v="Saga Pa"/>
    <s v="MMR001002040"/>
    <s v="Hkau Shau"/>
    <m/>
    <x v="110"/>
    <x v="110"/>
    <x v="89"/>
    <n v="25.200333000000001"/>
    <n v="1023"/>
    <n v="148"/>
    <n v="1076"/>
    <n v="7.2702702702702702"/>
    <x v="1"/>
    <x v="0"/>
    <x v="0"/>
    <x v="1"/>
    <d v="2011-12-01T00:00:00"/>
    <n v="3"/>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P1"/>
    <n v="48"/>
    <m/>
    <n v="48"/>
    <s v="Sadung Town"/>
    <n v="21.287604662770121"/>
    <n v="5"/>
  </r>
  <r>
    <x v="0"/>
    <x v="0"/>
    <s v="MMR001"/>
    <s v="Myitkyina"/>
    <s v="MMR001D001"/>
    <x v="1"/>
    <s v="MMR001002"/>
    <s v="Nam Sang Yang"/>
    <s v="MMR001002024"/>
    <s v="Nam Sang Yang"/>
    <n v="165772"/>
    <x v="111"/>
    <x v="111"/>
    <x v="90"/>
    <n v="24.755253"/>
    <n v="316"/>
    <n v="1371"/>
    <n v="6701"/>
    <n v="4.8876732312180886"/>
    <x v="1"/>
    <x v="0"/>
    <x v="0"/>
    <x v="0"/>
    <d v="2011-06-01T00:00:00"/>
    <n v="5"/>
    <x v="2"/>
    <s v="IP"/>
    <m/>
    <d v="2017-01-10T00:00:00"/>
    <s v="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P4"/>
    <n v="1211"/>
    <m/>
    <n v="1211"/>
    <s v="Laiza town"/>
    <n v="1.7420415164460403"/>
    <n v="1"/>
  </r>
  <r>
    <x v="1"/>
    <x v="0"/>
    <s v="MMR001"/>
    <s v="Myitkyina"/>
    <s v="MMR001D001"/>
    <x v="1"/>
    <s v="MMR001002"/>
    <s v="Nam Sang Yang"/>
    <s v="MMR001002024"/>
    <s v="Nam Sang Yang"/>
    <n v="165772"/>
    <x v="112"/>
    <x v="112"/>
    <x v="91"/>
    <n v="24.747212999999999"/>
    <n v="221"/>
    <n v="0"/>
    <n v="0"/>
    <s v="NA"/>
    <x v="1"/>
    <x v="0"/>
    <x v="0"/>
    <x v="1"/>
    <d v="2011-06-01T00:00:00"/>
    <n v="3"/>
    <x v="2"/>
    <s v="IP"/>
    <m/>
    <d v="2015-06-25T00:00:00"/>
    <s v="25-Jun-15 (Relocated to Hpum Lone Yan and Wai Choi)_x000a_Population Update. Source: UNHCR Cross-Line Mission Report. (July 2014)"/>
    <s v="P2"/>
    <n v="0"/>
    <n v="0"/>
    <n v="0"/>
    <s v="Laiza town"/>
    <n v="1.857513522619473"/>
    <n v="1"/>
  </r>
  <r>
    <x v="1"/>
    <x v="0"/>
    <s v="MMR001"/>
    <s v="Myitkyina"/>
    <s v="MMR001D001"/>
    <x v="1"/>
    <s v="MMR001002"/>
    <s v="Nam Sang Yang"/>
    <s v="MMR001002024"/>
    <s v="Nam Sang Yang"/>
    <n v="165772"/>
    <x v="113"/>
    <x v="113"/>
    <x v="92"/>
    <n v="24.747966999999999"/>
    <m/>
    <n v="0"/>
    <n v="0"/>
    <s v="NA"/>
    <x v="0"/>
    <x v="0"/>
    <x v="0"/>
    <x v="2"/>
    <m/>
    <m/>
    <x v="3"/>
    <m/>
    <m/>
    <m/>
    <s v="Changed to closed"/>
    <s v=""/>
    <n v="0"/>
    <m/>
    <n v="0"/>
    <s v=""/>
    <s v=""/>
    <s v=""/>
  </r>
  <r>
    <x v="0"/>
    <x v="0"/>
    <s v="MMR001"/>
    <s v="Myitkyina"/>
    <s v="MMR001D001"/>
    <x v="1"/>
    <s v="MMR001002"/>
    <s v="Sa Ma"/>
    <s v="MMR001002031"/>
    <s v="Nar Gu"/>
    <n v="165790"/>
    <x v="114"/>
    <x v="114"/>
    <x v="93"/>
    <n v="24.980250000000002"/>
    <n v="984"/>
    <n v="585"/>
    <n v="2585"/>
    <n v="4.4188034188034191"/>
    <x v="1"/>
    <x v="0"/>
    <x v="0"/>
    <x v="1"/>
    <d v="2011-06-01T00:00:00"/>
    <n v="5"/>
    <x v="2"/>
    <s v="IP"/>
    <m/>
    <d v="2017-01-10T00:00:00"/>
    <s v="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P2"/>
    <n v="0"/>
    <m/>
    <n v="0"/>
    <s v="Laiza town"/>
    <n v="28.888856599204185"/>
    <n v="6"/>
  </r>
  <r>
    <x v="0"/>
    <x v="0"/>
    <s v="MMR001"/>
    <s v="Myitkyina"/>
    <s v="MMR001D001"/>
    <x v="1"/>
    <s v="MMR001002"/>
    <s v="Sa Ma"/>
    <s v="MMR001002031"/>
    <s v="Par Jaung"/>
    <n v="165792"/>
    <x v="115"/>
    <x v="115"/>
    <x v="94"/>
    <n v="24.831944"/>
    <n v="2330"/>
    <n v="180"/>
    <n v="857"/>
    <n v="4.7611111111111111"/>
    <x v="1"/>
    <x v="0"/>
    <x v="0"/>
    <x v="1"/>
    <d v="2011-07-01T00:00:00"/>
    <n v="3"/>
    <x v="0"/>
    <s v="IP"/>
    <m/>
    <d v="2017-01-10T00:00:00"/>
    <s v="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P1"/>
    <n v="145"/>
    <m/>
    <n v="145"/>
    <s v="Laiza town"/>
    <n v="20.599512012485512"/>
    <n v="5"/>
  </r>
  <r>
    <x v="0"/>
    <x v="0"/>
    <s v="MMR001"/>
    <s v="Bhamo"/>
    <s v="MMR001D003"/>
    <x v="1"/>
    <s v="MMR001002"/>
    <s v="Hpawt Dawt"/>
    <s v="MMR001002032"/>
    <s v="Lai Zar"/>
    <n v="165816"/>
    <x v="116"/>
    <x v="116"/>
    <x v="95"/>
    <n v="24.688338999999999"/>
    <n v="314"/>
    <n v="1649"/>
    <n v="8965"/>
    <n v="5.4366282595512434"/>
    <x v="1"/>
    <x v="0"/>
    <x v="0"/>
    <x v="1"/>
    <d v="2012-06-01T00:00:00"/>
    <n v="7"/>
    <x v="2"/>
    <s v="IP"/>
    <m/>
    <d v="2017-01-10T00:00:00"/>
    <s v="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P2"/>
    <n v="454"/>
    <m/>
    <n v="454"/>
    <s v="Laiza town"/>
    <n v="7.985347533011188"/>
    <n v="2"/>
  </r>
  <r>
    <x v="0"/>
    <x v="0"/>
    <s v="MMR001"/>
    <s v="Bhamo"/>
    <s v="MMR001D003"/>
    <x v="4"/>
    <s v="MMR001012"/>
    <s v="In Baw Mai Kyin (Dawthponeyan Sub-township)"/>
    <s v="MMR001012042"/>
    <s v="Hpun Lum Yang"/>
    <n v="167223"/>
    <x v="117"/>
    <x v="117"/>
    <x v="96"/>
    <n v="24.661905999999998"/>
    <n v="415"/>
    <n v="641"/>
    <n v="2862"/>
    <n v="4.4648985959438381"/>
    <x v="1"/>
    <x v="0"/>
    <x v="0"/>
    <x v="1"/>
    <d v="2011-06-01T00:00:00"/>
    <n v="5"/>
    <x v="2"/>
    <s v="IP"/>
    <m/>
    <d v="2017-01-10T00:00:00"/>
    <s v="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P2"/>
    <n v="23"/>
    <m/>
    <n v="23"/>
    <s v="Laiza town"/>
    <n v="10.953347686331073"/>
    <n v="3"/>
  </r>
  <r>
    <x v="0"/>
    <x v="0"/>
    <s v="MMR001"/>
    <s v="Bhamo"/>
    <s v="MMR001D003"/>
    <x v="4"/>
    <s v="MMR001012"/>
    <s v="Zee Wone Gawt"/>
    <s v="MMR001012023"/>
    <s v="Dum Bung"/>
    <n v="167343"/>
    <x v="118"/>
    <x v="118"/>
    <x v="97"/>
    <n v="24.461033"/>
    <n v="360"/>
    <n v="109"/>
    <n v="408"/>
    <n v="3.7431192660550461"/>
    <x v="1"/>
    <x v="0"/>
    <x v="0"/>
    <x v="3"/>
    <d v="2011-08-01T00:00:00"/>
    <n v="4"/>
    <x v="2"/>
    <s v="IP"/>
    <m/>
    <d v="2017-01-10T00:00:00"/>
    <s v="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P2"/>
    <n v="0"/>
    <m/>
    <n v="0"/>
    <s v="Dawthponeyan  Town"/>
    <n v="18.65617244319267"/>
    <n v="4"/>
  </r>
  <r>
    <x v="0"/>
    <x v="0"/>
    <s v="MMR001"/>
    <s v="Bhamo"/>
    <s v="MMR001D003"/>
    <x v="4"/>
    <s v="MMR001012"/>
    <s v="Kawng Hsa (Lwegel Sub-township)"/>
    <s v="MMR001012033"/>
    <s v="Mai Gyar Yang"/>
    <n v="216913"/>
    <x v="119"/>
    <x v="119"/>
    <x v="98"/>
    <n v="24.2744"/>
    <n v="978"/>
    <n v="669"/>
    <n v="3643"/>
    <n v="5.4454409566517192"/>
    <x v="1"/>
    <x v="0"/>
    <x v="0"/>
    <x v="1"/>
    <d v="2012-04-01T00:00:00"/>
    <n v="2"/>
    <x v="4"/>
    <s v="IP"/>
    <m/>
    <d v="2017-01-10T00:00:00"/>
    <s v="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P2"/>
    <n v="0"/>
    <m/>
    <n v="0"/>
    <s v="Lwegel Town"/>
    <n v="8.953204937938569"/>
    <n v="2"/>
  </r>
  <r>
    <x v="0"/>
    <x v="0"/>
    <s v="MMR001"/>
    <s v="Bhamo"/>
    <s v="MMR001D003"/>
    <x v="5"/>
    <s v="MMR001013"/>
    <s v="In Ba Pa"/>
    <s v="MMR001013012"/>
    <s v="La Na"/>
    <n v="216948"/>
    <x v="120"/>
    <x v="120"/>
    <x v="99"/>
    <n v="24.056132999999999"/>
    <n v="866"/>
    <n v="546"/>
    <n v="2514"/>
    <n v="4.604395604395604"/>
    <x v="1"/>
    <x v="0"/>
    <x v="0"/>
    <x v="1"/>
    <d v="2011-10-01T00:00:00"/>
    <n v="2"/>
    <x v="4"/>
    <s v="IP"/>
    <m/>
    <d v="2017-01-10T00:00:00"/>
    <s v="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P2"/>
    <n v="12"/>
    <m/>
    <n v="12"/>
    <s v="Lwegel Town"/>
    <n v="18.620903555062636"/>
    <n v="4"/>
  </r>
  <r>
    <x v="0"/>
    <x v="0"/>
    <s v="MMR001"/>
    <s v="Bhamo"/>
    <s v="MMR001D003"/>
    <x v="5"/>
    <s v="MMR001013"/>
    <s v="Dum Buk"/>
    <s v="MMR001013014"/>
    <s v="Dum Buk"/>
    <s v="Dum Buk"/>
    <x v="121"/>
    <x v="121"/>
    <x v="100"/>
    <n v="24.002433"/>
    <n v="854"/>
    <n v="440"/>
    <n v="1957"/>
    <n v="4.4477272727272723"/>
    <x v="1"/>
    <x v="0"/>
    <x v="0"/>
    <x v="1"/>
    <d v="2011-10-01T00:00:00"/>
    <n v="2"/>
    <x v="4"/>
    <s v="IP"/>
    <m/>
    <d v="2017-01-10T00:00:00"/>
    <s v="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P2"/>
    <n v="250"/>
    <m/>
    <n v="250"/>
    <s v="Namhkan Town"/>
    <n v="19.796407430638478"/>
    <n v="4"/>
  </r>
  <r>
    <x v="0"/>
    <x v="0"/>
    <s v="MMR001"/>
    <s v="Bhamo"/>
    <s v="MMR001D003"/>
    <x v="4"/>
    <s v="MMR001012"/>
    <s v="Ba Lawng Kawng (Lwegel Sub-township)"/>
    <s v="MMR001012030"/>
    <s v="Hpa Lum"/>
    <n v="167138"/>
    <x v="122"/>
    <x v="122"/>
    <x v="101"/>
    <n v="24.378167000000001"/>
    <n v="1149"/>
    <n v="355"/>
    <n v="1678"/>
    <n v="4.7267605633802816"/>
    <x v="1"/>
    <x v="0"/>
    <x v="0"/>
    <x v="1"/>
    <d v="2012-04-01T00:00:00"/>
    <n v="2"/>
    <x v="4"/>
    <s v="IP"/>
    <m/>
    <d v="2017-01-10T00:00:00"/>
    <s v="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P1"/>
    <n v="0"/>
    <m/>
    <n v="0"/>
    <s v="Lwegel Town"/>
    <n v="20.558236360788097"/>
    <n v="5"/>
  </r>
  <r>
    <x v="0"/>
    <x v="0"/>
    <s v="MMR001"/>
    <s v="Bhamo"/>
    <s v="MMR001D003"/>
    <x v="5"/>
    <s v="MMR001013"/>
    <s v="Man Wein"/>
    <s v="MMR001013021"/>
    <s v="Man Wein"/>
    <n v="167405"/>
    <x v="123"/>
    <x v="123"/>
    <x v="102"/>
    <n v="23.835319999999999"/>
    <n v="795"/>
    <n v="440"/>
    <n v="2236"/>
    <n v="5.081818181818182"/>
    <x v="0"/>
    <x v="0"/>
    <x v="0"/>
    <x v="1"/>
    <d v="2011-11-01T00:00:00"/>
    <n v="2"/>
    <x v="4"/>
    <s v="IP"/>
    <m/>
    <d v="2017-01-10T00:00:00"/>
    <s v="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P4"/>
    <n v="240"/>
    <m/>
    <n v="240"/>
    <s v="Namhkan Town"/>
    <n v="10.509375400480517"/>
    <n v="3"/>
  </r>
  <r>
    <x v="0"/>
    <x v="0"/>
    <s v="MMR001"/>
    <s v="Bhamo"/>
    <s v="MMR001D003"/>
    <x v="5"/>
    <s v="MMR001013"/>
    <s v="Man Wein"/>
    <s v="MMR001013021"/>
    <s v="Man Wein"/>
    <n v="167405"/>
    <x v="124"/>
    <x v="124"/>
    <x v="103"/>
    <n v="23.83013"/>
    <n v="741"/>
    <n v="107"/>
    <n v="528"/>
    <n v="4.9345794392523361"/>
    <x v="0"/>
    <x v="0"/>
    <x v="0"/>
    <x v="1"/>
    <d v="2012-02-01T00:00:00"/>
    <n v="2"/>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P4"/>
    <n v="33"/>
    <m/>
    <n v="33"/>
    <s v="Namhkan Town"/>
    <n v="9.3704379947870464"/>
    <n v="2"/>
  </r>
  <r>
    <x v="0"/>
    <x v="0"/>
    <s v="MMR001"/>
    <s v="Bhamo"/>
    <s v="MMR001D003"/>
    <x v="5"/>
    <s v="MMR001013"/>
    <s v="Man Wein"/>
    <s v="MMR001013021"/>
    <s v="Man Wein"/>
    <n v="167405"/>
    <x v="125"/>
    <x v="125"/>
    <x v="104"/>
    <n v="23.827870999999998"/>
    <m/>
    <n v="175"/>
    <n v="834"/>
    <n v="4.765714285714286"/>
    <x v="0"/>
    <x v="0"/>
    <x v="2"/>
    <x v="1"/>
    <m/>
    <m/>
    <x v="3"/>
    <s v="IP"/>
    <m/>
    <d v="2016-01-28T00:00:00"/>
    <s v="28/Jan/2016. Population update. Data source: KBC (mail by maran)_x000a_13/Dec/15. Population update. Data source: Mail by Ko Maran. Reason for pop changes: IDP in the host who were registered in the Man Win Bapitst Church (cultural compound) camp established their own separate entity as IDP in the host. _x000a_Population Update. Source: Save The Children."/>
    <s v="P4"/>
    <n v="0"/>
    <m/>
    <n v="0"/>
    <s v="Namhkan Town"/>
    <n v="9.5650381623500511"/>
    <n v="2"/>
  </r>
  <r>
    <x v="1"/>
    <x v="0"/>
    <s v="MMR001"/>
    <s v="Bhamo"/>
    <s v="MMR001D003"/>
    <x v="5"/>
    <s v="MMR001013"/>
    <s v="La Gat Dawt"/>
    <s v="MMR001013027"/>
    <m/>
    <m/>
    <x v="126"/>
    <x v="126"/>
    <x v="105"/>
    <n v="23.9055"/>
    <n v="745"/>
    <n v="0"/>
    <n v="0"/>
    <s v="NA"/>
    <x v="1"/>
    <x v="0"/>
    <x v="0"/>
    <x v="3"/>
    <d v="2012-08-01T00:00:00"/>
    <n v="2"/>
    <x v="4"/>
    <s v="IP"/>
    <m/>
    <d v="2015-08-19T00:00:00"/>
    <s v="19-Aug-15 Close. Source: CCCM Unit._x000a_Population source: KMSS-BMO"/>
    <s v="P2"/>
    <n v="0"/>
    <m/>
    <n v="0"/>
    <s v="Namhkan Town"/>
    <n v="12.392289083396149"/>
    <n v="3"/>
  </r>
  <r>
    <x v="1"/>
    <x v="0"/>
    <s v="MMR001"/>
    <s v="Bhamo"/>
    <s v="MMR001D003"/>
    <x v="5"/>
    <s v="MMR001013"/>
    <s v="Man Wein"/>
    <s v="MMR001013021"/>
    <m/>
    <m/>
    <x v="127"/>
    <x v="127"/>
    <x v="33"/>
    <m/>
    <m/>
    <n v="0"/>
    <n v="0"/>
    <s v="NA"/>
    <x v="1"/>
    <x v="0"/>
    <x v="0"/>
    <x v="2"/>
    <m/>
    <m/>
    <x v="3"/>
    <s v="IP"/>
    <m/>
    <d v="2014-04-08T00:00:00"/>
    <s v="Closed. Move to Bum Tist Pa II and Man Wing. HH113/Pop837"/>
    <s v=""/>
    <n v="0"/>
    <m/>
    <n v="0"/>
    <s v=""/>
    <s v=""/>
    <s v=""/>
  </r>
  <r>
    <x v="1"/>
    <x v="0"/>
    <s v="MMR001"/>
    <s v="Bhamo"/>
    <s v="MMR001D003"/>
    <x v="5"/>
    <s v="MMR001013"/>
    <s v="Nam Lin Pa"/>
    <s v="MMR001013037"/>
    <m/>
    <m/>
    <x v="128"/>
    <x v="128"/>
    <x v="106"/>
    <n v="23.75817"/>
    <m/>
    <n v="0"/>
    <n v="0"/>
    <s v="NA"/>
    <x v="1"/>
    <x v="0"/>
    <x v="0"/>
    <x v="2"/>
    <m/>
    <m/>
    <x v="3"/>
    <s v="IRRC"/>
    <m/>
    <m/>
    <s v="This IDP are registered in Nam Lim pa (Boarder) (MMR001CMP204). We should not calculate this number in total. "/>
    <s v=""/>
    <n v="0"/>
    <m/>
    <n v="0"/>
    <s v=""/>
    <s v=""/>
    <s v=""/>
  </r>
  <r>
    <x v="1"/>
    <x v="0"/>
    <s v="MMR001"/>
    <s v="Myitkyina"/>
    <s v="MMR001D001"/>
    <x v="12"/>
    <s v="MMR001003"/>
    <m/>
    <m/>
    <m/>
    <m/>
    <x v="129"/>
    <x v="129"/>
    <x v="33"/>
    <m/>
    <m/>
    <n v="0"/>
    <n v="0"/>
    <s v="NA"/>
    <x v="0"/>
    <x v="0"/>
    <x v="0"/>
    <x v="2"/>
    <m/>
    <m/>
    <x v="3"/>
    <m/>
    <m/>
    <d v="2014-03-14T00:00:00"/>
    <s v="Close. According to RRC's info, this camp does not include in reported list."/>
    <s v=""/>
    <n v="0"/>
    <m/>
    <n v="0"/>
    <s v=""/>
    <s v=""/>
    <s v=""/>
  </r>
  <r>
    <x v="0"/>
    <x v="0"/>
    <s v="MMR001"/>
    <s v="Bhamo"/>
    <s v="MMR001D003"/>
    <x v="6"/>
    <s v="MMR001011"/>
    <m/>
    <m/>
    <m/>
    <m/>
    <x v="130"/>
    <x v="130"/>
    <x v="33"/>
    <m/>
    <m/>
    <n v="375"/>
    <n v="1691"/>
    <n v="4.5093333333333332"/>
    <x v="1"/>
    <x v="0"/>
    <x v="2"/>
    <x v="1"/>
    <d v="2014-03-03T00:00:00"/>
    <m/>
    <x v="3"/>
    <s v="IRRC"/>
    <m/>
    <d v="2014-03-03T00:00:00"/>
    <s v="Change to Host Families."/>
    <s v="P4"/>
    <n v="0"/>
    <m/>
    <n v="0"/>
    <s v=""/>
    <s v=""/>
    <s v=""/>
  </r>
  <r>
    <x v="0"/>
    <x v="0"/>
    <s v="MMR001"/>
    <s v="Mohnyin"/>
    <s v="MMR001D002"/>
    <x v="11"/>
    <s v="MMR001009"/>
    <s v="Nam Si In (Karmaing Sub-township)"/>
    <s v="MMR001009012"/>
    <s v="Htwe San Yang"/>
    <n v="220512"/>
    <x v="131"/>
    <x v="131"/>
    <x v="107"/>
    <n v="25.51352"/>
    <n v="0"/>
    <n v="13"/>
    <n v="46"/>
    <n v="3.5384615384615383"/>
    <x v="0"/>
    <x v="0"/>
    <x v="0"/>
    <x v="0"/>
    <d v="2012-10-01T00:00:00"/>
    <n v="1"/>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P4"/>
    <n v="13"/>
    <m/>
    <n v="13"/>
    <s v="Kamaing Town"/>
    <n v="1.1537462444167914"/>
    <n v="1"/>
  </r>
  <r>
    <x v="0"/>
    <x v="0"/>
    <s v="MMR001"/>
    <s v="Myitkyina"/>
    <s v="MMR001D001"/>
    <x v="1"/>
    <s v="MMR001002"/>
    <s v="Hpawt Dawt"/>
    <s v="MMR001002032"/>
    <s v="Lai Zar"/>
    <n v="165816"/>
    <x v="132"/>
    <x v="132"/>
    <x v="108"/>
    <n v="25.108011999999999"/>
    <m/>
    <n v="355"/>
    <n v="4450"/>
    <n v="12.535211267605634"/>
    <x v="1"/>
    <x v="1"/>
    <x v="3"/>
    <x v="0"/>
    <m/>
    <m/>
    <x v="3"/>
    <s v="IRRC"/>
    <m/>
    <d v="2014-06-13T00:00:00"/>
    <s v="2015-04-01 : According to UNICEF and WFP this location is a village. People are not IDP but are affected by the crisis. That s why it would remain in the list._x000a_Geo-Info, HH/Pop data was updated from Google Earth."/>
    <s v="P4"/>
    <n v="0"/>
    <m/>
    <n v="0"/>
    <s v="Sadung Town"/>
    <n v="34.344689881690819"/>
    <n v="7"/>
  </r>
  <r>
    <x v="0"/>
    <x v="0"/>
    <s v="MMR001"/>
    <s v="Mohnyin"/>
    <s v="MMR001D002"/>
    <x v="10"/>
    <s v="MMR001007"/>
    <s v="Nam Mun"/>
    <s v="MMR001007016"/>
    <s v="Indawgyi"/>
    <m/>
    <x v="133"/>
    <x v="133"/>
    <x v="76"/>
    <n v="24.998349999999999"/>
    <m/>
    <n v="10"/>
    <n v="60"/>
    <n v="6"/>
    <x v="0"/>
    <x v="0"/>
    <x v="0"/>
    <x v="1"/>
    <d v="2012-02-01T00:00:00"/>
    <n v="1"/>
    <x v="0"/>
    <s v="IP"/>
    <m/>
    <d v="2017-01-10T00:00:00"/>
    <s v="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P4"/>
    <n v="0"/>
    <m/>
    <n v="0"/>
    <s v="Hopin Town"/>
    <n v="16.668825701583572"/>
    <n v="4"/>
  </r>
  <r>
    <x v="1"/>
    <x v="0"/>
    <s v="MMR001"/>
    <s v="Bhamo"/>
    <s v="MMR001D003"/>
    <x v="3"/>
    <s v="MMR001010"/>
    <m/>
    <m/>
    <m/>
    <m/>
    <x v="134"/>
    <x v="134"/>
    <x v="33"/>
    <m/>
    <m/>
    <n v="0"/>
    <n v="0"/>
    <s v="NA"/>
    <x v="0"/>
    <x v="0"/>
    <x v="2"/>
    <x v="2"/>
    <m/>
    <m/>
    <x v="3"/>
    <m/>
    <s v="Estimation"/>
    <d v="2014-01-27T00:00:00"/>
    <s v="Closed : Source, OCHA"/>
    <s v=""/>
    <n v="0"/>
    <m/>
    <n v="0"/>
    <s v=""/>
    <s v=""/>
    <s v=""/>
  </r>
  <r>
    <x v="0"/>
    <x v="0"/>
    <s v="MMR001"/>
    <s v="Myitkyina"/>
    <s v="MMR001D001"/>
    <x v="1"/>
    <s v="MMR001002"/>
    <s v="Saga Pa"/>
    <s v="MMR001002040"/>
    <s v="Saga Pa"/>
    <n v="165895"/>
    <x v="135"/>
    <x v="135"/>
    <x v="109"/>
    <n v="25.265277999999999"/>
    <n v="2764"/>
    <n v="98"/>
    <n v="563"/>
    <n v="5.7448979591836737"/>
    <x v="1"/>
    <x v="0"/>
    <x v="0"/>
    <x v="3"/>
    <d v="2011-11-01T00:00:00"/>
    <n v="2"/>
    <x v="2"/>
    <s v="IP"/>
    <m/>
    <d v="2017-01-10T00:00:00"/>
    <s v="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P1"/>
    <n v="33"/>
    <m/>
    <n v="33"/>
    <s v="Sadung Town"/>
    <n v="17.035515422123492"/>
    <n v="4"/>
  </r>
  <r>
    <x v="0"/>
    <x v="0"/>
    <s v="MMR001"/>
    <s v="Myitkyina"/>
    <s v="MMR001D001"/>
    <x v="0"/>
    <s v="MMR001001"/>
    <s v="Pa La Na Sa Khan Myar"/>
    <s v="MMR001001003"/>
    <s v="Pi Tauk Myaing"/>
    <n v="165685"/>
    <x v="136"/>
    <x v="136"/>
    <x v="110"/>
    <n v="25.493819999999999"/>
    <m/>
    <n v="46"/>
    <n v="278"/>
    <n v="6.0434782608695654"/>
    <x v="0"/>
    <x v="0"/>
    <x v="0"/>
    <x v="0"/>
    <d v="2012-12-01T00:00:00"/>
    <m/>
    <x v="2"/>
    <s v="IP"/>
    <m/>
    <d v="2017-01-10T00:00:00"/>
    <s v="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P4"/>
    <n v="2"/>
    <m/>
    <n v="2"/>
    <s v="Myitkyina Town"/>
    <n v="12.627188913244609"/>
    <n v="3"/>
  </r>
  <r>
    <x v="0"/>
    <x v="0"/>
    <s v="MMR001"/>
    <s v="Bhamo"/>
    <s v="MMR001D003"/>
    <x v="3"/>
    <s v="MMR001010"/>
    <s v="Bhamo Town"/>
    <s v="MMR001010701"/>
    <m/>
    <m/>
    <x v="137"/>
    <x v="137"/>
    <x v="111"/>
    <n v="24.263786"/>
    <m/>
    <n v="211"/>
    <n v="989"/>
    <n v="4.6872037914691944"/>
    <x v="0"/>
    <x v="0"/>
    <x v="2"/>
    <x v="0"/>
    <m/>
    <m/>
    <x v="3"/>
    <s v="IP"/>
    <m/>
    <d v="2015-11-09T00:00:00"/>
    <s v="9/Nov/15. Population update. Data source: mail from Pancy (WFP)._x000a_Update IDP increased in Oct and Nov 2013 from Angela (UNHCR - Bhamo)"/>
    <s v="P4"/>
    <n v="0"/>
    <m/>
    <n v="0"/>
    <s v="Bhamo Town"/>
    <n v="1.1354007641426449"/>
    <n v="1"/>
  </r>
  <r>
    <x v="0"/>
    <x v="0"/>
    <s v="MMR001"/>
    <s v="Mohnyin"/>
    <s v="MMR001D002"/>
    <x v="11"/>
    <s v="MMR001009"/>
    <s v="Hpakan Town"/>
    <s v="MMR001009701"/>
    <s v="Maw Wam Ward"/>
    <s v="MMR001009701501"/>
    <x v="138"/>
    <x v="138"/>
    <x v="112"/>
    <n v="25.61842"/>
    <n v="250"/>
    <n v="15"/>
    <n v="73"/>
    <n v="4.8666666666666663"/>
    <x v="0"/>
    <x v="0"/>
    <x v="0"/>
    <x v="0"/>
    <d v="2013-01-01T00:00:00"/>
    <n v="1"/>
    <x v="1"/>
    <s v="IP"/>
    <m/>
    <d v="2017-01-10T00:00:00"/>
    <s v="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P4"/>
    <n v="0"/>
    <m/>
    <n v="0"/>
    <s v="Hpakant Town"/>
    <n v="0.75842119772531946"/>
    <n v="1"/>
  </r>
  <r>
    <x v="0"/>
    <x v="0"/>
    <s v="MMR001"/>
    <s v="Mohnyin"/>
    <s v="MMR001D002"/>
    <x v="11"/>
    <s v="MMR001009"/>
    <s v="Lone Khin"/>
    <s v="MMR001009001"/>
    <s v="Lone Khin"/>
    <n v="166773"/>
    <x v="139"/>
    <x v="139"/>
    <x v="113"/>
    <n v="25.655819999999999"/>
    <n v="317"/>
    <n v="77"/>
    <n v="411"/>
    <n v="5.337662337662338"/>
    <x v="0"/>
    <x v="0"/>
    <x v="0"/>
    <x v="1"/>
    <d v="2013-01-01T00:00:00"/>
    <m/>
    <x v="2"/>
    <s v="IP"/>
    <m/>
    <d v="2017-01-10T00:00:00"/>
    <s v="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P4"/>
    <n v="65"/>
    <m/>
    <n v="65"/>
    <s v="Hpakant Town"/>
    <n v="6.3039408411778268"/>
    <n v="2"/>
  </r>
  <r>
    <x v="0"/>
    <x v="0"/>
    <s v="MMR001"/>
    <s v="Mohnyin"/>
    <s v="MMR001D002"/>
    <x v="11"/>
    <s v="MMR001009"/>
    <s v="Lone Khin"/>
    <s v="MMR001009001"/>
    <s v="Hmaw Si Zar"/>
    <n v="166775"/>
    <x v="140"/>
    <x v="140"/>
    <x v="114"/>
    <n v="25.647649999999999"/>
    <n v="0"/>
    <n v="38"/>
    <n v="233"/>
    <n v="6.1315789473684212"/>
    <x v="0"/>
    <x v="0"/>
    <x v="0"/>
    <x v="1"/>
    <d v="2013-01-01T00:00:00"/>
    <n v="2"/>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P4"/>
    <n v="18"/>
    <m/>
    <n v="18"/>
    <s v="Hpakant Town"/>
    <n v="5.184483270539272"/>
    <n v="2"/>
  </r>
  <r>
    <x v="1"/>
    <x v="0"/>
    <s v="MMR001"/>
    <s v="Mohnyin"/>
    <s v="MMR001D002"/>
    <x v="11"/>
    <s v="MMR001009"/>
    <s v="Lone Khin"/>
    <s v="MMR001009001"/>
    <s v="Ku Day"/>
    <n v="216877"/>
    <x v="141"/>
    <x v="141"/>
    <x v="115"/>
    <n v="25.655989999999999"/>
    <m/>
    <n v="0"/>
    <n v="0"/>
    <s v="NA"/>
    <x v="0"/>
    <x v="0"/>
    <x v="0"/>
    <x v="2"/>
    <m/>
    <m/>
    <x v="3"/>
    <m/>
    <m/>
    <m/>
    <s v=" "/>
    <s v=""/>
    <n v="0"/>
    <m/>
    <n v="0"/>
    <s v=""/>
    <s v=""/>
    <s v=""/>
  </r>
  <r>
    <x v="1"/>
    <x v="0"/>
    <s v="MMR001"/>
    <s v="Mohnyin"/>
    <s v="MMR001D002"/>
    <x v="11"/>
    <s v="MMR001009"/>
    <s v="Lone Khin"/>
    <s v="MMR001009001"/>
    <s v="Lone Khin"/>
    <n v="166773"/>
    <x v="142"/>
    <x v="142"/>
    <x v="116"/>
    <n v="25.658650000000002"/>
    <m/>
    <n v="0"/>
    <n v="0"/>
    <s v="NA"/>
    <x v="0"/>
    <x v="0"/>
    <x v="0"/>
    <x v="2"/>
    <m/>
    <m/>
    <x v="3"/>
    <m/>
    <m/>
    <m/>
    <s v=" "/>
    <s v=""/>
    <n v="0"/>
    <m/>
    <n v="0"/>
    <s v=""/>
    <s v=""/>
    <s v=""/>
  </r>
  <r>
    <x v="1"/>
    <x v="0"/>
    <s v="MMR001"/>
    <s v="Mohnyin"/>
    <s v="MMR001D002"/>
    <x v="11"/>
    <s v="MMR001009"/>
    <s v="Lone Khin"/>
    <s v="MMR001009001"/>
    <s v="Ma Sut Yang"/>
    <n v="216880"/>
    <x v="143"/>
    <x v="143"/>
    <x v="113"/>
    <n v="25.668469999999999"/>
    <n v="256"/>
    <n v="0"/>
    <n v="0"/>
    <s v="NA"/>
    <x v="0"/>
    <x v="0"/>
    <x v="0"/>
    <x v="1"/>
    <d v="2013-01-01T00:00:00"/>
    <m/>
    <x v="3"/>
    <s v="RRD"/>
    <m/>
    <d v="2014-05-15T00:00:00"/>
    <s v="Only one HH left, included in Lon Khin Baptist distribution list."/>
    <s v=""/>
    <n v="0"/>
    <m/>
    <n v="0"/>
    <s v=""/>
    <s v=""/>
    <s v=""/>
  </r>
  <r>
    <x v="1"/>
    <x v="0"/>
    <s v="MMR001"/>
    <s v="Mohnyin"/>
    <s v="MMR001D002"/>
    <x v="11"/>
    <s v="MMR001009"/>
    <s v="Lone Khin"/>
    <s v="MMR001009001"/>
    <s v="Hmaw Si Zar"/>
    <n v="166775"/>
    <x v="144"/>
    <x v="144"/>
    <x v="33"/>
    <m/>
    <m/>
    <n v="0"/>
    <n v="0"/>
    <s v="NA"/>
    <x v="0"/>
    <x v="0"/>
    <x v="0"/>
    <x v="2"/>
    <m/>
    <m/>
    <x v="3"/>
    <m/>
    <m/>
    <m/>
    <s v=" "/>
    <s v=""/>
    <n v="0"/>
    <m/>
    <n v="0"/>
    <s v=""/>
    <s v=""/>
    <s v=""/>
  </r>
  <r>
    <x v="0"/>
    <x v="0"/>
    <s v="MMR001"/>
    <s v="Mohnyin"/>
    <s v="MMR001D002"/>
    <x v="11"/>
    <s v="MMR001009"/>
    <s v="Lone Khin"/>
    <s v="MMR001009001"/>
    <s v="Nyein Chan Thar Yar"/>
    <n v="216876"/>
    <x v="145"/>
    <x v="145"/>
    <x v="117"/>
    <n v="25.637309999999999"/>
    <n v="277.60000000000002"/>
    <n v="66"/>
    <n v="362"/>
    <n v="5.4848484848484844"/>
    <x v="0"/>
    <x v="0"/>
    <x v="0"/>
    <x v="0"/>
    <d v="2013-01-01T00:00:00"/>
    <n v="1"/>
    <x v="1"/>
    <s v="IP"/>
    <m/>
    <d v="2017-01-10T00:00:00"/>
    <s v="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P4"/>
    <n v="0"/>
    <m/>
    <n v="0"/>
    <s v="Hpakant Town"/>
    <n v="4.8862832644478198"/>
    <n v="1"/>
  </r>
  <r>
    <x v="1"/>
    <x v="0"/>
    <s v="MMR001"/>
    <s v="Mohnyin"/>
    <s v="MMR001D002"/>
    <x v="11"/>
    <s v="MMR001009"/>
    <s v="Hpakan Town"/>
    <s v="MMR001009701"/>
    <s v="Ma Shi Ka Htaung Ward"/>
    <s v="MMR001009701505"/>
    <x v="146"/>
    <x v="146"/>
    <x v="33"/>
    <m/>
    <m/>
    <n v="0"/>
    <n v="0"/>
    <s v="NA"/>
    <x v="0"/>
    <x v="0"/>
    <x v="0"/>
    <x v="2"/>
    <m/>
    <m/>
    <x v="3"/>
    <m/>
    <m/>
    <m/>
    <s v=" "/>
    <s v=""/>
    <n v="0"/>
    <m/>
    <n v="0"/>
    <s v=""/>
    <s v=""/>
    <s v=""/>
  </r>
  <r>
    <x v="0"/>
    <x v="0"/>
    <s v="MMR001"/>
    <s v="Mohnyin"/>
    <s v="MMR001D002"/>
    <x v="11"/>
    <s v="MMR001009"/>
    <s v="Lone Khin"/>
    <s v="MMR001009001"/>
    <s v="Lone Khin"/>
    <n v="166773"/>
    <x v="147"/>
    <x v="147"/>
    <x v="118"/>
    <n v="25.635300000000001"/>
    <n v="0"/>
    <n v="67"/>
    <n v="353"/>
    <n v="5.2686567164179108"/>
    <x v="0"/>
    <x v="0"/>
    <x v="0"/>
    <x v="0"/>
    <d v="2013-01-01T00:00:00"/>
    <n v="1"/>
    <x v="1"/>
    <s v="IP"/>
    <m/>
    <d v="2017-01-10T00:00:00"/>
    <s v="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P4"/>
    <n v="7"/>
    <m/>
    <n v="7"/>
    <s v="Hpakant Town"/>
    <n v="4.1842484710239098"/>
    <n v="1"/>
  </r>
  <r>
    <x v="1"/>
    <x v="0"/>
    <s v="MMR001"/>
    <s v="Mohnyin"/>
    <s v="MMR001D002"/>
    <x v="11"/>
    <s v="MMR001009"/>
    <s v="Lone Khin"/>
    <s v="MMR001009001"/>
    <s v="Lone Khin"/>
    <n v="166773"/>
    <x v="148"/>
    <x v="148"/>
    <x v="119"/>
    <n v="25.658670000000001"/>
    <n v="0"/>
    <n v="0"/>
    <n v="0"/>
    <s v="NA"/>
    <x v="0"/>
    <x v="0"/>
    <x v="0"/>
    <x v="1"/>
    <d v="2013-01-01T00:00:00"/>
    <m/>
    <x v="3"/>
    <s v="RRD"/>
    <m/>
    <d v="2014-05-15T00:00:00"/>
    <s v="Closed."/>
    <s v=""/>
    <n v="0"/>
    <m/>
    <n v="0"/>
    <s v=""/>
    <s v=""/>
    <s v=""/>
  </r>
  <r>
    <x v="1"/>
    <x v="0"/>
    <s v="MMR001"/>
    <s v="Mohnyin"/>
    <s v="MMR001D002"/>
    <x v="11"/>
    <s v="MMR001009"/>
    <s v="Lone Khin"/>
    <s v="MMR001009001"/>
    <s v="Lone Khin"/>
    <n v="166773"/>
    <x v="149"/>
    <x v="149"/>
    <x v="120"/>
    <n v="25.651440000000001"/>
    <m/>
    <n v="0"/>
    <n v="0"/>
    <s v="NA"/>
    <x v="0"/>
    <x v="0"/>
    <x v="0"/>
    <x v="2"/>
    <m/>
    <m/>
    <x v="3"/>
    <m/>
    <m/>
    <m/>
    <s v=" "/>
    <s v=""/>
    <n v="0"/>
    <m/>
    <n v="0"/>
    <s v=""/>
    <s v=""/>
    <s v=""/>
  </r>
  <r>
    <x v="0"/>
    <x v="0"/>
    <s v="MMR001"/>
    <s v="Mohnyin"/>
    <s v="MMR001D002"/>
    <x v="11"/>
    <s v="MMR001009"/>
    <s v="Lone Khin"/>
    <s v="MMR001009001"/>
    <s v="Lone Khin"/>
    <n v="166773"/>
    <x v="150"/>
    <x v="150"/>
    <x v="121"/>
    <n v="25.656130000000001"/>
    <n v="0"/>
    <n v="67"/>
    <n v="350"/>
    <n v="5.2238805970149258"/>
    <x v="0"/>
    <x v="0"/>
    <x v="0"/>
    <x v="1"/>
    <d v="2013-01-01T00:00:00"/>
    <n v="2"/>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P4"/>
    <n v="47"/>
    <m/>
    <n v="47"/>
    <s v="Hpakant Town"/>
    <n v="6.4753396248436657"/>
    <n v="2"/>
  </r>
  <r>
    <x v="1"/>
    <x v="0"/>
    <s v="MMR001"/>
    <s v="Mohnyin"/>
    <s v="MMR001D002"/>
    <x v="11"/>
    <s v="MMR001009"/>
    <s v="Seik Mu"/>
    <s v="MMR001009003"/>
    <s v="Seik Mu"/>
    <n v="166783"/>
    <x v="151"/>
    <x v="151"/>
    <x v="33"/>
    <m/>
    <m/>
    <n v="0"/>
    <n v="0"/>
    <s v="NA"/>
    <x v="0"/>
    <x v="0"/>
    <x v="0"/>
    <x v="1"/>
    <m/>
    <m/>
    <x v="3"/>
    <s v="IP"/>
    <m/>
    <d v="2014-05-15T00:00:00"/>
    <s v="Closed."/>
    <s v=""/>
    <n v="0"/>
    <m/>
    <n v="0"/>
    <s v=""/>
    <s v=""/>
    <s v=""/>
  </r>
  <r>
    <x v="0"/>
    <x v="0"/>
    <s v="MMR001"/>
    <s v="Mohnyin"/>
    <s v="MMR001D002"/>
    <x v="11"/>
    <s v="MMR001009"/>
    <s v="Seik Mu"/>
    <s v="MMR001009003"/>
    <s v="Maw Shan"/>
    <n v="166785"/>
    <x v="152"/>
    <x v="152"/>
    <x v="122"/>
    <n v="25.566510000000001"/>
    <n v="278"/>
    <n v="25"/>
    <n v="118"/>
    <n v="4.72"/>
    <x v="0"/>
    <x v="0"/>
    <x v="0"/>
    <x v="1"/>
    <d v="2013-01-01T00:00:00"/>
    <n v="1"/>
    <x v="1"/>
    <s v="IP"/>
    <m/>
    <d v="2017-01-10T00:00:00"/>
    <s v="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P4"/>
    <n v="0"/>
    <m/>
    <n v="0"/>
    <s v="Hpakant Town"/>
    <n v="6.7094919928483892"/>
    <n v="2"/>
  </r>
  <r>
    <x v="0"/>
    <x v="0"/>
    <s v="MMR001"/>
    <s v="Mohnyin"/>
    <s v="MMR001D002"/>
    <x v="11"/>
    <s v="MMR001009"/>
    <s v="Seik Mu"/>
    <s v="MMR001009003"/>
    <s v="Maw Shan"/>
    <n v="166785"/>
    <x v="153"/>
    <x v="153"/>
    <x v="123"/>
    <n v="25.56551"/>
    <n v="259"/>
    <n v="10"/>
    <n v="39"/>
    <n v="3.9"/>
    <x v="0"/>
    <x v="0"/>
    <x v="0"/>
    <x v="1"/>
    <d v="2013-01-01T00:00:00"/>
    <n v="1"/>
    <x v="1"/>
    <s v="IP"/>
    <m/>
    <d v="2017-01-10T00:00:00"/>
    <s v="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P4"/>
    <n v="0"/>
    <m/>
    <n v="0"/>
    <s v="Hpakant Town"/>
    <n v="6.2085564346706201"/>
    <n v="2"/>
  </r>
  <r>
    <x v="0"/>
    <x v="0"/>
    <s v="MMR001"/>
    <s v="Mohnyin"/>
    <s v="MMR001D002"/>
    <x v="11"/>
    <s v="MMR001009"/>
    <s v="Seik Mu"/>
    <s v="MMR001009003"/>
    <s v="Maw Shan"/>
    <n v="166785"/>
    <x v="154"/>
    <x v="154"/>
    <x v="124"/>
    <n v="25.668399999999998"/>
    <n v="0"/>
    <n v="8"/>
    <n v="36"/>
    <n v="4.5"/>
    <x v="0"/>
    <x v="0"/>
    <x v="0"/>
    <x v="1"/>
    <d v="2013-01-01T00:00:00"/>
    <n v="1"/>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P4"/>
    <n v="3"/>
    <m/>
    <n v="3"/>
    <s v="Hpakant Town"/>
    <n v="7.419312682373878"/>
    <n v="2"/>
  </r>
  <r>
    <x v="0"/>
    <x v="0"/>
    <s v="MMR001"/>
    <s v="Mohnyin"/>
    <s v="MMR001D002"/>
    <x v="11"/>
    <s v="MMR001009"/>
    <s v="Seik Mu"/>
    <s v="MMR001009003"/>
    <s v="Sai Taung (Ywar Haung)"/>
    <n v="166788"/>
    <x v="155"/>
    <x v="155"/>
    <x v="125"/>
    <n v="25.577559999999998"/>
    <n v="0"/>
    <n v="35"/>
    <n v="173"/>
    <n v="4.9428571428571431"/>
    <x v="0"/>
    <x v="0"/>
    <x v="0"/>
    <x v="0"/>
    <d v="2013-01-01T00:00:00"/>
    <n v="2"/>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P4"/>
    <n v="20"/>
    <m/>
    <n v="20"/>
    <s v="Hpakant Town"/>
    <n v="4.6754712546149264"/>
    <n v="1"/>
  </r>
  <r>
    <x v="1"/>
    <x v="0"/>
    <s v="MMR001"/>
    <s v="Mohnyin"/>
    <s v="MMR001D002"/>
    <x v="11"/>
    <s v="MMR001009"/>
    <s v="Seik Mu"/>
    <s v="MMR001009003"/>
    <s v="Seik Mu"/>
    <n v="166783"/>
    <x v="156"/>
    <x v="156"/>
    <x v="126"/>
    <n v="25.57921"/>
    <n v="0"/>
    <n v="0"/>
    <n v="0"/>
    <s v="NA"/>
    <x v="0"/>
    <x v="0"/>
    <x v="0"/>
    <x v="1"/>
    <d v="2013-01-01T00:00:00"/>
    <m/>
    <x v="2"/>
    <s v="RRD"/>
    <m/>
    <d v="2014-04-07T00:00:00"/>
    <s v="Move to Nant Ma Hpit Catholic Church."/>
    <s v=""/>
    <n v="0"/>
    <m/>
    <n v="0"/>
    <s v=""/>
    <s v=""/>
    <s v=""/>
  </r>
  <r>
    <x v="1"/>
    <x v="0"/>
    <s v="MMR001"/>
    <s v="Mohnyin"/>
    <s v="MMR001D002"/>
    <x v="11"/>
    <s v="MMR001009"/>
    <s v="Seik Mu"/>
    <s v="MMR001009003"/>
    <s v="Seik Mu"/>
    <n v="166783"/>
    <x v="157"/>
    <x v="157"/>
    <x v="33"/>
    <m/>
    <m/>
    <n v="0"/>
    <n v="0"/>
    <s v="NA"/>
    <x v="0"/>
    <x v="0"/>
    <x v="0"/>
    <x v="2"/>
    <m/>
    <m/>
    <x v="3"/>
    <s v="RRD"/>
    <m/>
    <d v="2014-01-24T00:00:00"/>
    <s v="UNOCHA"/>
    <s v=""/>
    <n v="0"/>
    <m/>
    <n v="0"/>
    <s v=""/>
    <s v=""/>
    <s v=""/>
  </r>
  <r>
    <x v="1"/>
    <x v="0"/>
    <s v="MMR001"/>
    <s v="Mohnyin"/>
    <s v="MMR001D002"/>
    <x v="11"/>
    <s v="MMR001009"/>
    <s v="Nawng Mi"/>
    <s v="MMR001009008"/>
    <s v="Nawng Myi"/>
    <n v="166817"/>
    <x v="158"/>
    <x v="158"/>
    <x v="127"/>
    <n v="25.728653000000001"/>
    <m/>
    <n v="0"/>
    <n v="0"/>
    <s v="NA"/>
    <x v="0"/>
    <x v="0"/>
    <x v="0"/>
    <x v="1"/>
    <m/>
    <n v="1"/>
    <x v="1"/>
    <s v="IP"/>
    <m/>
    <d v="2015-04-02T00:00:00"/>
    <s v="19-Aug-15 Closed. IDP were provided with individual lands within Naung Hmee village and transit toward semi-permanent settlement. Source: CCCM Unit_x000a_2-Apr-15 (Population update, Source: UNHCR CCCM Mission)_x000a_Population update: Source: Camp Profile Round 2."/>
    <s v="P4"/>
    <n v="0"/>
    <m/>
    <n v="0"/>
    <s v="Kamaing Town"/>
    <n v="23.222739740353646"/>
    <n v="5"/>
  </r>
  <r>
    <x v="1"/>
    <x v="0"/>
    <s v="MMR001"/>
    <s v="Mohnyin"/>
    <s v="MMR001D002"/>
    <x v="11"/>
    <s v="MMR001009"/>
    <s v="Hpakan Town"/>
    <s v="MMR001009701"/>
    <s v="Maw Wam Ward"/>
    <s v="MMR001009701501"/>
    <x v="159"/>
    <x v="159"/>
    <x v="33"/>
    <m/>
    <m/>
    <n v="0"/>
    <n v="0"/>
    <s v="NA"/>
    <x v="0"/>
    <x v="0"/>
    <x v="0"/>
    <x v="2"/>
    <m/>
    <m/>
    <x v="3"/>
    <m/>
    <m/>
    <m/>
    <m/>
    <s v=""/>
    <n v="0"/>
    <m/>
    <n v="0"/>
    <s v=""/>
    <s v=""/>
    <s v=""/>
  </r>
  <r>
    <x v="0"/>
    <x v="0"/>
    <s v="MMR001"/>
    <s v="Mohnyin"/>
    <s v="MMR001D002"/>
    <x v="11"/>
    <s v="MMR001009"/>
    <s v="Hpakan Town"/>
    <s v="MMR001009701"/>
    <s v="Maw Wam Ward"/>
    <s v="MMR001009701501"/>
    <x v="160"/>
    <x v="160"/>
    <x v="128"/>
    <n v="25.616509000000001"/>
    <n v="264"/>
    <n v="14"/>
    <n v="83"/>
    <n v="5.9285714285714288"/>
    <x v="0"/>
    <x v="0"/>
    <x v="0"/>
    <x v="0"/>
    <d v="2013-01-01T00:00:00"/>
    <n v="1"/>
    <x v="1"/>
    <s v="IP"/>
    <m/>
    <d v="2017-01-10T00:00:00"/>
    <s v="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P4"/>
    <n v="4"/>
    <m/>
    <n v="4"/>
    <s v="Hpakant Town"/>
    <n v="0.66733171900141897"/>
    <n v="1"/>
  </r>
  <r>
    <x v="0"/>
    <x v="0"/>
    <s v="MMR001"/>
    <s v="Mohnyin"/>
    <s v="MMR001D002"/>
    <x v="11"/>
    <s v="MMR001009"/>
    <s v="Hpakan Town"/>
    <s v="MMR001009701"/>
    <s v="Maw Wam Ward"/>
    <s v="MMR001009701501"/>
    <x v="161"/>
    <x v="161"/>
    <x v="129"/>
    <n v="25.615960999999999"/>
    <n v="281"/>
    <n v="5"/>
    <n v="34"/>
    <n v="6.8"/>
    <x v="0"/>
    <x v="0"/>
    <x v="0"/>
    <x v="0"/>
    <d v="2012-08-01T00:00:00"/>
    <n v="1"/>
    <x v="1"/>
    <s v="IP"/>
    <m/>
    <d v="2017-01-10T00:00:00"/>
    <s v="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P4"/>
    <n v="0"/>
    <m/>
    <n v="0"/>
    <s v="Hpakant Town"/>
    <n v="0.56771790814545575"/>
    <n v="1"/>
  </r>
  <r>
    <x v="0"/>
    <x v="0"/>
    <s v="MMR001"/>
    <s v="Mohnyin"/>
    <s v="MMR001D002"/>
    <x v="11"/>
    <s v="MMR001009"/>
    <s v="Nam Ma Hpyit"/>
    <s v="MMR001009002"/>
    <s v="Nam Ma Hpyit"/>
    <n v="166776"/>
    <x v="162"/>
    <x v="162"/>
    <x v="130"/>
    <n v="25.617998"/>
    <m/>
    <n v="12"/>
    <n v="50"/>
    <n v="4.166666666666667"/>
    <x v="0"/>
    <x v="0"/>
    <x v="0"/>
    <x v="0"/>
    <d v="2013-01-01T00:00:00"/>
    <n v="1"/>
    <x v="1"/>
    <s v="IP"/>
    <m/>
    <d v="2017-01-10T00:00:00"/>
    <s v="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P4"/>
    <n v="0"/>
    <m/>
    <n v="0"/>
    <s v="Hpakant Town"/>
    <n v="2.814225084976667"/>
    <n v="1"/>
  </r>
  <r>
    <x v="0"/>
    <x v="0"/>
    <s v="MMR001"/>
    <s v="Bhamo"/>
    <s v="MMR001D003"/>
    <x v="3"/>
    <s v="MMR001010"/>
    <s v="Han Te"/>
    <s v="MMR001010024"/>
    <s v="Hpan Hkar Kone"/>
    <n v="166854"/>
    <x v="163"/>
    <x v="163"/>
    <x v="131"/>
    <n v="24.222349999999999"/>
    <n v="0"/>
    <n v="150"/>
    <n v="761"/>
    <n v="5.0733333333333333"/>
    <x v="0"/>
    <x v="0"/>
    <x v="0"/>
    <x v="0"/>
    <d v="2013-01-01T00:00:00"/>
    <n v="1"/>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P4"/>
    <n v="24"/>
    <m/>
    <n v="24"/>
    <s v="Bhamo Town"/>
    <n v="4.067486452659054"/>
    <n v="1"/>
  </r>
  <r>
    <x v="0"/>
    <x v="0"/>
    <s v="MMR001"/>
    <s v="Bhamo"/>
    <s v="MMR001D003"/>
    <x v="3"/>
    <s v="MMR001010"/>
    <s v="Aung Thar"/>
    <s v="MMR001010048"/>
    <s v="Aung Thar"/>
    <n v="166904"/>
    <x v="164"/>
    <x v="164"/>
    <x v="131"/>
    <n v="24.260466999999998"/>
    <n v="0"/>
    <n v="12"/>
    <n v="56"/>
    <n v="4.666666666666667"/>
    <x v="0"/>
    <x v="0"/>
    <x v="0"/>
    <x v="0"/>
    <d v="2011-09-01T00:00:00"/>
    <n v="1"/>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P4"/>
    <n v="0"/>
    <m/>
    <n v="0"/>
    <s v="Bhamo Town"/>
    <n v="1.9489261822960435"/>
    <n v="1"/>
  </r>
  <r>
    <x v="0"/>
    <x v="0"/>
    <s v="MMR001"/>
    <s v="Myitkyina"/>
    <s v="MMR001D001"/>
    <x v="2"/>
    <s v="MMR001005"/>
    <s v="Urban"/>
    <s v="MMR001005701"/>
    <s v="Rit Law"/>
    <m/>
    <x v="165"/>
    <x v="165"/>
    <x v="132"/>
    <n v="25.887339999999998"/>
    <n v="259.10000000000002"/>
    <n v="143"/>
    <n v="637"/>
    <n v="4.4545454545454541"/>
    <x v="0"/>
    <x v="0"/>
    <x v="0"/>
    <x v="1"/>
    <d v="2012-02-01T00:00:00"/>
    <n v="1"/>
    <x v="1"/>
    <s v="IP"/>
    <m/>
    <d v="2017-01-10T00:00:00"/>
    <s v="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P1"/>
    <n v="70"/>
    <m/>
    <n v="70"/>
    <s v="Chipwi Town"/>
    <n v="0"/>
    <n v="1"/>
  </r>
  <r>
    <x v="0"/>
    <x v="0"/>
    <s v="MMR001"/>
    <s v="Bhamo"/>
    <s v="MMR001D003"/>
    <x v="5"/>
    <s v="MMR001013"/>
    <s v="Mansi Town"/>
    <s v="MMR001013701"/>
    <m/>
    <m/>
    <x v="137"/>
    <x v="166"/>
    <x v="133"/>
    <n v="24.118618999999999"/>
    <m/>
    <n v="76"/>
    <n v="256"/>
    <n v="3.3684210526315788"/>
    <x v="0"/>
    <x v="0"/>
    <x v="2"/>
    <x v="0"/>
    <m/>
    <m/>
    <x v="3"/>
    <s v="IP"/>
    <m/>
    <d v="2015-11-09T00:00:00"/>
    <s v="9/Nov/15. Population update. Data source: mail from Pancy (WFP)._x000a_Update IDP increased in Oct and Nov 2013 from (UNHCR - Bhamo)"/>
    <s v="P4"/>
    <n v="0"/>
    <m/>
    <n v="0"/>
    <s v="Mansi Town"/>
    <n v="0.51447052329458698"/>
    <n v="1"/>
  </r>
  <r>
    <x v="0"/>
    <x v="0"/>
    <s v="MMR001"/>
    <s v="Bhamo"/>
    <s v="MMR001D003"/>
    <x v="4"/>
    <s v="MMR001012"/>
    <s v="Momauk Town"/>
    <s v="MMR001012701"/>
    <m/>
    <m/>
    <x v="137"/>
    <x v="167"/>
    <x v="134"/>
    <n v="24.251232000000002"/>
    <m/>
    <n v="320"/>
    <n v="1125"/>
    <n v="3.515625"/>
    <x v="0"/>
    <x v="0"/>
    <x v="2"/>
    <x v="0"/>
    <m/>
    <m/>
    <x v="3"/>
    <s v="RRD"/>
    <m/>
    <d v="2015-11-09T00:00:00"/>
    <s v="9/Nov/15. Population update. Data source: mail from Pancy (WFP)."/>
    <s v="P4"/>
    <n v="0"/>
    <m/>
    <n v="0"/>
    <s v="Momauk Town"/>
    <n v="0.60629049139006752"/>
    <n v="1"/>
  </r>
  <r>
    <x v="0"/>
    <x v="0"/>
    <s v="MMR001"/>
    <s v="Bhamo"/>
    <s v="MMR001D003"/>
    <x v="4"/>
    <s v="MMR001012"/>
    <s v="Man Ping (Ping) (Dawthponeyan Sub-township)"/>
    <s v="MMR001012052"/>
    <s v="Man Ping"/>
    <n v="167270"/>
    <x v="166"/>
    <x v="168"/>
    <x v="135"/>
    <n v="24.759551999999999"/>
    <m/>
    <m/>
    <m/>
    <s v="NA"/>
    <x v="0"/>
    <x v="0"/>
    <x v="2"/>
    <x v="1"/>
    <m/>
    <m/>
    <x v="3"/>
    <s v="RRD"/>
    <m/>
    <d v="2014-06-13T00:00:00"/>
    <s v="Geo-Info, HH/Pop data was updated from Google Earth."/>
    <s v="P4"/>
    <n v="0"/>
    <m/>
    <n v="0"/>
    <s v="Dawthponeyan  Town"/>
    <n v="24.701686141136339"/>
    <n v="5"/>
  </r>
  <r>
    <x v="0"/>
    <x v="0"/>
    <s v="MMR001"/>
    <s v="Bhamo"/>
    <s v="MMR001D003"/>
    <x v="6"/>
    <s v="MMR001011"/>
    <s v="Shwegu Town"/>
    <s v="MMR001011701"/>
    <m/>
    <m/>
    <x v="137"/>
    <x v="169"/>
    <x v="136"/>
    <n v="24.224830999999998"/>
    <m/>
    <n v="9"/>
    <n v="30"/>
    <n v="3.3333333333333335"/>
    <x v="0"/>
    <x v="0"/>
    <x v="2"/>
    <x v="0"/>
    <m/>
    <m/>
    <x v="3"/>
    <s v="RRD"/>
    <m/>
    <m/>
    <m/>
    <s v="P4"/>
    <n v="0"/>
    <m/>
    <n v="0"/>
    <s v="Shwegu Town"/>
    <n v="2.3794331620169178"/>
    <n v="1"/>
  </r>
  <r>
    <x v="0"/>
    <x v="0"/>
    <s v="MMR001"/>
    <s v="Bhamo"/>
    <s v="MMR001D003"/>
    <x v="4"/>
    <s v="MMR001012"/>
    <s v="Khon Sint"/>
    <s v="MMR001012013"/>
    <s v="Khon Sint"/>
    <n v="167060"/>
    <x v="167"/>
    <x v="170"/>
    <x v="137"/>
    <n v="24.377054000000001"/>
    <m/>
    <n v="4"/>
    <n v="26"/>
    <n v="6.5"/>
    <x v="0"/>
    <x v="0"/>
    <x v="2"/>
    <x v="1"/>
    <m/>
    <m/>
    <x v="3"/>
    <s v="RRD"/>
    <m/>
    <d v="2014-03-03T00:00:00"/>
    <s v="Change to Host Families."/>
    <s v="P4"/>
    <n v="0"/>
    <m/>
    <n v="0"/>
    <s v="Momauk Town"/>
    <n v="13.446032768350749"/>
    <n v="3"/>
  </r>
  <r>
    <x v="1"/>
    <x v="0"/>
    <s v="MMR001"/>
    <s v="Mohnyin"/>
    <s v="MMR001D002"/>
    <x v="11"/>
    <s v="MMR001009"/>
    <s v="Hpakan Town"/>
    <s v="MMR001009701"/>
    <s v="Maw Wam Ward"/>
    <s v="MMR001009701501"/>
    <x v="168"/>
    <x v="171"/>
    <x v="138"/>
    <n v="25.615006000000001"/>
    <m/>
    <n v="0"/>
    <n v="0"/>
    <s v="NA"/>
    <x v="0"/>
    <x v="0"/>
    <x v="0"/>
    <x v="2"/>
    <m/>
    <m/>
    <x v="3"/>
    <m/>
    <m/>
    <m/>
    <s v=" "/>
    <s v=""/>
    <n v="0"/>
    <m/>
    <n v="0"/>
    <s v=""/>
    <s v=""/>
    <s v=""/>
  </r>
  <r>
    <x v="1"/>
    <x v="0"/>
    <s v="MMR001"/>
    <s v="Bhamo"/>
    <s v="MMR001D003"/>
    <x v="5"/>
    <s v="MMR001013"/>
    <s v="Man Mawn"/>
    <s v="MMR001013022"/>
    <m/>
    <m/>
    <x v="169"/>
    <x v="172"/>
    <x v="139"/>
    <n v="23.867713999999999"/>
    <n v="755"/>
    <n v="0"/>
    <n v="0"/>
    <s v="NA"/>
    <x v="1"/>
    <x v="0"/>
    <x v="0"/>
    <x v="1"/>
    <d v="2013-04-01T00:00:00"/>
    <n v="2"/>
    <x v="4"/>
    <s v="IP"/>
    <m/>
    <d v="2014-06-21T00:00:00"/>
    <s v="Closed. Source: Save The Children"/>
    <s v="P4"/>
    <n v="0"/>
    <m/>
    <n v="0"/>
    <s v=""/>
    <s v=""/>
    <s v=""/>
  </r>
  <r>
    <x v="1"/>
    <x v="0"/>
    <s v="MMR001"/>
    <s v="Bhamo"/>
    <s v="MMR001D003"/>
    <x v="5"/>
    <s v="MMR001013"/>
    <s v="Mung Ding Pa"/>
    <s v="MMR001013038"/>
    <m/>
    <m/>
    <x v="170"/>
    <x v="173"/>
    <x v="140"/>
    <n v="24.20645"/>
    <n v="781.8"/>
    <n v="0"/>
    <n v="0"/>
    <s v="NA"/>
    <x v="1"/>
    <x v="0"/>
    <x v="0"/>
    <x v="1"/>
    <d v="2012-07-01T00:00:00"/>
    <m/>
    <x v="3"/>
    <s v="IP"/>
    <m/>
    <d v="2014-01-22T00:00:00"/>
    <s v="Closed: Source UNHCR-Bhamo"/>
    <s v=""/>
    <n v="0"/>
    <m/>
    <n v="0"/>
    <s v=""/>
    <s v=""/>
    <s v=""/>
  </r>
  <r>
    <x v="1"/>
    <x v="0"/>
    <s v="MMR001"/>
    <s v="Bhamo"/>
    <s v="MMR001D003"/>
    <x v="5"/>
    <s v="MMR001013"/>
    <s v="Nam Lin Pa"/>
    <s v="MMR001013037"/>
    <m/>
    <m/>
    <x v="171"/>
    <x v="174"/>
    <x v="106"/>
    <n v="23.75817"/>
    <n v="781.8"/>
    <n v="0"/>
    <n v="0"/>
    <s v="NA"/>
    <x v="1"/>
    <x v="0"/>
    <x v="0"/>
    <x v="1"/>
    <d v="2012-07-01T00:00:00"/>
    <m/>
    <x v="3"/>
    <s v="IP"/>
    <m/>
    <m/>
    <s v="Closed: Source UNHCR-Bhamo"/>
    <s v=""/>
    <n v="0"/>
    <m/>
    <n v="0"/>
    <s v=""/>
    <s v=""/>
    <s v=""/>
  </r>
  <r>
    <x v="0"/>
    <x v="0"/>
    <s v="MMR001"/>
    <s v="Puta-O"/>
    <s v="MMR001D004"/>
    <x v="13"/>
    <s v="MMR001015"/>
    <s v="Sumprabum Town"/>
    <s v="MMR001015701"/>
    <m/>
    <m/>
    <x v="172"/>
    <x v="175"/>
    <x v="141"/>
    <n v="26.541930000000001"/>
    <n v="1025"/>
    <n v="5"/>
    <n v="32"/>
    <n v="6.4"/>
    <x v="0"/>
    <x v="0"/>
    <x v="0"/>
    <x v="1"/>
    <m/>
    <m/>
    <x v="3"/>
    <s v="RRD"/>
    <m/>
    <m/>
    <s v=" "/>
    <s v="P4"/>
    <n v="5"/>
    <m/>
    <n v="5"/>
    <s v="Sumprabum Town"/>
    <n v="0.23004407510846425"/>
    <n v="1"/>
  </r>
  <r>
    <x v="0"/>
    <x v="0"/>
    <s v="MMR001"/>
    <s v="Myitkyina"/>
    <s v="MMR001D001"/>
    <x v="1"/>
    <s v="MMR001002"/>
    <s v="Nam Sang Yang"/>
    <s v="MMR001002024"/>
    <m/>
    <m/>
    <x v="173"/>
    <x v="176"/>
    <x v="142"/>
    <n v="24.752471"/>
    <m/>
    <m/>
    <n v="1047"/>
    <s v="NA"/>
    <x v="1"/>
    <x v="0"/>
    <x v="1"/>
    <x v="0"/>
    <m/>
    <m/>
    <x v="3"/>
    <s v="IRRC"/>
    <m/>
    <d v="2014-09-17T00:00:00"/>
    <s v="In 2014, this school is no longer accepting the lower grade students."/>
    <s v="P2"/>
    <n v="0"/>
    <m/>
    <n v="0"/>
    <s v="Laiza town"/>
    <n v="2.3307568207764655"/>
    <n v="1"/>
  </r>
  <r>
    <x v="1"/>
    <x v="0"/>
    <s v="MMR001"/>
    <s v="Bhamo"/>
    <s v="MMR001D003"/>
    <x v="5"/>
    <s v="MMR001013"/>
    <s v="Nam Lin Pa"/>
    <s v="MMR001013037"/>
    <m/>
    <m/>
    <x v="174"/>
    <x v="177"/>
    <x v="33"/>
    <m/>
    <m/>
    <n v="0"/>
    <n v="0"/>
    <s v="NA"/>
    <x v="1"/>
    <x v="0"/>
    <x v="0"/>
    <x v="2"/>
    <m/>
    <m/>
    <x v="3"/>
    <s v="IP"/>
    <m/>
    <m/>
    <s v="Closed: Source UNHCR-Bhamo"/>
    <s v=""/>
    <n v="0"/>
    <m/>
    <n v="0"/>
    <s v=""/>
    <s v=""/>
    <s v=""/>
  </r>
  <r>
    <x v="0"/>
    <x v="0"/>
    <s v="MMR001"/>
    <s v="Myitkyina"/>
    <s v="MMR001D001"/>
    <x v="2"/>
    <s v="MMR001005"/>
    <s v="Pang War Town"/>
    <s v="MMR001005702"/>
    <s v="No (2) Ward"/>
    <s v="MMR001005702502"/>
    <x v="175"/>
    <x v="178"/>
    <x v="143"/>
    <n v="25.60867"/>
    <n v="2345"/>
    <n v="61"/>
    <n v="273"/>
    <n v="4.4754098360655741"/>
    <x v="0"/>
    <x v="0"/>
    <x v="0"/>
    <x v="1"/>
    <d v="2012-07-01T00:00:00"/>
    <n v="1"/>
    <x v="2"/>
    <s v="IP"/>
    <m/>
    <d v="2017-01-10T00:00:00"/>
    <s v="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1"/>
    <n v="61"/>
    <m/>
    <n v="61"/>
    <s v="Pang War Town"/>
    <n v="0.18710270881855062"/>
    <n v="1"/>
  </r>
  <r>
    <x v="1"/>
    <x v="0"/>
    <s v="MMR001"/>
    <s v="Bhamo"/>
    <s v="MMR001D003"/>
    <x v="3"/>
    <s v="MMR001010"/>
    <m/>
    <m/>
    <m/>
    <m/>
    <x v="176"/>
    <x v="179"/>
    <x v="33"/>
    <m/>
    <m/>
    <n v="0"/>
    <n v="0"/>
    <s v="NA"/>
    <x v="0"/>
    <x v="0"/>
    <x v="0"/>
    <x v="0"/>
    <m/>
    <m/>
    <x v="3"/>
    <s v="IP"/>
    <m/>
    <d v="2014-03-03T00:00:00"/>
    <s v="Closed. Rellocated to Tharthana Ahlin Yaung."/>
    <s v=""/>
    <n v="0"/>
    <m/>
    <n v="0"/>
    <s v=""/>
    <s v=""/>
    <s v=""/>
  </r>
  <r>
    <x v="1"/>
    <x v="0"/>
    <s v="MMR001"/>
    <s v="Bhamo"/>
    <s v="MMR001D003"/>
    <x v="5"/>
    <s v="MMR001013"/>
    <s v="Mai Bat"/>
    <s v="MMR001013018"/>
    <s v="Man Kawng"/>
    <n v="167391"/>
    <x v="177"/>
    <x v="180"/>
    <x v="144"/>
    <n v="24.181640000000002"/>
    <m/>
    <n v="0"/>
    <n v="0"/>
    <s v="NA"/>
    <x v="0"/>
    <x v="0"/>
    <x v="0"/>
    <x v="2"/>
    <m/>
    <m/>
    <x v="3"/>
    <s v="IP"/>
    <m/>
    <d v="2014-03-03T00:00:00"/>
    <s v="Closed. Duplicate with Maing Khaung."/>
    <s v=""/>
    <n v="0"/>
    <m/>
    <n v="0"/>
    <s v=""/>
    <s v=""/>
    <s v=""/>
  </r>
  <r>
    <x v="1"/>
    <x v="0"/>
    <s v="MMR001"/>
    <s v="Bhamo"/>
    <s v="MMR001D003"/>
    <x v="5"/>
    <s v="MMR001013"/>
    <s v="Mai Bat"/>
    <s v="MMR001013018"/>
    <s v="Man Kawng"/>
    <n v="167391"/>
    <x v="178"/>
    <x v="181"/>
    <x v="144"/>
    <n v="24.181640000000002"/>
    <m/>
    <n v="0"/>
    <n v="0"/>
    <s v="NA"/>
    <x v="0"/>
    <x v="0"/>
    <x v="0"/>
    <x v="2"/>
    <m/>
    <m/>
    <x v="3"/>
    <s v="IP"/>
    <m/>
    <d v="2014-03-03T00:00:00"/>
    <s v="Closed. Duplicate with Maing Khaung."/>
    <s v=""/>
    <n v="0"/>
    <m/>
    <n v="0"/>
    <s v=""/>
    <s v=""/>
    <s v=""/>
  </r>
  <r>
    <x v="1"/>
    <x v="0"/>
    <s v="MMR001"/>
    <s v="Bhamo"/>
    <s v="MMR001D003"/>
    <x v="5"/>
    <s v="MMR001013"/>
    <m/>
    <m/>
    <m/>
    <m/>
    <x v="179"/>
    <x v="182"/>
    <x v="33"/>
    <m/>
    <m/>
    <n v="0"/>
    <n v="0"/>
    <s v="NA"/>
    <x v="0"/>
    <x v="0"/>
    <x v="0"/>
    <x v="2"/>
    <m/>
    <m/>
    <x v="3"/>
    <s v="IP"/>
    <m/>
    <d v="2014-03-03T00:00:00"/>
    <s v="Closed. Rellocated to Man Win and La Ga Yaung"/>
    <s v=""/>
    <n v="0"/>
    <m/>
    <n v="0"/>
    <s v=""/>
    <s v=""/>
    <s v=""/>
  </r>
  <r>
    <x v="1"/>
    <x v="0"/>
    <s v="MMR001"/>
    <s v="Bhamo"/>
    <s v="MMR001D003"/>
    <x v="5"/>
    <s v="MMR001013"/>
    <m/>
    <m/>
    <m/>
    <m/>
    <x v="180"/>
    <x v="183"/>
    <x v="33"/>
    <m/>
    <m/>
    <n v="0"/>
    <n v="0"/>
    <s v="NA"/>
    <x v="0"/>
    <x v="0"/>
    <x v="0"/>
    <x v="2"/>
    <m/>
    <m/>
    <x v="3"/>
    <s v="IP"/>
    <m/>
    <d v="2014-03-03T00:00:00"/>
    <s v="Closed. Rellocated to Man Win and La Ga Yaung"/>
    <s v=""/>
    <n v="0"/>
    <m/>
    <n v="0"/>
    <s v=""/>
    <s v=""/>
    <s v=""/>
  </r>
  <r>
    <x v="1"/>
    <x v="0"/>
    <s v="MMR001"/>
    <s v="Bhamo"/>
    <s v="MMR001D003"/>
    <x v="5"/>
    <s v="MMR001013"/>
    <m/>
    <m/>
    <m/>
    <m/>
    <x v="181"/>
    <x v="184"/>
    <x v="33"/>
    <m/>
    <m/>
    <n v="0"/>
    <n v="0"/>
    <s v="NA"/>
    <x v="0"/>
    <x v="0"/>
    <x v="2"/>
    <x v="1"/>
    <m/>
    <m/>
    <x v="3"/>
    <s v="IP"/>
    <m/>
    <d v="2015-03-27T00:00:00"/>
    <s v="27-Mar-15 (Closed. Source: UNHCR-Bhamo)_x000a_New Camp"/>
    <s v="P4"/>
    <n v="0"/>
    <m/>
    <n v="0"/>
    <s v=""/>
    <s v=""/>
    <s v=""/>
  </r>
  <r>
    <x v="1"/>
    <x v="0"/>
    <s v="MMR001"/>
    <s v="Bhamo"/>
    <s v="MMR001D003"/>
    <x v="5"/>
    <s v="MMR001013"/>
    <m/>
    <m/>
    <m/>
    <m/>
    <x v="182"/>
    <x v="185"/>
    <x v="33"/>
    <m/>
    <m/>
    <n v="0"/>
    <n v="0"/>
    <s v="NA"/>
    <x v="0"/>
    <x v="0"/>
    <x v="4"/>
    <x v="2"/>
    <m/>
    <m/>
    <x v="3"/>
    <s v="IP"/>
    <m/>
    <d v="2014-02-07T00:00:00"/>
    <s v="Source OCHA"/>
    <s v=""/>
    <n v="0"/>
    <m/>
    <n v="0"/>
    <s v=""/>
    <s v=""/>
    <s v=""/>
  </r>
  <r>
    <x v="0"/>
    <x v="0"/>
    <s v="MMR001"/>
    <s v="Bhamo"/>
    <s v="MMR001D003"/>
    <x v="5"/>
    <s v="MMR001013"/>
    <s v="Maing Khaung"/>
    <s v="MMR001013007"/>
    <s v="Maing Khaung"/>
    <n v="167301"/>
    <x v="183"/>
    <x v="186"/>
    <x v="145"/>
    <n v="23.972453000000002"/>
    <n v="466"/>
    <n v="374"/>
    <n v="1662"/>
    <n v="4.4438502673796796"/>
    <x v="0"/>
    <x v="0"/>
    <x v="0"/>
    <x v="1"/>
    <d v="2013-10-01T00:00:00"/>
    <n v="2"/>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P4"/>
    <n v="65"/>
    <m/>
    <n v="65"/>
    <s v="Mansi Town"/>
    <n v="17.731070777343263"/>
    <n v="4"/>
  </r>
  <r>
    <x v="1"/>
    <x v="0"/>
    <s v="MMR001"/>
    <s v="Bhamo"/>
    <s v="MMR001D003"/>
    <x v="5"/>
    <s v="MMR001013"/>
    <m/>
    <m/>
    <m/>
    <m/>
    <x v="184"/>
    <x v="187"/>
    <x v="33"/>
    <m/>
    <m/>
    <n v="0"/>
    <n v="0"/>
    <s v="NA"/>
    <x v="0"/>
    <x v="0"/>
    <x v="0"/>
    <x v="1"/>
    <m/>
    <m/>
    <x v="3"/>
    <s v="IP"/>
    <m/>
    <d v="2014-01-13T00:00:00"/>
    <s v="Close (Source: OCHA)"/>
    <s v=""/>
    <n v="0"/>
    <m/>
    <n v="0"/>
    <s v=""/>
    <s v=""/>
    <s v=""/>
  </r>
  <r>
    <x v="1"/>
    <x v="0"/>
    <s v="MMR001"/>
    <s v="Puta-O"/>
    <s v="MMR001D004"/>
    <x v="8"/>
    <s v="MMR001014"/>
    <s v="Lang Taung"/>
    <s v="MMR001014009"/>
    <s v="Nawng Hkaing"/>
    <n v="167567"/>
    <x v="185"/>
    <x v="188"/>
    <x v="146"/>
    <n v="27.270199999999999"/>
    <n v="372.9"/>
    <n v="0"/>
    <n v="0"/>
    <s v="NA"/>
    <x v="0"/>
    <x v="0"/>
    <x v="0"/>
    <x v="1"/>
    <d v="2013-08-01T00:00:00"/>
    <m/>
    <x v="3"/>
    <s v="IP"/>
    <m/>
    <d v="2014-03-27T00:00:00"/>
    <s v="25-Jun-15 (Relocated to Lone Sut)_x000a_Geo-Info, HH/Pop data received from MIRA Form"/>
    <s v="P3"/>
    <n v="0"/>
    <m/>
    <n v="0"/>
    <s v="Machanbaw Town"/>
    <n v="1.7005689699647599"/>
    <n v="1"/>
  </r>
  <r>
    <x v="1"/>
    <x v="0"/>
    <s v="MMR001"/>
    <s v="Puta-O"/>
    <s v="MMR001D004"/>
    <x v="14"/>
    <s v="MMR001016"/>
    <m/>
    <m/>
    <m/>
    <m/>
    <x v="186"/>
    <x v="189"/>
    <x v="147"/>
    <n v="27.274059999999999"/>
    <n v="403"/>
    <n v="0"/>
    <n v="0"/>
    <s v="NA"/>
    <x v="0"/>
    <x v="0"/>
    <x v="0"/>
    <x v="1"/>
    <d v="2013-09-01T00:00:00"/>
    <m/>
    <x v="3"/>
    <s v="IP"/>
    <m/>
    <d v="2015-06-25T00:00:00"/>
    <s v="25-Jun-15 (Relocate to Long Sut)_x000a_Geo-Info, HH/Pop data received from MIRA Form"/>
    <s v="P3"/>
    <n v="0"/>
    <m/>
    <n v="0"/>
    <s v="Machanbaw Town"/>
    <n v="1.136583238544624"/>
    <n v="1"/>
  </r>
  <r>
    <x v="1"/>
    <x v="0"/>
    <s v="MMR001"/>
    <s v="Bhamo"/>
    <s v="MMR001D003"/>
    <x v="3"/>
    <s v="MMR001010"/>
    <m/>
    <m/>
    <m/>
    <m/>
    <x v="187"/>
    <x v="190"/>
    <x v="33"/>
    <m/>
    <m/>
    <n v="0"/>
    <n v="0"/>
    <s v="NA"/>
    <x v="0"/>
    <x v="0"/>
    <x v="0"/>
    <x v="0"/>
    <m/>
    <m/>
    <x v="3"/>
    <s v="IP"/>
    <m/>
    <d v="2014-03-04T00:00:00"/>
    <s v="Closed. Rellocated next to AD 2000 Tharthana Compound and CCCM is under AD 2000"/>
    <s v=""/>
    <n v="0"/>
    <m/>
    <n v="0"/>
    <s v=""/>
    <s v=""/>
    <s v=""/>
  </r>
  <r>
    <x v="0"/>
    <x v="0"/>
    <s v="MMR001"/>
    <s v="Bhamo"/>
    <s v="MMR001D003"/>
    <x v="5"/>
    <s v="MMR001013"/>
    <s v="Maing Khaung"/>
    <s v="MMR001013007"/>
    <s v="Maing Khaung"/>
    <n v="167301"/>
    <x v="188"/>
    <x v="191"/>
    <x v="148"/>
    <n v="23.976571"/>
    <n v="478"/>
    <n v="140"/>
    <n v="639"/>
    <n v="4.5642857142857141"/>
    <x v="0"/>
    <x v="0"/>
    <x v="0"/>
    <x v="1"/>
    <d v="2013-10-01T00:00:00"/>
    <n v="2"/>
    <x v="4"/>
    <s v="IP"/>
    <m/>
    <d v="2017-01-10T00:00:00"/>
    <s v="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P4"/>
    <n v="90"/>
    <m/>
    <n v="90"/>
    <s v="Kamaing Town"/>
    <n v="12.257552920582597"/>
    <n v="3"/>
  </r>
  <r>
    <x v="1"/>
    <x v="0"/>
    <s v="MMR001"/>
    <s v="Bhamo"/>
    <s v="MMR001D003"/>
    <x v="3"/>
    <s v="MMR001010"/>
    <s v="Han Te"/>
    <s v="MMR001010024"/>
    <m/>
    <m/>
    <x v="189"/>
    <x v="192"/>
    <x v="149"/>
    <n v="24.229189999999999"/>
    <n v="126"/>
    <n v="0"/>
    <n v="0"/>
    <s v="NA"/>
    <x v="0"/>
    <x v="0"/>
    <x v="0"/>
    <x v="0"/>
    <m/>
    <m/>
    <x v="1"/>
    <s v="IP"/>
    <m/>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P4"/>
    <n v="0"/>
    <m/>
    <n v="0"/>
    <s v=""/>
    <s v=""/>
    <s v=""/>
  </r>
  <r>
    <x v="0"/>
    <x v="0"/>
    <s v="MMR001"/>
    <s v="Myitkyina"/>
    <s v="MMR001D001"/>
    <x v="2"/>
    <s v="MMR001005"/>
    <s v="Lang Jaw"/>
    <s v="MMR001005022"/>
    <s v="Saw Zam"/>
    <m/>
    <x v="190"/>
    <x v="193"/>
    <x v="150"/>
    <n v="25.645959999999999"/>
    <n v="1945"/>
    <n v="31"/>
    <n v="180"/>
    <n v="5.806451612903226"/>
    <x v="0"/>
    <x v="0"/>
    <x v="0"/>
    <x v="0"/>
    <d v="2012-07-01T00:00:00"/>
    <m/>
    <x v="2"/>
    <s v="IP"/>
    <m/>
    <d v="2017-01-10T00:00:00"/>
    <s v="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P1"/>
    <n v="31"/>
    <m/>
    <n v="31"/>
    <s v="Naypyitaw Town"/>
    <n v="0"/>
    <n v="1"/>
  </r>
  <r>
    <x v="1"/>
    <x v="0"/>
    <s v="MMR001"/>
    <s v="Bhamo"/>
    <s v="MMR001D003"/>
    <x v="5"/>
    <s v="MMR001013"/>
    <s v="Dum Buk"/>
    <s v="MMR001013014"/>
    <s v="Dum Buk"/>
    <n v="167343"/>
    <x v="191"/>
    <x v="194"/>
    <x v="151"/>
    <n v="24.000250000000001"/>
    <m/>
    <m/>
    <m/>
    <s v="NA"/>
    <x v="1"/>
    <x v="0"/>
    <x v="0"/>
    <x v="1"/>
    <d v="2011-10-01T00:00:00"/>
    <m/>
    <x v="4"/>
    <s v="IP"/>
    <m/>
    <d v="2016-09-16T00:00:00"/>
    <s v="16/Sep/2016: Changes camp status. Actually it was not closed. It was combined as one camp with Bum Tsit Pa. Data source: KMSS_Bhamo._x000a_28/Jan/2016. Population update. Data source: KBC_x000a_Population Update. Source: Save The Children."/>
    <s v="P2"/>
    <n v="0"/>
    <m/>
    <n v="0"/>
    <s v="Namhkan Town"/>
    <n v="19.631786732140053"/>
    <n v="4"/>
  </r>
  <r>
    <x v="0"/>
    <x v="0"/>
    <s v="MMR001"/>
    <s v="Puta-O"/>
    <s v="MMR001D004"/>
    <x v="8"/>
    <s v="MMR001014"/>
    <s v="Lang Taung"/>
    <s v="MMR001014009"/>
    <s v="Inn Lel Yan"/>
    <n v="217032"/>
    <x v="192"/>
    <x v="195"/>
    <x v="152"/>
    <n v="27.248964999999998"/>
    <n v="398"/>
    <n v="10"/>
    <n v="56"/>
    <n v="5.6"/>
    <x v="0"/>
    <x v="0"/>
    <x v="2"/>
    <x v="1"/>
    <d v="2013-08-01T00:00:00"/>
    <m/>
    <x v="3"/>
    <s v="IP"/>
    <m/>
    <d v="2014-04-07T00:00:00"/>
    <s v="New host families."/>
    <s v="P3"/>
    <n v="0"/>
    <m/>
    <n v="0"/>
    <s v="Machanbaw Town"/>
    <n v="4.789460146835963"/>
    <n v="1"/>
  </r>
  <r>
    <x v="0"/>
    <x v="0"/>
    <s v="MMR001"/>
    <s v="Bhamo"/>
    <s v="MMR001D003"/>
    <x v="5"/>
    <s v="MMR001013"/>
    <s v="Man Wein"/>
    <s v="MMR001013021"/>
    <s v="Man Wein"/>
    <n v="167405"/>
    <x v="193"/>
    <x v="196"/>
    <x v="153"/>
    <n v="23.833477999999999"/>
    <n v="925"/>
    <n v="112"/>
    <n v="524"/>
    <n v="4.6785714285714288"/>
    <x v="0"/>
    <x v="0"/>
    <x v="0"/>
    <x v="1"/>
    <d v="2014-06-01T00:00:00"/>
    <m/>
    <x v="4"/>
    <s v="IP"/>
    <m/>
    <d v="2017-01-10T00:00:00"/>
    <s v="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P4"/>
    <n v="112"/>
    <m/>
    <n v="112"/>
    <s v="Namhkan Town"/>
    <n v="10.527586947557506"/>
    <n v="3"/>
  </r>
  <r>
    <x v="0"/>
    <x v="0"/>
    <s v="MMR001"/>
    <s v="Mohnyin"/>
    <s v="MMR001D002"/>
    <x v="11"/>
    <s v="MMR001009"/>
    <s v="Nam Ma Hpyit"/>
    <s v="MMR001009002"/>
    <s v="Nam Ma Hpyit"/>
    <n v="166776"/>
    <x v="194"/>
    <x v="197"/>
    <x v="77"/>
    <n v="25.611160000000002"/>
    <m/>
    <n v="103"/>
    <n v="489"/>
    <n v="4.7475728155339807"/>
    <x v="0"/>
    <x v="0"/>
    <x v="0"/>
    <x v="0"/>
    <d v="2012-08-01T00:00:00"/>
    <m/>
    <x v="0"/>
    <s v="IP"/>
    <m/>
    <d v="2017-01-10T00:00:00"/>
    <s v="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P4"/>
    <n v="103"/>
    <m/>
    <n v="103"/>
    <s v="Hpakant Town"/>
    <n v="0.19374952337076978"/>
    <n v="1"/>
  </r>
  <r>
    <x v="0"/>
    <x v="0"/>
    <s v="MMR001"/>
    <s v="Bhamo"/>
    <s v="MMR001D003"/>
    <x v="5"/>
    <s v="MMR001013"/>
    <s v="Man Wein"/>
    <s v="MMR001013021"/>
    <s v="Man Wein"/>
    <n v="167405"/>
    <x v="195"/>
    <x v="198"/>
    <x v="154"/>
    <n v="23.829599000000002"/>
    <m/>
    <n v="114"/>
    <n v="515"/>
    <n v="4.5175438596491224"/>
    <x v="0"/>
    <x v="0"/>
    <x v="0"/>
    <x v="1"/>
    <d v="2014-04-01T00:00:00"/>
    <m/>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
    <n v="114"/>
    <m/>
    <n v="114"/>
    <s v="Namhkan Town"/>
    <n v="9.2957189123335944"/>
    <n v="2"/>
  </r>
  <r>
    <x v="0"/>
    <x v="0"/>
    <s v="MMR001"/>
    <s v="Mohnyin"/>
    <s v="MMR001D002"/>
    <x v="11"/>
    <s v="MMR001009"/>
    <s v="Lone Khin"/>
    <s v="MMR001009001"/>
    <s v="Ku Day"/>
    <n v="216877"/>
    <x v="196"/>
    <x v="199"/>
    <x v="155"/>
    <n v="25.806999999999999"/>
    <m/>
    <n v="52"/>
    <n v="248"/>
    <n v="4.7692307692307692"/>
    <x v="0"/>
    <x v="0"/>
    <x v="0"/>
    <x v="1"/>
    <d v="2015-01-15T00:00:00"/>
    <m/>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m/>
    <n v="2"/>
    <m/>
    <n v="2"/>
    <s v="Hpakant Town"/>
    <n v="10"/>
    <n v="3"/>
  </r>
  <r>
    <x v="0"/>
    <x v="0"/>
    <s v="MMR001"/>
    <s v="Mohnyin"/>
    <s v="MMR001D002"/>
    <x v="10"/>
    <s v="MMR001007"/>
    <s v="Hopin Town"/>
    <s v="MMR001007702"/>
    <s v="Myo Ma (South) Ward"/>
    <s v="MMR001007702503"/>
    <x v="197"/>
    <x v="200"/>
    <x v="156"/>
    <n v="24.996279999999999"/>
    <m/>
    <n v="36"/>
    <n v="153"/>
    <n v="4.25"/>
    <x v="0"/>
    <x v="0"/>
    <x v="2"/>
    <x v="0"/>
    <d v="2013-01-01T00:00:00"/>
    <m/>
    <x v="3"/>
    <s v="IP"/>
    <m/>
    <d v="2015-03-19T00:00:00"/>
    <s v="19-Mar-2015 (WFP has been providing this host families since 2013.)"/>
    <m/>
    <n v="0"/>
    <m/>
    <n v="0"/>
    <s v="Hopin Town"/>
    <n v="0"/>
    <n v="1"/>
  </r>
  <r>
    <x v="0"/>
    <x v="0"/>
    <s v="MMR001"/>
    <s v="Mohnyin"/>
    <s v="MMR001D002"/>
    <x v="10"/>
    <s v="MMR001007"/>
    <s v="Mohnyin Town"/>
    <s v="MMR001007701"/>
    <m/>
    <m/>
    <x v="198"/>
    <x v="201"/>
    <x v="157"/>
    <n v="24.764959999999999"/>
    <m/>
    <n v="14"/>
    <n v="63"/>
    <n v="4.5"/>
    <x v="0"/>
    <x v="0"/>
    <x v="2"/>
    <x v="0"/>
    <d v="2013-01-01T00:00:00"/>
    <m/>
    <x v="3"/>
    <s v="IP"/>
    <m/>
    <d v="2017-01-10T00:00:00"/>
    <s v="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m/>
    <n v="0"/>
    <m/>
    <n v="0"/>
    <s v="Mohnyin Town"/>
    <n v="0"/>
    <n v="1"/>
  </r>
  <r>
    <x v="0"/>
    <x v="0"/>
    <s v="MMR001"/>
    <s v="Puta-O"/>
    <s v="MMR001D004"/>
    <x v="8"/>
    <s v="MMR001014"/>
    <s v="Puta-O Town"/>
    <s v="MMR001014701"/>
    <s v="Lone Sut Ward"/>
    <s v="MMR001014701510"/>
    <x v="199"/>
    <x v="202"/>
    <x v="158"/>
    <n v="27.337499999999999"/>
    <m/>
    <n v="59"/>
    <n v="268"/>
    <n v="4.5423728813559325"/>
    <x v="0"/>
    <x v="0"/>
    <x v="0"/>
    <x v="0"/>
    <d v="2015-06-25T00:00:00"/>
    <m/>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m/>
    <n v="0"/>
    <m/>
    <n v="0"/>
    <s v="Puta-O Town"/>
    <n v="0"/>
    <n v="1"/>
  </r>
  <r>
    <x v="0"/>
    <x v="0"/>
    <s v="MMR001"/>
    <s v="Mohnyin"/>
    <s v="MMR001D002"/>
    <x v="9"/>
    <s v="MMR001008"/>
    <s v="Sar Hmaw"/>
    <s v="MMR001008018"/>
    <s v="Sar Hmaw"/>
    <n v="166724"/>
    <x v="200"/>
    <x v="203"/>
    <x v="159"/>
    <n v="25.225000000000001"/>
    <m/>
    <n v="24"/>
    <n v="83"/>
    <n v="3.4583333333333335"/>
    <x v="0"/>
    <x v="0"/>
    <x v="2"/>
    <x v="1"/>
    <d v="2015-05-01T00:00:00"/>
    <m/>
    <x v="3"/>
    <s v="RRD"/>
    <m/>
    <d v="2015-06-25T00:00:00"/>
    <s v="25-Jun-2015 (New host families. Source: RRD)"/>
    <m/>
    <n v="0"/>
    <m/>
    <n v="0"/>
    <s v="Mogaung Town"/>
    <n v="5"/>
    <n v="2"/>
  </r>
  <r>
    <x v="0"/>
    <x v="0"/>
    <s v="MMR001"/>
    <s v="Mohnyin"/>
    <s v="MMR001D002"/>
    <x v="9"/>
    <s v="MMR001008"/>
    <s v="Sar Hmaw"/>
    <s v="MMR001008018"/>
    <s v="Sar Hmaw"/>
    <n v="166724"/>
    <x v="201"/>
    <x v="204"/>
    <x v="159"/>
    <n v="25.225000000000001"/>
    <m/>
    <n v="30"/>
    <n v="140"/>
    <n v="4.666666666666667"/>
    <x v="0"/>
    <x v="0"/>
    <x v="0"/>
    <x v="1"/>
    <d v="2015-05-01T00:00:00"/>
    <m/>
    <x v="0"/>
    <s v="RRD"/>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m/>
    <n v="0"/>
    <m/>
    <n v="0"/>
    <s v="Mogaung Town"/>
    <n v="5"/>
    <n v="2"/>
  </r>
  <r>
    <x v="1"/>
    <x v="0"/>
    <s v="MMR001"/>
    <s v="Mohnyin"/>
    <s v="MMR001D002"/>
    <x v="9"/>
    <s v="MMR001008"/>
    <s v="Nawng Kaing Htaw"/>
    <s v="MMR001008002"/>
    <s v="Ma Haung"/>
    <n v="166676"/>
    <x v="202"/>
    <x v="205"/>
    <x v="72"/>
    <n v="25.299679999999999"/>
    <m/>
    <m/>
    <m/>
    <s v="NA"/>
    <x v="0"/>
    <x v="0"/>
    <x v="0"/>
    <x v="0"/>
    <d v="2015-05-01T00:00:00"/>
    <m/>
    <x v="2"/>
    <s v="IP"/>
    <m/>
    <d v="2017-02-02T00:00:00"/>
    <s v="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m/>
    <n v="0"/>
    <m/>
    <n v="0"/>
    <s v="Mogaung Town"/>
    <n v="0.75"/>
    <n v="1"/>
  </r>
  <r>
    <x v="0"/>
    <x v="0"/>
    <s v="MMR001"/>
    <s v="Puta-O"/>
    <s v="MMR001D004"/>
    <x v="13"/>
    <s v="MMR001015"/>
    <m/>
    <m/>
    <m/>
    <m/>
    <x v="203"/>
    <x v="206"/>
    <x v="160"/>
    <n v="26.569633"/>
    <m/>
    <n v="161"/>
    <n v="711"/>
    <n v="4.4161490683229809"/>
    <x v="0"/>
    <x v="0"/>
    <x v="0"/>
    <x v="1"/>
    <d v="2015-02-01T00:00:00"/>
    <m/>
    <x v="3"/>
    <s v="IP"/>
    <m/>
    <d v="2015-10-02T00:00:00"/>
    <s v="10/2/2015. New Camp. Data source: CCCM team"/>
    <m/>
    <n v="161"/>
    <m/>
    <n v="161"/>
    <s v="Sumprabum Town"/>
    <n v="0"/>
    <n v="1"/>
  </r>
  <r>
    <x v="0"/>
    <x v="0"/>
    <s v="MMR001"/>
    <s v="Puta-O"/>
    <s v="MMR001D004"/>
    <x v="13"/>
    <s v="MMR001015"/>
    <m/>
    <m/>
    <m/>
    <m/>
    <x v="204"/>
    <x v="207"/>
    <x v="161"/>
    <n v="26.548506"/>
    <m/>
    <m/>
    <n v="489"/>
    <s v="NA"/>
    <x v="0"/>
    <x v="0"/>
    <x v="0"/>
    <x v="1"/>
    <d v="2015-02-01T00:00:00"/>
    <m/>
    <x v="3"/>
    <s v="IP"/>
    <m/>
    <d v="2015-10-02T00:00:00"/>
    <s v="10/2/2015. New Camp. Data source: CCCM team"/>
    <m/>
    <n v="0"/>
    <m/>
    <n v="0"/>
    <s v="Sumprabum Town"/>
    <n v="0"/>
    <n v="1"/>
  </r>
  <r>
    <x v="0"/>
    <x v="0"/>
    <s v="MMR001"/>
    <s v="Bhamo"/>
    <s v="MMR001D003"/>
    <x v="4"/>
    <s v="MMR001012"/>
    <s v="Dawthponeyan  Town"/>
    <s v="MMR001012703"/>
    <s v="No (2) Ward"/>
    <s v="MMR001012703502"/>
    <x v="205"/>
    <x v="208"/>
    <x v="162"/>
    <n v="24.613976000000001"/>
    <m/>
    <m/>
    <n v="49"/>
    <s v="NA"/>
    <x v="0"/>
    <x v="0"/>
    <x v="1"/>
    <x v="1"/>
    <m/>
    <m/>
    <x v="3"/>
    <s v="WFP"/>
    <m/>
    <d v="2015-11-09T00:00:00"/>
    <s v="9/Nov/2015. Population update. Data source: mail from WFP._x000a_New added Boarding School"/>
    <m/>
    <n v="0"/>
    <m/>
    <n v="0"/>
    <s v="Dawthponeyan  Town"/>
    <n v="0"/>
    <n v="1"/>
  </r>
  <r>
    <x v="1"/>
    <x v="0"/>
    <s v="MMR001"/>
    <s v="Bhamo"/>
    <s v="MMR001D003"/>
    <x v="5"/>
    <s v="MMR001013"/>
    <s v="Mung Ding Pa"/>
    <s v="MMR001013038"/>
    <s v="Mung Ding Pa"/>
    <n v="167495"/>
    <x v="206"/>
    <x v="209"/>
    <x v="163"/>
    <n v="23.867000000000001"/>
    <m/>
    <n v="0"/>
    <n v="0"/>
    <s v="NA"/>
    <x v="1"/>
    <x v="0"/>
    <x v="0"/>
    <x v="2"/>
    <m/>
    <m/>
    <x v="3"/>
    <m/>
    <m/>
    <d v="2014-03-03T00:00:00"/>
    <s v="Closed. Same with (Namhkan St. Thomas 1)"/>
    <s v=""/>
    <n v="0"/>
    <m/>
    <n v="0"/>
    <s v=""/>
    <s v=""/>
    <s v=""/>
  </r>
  <r>
    <x v="0"/>
    <x v="0"/>
    <s v="MMR001"/>
    <s v="Myitkyina"/>
    <s v="MMR001D001"/>
    <x v="11"/>
    <s v="MMR001004"/>
    <s v="Wa Ra Zut"/>
    <s v="MMR001009009"/>
    <s v="Wa Ra Zut"/>
    <n v="166818"/>
    <x v="207"/>
    <x v="210"/>
    <x v="155"/>
    <n v="25.806999999999999"/>
    <m/>
    <n v="6"/>
    <n v="9"/>
    <n v="1.5"/>
    <x v="0"/>
    <x v="0"/>
    <x v="0"/>
    <x v="1"/>
    <d v="2016-01-01T00:00:00"/>
    <m/>
    <x v="3"/>
    <s v="IP"/>
    <m/>
    <d v="2016-07-25T00:00:00"/>
    <s v="25/Jul/2016: Added as new camp according to KBC data. Data was given by Jade"/>
    <m/>
    <n v="6"/>
    <m/>
    <n v="6"/>
    <s v="Hpakant Town"/>
    <n v="0"/>
    <n v="1"/>
  </r>
  <r>
    <x v="0"/>
    <x v="0"/>
    <s v="MMR001"/>
    <s v="Mohnyin"/>
    <s v="MMR001D002"/>
    <x v="11"/>
    <s v="MMR001009"/>
    <s v="Wa Ra Zut"/>
    <s v="MMR001009009"/>
    <s v="Shar Du Zut"/>
    <n v="166819"/>
    <x v="208"/>
    <x v="211"/>
    <x v="164"/>
    <n v="25.920006000000001"/>
    <m/>
    <n v="32"/>
    <n v="83"/>
    <n v="2.59375"/>
    <x v="0"/>
    <x v="0"/>
    <x v="0"/>
    <x v="1"/>
    <d v="2016-08-02T00:00:00"/>
    <m/>
    <x v="3"/>
    <s v="IP"/>
    <m/>
    <d v="2016-09-16T00:00:00"/>
    <s v="16/Sep/2016: New added camp. There no responsible organization."/>
    <m/>
    <n v="32"/>
    <m/>
    <n v="32"/>
    <s v="Hpakant Town"/>
    <n v="0"/>
    <n v="1"/>
  </r>
  <r>
    <x v="0"/>
    <x v="0"/>
    <s v="MMR001"/>
    <s v="Mohnyin"/>
    <s v="MMR001D002"/>
    <x v="11"/>
    <s v="MMR001009"/>
    <s v="Wa Ra Zut"/>
    <s v="MMR001009009"/>
    <s v="Shar Du Zut"/>
    <n v="166819"/>
    <x v="209"/>
    <x v="212"/>
    <x v="164"/>
    <n v="25.920006000000001"/>
    <m/>
    <n v="42"/>
    <n v="138"/>
    <n v="3.2857142857142856"/>
    <x v="0"/>
    <x v="0"/>
    <x v="0"/>
    <x v="1"/>
    <d v="2016-08-02T00:00:00"/>
    <m/>
    <x v="3"/>
    <s v="IP"/>
    <m/>
    <d v="2016-09-16T00:00:00"/>
    <s v="16/Sep/2016: New added camp. There no responsible organization."/>
    <m/>
    <n v="42"/>
    <m/>
    <n v="42"/>
    <s v="Hpakant Town"/>
    <n v="0"/>
    <n v="1"/>
  </r>
  <r>
    <x v="0"/>
    <x v="0"/>
    <s v="MMR001"/>
    <s v="Mohnyin"/>
    <s v="MMR001D002"/>
    <x v="11"/>
    <s v="MMR001009"/>
    <s v="Wa Ra Zut"/>
    <s v="MMR001009009"/>
    <s v="Shar Du Zut"/>
    <n v="166819"/>
    <x v="210"/>
    <x v="213"/>
    <x v="164"/>
    <n v="25.920006000000001"/>
    <m/>
    <n v="13"/>
    <n v="47"/>
    <n v="3.6153846153846154"/>
    <x v="0"/>
    <x v="0"/>
    <x v="0"/>
    <x v="1"/>
    <d v="2016-08-02T00:00:00"/>
    <m/>
    <x v="3"/>
    <s v="IP"/>
    <m/>
    <d v="2016-09-16T00:00:00"/>
    <s v="16/Sep/2016: New added camp. There no responsible organization."/>
    <m/>
    <n v="13"/>
    <m/>
    <n v="13"/>
    <s v="Hpakant Town"/>
    <n v="0"/>
    <n v="1"/>
  </r>
  <r>
    <x v="0"/>
    <x v="0"/>
    <s v="MMR001"/>
    <s v="Mohnyin"/>
    <s v="MMR001D002"/>
    <x v="11"/>
    <s v="MMR001009"/>
    <s v="Wa Ra Zut"/>
    <s v="MMR001009009"/>
    <s v="Shar Du Zut"/>
    <n v="166819"/>
    <x v="211"/>
    <x v="214"/>
    <x v="164"/>
    <n v="25.920006000000001"/>
    <m/>
    <n v="7"/>
    <n v="19"/>
    <n v="2.7142857142857144"/>
    <x v="0"/>
    <x v="0"/>
    <x v="0"/>
    <x v="1"/>
    <d v="2016-08-02T00:00:00"/>
    <m/>
    <x v="3"/>
    <s v="IP"/>
    <m/>
    <d v="2016-09-16T00:00:00"/>
    <s v="16/Sep/2016: New added camp. There no responsible organization."/>
    <m/>
    <n v="7"/>
    <m/>
    <n v="7"/>
    <s v="Hpakant Town"/>
    <n v="0"/>
    <n v="1"/>
  </r>
  <r>
    <x v="0"/>
    <x v="0"/>
    <s v="MMR001"/>
    <s v="Mohnyin"/>
    <s v="MMR001D002"/>
    <x v="11"/>
    <s v="MMR001009"/>
    <s v="Wa Ra Zut"/>
    <s v="MMR001009009"/>
    <s v="Shar Du Zut"/>
    <n v="166819"/>
    <x v="212"/>
    <x v="215"/>
    <x v="164"/>
    <n v="25.920006000000001"/>
    <m/>
    <n v="22"/>
    <n v="52"/>
    <n v="2.3636363636363638"/>
    <x v="0"/>
    <x v="0"/>
    <x v="0"/>
    <x v="1"/>
    <d v="2016-08-02T00:00:00"/>
    <m/>
    <x v="3"/>
    <s v="IP"/>
    <m/>
    <d v="2016-09-16T00:00:00"/>
    <s v="16/Sep/2016: New added camp. There no responsible organization."/>
    <m/>
    <n v="22"/>
    <m/>
    <n v="22"/>
    <s v="Hpakant Town"/>
    <n v="0"/>
    <n v="1"/>
  </r>
  <r>
    <x v="0"/>
    <x v="1"/>
    <s v="MMR015"/>
    <s v="Muse"/>
    <s v="MMR015D002"/>
    <x v="15"/>
    <s v="MMR015010"/>
    <s v="Nawng Hkam"/>
    <s v="MMR015010010"/>
    <s v="Nawng Hkam"/>
    <n v="208353"/>
    <x v="213"/>
    <x v="216"/>
    <x v="165"/>
    <n v="23.828520000000001"/>
    <n v="740"/>
    <n v="69"/>
    <n v="344"/>
    <n v="4.9855072463768115"/>
    <x v="0"/>
    <x v="0"/>
    <x v="0"/>
    <x v="0"/>
    <d v="2011-12-01T00:00:00"/>
    <n v="2"/>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P3"/>
    <n v="39"/>
    <m/>
    <n v="39"/>
    <s v="Namhkan Town"/>
    <n v="1.5619149693996526"/>
    <n v="1"/>
  </r>
  <r>
    <x v="1"/>
    <x v="1"/>
    <s v="MMR015"/>
    <s v="Muse"/>
    <s v="MMR015D002"/>
    <x v="15"/>
    <s v="MMR015010"/>
    <s v="Nawng Hkam"/>
    <s v="MMR015010010"/>
    <s v="Nawng Hkam"/>
    <n v="208353"/>
    <x v="214"/>
    <x v="217"/>
    <x v="33"/>
    <m/>
    <m/>
    <n v="0"/>
    <n v="0"/>
    <s v="NA"/>
    <x v="1"/>
    <x v="0"/>
    <x v="0"/>
    <x v="2"/>
    <m/>
    <m/>
    <x v="3"/>
    <s v="IP"/>
    <m/>
    <d v="2014-03-03T00:00:00"/>
    <s v="Closed. Same with (Nam Hkam Catholic Church  St. Thomas II)"/>
    <s v=""/>
    <n v="0"/>
    <m/>
    <n v="0"/>
    <s v=""/>
    <s v=""/>
    <s v=""/>
  </r>
  <r>
    <x v="0"/>
    <x v="1"/>
    <s v="MMR015"/>
    <s v="Muse"/>
    <s v="MMR015D002"/>
    <x v="15"/>
    <s v="MMR015010"/>
    <s v="Nawng Hkam"/>
    <s v="MMR015010010"/>
    <s v="Nawng Hkam"/>
    <n v="208353"/>
    <x v="215"/>
    <x v="218"/>
    <x v="166"/>
    <n v="23.828150000000001"/>
    <n v="751.8"/>
    <n v="43"/>
    <n v="215"/>
    <n v="5"/>
    <x v="0"/>
    <x v="0"/>
    <x v="0"/>
    <x v="0"/>
    <d v="2011-12-01T00:00:00"/>
    <m/>
    <x v="5"/>
    <s v="IP"/>
    <m/>
    <d v="2017-01-10T00:00:00"/>
    <s v="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P3"/>
    <n v="43"/>
    <m/>
    <n v="43"/>
    <s v="Namhkan Town"/>
    <n v="1.5239325151406049"/>
    <n v="1"/>
  </r>
  <r>
    <x v="0"/>
    <x v="1"/>
    <s v="MMR015"/>
    <s v="Muse"/>
    <s v="MMR015D002"/>
    <x v="15"/>
    <s v="MMR015010"/>
    <s v="Nawng Hkam"/>
    <s v="MMR015010010"/>
    <s v="Nawng Hkam"/>
    <n v="208353"/>
    <x v="216"/>
    <x v="219"/>
    <x v="167"/>
    <n v="23.821380000000001"/>
    <n v="811.6"/>
    <n v="75"/>
    <n v="373"/>
    <n v="4.9733333333333336"/>
    <x v="0"/>
    <x v="0"/>
    <x v="0"/>
    <x v="0"/>
    <d v="2013-12-01T00:00:00"/>
    <n v="2"/>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P3"/>
    <n v="0"/>
    <m/>
    <n v="0"/>
    <s v="Namhkan Town"/>
    <n v="1.7369508287203668"/>
    <n v="1"/>
  </r>
  <r>
    <x v="0"/>
    <x v="1"/>
    <s v="MMR015"/>
    <s v="Muse"/>
    <s v="MMR015D002"/>
    <x v="16"/>
    <s v="MMR015009"/>
    <s v="Mung Baw "/>
    <s v="MMR015009013"/>
    <s v="Mung Baw "/>
    <m/>
    <x v="217"/>
    <x v="220"/>
    <x v="168"/>
    <n v="24.008452999999999"/>
    <n v="3396"/>
    <n v="123"/>
    <n v="503"/>
    <n v="4.0894308943089435"/>
    <x v="1"/>
    <x v="0"/>
    <x v="2"/>
    <x v="1"/>
    <m/>
    <m/>
    <x v="3"/>
    <s v="IRRC"/>
    <m/>
    <d v="2014-03-03T00:00:00"/>
    <s v="Change to Host Families."/>
    <s v="P1"/>
    <n v="0"/>
    <m/>
    <n v="0"/>
    <s v="Pang Hseng (Kyu Koke) Town"/>
    <n v="7.490291417449443"/>
    <n v="2"/>
  </r>
  <r>
    <x v="0"/>
    <x v="1"/>
    <s v="MMR015"/>
    <s v="Muse"/>
    <s v="MMR015D002"/>
    <x v="17"/>
    <s v="MMR015011"/>
    <s v="Long Waun Nam Rein (Tarmoenye Sub-township)"/>
    <s v="MMR015011050"/>
    <s v="Mai Pong (Shu See)"/>
    <n v="219842"/>
    <x v="218"/>
    <x v="221"/>
    <x v="169"/>
    <n v="23.400155999999999"/>
    <n v="3109"/>
    <n v="49"/>
    <n v="267"/>
    <n v="5.4489795918367347"/>
    <x v="0"/>
    <x v="0"/>
    <x v="0"/>
    <x v="1"/>
    <d v="2011-09-01T00:00:00"/>
    <n v="1"/>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P1"/>
    <n v="44"/>
    <m/>
    <n v="44"/>
    <s v="Tarmoenye Town"/>
    <n v="23.172399462804503"/>
    <n v="5"/>
  </r>
  <r>
    <x v="0"/>
    <x v="1"/>
    <s v="MMR015"/>
    <s v="Muse"/>
    <s v="MMR015D002"/>
    <x v="17"/>
    <s v="MMR015011"/>
    <s v="Nam Hpat Kar"/>
    <s v="MMR015011020"/>
    <s v="Nam Hpat Kar (Ho Pon + Pang Sa Lorp)"/>
    <n v="208696"/>
    <x v="219"/>
    <x v="222"/>
    <x v="170"/>
    <n v="23.694130000000001"/>
    <n v="1135.7"/>
    <n v="64"/>
    <n v="285"/>
    <n v="4.453125"/>
    <x v="0"/>
    <x v="0"/>
    <x v="0"/>
    <x v="1"/>
    <d v="2011-12-01T00:00:00"/>
    <n v="1"/>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P3"/>
    <n v="38"/>
    <m/>
    <n v="38"/>
    <s v="Namhkan Town"/>
    <n v="21.148671772283631"/>
    <n v="5"/>
  </r>
  <r>
    <x v="0"/>
    <x v="1"/>
    <s v="MMR015"/>
    <s v="Kyaukme"/>
    <s v="MMR015D003"/>
    <x v="18"/>
    <s v="MMR015019"/>
    <s v="Urban"/>
    <s v="MMR015019701"/>
    <s v="No (2) Ward"/>
    <s v="MMR015019701503"/>
    <x v="220"/>
    <x v="223"/>
    <x v="171"/>
    <n v="23.250678000000001"/>
    <n v="1250"/>
    <n v="36"/>
    <n v="173"/>
    <n v="4.8055555555555554"/>
    <x v="0"/>
    <x v="0"/>
    <x v="0"/>
    <x v="0"/>
    <d v="2012-04-01T00:00:00"/>
    <n v="1"/>
    <x v="0"/>
    <s v="IP"/>
    <m/>
    <d v="2017-01-10T00:00:00"/>
    <s v="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P2"/>
    <n v="0"/>
    <m/>
    <n v="0"/>
    <s v="Manton Town"/>
    <n v="0.43878855438285824"/>
    <n v="1"/>
  </r>
  <r>
    <x v="0"/>
    <x v="1"/>
    <s v="MMR015"/>
    <s v="Muse"/>
    <s v="MMR015D003"/>
    <x v="16"/>
    <s v="MMR015019"/>
    <s v="Man Pying (Pang Hseng (Kyu Koke)) Sub-township"/>
    <s v="MMR015009038"/>
    <s v="Hawwa"/>
    <m/>
    <x v="221"/>
    <x v="224"/>
    <x v="172"/>
    <n v="23.917631"/>
    <m/>
    <n v="32"/>
    <m/>
    <n v="0"/>
    <x v="0"/>
    <x v="0"/>
    <x v="2"/>
    <x v="1"/>
    <m/>
    <m/>
    <x v="3"/>
    <s v="IP"/>
    <m/>
    <d v="2014-03-03T00:00:00"/>
    <s v="Change to Host Families."/>
    <s v="P3"/>
    <n v="0"/>
    <m/>
    <n v="0"/>
    <s v="Pang Hseng (Kyu Koke) Town"/>
    <n v="18.405283544772924"/>
    <n v="4"/>
  </r>
  <r>
    <x v="0"/>
    <x v="1"/>
    <s v="MMR015"/>
    <s v="Muse"/>
    <s v="MMR015D003"/>
    <x v="16"/>
    <s v="MMR015019"/>
    <s v="Mone Paw Nam Chet (Zay) (Pang Hseng (Kyu Koke)) Sub-township"/>
    <s v="MMR015009033"/>
    <s v="Mone Paw Nam Chet"/>
    <n v="208167"/>
    <x v="222"/>
    <x v="225"/>
    <x v="173"/>
    <n v="23.978088"/>
    <m/>
    <n v="6"/>
    <m/>
    <n v="0"/>
    <x v="0"/>
    <x v="0"/>
    <x v="2"/>
    <x v="1"/>
    <m/>
    <m/>
    <x v="3"/>
    <s v="IP"/>
    <m/>
    <d v="2014-03-03T00:00:00"/>
    <s v="Change to Host Families."/>
    <s v="P3"/>
    <n v="0"/>
    <m/>
    <n v="0"/>
    <s v="Pang Hseng (Kyu Koke) Town"/>
    <n v="12.794700705104317"/>
    <n v="3"/>
  </r>
  <r>
    <x v="1"/>
    <x v="1"/>
    <s v="MMR015"/>
    <s v="Muse"/>
    <s v="MMR015D002"/>
    <x v="16"/>
    <s v="MMR015009"/>
    <s v="Man Gyat (Monekoe Sub-township)"/>
    <s v="MMR015009048"/>
    <s v="Gwum Hsan"/>
    <m/>
    <x v="223"/>
    <x v="226"/>
    <x v="174"/>
    <n v="24.101320999999999"/>
    <n v="2979"/>
    <m/>
    <m/>
    <s v="NA"/>
    <x v="1"/>
    <x v="0"/>
    <x v="0"/>
    <x v="0"/>
    <d v="2012-07-01T00:00:00"/>
    <n v="1"/>
    <x v="0"/>
    <s v="IP"/>
    <m/>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P1"/>
    <n v="0"/>
    <m/>
    <n v="0"/>
    <s v="Monekoe Town"/>
    <n v="1.789574394782699"/>
    <n v="1"/>
  </r>
  <r>
    <x v="0"/>
    <x v="1"/>
    <s v="MMR015"/>
    <s v="Kyaukme"/>
    <s v="MMR015D003"/>
    <x v="19"/>
    <s v="MMR015015"/>
    <s v="Namtu Town"/>
    <s v="MMR015015701"/>
    <s v="Namtu Ward"/>
    <s v="MMR015015701501"/>
    <x v="224"/>
    <x v="227"/>
    <x v="175"/>
    <n v="23.094290000000001"/>
    <n v="534.29999999999995"/>
    <n v="8"/>
    <n v="39"/>
    <n v="4.875"/>
    <x v="0"/>
    <x v="0"/>
    <x v="0"/>
    <x v="0"/>
    <d v="2012-04-01T00:00:00"/>
    <n v="1"/>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P3"/>
    <n v="0"/>
    <m/>
    <n v="0"/>
    <s v="Namtu Town"/>
    <n v="0.37588352961435612"/>
    <n v="1"/>
  </r>
  <r>
    <x v="0"/>
    <x v="1"/>
    <s v="MMR015"/>
    <s v="Muse"/>
    <s v="MMR015D002"/>
    <x v="17"/>
    <s v="MMR015011"/>
    <s v="Kar Lai Kone Hsar"/>
    <s v="MMR015011005"/>
    <s v="Kar Lai"/>
    <n v="208557"/>
    <x v="225"/>
    <x v="228"/>
    <x v="176"/>
    <n v="23.4008"/>
    <n v="0"/>
    <n v="88"/>
    <n v="505"/>
    <n v="5.7386363636363633"/>
    <x v="0"/>
    <x v="0"/>
    <x v="0"/>
    <x v="1"/>
    <d v="2013-01-01T00:00:00"/>
    <m/>
    <x v="0"/>
    <s v="IP"/>
    <m/>
    <d v="2016-07-18T00:00:00"/>
    <s v="18/Jul/2016: Population updte. Data source: KBC_x000a_12/May/2016. Population update. Data source: KBC_x000a_25-Jun-15 Population update. Source: KBC_x000a_Update population. Source: Camp Profile."/>
    <s v="P3"/>
    <n v="0"/>
    <m/>
    <n v="0"/>
    <s v="Kutkai Town"/>
    <n v="11.65743881259678"/>
    <n v="3"/>
  </r>
  <r>
    <x v="0"/>
    <x v="1"/>
    <s v="MMR015"/>
    <s v="Muse"/>
    <s v="MMR015D002"/>
    <x v="17"/>
    <s v="MMR015011"/>
    <s v="Kutkai Town"/>
    <s v="MMR015011701"/>
    <s v="No (5) Ward"/>
    <s v="MMR015011701505"/>
    <x v="226"/>
    <x v="229"/>
    <x v="177"/>
    <n v="23.450914000000001"/>
    <n v="4336"/>
    <n v="61"/>
    <n v="289"/>
    <n v="4.7377049180327866"/>
    <x v="0"/>
    <x v="0"/>
    <x v="0"/>
    <x v="0"/>
    <d v="2012-12-01T00:00:00"/>
    <n v="2"/>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P3"/>
    <n v="0"/>
    <m/>
    <n v="0"/>
    <s v="Kutkai Town"/>
    <n v="1.9281430163271129"/>
    <n v="1"/>
  </r>
  <r>
    <x v="0"/>
    <x v="1"/>
    <s v="MMR015"/>
    <s v="Muse"/>
    <s v="MMR015D002"/>
    <x v="17"/>
    <s v="MMR015011"/>
    <s v="Kutkai Town"/>
    <s v="MMR015011701"/>
    <s v="No (3) Ward"/>
    <s v="MMR015011701503"/>
    <x v="227"/>
    <x v="230"/>
    <x v="178"/>
    <n v="23.460349999999998"/>
    <n v="4430"/>
    <n v="30"/>
    <n v="138"/>
    <n v="4.5999999999999996"/>
    <x v="0"/>
    <x v="0"/>
    <x v="0"/>
    <x v="0"/>
    <d v="2012-12-01T00:00:00"/>
    <m/>
    <x v="5"/>
    <s v="IP"/>
    <m/>
    <d v="2017-01-10T00:00:00"/>
    <s v="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P3"/>
    <n v="0"/>
    <m/>
    <n v="0"/>
    <s v="Kutkai Town"/>
    <n v="0.42212558305526549"/>
    <n v="1"/>
  </r>
  <r>
    <x v="0"/>
    <x v="1"/>
    <s v="MMR015"/>
    <s v="Muse"/>
    <s v="MMR015D002"/>
    <x v="17"/>
    <s v="MMR015011"/>
    <s v="Mong Yu"/>
    <s v="MMR015011030"/>
    <s v="Mong Yu"/>
    <n v="208747"/>
    <x v="228"/>
    <x v="231"/>
    <x v="179"/>
    <n v="23.588920000000002"/>
    <n v="1012.5"/>
    <n v="69"/>
    <n v="306"/>
    <n v="4.4347826086956523"/>
    <x v="0"/>
    <x v="0"/>
    <x v="0"/>
    <x v="1"/>
    <d v="2013-01-01T00:00:00"/>
    <n v="2"/>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P3"/>
    <n v="6"/>
    <m/>
    <n v="6"/>
    <s v="Kutkai Town"/>
    <n v="21.050742639251741"/>
    <n v="5"/>
  </r>
  <r>
    <x v="1"/>
    <x v="1"/>
    <s v="MMR015"/>
    <s v="Muse"/>
    <s v="MMR015D002"/>
    <x v="17"/>
    <s v="MMR015011"/>
    <s v="Long Waun Nam Rein (Tarmoenye Sub-township)"/>
    <s v="MMR015011050"/>
    <s v="Mai Pong (Shu See)"/>
    <m/>
    <x v="229"/>
    <x v="232"/>
    <x v="180"/>
    <n v="23.391741"/>
    <n v="0"/>
    <n v="0"/>
    <n v="0"/>
    <s v="NA"/>
    <x v="0"/>
    <x v="0"/>
    <x v="0"/>
    <x v="1"/>
    <d v="2011-09-01T00:00:00"/>
    <m/>
    <x v="3"/>
    <s v="IP"/>
    <m/>
    <d v="2014-03-03T00:00:00"/>
    <s v="Close. Same with Kutkai Down Town RC. Source UNHCR Bhamo"/>
    <s v=""/>
    <n v="0"/>
    <m/>
    <n v="0"/>
    <s v=""/>
    <s v=""/>
    <s v=""/>
  </r>
  <r>
    <x v="0"/>
    <x v="1"/>
    <s v="MMR015"/>
    <s v="Muse"/>
    <s v="MMR015D002"/>
    <x v="17"/>
    <s v="MMR015011"/>
    <s v="Kar Lai Kone Hsar"/>
    <s v="MMR015011005"/>
    <s v="Kar Lai"/>
    <n v="208557"/>
    <x v="230"/>
    <x v="233"/>
    <x v="181"/>
    <n v="23.38503"/>
    <n v="0"/>
    <n v="190"/>
    <n v="917"/>
    <n v="4.8263157894736839"/>
    <x v="0"/>
    <x v="0"/>
    <x v="0"/>
    <x v="1"/>
    <d v="2012-12-01T00:00:00"/>
    <m/>
    <x v="0"/>
    <s v="IP"/>
    <m/>
    <d v="2017-01-10T00:00:00"/>
    <s v="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P3"/>
    <n v="89"/>
    <m/>
    <n v="89"/>
    <s v="Kutkai Town"/>
    <n v="13.632081902964599"/>
    <n v="3"/>
  </r>
  <r>
    <x v="0"/>
    <x v="1"/>
    <s v="MMR015"/>
    <s v="Muse"/>
    <s v="MMR015D002"/>
    <x v="16"/>
    <s v="MMR015009"/>
    <s v="Hpai Kawng (Pang Hseng-Kyu Koke Sub-township"/>
    <s v="MMR015009031"/>
    <s v="Hpai Kawng"/>
    <n v="208156"/>
    <x v="231"/>
    <x v="234"/>
    <x v="182"/>
    <n v="24.08738"/>
    <m/>
    <n v="32"/>
    <n v="187"/>
    <n v="5.84375"/>
    <x v="1"/>
    <x v="0"/>
    <x v="2"/>
    <x v="1"/>
    <m/>
    <m/>
    <x v="3"/>
    <s v="IRRC"/>
    <m/>
    <d v="2014-03-03T00:00:00"/>
    <s v="Change to Host Families."/>
    <s v="P4"/>
    <n v="0"/>
    <m/>
    <n v="0"/>
    <s v="Pang Hseng (Kyu Koke) Town"/>
    <n v="5.5919136174199959"/>
    <n v="2"/>
  </r>
  <r>
    <x v="1"/>
    <x v="1"/>
    <s v="MMR015"/>
    <s v="Muse"/>
    <s v="MMR015D002"/>
    <x v="15"/>
    <s v="MMR015010"/>
    <s v="Nawng Hkam"/>
    <s v="MMR015010010"/>
    <s v="Nawng Hkam"/>
    <n v="208353"/>
    <x v="232"/>
    <x v="235"/>
    <x v="183"/>
    <n v="23.82152"/>
    <n v="813.4"/>
    <n v="0"/>
    <n v="0"/>
    <s v="NA"/>
    <x v="1"/>
    <x v="0"/>
    <x v="0"/>
    <x v="2"/>
    <m/>
    <m/>
    <x v="4"/>
    <s v="IP"/>
    <m/>
    <d v="2014-03-14T00:00:00"/>
    <s v="Closed. Source Cluster Coordinator"/>
    <s v=""/>
    <n v="0"/>
    <m/>
    <n v="0"/>
    <s v=""/>
    <s v=""/>
    <s v=""/>
  </r>
  <r>
    <x v="1"/>
    <x v="1"/>
    <s v="MMR015"/>
    <s v="Muse"/>
    <s v="MMR015D002"/>
    <x v="16"/>
    <s v="MMR015009"/>
    <s v="Man Nway (Pang Hseng (Kyu Koke)) Sub-township"/>
    <s v="MMR015009036"/>
    <s v="Nam Hkawng Khu"/>
    <n v="208182"/>
    <x v="233"/>
    <x v="236"/>
    <x v="33"/>
    <m/>
    <n v="0"/>
    <m/>
    <m/>
    <s v="NA"/>
    <x v="1"/>
    <x v="0"/>
    <x v="0"/>
    <x v="1"/>
    <d v="2011-09-01T00:00:00"/>
    <n v="1"/>
    <x v="0"/>
    <s v="IP"/>
    <m/>
    <d v="2016-03-03T00:00:00"/>
    <s v="3/Mar/2016. Closed camp. Data source: January report from KBC_x000a_28/Jan/2016. Population update. Data source: KBC (mail by maran)_x000a_2/Dec/2015. Population update. Data source: KBC_x000a_25-Jun-15 Population update. Source: KBC_x000a_Update population. Source: Camp Profile."/>
    <s v="P2"/>
    <n v="0"/>
    <m/>
    <n v="0"/>
    <s v=""/>
    <s v=""/>
    <s v=""/>
  </r>
  <r>
    <x v="0"/>
    <x v="1"/>
    <s v="MMR015"/>
    <s v="Lashio"/>
    <s v="MMR015D001"/>
    <x v="20"/>
    <s v="MMR015002"/>
    <s v="Nar Tee"/>
    <s v="MMR015002029"/>
    <s v="Nar Tee"/>
    <n v="206422"/>
    <x v="234"/>
    <x v="237"/>
    <x v="184"/>
    <n v="23.372409999999999"/>
    <n v="617.6"/>
    <n v="67"/>
    <n v="392"/>
    <n v="5.8507462686567164"/>
    <x v="1"/>
    <x v="0"/>
    <x v="2"/>
    <x v="1"/>
    <d v="2013-04-01T00:00:00"/>
    <m/>
    <x v="3"/>
    <s v="IP"/>
    <m/>
    <d v="2014-03-03T00:00:00"/>
    <s v="Change to Host Families."/>
    <s v="P4"/>
    <n v="0"/>
    <m/>
    <n v="0"/>
    <s v="Kunlong Town"/>
    <n v="30.037709702375544"/>
    <n v="7"/>
  </r>
  <r>
    <x v="0"/>
    <x v="1"/>
    <s v="MMR015"/>
    <s v="Kyaukme"/>
    <s v="MMR015D003"/>
    <x v="18"/>
    <s v="MMR015019"/>
    <s v="Urban"/>
    <s v="MMR015019701"/>
    <s v="No (2) Ward"/>
    <s v="MMR015019701503"/>
    <x v="235"/>
    <x v="238"/>
    <x v="185"/>
    <n v="23.24661"/>
    <n v="87.3"/>
    <n v="29"/>
    <n v="178"/>
    <n v="6.1379310344827589"/>
    <x v="0"/>
    <x v="0"/>
    <x v="0"/>
    <x v="0"/>
    <d v="2012-05-01T00:00:00"/>
    <m/>
    <x v="5"/>
    <s v="IP"/>
    <m/>
    <d v="2017-01-10T00:00:00"/>
    <s v="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P3"/>
    <n v="0"/>
    <m/>
    <n v="0"/>
    <s v="Manton Town"/>
    <n v="0.71762888500316424"/>
    <n v="1"/>
  </r>
  <r>
    <x v="0"/>
    <x v="1"/>
    <s v="MMR015"/>
    <s v="Kyaukme"/>
    <s v="MMR015D003"/>
    <x v="19"/>
    <s v="MMR015015"/>
    <s v="Namtu Town"/>
    <s v="MMR015015701"/>
    <s v="Namtu Ward"/>
    <s v="MMR015015701501"/>
    <x v="236"/>
    <x v="239"/>
    <x v="186"/>
    <n v="23.088058"/>
    <n v="1948"/>
    <n v="118"/>
    <n v="520"/>
    <n v="4.406779661016949"/>
    <x v="0"/>
    <x v="0"/>
    <x v="2"/>
    <x v="0"/>
    <m/>
    <m/>
    <x v="3"/>
    <s v="IP"/>
    <m/>
    <d v="2014-09-01T00:00:00"/>
    <s v="Change to Host Families. Source: Programme Unit."/>
    <s v="P3"/>
    <n v="0"/>
    <m/>
    <n v="0"/>
    <s v="Namtu Town"/>
    <n v="0.63626694856259092"/>
    <n v="1"/>
  </r>
  <r>
    <x v="1"/>
    <x v="1"/>
    <s v="MMR015"/>
    <s v="Muse"/>
    <s v="MMR015D002"/>
    <x v="17"/>
    <s v="MMR015011"/>
    <s v="Galeng"/>
    <m/>
    <s v="Galeng"/>
    <m/>
    <x v="237"/>
    <x v="240"/>
    <x v="33"/>
    <m/>
    <m/>
    <n v="0"/>
    <n v="0"/>
    <s v="NA"/>
    <x v="1"/>
    <x v="0"/>
    <x v="0"/>
    <x v="1"/>
    <m/>
    <m/>
    <x v="3"/>
    <s v="IP"/>
    <m/>
    <d v="2013-01-15T00:00:00"/>
    <s v="Close: Duplicate Camp (MMR015CMP020 - Zup Aung Camp) 21-Jan-14"/>
    <s v=""/>
    <n v="0"/>
    <m/>
    <n v="0"/>
    <s v=""/>
    <s v=""/>
    <s v=""/>
  </r>
  <r>
    <x v="1"/>
    <x v="1"/>
    <s v="MMR015"/>
    <s v="Muse"/>
    <s v="MMR015D002"/>
    <x v="17"/>
    <s v="MMR015011"/>
    <s v="Galeng"/>
    <m/>
    <s v="Galeng"/>
    <m/>
    <x v="238"/>
    <x v="241"/>
    <x v="33"/>
    <m/>
    <m/>
    <n v="0"/>
    <n v="0"/>
    <s v="NA"/>
    <x v="1"/>
    <x v="0"/>
    <x v="0"/>
    <x v="1"/>
    <m/>
    <m/>
    <x v="3"/>
    <s v="IP"/>
    <m/>
    <d v="2013-01-15T00:00:00"/>
    <s v="Close: Duplicate Camp (MMR015CMP015 - Kone Khem Camp) 21-Jan-14"/>
    <s v=""/>
    <n v="0"/>
    <m/>
    <n v="0"/>
    <s v=""/>
    <s v=""/>
    <s v=""/>
  </r>
  <r>
    <x v="0"/>
    <x v="1"/>
    <s v="MMR015"/>
    <s v="Muse"/>
    <s v="MMR015D002"/>
    <x v="16"/>
    <s v="MMR015009"/>
    <s v="Muse Town"/>
    <s v="MMR015009701"/>
    <s v="Ho Mun Ward"/>
    <s v="MMR015009701504"/>
    <x v="239"/>
    <x v="242"/>
    <x v="187"/>
    <n v="24.006319999999999"/>
    <n v="812.7"/>
    <n v="51"/>
    <n v="209"/>
    <n v="4.0980392156862742"/>
    <x v="0"/>
    <x v="0"/>
    <x v="0"/>
    <x v="0"/>
    <d v="2014-03-05T00:00:00"/>
    <m/>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P4"/>
    <n v="7"/>
    <m/>
    <n v="7"/>
    <s v="Muse Town"/>
    <n v="1.989668595899414"/>
    <n v="1"/>
  </r>
  <r>
    <x v="0"/>
    <x v="1"/>
    <s v="MMR015"/>
    <s v="Muse"/>
    <s v="MMR015D002"/>
    <x v="15"/>
    <s v="MMR015010"/>
    <s v="Nawng Hkam"/>
    <s v="MMR015010010"/>
    <s v="Nawng Hkam"/>
    <n v="208353"/>
    <x v="240"/>
    <x v="243"/>
    <x v="188"/>
    <n v="23.841646999999998"/>
    <n v="798"/>
    <n v="36"/>
    <n v="201"/>
    <n v="5.583333333333333"/>
    <x v="0"/>
    <x v="0"/>
    <x v="0"/>
    <x v="0"/>
    <d v="2014-11-04T00:00:00"/>
    <m/>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P4"/>
    <n v="0"/>
    <m/>
    <n v="0"/>
    <s v="Namhkan Town"/>
    <n v="2.0141034419413328"/>
    <n v="1"/>
  </r>
  <r>
    <x v="0"/>
    <x v="1"/>
    <s v="MMR015"/>
    <s v="Muse"/>
    <s v="MMR015D002"/>
    <x v="15"/>
    <s v="MMR015010"/>
    <s v="Ho Nar"/>
    <s v="MMR015010002"/>
    <s v="Pang Long"/>
    <n v="208338"/>
    <x v="241"/>
    <x v="244"/>
    <x v="189"/>
    <n v="23.838190000000001"/>
    <n v="829.8"/>
    <n v="121"/>
    <n v="570"/>
    <n v="4.7107438016528924"/>
    <x v="0"/>
    <x v="0"/>
    <x v="0"/>
    <x v="0"/>
    <d v="2014-04-18T00:00:00"/>
    <m/>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P4"/>
    <n v="49"/>
    <m/>
    <n v="49"/>
    <s v="Namhkan Town"/>
    <n v="2.8590638493982405"/>
    <n v="1"/>
  </r>
  <r>
    <x v="0"/>
    <x v="1"/>
    <s v="MMR015"/>
    <s v="Muse"/>
    <s v="MMR015D002"/>
    <x v="16"/>
    <s v="MMR015009"/>
    <s v="Muse Town"/>
    <s v="MMR015009701"/>
    <s v="Ho Mun Ward"/>
    <s v="MMR015009701504"/>
    <x v="242"/>
    <x v="245"/>
    <x v="190"/>
    <n v="24.006789000000001"/>
    <n v="814"/>
    <n v="25"/>
    <n v="113"/>
    <n v="4.5199999999999996"/>
    <x v="0"/>
    <x v="0"/>
    <x v="0"/>
    <x v="0"/>
    <d v="2014-04-05T00:00:00"/>
    <m/>
    <x v="5"/>
    <s v="IP"/>
    <m/>
    <d v="2017-01-10T00:00:00"/>
    <s v="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P4"/>
    <n v="0"/>
    <m/>
    <n v="0"/>
    <s v="Muse Town"/>
    <n v="2.1362355825722199"/>
    <n v="1"/>
  </r>
  <r>
    <x v="0"/>
    <x v="1"/>
    <s v="MMR015"/>
    <s v="Muse"/>
    <s v="MMR015D002"/>
    <x v="17"/>
    <s v="MMR015011"/>
    <s v="Long Waun Nam Rein (Tarmoenye Sub-township)"/>
    <s v="MMR015011050"/>
    <s v="Mai Pong (Shu See)"/>
    <n v="219842"/>
    <x v="243"/>
    <x v="246"/>
    <x v="191"/>
    <n v="23.463000000000001"/>
    <m/>
    <n v="22"/>
    <n v="111"/>
    <n v="5.0454545454545459"/>
    <x v="0"/>
    <x v="0"/>
    <x v="0"/>
    <x v="1"/>
    <d v="2011-09-01T00:00:00"/>
    <m/>
    <x v="5"/>
    <s v="IP"/>
    <m/>
    <d v="2017-01-10T00:00:00"/>
    <s v="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n v="22"/>
    <m/>
    <n v="22"/>
    <m/>
    <s v=""/>
    <s v=""/>
  </r>
  <r>
    <x v="0"/>
    <x v="1"/>
    <s v="MMR015"/>
    <s v="Lashio"/>
    <s v="MMR015D001"/>
    <x v="20"/>
    <s v="MMR015002"/>
    <s v="Nam Sa Larp"/>
    <s v="MMR015002021"/>
    <s v="Nam Sa Larp"/>
    <n v="206352"/>
    <x v="244"/>
    <x v="247"/>
    <x v="192"/>
    <n v="23.354268999999999"/>
    <m/>
    <n v="38"/>
    <n v="205"/>
    <n v="5.3947368421052628"/>
    <x v="0"/>
    <x v="0"/>
    <x v="0"/>
    <x v="1"/>
    <d v="2015-02-01T00:00:00"/>
    <m/>
    <x v="0"/>
    <s v="IP"/>
    <m/>
    <d v="2017-01-10T00:00:00"/>
    <s v="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n v="3"/>
    <m/>
    <n v="3"/>
    <m/>
    <s v=""/>
    <s v=""/>
  </r>
  <r>
    <x v="0"/>
    <x v="1"/>
    <s v="MMR015"/>
    <s v="Muse"/>
    <s v="MMR015D002"/>
    <x v="17"/>
    <s v="MMR015011"/>
    <s v="Kar Lai Kone Hsar"/>
    <s v="MMR015011005"/>
    <m/>
    <m/>
    <x v="245"/>
    <x v="248"/>
    <x v="193"/>
    <n v="23.447111"/>
    <m/>
    <n v="105"/>
    <n v="568"/>
    <n v="5.4095238095238098"/>
    <x v="0"/>
    <x v="0"/>
    <x v="0"/>
    <x v="1"/>
    <d v="2015-02-01T00:00:00"/>
    <m/>
    <x v="3"/>
    <s v="IP"/>
    <m/>
    <d v="2015-11-09T00:00:00"/>
    <s v="9/Nov/15. New added camp. Data source: UNHCR CCCM officer NSS mission 8-12 July 2015."/>
    <m/>
    <n v="105"/>
    <m/>
    <n v="105"/>
    <m/>
    <s v=""/>
    <s v=""/>
  </r>
  <r>
    <x v="0"/>
    <x v="1"/>
    <s v="MMR015"/>
    <s v="Muse"/>
    <s v="MMR015D002"/>
    <x v="17"/>
    <s v="MMR015011"/>
    <s v="Mong Yu"/>
    <s v="MMR015011030"/>
    <s v="Mong Yu"/>
    <n v="208747"/>
    <x v="246"/>
    <x v="249"/>
    <x v="194"/>
    <n v="23.591999999999999"/>
    <m/>
    <n v="146"/>
    <n v="678"/>
    <n v="4.6438356164383565"/>
    <x v="0"/>
    <x v="0"/>
    <x v="0"/>
    <x v="1"/>
    <d v="2016-03-06T00:00:00"/>
    <m/>
    <x v="3"/>
    <s v="IP"/>
    <m/>
    <d v="2016-01-10T00:00:00"/>
    <s v="10/Jan/2017: Population update. Data source: KBC_x000a_18/Jul/2016: Added as new camp according to KBC_Brang Mai."/>
    <m/>
    <n v="146"/>
    <m/>
    <n v="146"/>
    <m/>
    <s v=""/>
    <s v=""/>
  </r>
  <r>
    <x v="0"/>
    <x v="1"/>
    <s v="MMR015"/>
    <s v="Kyaukme"/>
    <s v="MMR015D003"/>
    <x v="19"/>
    <s v="MMR015015"/>
    <s v="Pang Long"/>
    <s v="MMR015015011"/>
    <s v="Pang Tha Pyay"/>
    <n v="210455"/>
    <x v="247"/>
    <x v="250"/>
    <x v="195"/>
    <n v="22.765999999999998"/>
    <m/>
    <n v="19"/>
    <n v="82"/>
    <n v="4.3157894736842106"/>
    <x v="0"/>
    <x v="0"/>
    <x v="0"/>
    <x v="1"/>
    <d v="2016-01-01T00:00:00"/>
    <m/>
    <x v="3"/>
    <s v="IP"/>
    <m/>
    <d v="2016-07-25T00:00:00"/>
    <s v="25/Jul/2016: Added as new camp according to KBC data. Data was given by Jade"/>
    <m/>
    <n v="19"/>
    <m/>
    <n v="19"/>
    <s v=""/>
    <s v=""/>
    <s v=""/>
  </r>
  <r>
    <x v="0"/>
    <x v="1"/>
    <s v="MMR015"/>
    <s v="Kyaukme"/>
    <s v="MMR015D003"/>
    <x v="18"/>
    <s v="MMR015019"/>
    <m/>
    <m/>
    <m/>
    <m/>
    <x v="248"/>
    <x v="251"/>
    <x v="33"/>
    <m/>
    <m/>
    <n v="36"/>
    <n v="188"/>
    <n v="5.2222222222222223"/>
    <x v="0"/>
    <x v="0"/>
    <x v="0"/>
    <x v="0"/>
    <d v="2016-01-01T00:00:00"/>
    <m/>
    <x v="3"/>
    <s v="IP"/>
    <m/>
    <d v="2016-07-25T00:00:00"/>
    <s v="25/Jul/2016: Added as new camp according to KBC data. "/>
    <m/>
    <n v="36"/>
    <m/>
    <n v="36"/>
    <s v=""/>
    <s v=""/>
    <s v=""/>
  </r>
  <r>
    <x v="0"/>
    <x v="1"/>
    <s v="MMR015"/>
    <s v="Muse"/>
    <s v="MMR015D002"/>
    <x v="15"/>
    <s v="MMR015010"/>
    <s v="Mong Wee"/>
    <s v="MMR015010036"/>
    <s v="Mong Wee"/>
    <n v="208469"/>
    <x v="249"/>
    <x v="252"/>
    <x v="196"/>
    <n v="23.611999999999998"/>
    <m/>
    <n v="200"/>
    <n v="827"/>
    <n v="4.1349999999999998"/>
    <x v="0"/>
    <x v="0"/>
    <x v="0"/>
    <x v="1"/>
    <d v="2016-02-01T00:00:00"/>
    <m/>
    <x v="3"/>
    <s v="IP"/>
    <m/>
    <d v="2016-07-25T00:00:00"/>
    <s v="25/Jul/2016: Added as new camp according to KBC data. Data was given by Jade"/>
    <m/>
    <n v="200"/>
    <m/>
    <n v="200"/>
    <s v=""/>
    <s v=""/>
    <s v=""/>
  </r>
  <r>
    <x v="0"/>
    <x v="1"/>
    <s v="MMR015"/>
    <s v="Muse"/>
    <s v="MMR015D002"/>
    <x v="15"/>
    <s v="MMR015010"/>
    <s v="Mong Wee"/>
    <s v="MMR015010036"/>
    <s v="Mong Wee"/>
    <n v="208469"/>
    <x v="250"/>
    <x v="253"/>
    <x v="197"/>
    <n v="23.611999999999998"/>
    <m/>
    <n v="61"/>
    <n v="247"/>
    <n v="4.0491803278688527"/>
    <x v="0"/>
    <x v="0"/>
    <x v="0"/>
    <x v="1"/>
    <d v="2016-03-01T00:00:00"/>
    <m/>
    <x v="3"/>
    <s v="IP"/>
    <m/>
    <d v="2016-07-25T00:00:00"/>
    <s v="25/Jul/2016: Added as new camp according to KBC data. Data was given by Jade"/>
    <m/>
    <n v="61"/>
    <m/>
    <n v="61"/>
    <s v=""/>
    <s v=""/>
    <s v=""/>
  </r>
  <r>
    <x v="0"/>
    <x v="1"/>
    <s v="MMR015"/>
    <s v="Muse"/>
    <s v="MMR015D002"/>
    <x v="17"/>
    <s v="MMR015011"/>
    <s v="Nam Hpat Kar"/>
    <s v="MMR015011020"/>
    <s v="Aung Tha Pyay Ward"/>
    <m/>
    <x v="251"/>
    <x v="254"/>
    <x v="197"/>
    <n v="23.611999999999998"/>
    <m/>
    <n v="176"/>
    <n v="798"/>
    <n v="4.5340909090909092"/>
    <x v="0"/>
    <x v="0"/>
    <x v="0"/>
    <x v="0"/>
    <d v="2016-02-01T00:00:00"/>
    <m/>
    <x v="3"/>
    <s v="IP"/>
    <m/>
    <d v="2016-07-25T00:00:00"/>
    <s v="25/Jul/2016: Added as new camp according to KBC data. Data was given by Jade"/>
    <m/>
    <n v="176"/>
    <m/>
    <n v="176"/>
    <s v=""/>
    <s v=""/>
    <s v=""/>
  </r>
  <r>
    <x v="0"/>
    <x v="1"/>
    <s v="MMR015"/>
    <s v="Lashio"/>
    <s v="MMR015D001"/>
    <x v="20"/>
    <s v="MMR015002"/>
    <s v="Kawng Wein"/>
    <s v="MMR015002026"/>
    <s v="Kawng Wein"/>
    <n v="206395"/>
    <x v="252"/>
    <x v="255"/>
    <x v="198"/>
    <n v="23.353999999999999"/>
    <m/>
    <n v="20"/>
    <n v="75"/>
    <n v="3.75"/>
    <x v="0"/>
    <x v="0"/>
    <x v="0"/>
    <x v="0"/>
    <d v="2016-03-01T00:00:00"/>
    <m/>
    <x v="3"/>
    <s v="IP"/>
    <m/>
    <d v="2016-07-25T00:00:00"/>
    <s v="25/Jul/2016: Added as new camp according to KBC data. Data was given by Jade"/>
    <m/>
    <n v="20"/>
    <m/>
    <n v="20"/>
    <s v=""/>
    <s v=""/>
    <s v=""/>
  </r>
  <r>
    <x v="0"/>
    <x v="1"/>
    <s v="MMR015"/>
    <s v="Muse"/>
    <s v="MMR015D002"/>
    <x v="17"/>
    <s v="MMR015011"/>
    <s v="Mung Hawm"/>
    <m/>
    <s v="Htoi San Yang "/>
    <m/>
    <x v="253"/>
    <x v="256"/>
    <x v="199"/>
    <n v="23.850999999999999"/>
    <m/>
    <n v="30"/>
    <n v="170"/>
    <n v="5.666666666666667"/>
    <x v="0"/>
    <x v="0"/>
    <x v="0"/>
    <x v="1"/>
    <d v="2016-02-01T00:00:00"/>
    <m/>
    <x v="3"/>
    <s v="IP"/>
    <m/>
    <d v="2016-07-25T00:00:00"/>
    <s v="25/Jul/2016: Added as new camp according to KBC data. Data was given by Jade"/>
    <m/>
    <n v="30"/>
    <m/>
    <n v="30"/>
    <s v=""/>
    <s v=""/>
    <s v=""/>
  </r>
  <r>
    <x v="0"/>
    <x v="1"/>
    <s v="MMR015"/>
    <s v="Kyaukme"/>
    <s v="MMR015D003"/>
    <x v="19"/>
    <s v="MMR015015"/>
    <s v="Namtu Town"/>
    <s v="MMR015015701"/>
    <s v="Namtu Ward"/>
    <s v="MMR015015701501"/>
    <x v="254"/>
    <x v="257"/>
    <x v="33"/>
    <m/>
    <m/>
    <n v="224"/>
    <n v="767"/>
    <n v="3.4241071428571428"/>
    <x v="0"/>
    <x v="0"/>
    <x v="0"/>
    <x v="0"/>
    <m/>
    <m/>
    <x v="3"/>
    <m/>
    <m/>
    <d v="2017-01-17T00:00:00"/>
    <s v="17-01-2017: New added camp. Missing data will be collected from partners and present in next Report."/>
    <m/>
    <n v="224"/>
    <m/>
    <n v="224"/>
    <s v=""/>
    <s v=""/>
    <s v=""/>
  </r>
  <r>
    <x v="0"/>
    <x v="1"/>
    <s v="MMR015"/>
    <s v="Kyaukme"/>
    <s v="MMR015D003"/>
    <x v="19"/>
    <s v="MMR015015"/>
    <s v="Namtu Town"/>
    <s v="MMR015015701"/>
    <s v="Namtu Ward"/>
    <s v="MMR015015701501"/>
    <x v="255"/>
    <x v="258"/>
    <x v="33"/>
    <m/>
    <m/>
    <n v="13"/>
    <n v="45"/>
    <n v="3.4615384615384617"/>
    <x v="0"/>
    <x v="0"/>
    <x v="0"/>
    <x v="0"/>
    <m/>
    <m/>
    <x v="3"/>
    <m/>
    <m/>
    <d v="2017-01-17T00:00:00"/>
    <s v="17-01-2017: New added camp. Missing data will be collected from partners and present in next Report."/>
    <m/>
    <n v="13"/>
    <m/>
    <n v="13"/>
    <s v=""/>
    <s v=""/>
    <s v=""/>
  </r>
  <r>
    <x v="0"/>
    <x v="1"/>
    <s v="MMR015"/>
    <s v="Kyaukme"/>
    <s v="MMR015D003"/>
    <x v="19"/>
    <s v="MMR015015"/>
    <s v="Namtu Town"/>
    <s v="MMR015015701"/>
    <s v="Namtu Ward"/>
    <s v="MMR015015701501"/>
    <x v="256"/>
    <x v="259"/>
    <x v="33"/>
    <m/>
    <m/>
    <n v="41"/>
    <n v="191"/>
    <n v="4.6585365853658534"/>
    <x v="0"/>
    <x v="0"/>
    <x v="0"/>
    <x v="0"/>
    <m/>
    <m/>
    <x v="3"/>
    <m/>
    <m/>
    <d v="2017-01-17T00:00:00"/>
    <s v="17-01-2017: New added camp. Missing data will be collected from partners and present in next Report."/>
    <m/>
    <n v="41"/>
    <m/>
    <n v="41"/>
    <s v=""/>
    <s v=""/>
    <s v=""/>
  </r>
  <r>
    <x v="0"/>
    <x v="1"/>
    <s v="MMR015"/>
    <s v="Kyaukme"/>
    <s v="MMR015D003"/>
    <x v="19"/>
    <s v="MMR015015"/>
    <s v="Namtu Town"/>
    <s v="MMR015015701"/>
    <s v="Namtu Ward"/>
    <s v="MMR015015701501"/>
    <x v="257"/>
    <x v="260"/>
    <x v="33"/>
    <m/>
    <m/>
    <n v="19"/>
    <n v="66"/>
    <n v="3.4736842105263159"/>
    <x v="0"/>
    <x v="0"/>
    <x v="0"/>
    <x v="0"/>
    <m/>
    <m/>
    <x v="3"/>
    <m/>
    <m/>
    <d v="2017-01-17T00:00:00"/>
    <s v="17-01-2017: New added camp. Missing data will be collected from partners and present in next Report."/>
    <m/>
    <n v="19"/>
    <m/>
    <n v="19"/>
    <s v=""/>
    <s v=""/>
    <s v=""/>
  </r>
  <r>
    <x v="0"/>
    <x v="1"/>
    <s v="MMR015"/>
    <s v="Kyaukme"/>
    <s v="MMR015D003"/>
    <x v="19"/>
    <s v="MMR015015"/>
    <s v="Namtu Town"/>
    <s v="MMR015015701"/>
    <s v="Namtu Ward"/>
    <s v="MMR015015701501"/>
    <x v="258"/>
    <x v="261"/>
    <x v="33"/>
    <m/>
    <m/>
    <n v="59"/>
    <n v="268"/>
    <n v="4.5423728813559325"/>
    <x v="0"/>
    <x v="0"/>
    <x v="0"/>
    <x v="0"/>
    <m/>
    <m/>
    <x v="3"/>
    <m/>
    <m/>
    <d v="2017-01-17T00:00:00"/>
    <s v="17-01-2017: New added camp. Missing data will be collected from partners and present in next Report."/>
    <m/>
    <n v="59"/>
    <m/>
    <n v="59"/>
    <s v=""/>
    <s v=""/>
    <s v=""/>
  </r>
  <r>
    <x v="0"/>
    <x v="1"/>
    <s v="MMR015"/>
    <s v="Muse"/>
    <s v="MMR015D002"/>
    <x v="16"/>
    <s v="MMR015009"/>
    <s v="Muse Town"/>
    <s v="MMR015009701"/>
    <s v="Ho Mun Ward"/>
    <s v="MMR015009701504"/>
    <x v="259"/>
    <x v="262"/>
    <x v="33"/>
    <m/>
    <m/>
    <m/>
    <n v="142"/>
    <s v="NA"/>
    <x v="0"/>
    <x v="0"/>
    <x v="0"/>
    <x v="0"/>
    <m/>
    <m/>
    <x v="3"/>
    <m/>
    <m/>
    <d v="2017-01-17T00:00:00"/>
    <s v="17-01-2017: New added camp. Missing data will be collected from partners and present in next Report."/>
    <m/>
    <n v="0"/>
    <m/>
    <n v="0"/>
    <s v=""/>
    <s v=""/>
    <s v=""/>
  </r>
  <r>
    <x v="1"/>
    <x v="1"/>
    <s v="MMR015"/>
    <s v="Muse"/>
    <s v="MMR015D002"/>
    <x v="16"/>
    <s v="MMR015009"/>
    <s v="Muse Town"/>
    <s v="MMR015009701"/>
    <s v="Myauk Ward"/>
    <s v="MMR015009701505"/>
    <x v="260"/>
    <x v="263"/>
    <x v="33"/>
    <m/>
    <m/>
    <m/>
    <n v="0"/>
    <s v="NA"/>
    <x v="0"/>
    <x v="0"/>
    <x v="0"/>
    <x v="0"/>
    <m/>
    <m/>
    <x v="3"/>
    <m/>
    <m/>
    <d v="2017-01-17T00:00:00"/>
    <s v="17-01-2017: New added camp. Missing data will be collected from partners and present in next Report."/>
    <m/>
    <n v="0"/>
    <m/>
    <n v="0"/>
    <s v=""/>
    <s v=""/>
    <s v=""/>
  </r>
  <r>
    <x v="1"/>
    <x v="1"/>
    <s v="MMR015"/>
    <s v="Muse"/>
    <s v="MMR015D002"/>
    <x v="16"/>
    <s v="MMR015009"/>
    <s v="Muse Town"/>
    <s v="MMR015009701"/>
    <s v="Taung Ward"/>
    <s v="MMR015009701503"/>
    <x v="261"/>
    <x v="264"/>
    <x v="33"/>
    <m/>
    <m/>
    <m/>
    <n v="0"/>
    <s v="NA"/>
    <x v="0"/>
    <x v="0"/>
    <x v="0"/>
    <x v="0"/>
    <m/>
    <m/>
    <x v="3"/>
    <m/>
    <m/>
    <d v="2017-01-17T00:00:00"/>
    <s v="17-01-2017: New added camp. Missing data will be collected from partners and present in next Report."/>
    <m/>
    <n v="0"/>
    <m/>
    <n v="0"/>
    <s v=""/>
    <s v=""/>
    <s v=""/>
  </r>
  <r>
    <x v="0"/>
    <x v="1"/>
    <s v="MMR015"/>
    <s v="Muse"/>
    <s v="MMR015D002"/>
    <x v="16"/>
    <s v="MMR015009"/>
    <m/>
    <m/>
    <m/>
    <m/>
    <x v="262"/>
    <x v="265"/>
    <x v="33"/>
    <m/>
    <m/>
    <m/>
    <n v="134"/>
    <s v="NA"/>
    <x v="0"/>
    <x v="0"/>
    <x v="0"/>
    <x v="2"/>
    <m/>
    <m/>
    <x v="3"/>
    <m/>
    <m/>
    <d v="2017-01-17T00:00:00"/>
    <s v="17-01-2017: New added camp. Missing data will be collected from partners and present in next Report."/>
    <m/>
    <n v="0"/>
    <m/>
    <n v="0"/>
    <s v=""/>
    <s v=""/>
    <s v=""/>
  </r>
  <r>
    <x v="0"/>
    <x v="1"/>
    <s v="MMR015"/>
    <s v="Muse"/>
    <s v="MMR015D002"/>
    <x v="16"/>
    <s v="MMR015009"/>
    <s v="Muse Town"/>
    <s v="MMR015009701"/>
    <s v="Swei Taw Ward"/>
    <s v="MMR015009701507"/>
    <x v="263"/>
    <x v="266"/>
    <x v="33"/>
    <m/>
    <m/>
    <m/>
    <n v="46"/>
    <s v="NA"/>
    <x v="0"/>
    <x v="0"/>
    <x v="0"/>
    <x v="0"/>
    <m/>
    <m/>
    <x v="3"/>
    <m/>
    <m/>
    <d v="2017-01-17T00:00:00"/>
    <s v="17-01-2017: New added camp. Missing data will be collected from partners and present in next Report."/>
    <m/>
    <n v="0"/>
    <m/>
    <n v="0"/>
    <s v=""/>
    <s v=""/>
    <s v=""/>
  </r>
  <r>
    <x v="0"/>
    <x v="1"/>
    <s v="MMR015"/>
    <s v="Muse"/>
    <s v="MMR015D002"/>
    <x v="16"/>
    <s v="MMR015009"/>
    <s v="Nam Pang"/>
    <s v="MMR015009001"/>
    <s v="Nam Hkon"/>
    <n v="208003"/>
    <x v="264"/>
    <x v="267"/>
    <x v="33"/>
    <m/>
    <m/>
    <m/>
    <n v="8"/>
    <s v="NA"/>
    <x v="0"/>
    <x v="0"/>
    <x v="0"/>
    <x v="1"/>
    <m/>
    <m/>
    <x v="3"/>
    <m/>
    <m/>
    <d v="2017-01-17T00:00:00"/>
    <s v="17-01-2017: New added camp. Missing data will be collected from partners and present in next Report."/>
    <m/>
    <n v="0"/>
    <m/>
    <n v="0"/>
    <s v=""/>
    <s v=""/>
    <s v=""/>
  </r>
  <r>
    <x v="0"/>
    <x v="1"/>
    <s v="MMR015"/>
    <s v="Muse"/>
    <s v="MMR015D002"/>
    <x v="16"/>
    <s v="MMR015009"/>
    <s v="Muse Town"/>
    <s v="MMR015009701"/>
    <s v="Ho Mun Ward"/>
    <s v="MMR015009701504"/>
    <x v="265"/>
    <x v="268"/>
    <x v="33"/>
    <m/>
    <m/>
    <m/>
    <n v="44"/>
    <s v="NA"/>
    <x v="0"/>
    <x v="0"/>
    <x v="0"/>
    <x v="0"/>
    <m/>
    <m/>
    <x v="3"/>
    <m/>
    <m/>
    <d v="2017-01-17T00:00:00"/>
    <s v="17-01-2017: New added camp. Missing data will be collected from partners and present in next Report."/>
    <m/>
    <n v="0"/>
    <m/>
    <n v="0"/>
    <s v=""/>
    <s v=""/>
    <s v=""/>
  </r>
  <r>
    <x v="1"/>
    <x v="1"/>
    <s v="MMR015"/>
    <s v="Muse"/>
    <s v="MMR015D002"/>
    <x v="16"/>
    <s v="MMR015009"/>
    <s v="Muse Town"/>
    <s v="MMR015009701"/>
    <m/>
    <m/>
    <x v="266"/>
    <x v="269"/>
    <x v="33"/>
    <m/>
    <m/>
    <m/>
    <n v="0"/>
    <s v="NA"/>
    <x v="0"/>
    <x v="0"/>
    <x v="0"/>
    <x v="2"/>
    <m/>
    <m/>
    <x v="3"/>
    <m/>
    <m/>
    <d v="2017-01-17T00:00:00"/>
    <s v="17-01-2017: New added camp. Missing data will be collected from partners and present in next Report."/>
    <m/>
    <n v="0"/>
    <m/>
    <n v="0"/>
    <s v=""/>
    <s v=""/>
    <s v=""/>
  </r>
  <r>
    <x v="0"/>
    <x v="1"/>
    <s v="MMR015"/>
    <s v="Muse"/>
    <s v="MMR015D002"/>
    <x v="16"/>
    <s v="MMR015009"/>
    <s v="Muse Town"/>
    <s v="MMR015009701"/>
    <s v="Ho Mun Ward"/>
    <s v="MMR015009701504"/>
    <x v="267"/>
    <x v="270"/>
    <x v="33"/>
    <m/>
    <m/>
    <m/>
    <n v="150"/>
    <s v="NA"/>
    <x v="0"/>
    <x v="0"/>
    <x v="0"/>
    <x v="0"/>
    <m/>
    <m/>
    <x v="3"/>
    <m/>
    <m/>
    <d v="2017-01-17T00:00:00"/>
    <s v="17-01-2017: New added camp. Missing data will be collected from partners and present in next Report."/>
    <m/>
    <n v="0"/>
    <m/>
    <n v="0"/>
    <s v=""/>
    <s v=""/>
    <s v=""/>
  </r>
  <r>
    <x v="0"/>
    <x v="1"/>
    <s v="MMR015"/>
    <s v="Muse"/>
    <s v="MMR015D002"/>
    <x v="16"/>
    <s v="MMR015009"/>
    <s v="Muse Town"/>
    <s v="MMR015009701"/>
    <s v="Ho Mun Ward"/>
    <s v="MMR015009701504"/>
    <x v="268"/>
    <x v="271"/>
    <x v="33"/>
    <m/>
    <m/>
    <m/>
    <n v="11"/>
    <s v="NA"/>
    <x v="0"/>
    <x v="0"/>
    <x v="0"/>
    <x v="0"/>
    <m/>
    <m/>
    <x v="3"/>
    <m/>
    <m/>
    <d v="2017-01-17T00:00:00"/>
    <s v="17-01-2017: New added camp. Missing data will be collected from partners and present in next Report."/>
    <m/>
    <n v="0"/>
    <m/>
    <n v="0"/>
    <s v=""/>
    <s v=""/>
    <s v=""/>
  </r>
  <r>
    <x v="0"/>
    <x v="1"/>
    <s v="MMR015"/>
    <s v="Muse"/>
    <s v="MMR015D002"/>
    <x v="16"/>
    <s v="MMR015009"/>
    <m/>
    <m/>
    <m/>
    <m/>
    <x v="269"/>
    <x v="272"/>
    <x v="33"/>
    <m/>
    <m/>
    <m/>
    <n v="304"/>
    <s v="NA"/>
    <x v="0"/>
    <x v="0"/>
    <x v="0"/>
    <x v="2"/>
    <m/>
    <m/>
    <x v="3"/>
    <m/>
    <m/>
    <d v="2017-01-17T00:00:00"/>
    <s v="17-01-2017: New added camp. Missing data will be collected from partners and present in next Report."/>
    <m/>
    <n v="0"/>
    <m/>
    <n v="0"/>
    <s v=""/>
    <s v=""/>
    <s v=""/>
  </r>
  <r>
    <x v="0"/>
    <x v="1"/>
    <s v="MMR015"/>
    <s v="Kyaukme"/>
    <s v="MMR015D003"/>
    <x v="21"/>
    <s v="MMR015014"/>
    <s v="Moe Tay"/>
    <s v="MMR015014024"/>
    <s v="Nawng Tha Kyar"/>
    <n v="209986"/>
    <x v="270"/>
    <x v="273"/>
    <x v="33"/>
    <m/>
    <m/>
    <n v="37"/>
    <n v="120"/>
    <n v="3.2432432432432434"/>
    <x v="0"/>
    <x v="0"/>
    <x v="0"/>
    <x v="1"/>
    <m/>
    <m/>
    <x v="3"/>
    <m/>
    <m/>
    <d v="2017-01-17T00:00:00"/>
    <s v="17-01-2017: New added camp. Missing data will be collected from partners and present in next Report."/>
    <m/>
    <n v="37"/>
    <m/>
    <n v="37"/>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3"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9:C24" firstHeaderRow="0" firstDataRow="1" firstDataCol="1" rowPageCount="3" colPageCount="1"/>
  <pivotFields count="42">
    <pivotField axis="axisRow" multipleItemSelectionAllowed="1" showAll="0">
      <items count="3">
        <item x="0"/>
        <item sd="0" x="1"/>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axis="axisPage" multipleItemSelectionAllowed="1" showAll="0" defaultSubtotal="0">
      <items count="22">
        <item x="3"/>
        <item x="2"/>
        <item x="11"/>
        <item x="20"/>
        <item x="12"/>
        <item x="7"/>
        <item x="17"/>
        <item x="14"/>
        <item x="5"/>
        <item x="18"/>
        <item x="9"/>
        <item x="10"/>
        <item x="4"/>
        <item x="16"/>
        <item x="0"/>
        <item x="15"/>
        <item x="19"/>
        <item x="8"/>
        <item x="6"/>
        <item x="13"/>
        <item x="1"/>
        <item x="2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dataField="1" subtotalTop="0" showAll="0"/>
    <pivotField dataField="1" subtotalTop="0" showAll="0"/>
    <pivotField showAll="0" defaultSubtotal="0"/>
    <pivotField showAll="0" defaultSubtotal="0"/>
    <pivotField axis="axisPage" showAll="0" defaultSubtotal="0">
      <items count="2">
        <item x="1"/>
        <item x="0"/>
      </items>
    </pivotField>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axis="axisRow"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2">
    <field x="0"/>
    <field x="38"/>
  </rowFields>
  <rowItems count="15">
    <i>
      <x/>
    </i>
    <i r="1">
      <x/>
    </i>
    <i r="1">
      <x v="1"/>
    </i>
    <i r="1">
      <x v="2"/>
    </i>
    <i r="1">
      <x v="3"/>
    </i>
    <i r="1">
      <x v="5"/>
    </i>
    <i r="1">
      <x v="6"/>
    </i>
    <i r="1">
      <x v="7"/>
    </i>
    <i r="1">
      <x v="8"/>
    </i>
    <i r="1">
      <x v="9"/>
    </i>
    <i r="1">
      <x v="10"/>
    </i>
    <i r="1">
      <x v="11"/>
    </i>
    <i r="1">
      <x v="12"/>
    </i>
    <i>
      <x v="1"/>
    </i>
    <i t="grand">
      <x/>
    </i>
  </rowItems>
  <colFields count="1">
    <field x="-2"/>
  </colFields>
  <colItems count="2">
    <i>
      <x/>
    </i>
    <i i="1">
      <x v="1"/>
    </i>
  </colItems>
  <pageFields count="3">
    <pageField fld="1" hier="-1"/>
    <pageField fld="5" hier="-1"/>
    <pageField fld="20" item="1" hier="-1"/>
  </pageFields>
  <dataFields count="2">
    <dataField name="Households" fld="16" baseField="2" baseItem="0"/>
    <dataField name="Population" fld="17" baseField="2" baseItem="0"/>
  </dataFields>
  <formats count="20">
    <format dxfId="2123">
      <pivotArea type="all" dataOnly="0" outline="0" fieldPosition="0"/>
    </format>
    <format dxfId="2122">
      <pivotArea field="1" type="button" dataOnly="0" labelOnly="1" outline="0" axis="axisPage" fieldPosition="0"/>
    </format>
    <format dxfId="2121">
      <pivotArea dataOnly="0" labelOnly="1" outline="0" fieldPosition="0">
        <references count="1">
          <reference field="4294967294" count="2">
            <x v="0"/>
            <x v="1"/>
          </reference>
        </references>
      </pivotArea>
    </format>
    <format dxfId="2120">
      <pivotArea grandRow="1" outline="0" collapsedLevelsAreSubtotals="1" fieldPosition="0"/>
    </format>
    <format dxfId="2119">
      <pivotArea dataOnly="0" labelOnly="1" grandRow="1" outline="0" fieldPosition="0"/>
    </format>
    <format dxfId="2118">
      <pivotArea outline="0" collapsedLevelsAreSubtotals="1" fieldPosition="0"/>
    </format>
    <format dxfId="2117">
      <pivotArea dataOnly="0" labelOnly="1" fieldPosition="0">
        <references count="1">
          <reference field="0" count="0"/>
        </references>
      </pivotArea>
    </format>
    <format dxfId="2116">
      <pivotArea dataOnly="0" labelOnly="1" grandRow="1" outline="0" fieldPosition="0"/>
    </format>
    <format dxfId="2115">
      <pivotArea outline="0" collapsedLevelsAreSubtotals="1" fieldPosition="0">
        <references count="1">
          <reference field="4294967294" count="1" selected="0">
            <x v="1"/>
          </reference>
        </references>
      </pivotArea>
    </format>
    <format dxfId="2114">
      <pivotArea dataOnly="0" labelOnly="1" outline="0" fieldPosition="0">
        <references count="1">
          <reference field="4294967294" count="1">
            <x v="1"/>
          </reference>
        </references>
      </pivotArea>
    </format>
    <format dxfId="2113">
      <pivotArea type="all" dataOnly="0" outline="0" fieldPosition="0"/>
    </format>
    <format dxfId="2112">
      <pivotArea field="1" type="button" dataOnly="0" labelOnly="1" outline="0" axis="axisPage" fieldPosition="0"/>
    </format>
    <format dxfId="2111">
      <pivotArea dataOnly="0" labelOnly="1" outline="0" fieldPosition="0">
        <references count="1">
          <reference field="1" count="0"/>
        </references>
      </pivotArea>
    </format>
    <format dxfId="2110">
      <pivotArea field="5" type="button" dataOnly="0" labelOnly="1" outline="0" axis="axisPage" fieldPosition="1"/>
    </format>
    <format dxfId="2109">
      <pivotArea dataOnly="0" labelOnly="1" outline="0" fieldPosition="0">
        <references count="1">
          <reference field="5" count="0"/>
        </references>
      </pivotArea>
    </format>
    <format dxfId="2108">
      <pivotArea field="1" type="button" dataOnly="0" labelOnly="1" outline="0" axis="axisPage" fieldPosition="0"/>
    </format>
    <format dxfId="2107">
      <pivotArea dataOnly="0" labelOnly="1" outline="0" fieldPosition="0">
        <references count="1">
          <reference field="1" count="0"/>
        </references>
      </pivotArea>
    </format>
    <format dxfId="2106">
      <pivotArea field="5" type="button" dataOnly="0" labelOnly="1" outline="0" axis="axisPage" fieldPosition="1"/>
    </format>
    <format dxfId="2105">
      <pivotArea dataOnly="0" labelOnly="1" outline="0" fieldPosition="0">
        <references count="1">
          <reference field="5" count="0"/>
        </references>
      </pivotArea>
    </format>
    <format dxfId="2104">
      <pivotArea field="0" grandRow="1" outline="0" collapsedLevelsAreSubtotals="1" axis="axisRow" fieldPosition="0">
        <references count="1">
          <reference field="4294967294" count="1" selected="0">
            <x v="1"/>
          </reference>
        </references>
      </pivotArea>
    </format>
  </formats>
  <chartFormats count="2">
    <chartFormat chart="4"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useAutoFormatting="1" itemPrintTitles="1" createdVersion="4" indent="0" showHeaders="0" outline="1" outlineData="1" multipleFieldFilters="0" chartFormat="8">
  <location ref="H84:I102" firstHeaderRow="1" firstDataRow="1" firstDataCol="1" rowPageCount="1" colPageCount="1"/>
  <pivotFields count="23">
    <pivotField showAll="0" defaultSubtotal="0"/>
    <pivotField axis="axisRow" showAll="0">
      <items count="18">
        <item x="2"/>
        <item x="0"/>
        <item x="3"/>
        <item x="10"/>
        <item x="7"/>
        <item x="11"/>
        <item x="5"/>
        <item x="9"/>
        <item x="4"/>
        <item x="16"/>
        <item x="13"/>
        <item x="6"/>
        <item x="8"/>
        <item x="14"/>
        <item x="12"/>
        <item x="15"/>
        <item x="1"/>
        <item t="default"/>
      </items>
    </pivotField>
    <pivotField showAll="0" defaultSubtotal="0"/>
    <pivotField axis="axisPage" multipleItemSelectionAllowed="1" showAll="0">
      <items count="3">
        <item x="0"/>
        <item x="1"/>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8">
    <i>
      <x/>
    </i>
    <i>
      <x v="1"/>
    </i>
    <i>
      <x v="2"/>
    </i>
    <i>
      <x v="3"/>
    </i>
    <i>
      <x v="4"/>
    </i>
    <i>
      <x v="5"/>
    </i>
    <i>
      <x v="6"/>
    </i>
    <i>
      <x v="7"/>
    </i>
    <i>
      <x v="8"/>
    </i>
    <i>
      <x v="9"/>
    </i>
    <i>
      <x v="10"/>
    </i>
    <i>
      <x v="11"/>
    </i>
    <i>
      <x v="12"/>
    </i>
    <i>
      <x v="13"/>
    </i>
    <i>
      <x v="14"/>
    </i>
    <i>
      <x v="15"/>
    </i>
    <i>
      <x v="16"/>
    </i>
    <i t="grand">
      <x/>
    </i>
  </rowItems>
  <colItems count="1">
    <i/>
  </colItems>
  <pageFields count="1">
    <pageField fld="3" hier="-1"/>
  </pageFields>
  <dataFields count="1">
    <dataField name="Sum of HH Covered" fld="15" baseField="0" baseItem="0"/>
  </dataFields>
  <formats count="1">
    <format dxfId="137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location ref="A84:B102" firstHeaderRow="1" firstDataRow="1" firstDataCol="1" rowPageCount="1" colPageCount="1"/>
  <pivotFields count="23">
    <pivotField showAll="0" defaultSubtotal="0"/>
    <pivotField axis="axisRow" showAll="0">
      <items count="18">
        <item x="2"/>
        <item x="0"/>
        <item x="3"/>
        <item x="10"/>
        <item x="7"/>
        <item x="11"/>
        <item x="5"/>
        <item x="9"/>
        <item x="4"/>
        <item x="16"/>
        <item x="13"/>
        <item x="6"/>
        <item x="8"/>
        <item x="14"/>
        <item x="12"/>
        <item x="15"/>
        <item x="1"/>
        <item t="default"/>
      </items>
    </pivotField>
    <pivotField showAll="0" defaultSubtotal="0"/>
    <pivotField axis="axisPage" multipleItemSelectionAllowed="1" showAll="0">
      <items count="3">
        <item x="0"/>
        <item x="1"/>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8">
    <i>
      <x/>
    </i>
    <i>
      <x v="1"/>
    </i>
    <i>
      <x v="2"/>
    </i>
    <i>
      <x v="3"/>
    </i>
    <i>
      <x v="4"/>
    </i>
    <i>
      <x v="5"/>
    </i>
    <i>
      <x v="6"/>
    </i>
    <i>
      <x v="7"/>
    </i>
    <i>
      <x v="8"/>
    </i>
    <i>
      <x v="9"/>
    </i>
    <i>
      <x v="10"/>
    </i>
    <i>
      <x v="11"/>
    </i>
    <i>
      <x v="12"/>
    </i>
    <i>
      <x v="13"/>
    </i>
    <i>
      <x v="14"/>
    </i>
    <i>
      <x v="15"/>
    </i>
    <i>
      <x v="16"/>
    </i>
    <i t="grand">
      <x/>
    </i>
  </rowItems>
  <colItems count="1">
    <i/>
  </colItems>
  <pageFields count="1">
    <pageField fld="3" hier="-1"/>
  </pageFields>
  <dataFields count="1">
    <dataField name="Sum of HH Covered" fld="15" baseField="0" baseItem="0"/>
  </dataFields>
  <formats count="1">
    <format dxfId="1378">
      <pivotArea type="all" dataOnly="0" outline="0" fieldPosition="0"/>
    </format>
  </formats>
  <chartFormats count="1">
    <chartFormat chart="6" format="1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7">
  <location ref="A63:B74" firstHeaderRow="1" firstDataRow="1" firstDataCol="1" rowPageCount="3" colPageCount="1"/>
  <pivotFields count="23">
    <pivotField showAll="0" defaultSubtotal="0"/>
    <pivotField showAll="0" sortType="ascending"/>
    <pivotField showAll="0" defaultSubtotal="0"/>
    <pivotField axis="axisPage" multipleItemSelectionAllowed="1" showAll="0">
      <items count="3">
        <item x="0"/>
        <item x="1"/>
        <item t="default"/>
      </items>
    </pivotField>
    <pivotField axis="axisPage" multipleItemSelectionAllowed="1" showAll="0" sortType="ascending">
      <items count="18">
        <item x="4"/>
        <item h="1" x="1"/>
        <item h="1" x="3"/>
        <item h="1" x="12"/>
        <item h="1" x="7"/>
        <item h="1" x="5"/>
        <item h="1" x="13"/>
        <item h="1" x="10"/>
        <item h="1" x="15"/>
        <item h="1" x="6"/>
        <item h="1" x="11"/>
        <item h="1" x="2"/>
        <item h="1" x="8"/>
        <item h="1" x="14"/>
        <item h="1" x="9"/>
        <item h="1" x="16"/>
        <item h="1" x="0"/>
        <item t="default"/>
      </items>
    </pivotField>
    <pivotField axis="axisRow" showAll="0" defaultSubtotal="0">
      <items count="146">
        <item x="72"/>
        <item x="90"/>
        <item x="8"/>
        <item x="9"/>
        <item x="91"/>
        <item x="73"/>
        <item x="55"/>
        <item x="0"/>
        <item x="56"/>
        <item x="57"/>
        <item x="10"/>
        <item x="7"/>
        <item x="11"/>
        <item x="43"/>
        <item x="92"/>
        <item x="93"/>
        <item x="28"/>
        <item x="64"/>
        <item x="23"/>
        <item x="74"/>
        <item x="94"/>
        <item x="44"/>
        <item x="95"/>
        <item x="29"/>
        <item x="96"/>
        <item x="39"/>
        <item x="97"/>
        <item x="99"/>
        <item x="100"/>
        <item x="101"/>
        <item x="102"/>
        <item x="75"/>
        <item x="14"/>
        <item x="103"/>
        <item x="45"/>
        <item x="6"/>
        <item x="12"/>
        <item x="58"/>
        <item x="13"/>
        <item x="104"/>
        <item x="59"/>
        <item x="18"/>
        <item x="105"/>
        <item x="106"/>
        <item x="107"/>
        <item x="108"/>
        <item x="76"/>
        <item x="109"/>
        <item x="110"/>
        <item x="31"/>
        <item x="32"/>
        <item x="111"/>
        <item x="112"/>
        <item x="65"/>
        <item x="113"/>
        <item x="71"/>
        <item x="114"/>
        <item x="15"/>
        <item x="115"/>
        <item x="77"/>
        <item x="116"/>
        <item x="66"/>
        <item x="117"/>
        <item x="16"/>
        <item x="4"/>
        <item x="79"/>
        <item x="118"/>
        <item x="67"/>
        <item x="119"/>
        <item x="120"/>
        <item x="121"/>
        <item x="60"/>
        <item x="122"/>
        <item x="68"/>
        <item x="123"/>
        <item x="124"/>
        <item x="46"/>
        <item x="125"/>
        <item x="126"/>
        <item x="61"/>
        <item x="127"/>
        <item x="49"/>
        <item x="2"/>
        <item x="128"/>
        <item x="129"/>
        <item x="130"/>
        <item x="62"/>
        <item x="131"/>
        <item x="81"/>
        <item x="37"/>
        <item x="82"/>
        <item x="132"/>
        <item x="19"/>
        <item x="50"/>
        <item x="40"/>
        <item x="1"/>
        <item x="69"/>
        <item x="38"/>
        <item x="5"/>
        <item x="33"/>
        <item x="70"/>
        <item x="133"/>
        <item x="83"/>
        <item x="17"/>
        <item x="134"/>
        <item x="84"/>
        <item x="20"/>
        <item x="51"/>
        <item x="26"/>
        <item x="135"/>
        <item x="136"/>
        <item x="52"/>
        <item x="137"/>
        <item x="85"/>
        <item x="34"/>
        <item x="138"/>
        <item x="35"/>
        <item x="36"/>
        <item x="63"/>
        <item x="139"/>
        <item x="86"/>
        <item x="140"/>
        <item x="141"/>
        <item x="87"/>
        <item x="142"/>
        <item x="88"/>
        <item x="143"/>
        <item x="89"/>
        <item x="144"/>
        <item x="54"/>
        <item x="145"/>
        <item x="25"/>
        <item x="53"/>
        <item x="27"/>
        <item x="80"/>
        <item x="78"/>
        <item x="48"/>
        <item x="98"/>
        <item x="42"/>
        <item x="30"/>
        <item x="47"/>
        <item x="41"/>
        <item x="24"/>
        <item x="21"/>
        <item x="22"/>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3">
        <item x="2"/>
        <item h="1" x="1"/>
        <item x="0"/>
      </items>
    </pivotField>
    <pivotField dataField="1" showAll="0" defaultSubtotal="0"/>
    <pivotField showAll="0" defaultSubtotal="0"/>
    <pivotField showAll="0" defaultSubtotal="0"/>
  </pivotFields>
  <rowFields count="1">
    <field x="5"/>
  </rowFields>
  <rowItems count="11">
    <i>
      <x v="1"/>
    </i>
    <i>
      <x v="4"/>
    </i>
    <i>
      <x v="22"/>
    </i>
    <i>
      <x v="38"/>
    </i>
    <i>
      <x v="73"/>
    </i>
    <i>
      <x v="83"/>
    </i>
    <i>
      <x v="96"/>
    </i>
    <i>
      <x v="103"/>
    </i>
    <i>
      <x v="113"/>
    </i>
    <i>
      <x v="127"/>
    </i>
    <i t="grand">
      <x/>
    </i>
  </rowItems>
  <colItems count="1">
    <i/>
  </colItems>
  <pageFields count="3">
    <pageField fld="3" hier="-1"/>
    <pageField fld="4" hier="-1"/>
    <pageField fld="19" hier="-1"/>
  </pageFields>
  <dataFields count="1">
    <dataField name="Average of Coverage" fld="20" subtotal="average" baseField="5" baseItem="16" numFmtId="9"/>
  </dataFields>
  <formats count="18">
    <format dxfId="1355">
      <pivotArea field="4" type="button" dataOnly="0" labelOnly="1" outline="0" axis="axisPage" fieldPosition="1"/>
    </format>
    <format dxfId="1354">
      <pivotArea field="4" type="button" dataOnly="0" labelOnly="1" outline="0" axis="axisPage" fieldPosition="1"/>
    </format>
    <format dxfId="1353">
      <pivotArea collapsedLevelsAreSubtotals="1" fieldPosition="0">
        <references count="2">
          <reference field="4294967294" count="1" selected="0">
            <x v="0"/>
          </reference>
          <reference field="5" count="11">
            <x v="1"/>
            <x v="4"/>
            <x v="22"/>
            <x v="38"/>
            <x v="73"/>
            <x v="83"/>
            <x v="96"/>
            <x v="103"/>
            <x v="113"/>
            <x v="119"/>
            <x v="127"/>
          </reference>
        </references>
      </pivotArea>
    </format>
    <format dxfId="1352">
      <pivotArea outline="0" fieldPosition="0">
        <references count="1">
          <reference field="4294967294" count="1">
            <x v="0"/>
          </reference>
        </references>
      </pivotArea>
    </format>
    <format dxfId="1351">
      <pivotArea field="3" type="button" dataOnly="0" labelOnly="1" outline="0" axis="axisPage" fieldPosition="0"/>
    </format>
    <format dxfId="1350">
      <pivotArea dataOnly="0" labelOnly="1" outline="0" fieldPosition="0">
        <references count="1">
          <reference field="3" count="0"/>
        </references>
      </pivotArea>
    </format>
    <format dxfId="1349">
      <pivotArea field="4" type="button" dataOnly="0" labelOnly="1" outline="0" axis="axisPage" fieldPosition="1"/>
    </format>
    <format dxfId="1348">
      <pivotArea dataOnly="0" labelOnly="1" outline="0" fieldPosition="0">
        <references count="1">
          <reference field="4" count="0"/>
        </references>
      </pivotArea>
    </format>
    <format dxfId="1347">
      <pivotArea field="19" type="button" dataOnly="0" labelOnly="1" outline="0" axis="axisPage" fieldPosition="2"/>
    </format>
    <format dxfId="1346">
      <pivotArea dataOnly="0" labelOnly="1" outline="0" fieldPosition="0">
        <references count="1">
          <reference field="19" count="0"/>
        </references>
      </pivotArea>
    </format>
    <format dxfId="1345">
      <pivotArea field="3" type="button" dataOnly="0" labelOnly="1" outline="0" axis="axisPage" fieldPosition="0"/>
    </format>
    <format dxfId="1344">
      <pivotArea dataOnly="0" labelOnly="1" outline="0" fieldPosition="0">
        <references count="1">
          <reference field="3" count="0"/>
        </references>
      </pivotArea>
    </format>
    <format dxfId="1343">
      <pivotArea field="4" type="button" dataOnly="0" labelOnly="1" outline="0" axis="axisPage" fieldPosition="1"/>
    </format>
    <format dxfId="1342">
      <pivotArea dataOnly="0" labelOnly="1" outline="0" fieldPosition="0">
        <references count="1">
          <reference field="4" count="0"/>
        </references>
      </pivotArea>
    </format>
    <format dxfId="1341">
      <pivotArea field="19" type="button" dataOnly="0" labelOnly="1" outline="0" axis="axisPage" fieldPosition="2"/>
    </format>
    <format dxfId="1340">
      <pivotArea dataOnly="0" labelOnly="1" outline="0" fieldPosition="0">
        <references count="1">
          <reference field="19" count="0"/>
        </references>
      </pivotArea>
    </format>
    <format dxfId="1339">
      <pivotArea type="all" dataOnly="0" outline="0" fieldPosition="0"/>
    </format>
    <format dxfId="133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7">
  <location ref="E7:F22" firstHeaderRow="1" firstDataRow="1" firstDataCol="1" rowPageCount="1" colPageCount="1"/>
  <pivotFields count="23">
    <pivotField showAll="0" defaultSubtotal="0"/>
    <pivotField axis="axisRow" showAll="0" sortType="ascending">
      <items count="18">
        <item h="1" x="6"/>
        <item x="11"/>
        <item x="9"/>
        <item x="14"/>
        <item x="15"/>
        <item x="2"/>
        <item x="12"/>
        <item x="7"/>
        <item x="4"/>
        <item x="5"/>
        <item x="16"/>
        <item x="10"/>
        <item x="0"/>
        <item h="1" x="1"/>
        <item x="3"/>
        <item x="13"/>
        <item h="1" x="8"/>
        <item t="default"/>
      </items>
    </pivotField>
    <pivotField showAll="0" defaultSubtotal="0"/>
    <pivotField axis="axisPage" multipleItemSelectionAllowed="1" showAll="0">
      <items count="3">
        <item x="0"/>
        <item x="1"/>
        <item t="default"/>
      </items>
    </pivotField>
    <pivotField showAll="0" sortType="ascending">
      <items count="18">
        <item x="4"/>
        <item h="1" x="1"/>
        <item h="1" x="3"/>
        <item h="1" x="12"/>
        <item h="1" x="7"/>
        <item x="5"/>
        <item x="13"/>
        <item x="10"/>
        <item x="15"/>
        <item x="6"/>
        <item h="1" x="11"/>
        <item x="2"/>
        <item x="8"/>
        <item x="14"/>
        <item h="1" x="9"/>
        <item x="16"/>
        <item x="0"/>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5">
    <i>
      <x v="1"/>
    </i>
    <i>
      <x v="2"/>
    </i>
    <i>
      <x v="3"/>
    </i>
    <i>
      <x v="4"/>
    </i>
    <i>
      <x v="5"/>
    </i>
    <i>
      <x v="6"/>
    </i>
    <i>
      <x v="7"/>
    </i>
    <i>
      <x v="8"/>
    </i>
    <i>
      <x v="9"/>
    </i>
    <i>
      <x v="10"/>
    </i>
    <i>
      <x v="11"/>
    </i>
    <i>
      <x v="12"/>
    </i>
    <i>
      <x v="14"/>
    </i>
    <i>
      <x v="15"/>
    </i>
    <i t="grand">
      <x/>
    </i>
  </rowItems>
  <colItems count="1">
    <i/>
  </colItems>
  <pageFields count="1">
    <pageField fld="3" hier="-1"/>
  </pageFields>
  <dataFields count="1">
    <dataField name="Sum of HH Covered" fld="15" baseField="0" baseItem="0"/>
  </dataFields>
  <formats count="8">
    <format dxfId="1363">
      <pivotArea field="4" type="button" dataOnly="0" labelOnly="1" outline="0"/>
    </format>
    <format dxfId="1362">
      <pivotArea field="4" type="button" dataOnly="0" labelOnly="1" outline="0"/>
    </format>
    <format dxfId="1361">
      <pivotArea outline="0" collapsedLevelsAreSubtotals="1" fieldPosition="0"/>
    </format>
    <format dxfId="1360">
      <pivotArea type="all" dataOnly="0" outline="0" fieldPosition="0"/>
    </format>
    <format dxfId="1359">
      <pivotArea field="1" type="button" dataOnly="0" labelOnly="1" outline="0" axis="axisRow" fieldPosition="0"/>
    </format>
    <format dxfId="1358">
      <pivotArea dataOnly="0" labelOnly="1" outline="0" axis="axisValues" fieldPosition="0"/>
    </format>
    <format dxfId="1357">
      <pivotArea collapsedLevelsAreSubtotals="1" fieldPosition="0">
        <references count="1">
          <reference field="1" count="0"/>
        </references>
      </pivotArea>
    </format>
    <format dxfId="1356">
      <pivotArea dataOnly="0" labelOnly="1" fieldPosition="0">
        <references count="1">
          <reference field="1" count="0"/>
        </references>
      </pivotArea>
    </format>
  </formats>
  <chartFormats count="2">
    <chartFormat chart="4" format="47" series="1">
      <pivotArea type="data" outline="0" fieldPosition="0">
        <references count="1">
          <reference field="4294967294" count="1" selected="0">
            <x v="0"/>
          </reference>
        </references>
      </pivotArea>
    </chartFormat>
    <chartFormat chart="5"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7">
  <location ref="A7:C22" firstHeaderRow="0" firstDataRow="1" firstDataCol="1" rowPageCount="1" colPageCount="1"/>
  <pivotFields count="23">
    <pivotField showAll="0" defaultSubtotal="0"/>
    <pivotField axis="axisRow" showAll="0" sortType="ascending">
      <items count="18">
        <item h="1" x="6"/>
        <item x="11"/>
        <item x="9"/>
        <item x="14"/>
        <item x="15"/>
        <item x="2"/>
        <item x="12"/>
        <item x="7"/>
        <item x="4"/>
        <item x="5"/>
        <item x="16"/>
        <item x="10"/>
        <item x="0"/>
        <item h="1" x="1"/>
        <item x="3"/>
        <item x="13"/>
        <item h="1" x="8"/>
        <item t="default"/>
      </items>
    </pivotField>
    <pivotField showAll="0" defaultSubtotal="0"/>
    <pivotField axis="axisPage" multipleItemSelectionAllowed="1" showAll="0">
      <items count="3">
        <item x="0"/>
        <item x="1"/>
        <item t="default"/>
      </items>
    </pivotField>
    <pivotField showAll="0" sortType="ascending">
      <items count="18">
        <item x="4"/>
        <item x="1"/>
        <item x="3"/>
        <item x="12"/>
        <item x="7"/>
        <item x="5"/>
        <item x="13"/>
        <item x="10"/>
        <item x="15"/>
        <item x="6"/>
        <item x="11"/>
        <item x="2"/>
        <item x="8"/>
        <item x="14"/>
        <item x="9"/>
        <item x="16"/>
        <item x="0"/>
        <item t="default"/>
      </items>
    </pivotField>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5">
    <i>
      <x v="1"/>
    </i>
    <i>
      <x v="2"/>
    </i>
    <i>
      <x v="3"/>
    </i>
    <i>
      <x v="4"/>
    </i>
    <i>
      <x v="5"/>
    </i>
    <i>
      <x v="6"/>
    </i>
    <i>
      <x v="7"/>
    </i>
    <i>
      <x v="8"/>
    </i>
    <i>
      <x v="9"/>
    </i>
    <i>
      <x v="10"/>
    </i>
    <i>
      <x v="11"/>
    </i>
    <i>
      <x v="12"/>
    </i>
    <i>
      <x v="14"/>
    </i>
    <i>
      <x v="15"/>
    </i>
    <i t="grand">
      <x/>
    </i>
  </rowItems>
  <colFields count="1">
    <field x="-2"/>
  </colFields>
  <colItems count="2">
    <i>
      <x/>
    </i>
    <i i="1">
      <x v="1"/>
    </i>
  </colItems>
  <pageFields count="1">
    <pageField fld="3" hier="-1"/>
  </pageFields>
  <dataFields count="2">
    <dataField name="Sum of # of Temporary Shelter Units Built" fld="10" baseField="1" baseItem="1"/>
    <dataField name="Sum of # of Temporary Shelter Under  Construction" fld="11" baseField="1" baseItem="1"/>
  </dataFields>
  <formats count="13">
    <format dxfId="1376">
      <pivotArea field="4" type="button" dataOnly="0" labelOnly="1" outline="0"/>
    </format>
    <format dxfId="1375">
      <pivotArea field="4" type="button" dataOnly="0" labelOnly="1" outline="0"/>
    </format>
    <format dxfId="1374">
      <pivotArea outline="0" collapsedLevelsAreSubtotals="1" fieldPosition="0"/>
    </format>
    <format dxfId="1373">
      <pivotArea field="3" type="button" dataOnly="0" labelOnly="1" outline="0" axis="axisPage" fieldPosition="0"/>
    </format>
    <format dxfId="1372">
      <pivotArea dataOnly="0" labelOnly="1" outline="0" fieldPosition="0">
        <references count="1">
          <reference field="3" count="0"/>
        </references>
      </pivotArea>
    </format>
    <format dxfId="1371">
      <pivotArea field="3" type="button" dataOnly="0" labelOnly="1" outline="0" axis="axisPage" fieldPosition="0"/>
    </format>
    <format dxfId="1370">
      <pivotArea dataOnly="0" labelOnly="1" outline="0" fieldPosition="0">
        <references count="1">
          <reference field="3" count="0"/>
        </references>
      </pivotArea>
    </format>
    <format dxfId="1369">
      <pivotArea type="all" dataOnly="0" outline="0" fieldPosition="0"/>
    </format>
    <format dxfId="1368">
      <pivotArea field="1" type="button" dataOnly="0" labelOnly="1" outline="0" axis="axisRow" fieldPosition="0"/>
    </format>
    <format dxfId="1367">
      <pivotArea collapsedLevelsAreSubtotals="1" fieldPosition="0">
        <references count="1">
          <reference field="1" count="0"/>
        </references>
      </pivotArea>
    </format>
    <format dxfId="1366">
      <pivotArea dataOnly="0" labelOnly="1" fieldPosition="0">
        <references count="1">
          <reference field="1" count="0"/>
        </references>
      </pivotArea>
    </format>
    <format dxfId="1365">
      <pivotArea grandRow="1" outline="0" collapsedLevelsAreSubtotals="1" fieldPosition="0"/>
    </format>
    <format dxfId="136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4" cacheId="2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M197" firstHeaderRow="0" firstDataRow="1" firstDataCol="1" rowPageCount="2" colPageCount="1"/>
  <pivotFields count="42">
    <pivotField axis="axisPage" multipleItemSelectionAllowed="1" showAll="0">
      <items count="3">
        <item h="1" x="1"/>
        <item x="0"/>
        <item t="default"/>
      </items>
    </pivotField>
    <pivotField showAll="0"/>
    <pivotField showAll="0"/>
    <pivotField showAll="0"/>
    <pivotField showAll="0"/>
    <pivotField axis="axisRow" showAll="0" sortType="descending">
      <items count="23">
        <item x="3"/>
        <item x="2"/>
        <item x="11"/>
        <item x="20"/>
        <item x="12"/>
        <item x="7"/>
        <item x="17"/>
        <item x="14"/>
        <item x="5"/>
        <item x="18"/>
        <item x="9"/>
        <item x="10"/>
        <item x="4"/>
        <item x="16"/>
        <item x="0"/>
        <item x="15"/>
        <item x="19"/>
        <item x="8"/>
        <item x="6"/>
        <item x="13"/>
        <item x="1"/>
        <item x="2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sortType="descending">
      <items count="272">
        <item x="142"/>
        <item x="150"/>
        <item x="139"/>
        <item x="49"/>
        <item x="147"/>
        <item x="160"/>
        <item x="144"/>
        <item x="164"/>
        <item x="141"/>
        <item x="88"/>
        <item x="180"/>
        <item x="181"/>
        <item x="179"/>
        <item x="140"/>
        <item x="158"/>
        <item x="143"/>
        <item x="109"/>
        <item x="108"/>
        <item x="121"/>
        <item x="191"/>
        <item x="105"/>
        <item x="84"/>
        <item x="41"/>
        <item x="134"/>
        <item x="145"/>
        <item x="11"/>
        <item x="9"/>
        <item x="10"/>
        <item x="118"/>
        <item x="151"/>
        <item x="157"/>
        <item x="237"/>
        <item x="238"/>
        <item x="45"/>
        <item x="27"/>
        <item x="110"/>
        <item x="131"/>
        <item x="161"/>
        <item x="159"/>
        <item x="137"/>
        <item x="221"/>
        <item x="231"/>
        <item x="194"/>
        <item x="42"/>
        <item x="117"/>
        <item x="51"/>
        <item x="173"/>
        <item x="182"/>
        <item x="192"/>
        <item x="17"/>
        <item x="18"/>
        <item x="116"/>
        <item x="47"/>
        <item x="167"/>
        <item x="225"/>
        <item x="196"/>
        <item x="226"/>
        <item x="227"/>
        <item x="12"/>
        <item x="76"/>
        <item x="73"/>
        <item x="169"/>
        <item x="132"/>
        <item x="44"/>
        <item x="120"/>
        <item x="130"/>
        <item x="129"/>
        <item x="14"/>
        <item x="13"/>
        <item x="165"/>
        <item x="152"/>
        <item x="138"/>
        <item x="48"/>
        <item x="70"/>
        <item x="68"/>
        <item x="69"/>
        <item x="126"/>
        <item x="103"/>
        <item x="186"/>
        <item x="26"/>
        <item x="114"/>
        <item x="63"/>
        <item x="30"/>
        <item x="28"/>
        <item x="39"/>
        <item x="38"/>
        <item x="183"/>
        <item x="188"/>
        <item x="15"/>
        <item x="61"/>
        <item x="7"/>
        <item x="177"/>
        <item x="178"/>
        <item x="62"/>
        <item x="166"/>
        <item x="124"/>
        <item x="195"/>
        <item x="123"/>
        <item x="193"/>
        <item x="125"/>
        <item x="113"/>
        <item x="57"/>
        <item x="220"/>
        <item x="235"/>
        <item x="75"/>
        <item x="65"/>
        <item x="90"/>
        <item x="89"/>
        <item x="92"/>
        <item x="94"/>
        <item x="95"/>
        <item x="91"/>
        <item x="96"/>
        <item x="93"/>
        <item x="19"/>
        <item x="20"/>
        <item x="102"/>
        <item x="86"/>
        <item x="83"/>
        <item x="82"/>
        <item x="87"/>
        <item x="85"/>
        <item x="149"/>
        <item x="228"/>
        <item x="55"/>
        <item x="56"/>
        <item x="223"/>
        <item x="217"/>
        <item x="206"/>
        <item x="170"/>
        <item x="218"/>
        <item x="243"/>
        <item x="229"/>
        <item x="148"/>
        <item x="239"/>
        <item x="242"/>
        <item x="50"/>
        <item x="16"/>
        <item x="60"/>
        <item x="127"/>
        <item x="216"/>
        <item x="213"/>
        <item x="240"/>
        <item x="215"/>
        <item x="232"/>
        <item x="214"/>
        <item x="233"/>
        <item x="222"/>
        <item x="219"/>
        <item x="171"/>
        <item x="174"/>
        <item x="128"/>
        <item x="162"/>
        <item x="224"/>
        <item x="236"/>
        <item x="241"/>
        <item x="23"/>
        <item x="53"/>
        <item x="99"/>
        <item x="79"/>
        <item x="234"/>
        <item x="77"/>
        <item x="185"/>
        <item x="32"/>
        <item x="133"/>
        <item x="80"/>
        <item x="81"/>
        <item x="122"/>
        <item x="58"/>
        <item x="1"/>
        <item x="71"/>
        <item x="136"/>
        <item x="119"/>
        <item x="175"/>
        <item x="98"/>
        <item x="163"/>
        <item x="64"/>
        <item x="135"/>
        <item x="31"/>
        <item x="24"/>
        <item x="29"/>
        <item x="25"/>
        <item x="153"/>
        <item x="46"/>
        <item x="104"/>
        <item x="154"/>
        <item x="100"/>
        <item x="190"/>
        <item x="72"/>
        <item x="5"/>
        <item x="6"/>
        <item x="40"/>
        <item x="66"/>
        <item x="67"/>
        <item x="8"/>
        <item x="184"/>
        <item x="78"/>
        <item x="187"/>
        <item x="172"/>
        <item x="54"/>
        <item x="106"/>
        <item x="59"/>
        <item x="0"/>
        <item x="3"/>
        <item x="2"/>
        <item x="4"/>
        <item x="36"/>
        <item x="189"/>
        <item x="97"/>
        <item x="176"/>
        <item x="74"/>
        <item x="37"/>
        <item x="35"/>
        <item x="156"/>
        <item x="155"/>
        <item x="111"/>
        <item x="43"/>
        <item x="146"/>
        <item x="21"/>
        <item x="52"/>
        <item x="101"/>
        <item x="168"/>
        <item x="230"/>
        <item x="197"/>
        <item x="198"/>
        <item x="34"/>
        <item x="33"/>
        <item x="112"/>
        <item x="115"/>
        <item x="22"/>
        <item x="107"/>
        <item x="199"/>
        <item x="244"/>
        <item x="200"/>
        <item x="201"/>
        <item x="202"/>
        <item x="203"/>
        <item x="204"/>
        <item x="205"/>
        <item x="245"/>
        <item x="207"/>
        <item x="246"/>
        <item x="249"/>
        <item x="250"/>
        <item x="251"/>
        <item x="247"/>
        <item x="248"/>
        <item x="252"/>
        <item x="253"/>
        <item x="208"/>
        <item x="209"/>
        <item x="210"/>
        <item x="211"/>
        <item x="212"/>
        <item x="254"/>
        <item x="255"/>
        <item x="256"/>
        <item x="257"/>
        <item x="258"/>
        <item x="259"/>
        <item x="260"/>
        <item x="261"/>
        <item x="262"/>
        <item x="263"/>
        <item x="264"/>
        <item x="265"/>
        <item x="266"/>
        <item x="267"/>
        <item x="268"/>
        <item x="269"/>
        <item x="270"/>
        <item t="default"/>
      </items>
      <autoSortScope>
        <pivotArea dataOnly="0" outline="0" fieldPosition="0">
          <references count="1">
            <reference field="4294967294" count="1" selected="0">
              <x v="1"/>
            </reference>
          </references>
        </pivotArea>
      </autoSortScope>
    </pivotField>
    <pivotField showAll="0"/>
    <pivotField showAll="0"/>
    <pivotField showAll="0" defaultSubtotal="0"/>
    <pivotField showAll="0"/>
    <pivotField dataField="1" showAll="0"/>
    <pivotField showAll="0"/>
    <pivotField showAll="0"/>
    <pivotField showAll="0"/>
    <pivotField showAll="0" defaultSubtotal="0"/>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dataField="1" showAll="0" defaultSubtotal="0"/>
    <pivotField showAll="0" defaultSubtotal="0"/>
    <pivotField dataField="1" showAll="0" defaultSubtotal="0"/>
    <pivotField showAll="0" defaultSubtotal="0"/>
    <pivotField showAll="0" defaultSubtotal="0"/>
    <pivotField showAll="0" defaultSubtotal="0"/>
    <pivotField dataField="1" dragToRow="0" dragToCol="0" dragToPage="0" showAll="0" defaultSubtotal="0"/>
    <pivotField axis="axisRow" showAll="0" defaultSubtotal="0">
      <items count="13">
        <item x="3"/>
        <item x="8"/>
        <item x="0"/>
        <item x="10"/>
        <item x="5"/>
        <item x="11"/>
        <item x="4"/>
        <item x="1"/>
        <item x="6"/>
        <item x="9"/>
        <item x="7"/>
        <item x="2"/>
        <item x="12"/>
      </items>
    </pivotField>
    <pivotField dataField="1" dragToRow="0" dragToCol="0" dragToPage="0" showAll="0" defaultSubtotal="0"/>
    <pivotField dragToRow="0" dragToCol="0" dragToPage="0" showAll="0" defaultSubtotal="0"/>
    <pivotField dragToRow="0" dragToCol="0" dragToPage="0" showAll="0" defaultSubtotal="0"/>
  </pivotFields>
  <rowFields count="3">
    <field x="38"/>
    <field x="5"/>
    <field x="11"/>
  </rowFields>
  <rowItems count="193">
    <i>
      <x/>
    </i>
    <i r="1">
      <x/>
    </i>
    <i r="2">
      <x v="183"/>
    </i>
    <i r="2">
      <x v="3"/>
    </i>
    <i r="2">
      <x v="175"/>
    </i>
    <i r="2">
      <x v="72"/>
    </i>
    <i r="2">
      <x v="157"/>
    </i>
    <i r="2">
      <x v="199"/>
    </i>
    <i r="2">
      <x v="7"/>
    </i>
    <i r="2">
      <x v="45"/>
    </i>
    <i r="2">
      <x v="219"/>
    </i>
    <i r="2">
      <x v="136"/>
    </i>
    <i>
      <x v="1"/>
    </i>
    <i r="1">
      <x v="1"/>
    </i>
    <i r="2">
      <x v="43"/>
    </i>
    <i r="2">
      <x v="69"/>
    </i>
    <i r="2">
      <x v="173"/>
    </i>
    <i r="2">
      <x v="187"/>
    </i>
    <i r="2">
      <x v="22"/>
    </i>
    <i>
      <x v="2"/>
    </i>
    <i r="1">
      <x v="2"/>
    </i>
    <i r="2">
      <x v="42"/>
    </i>
    <i r="2">
      <x v="2"/>
    </i>
    <i r="2">
      <x v="1"/>
    </i>
    <i r="2">
      <x v="250"/>
    </i>
    <i r="2">
      <x v="249"/>
    </i>
    <i r="2">
      <x v="253"/>
    </i>
    <i r="2">
      <x v="214"/>
    </i>
    <i r="2">
      <x v="13"/>
    </i>
    <i r="2">
      <x v="251"/>
    </i>
    <i r="2">
      <x v="36"/>
    </i>
    <i r="2">
      <x v="252"/>
    </i>
    <i r="2">
      <x v="4"/>
    </i>
    <i r="2">
      <x v="240"/>
    </i>
    <i r="2">
      <x v="5"/>
    </i>
    <i r="2">
      <x v="185"/>
    </i>
    <i r="2">
      <x v="55"/>
    </i>
    <i r="2">
      <x v="220"/>
    </i>
    <i r="2">
      <x v="158"/>
    </i>
    <i r="2">
      <x v="182"/>
    </i>
    <i r="2">
      <x v="70"/>
    </i>
    <i r="2">
      <x v="20"/>
    </i>
    <i r="2">
      <x v="37"/>
    </i>
    <i r="2">
      <x v="152"/>
    </i>
    <i r="2">
      <x v="24"/>
    </i>
    <i r="2">
      <x v="120"/>
    </i>
    <i r="2">
      <x v="71"/>
    </i>
    <i>
      <x v="3"/>
    </i>
    <i r="1">
      <x v="3"/>
    </i>
    <i r="2">
      <x v="247"/>
    </i>
    <i r="2">
      <x v="232"/>
    </i>
    <i>
      <x v="5"/>
    </i>
    <i r="1">
      <x v="16"/>
    </i>
    <i r="2">
      <x v="254"/>
    </i>
    <i r="2">
      <x v="258"/>
    </i>
    <i r="2">
      <x v="256"/>
    </i>
    <i r="2">
      <x v="257"/>
    </i>
    <i r="2">
      <x v="245"/>
    </i>
    <i r="2">
      <x v="255"/>
    </i>
    <i r="2">
      <x v="153"/>
    </i>
    <i r="1">
      <x v="19"/>
    </i>
    <i r="2">
      <x v="236"/>
    </i>
    <i r="2">
      <x v="198"/>
    </i>
    <i r="2">
      <x v="237"/>
    </i>
    <i r="1">
      <x v="18"/>
    </i>
    <i r="2">
      <x v="192"/>
    </i>
    <i r="2">
      <x v="193"/>
    </i>
    <i r="1">
      <x v="9"/>
    </i>
    <i r="2">
      <x v="246"/>
    </i>
    <i r="2">
      <x v="102"/>
    </i>
    <i r="2">
      <x v="103"/>
    </i>
    <i r="1">
      <x v="13"/>
    </i>
    <i r="2">
      <x v="134"/>
    </i>
    <i r="2">
      <x v="268"/>
    </i>
    <i r="2">
      <x v="265"/>
    </i>
    <i r="2">
      <x v="264"/>
    </i>
    <i r="2">
      <x v="259"/>
    </i>
    <i r="2">
      <x v="267"/>
    </i>
    <i r="2">
      <x v="262"/>
    </i>
    <i r="2">
      <x v="135"/>
    </i>
    <i r="2">
      <x v="269"/>
    </i>
    <i r="2">
      <x v="263"/>
    </i>
    <i r="1">
      <x v="10"/>
    </i>
    <i r="2">
      <x v="104"/>
    </i>
    <i r="2">
      <x v="59"/>
    </i>
    <i r="2">
      <x v="234"/>
    </i>
    <i r="2">
      <x v="161"/>
    </i>
    <i r="1">
      <x v="17"/>
    </i>
    <i r="2">
      <x v="231"/>
    </i>
    <i r="1">
      <x v="11"/>
    </i>
    <i r="2">
      <x v="196"/>
    </i>
    <i r="2">
      <x v="164"/>
    </i>
    <i>
      <x v="6"/>
    </i>
    <i r="1">
      <x v="6"/>
    </i>
    <i r="2">
      <x v="244"/>
    </i>
    <i r="2">
      <x v="241"/>
    </i>
    <i r="2">
      <x v="239"/>
    </i>
    <i r="2">
      <x v="222"/>
    </i>
    <i r="2">
      <x v="130"/>
    </i>
    <i r="2">
      <x v="148"/>
    </i>
    <i r="2">
      <x v="248"/>
    </i>
    <i r="2">
      <x v="131"/>
    </i>
    <i r="2">
      <x v="123"/>
    </i>
    <i r="2">
      <x v="57"/>
    </i>
    <i r="2">
      <x v="56"/>
    </i>
    <i r="2">
      <x v="54"/>
    </i>
    <i>
      <x v="7"/>
    </i>
    <i r="1">
      <x v="8"/>
    </i>
    <i r="2">
      <x v="18"/>
    </i>
    <i r="2">
      <x v="97"/>
    </i>
    <i r="2">
      <x v="96"/>
    </i>
    <i r="2">
      <x v="98"/>
    </i>
    <i r="2">
      <x v="105"/>
    </i>
    <i r="2">
      <x v="87"/>
    </i>
    <i r="2">
      <x v="86"/>
    </i>
    <i r="2">
      <x v="95"/>
    </i>
    <i r="2">
      <x v="64"/>
    </i>
    <i>
      <x v="8"/>
    </i>
    <i r="1">
      <x v="12"/>
    </i>
    <i r="2">
      <x v="75"/>
    </i>
    <i r="2">
      <x v="89"/>
    </i>
    <i r="2">
      <x v="74"/>
    </i>
    <i r="2">
      <x v="44"/>
    </i>
    <i r="2">
      <x v="170"/>
    </i>
    <i r="2">
      <x v="188"/>
    </i>
    <i r="2">
      <x v="73"/>
    </i>
    <i r="2">
      <x v="172"/>
    </i>
    <i r="2">
      <x v="167"/>
    </i>
    <i r="2">
      <x v="28"/>
    </i>
    <i r="2">
      <x v="124"/>
    </i>
    <i>
      <x v="9"/>
    </i>
    <i r="1">
      <x v="14"/>
    </i>
    <i r="2">
      <x v="88"/>
    </i>
    <i r="2">
      <x v="49"/>
    </i>
    <i r="2">
      <x v="189"/>
    </i>
    <i r="2">
      <x v="194"/>
    </i>
    <i r="2">
      <x v="190"/>
    </i>
    <i r="2">
      <x v="50"/>
    </i>
    <i r="2">
      <x v="27"/>
    </i>
    <i r="2">
      <x v="90"/>
    </i>
    <i r="2">
      <x v="58"/>
    </i>
    <i r="2">
      <x v="169"/>
    </i>
    <i r="2">
      <x v="204"/>
    </i>
    <i r="2">
      <x v="67"/>
    </i>
    <i r="2">
      <x v="25"/>
    </i>
    <i r="2">
      <x v="171"/>
    </i>
    <i r="2">
      <x v="156"/>
    </i>
    <i r="2">
      <x v="218"/>
    </i>
    <i r="2">
      <x v="202"/>
    </i>
    <i r="2">
      <x v="203"/>
    </i>
    <i r="2">
      <x v="68"/>
    </i>
    <i r="2">
      <x v="205"/>
    </i>
    <i r="2">
      <x v="114"/>
    </i>
    <i r="2">
      <x v="26"/>
    </i>
    <i r="2">
      <x v="229"/>
    </i>
    <i r="2">
      <x v="115"/>
    </i>
    <i>
      <x v="10"/>
    </i>
    <i r="1">
      <x v="15"/>
    </i>
    <i r="2">
      <x v="242"/>
    </i>
    <i r="2">
      <x v="243"/>
    </i>
    <i r="2">
      <x v="155"/>
    </i>
    <i r="2">
      <x v="143"/>
    </i>
    <i r="2">
      <x v="141"/>
    </i>
    <i r="2">
      <x v="140"/>
    </i>
    <i r="2">
      <x v="142"/>
    </i>
    <i>
      <x v="11"/>
    </i>
    <i r="1">
      <x v="20"/>
    </i>
    <i r="2">
      <x v="215"/>
    </i>
    <i r="2">
      <x v="51"/>
    </i>
    <i r="2">
      <x v="228"/>
    </i>
    <i r="2">
      <x v="35"/>
    </i>
    <i r="2">
      <x v="82"/>
    </i>
    <i r="2">
      <x v="177"/>
    </i>
    <i r="2">
      <x v="211"/>
    </i>
    <i r="2">
      <x v="83"/>
    </i>
    <i r="2">
      <x v="79"/>
    </i>
    <i r="2">
      <x v="178"/>
    </i>
    <i r="2">
      <x v="206"/>
    </i>
    <i r="2">
      <x v="179"/>
    </i>
    <i r="2">
      <x v="180"/>
    </i>
    <i r="2">
      <x v="181"/>
    </i>
    <i r="2">
      <x v="84"/>
    </i>
    <i r="2">
      <x v="191"/>
    </i>
    <i r="2">
      <x v="80"/>
    </i>
    <i r="2">
      <x v="34"/>
    </i>
    <i r="2">
      <x v="230"/>
    </i>
    <i r="2">
      <x v="85"/>
    </i>
    <i r="2">
      <x v="17"/>
    </i>
    <i r="2">
      <x v="163"/>
    </i>
    <i>
      <x v="12"/>
    </i>
    <i r="1">
      <x v="21"/>
    </i>
    <i r="2">
      <x v="270"/>
    </i>
    <i t="grand">
      <x/>
    </i>
  </rowItems>
  <colFields count="1">
    <field x="-2"/>
  </colFields>
  <colItems count="5">
    <i>
      <x/>
    </i>
    <i i="1">
      <x v="1"/>
    </i>
    <i i="2">
      <x v="2"/>
    </i>
    <i i="3">
      <x v="3"/>
    </i>
    <i i="4">
      <x v="4"/>
    </i>
  </colItems>
  <pageFields count="2">
    <pageField fld="0" hier="-1"/>
    <pageField fld="21" hier="-1"/>
  </pageFields>
  <dataFields count="5">
    <dataField name="Sum of HH" fld="16" baseField="5" baseItem="20" numFmtId="165"/>
    <dataField name="Sum of Shelter Gap" fld="31" baseField="0" baseItem="0" numFmtId="165"/>
    <dataField name="Sum of Shelter Possible" fld="33" baseField="0" baseItem="0" numFmtId="165"/>
    <dataField name="Gap " fld="39" baseField="5" baseItem="0" numFmtId="170"/>
    <dataField name="Possible Units" fld="37" baseField="5" baseItem="0" numFmtId="170"/>
  </dataFields>
  <formats count="109">
    <format dxfId="1024">
      <pivotArea outline="0" collapsedLevelsAreSubtotals="1" fieldPosition="0">
        <references count="1">
          <reference field="4294967294" count="1" selected="0">
            <x v="3"/>
          </reference>
        </references>
      </pivotArea>
    </format>
    <format dxfId="1023">
      <pivotArea outline="0" collapsedLevelsAreSubtotals="1" fieldPosition="0">
        <references count="1">
          <reference field="4294967294" count="1" selected="0">
            <x v="0"/>
          </reference>
        </references>
      </pivotArea>
    </format>
    <format dxfId="1022">
      <pivotArea outline="0" fieldPosition="0">
        <references count="1">
          <reference field="4294967294" count="1">
            <x v="4"/>
          </reference>
        </references>
      </pivotArea>
    </format>
    <format dxfId="1021">
      <pivotArea outline="0" fieldPosition="0">
        <references count="1">
          <reference field="4294967294" count="1">
            <x v="3"/>
          </reference>
        </references>
      </pivotArea>
    </format>
    <format dxfId="1020">
      <pivotArea outline="0" collapsedLevelsAreSubtotals="1" fieldPosition="0">
        <references count="1">
          <reference field="4294967294" count="2" selected="0">
            <x v="1"/>
            <x v="2"/>
          </reference>
        </references>
      </pivotArea>
    </format>
    <format dxfId="1019">
      <pivotArea collapsedLevelsAreSubtotals="1" fieldPosition="0">
        <references count="2">
          <reference field="4294967294" count="1" selected="0">
            <x v="1"/>
          </reference>
          <reference field="11" count="16">
            <x v="3"/>
            <x v="33"/>
            <x v="43"/>
            <x v="51"/>
            <x v="64"/>
            <x v="89"/>
            <x v="96"/>
            <x v="97"/>
            <x v="98"/>
            <x v="124"/>
            <x v="155"/>
            <x v="172"/>
            <x v="177"/>
            <x v="183"/>
            <x v="214"/>
            <x v="215"/>
          </reference>
        </references>
      </pivotArea>
    </format>
    <format dxfId="1018">
      <pivotArea dataOnly="0" labelOnly="1" fieldPosition="0">
        <references count="1">
          <reference field="11" count="16">
            <x v="3"/>
            <x v="33"/>
            <x v="43"/>
            <x v="51"/>
            <x v="64"/>
            <x v="89"/>
            <x v="96"/>
            <x v="97"/>
            <x v="98"/>
            <x v="124"/>
            <x v="155"/>
            <x v="172"/>
            <x v="177"/>
            <x v="183"/>
            <x v="214"/>
            <x v="215"/>
          </reference>
        </references>
      </pivotArea>
    </format>
    <format dxfId="1017">
      <pivotArea type="all" dataOnly="0" outline="0" fieldPosition="0"/>
    </format>
    <format dxfId="1016">
      <pivotArea collapsedLevelsAreSubtotals="1" fieldPosition="0">
        <references count="1">
          <reference field="38" count="1">
            <x v="0"/>
          </reference>
        </references>
      </pivotArea>
    </format>
    <format dxfId="1015">
      <pivotArea collapsedLevelsAreSubtotals="1" fieldPosition="0">
        <references count="2">
          <reference field="5" count="1">
            <x v="0"/>
          </reference>
          <reference field="38" count="1" selected="0">
            <x v="0"/>
          </reference>
        </references>
      </pivotArea>
    </format>
    <format dxfId="1014">
      <pivotArea collapsedLevelsAreSubtotals="1" fieldPosition="0">
        <references count="3">
          <reference field="5" count="1" selected="0">
            <x v="0"/>
          </reference>
          <reference field="11" count="10">
            <x v="3"/>
            <x v="7"/>
            <x v="45"/>
            <x v="72"/>
            <x v="136"/>
            <x v="157"/>
            <x v="175"/>
            <x v="183"/>
            <x v="199"/>
            <x v="219"/>
          </reference>
          <reference field="38" count="1" selected="0">
            <x v="0"/>
          </reference>
        </references>
      </pivotArea>
    </format>
    <format dxfId="1013">
      <pivotArea dataOnly="0" labelOnly="1" fieldPosition="0">
        <references count="1">
          <reference field="38" count="1">
            <x v="0"/>
          </reference>
        </references>
      </pivotArea>
    </format>
    <format dxfId="1012">
      <pivotArea dataOnly="0" labelOnly="1" fieldPosition="0">
        <references count="2">
          <reference field="5" count="1">
            <x v="0"/>
          </reference>
          <reference field="38" count="1" selected="0">
            <x v="0"/>
          </reference>
        </references>
      </pivotArea>
    </format>
    <format dxfId="1011">
      <pivotArea dataOnly="0" labelOnly="1" fieldPosition="0">
        <references count="3">
          <reference field="5" count="1" selected="0">
            <x v="0"/>
          </reference>
          <reference field="11" count="10">
            <x v="3"/>
            <x v="7"/>
            <x v="45"/>
            <x v="72"/>
            <x v="136"/>
            <x v="157"/>
            <x v="175"/>
            <x v="183"/>
            <x v="199"/>
            <x v="219"/>
          </reference>
          <reference field="38" count="1" selected="0">
            <x v="0"/>
          </reference>
        </references>
      </pivotArea>
    </format>
    <format dxfId="1010">
      <pivotArea collapsedLevelsAreSubtotals="1" fieldPosition="0">
        <references count="1">
          <reference field="38" count="1">
            <x v="1"/>
          </reference>
        </references>
      </pivotArea>
    </format>
    <format dxfId="1009">
      <pivotArea collapsedLevelsAreSubtotals="1" fieldPosition="0">
        <references count="2">
          <reference field="5" count="1">
            <x v="1"/>
          </reference>
          <reference field="38" count="1" selected="0">
            <x v="1"/>
          </reference>
        </references>
      </pivotArea>
    </format>
    <format dxfId="1008">
      <pivotArea collapsedLevelsAreSubtotals="1" fieldPosition="0">
        <references count="3">
          <reference field="5" count="1" selected="0">
            <x v="1"/>
          </reference>
          <reference field="11" count="5">
            <x v="22"/>
            <x v="43"/>
            <x v="69"/>
            <x v="173"/>
            <x v="187"/>
          </reference>
          <reference field="38" count="1" selected="0">
            <x v="1"/>
          </reference>
        </references>
      </pivotArea>
    </format>
    <format dxfId="1007">
      <pivotArea dataOnly="0" labelOnly="1" fieldPosition="0">
        <references count="1">
          <reference field="38" count="1">
            <x v="1"/>
          </reference>
        </references>
      </pivotArea>
    </format>
    <format dxfId="1006">
      <pivotArea dataOnly="0" labelOnly="1" fieldPosition="0">
        <references count="2">
          <reference field="5" count="1">
            <x v="1"/>
          </reference>
          <reference field="38" count="1" selected="0">
            <x v="1"/>
          </reference>
        </references>
      </pivotArea>
    </format>
    <format dxfId="1005">
      <pivotArea dataOnly="0" labelOnly="1" fieldPosition="0">
        <references count="3">
          <reference field="5" count="1" selected="0">
            <x v="1"/>
          </reference>
          <reference field="11" count="5">
            <x v="22"/>
            <x v="43"/>
            <x v="69"/>
            <x v="173"/>
            <x v="187"/>
          </reference>
          <reference field="38" count="1" selected="0">
            <x v="1"/>
          </reference>
        </references>
      </pivotArea>
    </format>
    <format dxfId="1004">
      <pivotArea collapsedLevelsAreSubtotals="1" fieldPosition="0">
        <references count="1">
          <reference field="38" count="1">
            <x v="2"/>
          </reference>
        </references>
      </pivotArea>
    </format>
    <format dxfId="1003">
      <pivotArea collapsedLevelsAreSubtotals="1" fieldPosition="0">
        <references count="2">
          <reference field="5" count="1">
            <x v="2"/>
          </reference>
          <reference field="38" count="1" selected="0">
            <x v="2"/>
          </reference>
        </references>
      </pivotArea>
    </format>
    <format dxfId="1002">
      <pivotArea collapsedLevelsAreSubtotals="1" fieldPosition="0">
        <references count="3">
          <reference field="5" count="1" selected="0">
            <x v="2"/>
          </reference>
          <reference field="11" count="21">
            <x v="1"/>
            <x v="2"/>
            <x v="4"/>
            <x v="5"/>
            <x v="13"/>
            <x v="14"/>
            <x v="20"/>
            <x v="24"/>
            <x v="36"/>
            <x v="37"/>
            <x v="42"/>
            <x v="55"/>
            <x v="70"/>
            <x v="71"/>
            <x v="120"/>
            <x v="152"/>
            <x v="158"/>
            <x v="182"/>
            <x v="185"/>
            <x v="214"/>
            <x v="220"/>
          </reference>
          <reference field="38" count="1" selected="0">
            <x v="2"/>
          </reference>
        </references>
      </pivotArea>
    </format>
    <format dxfId="1001">
      <pivotArea dataOnly="0" labelOnly="1" fieldPosition="0">
        <references count="1">
          <reference field="38" count="1">
            <x v="2"/>
          </reference>
        </references>
      </pivotArea>
    </format>
    <format dxfId="1000">
      <pivotArea dataOnly="0" labelOnly="1" fieldPosition="0">
        <references count="2">
          <reference field="5" count="1">
            <x v="2"/>
          </reference>
          <reference field="38" count="1" selected="0">
            <x v="2"/>
          </reference>
        </references>
      </pivotArea>
    </format>
    <format dxfId="999">
      <pivotArea dataOnly="0" labelOnly="1" fieldPosition="0">
        <references count="3">
          <reference field="5" count="1" selected="0">
            <x v="2"/>
          </reference>
          <reference field="11" count="21">
            <x v="1"/>
            <x v="2"/>
            <x v="4"/>
            <x v="5"/>
            <x v="13"/>
            <x v="14"/>
            <x v="20"/>
            <x v="24"/>
            <x v="36"/>
            <x v="37"/>
            <x v="42"/>
            <x v="55"/>
            <x v="70"/>
            <x v="71"/>
            <x v="120"/>
            <x v="152"/>
            <x v="158"/>
            <x v="182"/>
            <x v="185"/>
            <x v="214"/>
            <x v="220"/>
          </reference>
          <reference field="38" count="1" selected="0">
            <x v="2"/>
          </reference>
        </references>
      </pivotArea>
    </format>
    <format dxfId="998">
      <pivotArea collapsedLevelsAreSubtotals="1" fieldPosition="0">
        <references count="1">
          <reference field="38" count="1">
            <x v="3"/>
          </reference>
        </references>
      </pivotArea>
    </format>
    <format dxfId="997">
      <pivotArea collapsedLevelsAreSubtotals="1" fieldPosition="0">
        <references count="2">
          <reference field="5" count="1">
            <x v="3"/>
          </reference>
          <reference field="38" count="1" selected="0">
            <x v="3"/>
          </reference>
        </references>
      </pivotArea>
    </format>
    <format dxfId="996">
      <pivotArea collapsedLevelsAreSubtotals="1" fieldPosition="0">
        <references count="3">
          <reference field="5" count="1" selected="0">
            <x v="3"/>
          </reference>
          <reference field="11" count="1">
            <x v="232"/>
          </reference>
          <reference field="38" count="1" selected="0">
            <x v="3"/>
          </reference>
        </references>
      </pivotArea>
    </format>
    <format dxfId="995">
      <pivotArea dataOnly="0" labelOnly="1" fieldPosition="0">
        <references count="1">
          <reference field="38" count="1">
            <x v="3"/>
          </reference>
        </references>
      </pivotArea>
    </format>
    <format dxfId="994">
      <pivotArea dataOnly="0" labelOnly="1" fieldPosition="0">
        <references count="2">
          <reference field="5" count="1">
            <x v="3"/>
          </reference>
          <reference field="38" count="1" selected="0">
            <x v="3"/>
          </reference>
        </references>
      </pivotArea>
    </format>
    <format dxfId="993">
      <pivotArea dataOnly="0" labelOnly="1" fieldPosition="0">
        <references count="3">
          <reference field="5" count="1" selected="0">
            <x v="3"/>
          </reference>
          <reference field="11" count="1">
            <x v="232"/>
          </reference>
          <reference field="38" count="1" selected="0">
            <x v="3"/>
          </reference>
        </references>
      </pivotArea>
    </format>
    <format dxfId="992">
      <pivotArea collapsedLevelsAreSubtotals="1" fieldPosition="0">
        <references count="1">
          <reference field="38" count="1">
            <x v="5"/>
          </reference>
        </references>
      </pivotArea>
    </format>
    <format dxfId="991">
      <pivotArea collapsedLevelsAreSubtotals="1" fieldPosition="0">
        <references count="2">
          <reference field="5" count="1">
            <x v="13"/>
          </reference>
          <reference field="38" count="1" selected="0">
            <x v="5"/>
          </reference>
        </references>
      </pivotArea>
    </format>
    <format dxfId="990">
      <pivotArea collapsedLevelsAreSubtotals="1" fieldPosition="0">
        <references count="3">
          <reference field="5" count="1" selected="0">
            <x v="13"/>
          </reference>
          <reference field="11" count="4">
            <x v="126"/>
            <x v="134"/>
            <x v="135"/>
            <x v="146"/>
          </reference>
          <reference field="38" count="1" selected="0">
            <x v="5"/>
          </reference>
        </references>
      </pivotArea>
    </format>
    <format dxfId="989">
      <pivotArea collapsedLevelsAreSubtotals="1" fieldPosition="0">
        <references count="2">
          <reference field="5" count="1">
            <x v="18"/>
          </reference>
          <reference field="38" count="1" selected="0">
            <x v="5"/>
          </reference>
        </references>
      </pivotArea>
    </format>
    <format dxfId="988">
      <pivotArea collapsedLevelsAreSubtotals="1" fieldPosition="0">
        <references count="3">
          <reference field="5" count="1" selected="0">
            <x v="18"/>
          </reference>
          <reference field="11" count="2">
            <x v="192"/>
            <x v="193"/>
          </reference>
          <reference field="38" count="1" selected="0">
            <x v="5"/>
          </reference>
        </references>
      </pivotArea>
    </format>
    <format dxfId="987">
      <pivotArea collapsedLevelsAreSubtotals="1" fieldPosition="0">
        <references count="2">
          <reference field="5" count="1">
            <x v="9"/>
          </reference>
          <reference field="38" count="1" selected="0">
            <x v="5"/>
          </reference>
        </references>
      </pivotArea>
    </format>
    <format dxfId="986">
      <pivotArea collapsedLevelsAreSubtotals="1" fieldPosition="0">
        <references count="3">
          <reference field="5" count="1" selected="0">
            <x v="9"/>
          </reference>
          <reference field="11" count="2">
            <x v="102"/>
            <x v="103"/>
          </reference>
          <reference field="38" count="1" selected="0">
            <x v="5"/>
          </reference>
        </references>
      </pivotArea>
    </format>
    <format dxfId="985">
      <pivotArea collapsedLevelsAreSubtotals="1" fieldPosition="0">
        <references count="2">
          <reference field="5" count="1">
            <x v="17"/>
          </reference>
          <reference field="38" count="1" selected="0">
            <x v="5"/>
          </reference>
        </references>
      </pivotArea>
    </format>
    <format dxfId="984">
      <pivotArea collapsedLevelsAreSubtotals="1" fieldPosition="0">
        <references count="3">
          <reference field="5" count="1" selected="0">
            <x v="17"/>
          </reference>
          <reference field="11" count="1">
            <x v="231"/>
          </reference>
          <reference field="38" count="1" selected="0">
            <x v="5"/>
          </reference>
        </references>
      </pivotArea>
    </format>
    <format dxfId="983">
      <pivotArea collapsedLevelsAreSubtotals="1" fieldPosition="0">
        <references count="2">
          <reference field="5" count="1">
            <x v="10"/>
          </reference>
          <reference field="38" count="1" selected="0">
            <x v="5"/>
          </reference>
        </references>
      </pivotArea>
    </format>
    <format dxfId="982">
      <pivotArea collapsedLevelsAreSubtotals="1" fieldPosition="0">
        <references count="3">
          <reference field="5" count="1" selected="0">
            <x v="10"/>
          </reference>
          <reference field="11" count="3">
            <x v="59"/>
            <x v="104"/>
            <x v="161"/>
          </reference>
          <reference field="38" count="1" selected="0">
            <x v="5"/>
          </reference>
        </references>
      </pivotArea>
    </format>
    <format dxfId="981">
      <pivotArea collapsedLevelsAreSubtotals="1" fieldPosition="0">
        <references count="2">
          <reference field="5" count="1">
            <x v="11"/>
          </reference>
          <reference field="38" count="1" selected="0">
            <x v="5"/>
          </reference>
        </references>
      </pivotArea>
    </format>
    <format dxfId="980">
      <pivotArea collapsedLevelsAreSubtotals="1" fieldPosition="0">
        <references count="3">
          <reference field="5" count="1" selected="0">
            <x v="11"/>
          </reference>
          <reference field="11" count="2">
            <x v="164"/>
            <x v="196"/>
          </reference>
          <reference field="38" count="1" selected="0">
            <x v="5"/>
          </reference>
        </references>
      </pivotArea>
    </format>
    <format dxfId="979">
      <pivotArea collapsedLevelsAreSubtotals="1" fieldPosition="0">
        <references count="2">
          <reference field="5" count="1">
            <x v="16"/>
          </reference>
          <reference field="38" count="1" selected="0">
            <x v="5"/>
          </reference>
        </references>
      </pivotArea>
    </format>
    <format dxfId="978">
      <pivotArea collapsedLevelsAreSubtotals="1" fieldPosition="0">
        <references count="3">
          <reference field="5" count="1" selected="0">
            <x v="16"/>
          </reference>
          <reference field="11" count="1">
            <x v="153"/>
          </reference>
          <reference field="38" count="1" selected="0">
            <x v="5"/>
          </reference>
        </references>
      </pivotArea>
    </format>
    <format dxfId="977">
      <pivotArea collapsedLevelsAreSubtotals="1" fieldPosition="0">
        <references count="2">
          <reference field="5" count="1">
            <x v="5"/>
          </reference>
          <reference field="38" count="1" selected="0">
            <x v="5"/>
          </reference>
        </references>
      </pivotArea>
    </format>
    <format dxfId="976">
      <pivotArea collapsedLevelsAreSubtotals="1" fieldPosition="0">
        <references count="3">
          <reference field="5" count="1" selected="0">
            <x v="5"/>
          </reference>
          <reference field="11" count="1">
            <x v="60"/>
          </reference>
          <reference field="38" count="1" selected="0">
            <x v="5"/>
          </reference>
        </references>
      </pivotArea>
    </format>
    <format dxfId="975">
      <pivotArea collapsedLevelsAreSubtotals="1" fieldPosition="0">
        <references count="2">
          <reference field="5" count="1">
            <x v="19"/>
          </reference>
          <reference field="38" count="1" selected="0">
            <x v="5"/>
          </reference>
        </references>
      </pivotArea>
    </format>
    <format dxfId="974">
      <pivotArea collapsedLevelsAreSubtotals="1" fieldPosition="0">
        <references count="3">
          <reference field="5" count="1" selected="0">
            <x v="19"/>
          </reference>
          <reference field="11" count="1">
            <x v="198"/>
          </reference>
          <reference field="38" count="1" selected="0">
            <x v="5"/>
          </reference>
        </references>
      </pivotArea>
    </format>
    <format dxfId="973">
      <pivotArea dataOnly="0" labelOnly="1" fieldPosition="0">
        <references count="1">
          <reference field="38" count="1">
            <x v="5"/>
          </reference>
        </references>
      </pivotArea>
    </format>
    <format dxfId="972">
      <pivotArea dataOnly="0" labelOnly="1" fieldPosition="0">
        <references count="2">
          <reference field="5" count="9">
            <x v="5"/>
            <x v="9"/>
            <x v="10"/>
            <x v="11"/>
            <x v="13"/>
            <x v="16"/>
            <x v="17"/>
            <x v="18"/>
            <x v="19"/>
          </reference>
          <reference field="38" count="1" selected="0">
            <x v="5"/>
          </reference>
        </references>
      </pivotArea>
    </format>
    <format dxfId="971">
      <pivotArea dataOnly="0" labelOnly="1" fieldPosition="0">
        <references count="3">
          <reference field="5" count="1" selected="0">
            <x v="13"/>
          </reference>
          <reference field="11" count="17">
            <x v="59"/>
            <x v="60"/>
            <x v="102"/>
            <x v="103"/>
            <x v="104"/>
            <x v="126"/>
            <x v="134"/>
            <x v="135"/>
            <x v="146"/>
            <x v="153"/>
            <x v="161"/>
            <x v="164"/>
            <x v="192"/>
            <x v="193"/>
            <x v="196"/>
            <x v="198"/>
            <x v="231"/>
          </reference>
          <reference field="38" count="1" selected="0">
            <x v="5"/>
          </reference>
        </references>
      </pivotArea>
    </format>
    <format dxfId="970">
      <pivotArea collapsedLevelsAreSubtotals="1" fieldPosition="0">
        <references count="1">
          <reference field="38" count="1">
            <x v="6"/>
          </reference>
        </references>
      </pivotArea>
    </format>
    <format dxfId="969">
      <pivotArea collapsedLevelsAreSubtotals="1" fieldPosition="0">
        <references count="2">
          <reference field="5" count="1">
            <x v="6"/>
          </reference>
          <reference field="38" count="1" selected="0">
            <x v="6"/>
          </reference>
        </references>
      </pivotArea>
    </format>
    <format dxfId="968">
      <pivotArea collapsedLevelsAreSubtotals="1" fieldPosition="0">
        <references count="3">
          <reference field="5" count="1" selected="0">
            <x v="6"/>
          </reference>
          <reference field="11" count="8">
            <x v="54"/>
            <x v="56"/>
            <x v="57"/>
            <x v="123"/>
            <x v="130"/>
            <x v="131"/>
            <x v="148"/>
            <x v="222"/>
          </reference>
          <reference field="38" count="1" selected="0">
            <x v="6"/>
          </reference>
        </references>
      </pivotArea>
    </format>
    <format dxfId="967">
      <pivotArea dataOnly="0" labelOnly="1" fieldPosition="0">
        <references count="1">
          <reference field="38" count="1">
            <x v="6"/>
          </reference>
        </references>
      </pivotArea>
    </format>
    <format dxfId="966">
      <pivotArea dataOnly="0" labelOnly="1" fieldPosition="0">
        <references count="2">
          <reference field="5" count="1">
            <x v="6"/>
          </reference>
          <reference field="38" count="1" selected="0">
            <x v="6"/>
          </reference>
        </references>
      </pivotArea>
    </format>
    <format dxfId="965">
      <pivotArea dataOnly="0" labelOnly="1" fieldPosition="0">
        <references count="3">
          <reference field="5" count="1" selected="0">
            <x v="6"/>
          </reference>
          <reference field="11" count="8">
            <x v="54"/>
            <x v="56"/>
            <x v="57"/>
            <x v="123"/>
            <x v="130"/>
            <x v="131"/>
            <x v="148"/>
            <x v="222"/>
          </reference>
          <reference field="38" count="1" selected="0">
            <x v="6"/>
          </reference>
        </references>
      </pivotArea>
    </format>
    <format dxfId="964">
      <pivotArea collapsedLevelsAreSubtotals="1" fieldPosition="0">
        <references count="1">
          <reference field="38" count="1">
            <x v="7"/>
          </reference>
        </references>
      </pivotArea>
    </format>
    <format dxfId="963">
      <pivotArea collapsedLevelsAreSubtotals="1" fieldPosition="0">
        <references count="2">
          <reference field="5" count="1">
            <x v="8"/>
          </reference>
          <reference field="38" count="1" selected="0">
            <x v="7"/>
          </reference>
        </references>
      </pivotArea>
    </format>
    <format dxfId="962">
      <pivotArea collapsedLevelsAreSubtotals="1" fieldPosition="0">
        <references count="3">
          <reference field="5" count="1" selected="0">
            <x v="8"/>
          </reference>
          <reference field="11" count="11">
            <x v="18"/>
            <x v="19"/>
            <x v="64"/>
            <x v="76"/>
            <x v="86"/>
            <x v="87"/>
            <x v="95"/>
            <x v="96"/>
            <x v="97"/>
            <x v="98"/>
            <x v="105"/>
          </reference>
          <reference field="38" count="1" selected="0">
            <x v="7"/>
          </reference>
        </references>
      </pivotArea>
    </format>
    <format dxfId="961">
      <pivotArea dataOnly="0" labelOnly="1" fieldPosition="0">
        <references count="1">
          <reference field="38" count="1">
            <x v="7"/>
          </reference>
        </references>
      </pivotArea>
    </format>
    <format dxfId="960">
      <pivotArea dataOnly="0" labelOnly="1" fieldPosition="0">
        <references count="2">
          <reference field="5" count="1">
            <x v="8"/>
          </reference>
          <reference field="38" count="1" selected="0">
            <x v="7"/>
          </reference>
        </references>
      </pivotArea>
    </format>
    <format dxfId="959">
      <pivotArea dataOnly="0" labelOnly="1" fieldPosition="0">
        <references count="3">
          <reference field="5" count="1" selected="0">
            <x v="8"/>
          </reference>
          <reference field="11" count="11">
            <x v="18"/>
            <x v="19"/>
            <x v="64"/>
            <x v="76"/>
            <x v="86"/>
            <x v="87"/>
            <x v="95"/>
            <x v="96"/>
            <x v="97"/>
            <x v="98"/>
            <x v="105"/>
          </reference>
          <reference field="38" count="1" selected="0">
            <x v="7"/>
          </reference>
        </references>
      </pivotArea>
    </format>
    <format dxfId="958">
      <pivotArea collapsedLevelsAreSubtotals="1" fieldPosition="0">
        <references count="1">
          <reference field="38" count="1">
            <x v="8"/>
          </reference>
        </references>
      </pivotArea>
    </format>
    <format dxfId="957">
      <pivotArea collapsedLevelsAreSubtotals="1" fieldPosition="0">
        <references count="2">
          <reference field="5" count="1">
            <x v="12"/>
          </reference>
          <reference field="38" count="1" selected="0">
            <x v="8"/>
          </reference>
        </references>
      </pivotArea>
    </format>
    <format dxfId="956">
      <pivotArea collapsedLevelsAreSubtotals="1" fieldPosition="0">
        <references count="3">
          <reference field="5" count="1" selected="0">
            <x v="12"/>
          </reference>
          <reference field="11" count="14">
            <x v="28"/>
            <x v="44"/>
            <x v="51"/>
            <x v="73"/>
            <x v="74"/>
            <x v="75"/>
            <x v="89"/>
            <x v="101"/>
            <x v="124"/>
            <x v="167"/>
            <x v="168"/>
            <x v="170"/>
            <x v="172"/>
            <x v="188"/>
          </reference>
          <reference field="38" count="1" selected="0">
            <x v="8"/>
          </reference>
        </references>
      </pivotArea>
    </format>
    <format dxfId="955">
      <pivotArea dataOnly="0" labelOnly="1" fieldPosition="0">
        <references count="1">
          <reference field="38" count="1">
            <x v="8"/>
          </reference>
        </references>
      </pivotArea>
    </format>
    <format dxfId="954">
      <pivotArea dataOnly="0" labelOnly="1" fieldPosition="0">
        <references count="2">
          <reference field="5" count="1">
            <x v="12"/>
          </reference>
          <reference field="38" count="1" selected="0">
            <x v="8"/>
          </reference>
        </references>
      </pivotArea>
    </format>
    <format dxfId="953">
      <pivotArea dataOnly="0" labelOnly="1" fieldPosition="0">
        <references count="3">
          <reference field="5" count="1" selected="0">
            <x v="12"/>
          </reference>
          <reference field="11" count="14">
            <x v="28"/>
            <x v="44"/>
            <x v="51"/>
            <x v="73"/>
            <x v="74"/>
            <x v="75"/>
            <x v="89"/>
            <x v="101"/>
            <x v="124"/>
            <x v="167"/>
            <x v="168"/>
            <x v="170"/>
            <x v="172"/>
            <x v="188"/>
          </reference>
          <reference field="38" count="1" selected="0">
            <x v="8"/>
          </reference>
        </references>
      </pivotArea>
    </format>
    <format dxfId="952">
      <pivotArea collapsedLevelsAreSubtotals="1" fieldPosition="0">
        <references count="1">
          <reference field="38" count="1">
            <x v="9"/>
          </reference>
        </references>
      </pivotArea>
    </format>
    <format dxfId="951">
      <pivotArea collapsedLevelsAreSubtotals="1" fieldPosition="0">
        <references count="2">
          <reference field="5" count="1">
            <x v="14"/>
          </reference>
          <reference field="38" count="1" selected="0">
            <x v="9"/>
          </reference>
        </references>
      </pivotArea>
    </format>
    <format dxfId="950">
      <pivotArea collapsedLevelsAreSubtotals="1" fieldPosition="0">
        <references count="3">
          <reference field="5" count="1" selected="0">
            <x v="14"/>
          </reference>
          <reference field="11" count="24">
            <x v="25"/>
            <x v="26"/>
            <x v="27"/>
            <x v="49"/>
            <x v="50"/>
            <x v="58"/>
            <x v="67"/>
            <x v="68"/>
            <x v="88"/>
            <x v="90"/>
            <x v="114"/>
            <x v="115"/>
            <x v="156"/>
            <x v="169"/>
            <x v="171"/>
            <x v="189"/>
            <x v="190"/>
            <x v="194"/>
            <x v="202"/>
            <x v="203"/>
            <x v="204"/>
            <x v="205"/>
            <x v="218"/>
            <x v="229"/>
          </reference>
          <reference field="38" count="1" selected="0">
            <x v="9"/>
          </reference>
        </references>
      </pivotArea>
    </format>
    <format dxfId="949">
      <pivotArea dataOnly="0" labelOnly="1" fieldPosition="0">
        <references count="1">
          <reference field="38" count="1">
            <x v="9"/>
          </reference>
        </references>
      </pivotArea>
    </format>
    <format dxfId="948">
      <pivotArea dataOnly="0" labelOnly="1" fieldPosition="0">
        <references count="2">
          <reference field="5" count="1">
            <x v="14"/>
          </reference>
          <reference field="38" count="1" selected="0">
            <x v="9"/>
          </reference>
        </references>
      </pivotArea>
    </format>
    <format dxfId="947">
      <pivotArea dataOnly="0" labelOnly="1" fieldPosition="0">
        <references count="3">
          <reference field="5" count="1" selected="0">
            <x v="14"/>
          </reference>
          <reference field="11" count="24">
            <x v="25"/>
            <x v="26"/>
            <x v="27"/>
            <x v="49"/>
            <x v="50"/>
            <x v="58"/>
            <x v="67"/>
            <x v="68"/>
            <x v="88"/>
            <x v="90"/>
            <x v="114"/>
            <x v="115"/>
            <x v="156"/>
            <x v="169"/>
            <x v="171"/>
            <x v="189"/>
            <x v="190"/>
            <x v="194"/>
            <x v="202"/>
            <x v="203"/>
            <x v="204"/>
            <x v="205"/>
            <x v="218"/>
            <x v="229"/>
          </reference>
          <reference field="38" count="1" selected="0">
            <x v="9"/>
          </reference>
        </references>
      </pivotArea>
    </format>
    <format dxfId="946">
      <pivotArea collapsedLevelsAreSubtotals="1" fieldPosition="0">
        <references count="1">
          <reference field="38" count="1">
            <x v="10"/>
          </reference>
        </references>
      </pivotArea>
    </format>
    <format dxfId="945">
      <pivotArea collapsedLevelsAreSubtotals="1" fieldPosition="0">
        <references count="2">
          <reference field="5" count="1">
            <x v="15"/>
          </reference>
          <reference field="38" count="1" selected="0">
            <x v="10"/>
          </reference>
        </references>
      </pivotArea>
    </format>
    <format dxfId="944">
      <pivotArea collapsedLevelsAreSubtotals="1" fieldPosition="0">
        <references count="3">
          <reference field="5" count="1" selected="0">
            <x v="15"/>
          </reference>
          <reference field="11" count="5">
            <x v="140"/>
            <x v="141"/>
            <x v="142"/>
            <x v="143"/>
            <x v="155"/>
          </reference>
          <reference field="38" count="1" selected="0">
            <x v="10"/>
          </reference>
        </references>
      </pivotArea>
    </format>
    <format dxfId="943">
      <pivotArea dataOnly="0" labelOnly="1" fieldPosition="0">
        <references count="1">
          <reference field="38" count="1">
            <x v="10"/>
          </reference>
        </references>
      </pivotArea>
    </format>
    <format dxfId="942">
      <pivotArea dataOnly="0" labelOnly="1" fieldPosition="0">
        <references count="2">
          <reference field="5" count="1">
            <x v="15"/>
          </reference>
          <reference field="38" count="1" selected="0">
            <x v="10"/>
          </reference>
        </references>
      </pivotArea>
    </format>
    <format dxfId="941">
      <pivotArea dataOnly="0" labelOnly="1" fieldPosition="0">
        <references count="3">
          <reference field="5" count="1" selected="0">
            <x v="15"/>
          </reference>
          <reference field="11" count="5">
            <x v="140"/>
            <x v="141"/>
            <x v="142"/>
            <x v="143"/>
            <x v="155"/>
          </reference>
          <reference field="38" count="1" selected="0">
            <x v="10"/>
          </reference>
        </references>
      </pivotArea>
    </format>
    <format dxfId="940">
      <pivotArea collapsedLevelsAreSubtotals="1" fieldPosition="0">
        <references count="1">
          <reference field="38" count="1">
            <x v="11"/>
          </reference>
        </references>
      </pivotArea>
    </format>
    <format dxfId="939">
      <pivotArea collapsedLevelsAreSubtotals="1" fieldPosition="0">
        <references count="2">
          <reference field="5" count="1">
            <x v="20"/>
          </reference>
          <reference field="38" count="1" selected="0">
            <x v="11"/>
          </reference>
        </references>
      </pivotArea>
    </format>
    <format dxfId="938">
      <pivotArea collapsedLevelsAreSubtotals="1" fieldPosition="0">
        <references count="3">
          <reference field="5" count="1" selected="0">
            <x v="20"/>
          </reference>
          <reference field="11" count="21">
            <x v="17"/>
            <x v="34"/>
            <x v="35"/>
            <x v="79"/>
            <x v="80"/>
            <x v="82"/>
            <x v="83"/>
            <x v="84"/>
            <x v="85"/>
            <x v="163"/>
            <x v="177"/>
            <x v="178"/>
            <x v="179"/>
            <x v="180"/>
            <x v="181"/>
            <x v="191"/>
            <x v="206"/>
            <x v="211"/>
            <x v="215"/>
            <x v="228"/>
            <x v="230"/>
          </reference>
          <reference field="38" count="1" selected="0">
            <x v="11"/>
          </reference>
        </references>
      </pivotArea>
    </format>
    <format dxfId="937">
      <pivotArea dataOnly="0" labelOnly="1" fieldPosition="0">
        <references count="1">
          <reference field="38" count="1">
            <x v="11"/>
          </reference>
        </references>
      </pivotArea>
    </format>
    <format dxfId="936">
      <pivotArea dataOnly="0" labelOnly="1" fieldPosition="0">
        <references count="2">
          <reference field="5" count="1">
            <x v="20"/>
          </reference>
          <reference field="38" count="1" selected="0">
            <x v="11"/>
          </reference>
        </references>
      </pivotArea>
    </format>
    <format dxfId="935">
      <pivotArea dataOnly="0" labelOnly="1" fieldPosition="0">
        <references count="3">
          <reference field="5" count="1" selected="0">
            <x v="20"/>
          </reference>
          <reference field="11" count="21">
            <x v="17"/>
            <x v="34"/>
            <x v="35"/>
            <x v="79"/>
            <x v="80"/>
            <x v="82"/>
            <x v="83"/>
            <x v="84"/>
            <x v="85"/>
            <x v="163"/>
            <x v="177"/>
            <x v="178"/>
            <x v="179"/>
            <x v="180"/>
            <x v="181"/>
            <x v="191"/>
            <x v="206"/>
            <x v="211"/>
            <x v="215"/>
            <x v="228"/>
            <x v="230"/>
          </reference>
          <reference field="38" count="1" selected="0">
            <x v="11"/>
          </reference>
        </references>
      </pivotArea>
    </format>
    <format dxfId="934">
      <pivotArea outline="0" collapsedLevelsAreSubtotals="1" fieldPosition="0">
        <references count="1">
          <reference field="4294967294" count="1" selected="0">
            <x v="0"/>
          </reference>
        </references>
      </pivotArea>
    </format>
    <format dxfId="933">
      <pivotArea dataOnly="0" labelOnly="1" outline="0" fieldPosition="0">
        <references count="1">
          <reference field="4294967294" count="1">
            <x v="0"/>
          </reference>
        </references>
      </pivotArea>
    </format>
    <format dxfId="932">
      <pivotArea outline="0" collapsedLevelsAreSubtotals="1" fieldPosition="0">
        <references count="1">
          <reference field="4294967294" count="1" selected="0">
            <x v="2"/>
          </reference>
        </references>
      </pivotArea>
    </format>
    <format dxfId="931">
      <pivotArea dataOnly="0" labelOnly="1" outline="0" fieldPosition="0">
        <references count="1">
          <reference field="4294967294" count="1">
            <x v="2"/>
          </reference>
        </references>
      </pivotArea>
    </format>
    <format dxfId="930">
      <pivotArea outline="0" collapsedLevelsAreSubtotals="1" fieldPosition="0">
        <references count="1">
          <reference field="4294967294" count="1" selected="0">
            <x v="4"/>
          </reference>
        </references>
      </pivotArea>
    </format>
    <format dxfId="929">
      <pivotArea dataOnly="0" labelOnly="1" outline="0" fieldPosition="0">
        <references count="1">
          <reference field="4294967294" count="1">
            <x v="4"/>
          </reference>
        </references>
      </pivotArea>
    </format>
    <format dxfId="928">
      <pivotArea outline="0" collapsedLevelsAreSubtotals="1" fieldPosition="0">
        <references count="1">
          <reference field="4294967294" count="2" selected="0">
            <x v="0"/>
            <x v="1"/>
          </reference>
        </references>
      </pivotArea>
    </format>
    <format dxfId="927">
      <pivotArea field="0" type="button" dataOnly="0" labelOnly="1" outline="0" axis="axisPage" fieldPosition="0"/>
    </format>
    <format dxfId="926">
      <pivotArea dataOnly="0" labelOnly="1" outline="0" fieldPosition="0">
        <references count="1">
          <reference field="0" count="0"/>
        </references>
      </pivotArea>
    </format>
    <format dxfId="925">
      <pivotArea field="21" type="button" dataOnly="0" labelOnly="1" outline="0" axis="axisPage" fieldPosition="1"/>
    </format>
    <format dxfId="924">
      <pivotArea dataOnly="0" labelOnly="1" outline="0" fieldPosition="0">
        <references count="1">
          <reference field="21" count="0"/>
        </references>
      </pivotArea>
    </format>
    <format dxfId="923">
      <pivotArea field="38" type="button" dataOnly="0" labelOnly="1" outline="0" axis="axisRow" fieldPosition="0"/>
    </format>
    <format dxfId="922">
      <pivotArea dataOnly="0" labelOnly="1" fieldPosition="0">
        <references count="1">
          <reference field="38" count="11">
            <x v="0"/>
            <x v="1"/>
            <x v="2"/>
            <x v="3"/>
            <x v="5"/>
            <x v="6"/>
            <x v="7"/>
            <x v="8"/>
            <x v="9"/>
            <x v="10"/>
            <x v="11"/>
          </reference>
        </references>
      </pivotArea>
    </format>
    <format dxfId="921">
      <pivotArea dataOnly="0" labelOnly="1" grandRow="1" outline="0" fieldPosition="0"/>
    </format>
    <format dxfId="920">
      <pivotArea dataOnly="0" labelOnly="1" fieldPosition="0">
        <references count="2">
          <reference field="5" count="19">
            <x v="0"/>
            <x v="1"/>
            <x v="2"/>
            <x v="3"/>
            <x v="5"/>
            <x v="6"/>
            <x v="8"/>
            <x v="9"/>
            <x v="10"/>
            <x v="11"/>
            <x v="12"/>
            <x v="13"/>
            <x v="14"/>
            <x v="15"/>
            <x v="16"/>
            <x v="17"/>
            <x v="18"/>
            <x v="19"/>
            <x v="20"/>
          </reference>
          <reference field="38" count="1" selected="0">
            <x v="0"/>
          </reference>
        </references>
      </pivotArea>
    </format>
    <format dxfId="919">
      <pivotArea dataOnly="0" labelOnly="1" fieldPosition="0">
        <references count="3">
          <reference field="5" count="1" selected="0">
            <x v="0"/>
          </reference>
          <reference field="11" count="50">
            <x v="1"/>
            <x v="2"/>
            <x v="3"/>
            <x v="4"/>
            <x v="5"/>
            <x v="7"/>
            <x v="13"/>
            <x v="20"/>
            <x v="22"/>
            <x v="24"/>
            <x v="36"/>
            <x v="37"/>
            <x v="42"/>
            <x v="43"/>
            <x v="45"/>
            <x v="55"/>
            <x v="59"/>
            <x v="69"/>
            <x v="70"/>
            <x v="71"/>
            <x v="72"/>
            <x v="102"/>
            <x v="103"/>
            <x v="104"/>
            <x v="120"/>
            <x v="126"/>
            <x v="134"/>
            <x v="135"/>
            <x v="136"/>
            <x v="152"/>
            <x v="157"/>
            <x v="158"/>
            <x v="173"/>
            <x v="175"/>
            <x v="182"/>
            <x v="183"/>
            <x v="185"/>
            <x v="187"/>
            <x v="192"/>
            <x v="193"/>
            <x v="198"/>
            <x v="199"/>
            <x v="214"/>
            <x v="219"/>
            <x v="220"/>
            <x v="231"/>
            <x v="232"/>
            <x v="235"/>
            <x v="236"/>
            <x v="237"/>
          </reference>
          <reference field="38" count="1" selected="0">
            <x v="0"/>
          </reference>
        </references>
      </pivotArea>
    </format>
    <format dxfId="918">
      <pivotArea dataOnly="0" labelOnly="1" fieldPosition="0">
        <references count="3">
          <reference field="5" count="1" selected="0">
            <x v="10"/>
          </reference>
          <reference field="11" count="50">
            <x v="18"/>
            <x v="19"/>
            <x v="27"/>
            <x v="28"/>
            <x v="44"/>
            <x v="49"/>
            <x v="50"/>
            <x v="51"/>
            <x v="54"/>
            <x v="56"/>
            <x v="57"/>
            <x v="58"/>
            <x v="60"/>
            <x v="64"/>
            <x v="67"/>
            <x v="68"/>
            <x v="73"/>
            <x v="74"/>
            <x v="75"/>
            <x v="86"/>
            <x v="87"/>
            <x v="88"/>
            <x v="89"/>
            <x v="90"/>
            <x v="95"/>
            <x v="96"/>
            <x v="97"/>
            <x v="98"/>
            <x v="105"/>
            <x v="123"/>
            <x v="124"/>
            <x v="130"/>
            <x v="131"/>
            <x v="148"/>
            <x v="153"/>
            <x v="161"/>
            <x v="164"/>
            <x v="167"/>
            <x v="168"/>
            <x v="170"/>
            <x v="172"/>
            <x v="188"/>
            <x v="189"/>
            <x v="190"/>
            <x v="194"/>
            <x v="196"/>
            <x v="204"/>
            <x v="205"/>
            <x v="222"/>
            <x v="239"/>
          </reference>
          <reference field="38" count="1" selected="0">
            <x v="5"/>
          </reference>
        </references>
      </pivotArea>
    </format>
    <format dxfId="917">
      <pivotArea dataOnly="0" labelOnly="1" fieldPosition="0">
        <references count="3">
          <reference field="5" count="1" selected="0">
            <x v="14"/>
          </reference>
          <reference field="11" count="37">
            <x v="17"/>
            <x v="25"/>
            <x v="26"/>
            <x v="34"/>
            <x v="35"/>
            <x v="79"/>
            <x v="80"/>
            <x v="82"/>
            <x v="83"/>
            <x v="84"/>
            <x v="85"/>
            <x v="114"/>
            <x v="115"/>
            <x v="140"/>
            <x v="141"/>
            <x v="142"/>
            <x v="143"/>
            <x v="155"/>
            <x v="156"/>
            <x v="163"/>
            <x v="169"/>
            <x v="171"/>
            <x v="177"/>
            <x v="178"/>
            <x v="179"/>
            <x v="180"/>
            <x v="181"/>
            <x v="191"/>
            <x v="202"/>
            <x v="203"/>
            <x v="206"/>
            <x v="211"/>
            <x v="215"/>
            <x v="218"/>
            <x v="228"/>
            <x v="229"/>
            <x v="230"/>
          </reference>
          <reference field="38" count="1" selected="0">
            <x v="9"/>
          </reference>
        </references>
      </pivotArea>
    </format>
    <format dxfId="916">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6" firstHeaderRow="1" firstDataRow="1" firstDataCol="3" rowPageCount="1" colPageCount="1"/>
  <pivotFields count="23">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4"/>
        <item x="1"/>
        <item x="3"/>
        <item x="7"/>
        <item x="5"/>
        <item x="13"/>
        <item x="10"/>
        <item x="15"/>
        <item x="6"/>
        <item x="11"/>
        <item x="2"/>
        <item x="8"/>
        <item x="14"/>
        <item x="16"/>
        <item x="0"/>
        <item x="9"/>
        <item x="12"/>
      </items>
    </pivotField>
    <pivotField axis="axisRow" compact="0" outline="0" showAll="0" defaultSubtotal="0">
      <items count="146">
        <item x="72"/>
        <item x="90"/>
        <item x="8"/>
        <item x="73"/>
        <item x="0"/>
        <item x="10"/>
        <item x="7"/>
        <item x="11"/>
        <item x="43"/>
        <item x="92"/>
        <item x="93"/>
        <item x="28"/>
        <item x="64"/>
        <item x="23"/>
        <item x="74"/>
        <item x="94"/>
        <item x="44"/>
        <item x="95"/>
        <item x="29"/>
        <item x="96"/>
        <item x="39"/>
        <item x="99"/>
        <item x="100"/>
        <item x="101"/>
        <item x="102"/>
        <item x="75"/>
        <item x="14"/>
        <item x="103"/>
        <item x="45"/>
        <item x="6"/>
        <item x="12"/>
        <item x="13"/>
        <item x="104"/>
        <item x="59"/>
        <item x="18"/>
        <item x="105"/>
        <item x="106"/>
        <item x="107"/>
        <item x="76"/>
        <item x="109"/>
        <item x="110"/>
        <item x="31"/>
        <item x="112"/>
        <item x="65"/>
        <item x="113"/>
        <item x="114"/>
        <item x="15"/>
        <item x="115"/>
        <item x="77"/>
        <item x="116"/>
        <item x="66"/>
        <item x="117"/>
        <item x="16"/>
        <item x="4"/>
        <item x="79"/>
        <item x="67"/>
        <item x="119"/>
        <item x="120"/>
        <item x="121"/>
        <item x="123"/>
        <item x="124"/>
        <item x="125"/>
        <item x="126"/>
        <item x="61"/>
        <item x="127"/>
        <item x="2"/>
        <item x="128"/>
        <item x="129"/>
        <item x="130"/>
        <item x="131"/>
        <item x="81"/>
        <item x="37"/>
        <item x="82"/>
        <item x="132"/>
        <item x="19"/>
        <item x="50"/>
        <item x="40"/>
        <item x="69"/>
        <item x="38"/>
        <item x="5"/>
        <item x="33"/>
        <item x="70"/>
        <item x="133"/>
        <item x="83"/>
        <item x="17"/>
        <item x="134"/>
        <item x="84"/>
        <item x="20"/>
        <item x="51"/>
        <item x="26"/>
        <item x="135"/>
        <item x="136"/>
        <item x="52"/>
        <item x="137"/>
        <item x="85"/>
        <item x="34"/>
        <item x="138"/>
        <item x="35"/>
        <item x="36"/>
        <item x="63"/>
        <item x="86"/>
        <item x="140"/>
        <item x="87"/>
        <item x="142"/>
        <item x="88"/>
        <item x="143"/>
        <item x="89"/>
        <item x="144"/>
        <item x="32"/>
        <item x="139"/>
        <item x="56"/>
        <item x="62"/>
        <item x="68"/>
        <item x="108"/>
        <item x="55"/>
        <item x="91"/>
        <item x="141"/>
        <item x="145"/>
        <item x="1"/>
        <item x="111"/>
        <item x="97"/>
        <item x="57"/>
        <item x="9"/>
        <item x="58"/>
        <item x="71"/>
        <item x="118"/>
        <item x="60"/>
        <item x="122"/>
        <item x="46"/>
        <item x="49"/>
        <item x="54"/>
        <item x="25"/>
        <item x="53"/>
        <item x="27"/>
        <item x="80"/>
        <item x="78"/>
        <item x="48"/>
        <item x="98"/>
        <item x="42"/>
        <item x="30"/>
        <item x="47"/>
        <item x="41"/>
        <item x="24"/>
        <item x="21"/>
        <item x="22"/>
        <item x="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4">
        <item x="134"/>
        <item x="34"/>
        <item x="132"/>
        <item x="35"/>
        <item x="138"/>
        <item x="36"/>
        <item x="51"/>
        <item x="113"/>
        <item x="52"/>
        <item x="92"/>
        <item x="93"/>
        <item x="43"/>
        <item x="101"/>
        <item x="45"/>
        <item x="103"/>
        <item x="112"/>
        <item x="29"/>
        <item x="96"/>
        <item x="16"/>
        <item x="4"/>
        <item x="142"/>
        <item x="2"/>
        <item x="33"/>
        <item x="133"/>
        <item x="106"/>
        <item x="64"/>
        <item x="109"/>
        <item x="70"/>
        <item x="76"/>
        <item x="5"/>
        <item x="140"/>
        <item x="63"/>
        <item x="86"/>
        <item x="31"/>
        <item x="110"/>
        <item x="26"/>
        <item x="7"/>
        <item x="17"/>
        <item x="13"/>
        <item x="90"/>
        <item x="95"/>
        <item x="89"/>
        <item x="128"/>
        <item x="85"/>
        <item x="67"/>
        <item x="119"/>
        <item x="115"/>
        <item x="82"/>
        <item x="65"/>
        <item x="66"/>
        <item x="135"/>
        <item x="136"/>
        <item x="59"/>
        <item x="18"/>
        <item x="104"/>
        <item x="19"/>
        <item x="20"/>
        <item x="116"/>
        <item x="102"/>
        <item x="130"/>
        <item x="137"/>
        <item x="81"/>
        <item x="79"/>
        <item x="117"/>
        <item x="129"/>
        <item x="143"/>
        <item x="10"/>
        <item x="0"/>
        <item x="23"/>
        <item x="88"/>
        <item x="107"/>
        <item x="39"/>
        <item x="44"/>
        <item x="28"/>
        <item x="40"/>
        <item x="14"/>
        <item x="37"/>
        <item x="15"/>
        <item x="114"/>
        <item x="105"/>
        <item x="131"/>
        <item x="38"/>
        <item x="50"/>
        <item x="73"/>
        <item x="11"/>
        <item x="8"/>
        <item x="72"/>
        <item x="12"/>
        <item x="83"/>
        <item x="84"/>
        <item x="87"/>
        <item x="74"/>
        <item x="61"/>
        <item x="69"/>
        <item x="6"/>
        <item x="75"/>
        <item x="121"/>
        <item x="126"/>
        <item x="124"/>
        <item x="123"/>
        <item x="120"/>
        <item x="125"/>
        <item x="77"/>
        <item x="94"/>
        <item x="127"/>
        <item x="99"/>
        <item x="100"/>
        <item x="32"/>
        <item x="139"/>
        <item x="56"/>
        <item x="62"/>
        <item x="68"/>
        <item x="108"/>
        <item x="55"/>
        <item x="91"/>
        <item x="141"/>
        <item x="1"/>
        <item x="111"/>
        <item x="97"/>
        <item x="57"/>
        <item x="9"/>
        <item x="58"/>
        <item x="71"/>
        <item x="118"/>
        <item x="60"/>
        <item x="122"/>
        <item x="46"/>
        <item x="49"/>
        <item x="54"/>
        <item x="80"/>
        <item x="25"/>
        <item x="53"/>
        <item x="27"/>
        <item x="78"/>
        <item x="48"/>
        <item x="98"/>
        <item x="42"/>
        <item x="30"/>
        <item x="47"/>
        <item x="41"/>
        <item x="24"/>
        <item x="21"/>
        <item x="22"/>
        <item x="3"/>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8"/>
    <field x="5"/>
  </rowFields>
  <rowItems count="133">
    <i>
      <x/>
      <x v="37"/>
      <x v="84"/>
    </i>
    <i r="1">
      <x v="38"/>
      <x v="31"/>
    </i>
    <i r="1">
      <x v="39"/>
      <x v="1"/>
    </i>
    <i r="1">
      <x v="40"/>
      <x v="17"/>
    </i>
    <i r="1">
      <x v="41"/>
      <x v="106"/>
    </i>
    <i r="1">
      <x v="42"/>
      <x v="66"/>
    </i>
    <i r="1">
      <x v="43"/>
      <x v="94"/>
    </i>
    <i r="1">
      <x v="93"/>
      <x v="77"/>
    </i>
    <i r="1">
      <x v="111"/>
      <x v="112"/>
    </i>
    <i r="1">
      <x v="114"/>
      <x v="115"/>
    </i>
    <i>
      <x v="1"/>
      <x v="36"/>
      <x v="6"/>
    </i>
    <i r="1">
      <x v="94"/>
      <x v="29"/>
    </i>
    <i r="1">
      <x v="116"/>
      <x v="118"/>
    </i>
    <i r="1">
      <x v="140"/>
      <x v="142"/>
    </i>
    <i r="1">
      <x v="143"/>
      <x v="145"/>
    </i>
    <i>
      <x v="2"/>
      <x/>
      <x v="103"/>
    </i>
    <i r="2">
      <x v="117"/>
    </i>
    <i r="1">
      <x v="62"/>
      <x v="54"/>
    </i>
    <i r="1">
      <x v="64"/>
      <x v="67"/>
    </i>
    <i r="1">
      <x v="65"/>
      <x v="107"/>
    </i>
    <i r="1">
      <x v="66"/>
      <x v="5"/>
    </i>
    <i r="1">
      <x v="83"/>
      <x v="3"/>
    </i>
    <i r="1">
      <x v="84"/>
      <x v="7"/>
    </i>
    <i r="1">
      <x v="85"/>
      <x v="2"/>
    </i>
    <i r="1">
      <x v="86"/>
      <x/>
    </i>
    <i r="1">
      <x v="87"/>
      <x v="30"/>
    </i>
    <i r="1">
      <x v="88"/>
      <x v="83"/>
    </i>
    <i r="1">
      <x v="89"/>
      <x v="86"/>
    </i>
    <i r="1">
      <x v="90"/>
      <x v="102"/>
    </i>
    <i r="1">
      <x v="91"/>
      <x v="14"/>
    </i>
    <i r="1">
      <x v="92"/>
      <x v="63"/>
    </i>
    <i r="1">
      <x v="120"/>
      <x v="122"/>
    </i>
    <i r="1">
      <x v="121"/>
      <x v="123"/>
    </i>
    <i r="1">
      <x v="135"/>
      <x v="137"/>
    </i>
    <i r="1">
      <x v="136"/>
      <x v="138"/>
    </i>
    <i>
      <x v="3"/>
      <x v="101"/>
      <x v="61"/>
    </i>
    <i r="1">
      <x v="105"/>
      <x v="21"/>
    </i>
    <i r="1">
      <x v="106"/>
      <x v="22"/>
    </i>
    <i r="1">
      <x v="118"/>
      <x v="120"/>
    </i>
    <i r="1">
      <x v="123"/>
      <x v="125"/>
    </i>
    <i r="1">
      <x v="128"/>
      <x v="130"/>
    </i>
    <i r="1">
      <x v="129"/>
      <x v="134"/>
    </i>
    <i r="1">
      <x v="141"/>
      <x v="143"/>
    </i>
    <i>
      <x v="4"/>
      <x v="49"/>
      <x v="50"/>
    </i>
    <i r="1">
      <x v="75"/>
      <x v="26"/>
    </i>
    <i r="1">
      <x v="77"/>
      <x v="46"/>
    </i>
    <i r="1">
      <x v="78"/>
      <x v="45"/>
    </i>
    <i r="1">
      <x v="107"/>
      <x v="108"/>
    </i>
    <i r="1">
      <x v="109"/>
      <x v="110"/>
    </i>
    <i r="1">
      <x v="117"/>
      <x v="119"/>
    </i>
    <i>
      <x v="5"/>
      <x v="102"/>
      <x v="48"/>
    </i>
    <i r="1">
      <x v="103"/>
      <x v="15"/>
    </i>
    <i r="1">
      <x v="133"/>
      <x v="135"/>
    </i>
    <i>
      <x v="6"/>
      <x v="57"/>
      <x v="49"/>
    </i>
    <i r="1">
      <x v="58"/>
      <x v="24"/>
    </i>
    <i r="1">
      <x v="59"/>
      <x v="68"/>
    </i>
    <i r="1">
      <x v="139"/>
      <x v="141"/>
    </i>
    <i>
      <x v="7"/>
      <x v="60"/>
      <x v="93"/>
    </i>
    <i r="1">
      <x v="80"/>
      <x v="69"/>
    </i>
    <i>
      <x v="8"/>
      <x v="44"/>
      <x v="55"/>
    </i>
    <i r="1">
      <x v="48"/>
      <x v="43"/>
    </i>
    <i r="1">
      <x v="52"/>
      <x v="33"/>
    </i>
    <i r="1">
      <x v="53"/>
      <x v="34"/>
    </i>
    <i r="1">
      <x v="54"/>
      <x v="32"/>
    </i>
    <i r="1">
      <x v="55"/>
      <x v="74"/>
    </i>
    <i r="1">
      <x v="56"/>
      <x v="87"/>
    </i>
    <i r="1">
      <x v="71"/>
      <x v="20"/>
    </i>
    <i r="1">
      <x v="72"/>
      <x v="16"/>
    </i>
    <i r="1">
      <x v="73"/>
      <x v="11"/>
    </i>
    <i r="1">
      <x v="74"/>
      <x v="76"/>
    </i>
    <i r="1">
      <x v="76"/>
      <x v="71"/>
    </i>
    <i r="1">
      <x v="112"/>
      <x v="113"/>
    </i>
    <i>
      <x v="9"/>
      <x v="100"/>
      <x v="57"/>
    </i>
    <i r="1">
      <x v="124"/>
      <x v="126"/>
    </i>
    <i r="1">
      <x v="125"/>
      <x v="127"/>
    </i>
    <i>
      <x v="10"/>
      <x/>
      <x v="85"/>
    </i>
    <i r="2">
      <x v="117"/>
    </i>
    <i r="1">
      <x v="1"/>
      <x v="95"/>
    </i>
    <i r="1">
      <x v="2"/>
      <x v="73"/>
    </i>
    <i r="1">
      <x v="3"/>
      <x v="97"/>
    </i>
    <i r="1">
      <x v="4"/>
      <x v="96"/>
    </i>
    <i r="1">
      <x v="5"/>
      <x v="98"/>
    </i>
    <i r="1">
      <x v="6"/>
      <x v="88"/>
    </i>
    <i r="1">
      <x v="7"/>
      <x v="44"/>
    </i>
    <i r="1">
      <x v="8"/>
      <x v="92"/>
    </i>
    <i r="1">
      <x v="9"/>
      <x v="9"/>
    </i>
    <i r="1">
      <x v="10"/>
      <x v="10"/>
    </i>
    <i r="1">
      <x v="11"/>
      <x v="8"/>
    </i>
    <i r="1">
      <x v="12"/>
      <x v="23"/>
    </i>
    <i r="1">
      <x v="13"/>
      <x v="28"/>
    </i>
    <i r="1">
      <x v="14"/>
      <x v="27"/>
    </i>
    <i r="1">
      <x v="15"/>
      <x v="42"/>
    </i>
    <i r="1">
      <x v="16"/>
      <x v="18"/>
    </i>
    <i r="1">
      <x v="17"/>
      <x v="19"/>
    </i>
    <i r="1">
      <x v="18"/>
      <x v="52"/>
    </i>
    <i r="1">
      <x v="19"/>
      <x v="53"/>
    </i>
    <i r="1">
      <x v="20"/>
      <x v="105"/>
    </i>
    <i r="1">
      <x v="21"/>
      <x v="65"/>
    </i>
    <i r="1">
      <x v="82"/>
      <x v="75"/>
    </i>
    <i r="1">
      <x v="131"/>
      <x v="132"/>
    </i>
    <i>
      <x v="11"/>
      <x v="98"/>
      <x v="60"/>
    </i>
    <i r="1">
      <x v="99"/>
      <x v="59"/>
    </i>
    <i r="1">
      <x v="126"/>
      <x v="128"/>
    </i>
    <i r="1">
      <x v="127"/>
      <x v="129"/>
    </i>
    <i r="1">
      <x v="142"/>
      <x v="144"/>
    </i>
    <i>
      <x v="12"/>
      <x v="104"/>
      <x v="64"/>
    </i>
    <i>
      <x v="13"/>
      <x v="50"/>
      <x v="90"/>
    </i>
    <i r="1">
      <x v="51"/>
      <x v="91"/>
    </i>
    <i>
      <x v="14"/>
      <x v="22"/>
      <x v="80"/>
    </i>
    <i r="1">
      <x v="23"/>
      <x v="82"/>
    </i>
    <i r="1">
      <x v="24"/>
      <x v="36"/>
    </i>
    <i r="1">
      <x v="25"/>
      <x v="12"/>
    </i>
    <i r="1">
      <x v="26"/>
      <x v="39"/>
    </i>
    <i r="1">
      <x v="27"/>
      <x v="81"/>
    </i>
    <i r="1">
      <x v="28"/>
      <x v="38"/>
    </i>
    <i r="1">
      <x v="29"/>
      <x v="79"/>
    </i>
    <i r="1">
      <x v="31"/>
      <x v="99"/>
    </i>
    <i r="1">
      <x v="32"/>
      <x v="100"/>
    </i>
    <i r="1">
      <x v="33"/>
      <x v="41"/>
    </i>
    <i r="1">
      <x v="34"/>
      <x v="40"/>
    </i>
    <i r="1">
      <x v="35"/>
      <x v="89"/>
    </i>
    <i r="1">
      <x v="67"/>
      <x v="4"/>
    </i>
    <i r="1">
      <x v="68"/>
      <x v="13"/>
    </i>
    <i r="1">
      <x v="69"/>
      <x v="104"/>
    </i>
    <i r="1">
      <x v="70"/>
      <x v="37"/>
    </i>
    <i r="1">
      <x v="81"/>
      <x v="78"/>
    </i>
    <i r="1">
      <x v="110"/>
      <x v="111"/>
    </i>
    <i r="1">
      <x v="130"/>
      <x v="131"/>
    </i>
    <i r="1">
      <x v="132"/>
      <x v="133"/>
    </i>
    <i>
      <x v="15"/>
      <x/>
      <x v="117"/>
    </i>
    <i r="1">
      <x v="137"/>
      <x v="139"/>
    </i>
    <i>
      <x v="16"/>
      <x v="134"/>
      <x v="136"/>
    </i>
    <i t="grand">
      <x/>
    </i>
  </rowItems>
  <colItems count="1">
    <i/>
  </colItems>
  <pageFields count="1">
    <pageField fld="19" hier="-1"/>
  </pageFields>
  <dataFields count="1">
    <dataField name="Sum of Coverage" fld="20" baseField="0" baseItem="2420248" numFmtId="9"/>
  </dataFields>
  <formats count="313">
    <format dxfId="1337">
      <pivotArea outline="0" collapsedLevelsAreSubtotals="1" fieldPosition="0"/>
    </format>
    <format dxfId="1336">
      <pivotArea dataOnly="0" labelOnly="1" outline="0" axis="axisValues" fieldPosition="0"/>
    </format>
    <format dxfId="1335">
      <pivotArea field="19" type="button" dataOnly="0" labelOnly="1" outline="0" axis="axisPage" fieldPosition="0"/>
    </format>
    <format dxfId="1334">
      <pivotArea dataOnly="0" labelOnly="1" outline="0" fieldPosition="0">
        <references count="1">
          <reference field="19" count="0"/>
        </references>
      </pivotArea>
    </format>
    <format dxfId="1333">
      <pivotArea outline="0" collapsedLevelsAreSubtotals="1" fieldPosition="0">
        <references count="3">
          <reference field="4" count="1" selected="0">
            <x v="0"/>
          </reference>
          <reference field="5" count="10" selected="0">
            <x v="1"/>
            <x v="17"/>
            <x v="31"/>
            <x v="66"/>
            <x v="77"/>
            <x v="84"/>
            <x v="94"/>
            <x v="106"/>
            <x v="112"/>
            <x v="115"/>
          </reference>
          <reference field="18" count="10" selected="0">
            <x v="37"/>
            <x v="38"/>
            <x v="39"/>
            <x v="40"/>
            <x v="41"/>
            <x v="42"/>
            <x v="43"/>
            <x v="93"/>
            <x v="111"/>
            <x v="114"/>
          </reference>
        </references>
      </pivotArea>
    </format>
    <format dxfId="1332">
      <pivotArea dataOnly="0" labelOnly="1" outline="0" fieldPosition="0">
        <references count="1">
          <reference field="4" count="1">
            <x v="0"/>
          </reference>
        </references>
      </pivotArea>
    </format>
    <format dxfId="1331">
      <pivotArea dataOnly="0" labelOnly="1" outline="0" fieldPosition="0">
        <references count="2">
          <reference field="4" count="1" selected="0">
            <x v="0"/>
          </reference>
          <reference field="18" count="10">
            <x v="37"/>
            <x v="38"/>
            <x v="39"/>
            <x v="40"/>
            <x v="41"/>
            <x v="42"/>
            <x v="43"/>
            <x v="93"/>
            <x v="111"/>
            <x v="114"/>
          </reference>
        </references>
      </pivotArea>
    </format>
    <format dxfId="1330">
      <pivotArea dataOnly="0" labelOnly="1" outline="0" fieldPosition="0">
        <references count="3">
          <reference field="4" count="1" selected="0">
            <x v="0"/>
          </reference>
          <reference field="5" count="1">
            <x v="84"/>
          </reference>
          <reference field="18" count="1" selected="0">
            <x v="37"/>
          </reference>
        </references>
      </pivotArea>
    </format>
    <format dxfId="1329">
      <pivotArea dataOnly="0" labelOnly="1" outline="0" fieldPosition="0">
        <references count="3">
          <reference field="4" count="1" selected="0">
            <x v="0"/>
          </reference>
          <reference field="5" count="1">
            <x v="31"/>
          </reference>
          <reference field="18" count="1" selected="0">
            <x v="38"/>
          </reference>
        </references>
      </pivotArea>
    </format>
    <format dxfId="1328">
      <pivotArea dataOnly="0" labelOnly="1" outline="0" fieldPosition="0">
        <references count="3">
          <reference field="4" count="1" selected="0">
            <x v="0"/>
          </reference>
          <reference field="5" count="1">
            <x v="1"/>
          </reference>
          <reference field="18" count="1" selected="0">
            <x v="39"/>
          </reference>
        </references>
      </pivotArea>
    </format>
    <format dxfId="1327">
      <pivotArea dataOnly="0" labelOnly="1" outline="0" fieldPosition="0">
        <references count="3">
          <reference field="4" count="1" selected="0">
            <x v="0"/>
          </reference>
          <reference field="5" count="1">
            <x v="17"/>
          </reference>
          <reference field="18" count="1" selected="0">
            <x v="40"/>
          </reference>
        </references>
      </pivotArea>
    </format>
    <format dxfId="1326">
      <pivotArea dataOnly="0" labelOnly="1" outline="0" fieldPosition="0">
        <references count="3">
          <reference field="4" count="1" selected="0">
            <x v="0"/>
          </reference>
          <reference field="5" count="1">
            <x v="106"/>
          </reference>
          <reference field="18" count="1" selected="0">
            <x v="41"/>
          </reference>
        </references>
      </pivotArea>
    </format>
    <format dxfId="1325">
      <pivotArea dataOnly="0" labelOnly="1" outline="0" fieldPosition="0">
        <references count="3">
          <reference field="4" count="1" selected="0">
            <x v="0"/>
          </reference>
          <reference field="5" count="1">
            <x v="66"/>
          </reference>
          <reference field="18" count="1" selected="0">
            <x v="42"/>
          </reference>
        </references>
      </pivotArea>
    </format>
    <format dxfId="1324">
      <pivotArea dataOnly="0" labelOnly="1" outline="0" fieldPosition="0">
        <references count="3">
          <reference field="4" count="1" selected="0">
            <x v="0"/>
          </reference>
          <reference field="5" count="1">
            <x v="94"/>
          </reference>
          <reference field="18" count="1" selected="0">
            <x v="43"/>
          </reference>
        </references>
      </pivotArea>
    </format>
    <format dxfId="1323">
      <pivotArea dataOnly="0" labelOnly="1" outline="0" fieldPosition="0">
        <references count="3">
          <reference field="4" count="1" selected="0">
            <x v="0"/>
          </reference>
          <reference field="5" count="1">
            <x v="77"/>
          </reference>
          <reference field="18" count="1" selected="0">
            <x v="93"/>
          </reference>
        </references>
      </pivotArea>
    </format>
    <format dxfId="1322">
      <pivotArea dataOnly="0" labelOnly="1" outline="0" fieldPosition="0">
        <references count="3">
          <reference field="4" count="1" selected="0">
            <x v="0"/>
          </reference>
          <reference field="5" count="1">
            <x v="112"/>
          </reference>
          <reference field="18" count="1" selected="0">
            <x v="111"/>
          </reference>
        </references>
      </pivotArea>
    </format>
    <format dxfId="1321">
      <pivotArea dataOnly="0" labelOnly="1" outline="0" fieldPosition="0">
        <references count="3">
          <reference field="4" count="1" selected="0">
            <x v="0"/>
          </reference>
          <reference field="5" count="1">
            <x v="115"/>
          </reference>
          <reference field="18" count="1" selected="0">
            <x v="114"/>
          </reference>
        </references>
      </pivotArea>
    </format>
    <format dxfId="1320">
      <pivotArea outline="0" collapsedLevelsAreSubtotals="1" fieldPosition="0">
        <references count="3">
          <reference field="4" count="1" selected="0">
            <x v="1"/>
          </reference>
          <reference field="5" count="3" selected="0">
            <x v="6"/>
            <x v="29"/>
            <x v="118"/>
          </reference>
          <reference field="18" count="3" selected="0">
            <x v="36"/>
            <x v="94"/>
            <x v="116"/>
          </reference>
        </references>
      </pivotArea>
    </format>
    <format dxfId="1319">
      <pivotArea dataOnly="0" labelOnly="1" outline="0" fieldPosition="0">
        <references count="1">
          <reference field="4" count="1">
            <x v="1"/>
          </reference>
        </references>
      </pivotArea>
    </format>
    <format dxfId="1318">
      <pivotArea dataOnly="0" labelOnly="1" outline="0" fieldPosition="0">
        <references count="2">
          <reference field="4" count="1" selected="0">
            <x v="1"/>
          </reference>
          <reference field="18" count="3">
            <x v="36"/>
            <x v="94"/>
            <x v="116"/>
          </reference>
        </references>
      </pivotArea>
    </format>
    <format dxfId="1317">
      <pivotArea dataOnly="0" labelOnly="1" outline="0" fieldPosition="0">
        <references count="3">
          <reference field="4" count="1" selected="0">
            <x v="1"/>
          </reference>
          <reference field="5" count="1">
            <x v="6"/>
          </reference>
          <reference field="18" count="1" selected="0">
            <x v="36"/>
          </reference>
        </references>
      </pivotArea>
    </format>
    <format dxfId="1316">
      <pivotArea dataOnly="0" labelOnly="1" outline="0" fieldPosition="0">
        <references count="3">
          <reference field="4" count="1" selected="0">
            <x v="1"/>
          </reference>
          <reference field="5" count="1">
            <x v="29"/>
          </reference>
          <reference field="18" count="1" selected="0">
            <x v="94"/>
          </reference>
        </references>
      </pivotArea>
    </format>
    <format dxfId="1315">
      <pivotArea dataOnly="0" labelOnly="1" outline="0" fieldPosition="0">
        <references count="3">
          <reference field="4" count="1" selected="0">
            <x v="1"/>
          </reference>
          <reference field="5" count="1">
            <x v="118"/>
          </reference>
          <reference field="18" count="1" selected="0">
            <x v="116"/>
          </reference>
        </references>
      </pivotArea>
    </format>
    <format dxfId="1314">
      <pivotArea outline="0" collapsedLevelsAreSubtotals="1" fieldPosition="0">
        <references count="3">
          <reference field="4" count="1" selected="0">
            <x v="2"/>
          </reference>
          <reference field="5" count="19" selected="0">
            <x v="0"/>
            <x v="2"/>
            <x v="3"/>
            <x v="5"/>
            <x v="7"/>
            <x v="14"/>
            <x v="30"/>
            <x v="54"/>
            <x v="63"/>
            <x v="67"/>
            <x v="83"/>
            <x v="86"/>
            <x v="102"/>
            <x v="103"/>
            <x v="107"/>
            <x v="114"/>
            <x v="117"/>
            <x v="122"/>
            <x v="123"/>
          </reference>
          <reference field="18" count="18" selected="0">
            <x v="0"/>
            <x v="62"/>
            <x v="64"/>
            <x v="65"/>
            <x v="66"/>
            <x v="83"/>
            <x v="84"/>
            <x v="85"/>
            <x v="86"/>
            <x v="87"/>
            <x v="88"/>
            <x v="89"/>
            <x v="90"/>
            <x v="91"/>
            <x v="92"/>
            <x v="113"/>
            <x v="120"/>
            <x v="121"/>
          </reference>
        </references>
      </pivotArea>
    </format>
    <format dxfId="1313">
      <pivotArea dataOnly="0" labelOnly="1" outline="0" fieldPosition="0">
        <references count="1">
          <reference field="4" count="1">
            <x v="2"/>
          </reference>
        </references>
      </pivotArea>
    </format>
    <format dxfId="1312">
      <pivotArea dataOnly="0" labelOnly="1" outline="0" fieldPosition="0">
        <references count="2">
          <reference field="4" count="1" selected="0">
            <x v="2"/>
          </reference>
          <reference field="18" count="18">
            <x v="0"/>
            <x v="62"/>
            <x v="64"/>
            <x v="65"/>
            <x v="66"/>
            <x v="83"/>
            <x v="84"/>
            <x v="85"/>
            <x v="86"/>
            <x v="87"/>
            <x v="88"/>
            <x v="89"/>
            <x v="90"/>
            <x v="91"/>
            <x v="92"/>
            <x v="113"/>
            <x v="120"/>
            <x v="121"/>
          </reference>
        </references>
      </pivotArea>
    </format>
    <format dxfId="1311">
      <pivotArea dataOnly="0" labelOnly="1" outline="0" fieldPosition="0">
        <references count="3">
          <reference field="4" count="1" selected="0">
            <x v="2"/>
          </reference>
          <reference field="5" count="2">
            <x v="103"/>
            <x v="117"/>
          </reference>
          <reference field="18" count="1" selected="0">
            <x v="0"/>
          </reference>
        </references>
      </pivotArea>
    </format>
    <format dxfId="1310">
      <pivotArea dataOnly="0" labelOnly="1" outline="0" fieldPosition="0">
        <references count="3">
          <reference field="4" count="1" selected="0">
            <x v="2"/>
          </reference>
          <reference field="5" count="1">
            <x v="54"/>
          </reference>
          <reference field="18" count="1" selected="0">
            <x v="62"/>
          </reference>
        </references>
      </pivotArea>
    </format>
    <format dxfId="1309">
      <pivotArea dataOnly="0" labelOnly="1" outline="0" fieldPosition="0">
        <references count="3">
          <reference field="4" count="1" selected="0">
            <x v="2"/>
          </reference>
          <reference field="5" count="1">
            <x v="67"/>
          </reference>
          <reference field="18" count="1" selected="0">
            <x v="64"/>
          </reference>
        </references>
      </pivotArea>
    </format>
    <format dxfId="1308">
      <pivotArea dataOnly="0" labelOnly="1" outline="0" fieldPosition="0">
        <references count="3">
          <reference field="4" count="1" selected="0">
            <x v="2"/>
          </reference>
          <reference field="5" count="1">
            <x v="107"/>
          </reference>
          <reference field="18" count="1" selected="0">
            <x v="65"/>
          </reference>
        </references>
      </pivotArea>
    </format>
    <format dxfId="1307">
      <pivotArea dataOnly="0" labelOnly="1" outline="0" fieldPosition="0">
        <references count="3">
          <reference field="4" count="1" selected="0">
            <x v="2"/>
          </reference>
          <reference field="5" count="1">
            <x v="5"/>
          </reference>
          <reference field="18" count="1" selected="0">
            <x v="66"/>
          </reference>
        </references>
      </pivotArea>
    </format>
    <format dxfId="1306">
      <pivotArea dataOnly="0" labelOnly="1" outline="0" fieldPosition="0">
        <references count="3">
          <reference field="4" count="1" selected="0">
            <x v="2"/>
          </reference>
          <reference field="5" count="1">
            <x v="3"/>
          </reference>
          <reference field="18" count="1" selected="0">
            <x v="83"/>
          </reference>
        </references>
      </pivotArea>
    </format>
    <format dxfId="1305">
      <pivotArea dataOnly="0" labelOnly="1" outline="0" fieldPosition="0">
        <references count="3">
          <reference field="4" count="1" selected="0">
            <x v="2"/>
          </reference>
          <reference field="5" count="1">
            <x v="7"/>
          </reference>
          <reference field="18" count="1" selected="0">
            <x v="84"/>
          </reference>
        </references>
      </pivotArea>
    </format>
    <format dxfId="1304">
      <pivotArea dataOnly="0" labelOnly="1" outline="0" fieldPosition="0">
        <references count="3">
          <reference field="4" count="1" selected="0">
            <x v="2"/>
          </reference>
          <reference field="5" count="1">
            <x v="2"/>
          </reference>
          <reference field="18" count="1" selected="0">
            <x v="85"/>
          </reference>
        </references>
      </pivotArea>
    </format>
    <format dxfId="1303">
      <pivotArea dataOnly="0" labelOnly="1" outline="0" fieldPosition="0">
        <references count="3">
          <reference field="4" count="1" selected="0">
            <x v="2"/>
          </reference>
          <reference field="5" count="1">
            <x v="0"/>
          </reference>
          <reference field="18" count="1" selected="0">
            <x v="86"/>
          </reference>
        </references>
      </pivotArea>
    </format>
    <format dxfId="1302">
      <pivotArea dataOnly="0" labelOnly="1" outline="0" fieldPosition="0">
        <references count="3">
          <reference field="4" count="1" selected="0">
            <x v="2"/>
          </reference>
          <reference field="5" count="1">
            <x v="30"/>
          </reference>
          <reference field="18" count="1" selected="0">
            <x v="87"/>
          </reference>
        </references>
      </pivotArea>
    </format>
    <format dxfId="1301">
      <pivotArea dataOnly="0" labelOnly="1" outline="0" fieldPosition="0">
        <references count="3">
          <reference field="4" count="1" selected="0">
            <x v="2"/>
          </reference>
          <reference field="5" count="1">
            <x v="83"/>
          </reference>
          <reference field="18" count="1" selected="0">
            <x v="88"/>
          </reference>
        </references>
      </pivotArea>
    </format>
    <format dxfId="1300">
      <pivotArea dataOnly="0" labelOnly="1" outline="0" fieldPosition="0">
        <references count="3">
          <reference field="4" count="1" selected="0">
            <x v="2"/>
          </reference>
          <reference field="5" count="1">
            <x v="86"/>
          </reference>
          <reference field="18" count="1" selected="0">
            <x v="89"/>
          </reference>
        </references>
      </pivotArea>
    </format>
    <format dxfId="1299">
      <pivotArea dataOnly="0" labelOnly="1" outline="0" fieldPosition="0">
        <references count="3">
          <reference field="4" count="1" selected="0">
            <x v="2"/>
          </reference>
          <reference field="5" count="1">
            <x v="102"/>
          </reference>
          <reference field="18" count="1" selected="0">
            <x v="90"/>
          </reference>
        </references>
      </pivotArea>
    </format>
    <format dxfId="1298">
      <pivotArea dataOnly="0" labelOnly="1" outline="0" fieldPosition="0">
        <references count="3">
          <reference field="4" count="1" selected="0">
            <x v="2"/>
          </reference>
          <reference field="5" count="1">
            <x v="14"/>
          </reference>
          <reference field="18" count="1" selected="0">
            <x v="91"/>
          </reference>
        </references>
      </pivotArea>
    </format>
    <format dxfId="1297">
      <pivotArea dataOnly="0" labelOnly="1" outline="0" fieldPosition="0">
        <references count="3">
          <reference field="4" count="1" selected="0">
            <x v="2"/>
          </reference>
          <reference field="5" count="1">
            <x v="63"/>
          </reference>
          <reference field="18" count="1" selected="0">
            <x v="92"/>
          </reference>
        </references>
      </pivotArea>
    </format>
    <format dxfId="1296">
      <pivotArea dataOnly="0" labelOnly="1" outline="0" fieldPosition="0">
        <references count="3">
          <reference field="4" count="1" selected="0">
            <x v="2"/>
          </reference>
          <reference field="5" count="1">
            <x v="114"/>
          </reference>
          <reference field="18" count="1" selected="0">
            <x v="113"/>
          </reference>
        </references>
      </pivotArea>
    </format>
    <format dxfId="1295">
      <pivotArea dataOnly="0" labelOnly="1" outline="0" fieldPosition="0">
        <references count="3">
          <reference field="4" count="1" selected="0">
            <x v="2"/>
          </reference>
          <reference field="5" count="1">
            <x v="122"/>
          </reference>
          <reference field="18" count="1" selected="0">
            <x v="120"/>
          </reference>
        </references>
      </pivotArea>
    </format>
    <format dxfId="1294">
      <pivotArea dataOnly="0" labelOnly="1" outline="0" fieldPosition="0">
        <references count="3">
          <reference field="4" count="1" selected="0">
            <x v="2"/>
          </reference>
          <reference field="5" count="1">
            <x v="123"/>
          </reference>
          <reference field="18" count="1" selected="0">
            <x v="121"/>
          </reference>
        </references>
      </pivotArea>
    </format>
    <format dxfId="1293">
      <pivotArea outline="0" collapsedLevelsAreSubtotals="1" fieldPosition="0">
        <references count="3">
          <reference field="4" count="1" selected="0">
            <x v="3"/>
          </reference>
          <reference field="5" count="7" selected="0">
            <x v="21"/>
            <x v="22"/>
            <x v="61"/>
            <x v="120"/>
            <x v="125"/>
            <x v="130"/>
            <x v="134"/>
          </reference>
          <reference field="18" count="7" selected="0">
            <x v="101"/>
            <x v="105"/>
            <x v="106"/>
            <x v="118"/>
            <x v="123"/>
            <x v="128"/>
            <x v="129"/>
          </reference>
        </references>
      </pivotArea>
    </format>
    <format dxfId="1292">
      <pivotArea dataOnly="0" labelOnly="1" outline="0" fieldPosition="0">
        <references count="1">
          <reference field="4" count="1">
            <x v="3"/>
          </reference>
        </references>
      </pivotArea>
    </format>
    <format dxfId="1291">
      <pivotArea dataOnly="0" labelOnly="1" outline="0" fieldPosition="0">
        <references count="2">
          <reference field="4" count="1" selected="0">
            <x v="3"/>
          </reference>
          <reference field="18" count="7">
            <x v="101"/>
            <x v="105"/>
            <x v="106"/>
            <x v="118"/>
            <x v="123"/>
            <x v="128"/>
            <x v="129"/>
          </reference>
        </references>
      </pivotArea>
    </format>
    <format dxfId="1290">
      <pivotArea dataOnly="0" labelOnly="1" outline="0" fieldPosition="0">
        <references count="3">
          <reference field="4" count="1" selected="0">
            <x v="3"/>
          </reference>
          <reference field="5" count="1">
            <x v="61"/>
          </reference>
          <reference field="18" count="1" selected="0">
            <x v="101"/>
          </reference>
        </references>
      </pivotArea>
    </format>
    <format dxfId="1289">
      <pivotArea dataOnly="0" labelOnly="1" outline="0" fieldPosition="0">
        <references count="3">
          <reference field="4" count="1" selected="0">
            <x v="3"/>
          </reference>
          <reference field="5" count="1">
            <x v="21"/>
          </reference>
          <reference field="18" count="1" selected="0">
            <x v="105"/>
          </reference>
        </references>
      </pivotArea>
    </format>
    <format dxfId="1288">
      <pivotArea dataOnly="0" labelOnly="1" outline="0" fieldPosition="0">
        <references count="3">
          <reference field="4" count="1" selected="0">
            <x v="3"/>
          </reference>
          <reference field="5" count="1">
            <x v="22"/>
          </reference>
          <reference field="18" count="1" selected="0">
            <x v="106"/>
          </reference>
        </references>
      </pivotArea>
    </format>
    <format dxfId="1287">
      <pivotArea dataOnly="0" labelOnly="1" outline="0" fieldPosition="0">
        <references count="3">
          <reference field="4" count="1" selected="0">
            <x v="3"/>
          </reference>
          <reference field="5" count="1">
            <x v="120"/>
          </reference>
          <reference field="18" count="1" selected="0">
            <x v="118"/>
          </reference>
        </references>
      </pivotArea>
    </format>
    <format dxfId="1286">
      <pivotArea dataOnly="0" labelOnly="1" outline="0" fieldPosition="0">
        <references count="3">
          <reference field="4" count="1" selected="0">
            <x v="3"/>
          </reference>
          <reference field="5" count="1">
            <x v="125"/>
          </reference>
          <reference field="18" count="1" selected="0">
            <x v="123"/>
          </reference>
        </references>
      </pivotArea>
    </format>
    <format dxfId="1285">
      <pivotArea dataOnly="0" labelOnly="1" outline="0" fieldPosition="0">
        <references count="3">
          <reference field="4" count="1" selected="0">
            <x v="3"/>
          </reference>
          <reference field="5" count="1">
            <x v="130"/>
          </reference>
          <reference field="18" count="1" selected="0">
            <x v="128"/>
          </reference>
        </references>
      </pivotArea>
    </format>
    <format dxfId="1284">
      <pivotArea dataOnly="0" labelOnly="1" outline="0" fieldPosition="0">
        <references count="3">
          <reference field="4" count="1" selected="0">
            <x v="3"/>
          </reference>
          <reference field="5" count="1">
            <x v="134"/>
          </reference>
          <reference field="18" count="1" selected="0">
            <x v="129"/>
          </reference>
        </references>
      </pivotArea>
    </format>
    <format dxfId="1283">
      <pivotArea outline="0" collapsedLevelsAreSubtotals="1" fieldPosition="0">
        <references count="3">
          <reference field="4" count="1" selected="0">
            <x v="4"/>
          </reference>
          <reference field="5" count="9" selected="0">
            <x v="26"/>
            <x v="35"/>
            <x v="45"/>
            <x v="46"/>
            <x v="50"/>
            <x v="108"/>
            <x v="110"/>
            <x v="119"/>
            <x v="121"/>
          </reference>
          <reference field="18" count="9" selected="0">
            <x v="49"/>
            <x v="75"/>
            <x v="77"/>
            <x v="78"/>
            <x v="79"/>
            <x v="107"/>
            <x v="109"/>
            <x v="117"/>
            <x v="119"/>
          </reference>
        </references>
      </pivotArea>
    </format>
    <format dxfId="1282">
      <pivotArea dataOnly="0" labelOnly="1" outline="0" fieldPosition="0">
        <references count="1">
          <reference field="4" count="1">
            <x v="4"/>
          </reference>
        </references>
      </pivotArea>
    </format>
    <format dxfId="1281">
      <pivotArea dataOnly="0" labelOnly="1" outline="0" fieldPosition="0">
        <references count="2">
          <reference field="4" count="1" selected="0">
            <x v="4"/>
          </reference>
          <reference field="18" count="9">
            <x v="49"/>
            <x v="75"/>
            <x v="77"/>
            <x v="78"/>
            <x v="79"/>
            <x v="107"/>
            <x v="109"/>
            <x v="117"/>
            <x v="119"/>
          </reference>
        </references>
      </pivotArea>
    </format>
    <format dxfId="1280">
      <pivotArea dataOnly="0" labelOnly="1" outline="0" fieldPosition="0">
        <references count="3">
          <reference field="4" count="1" selected="0">
            <x v="4"/>
          </reference>
          <reference field="5" count="1">
            <x v="50"/>
          </reference>
          <reference field="18" count="1" selected="0">
            <x v="49"/>
          </reference>
        </references>
      </pivotArea>
    </format>
    <format dxfId="1279">
      <pivotArea dataOnly="0" labelOnly="1" outline="0" fieldPosition="0">
        <references count="3">
          <reference field="4" count="1" selected="0">
            <x v="4"/>
          </reference>
          <reference field="5" count="1">
            <x v="26"/>
          </reference>
          <reference field="18" count="1" selected="0">
            <x v="75"/>
          </reference>
        </references>
      </pivotArea>
    </format>
    <format dxfId="1278">
      <pivotArea dataOnly="0" labelOnly="1" outline="0" fieldPosition="0">
        <references count="3">
          <reference field="4" count="1" selected="0">
            <x v="4"/>
          </reference>
          <reference field="5" count="1">
            <x v="46"/>
          </reference>
          <reference field="18" count="1" selected="0">
            <x v="77"/>
          </reference>
        </references>
      </pivotArea>
    </format>
    <format dxfId="1277">
      <pivotArea dataOnly="0" labelOnly="1" outline="0" fieldPosition="0">
        <references count="3">
          <reference field="4" count="1" selected="0">
            <x v="4"/>
          </reference>
          <reference field="5" count="1">
            <x v="45"/>
          </reference>
          <reference field="18" count="1" selected="0">
            <x v="78"/>
          </reference>
        </references>
      </pivotArea>
    </format>
    <format dxfId="1276">
      <pivotArea dataOnly="0" labelOnly="1" outline="0" fieldPosition="0">
        <references count="3">
          <reference field="4" count="1" selected="0">
            <x v="4"/>
          </reference>
          <reference field="5" count="1">
            <x v="35"/>
          </reference>
          <reference field="18" count="1" selected="0">
            <x v="79"/>
          </reference>
        </references>
      </pivotArea>
    </format>
    <format dxfId="1275">
      <pivotArea dataOnly="0" labelOnly="1" outline="0" fieldPosition="0">
        <references count="3">
          <reference field="4" count="1" selected="0">
            <x v="4"/>
          </reference>
          <reference field="5" count="1">
            <x v="108"/>
          </reference>
          <reference field="18" count="1" selected="0">
            <x v="107"/>
          </reference>
        </references>
      </pivotArea>
    </format>
    <format dxfId="1274">
      <pivotArea dataOnly="0" labelOnly="1" outline="0" fieldPosition="0">
        <references count="3">
          <reference field="4" count="1" selected="0">
            <x v="4"/>
          </reference>
          <reference field="5" count="1">
            <x v="110"/>
          </reference>
          <reference field="18" count="1" selected="0">
            <x v="109"/>
          </reference>
        </references>
      </pivotArea>
    </format>
    <format dxfId="1273">
      <pivotArea dataOnly="0" labelOnly="1" outline="0" fieldPosition="0">
        <references count="3">
          <reference field="4" count="1" selected="0">
            <x v="4"/>
          </reference>
          <reference field="5" count="1">
            <x v="119"/>
          </reference>
          <reference field="18" count="1" selected="0">
            <x v="117"/>
          </reference>
        </references>
      </pivotArea>
    </format>
    <format dxfId="1272">
      <pivotArea dataOnly="0" labelOnly="1" outline="0" fieldPosition="0">
        <references count="3">
          <reference field="4" count="1" selected="0">
            <x v="4"/>
          </reference>
          <reference field="5" count="1">
            <x v="121"/>
          </reference>
          <reference field="18" count="1" selected="0">
            <x v="119"/>
          </reference>
        </references>
      </pivotArea>
    </format>
    <format dxfId="1271">
      <pivotArea outline="0" collapsedLevelsAreSubtotals="1" fieldPosition="0">
        <references count="3">
          <reference field="4" count="1" selected="0">
            <x v="5"/>
          </reference>
          <reference field="5" count="3" selected="0">
            <x v="15"/>
            <x v="48"/>
            <x v="135"/>
          </reference>
          <reference field="18" count="3" selected="0">
            <x v="102"/>
            <x v="103"/>
            <x v="133"/>
          </reference>
        </references>
      </pivotArea>
    </format>
    <format dxfId="1270">
      <pivotArea dataOnly="0" labelOnly="1" outline="0" fieldPosition="0">
        <references count="1">
          <reference field="4" count="1">
            <x v="5"/>
          </reference>
        </references>
      </pivotArea>
    </format>
    <format dxfId="1269">
      <pivotArea dataOnly="0" labelOnly="1" outline="0" fieldPosition="0">
        <references count="2">
          <reference field="4" count="1" selected="0">
            <x v="5"/>
          </reference>
          <reference field="18" count="3">
            <x v="102"/>
            <x v="103"/>
            <x v="133"/>
          </reference>
        </references>
      </pivotArea>
    </format>
    <format dxfId="1268">
      <pivotArea dataOnly="0" labelOnly="1" outline="0" fieldPosition="0">
        <references count="3">
          <reference field="4" count="1" selected="0">
            <x v="5"/>
          </reference>
          <reference field="5" count="1">
            <x v="48"/>
          </reference>
          <reference field="18" count="1" selected="0">
            <x v="102"/>
          </reference>
        </references>
      </pivotArea>
    </format>
    <format dxfId="1267">
      <pivotArea dataOnly="0" labelOnly="1" outline="0" fieldPosition="0">
        <references count="3">
          <reference field="4" count="1" selected="0">
            <x v="5"/>
          </reference>
          <reference field="5" count="1">
            <x v="15"/>
          </reference>
          <reference field="18" count="1" selected="0">
            <x v="103"/>
          </reference>
        </references>
      </pivotArea>
    </format>
    <format dxfId="1266">
      <pivotArea dataOnly="0" labelOnly="1" outline="0" fieldPosition="0">
        <references count="3">
          <reference field="4" count="1" selected="0">
            <x v="5"/>
          </reference>
          <reference field="5" count="1">
            <x v="135"/>
          </reference>
          <reference field="18" count="1" selected="0">
            <x v="133"/>
          </reference>
        </references>
      </pivotArea>
    </format>
    <format dxfId="1265">
      <pivotArea outline="0" collapsedLevelsAreSubtotals="1" fieldPosition="0">
        <references count="3">
          <reference field="4" count="1" selected="0">
            <x v="6"/>
          </reference>
          <reference field="5" count="3" selected="0">
            <x v="24"/>
            <x v="49"/>
            <x v="68"/>
          </reference>
          <reference field="18" count="3" selected="0">
            <x v="57"/>
            <x v="58"/>
            <x v="59"/>
          </reference>
        </references>
      </pivotArea>
    </format>
    <format dxfId="1264">
      <pivotArea dataOnly="0" labelOnly="1" outline="0" fieldPosition="0">
        <references count="1">
          <reference field="4" count="1">
            <x v="6"/>
          </reference>
        </references>
      </pivotArea>
    </format>
    <format dxfId="1263">
      <pivotArea dataOnly="0" labelOnly="1" outline="0" fieldPosition="0">
        <references count="2">
          <reference field="4" count="1" selected="0">
            <x v="6"/>
          </reference>
          <reference field="18" count="3">
            <x v="57"/>
            <x v="58"/>
            <x v="59"/>
          </reference>
        </references>
      </pivotArea>
    </format>
    <format dxfId="1262">
      <pivotArea dataOnly="0" labelOnly="1" outline="0" fieldPosition="0">
        <references count="3">
          <reference field="4" count="1" selected="0">
            <x v="6"/>
          </reference>
          <reference field="5" count="1">
            <x v="49"/>
          </reference>
          <reference field="18" count="1" selected="0">
            <x v="57"/>
          </reference>
        </references>
      </pivotArea>
    </format>
    <format dxfId="1261">
      <pivotArea dataOnly="0" labelOnly="1" outline="0" fieldPosition="0">
        <references count="3">
          <reference field="4" count="1" selected="0">
            <x v="6"/>
          </reference>
          <reference field="5" count="1">
            <x v="24"/>
          </reference>
          <reference field="18" count="1" selected="0">
            <x v="58"/>
          </reference>
        </references>
      </pivotArea>
    </format>
    <format dxfId="1260">
      <pivotArea dataOnly="0" labelOnly="1" outline="0" fieldPosition="0">
        <references count="3">
          <reference field="4" count="1" selected="0">
            <x v="6"/>
          </reference>
          <reference field="5" count="1">
            <x v="68"/>
          </reference>
          <reference field="18" count="1" selected="0">
            <x v="59"/>
          </reference>
        </references>
      </pivotArea>
    </format>
    <format dxfId="1259">
      <pivotArea outline="0" collapsedLevelsAreSubtotals="1" fieldPosition="0">
        <references count="3">
          <reference field="4" count="1" selected="0">
            <x v="7"/>
          </reference>
          <reference field="5" count="2" selected="0">
            <x v="69"/>
            <x v="93"/>
          </reference>
          <reference field="18" count="2" selected="0">
            <x v="60"/>
            <x v="80"/>
          </reference>
        </references>
      </pivotArea>
    </format>
    <format dxfId="1258">
      <pivotArea dataOnly="0" labelOnly="1" outline="0" fieldPosition="0">
        <references count="1">
          <reference field="4" count="1">
            <x v="7"/>
          </reference>
        </references>
      </pivotArea>
    </format>
    <format dxfId="1257">
      <pivotArea dataOnly="0" labelOnly="1" outline="0" fieldPosition="0">
        <references count="2">
          <reference field="4" count="1" selected="0">
            <x v="7"/>
          </reference>
          <reference field="18" count="2">
            <x v="60"/>
            <x v="80"/>
          </reference>
        </references>
      </pivotArea>
    </format>
    <format dxfId="1256">
      <pivotArea dataOnly="0" labelOnly="1" outline="0" fieldPosition="0">
        <references count="3">
          <reference field="4" count="1" selected="0">
            <x v="7"/>
          </reference>
          <reference field="5" count="1">
            <x v="93"/>
          </reference>
          <reference field="18" count="1" selected="0">
            <x v="60"/>
          </reference>
        </references>
      </pivotArea>
    </format>
    <format dxfId="1255">
      <pivotArea dataOnly="0" labelOnly="1" outline="0" fieldPosition="0">
        <references count="3">
          <reference field="4" count="1" selected="0">
            <x v="7"/>
          </reference>
          <reference field="5" count="1">
            <x v="69"/>
          </reference>
          <reference field="18" count="1" selected="0">
            <x v="80"/>
          </reference>
        </references>
      </pivotArea>
    </format>
    <format dxfId="1254">
      <pivotArea outline="0" collapsedLevelsAreSubtotals="1" fieldPosition="0">
        <references count="3">
          <reference field="4" count="1" selected="0">
            <x v="8"/>
          </reference>
          <reference field="5" count="15" selected="0">
            <x v="11"/>
            <x v="16"/>
            <x v="20"/>
            <x v="32"/>
            <x v="33"/>
            <x v="34"/>
            <x v="43"/>
            <x v="47"/>
            <x v="55"/>
            <x v="71"/>
            <x v="72"/>
            <x v="74"/>
            <x v="76"/>
            <x v="87"/>
            <x v="113"/>
          </reference>
          <reference field="18" count="15" selected="0">
            <x v="44"/>
            <x v="46"/>
            <x v="47"/>
            <x v="48"/>
            <x v="52"/>
            <x v="53"/>
            <x v="54"/>
            <x v="55"/>
            <x v="56"/>
            <x v="71"/>
            <x v="72"/>
            <x v="73"/>
            <x v="74"/>
            <x v="76"/>
            <x v="112"/>
          </reference>
        </references>
      </pivotArea>
    </format>
    <format dxfId="1253">
      <pivotArea dataOnly="0" labelOnly="1" outline="0" fieldPosition="0">
        <references count="1">
          <reference field="4" count="1">
            <x v="8"/>
          </reference>
        </references>
      </pivotArea>
    </format>
    <format dxfId="1252">
      <pivotArea dataOnly="0" labelOnly="1" outline="0" fieldPosition="0">
        <references count="2">
          <reference field="4" count="1" selected="0">
            <x v="8"/>
          </reference>
          <reference field="18" count="15">
            <x v="44"/>
            <x v="46"/>
            <x v="47"/>
            <x v="48"/>
            <x v="52"/>
            <x v="53"/>
            <x v="54"/>
            <x v="55"/>
            <x v="56"/>
            <x v="71"/>
            <x v="72"/>
            <x v="73"/>
            <x v="74"/>
            <x v="76"/>
            <x v="112"/>
          </reference>
        </references>
      </pivotArea>
    </format>
    <format dxfId="1251">
      <pivotArea dataOnly="0" labelOnly="1" outline="0" fieldPosition="0">
        <references count="3">
          <reference field="4" count="1" selected="0">
            <x v="8"/>
          </reference>
          <reference field="5" count="1">
            <x v="55"/>
          </reference>
          <reference field="18" count="1" selected="0">
            <x v="44"/>
          </reference>
        </references>
      </pivotArea>
    </format>
    <format dxfId="1250">
      <pivotArea dataOnly="0" labelOnly="1" outline="0" fieldPosition="0">
        <references count="3">
          <reference field="4" count="1" selected="0">
            <x v="8"/>
          </reference>
          <reference field="5" count="1">
            <x v="47"/>
          </reference>
          <reference field="18" count="1" selected="0">
            <x v="46"/>
          </reference>
        </references>
      </pivotArea>
    </format>
    <format dxfId="1249">
      <pivotArea dataOnly="0" labelOnly="1" outline="0" fieldPosition="0">
        <references count="3">
          <reference field="4" count="1" selected="0">
            <x v="8"/>
          </reference>
          <reference field="5" count="1">
            <x v="72"/>
          </reference>
          <reference field="18" count="1" selected="0">
            <x v="47"/>
          </reference>
        </references>
      </pivotArea>
    </format>
    <format dxfId="1248">
      <pivotArea dataOnly="0" labelOnly="1" outline="0" fieldPosition="0">
        <references count="3">
          <reference field="4" count="1" selected="0">
            <x v="8"/>
          </reference>
          <reference field="5" count="1">
            <x v="43"/>
          </reference>
          <reference field="18" count="1" selected="0">
            <x v="48"/>
          </reference>
        </references>
      </pivotArea>
    </format>
    <format dxfId="1247">
      <pivotArea dataOnly="0" labelOnly="1" outline="0" fieldPosition="0">
        <references count="3">
          <reference field="4" count="1" selected="0">
            <x v="8"/>
          </reference>
          <reference field="5" count="1">
            <x v="33"/>
          </reference>
          <reference field="18" count="1" selected="0">
            <x v="52"/>
          </reference>
        </references>
      </pivotArea>
    </format>
    <format dxfId="1246">
      <pivotArea dataOnly="0" labelOnly="1" outline="0" fieldPosition="0">
        <references count="3">
          <reference field="4" count="1" selected="0">
            <x v="8"/>
          </reference>
          <reference field="5" count="1">
            <x v="34"/>
          </reference>
          <reference field="18" count="1" selected="0">
            <x v="53"/>
          </reference>
        </references>
      </pivotArea>
    </format>
    <format dxfId="1245">
      <pivotArea dataOnly="0" labelOnly="1" outline="0" fieldPosition="0">
        <references count="3">
          <reference field="4" count="1" selected="0">
            <x v="8"/>
          </reference>
          <reference field="5" count="1">
            <x v="32"/>
          </reference>
          <reference field="18" count="1" selected="0">
            <x v="54"/>
          </reference>
        </references>
      </pivotArea>
    </format>
    <format dxfId="1244">
      <pivotArea dataOnly="0" labelOnly="1" outline="0" fieldPosition="0">
        <references count="3">
          <reference field="4" count="1" selected="0">
            <x v="8"/>
          </reference>
          <reference field="5" count="1">
            <x v="74"/>
          </reference>
          <reference field="18" count="1" selected="0">
            <x v="55"/>
          </reference>
        </references>
      </pivotArea>
    </format>
    <format dxfId="1243">
      <pivotArea dataOnly="0" labelOnly="1" outline="0" fieldPosition="0">
        <references count="3">
          <reference field="4" count="1" selected="0">
            <x v="8"/>
          </reference>
          <reference field="5" count="1">
            <x v="87"/>
          </reference>
          <reference field="18" count="1" selected="0">
            <x v="56"/>
          </reference>
        </references>
      </pivotArea>
    </format>
    <format dxfId="1242">
      <pivotArea dataOnly="0" labelOnly="1" outline="0" fieldPosition="0">
        <references count="3">
          <reference field="4" count="1" selected="0">
            <x v="8"/>
          </reference>
          <reference field="5" count="1">
            <x v="20"/>
          </reference>
          <reference field="18" count="1" selected="0">
            <x v="71"/>
          </reference>
        </references>
      </pivotArea>
    </format>
    <format dxfId="1241">
      <pivotArea dataOnly="0" labelOnly="1" outline="0" fieldPosition="0">
        <references count="3">
          <reference field="4" count="1" selected="0">
            <x v="8"/>
          </reference>
          <reference field="5" count="1">
            <x v="16"/>
          </reference>
          <reference field="18" count="1" selected="0">
            <x v="72"/>
          </reference>
        </references>
      </pivotArea>
    </format>
    <format dxfId="1240">
      <pivotArea dataOnly="0" labelOnly="1" outline="0" fieldPosition="0">
        <references count="3">
          <reference field="4" count="1" selected="0">
            <x v="8"/>
          </reference>
          <reference field="5" count="1">
            <x v="11"/>
          </reference>
          <reference field="18" count="1" selected="0">
            <x v="73"/>
          </reference>
        </references>
      </pivotArea>
    </format>
    <format dxfId="1239">
      <pivotArea dataOnly="0" labelOnly="1" outline="0" fieldPosition="0">
        <references count="3">
          <reference field="4" count="1" selected="0">
            <x v="8"/>
          </reference>
          <reference field="5" count="1">
            <x v="76"/>
          </reference>
          <reference field="18" count="1" selected="0">
            <x v="74"/>
          </reference>
        </references>
      </pivotArea>
    </format>
    <format dxfId="1238">
      <pivotArea dataOnly="0" labelOnly="1" outline="0" fieldPosition="0">
        <references count="3">
          <reference field="4" count="1" selected="0">
            <x v="8"/>
          </reference>
          <reference field="5" count="1">
            <x v="71"/>
          </reference>
          <reference field="18" count="1" selected="0">
            <x v="76"/>
          </reference>
        </references>
      </pivotArea>
    </format>
    <format dxfId="1237">
      <pivotArea dataOnly="0" labelOnly="1" outline="0" fieldPosition="0">
        <references count="3">
          <reference field="4" count="1" selected="0">
            <x v="8"/>
          </reference>
          <reference field="5" count="1">
            <x v="113"/>
          </reference>
          <reference field="18" count="1" selected="0">
            <x v="112"/>
          </reference>
        </references>
      </pivotArea>
    </format>
    <format dxfId="1236">
      <pivotArea outline="0" collapsedLevelsAreSubtotals="1" fieldPosition="0">
        <references count="3">
          <reference field="4" count="1" selected="0">
            <x v="9"/>
          </reference>
          <reference field="5" count="3" selected="0">
            <x v="57"/>
            <x v="126"/>
            <x v="127"/>
          </reference>
          <reference field="18" count="3" selected="0">
            <x v="100"/>
            <x v="124"/>
            <x v="125"/>
          </reference>
        </references>
      </pivotArea>
    </format>
    <format dxfId="1235">
      <pivotArea dataOnly="0" labelOnly="1" outline="0" fieldPosition="0">
        <references count="1">
          <reference field="4" count="1">
            <x v="9"/>
          </reference>
        </references>
      </pivotArea>
    </format>
    <format dxfId="1234">
      <pivotArea dataOnly="0" labelOnly="1" outline="0" fieldPosition="0">
        <references count="2">
          <reference field="4" count="1" selected="0">
            <x v="9"/>
          </reference>
          <reference field="18" count="3">
            <x v="100"/>
            <x v="124"/>
            <x v="125"/>
          </reference>
        </references>
      </pivotArea>
    </format>
    <format dxfId="1233">
      <pivotArea dataOnly="0" labelOnly="1" outline="0" fieldPosition="0">
        <references count="3">
          <reference field="4" count="1" selected="0">
            <x v="9"/>
          </reference>
          <reference field="5" count="1">
            <x v="57"/>
          </reference>
          <reference field="18" count="1" selected="0">
            <x v="100"/>
          </reference>
        </references>
      </pivotArea>
    </format>
    <format dxfId="1232">
      <pivotArea dataOnly="0" labelOnly="1" outline="0" fieldPosition="0">
        <references count="3">
          <reference field="4" count="1" selected="0">
            <x v="9"/>
          </reference>
          <reference field="5" count="1">
            <x v="126"/>
          </reference>
          <reference field="18" count="1" selected="0">
            <x v="124"/>
          </reference>
        </references>
      </pivotArea>
    </format>
    <format dxfId="1231">
      <pivotArea dataOnly="0" labelOnly="1" outline="0" fieldPosition="0">
        <references count="3">
          <reference field="4" count="1" selected="0">
            <x v="9"/>
          </reference>
          <reference field="5" count="1">
            <x v="127"/>
          </reference>
          <reference field="18" count="1" selected="0">
            <x v="125"/>
          </reference>
        </references>
      </pivotArea>
    </format>
    <format dxfId="1230">
      <pivotArea outline="0" collapsedLevelsAreSubtotals="1" fieldPosition="0">
        <references count="3">
          <reference field="4" count="1" selected="0">
            <x v="10"/>
          </reference>
          <reference field="5" count="25" selected="0">
            <x v="8"/>
            <x v="9"/>
            <x v="10"/>
            <x v="18"/>
            <x v="19"/>
            <x v="23"/>
            <x v="27"/>
            <x v="28"/>
            <x v="42"/>
            <x v="44"/>
            <x v="52"/>
            <x v="53"/>
            <x v="65"/>
            <x v="73"/>
            <x v="75"/>
            <x v="85"/>
            <x v="88"/>
            <x v="92"/>
            <x v="95"/>
            <x v="96"/>
            <x v="97"/>
            <x v="98"/>
            <x v="105"/>
            <x v="117"/>
            <x v="132"/>
          </reference>
          <reference field="18" count="24" selected="0">
            <x v="0"/>
            <x v="1"/>
            <x v="2"/>
            <x v="3"/>
            <x v="4"/>
            <x v="5"/>
            <x v="6"/>
            <x v="7"/>
            <x v="8"/>
            <x v="9"/>
            <x v="10"/>
            <x v="11"/>
            <x v="12"/>
            <x v="13"/>
            <x v="14"/>
            <x v="15"/>
            <x v="16"/>
            <x v="17"/>
            <x v="18"/>
            <x v="19"/>
            <x v="20"/>
            <x v="21"/>
            <x v="82"/>
            <x v="131"/>
          </reference>
        </references>
      </pivotArea>
    </format>
    <format dxfId="1229">
      <pivotArea dataOnly="0" labelOnly="1" outline="0" fieldPosition="0">
        <references count="1">
          <reference field="4" count="1">
            <x v="10"/>
          </reference>
        </references>
      </pivotArea>
    </format>
    <format dxfId="1228">
      <pivotArea dataOnly="0" labelOnly="1" outline="0" fieldPosition="0">
        <references count="2">
          <reference field="4" count="1" selected="0">
            <x v="10"/>
          </reference>
          <reference field="18" count="24">
            <x v="0"/>
            <x v="1"/>
            <x v="2"/>
            <x v="3"/>
            <x v="4"/>
            <x v="5"/>
            <x v="6"/>
            <x v="7"/>
            <x v="8"/>
            <x v="9"/>
            <x v="10"/>
            <x v="11"/>
            <x v="12"/>
            <x v="13"/>
            <x v="14"/>
            <x v="15"/>
            <x v="16"/>
            <x v="17"/>
            <x v="18"/>
            <x v="19"/>
            <x v="20"/>
            <x v="21"/>
            <x v="82"/>
            <x v="131"/>
          </reference>
        </references>
      </pivotArea>
    </format>
    <format dxfId="1227">
      <pivotArea dataOnly="0" labelOnly="1" outline="0" fieldPosition="0">
        <references count="3">
          <reference field="4" count="1" selected="0">
            <x v="10"/>
          </reference>
          <reference field="5" count="2">
            <x v="85"/>
            <x v="117"/>
          </reference>
          <reference field="18" count="1" selected="0">
            <x v="0"/>
          </reference>
        </references>
      </pivotArea>
    </format>
    <format dxfId="1226">
      <pivotArea dataOnly="0" labelOnly="1" outline="0" fieldPosition="0">
        <references count="3">
          <reference field="4" count="1" selected="0">
            <x v="10"/>
          </reference>
          <reference field="5" count="1">
            <x v="95"/>
          </reference>
          <reference field="18" count="1" selected="0">
            <x v="1"/>
          </reference>
        </references>
      </pivotArea>
    </format>
    <format dxfId="1225">
      <pivotArea dataOnly="0" labelOnly="1" outline="0" fieldPosition="0">
        <references count="3">
          <reference field="4" count="1" selected="0">
            <x v="10"/>
          </reference>
          <reference field="5" count="1">
            <x v="73"/>
          </reference>
          <reference field="18" count="1" selected="0">
            <x v="2"/>
          </reference>
        </references>
      </pivotArea>
    </format>
    <format dxfId="1224">
      <pivotArea dataOnly="0" labelOnly="1" outline="0" fieldPosition="0">
        <references count="3">
          <reference field="4" count="1" selected="0">
            <x v="10"/>
          </reference>
          <reference field="5" count="1">
            <x v="97"/>
          </reference>
          <reference field="18" count="1" selected="0">
            <x v="3"/>
          </reference>
        </references>
      </pivotArea>
    </format>
    <format dxfId="1223">
      <pivotArea dataOnly="0" labelOnly="1" outline="0" fieldPosition="0">
        <references count="3">
          <reference field="4" count="1" selected="0">
            <x v="10"/>
          </reference>
          <reference field="5" count="1">
            <x v="96"/>
          </reference>
          <reference field="18" count="1" selected="0">
            <x v="4"/>
          </reference>
        </references>
      </pivotArea>
    </format>
    <format dxfId="1222">
      <pivotArea dataOnly="0" labelOnly="1" outline="0" fieldPosition="0">
        <references count="3">
          <reference field="4" count="1" selected="0">
            <x v="10"/>
          </reference>
          <reference field="5" count="1">
            <x v="98"/>
          </reference>
          <reference field="18" count="1" selected="0">
            <x v="5"/>
          </reference>
        </references>
      </pivotArea>
    </format>
    <format dxfId="1221">
      <pivotArea dataOnly="0" labelOnly="1" outline="0" fieldPosition="0">
        <references count="3">
          <reference field="4" count="1" selected="0">
            <x v="10"/>
          </reference>
          <reference field="5" count="1">
            <x v="88"/>
          </reference>
          <reference field="18" count="1" selected="0">
            <x v="6"/>
          </reference>
        </references>
      </pivotArea>
    </format>
    <format dxfId="1220">
      <pivotArea dataOnly="0" labelOnly="1" outline="0" fieldPosition="0">
        <references count="3">
          <reference field="4" count="1" selected="0">
            <x v="10"/>
          </reference>
          <reference field="5" count="1">
            <x v="44"/>
          </reference>
          <reference field="18" count="1" selected="0">
            <x v="7"/>
          </reference>
        </references>
      </pivotArea>
    </format>
    <format dxfId="1219">
      <pivotArea dataOnly="0" labelOnly="1" outline="0" fieldPosition="0">
        <references count="3">
          <reference field="4" count="1" selected="0">
            <x v="10"/>
          </reference>
          <reference field="5" count="1">
            <x v="92"/>
          </reference>
          <reference field="18" count="1" selected="0">
            <x v="8"/>
          </reference>
        </references>
      </pivotArea>
    </format>
    <format dxfId="1218">
      <pivotArea dataOnly="0" labelOnly="1" outline="0" fieldPosition="0">
        <references count="3">
          <reference field="4" count="1" selected="0">
            <x v="10"/>
          </reference>
          <reference field="5" count="1">
            <x v="9"/>
          </reference>
          <reference field="18" count="1" selected="0">
            <x v="9"/>
          </reference>
        </references>
      </pivotArea>
    </format>
    <format dxfId="1217">
      <pivotArea dataOnly="0" labelOnly="1" outline="0" fieldPosition="0">
        <references count="3">
          <reference field="4" count="1" selected="0">
            <x v="10"/>
          </reference>
          <reference field="5" count="1">
            <x v="10"/>
          </reference>
          <reference field="18" count="1" selected="0">
            <x v="10"/>
          </reference>
        </references>
      </pivotArea>
    </format>
    <format dxfId="1216">
      <pivotArea dataOnly="0" labelOnly="1" outline="0" fieldPosition="0">
        <references count="3">
          <reference field="4" count="1" selected="0">
            <x v="10"/>
          </reference>
          <reference field="5" count="1">
            <x v="8"/>
          </reference>
          <reference field="18" count="1" selected="0">
            <x v="11"/>
          </reference>
        </references>
      </pivotArea>
    </format>
    <format dxfId="1215">
      <pivotArea dataOnly="0" labelOnly="1" outline="0" fieldPosition="0">
        <references count="3">
          <reference field="4" count="1" selected="0">
            <x v="10"/>
          </reference>
          <reference field="5" count="1">
            <x v="23"/>
          </reference>
          <reference field="18" count="1" selected="0">
            <x v="12"/>
          </reference>
        </references>
      </pivotArea>
    </format>
    <format dxfId="1214">
      <pivotArea dataOnly="0" labelOnly="1" outline="0" fieldPosition="0">
        <references count="3">
          <reference field="4" count="1" selected="0">
            <x v="10"/>
          </reference>
          <reference field="5" count="1">
            <x v="28"/>
          </reference>
          <reference field="18" count="1" selected="0">
            <x v="13"/>
          </reference>
        </references>
      </pivotArea>
    </format>
    <format dxfId="1213">
      <pivotArea dataOnly="0" labelOnly="1" outline="0" fieldPosition="0">
        <references count="3">
          <reference field="4" count="1" selected="0">
            <x v="10"/>
          </reference>
          <reference field="5" count="1">
            <x v="27"/>
          </reference>
          <reference field="18" count="1" selected="0">
            <x v="14"/>
          </reference>
        </references>
      </pivotArea>
    </format>
    <format dxfId="1212">
      <pivotArea dataOnly="0" labelOnly="1" outline="0" fieldPosition="0">
        <references count="3">
          <reference field="4" count="1" selected="0">
            <x v="10"/>
          </reference>
          <reference field="5" count="1">
            <x v="42"/>
          </reference>
          <reference field="18" count="1" selected="0">
            <x v="15"/>
          </reference>
        </references>
      </pivotArea>
    </format>
    <format dxfId="1211">
      <pivotArea dataOnly="0" labelOnly="1" outline="0" fieldPosition="0">
        <references count="3">
          <reference field="4" count="1" selected="0">
            <x v="10"/>
          </reference>
          <reference field="5" count="1">
            <x v="18"/>
          </reference>
          <reference field="18" count="1" selected="0">
            <x v="16"/>
          </reference>
        </references>
      </pivotArea>
    </format>
    <format dxfId="1210">
      <pivotArea dataOnly="0" labelOnly="1" outline="0" fieldPosition="0">
        <references count="3">
          <reference field="4" count="1" selected="0">
            <x v="10"/>
          </reference>
          <reference field="5" count="1">
            <x v="19"/>
          </reference>
          <reference field="18" count="1" selected="0">
            <x v="17"/>
          </reference>
        </references>
      </pivotArea>
    </format>
    <format dxfId="1209">
      <pivotArea dataOnly="0" labelOnly="1" outline="0" fieldPosition="0">
        <references count="3">
          <reference field="4" count="1" selected="0">
            <x v="10"/>
          </reference>
          <reference field="5" count="1">
            <x v="52"/>
          </reference>
          <reference field="18" count="1" selected="0">
            <x v="18"/>
          </reference>
        </references>
      </pivotArea>
    </format>
    <format dxfId="1208">
      <pivotArea dataOnly="0" labelOnly="1" outline="0" fieldPosition="0">
        <references count="3">
          <reference field="4" count="1" selected="0">
            <x v="10"/>
          </reference>
          <reference field="5" count="1">
            <x v="53"/>
          </reference>
          <reference field="18" count="1" selected="0">
            <x v="19"/>
          </reference>
        </references>
      </pivotArea>
    </format>
    <format dxfId="1207">
      <pivotArea dataOnly="0" labelOnly="1" outline="0" fieldPosition="0">
        <references count="3">
          <reference field="4" count="1" selected="0">
            <x v="10"/>
          </reference>
          <reference field="5" count="1">
            <x v="105"/>
          </reference>
          <reference field="18" count="1" selected="0">
            <x v="20"/>
          </reference>
        </references>
      </pivotArea>
    </format>
    <format dxfId="1206">
      <pivotArea dataOnly="0" labelOnly="1" outline="0" fieldPosition="0">
        <references count="3">
          <reference field="4" count="1" selected="0">
            <x v="10"/>
          </reference>
          <reference field="5" count="1">
            <x v="65"/>
          </reference>
          <reference field="18" count="1" selected="0">
            <x v="21"/>
          </reference>
        </references>
      </pivotArea>
    </format>
    <format dxfId="1205">
      <pivotArea dataOnly="0" labelOnly="1" outline="0" fieldPosition="0">
        <references count="3">
          <reference field="4" count="1" selected="0">
            <x v="10"/>
          </reference>
          <reference field="5" count="1">
            <x v="75"/>
          </reference>
          <reference field="18" count="1" selected="0">
            <x v="82"/>
          </reference>
        </references>
      </pivotArea>
    </format>
    <format dxfId="1204">
      <pivotArea dataOnly="0" labelOnly="1" outline="0" fieldPosition="0">
        <references count="3">
          <reference field="4" count="1" selected="0">
            <x v="10"/>
          </reference>
          <reference field="5" count="1">
            <x v="132"/>
          </reference>
          <reference field="18" count="1" selected="0">
            <x v="131"/>
          </reference>
        </references>
      </pivotArea>
    </format>
    <format dxfId="1203">
      <pivotArea outline="0" collapsedLevelsAreSubtotals="1" fieldPosition="0">
        <references count="3">
          <reference field="4" count="1" selected="0">
            <x v="11"/>
          </reference>
          <reference field="5" count="4" selected="0">
            <x v="59"/>
            <x v="60"/>
            <x v="128"/>
            <x v="129"/>
          </reference>
          <reference field="18" count="4" selected="0">
            <x v="98"/>
            <x v="99"/>
            <x v="126"/>
            <x v="127"/>
          </reference>
        </references>
      </pivotArea>
    </format>
    <format dxfId="1202">
      <pivotArea dataOnly="0" labelOnly="1" outline="0" fieldPosition="0">
        <references count="1">
          <reference field="4" count="1">
            <x v="11"/>
          </reference>
        </references>
      </pivotArea>
    </format>
    <format dxfId="1201">
      <pivotArea dataOnly="0" labelOnly="1" outline="0" fieldPosition="0">
        <references count="2">
          <reference field="4" count="1" selected="0">
            <x v="11"/>
          </reference>
          <reference field="18" count="4">
            <x v="98"/>
            <x v="99"/>
            <x v="126"/>
            <x v="127"/>
          </reference>
        </references>
      </pivotArea>
    </format>
    <format dxfId="1200">
      <pivotArea dataOnly="0" labelOnly="1" outline="0" fieldPosition="0">
        <references count="3">
          <reference field="4" count="1" selected="0">
            <x v="11"/>
          </reference>
          <reference field="5" count="1">
            <x v="60"/>
          </reference>
          <reference field="18" count="1" selected="0">
            <x v="98"/>
          </reference>
        </references>
      </pivotArea>
    </format>
    <format dxfId="1199">
      <pivotArea dataOnly="0" labelOnly="1" outline="0" fieldPosition="0">
        <references count="3">
          <reference field="4" count="1" selected="0">
            <x v="11"/>
          </reference>
          <reference field="5" count="1">
            <x v="59"/>
          </reference>
          <reference field="18" count="1" selected="0">
            <x v="99"/>
          </reference>
        </references>
      </pivotArea>
    </format>
    <format dxfId="1198">
      <pivotArea dataOnly="0" labelOnly="1" outline="0" fieldPosition="0">
        <references count="3">
          <reference field="4" count="1" selected="0">
            <x v="11"/>
          </reference>
          <reference field="5" count="1">
            <x v="128"/>
          </reference>
          <reference field="18" count="1" selected="0">
            <x v="126"/>
          </reference>
        </references>
      </pivotArea>
    </format>
    <format dxfId="1197">
      <pivotArea dataOnly="0" labelOnly="1" outline="0" fieldPosition="0">
        <references count="3">
          <reference field="4" count="1" selected="0">
            <x v="11"/>
          </reference>
          <reference field="5" count="1">
            <x v="129"/>
          </reference>
          <reference field="18" count="1" selected="0">
            <x v="127"/>
          </reference>
        </references>
      </pivotArea>
    </format>
    <format dxfId="1196">
      <pivotArea outline="0" collapsedLevelsAreSubtotals="1" fieldPosition="0">
        <references count="3">
          <reference field="4" count="1" selected="0">
            <x v="12"/>
          </reference>
          <reference field="5" count="1" selected="0">
            <x v="64"/>
          </reference>
          <reference field="18" count="1" selected="0">
            <x v="104"/>
          </reference>
        </references>
      </pivotArea>
    </format>
    <format dxfId="1195">
      <pivotArea dataOnly="0" labelOnly="1" outline="0" fieldPosition="0">
        <references count="1">
          <reference field="4" count="1">
            <x v="12"/>
          </reference>
        </references>
      </pivotArea>
    </format>
    <format dxfId="1194">
      <pivotArea dataOnly="0" labelOnly="1" outline="0" fieldPosition="0">
        <references count="2">
          <reference field="4" count="1" selected="0">
            <x v="12"/>
          </reference>
          <reference field="18" count="1">
            <x v="104"/>
          </reference>
        </references>
      </pivotArea>
    </format>
    <format dxfId="1193">
      <pivotArea dataOnly="0" labelOnly="1" outline="0" fieldPosition="0">
        <references count="3">
          <reference field="4" count="1" selected="0">
            <x v="12"/>
          </reference>
          <reference field="5" count="1">
            <x v="64"/>
          </reference>
          <reference field="18" count="1" selected="0">
            <x v="104"/>
          </reference>
        </references>
      </pivotArea>
    </format>
    <format dxfId="1192">
      <pivotArea outline="0" collapsedLevelsAreSubtotals="1" fieldPosition="0">
        <references count="3">
          <reference field="4" count="1" selected="0">
            <x v="13"/>
          </reference>
          <reference field="5" count="2" selected="0">
            <x v="90"/>
            <x v="91"/>
          </reference>
          <reference field="18" count="2" selected="0">
            <x v="50"/>
            <x v="51"/>
          </reference>
        </references>
      </pivotArea>
    </format>
    <format dxfId="1191">
      <pivotArea dataOnly="0" labelOnly="1" outline="0" fieldPosition="0">
        <references count="1">
          <reference field="4" count="1">
            <x v="13"/>
          </reference>
        </references>
      </pivotArea>
    </format>
    <format dxfId="1190">
      <pivotArea dataOnly="0" labelOnly="1" outline="0" fieldPosition="0">
        <references count="2">
          <reference field="4" count="1" selected="0">
            <x v="13"/>
          </reference>
          <reference field="18" count="2">
            <x v="50"/>
            <x v="51"/>
          </reference>
        </references>
      </pivotArea>
    </format>
    <format dxfId="1189">
      <pivotArea dataOnly="0" labelOnly="1" outline="0" fieldPosition="0">
        <references count="3">
          <reference field="4" count="1" selected="0">
            <x v="13"/>
          </reference>
          <reference field="5" count="1">
            <x v="90"/>
          </reference>
          <reference field="18" count="1" selected="0">
            <x v="50"/>
          </reference>
        </references>
      </pivotArea>
    </format>
    <format dxfId="1188">
      <pivotArea dataOnly="0" labelOnly="1" outline="0" fieldPosition="0">
        <references count="3">
          <reference field="4" count="1" selected="0">
            <x v="13"/>
          </reference>
          <reference field="5" count="1">
            <x v="91"/>
          </reference>
          <reference field="18" count="1" selected="0">
            <x v="51"/>
          </reference>
        </references>
      </pivotArea>
    </format>
    <format dxfId="1187">
      <pivotArea outline="0" collapsedLevelsAreSubtotals="1" fieldPosition="0">
        <references count="3">
          <reference field="4" count="1" selected="0">
            <x v="14"/>
          </reference>
          <reference field="5" count="22" selected="0">
            <x v="4"/>
            <x v="12"/>
            <x v="13"/>
            <x v="36"/>
            <x v="37"/>
            <x v="38"/>
            <x v="39"/>
            <x v="40"/>
            <x v="41"/>
            <x v="78"/>
            <x v="79"/>
            <x v="80"/>
            <x v="81"/>
            <x v="82"/>
            <x v="89"/>
            <x v="99"/>
            <x v="100"/>
            <x v="101"/>
            <x v="104"/>
            <x v="111"/>
            <x v="131"/>
            <x v="133"/>
          </reference>
          <reference field="18" count="22" selected="0">
            <x v="22"/>
            <x v="23"/>
            <x v="24"/>
            <x v="25"/>
            <x v="26"/>
            <x v="27"/>
            <x v="28"/>
            <x v="29"/>
            <x v="30"/>
            <x v="31"/>
            <x v="32"/>
            <x v="33"/>
            <x v="34"/>
            <x v="35"/>
            <x v="67"/>
            <x v="68"/>
            <x v="69"/>
            <x v="70"/>
            <x v="81"/>
            <x v="110"/>
            <x v="130"/>
            <x v="132"/>
          </reference>
        </references>
      </pivotArea>
    </format>
    <format dxfId="1186">
      <pivotArea dataOnly="0" labelOnly="1" outline="0" fieldPosition="0">
        <references count="1">
          <reference field="4" count="1">
            <x v="14"/>
          </reference>
        </references>
      </pivotArea>
    </format>
    <format dxfId="1185">
      <pivotArea dataOnly="0" labelOnly="1" outline="0" fieldPosition="0">
        <references count="2">
          <reference field="4" count="1" selected="0">
            <x v="14"/>
          </reference>
          <reference field="18" count="22">
            <x v="22"/>
            <x v="23"/>
            <x v="24"/>
            <x v="25"/>
            <x v="26"/>
            <x v="27"/>
            <x v="28"/>
            <x v="29"/>
            <x v="30"/>
            <x v="31"/>
            <x v="32"/>
            <x v="33"/>
            <x v="34"/>
            <x v="35"/>
            <x v="67"/>
            <x v="68"/>
            <x v="69"/>
            <x v="70"/>
            <x v="81"/>
            <x v="110"/>
            <x v="130"/>
            <x v="132"/>
          </reference>
        </references>
      </pivotArea>
    </format>
    <format dxfId="1184">
      <pivotArea dataOnly="0" labelOnly="1" outline="0" fieldPosition="0">
        <references count="3">
          <reference field="4" count="1" selected="0">
            <x v="14"/>
          </reference>
          <reference field="5" count="1">
            <x v="80"/>
          </reference>
          <reference field="18" count="1" selected="0">
            <x v="22"/>
          </reference>
        </references>
      </pivotArea>
    </format>
    <format dxfId="1183">
      <pivotArea dataOnly="0" labelOnly="1" outline="0" fieldPosition="0">
        <references count="3">
          <reference field="4" count="1" selected="0">
            <x v="14"/>
          </reference>
          <reference field="5" count="1">
            <x v="82"/>
          </reference>
          <reference field="18" count="1" selected="0">
            <x v="23"/>
          </reference>
        </references>
      </pivotArea>
    </format>
    <format dxfId="1182">
      <pivotArea dataOnly="0" labelOnly="1" outline="0" fieldPosition="0">
        <references count="3">
          <reference field="4" count="1" selected="0">
            <x v="14"/>
          </reference>
          <reference field="5" count="1">
            <x v="36"/>
          </reference>
          <reference field="18" count="1" selected="0">
            <x v="24"/>
          </reference>
        </references>
      </pivotArea>
    </format>
    <format dxfId="1181">
      <pivotArea dataOnly="0" labelOnly="1" outline="0" fieldPosition="0">
        <references count="3">
          <reference field="4" count="1" selected="0">
            <x v="14"/>
          </reference>
          <reference field="5" count="1">
            <x v="12"/>
          </reference>
          <reference field="18" count="1" selected="0">
            <x v="25"/>
          </reference>
        </references>
      </pivotArea>
    </format>
    <format dxfId="1180">
      <pivotArea dataOnly="0" labelOnly="1" outline="0" fieldPosition="0">
        <references count="3">
          <reference field="4" count="1" selected="0">
            <x v="14"/>
          </reference>
          <reference field="5" count="1">
            <x v="39"/>
          </reference>
          <reference field="18" count="1" selected="0">
            <x v="26"/>
          </reference>
        </references>
      </pivotArea>
    </format>
    <format dxfId="1179">
      <pivotArea dataOnly="0" labelOnly="1" outline="0" fieldPosition="0">
        <references count="3">
          <reference field="4" count="1" selected="0">
            <x v="14"/>
          </reference>
          <reference field="5" count="1">
            <x v="81"/>
          </reference>
          <reference field="18" count="1" selected="0">
            <x v="27"/>
          </reference>
        </references>
      </pivotArea>
    </format>
    <format dxfId="1178">
      <pivotArea dataOnly="0" labelOnly="1" outline="0" fieldPosition="0">
        <references count="3">
          <reference field="4" count="1" selected="0">
            <x v="14"/>
          </reference>
          <reference field="5" count="1">
            <x v="38"/>
          </reference>
          <reference field="18" count="1" selected="0">
            <x v="28"/>
          </reference>
        </references>
      </pivotArea>
    </format>
    <format dxfId="1177">
      <pivotArea dataOnly="0" labelOnly="1" outline="0" fieldPosition="0">
        <references count="3">
          <reference field="4" count="1" selected="0">
            <x v="14"/>
          </reference>
          <reference field="5" count="1">
            <x v="79"/>
          </reference>
          <reference field="18" count="1" selected="0">
            <x v="29"/>
          </reference>
        </references>
      </pivotArea>
    </format>
    <format dxfId="1176">
      <pivotArea dataOnly="0" labelOnly="1" outline="0" fieldPosition="0">
        <references count="3">
          <reference field="4" count="1" selected="0">
            <x v="14"/>
          </reference>
          <reference field="5" count="1">
            <x v="101"/>
          </reference>
          <reference field="18" count="1" selected="0">
            <x v="30"/>
          </reference>
        </references>
      </pivotArea>
    </format>
    <format dxfId="1175">
      <pivotArea dataOnly="0" labelOnly="1" outline="0" fieldPosition="0">
        <references count="3">
          <reference field="4" count="1" selected="0">
            <x v="14"/>
          </reference>
          <reference field="5" count="1">
            <x v="99"/>
          </reference>
          <reference field="18" count="1" selected="0">
            <x v="31"/>
          </reference>
        </references>
      </pivotArea>
    </format>
    <format dxfId="1174">
      <pivotArea dataOnly="0" labelOnly="1" outline="0" fieldPosition="0">
        <references count="3">
          <reference field="4" count="1" selected="0">
            <x v="14"/>
          </reference>
          <reference field="5" count="1">
            <x v="100"/>
          </reference>
          <reference field="18" count="1" selected="0">
            <x v="32"/>
          </reference>
        </references>
      </pivotArea>
    </format>
    <format dxfId="1173">
      <pivotArea dataOnly="0" labelOnly="1" outline="0" fieldPosition="0">
        <references count="3">
          <reference field="4" count="1" selected="0">
            <x v="14"/>
          </reference>
          <reference field="5" count="1">
            <x v="41"/>
          </reference>
          <reference field="18" count="1" selected="0">
            <x v="33"/>
          </reference>
        </references>
      </pivotArea>
    </format>
    <format dxfId="1172">
      <pivotArea dataOnly="0" labelOnly="1" outline="0" fieldPosition="0">
        <references count="3">
          <reference field="4" count="1" selected="0">
            <x v="14"/>
          </reference>
          <reference field="5" count="1">
            <x v="40"/>
          </reference>
          <reference field="18" count="1" selected="0">
            <x v="34"/>
          </reference>
        </references>
      </pivotArea>
    </format>
    <format dxfId="1171">
      <pivotArea dataOnly="0" labelOnly="1" outline="0" fieldPosition="0">
        <references count="3">
          <reference field="4" count="1" selected="0">
            <x v="14"/>
          </reference>
          <reference field="5" count="1">
            <x v="89"/>
          </reference>
          <reference field="18" count="1" selected="0">
            <x v="35"/>
          </reference>
        </references>
      </pivotArea>
    </format>
    <format dxfId="1170">
      <pivotArea dataOnly="0" labelOnly="1" outline="0" fieldPosition="0">
        <references count="3">
          <reference field="4" count="1" selected="0">
            <x v="14"/>
          </reference>
          <reference field="5" count="1">
            <x v="4"/>
          </reference>
          <reference field="18" count="1" selected="0">
            <x v="67"/>
          </reference>
        </references>
      </pivotArea>
    </format>
    <format dxfId="1169">
      <pivotArea dataOnly="0" labelOnly="1" outline="0" fieldPosition="0">
        <references count="3">
          <reference field="4" count="1" selected="0">
            <x v="14"/>
          </reference>
          <reference field="5" count="1">
            <x v="13"/>
          </reference>
          <reference field="18" count="1" selected="0">
            <x v="68"/>
          </reference>
        </references>
      </pivotArea>
    </format>
    <format dxfId="1168">
      <pivotArea dataOnly="0" labelOnly="1" outline="0" fieldPosition="0">
        <references count="3">
          <reference field="4" count="1" selected="0">
            <x v="14"/>
          </reference>
          <reference field="5" count="1">
            <x v="104"/>
          </reference>
          <reference field="18" count="1" selected="0">
            <x v="69"/>
          </reference>
        </references>
      </pivotArea>
    </format>
    <format dxfId="1167">
      <pivotArea dataOnly="0" labelOnly="1" outline="0" fieldPosition="0">
        <references count="3">
          <reference field="4" count="1" selected="0">
            <x v="14"/>
          </reference>
          <reference field="5" count="1">
            <x v="37"/>
          </reference>
          <reference field="18" count="1" selected="0">
            <x v="70"/>
          </reference>
        </references>
      </pivotArea>
    </format>
    <format dxfId="1166">
      <pivotArea dataOnly="0" labelOnly="1" outline="0" fieldPosition="0">
        <references count="3">
          <reference field="4" count="1" selected="0">
            <x v="14"/>
          </reference>
          <reference field="5" count="1">
            <x v="78"/>
          </reference>
          <reference field="18" count="1" selected="0">
            <x v="81"/>
          </reference>
        </references>
      </pivotArea>
    </format>
    <format dxfId="1165">
      <pivotArea dataOnly="0" labelOnly="1" outline="0" fieldPosition="0">
        <references count="3">
          <reference field="4" count="1" selected="0">
            <x v="14"/>
          </reference>
          <reference field="5" count="1">
            <x v="111"/>
          </reference>
          <reference field="18" count="1" selected="0">
            <x v="110"/>
          </reference>
        </references>
      </pivotArea>
    </format>
    <format dxfId="1164">
      <pivotArea dataOnly="0" labelOnly="1" outline="0" fieldPosition="0">
        <references count="3">
          <reference field="4" count="1" selected="0">
            <x v="14"/>
          </reference>
          <reference field="5" count="1">
            <x v="131"/>
          </reference>
          <reference field="18" count="1" selected="0">
            <x v="130"/>
          </reference>
        </references>
      </pivotArea>
    </format>
    <format dxfId="1163">
      <pivotArea dataOnly="0" labelOnly="1" outline="0" fieldPosition="0">
        <references count="3">
          <reference field="4" count="1" selected="0">
            <x v="14"/>
          </reference>
          <reference field="5" count="1">
            <x v="133"/>
          </reference>
          <reference field="18" count="1" selected="0">
            <x v="132"/>
          </reference>
        </references>
      </pivotArea>
    </format>
    <format dxfId="1162">
      <pivotArea outline="0" collapsedLevelsAreSubtotals="1" fieldPosition="0">
        <references count="3">
          <reference field="4" count="1" selected="0">
            <x v="15"/>
          </reference>
          <reference field="5" count="1" selected="0">
            <x v="117"/>
          </reference>
          <reference field="18" count="1" selected="0">
            <x v="0"/>
          </reference>
        </references>
      </pivotArea>
    </format>
    <format dxfId="1161">
      <pivotArea dataOnly="0" labelOnly="1" outline="0" fieldPosition="0">
        <references count="1">
          <reference field="4" count="1">
            <x v="15"/>
          </reference>
        </references>
      </pivotArea>
    </format>
    <format dxfId="1160">
      <pivotArea dataOnly="0" labelOnly="1" outline="0" fieldPosition="0">
        <references count="2">
          <reference field="4" count="1" selected="0">
            <x v="15"/>
          </reference>
          <reference field="18" count="1">
            <x v="0"/>
          </reference>
        </references>
      </pivotArea>
    </format>
    <format dxfId="1159">
      <pivotArea dataOnly="0" labelOnly="1" outline="0" fieldPosition="0">
        <references count="3">
          <reference field="4" count="1" selected="0">
            <x v="15"/>
          </reference>
          <reference field="5" count="1">
            <x v="117"/>
          </reference>
          <reference field="18" count="1" selected="0">
            <x v="0"/>
          </reference>
        </references>
      </pivotArea>
    </format>
    <format dxfId="1158">
      <pivotArea grandRow="1" outline="0" collapsedLevelsAreSubtotals="1" fieldPosition="0"/>
    </format>
    <format dxfId="1157">
      <pivotArea dataOnly="0" labelOnly="1" grandRow="1" outline="0" fieldPosition="0"/>
    </format>
    <format dxfId="1156">
      <pivotArea type="all" dataOnly="0" outline="0" fieldPosition="0"/>
    </format>
    <format dxfId="1155">
      <pivotArea dataOnly="0" labelOnly="1" outline="0" fieldPosition="0">
        <references count="1">
          <reference field="4" count="0"/>
        </references>
      </pivotArea>
    </format>
    <format dxfId="1154">
      <pivotArea dataOnly="0" labelOnly="1" grandRow="1" outline="0" offset="A256" fieldPosition="0"/>
    </format>
    <format dxfId="1153">
      <pivotArea field="5" type="button" dataOnly="0" labelOnly="1" outline="0" axis="axisRow" fieldPosition="2"/>
    </format>
    <format dxfId="1152">
      <pivotArea dataOnly="0" labelOnly="1" grandRow="1" outline="0" offset="IV256" fieldPosition="0"/>
    </format>
    <format dxfId="1151">
      <pivotArea dataOnly="0" labelOnly="1" outline="0" fieldPosition="0">
        <references count="3">
          <reference field="4" count="1" selected="0">
            <x v="0"/>
          </reference>
          <reference field="5" count="1">
            <x v="84"/>
          </reference>
          <reference field="18" count="1" selected="0">
            <x v="37"/>
          </reference>
        </references>
      </pivotArea>
    </format>
    <format dxfId="1150">
      <pivotArea dataOnly="0" labelOnly="1" outline="0" fieldPosition="0">
        <references count="3">
          <reference field="4" count="1" selected="0">
            <x v="0"/>
          </reference>
          <reference field="5" count="1">
            <x v="31"/>
          </reference>
          <reference field="18" count="1" selected="0">
            <x v="38"/>
          </reference>
        </references>
      </pivotArea>
    </format>
    <format dxfId="1149">
      <pivotArea dataOnly="0" labelOnly="1" outline="0" fieldPosition="0">
        <references count="3">
          <reference field="4" count="1" selected="0">
            <x v="0"/>
          </reference>
          <reference field="5" count="1">
            <x v="1"/>
          </reference>
          <reference field="18" count="1" selected="0">
            <x v="39"/>
          </reference>
        </references>
      </pivotArea>
    </format>
    <format dxfId="1148">
      <pivotArea dataOnly="0" labelOnly="1" outline="0" fieldPosition="0">
        <references count="3">
          <reference field="4" count="1" selected="0">
            <x v="0"/>
          </reference>
          <reference field="5" count="1">
            <x v="17"/>
          </reference>
          <reference field="18" count="1" selected="0">
            <x v="40"/>
          </reference>
        </references>
      </pivotArea>
    </format>
    <format dxfId="1147">
      <pivotArea dataOnly="0" labelOnly="1" outline="0" fieldPosition="0">
        <references count="3">
          <reference field="4" count="1" selected="0">
            <x v="0"/>
          </reference>
          <reference field="5" count="1">
            <x v="106"/>
          </reference>
          <reference field="18" count="1" selected="0">
            <x v="41"/>
          </reference>
        </references>
      </pivotArea>
    </format>
    <format dxfId="1146">
      <pivotArea dataOnly="0" labelOnly="1" outline="0" fieldPosition="0">
        <references count="3">
          <reference field="4" count="1" selected="0">
            <x v="0"/>
          </reference>
          <reference field="5" count="1">
            <x v="66"/>
          </reference>
          <reference field="18" count="1" selected="0">
            <x v="42"/>
          </reference>
        </references>
      </pivotArea>
    </format>
    <format dxfId="1145">
      <pivotArea dataOnly="0" labelOnly="1" outline="0" fieldPosition="0">
        <references count="3">
          <reference field="4" count="1" selected="0">
            <x v="0"/>
          </reference>
          <reference field="5" count="1">
            <x v="94"/>
          </reference>
          <reference field="18" count="1" selected="0">
            <x v="43"/>
          </reference>
        </references>
      </pivotArea>
    </format>
    <format dxfId="1144">
      <pivotArea dataOnly="0" labelOnly="1" outline="0" fieldPosition="0">
        <references count="3">
          <reference field="4" count="1" selected="0">
            <x v="0"/>
          </reference>
          <reference field="5" count="1">
            <x v="77"/>
          </reference>
          <reference field="18" count="1" selected="0">
            <x v="93"/>
          </reference>
        </references>
      </pivotArea>
    </format>
    <format dxfId="1143">
      <pivotArea dataOnly="0" labelOnly="1" outline="0" fieldPosition="0">
        <references count="3">
          <reference field="4" count="1" selected="0">
            <x v="0"/>
          </reference>
          <reference field="5" count="1">
            <x v="112"/>
          </reference>
          <reference field="18" count="1" selected="0">
            <x v="111"/>
          </reference>
        </references>
      </pivotArea>
    </format>
    <format dxfId="1142">
      <pivotArea dataOnly="0" labelOnly="1" outline="0" fieldPosition="0">
        <references count="3">
          <reference field="4" count="1" selected="0">
            <x v="0"/>
          </reference>
          <reference field="5" count="1">
            <x v="115"/>
          </reference>
          <reference field="18" count="1" selected="0">
            <x v="114"/>
          </reference>
        </references>
      </pivotArea>
    </format>
    <format dxfId="1141">
      <pivotArea dataOnly="0" labelOnly="1" outline="0" fieldPosition="0">
        <references count="3">
          <reference field="4" count="1" selected="0">
            <x v="1"/>
          </reference>
          <reference field="5" count="1">
            <x v="6"/>
          </reference>
          <reference field="18" count="1" selected="0">
            <x v="36"/>
          </reference>
        </references>
      </pivotArea>
    </format>
    <format dxfId="1140">
      <pivotArea dataOnly="0" labelOnly="1" outline="0" fieldPosition="0">
        <references count="3">
          <reference field="4" count="1" selected="0">
            <x v="1"/>
          </reference>
          <reference field="5" count="1">
            <x v="29"/>
          </reference>
          <reference field="18" count="1" selected="0">
            <x v="94"/>
          </reference>
        </references>
      </pivotArea>
    </format>
    <format dxfId="1139">
      <pivotArea dataOnly="0" labelOnly="1" outline="0" fieldPosition="0">
        <references count="3">
          <reference field="4" count="1" selected="0">
            <x v="1"/>
          </reference>
          <reference field="5" count="1">
            <x v="118"/>
          </reference>
          <reference field="18" count="1" selected="0">
            <x v="116"/>
          </reference>
        </references>
      </pivotArea>
    </format>
    <format dxfId="1138">
      <pivotArea dataOnly="0" labelOnly="1" outline="0" fieldPosition="0">
        <references count="3">
          <reference field="4" count="1" selected="0">
            <x v="2"/>
          </reference>
          <reference field="5" count="2">
            <x v="103"/>
            <x v="117"/>
          </reference>
          <reference field="18" count="1" selected="0">
            <x v="0"/>
          </reference>
        </references>
      </pivotArea>
    </format>
    <format dxfId="1137">
      <pivotArea dataOnly="0" labelOnly="1" outline="0" fieldPosition="0">
        <references count="3">
          <reference field="4" count="1" selected="0">
            <x v="2"/>
          </reference>
          <reference field="5" count="1">
            <x v="54"/>
          </reference>
          <reference field="18" count="1" selected="0">
            <x v="62"/>
          </reference>
        </references>
      </pivotArea>
    </format>
    <format dxfId="1136">
      <pivotArea dataOnly="0" labelOnly="1" outline="0" fieldPosition="0">
        <references count="3">
          <reference field="4" count="1" selected="0">
            <x v="2"/>
          </reference>
          <reference field="5" count="1">
            <x v="67"/>
          </reference>
          <reference field="18" count="1" selected="0">
            <x v="64"/>
          </reference>
        </references>
      </pivotArea>
    </format>
    <format dxfId="1135">
      <pivotArea dataOnly="0" labelOnly="1" outline="0" fieldPosition="0">
        <references count="3">
          <reference field="4" count="1" selected="0">
            <x v="2"/>
          </reference>
          <reference field="5" count="1">
            <x v="107"/>
          </reference>
          <reference field="18" count="1" selected="0">
            <x v="65"/>
          </reference>
        </references>
      </pivotArea>
    </format>
    <format dxfId="1134">
      <pivotArea dataOnly="0" labelOnly="1" outline="0" fieldPosition="0">
        <references count="3">
          <reference field="4" count="1" selected="0">
            <x v="2"/>
          </reference>
          <reference field="5" count="1">
            <x v="5"/>
          </reference>
          <reference field="18" count="1" selected="0">
            <x v="66"/>
          </reference>
        </references>
      </pivotArea>
    </format>
    <format dxfId="1133">
      <pivotArea dataOnly="0" labelOnly="1" outline="0" fieldPosition="0">
        <references count="3">
          <reference field="4" count="1" selected="0">
            <x v="2"/>
          </reference>
          <reference field="5" count="1">
            <x v="3"/>
          </reference>
          <reference field="18" count="1" selected="0">
            <x v="83"/>
          </reference>
        </references>
      </pivotArea>
    </format>
    <format dxfId="1132">
      <pivotArea dataOnly="0" labelOnly="1" outline="0" fieldPosition="0">
        <references count="3">
          <reference field="4" count="1" selected="0">
            <x v="2"/>
          </reference>
          <reference field="5" count="1">
            <x v="7"/>
          </reference>
          <reference field="18" count="1" selected="0">
            <x v="84"/>
          </reference>
        </references>
      </pivotArea>
    </format>
    <format dxfId="1131">
      <pivotArea dataOnly="0" labelOnly="1" outline="0" fieldPosition="0">
        <references count="3">
          <reference field="4" count="1" selected="0">
            <x v="2"/>
          </reference>
          <reference field="5" count="1">
            <x v="2"/>
          </reference>
          <reference field="18" count="1" selected="0">
            <x v="85"/>
          </reference>
        </references>
      </pivotArea>
    </format>
    <format dxfId="1130">
      <pivotArea dataOnly="0" labelOnly="1" outline="0" fieldPosition="0">
        <references count="3">
          <reference field="4" count="1" selected="0">
            <x v="2"/>
          </reference>
          <reference field="5" count="1">
            <x v="0"/>
          </reference>
          <reference field="18" count="1" selected="0">
            <x v="86"/>
          </reference>
        </references>
      </pivotArea>
    </format>
    <format dxfId="1129">
      <pivotArea dataOnly="0" labelOnly="1" outline="0" fieldPosition="0">
        <references count="3">
          <reference field="4" count="1" selected="0">
            <x v="2"/>
          </reference>
          <reference field="5" count="1">
            <x v="30"/>
          </reference>
          <reference field="18" count="1" selected="0">
            <x v="87"/>
          </reference>
        </references>
      </pivotArea>
    </format>
    <format dxfId="1128">
      <pivotArea dataOnly="0" labelOnly="1" outline="0" fieldPosition="0">
        <references count="3">
          <reference field="4" count="1" selected="0">
            <x v="2"/>
          </reference>
          <reference field="5" count="1">
            <x v="83"/>
          </reference>
          <reference field="18" count="1" selected="0">
            <x v="88"/>
          </reference>
        </references>
      </pivotArea>
    </format>
    <format dxfId="1127">
      <pivotArea dataOnly="0" labelOnly="1" outline="0" fieldPosition="0">
        <references count="3">
          <reference field="4" count="1" selected="0">
            <x v="2"/>
          </reference>
          <reference field="5" count="1">
            <x v="86"/>
          </reference>
          <reference field="18" count="1" selected="0">
            <x v="89"/>
          </reference>
        </references>
      </pivotArea>
    </format>
    <format dxfId="1126">
      <pivotArea dataOnly="0" labelOnly="1" outline="0" fieldPosition="0">
        <references count="3">
          <reference field="4" count="1" selected="0">
            <x v="2"/>
          </reference>
          <reference field="5" count="1">
            <x v="102"/>
          </reference>
          <reference field="18" count="1" selected="0">
            <x v="90"/>
          </reference>
        </references>
      </pivotArea>
    </format>
    <format dxfId="1125">
      <pivotArea dataOnly="0" labelOnly="1" outline="0" fieldPosition="0">
        <references count="3">
          <reference field="4" count="1" selected="0">
            <x v="2"/>
          </reference>
          <reference field="5" count="1">
            <x v="14"/>
          </reference>
          <reference field="18" count="1" selected="0">
            <x v="91"/>
          </reference>
        </references>
      </pivotArea>
    </format>
    <format dxfId="1124">
      <pivotArea dataOnly="0" labelOnly="1" outline="0" fieldPosition="0">
        <references count="3">
          <reference field="4" count="1" selected="0">
            <x v="2"/>
          </reference>
          <reference field="5" count="1">
            <x v="63"/>
          </reference>
          <reference field="18" count="1" selected="0">
            <x v="92"/>
          </reference>
        </references>
      </pivotArea>
    </format>
    <format dxfId="1123">
      <pivotArea dataOnly="0" labelOnly="1" outline="0" fieldPosition="0">
        <references count="3">
          <reference field="4" count="1" selected="0">
            <x v="2"/>
          </reference>
          <reference field="5" count="1">
            <x v="114"/>
          </reference>
          <reference field="18" count="1" selected="0">
            <x v="113"/>
          </reference>
        </references>
      </pivotArea>
    </format>
    <format dxfId="1122">
      <pivotArea dataOnly="0" labelOnly="1" outline="0" fieldPosition="0">
        <references count="3">
          <reference field="4" count="1" selected="0">
            <x v="2"/>
          </reference>
          <reference field="5" count="1">
            <x v="122"/>
          </reference>
          <reference field="18" count="1" selected="0">
            <x v="120"/>
          </reference>
        </references>
      </pivotArea>
    </format>
    <format dxfId="1121">
      <pivotArea dataOnly="0" labelOnly="1" outline="0" fieldPosition="0">
        <references count="3">
          <reference field="4" count="1" selected="0">
            <x v="2"/>
          </reference>
          <reference field="5" count="1">
            <x v="123"/>
          </reference>
          <reference field="18" count="1" selected="0">
            <x v="121"/>
          </reference>
        </references>
      </pivotArea>
    </format>
    <format dxfId="1120">
      <pivotArea dataOnly="0" labelOnly="1" outline="0" fieldPosition="0">
        <references count="3">
          <reference field="4" count="1" selected="0">
            <x v="3"/>
          </reference>
          <reference field="5" count="1">
            <x v="61"/>
          </reference>
          <reference field="18" count="1" selected="0">
            <x v="101"/>
          </reference>
        </references>
      </pivotArea>
    </format>
    <format dxfId="1119">
      <pivotArea dataOnly="0" labelOnly="1" outline="0" fieldPosition="0">
        <references count="3">
          <reference field="4" count="1" selected="0">
            <x v="3"/>
          </reference>
          <reference field="5" count="1">
            <x v="21"/>
          </reference>
          <reference field="18" count="1" selected="0">
            <x v="105"/>
          </reference>
        </references>
      </pivotArea>
    </format>
    <format dxfId="1118">
      <pivotArea dataOnly="0" labelOnly="1" outline="0" fieldPosition="0">
        <references count="3">
          <reference field="4" count="1" selected="0">
            <x v="3"/>
          </reference>
          <reference field="5" count="1">
            <x v="22"/>
          </reference>
          <reference field="18" count="1" selected="0">
            <x v="106"/>
          </reference>
        </references>
      </pivotArea>
    </format>
    <format dxfId="1117">
      <pivotArea dataOnly="0" labelOnly="1" outline="0" fieldPosition="0">
        <references count="3">
          <reference field="4" count="1" selected="0">
            <x v="3"/>
          </reference>
          <reference field="5" count="1">
            <x v="120"/>
          </reference>
          <reference field="18" count="1" selected="0">
            <x v="118"/>
          </reference>
        </references>
      </pivotArea>
    </format>
    <format dxfId="1116">
      <pivotArea dataOnly="0" labelOnly="1" outline="0" fieldPosition="0">
        <references count="3">
          <reference field="4" count="1" selected="0">
            <x v="3"/>
          </reference>
          <reference field="5" count="1">
            <x v="125"/>
          </reference>
          <reference field="18" count="1" selected="0">
            <x v="123"/>
          </reference>
        </references>
      </pivotArea>
    </format>
    <format dxfId="1115">
      <pivotArea dataOnly="0" labelOnly="1" outline="0" fieldPosition="0">
        <references count="3">
          <reference field="4" count="1" selected="0">
            <x v="3"/>
          </reference>
          <reference field="5" count="1">
            <x v="130"/>
          </reference>
          <reference field="18" count="1" selected="0">
            <x v="128"/>
          </reference>
        </references>
      </pivotArea>
    </format>
    <format dxfId="1114">
      <pivotArea dataOnly="0" labelOnly="1" outline="0" fieldPosition="0">
        <references count="3">
          <reference field="4" count="1" selected="0">
            <x v="3"/>
          </reference>
          <reference field="5" count="1">
            <x v="134"/>
          </reference>
          <reference field="18" count="1" selected="0">
            <x v="129"/>
          </reference>
        </references>
      </pivotArea>
    </format>
    <format dxfId="1113">
      <pivotArea dataOnly="0" labelOnly="1" outline="0" fieldPosition="0">
        <references count="3">
          <reference field="4" count="1" selected="0">
            <x v="4"/>
          </reference>
          <reference field="5" count="1">
            <x v="50"/>
          </reference>
          <reference field="18" count="1" selected="0">
            <x v="49"/>
          </reference>
        </references>
      </pivotArea>
    </format>
    <format dxfId="1112">
      <pivotArea dataOnly="0" labelOnly="1" outline="0" fieldPosition="0">
        <references count="3">
          <reference field="4" count="1" selected="0">
            <x v="4"/>
          </reference>
          <reference field="5" count="1">
            <x v="26"/>
          </reference>
          <reference field="18" count="1" selected="0">
            <x v="75"/>
          </reference>
        </references>
      </pivotArea>
    </format>
    <format dxfId="1111">
      <pivotArea dataOnly="0" labelOnly="1" outline="0" fieldPosition="0">
        <references count="3">
          <reference field="4" count="1" selected="0">
            <x v="4"/>
          </reference>
          <reference field="5" count="1">
            <x v="46"/>
          </reference>
          <reference field="18" count="1" selected="0">
            <x v="77"/>
          </reference>
        </references>
      </pivotArea>
    </format>
    <format dxfId="1110">
      <pivotArea dataOnly="0" labelOnly="1" outline="0" fieldPosition="0">
        <references count="3">
          <reference field="4" count="1" selected="0">
            <x v="4"/>
          </reference>
          <reference field="5" count="1">
            <x v="45"/>
          </reference>
          <reference field="18" count="1" selected="0">
            <x v="78"/>
          </reference>
        </references>
      </pivotArea>
    </format>
    <format dxfId="1109">
      <pivotArea dataOnly="0" labelOnly="1" outline="0" fieldPosition="0">
        <references count="3">
          <reference field="4" count="1" selected="0">
            <x v="4"/>
          </reference>
          <reference field="5" count="1">
            <x v="35"/>
          </reference>
          <reference field="18" count="1" selected="0">
            <x v="79"/>
          </reference>
        </references>
      </pivotArea>
    </format>
    <format dxfId="1108">
      <pivotArea dataOnly="0" labelOnly="1" outline="0" fieldPosition="0">
        <references count="3">
          <reference field="4" count="1" selected="0">
            <x v="4"/>
          </reference>
          <reference field="5" count="1">
            <x v="108"/>
          </reference>
          <reference field="18" count="1" selected="0">
            <x v="107"/>
          </reference>
        </references>
      </pivotArea>
    </format>
    <format dxfId="1107">
      <pivotArea dataOnly="0" labelOnly="1" outline="0" fieldPosition="0">
        <references count="3">
          <reference field="4" count="1" selected="0">
            <x v="4"/>
          </reference>
          <reference field="5" count="1">
            <x v="110"/>
          </reference>
          <reference field="18" count="1" selected="0">
            <x v="109"/>
          </reference>
        </references>
      </pivotArea>
    </format>
    <format dxfId="1106">
      <pivotArea dataOnly="0" labelOnly="1" outline="0" fieldPosition="0">
        <references count="3">
          <reference field="4" count="1" selected="0">
            <x v="4"/>
          </reference>
          <reference field="5" count="1">
            <x v="119"/>
          </reference>
          <reference field="18" count="1" selected="0">
            <x v="117"/>
          </reference>
        </references>
      </pivotArea>
    </format>
    <format dxfId="1105">
      <pivotArea dataOnly="0" labelOnly="1" outline="0" fieldPosition="0">
        <references count="3">
          <reference field="4" count="1" selected="0">
            <x v="4"/>
          </reference>
          <reference field="5" count="1">
            <x v="121"/>
          </reference>
          <reference field="18" count="1" selected="0">
            <x v="119"/>
          </reference>
        </references>
      </pivotArea>
    </format>
    <format dxfId="1104">
      <pivotArea dataOnly="0" labelOnly="1" outline="0" fieldPosition="0">
        <references count="3">
          <reference field="4" count="1" selected="0">
            <x v="5"/>
          </reference>
          <reference field="5" count="1">
            <x v="48"/>
          </reference>
          <reference field="18" count="1" selected="0">
            <x v="102"/>
          </reference>
        </references>
      </pivotArea>
    </format>
    <format dxfId="1103">
      <pivotArea dataOnly="0" labelOnly="1" outline="0" fieldPosition="0">
        <references count="3">
          <reference field="4" count="1" selected="0">
            <x v="5"/>
          </reference>
          <reference field="5" count="1">
            <x v="15"/>
          </reference>
          <reference field="18" count="1" selected="0">
            <x v="103"/>
          </reference>
        </references>
      </pivotArea>
    </format>
    <format dxfId="1102">
      <pivotArea dataOnly="0" labelOnly="1" outline="0" fieldPosition="0">
        <references count="3">
          <reference field="4" count="1" selected="0">
            <x v="5"/>
          </reference>
          <reference field="5" count="1">
            <x v="135"/>
          </reference>
          <reference field="18" count="1" selected="0">
            <x v="133"/>
          </reference>
        </references>
      </pivotArea>
    </format>
    <format dxfId="1101">
      <pivotArea dataOnly="0" labelOnly="1" outline="0" fieldPosition="0">
        <references count="3">
          <reference field="4" count="1" selected="0">
            <x v="6"/>
          </reference>
          <reference field="5" count="1">
            <x v="49"/>
          </reference>
          <reference field="18" count="1" selected="0">
            <x v="57"/>
          </reference>
        </references>
      </pivotArea>
    </format>
    <format dxfId="1100">
      <pivotArea dataOnly="0" labelOnly="1" outline="0" fieldPosition="0">
        <references count="3">
          <reference field="4" count="1" selected="0">
            <x v="6"/>
          </reference>
          <reference field="5" count="1">
            <x v="24"/>
          </reference>
          <reference field="18" count="1" selected="0">
            <x v="58"/>
          </reference>
        </references>
      </pivotArea>
    </format>
    <format dxfId="1099">
      <pivotArea dataOnly="0" labelOnly="1" outline="0" fieldPosition="0">
        <references count="3">
          <reference field="4" count="1" selected="0">
            <x v="6"/>
          </reference>
          <reference field="5" count="1">
            <x v="68"/>
          </reference>
          <reference field="18" count="1" selected="0">
            <x v="59"/>
          </reference>
        </references>
      </pivotArea>
    </format>
    <format dxfId="1098">
      <pivotArea dataOnly="0" labelOnly="1" outline="0" fieldPosition="0">
        <references count="3">
          <reference field="4" count="1" selected="0">
            <x v="7"/>
          </reference>
          <reference field="5" count="1">
            <x v="93"/>
          </reference>
          <reference field="18" count="1" selected="0">
            <x v="60"/>
          </reference>
        </references>
      </pivotArea>
    </format>
    <format dxfId="1097">
      <pivotArea dataOnly="0" labelOnly="1" outline="0" fieldPosition="0">
        <references count="3">
          <reference field="4" count="1" selected="0">
            <x v="7"/>
          </reference>
          <reference field="5" count="1">
            <x v="69"/>
          </reference>
          <reference field="18" count="1" selected="0">
            <x v="80"/>
          </reference>
        </references>
      </pivotArea>
    </format>
    <format dxfId="1096">
      <pivotArea dataOnly="0" labelOnly="1" outline="0" fieldPosition="0">
        <references count="3">
          <reference field="4" count="1" selected="0">
            <x v="8"/>
          </reference>
          <reference field="5" count="1">
            <x v="55"/>
          </reference>
          <reference field="18" count="1" selected="0">
            <x v="44"/>
          </reference>
        </references>
      </pivotArea>
    </format>
    <format dxfId="1095">
      <pivotArea dataOnly="0" labelOnly="1" outline="0" fieldPosition="0">
        <references count="3">
          <reference field="4" count="1" selected="0">
            <x v="8"/>
          </reference>
          <reference field="5" count="1">
            <x v="47"/>
          </reference>
          <reference field="18" count="1" selected="0">
            <x v="46"/>
          </reference>
        </references>
      </pivotArea>
    </format>
    <format dxfId="1094">
      <pivotArea dataOnly="0" labelOnly="1" outline="0" fieldPosition="0">
        <references count="3">
          <reference field="4" count="1" selected="0">
            <x v="8"/>
          </reference>
          <reference field="5" count="1">
            <x v="72"/>
          </reference>
          <reference field="18" count="1" selected="0">
            <x v="47"/>
          </reference>
        </references>
      </pivotArea>
    </format>
    <format dxfId="1093">
      <pivotArea dataOnly="0" labelOnly="1" outline="0" fieldPosition="0">
        <references count="3">
          <reference field="4" count="1" selected="0">
            <x v="8"/>
          </reference>
          <reference field="5" count="1">
            <x v="43"/>
          </reference>
          <reference field="18" count="1" selected="0">
            <x v="48"/>
          </reference>
        </references>
      </pivotArea>
    </format>
    <format dxfId="1092">
      <pivotArea dataOnly="0" labelOnly="1" outline="0" fieldPosition="0">
        <references count="3">
          <reference field="4" count="1" selected="0">
            <x v="8"/>
          </reference>
          <reference field="5" count="1">
            <x v="33"/>
          </reference>
          <reference field="18" count="1" selected="0">
            <x v="52"/>
          </reference>
        </references>
      </pivotArea>
    </format>
    <format dxfId="1091">
      <pivotArea dataOnly="0" labelOnly="1" outline="0" fieldPosition="0">
        <references count="3">
          <reference field="4" count="1" selected="0">
            <x v="8"/>
          </reference>
          <reference field="5" count="1">
            <x v="34"/>
          </reference>
          <reference field="18" count="1" selected="0">
            <x v="53"/>
          </reference>
        </references>
      </pivotArea>
    </format>
    <format dxfId="1090">
      <pivotArea dataOnly="0" labelOnly="1" outline="0" fieldPosition="0">
        <references count="3">
          <reference field="4" count="1" selected="0">
            <x v="8"/>
          </reference>
          <reference field="5" count="1">
            <x v="32"/>
          </reference>
          <reference field="18" count="1" selected="0">
            <x v="54"/>
          </reference>
        </references>
      </pivotArea>
    </format>
    <format dxfId="1089">
      <pivotArea dataOnly="0" labelOnly="1" outline="0" fieldPosition="0">
        <references count="3">
          <reference field="4" count="1" selected="0">
            <x v="8"/>
          </reference>
          <reference field="5" count="1">
            <x v="74"/>
          </reference>
          <reference field="18" count="1" selected="0">
            <x v="55"/>
          </reference>
        </references>
      </pivotArea>
    </format>
    <format dxfId="1088">
      <pivotArea dataOnly="0" labelOnly="1" outline="0" fieldPosition="0">
        <references count="3">
          <reference field="4" count="1" selected="0">
            <x v="8"/>
          </reference>
          <reference field="5" count="1">
            <x v="87"/>
          </reference>
          <reference field="18" count="1" selected="0">
            <x v="56"/>
          </reference>
        </references>
      </pivotArea>
    </format>
    <format dxfId="1087">
      <pivotArea dataOnly="0" labelOnly="1" outline="0" fieldPosition="0">
        <references count="3">
          <reference field="4" count="1" selected="0">
            <x v="8"/>
          </reference>
          <reference field="5" count="1">
            <x v="20"/>
          </reference>
          <reference field="18" count="1" selected="0">
            <x v="71"/>
          </reference>
        </references>
      </pivotArea>
    </format>
    <format dxfId="1086">
      <pivotArea dataOnly="0" labelOnly="1" outline="0" fieldPosition="0">
        <references count="3">
          <reference field="4" count="1" selected="0">
            <x v="8"/>
          </reference>
          <reference field="5" count="1">
            <x v="16"/>
          </reference>
          <reference field="18" count="1" selected="0">
            <x v="72"/>
          </reference>
        </references>
      </pivotArea>
    </format>
    <format dxfId="1085">
      <pivotArea dataOnly="0" labelOnly="1" outline="0" fieldPosition="0">
        <references count="3">
          <reference field="4" count="1" selected="0">
            <x v="8"/>
          </reference>
          <reference field="5" count="1">
            <x v="11"/>
          </reference>
          <reference field="18" count="1" selected="0">
            <x v="73"/>
          </reference>
        </references>
      </pivotArea>
    </format>
    <format dxfId="1084">
      <pivotArea dataOnly="0" labelOnly="1" outline="0" fieldPosition="0">
        <references count="3">
          <reference field="4" count="1" selected="0">
            <x v="8"/>
          </reference>
          <reference field="5" count="1">
            <x v="76"/>
          </reference>
          <reference field="18" count="1" selected="0">
            <x v="74"/>
          </reference>
        </references>
      </pivotArea>
    </format>
    <format dxfId="1083">
      <pivotArea dataOnly="0" labelOnly="1" outline="0" fieldPosition="0">
        <references count="3">
          <reference field="4" count="1" selected="0">
            <x v="8"/>
          </reference>
          <reference field="5" count="1">
            <x v="71"/>
          </reference>
          <reference field="18" count="1" selected="0">
            <x v="76"/>
          </reference>
        </references>
      </pivotArea>
    </format>
    <format dxfId="1082">
      <pivotArea dataOnly="0" labelOnly="1" outline="0" fieldPosition="0">
        <references count="3">
          <reference field="4" count="1" selected="0">
            <x v="8"/>
          </reference>
          <reference field="5" count="1">
            <x v="113"/>
          </reference>
          <reference field="18" count="1" selected="0">
            <x v="112"/>
          </reference>
        </references>
      </pivotArea>
    </format>
    <format dxfId="1081">
      <pivotArea dataOnly="0" labelOnly="1" outline="0" fieldPosition="0">
        <references count="3">
          <reference field="4" count="1" selected="0">
            <x v="9"/>
          </reference>
          <reference field="5" count="1">
            <x v="57"/>
          </reference>
          <reference field="18" count="1" selected="0">
            <x v="100"/>
          </reference>
        </references>
      </pivotArea>
    </format>
    <format dxfId="1080">
      <pivotArea dataOnly="0" labelOnly="1" outline="0" fieldPosition="0">
        <references count="3">
          <reference field="4" count="1" selected="0">
            <x v="9"/>
          </reference>
          <reference field="5" count="1">
            <x v="126"/>
          </reference>
          <reference field="18" count="1" selected="0">
            <x v="124"/>
          </reference>
        </references>
      </pivotArea>
    </format>
    <format dxfId="1079">
      <pivotArea dataOnly="0" labelOnly="1" outline="0" fieldPosition="0">
        <references count="3">
          <reference field="4" count="1" selected="0">
            <x v="9"/>
          </reference>
          <reference field="5" count="1">
            <x v="127"/>
          </reference>
          <reference field="18" count="1" selected="0">
            <x v="125"/>
          </reference>
        </references>
      </pivotArea>
    </format>
    <format dxfId="1078">
      <pivotArea dataOnly="0" labelOnly="1" outline="0" fieldPosition="0">
        <references count="3">
          <reference field="4" count="1" selected="0">
            <x v="10"/>
          </reference>
          <reference field="5" count="2">
            <x v="85"/>
            <x v="117"/>
          </reference>
          <reference field="18" count="1" selected="0">
            <x v="0"/>
          </reference>
        </references>
      </pivotArea>
    </format>
    <format dxfId="1077">
      <pivotArea dataOnly="0" labelOnly="1" outline="0" fieldPosition="0">
        <references count="3">
          <reference field="4" count="1" selected="0">
            <x v="10"/>
          </reference>
          <reference field="5" count="1">
            <x v="95"/>
          </reference>
          <reference field="18" count="1" selected="0">
            <x v="1"/>
          </reference>
        </references>
      </pivotArea>
    </format>
    <format dxfId="1076">
      <pivotArea dataOnly="0" labelOnly="1" outline="0" fieldPosition="0">
        <references count="3">
          <reference field="4" count="1" selected="0">
            <x v="10"/>
          </reference>
          <reference field="5" count="1">
            <x v="73"/>
          </reference>
          <reference field="18" count="1" selected="0">
            <x v="2"/>
          </reference>
        </references>
      </pivotArea>
    </format>
    <format dxfId="1075">
      <pivotArea dataOnly="0" labelOnly="1" outline="0" fieldPosition="0">
        <references count="3">
          <reference field="4" count="1" selected="0">
            <x v="10"/>
          </reference>
          <reference field="5" count="1">
            <x v="97"/>
          </reference>
          <reference field="18" count="1" selected="0">
            <x v="3"/>
          </reference>
        </references>
      </pivotArea>
    </format>
    <format dxfId="1074">
      <pivotArea dataOnly="0" labelOnly="1" outline="0" fieldPosition="0">
        <references count="3">
          <reference field="4" count="1" selected="0">
            <x v="10"/>
          </reference>
          <reference field="5" count="1">
            <x v="96"/>
          </reference>
          <reference field="18" count="1" selected="0">
            <x v="4"/>
          </reference>
        </references>
      </pivotArea>
    </format>
    <format dxfId="1073">
      <pivotArea dataOnly="0" labelOnly="1" outline="0" fieldPosition="0">
        <references count="3">
          <reference field="4" count="1" selected="0">
            <x v="10"/>
          </reference>
          <reference field="5" count="1">
            <x v="98"/>
          </reference>
          <reference field="18" count="1" selected="0">
            <x v="5"/>
          </reference>
        </references>
      </pivotArea>
    </format>
    <format dxfId="1072">
      <pivotArea dataOnly="0" labelOnly="1" outline="0" fieldPosition="0">
        <references count="3">
          <reference field="4" count="1" selected="0">
            <x v="10"/>
          </reference>
          <reference field="5" count="1">
            <x v="88"/>
          </reference>
          <reference field="18" count="1" selected="0">
            <x v="6"/>
          </reference>
        </references>
      </pivotArea>
    </format>
    <format dxfId="1071">
      <pivotArea dataOnly="0" labelOnly="1" outline="0" fieldPosition="0">
        <references count="3">
          <reference field="4" count="1" selected="0">
            <x v="10"/>
          </reference>
          <reference field="5" count="1">
            <x v="44"/>
          </reference>
          <reference field="18" count="1" selected="0">
            <x v="7"/>
          </reference>
        </references>
      </pivotArea>
    </format>
    <format dxfId="1070">
      <pivotArea dataOnly="0" labelOnly="1" outline="0" fieldPosition="0">
        <references count="3">
          <reference field="4" count="1" selected="0">
            <x v="10"/>
          </reference>
          <reference field="5" count="1">
            <x v="92"/>
          </reference>
          <reference field="18" count="1" selected="0">
            <x v="8"/>
          </reference>
        </references>
      </pivotArea>
    </format>
    <format dxfId="1069">
      <pivotArea dataOnly="0" labelOnly="1" outline="0" fieldPosition="0">
        <references count="3">
          <reference field="4" count="1" selected="0">
            <x v="10"/>
          </reference>
          <reference field="5" count="1">
            <x v="9"/>
          </reference>
          <reference field="18" count="1" selected="0">
            <x v="9"/>
          </reference>
        </references>
      </pivotArea>
    </format>
    <format dxfId="1068">
      <pivotArea dataOnly="0" labelOnly="1" outline="0" fieldPosition="0">
        <references count="3">
          <reference field="4" count="1" selected="0">
            <x v="10"/>
          </reference>
          <reference field="5" count="1">
            <x v="10"/>
          </reference>
          <reference field="18" count="1" selected="0">
            <x v="10"/>
          </reference>
        </references>
      </pivotArea>
    </format>
    <format dxfId="1067">
      <pivotArea dataOnly="0" labelOnly="1" outline="0" fieldPosition="0">
        <references count="3">
          <reference field="4" count="1" selected="0">
            <x v="10"/>
          </reference>
          <reference field="5" count="1">
            <x v="8"/>
          </reference>
          <reference field="18" count="1" selected="0">
            <x v="11"/>
          </reference>
        </references>
      </pivotArea>
    </format>
    <format dxfId="1066">
      <pivotArea dataOnly="0" labelOnly="1" outline="0" fieldPosition="0">
        <references count="3">
          <reference field="4" count="1" selected="0">
            <x v="10"/>
          </reference>
          <reference field="5" count="1">
            <x v="23"/>
          </reference>
          <reference field="18" count="1" selected="0">
            <x v="12"/>
          </reference>
        </references>
      </pivotArea>
    </format>
    <format dxfId="1065">
      <pivotArea dataOnly="0" labelOnly="1" outline="0" fieldPosition="0">
        <references count="3">
          <reference field="4" count="1" selected="0">
            <x v="10"/>
          </reference>
          <reference field="5" count="1">
            <x v="28"/>
          </reference>
          <reference field="18" count="1" selected="0">
            <x v="13"/>
          </reference>
        </references>
      </pivotArea>
    </format>
    <format dxfId="1064">
      <pivotArea dataOnly="0" labelOnly="1" outline="0" fieldPosition="0">
        <references count="3">
          <reference field="4" count="1" selected="0">
            <x v="10"/>
          </reference>
          <reference field="5" count="1">
            <x v="27"/>
          </reference>
          <reference field="18" count="1" selected="0">
            <x v="14"/>
          </reference>
        </references>
      </pivotArea>
    </format>
    <format dxfId="1063">
      <pivotArea dataOnly="0" labelOnly="1" outline="0" fieldPosition="0">
        <references count="3">
          <reference field="4" count="1" selected="0">
            <x v="10"/>
          </reference>
          <reference field="5" count="1">
            <x v="42"/>
          </reference>
          <reference field="18" count="1" selected="0">
            <x v="15"/>
          </reference>
        </references>
      </pivotArea>
    </format>
    <format dxfId="1062">
      <pivotArea dataOnly="0" labelOnly="1" outline="0" fieldPosition="0">
        <references count="3">
          <reference field="4" count="1" selected="0">
            <x v="10"/>
          </reference>
          <reference field="5" count="1">
            <x v="18"/>
          </reference>
          <reference field="18" count="1" selected="0">
            <x v="16"/>
          </reference>
        </references>
      </pivotArea>
    </format>
    <format dxfId="1061">
      <pivotArea dataOnly="0" labelOnly="1" outline="0" fieldPosition="0">
        <references count="3">
          <reference field="4" count="1" selected="0">
            <x v="10"/>
          </reference>
          <reference field="5" count="1">
            <x v="19"/>
          </reference>
          <reference field="18" count="1" selected="0">
            <x v="17"/>
          </reference>
        </references>
      </pivotArea>
    </format>
    <format dxfId="1060">
      <pivotArea dataOnly="0" labelOnly="1" outline="0" fieldPosition="0">
        <references count="3">
          <reference field="4" count="1" selected="0">
            <x v="10"/>
          </reference>
          <reference field="5" count="1">
            <x v="52"/>
          </reference>
          <reference field="18" count="1" selected="0">
            <x v="18"/>
          </reference>
        </references>
      </pivotArea>
    </format>
    <format dxfId="1059">
      <pivotArea dataOnly="0" labelOnly="1" outline="0" fieldPosition="0">
        <references count="3">
          <reference field="4" count="1" selected="0">
            <x v="10"/>
          </reference>
          <reference field="5" count="1">
            <x v="53"/>
          </reference>
          <reference field="18" count="1" selected="0">
            <x v="19"/>
          </reference>
        </references>
      </pivotArea>
    </format>
    <format dxfId="1058">
      <pivotArea dataOnly="0" labelOnly="1" outline="0" fieldPosition="0">
        <references count="3">
          <reference field="4" count="1" selected="0">
            <x v="10"/>
          </reference>
          <reference field="5" count="1">
            <x v="105"/>
          </reference>
          <reference field="18" count="1" selected="0">
            <x v="20"/>
          </reference>
        </references>
      </pivotArea>
    </format>
    <format dxfId="1057">
      <pivotArea dataOnly="0" labelOnly="1" outline="0" fieldPosition="0">
        <references count="3">
          <reference field="4" count="1" selected="0">
            <x v="10"/>
          </reference>
          <reference field="5" count="1">
            <x v="65"/>
          </reference>
          <reference field="18" count="1" selected="0">
            <x v="21"/>
          </reference>
        </references>
      </pivotArea>
    </format>
    <format dxfId="1056">
      <pivotArea dataOnly="0" labelOnly="1" outline="0" fieldPosition="0">
        <references count="3">
          <reference field="4" count="1" selected="0">
            <x v="10"/>
          </reference>
          <reference field="5" count="1">
            <x v="75"/>
          </reference>
          <reference field="18" count="1" selected="0">
            <x v="82"/>
          </reference>
        </references>
      </pivotArea>
    </format>
    <format dxfId="1055">
      <pivotArea dataOnly="0" labelOnly="1" outline="0" fieldPosition="0">
        <references count="3">
          <reference field="4" count="1" selected="0">
            <x v="10"/>
          </reference>
          <reference field="5" count="1">
            <x v="132"/>
          </reference>
          <reference field="18" count="1" selected="0">
            <x v="131"/>
          </reference>
        </references>
      </pivotArea>
    </format>
    <format dxfId="1054">
      <pivotArea dataOnly="0" labelOnly="1" outline="0" fieldPosition="0">
        <references count="3">
          <reference field="4" count="1" selected="0">
            <x v="11"/>
          </reference>
          <reference field="5" count="1">
            <x v="60"/>
          </reference>
          <reference field="18" count="1" selected="0">
            <x v="98"/>
          </reference>
        </references>
      </pivotArea>
    </format>
    <format dxfId="1053">
      <pivotArea dataOnly="0" labelOnly="1" outline="0" fieldPosition="0">
        <references count="3">
          <reference field="4" count="1" selected="0">
            <x v="11"/>
          </reference>
          <reference field="5" count="1">
            <x v="59"/>
          </reference>
          <reference field="18" count="1" selected="0">
            <x v="99"/>
          </reference>
        </references>
      </pivotArea>
    </format>
    <format dxfId="1052">
      <pivotArea dataOnly="0" labelOnly="1" outline="0" fieldPosition="0">
        <references count="3">
          <reference field="4" count="1" selected="0">
            <x v="11"/>
          </reference>
          <reference field="5" count="1">
            <x v="128"/>
          </reference>
          <reference field="18" count="1" selected="0">
            <x v="126"/>
          </reference>
        </references>
      </pivotArea>
    </format>
    <format dxfId="1051">
      <pivotArea dataOnly="0" labelOnly="1" outline="0" fieldPosition="0">
        <references count="3">
          <reference field="4" count="1" selected="0">
            <x v="11"/>
          </reference>
          <reference field="5" count="1">
            <x v="129"/>
          </reference>
          <reference field="18" count="1" selected="0">
            <x v="127"/>
          </reference>
        </references>
      </pivotArea>
    </format>
    <format dxfId="1050">
      <pivotArea dataOnly="0" labelOnly="1" outline="0" fieldPosition="0">
        <references count="3">
          <reference field="4" count="1" selected="0">
            <x v="12"/>
          </reference>
          <reference field="5" count="1">
            <x v="64"/>
          </reference>
          <reference field="18" count="1" selected="0">
            <x v="104"/>
          </reference>
        </references>
      </pivotArea>
    </format>
    <format dxfId="1049">
      <pivotArea dataOnly="0" labelOnly="1" outline="0" fieldPosition="0">
        <references count="3">
          <reference field="4" count="1" selected="0">
            <x v="13"/>
          </reference>
          <reference field="5" count="1">
            <x v="90"/>
          </reference>
          <reference field="18" count="1" selected="0">
            <x v="50"/>
          </reference>
        </references>
      </pivotArea>
    </format>
    <format dxfId="1048">
      <pivotArea dataOnly="0" labelOnly="1" outline="0" fieldPosition="0">
        <references count="3">
          <reference field="4" count="1" selected="0">
            <x v="13"/>
          </reference>
          <reference field="5" count="1">
            <x v="91"/>
          </reference>
          <reference field="18" count="1" selected="0">
            <x v="51"/>
          </reference>
        </references>
      </pivotArea>
    </format>
    <format dxfId="1047">
      <pivotArea dataOnly="0" labelOnly="1" outline="0" fieldPosition="0">
        <references count="3">
          <reference field="4" count="1" selected="0">
            <x v="14"/>
          </reference>
          <reference field="5" count="1">
            <x v="80"/>
          </reference>
          <reference field="18" count="1" selected="0">
            <x v="22"/>
          </reference>
        </references>
      </pivotArea>
    </format>
    <format dxfId="1046">
      <pivotArea dataOnly="0" labelOnly="1" outline="0" fieldPosition="0">
        <references count="3">
          <reference field="4" count="1" selected="0">
            <x v="14"/>
          </reference>
          <reference field="5" count="1">
            <x v="82"/>
          </reference>
          <reference field="18" count="1" selected="0">
            <x v="23"/>
          </reference>
        </references>
      </pivotArea>
    </format>
    <format dxfId="1045">
      <pivotArea dataOnly="0" labelOnly="1" outline="0" fieldPosition="0">
        <references count="3">
          <reference field="4" count="1" selected="0">
            <x v="14"/>
          </reference>
          <reference field="5" count="1">
            <x v="36"/>
          </reference>
          <reference field="18" count="1" selected="0">
            <x v="24"/>
          </reference>
        </references>
      </pivotArea>
    </format>
    <format dxfId="1044">
      <pivotArea dataOnly="0" labelOnly="1" outline="0" fieldPosition="0">
        <references count="3">
          <reference field="4" count="1" selected="0">
            <x v="14"/>
          </reference>
          <reference field="5" count="1">
            <x v="12"/>
          </reference>
          <reference field="18" count="1" selected="0">
            <x v="25"/>
          </reference>
        </references>
      </pivotArea>
    </format>
    <format dxfId="1043">
      <pivotArea dataOnly="0" labelOnly="1" outline="0" fieldPosition="0">
        <references count="3">
          <reference field="4" count="1" selected="0">
            <x v="14"/>
          </reference>
          <reference field="5" count="1">
            <x v="39"/>
          </reference>
          <reference field="18" count="1" selected="0">
            <x v="26"/>
          </reference>
        </references>
      </pivotArea>
    </format>
    <format dxfId="1042">
      <pivotArea dataOnly="0" labelOnly="1" outline="0" fieldPosition="0">
        <references count="3">
          <reference field="4" count="1" selected="0">
            <x v="14"/>
          </reference>
          <reference field="5" count="1">
            <x v="81"/>
          </reference>
          <reference field="18" count="1" selected="0">
            <x v="27"/>
          </reference>
        </references>
      </pivotArea>
    </format>
    <format dxfId="1041">
      <pivotArea dataOnly="0" labelOnly="1" outline="0" fieldPosition="0">
        <references count="3">
          <reference field="4" count="1" selected="0">
            <x v="14"/>
          </reference>
          <reference field="5" count="1">
            <x v="38"/>
          </reference>
          <reference field="18" count="1" selected="0">
            <x v="28"/>
          </reference>
        </references>
      </pivotArea>
    </format>
    <format dxfId="1040">
      <pivotArea dataOnly="0" labelOnly="1" outline="0" fieldPosition="0">
        <references count="3">
          <reference field="4" count="1" selected="0">
            <x v="14"/>
          </reference>
          <reference field="5" count="1">
            <x v="79"/>
          </reference>
          <reference field="18" count="1" selected="0">
            <x v="29"/>
          </reference>
        </references>
      </pivotArea>
    </format>
    <format dxfId="1039">
      <pivotArea dataOnly="0" labelOnly="1" outline="0" fieldPosition="0">
        <references count="3">
          <reference field="4" count="1" selected="0">
            <x v="14"/>
          </reference>
          <reference field="5" count="1">
            <x v="101"/>
          </reference>
          <reference field="18" count="1" selected="0">
            <x v="30"/>
          </reference>
        </references>
      </pivotArea>
    </format>
    <format dxfId="1038">
      <pivotArea dataOnly="0" labelOnly="1" outline="0" fieldPosition="0">
        <references count="3">
          <reference field="4" count="1" selected="0">
            <x v="14"/>
          </reference>
          <reference field="5" count="1">
            <x v="99"/>
          </reference>
          <reference field="18" count="1" selected="0">
            <x v="31"/>
          </reference>
        </references>
      </pivotArea>
    </format>
    <format dxfId="1037">
      <pivotArea dataOnly="0" labelOnly="1" outline="0" fieldPosition="0">
        <references count="3">
          <reference field="4" count="1" selected="0">
            <x v="14"/>
          </reference>
          <reference field="5" count="1">
            <x v="100"/>
          </reference>
          <reference field="18" count="1" selected="0">
            <x v="32"/>
          </reference>
        </references>
      </pivotArea>
    </format>
    <format dxfId="1036">
      <pivotArea dataOnly="0" labelOnly="1" outline="0" fieldPosition="0">
        <references count="3">
          <reference field="4" count="1" selected="0">
            <x v="14"/>
          </reference>
          <reference field="5" count="1">
            <x v="41"/>
          </reference>
          <reference field="18" count="1" selected="0">
            <x v="33"/>
          </reference>
        </references>
      </pivotArea>
    </format>
    <format dxfId="1035">
      <pivotArea dataOnly="0" labelOnly="1" outline="0" fieldPosition="0">
        <references count="3">
          <reference field="4" count="1" selected="0">
            <x v="14"/>
          </reference>
          <reference field="5" count="1">
            <x v="40"/>
          </reference>
          <reference field="18" count="1" selected="0">
            <x v="34"/>
          </reference>
        </references>
      </pivotArea>
    </format>
    <format dxfId="1034">
      <pivotArea dataOnly="0" labelOnly="1" outline="0" fieldPosition="0">
        <references count="3">
          <reference field="4" count="1" selected="0">
            <x v="14"/>
          </reference>
          <reference field="5" count="1">
            <x v="89"/>
          </reference>
          <reference field="18" count="1" selected="0">
            <x v="35"/>
          </reference>
        </references>
      </pivotArea>
    </format>
    <format dxfId="1033">
      <pivotArea dataOnly="0" labelOnly="1" outline="0" fieldPosition="0">
        <references count="3">
          <reference field="4" count="1" selected="0">
            <x v="14"/>
          </reference>
          <reference field="5" count="1">
            <x v="4"/>
          </reference>
          <reference field="18" count="1" selected="0">
            <x v="67"/>
          </reference>
        </references>
      </pivotArea>
    </format>
    <format dxfId="1032">
      <pivotArea dataOnly="0" labelOnly="1" outline="0" fieldPosition="0">
        <references count="3">
          <reference field="4" count="1" selected="0">
            <x v="14"/>
          </reference>
          <reference field="5" count="1">
            <x v="13"/>
          </reference>
          <reference field="18" count="1" selected="0">
            <x v="68"/>
          </reference>
        </references>
      </pivotArea>
    </format>
    <format dxfId="1031">
      <pivotArea dataOnly="0" labelOnly="1" outline="0" fieldPosition="0">
        <references count="3">
          <reference field="4" count="1" selected="0">
            <x v="14"/>
          </reference>
          <reference field="5" count="1">
            <x v="104"/>
          </reference>
          <reference field="18" count="1" selected="0">
            <x v="69"/>
          </reference>
        </references>
      </pivotArea>
    </format>
    <format dxfId="1030">
      <pivotArea dataOnly="0" labelOnly="1" outline="0" fieldPosition="0">
        <references count="3">
          <reference field="4" count="1" selected="0">
            <x v="14"/>
          </reference>
          <reference field="5" count="1">
            <x v="37"/>
          </reference>
          <reference field="18" count="1" selected="0">
            <x v="70"/>
          </reference>
        </references>
      </pivotArea>
    </format>
    <format dxfId="1029">
      <pivotArea dataOnly="0" labelOnly="1" outline="0" fieldPosition="0">
        <references count="3">
          <reference field="4" count="1" selected="0">
            <x v="14"/>
          </reference>
          <reference field="5" count="1">
            <x v="78"/>
          </reference>
          <reference field="18" count="1" selected="0">
            <x v="81"/>
          </reference>
        </references>
      </pivotArea>
    </format>
    <format dxfId="1028">
      <pivotArea dataOnly="0" labelOnly="1" outline="0" fieldPosition="0">
        <references count="3">
          <reference field="4" count="1" selected="0">
            <x v="14"/>
          </reference>
          <reference field="5" count="1">
            <x v="111"/>
          </reference>
          <reference field="18" count="1" selected="0">
            <x v="110"/>
          </reference>
        </references>
      </pivotArea>
    </format>
    <format dxfId="1027">
      <pivotArea dataOnly="0" labelOnly="1" outline="0" fieldPosition="0">
        <references count="3">
          <reference field="4" count="1" selected="0">
            <x v="14"/>
          </reference>
          <reference field="5" count="1">
            <x v="131"/>
          </reference>
          <reference field="18" count="1" selected="0">
            <x v="130"/>
          </reference>
        </references>
      </pivotArea>
    </format>
    <format dxfId="1026">
      <pivotArea dataOnly="0" labelOnly="1" outline="0" fieldPosition="0">
        <references count="3">
          <reference field="4" count="1" selected="0">
            <x v="14"/>
          </reference>
          <reference field="5" count="1">
            <x v="133"/>
          </reference>
          <reference field="18" count="1" selected="0">
            <x v="132"/>
          </reference>
        </references>
      </pivotArea>
    </format>
    <format dxfId="1025">
      <pivotArea dataOnly="0" labelOnly="1" outline="0" fieldPosition="0">
        <references count="3">
          <reference field="4" count="1" selected="0">
            <x v="15"/>
          </reference>
          <reference field="5" count="1">
            <x v="117"/>
          </reference>
          <reference field="18"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5" cacheId="23" applyNumberFormats="0" applyBorderFormats="0" applyFontFormats="0" applyPatternFormats="0" applyAlignmentFormats="0" applyWidthHeightFormats="1" dataCaption="Values" grandTotalCaption="Total" updatedVersion="5" minRefreshableVersion="3" useAutoFormatting="1" itemPrintTitles="1" createdVersion="4" indent="0" outline="1" outlineData="1" multipleFieldFilters="0" rowHeaderCaption="Township">
  <location ref="C21:H34" firstHeaderRow="0" firstDataRow="1" firstDataCol="1" rowPageCount="2" colPageCount="1"/>
  <pivotFields count="42">
    <pivotField axis="axisPage" multipleItemSelectionAllowed="1" showAll="0">
      <items count="3">
        <item h="1" x="1"/>
        <item x="0"/>
        <item t="default"/>
      </items>
    </pivotField>
    <pivotField showAll="0"/>
    <pivotField showAll="0"/>
    <pivotField showAll="0"/>
    <pivotField showAll="0"/>
    <pivotField showAll="0" sortType="descending">
      <items count="23">
        <item x="3"/>
        <item x="2"/>
        <item x="11"/>
        <item x="20"/>
        <item x="12"/>
        <item x="7"/>
        <item x="17"/>
        <item x="14"/>
        <item x="5"/>
        <item x="18"/>
        <item x="9"/>
        <item x="10"/>
        <item x="4"/>
        <item x="16"/>
        <item x="0"/>
        <item x="15"/>
        <item x="19"/>
        <item x="8"/>
        <item x="6"/>
        <item x="13"/>
        <item x="1"/>
        <item x="21"/>
        <item t="default"/>
      </items>
      <autoSortScope>
        <pivotArea dataOnly="0" outline="0" fieldPosition="0">
          <references count="1">
            <reference field="4294967294" count="1" selected="0">
              <x v="3"/>
            </reference>
          </references>
        </pivotArea>
      </autoSortScope>
    </pivotField>
    <pivotField showAll="0"/>
    <pivotField showAll="0"/>
    <pivotField showAll="0"/>
    <pivotField showAll="0"/>
    <pivotField showAll="0"/>
    <pivotField showAll="0" sortType="descending">
      <autoSortScope>
        <pivotArea dataOnly="0" outline="0" fieldPosition="0">
          <references count="1">
            <reference field="4294967294" count="1" selected="0">
              <x v="3"/>
            </reference>
          </references>
        </pivotArea>
      </autoSortScope>
    </pivotField>
    <pivotField dataField="1" showAll="0"/>
    <pivotField showAll="0"/>
    <pivotField showAll="0" defaultSubtotal="0"/>
    <pivotField showAll="0"/>
    <pivotField dataField="1" showAll="0"/>
    <pivotField dataField="1" showAll="0"/>
    <pivotField showAll="0"/>
    <pivotField showAll="0"/>
    <pivotField showAll="0" defaultSubtotal="0"/>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dataField="1" showAll="0" defaultSubtotal="0"/>
    <pivotField showAll="0" defaultSubtotal="0"/>
    <pivotField dataField="1" showAll="0" defaultSubtotal="0"/>
    <pivotField showAll="0" defaultSubtotal="0"/>
    <pivotField showAll="0" defaultSubtotal="0"/>
    <pivotField showAll="0" defaultSubtotal="0"/>
    <pivotField dragToRow="0" dragToCol="0" dragToPage="0" showAll="0" defaultSubtotal="0"/>
    <pivotField axis="axisRow" showAll="0" sortType="ascending" defaultSubtotal="0">
      <items count="13">
        <item x="3"/>
        <item x="8"/>
        <item x="0"/>
        <item x="10"/>
        <item x="12"/>
        <item x="5"/>
        <item x="4"/>
        <item x="1"/>
        <item x="6"/>
        <item x="9"/>
        <item x="7"/>
        <item n="Other Townships" x="11"/>
        <item x="2"/>
      </items>
    </pivotField>
    <pivotField dragToRow="0" dragToCol="0" dragToPage="0" showAll="0" defaultSubtotal="0"/>
    <pivotField dragToRow="0" dragToCol="0" dragToPage="0" showAll="0" defaultSubtotal="0"/>
    <pivotField dragToRow="0" dragToCol="0" dragToPage="0" showAll="0" defaultSubtotal="0"/>
  </pivotFields>
  <rowFields count="1">
    <field x="38"/>
  </rowFields>
  <rowItems count="13">
    <i>
      <x/>
    </i>
    <i>
      <x v="1"/>
    </i>
    <i>
      <x v="2"/>
    </i>
    <i>
      <x v="3"/>
    </i>
    <i>
      <x v="4"/>
    </i>
    <i>
      <x v="6"/>
    </i>
    <i>
      <x v="7"/>
    </i>
    <i>
      <x v="8"/>
    </i>
    <i>
      <x v="9"/>
    </i>
    <i>
      <x v="10"/>
    </i>
    <i>
      <x v="11"/>
    </i>
    <i>
      <x v="12"/>
    </i>
    <i t="grand">
      <x/>
    </i>
  </rowItems>
  <colFields count="1">
    <field x="-2"/>
  </colFields>
  <colItems count="5">
    <i>
      <x/>
    </i>
    <i i="1">
      <x v="1"/>
    </i>
    <i i="2">
      <x v="2"/>
    </i>
    <i i="3">
      <x v="3"/>
    </i>
    <i i="4">
      <x v="4"/>
    </i>
  </colItems>
  <pageFields count="2">
    <pageField fld="0" hier="-1"/>
    <pageField fld="21" hier="-1"/>
  </pageFields>
  <dataFields count="5">
    <dataField name="# HH" fld="16" baseField="38" baseItem="0" numFmtId="165"/>
    <dataField name="# Ind." fld="17" baseField="38" baseItem="0" numFmtId="3"/>
    <dataField name="# Camps" fld="12" subtotal="count" baseField="38" baseItem="0"/>
    <dataField name="# Shelter Gap" fld="31" baseField="38" baseItem="0" numFmtId="165"/>
    <dataField name="# Const. Shelter" fld="33" baseField="38" baseItem="0" numFmtId="165"/>
  </dataFields>
  <formats count="10">
    <format dxfId="915">
      <pivotArea outline="0" collapsedLevelsAreSubtotals="1" fieldPosition="0">
        <references count="1">
          <reference field="4294967294" count="1" selected="0">
            <x v="0"/>
          </reference>
        </references>
      </pivotArea>
    </format>
    <format dxfId="914">
      <pivotArea outline="0" collapsedLevelsAreSubtotals="1" fieldPosition="0">
        <references count="1">
          <reference field="4294967294" count="2" selected="0">
            <x v="3"/>
            <x v="4"/>
          </reference>
        </references>
      </pivotArea>
    </format>
    <format dxfId="913">
      <pivotArea outline="0" fieldPosition="0">
        <references count="1">
          <reference field="4294967294" count="1">
            <x v="1"/>
          </reference>
        </references>
      </pivotArea>
    </format>
    <format dxfId="912">
      <pivotArea field="5" type="button" dataOnly="0" labelOnly="1" outline="0"/>
    </format>
    <format dxfId="911">
      <pivotArea dataOnly="0" labelOnly="1" outline="0" fieldPosition="0">
        <references count="1">
          <reference field="4294967294" count="5">
            <x v="0"/>
            <x v="1"/>
            <x v="2"/>
            <x v="3"/>
            <x v="4"/>
          </reference>
        </references>
      </pivotArea>
    </format>
    <format dxfId="910">
      <pivotArea field="5" type="button" dataOnly="0" labelOnly="1" outline="0"/>
    </format>
    <format dxfId="909">
      <pivotArea dataOnly="0" labelOnly="1" outline="0" fieldPosition="0">
        <references count="1">
          <reference field="4294967294" count="5">
            <x v="0"/>
            <x v="1"/>
            <x v="2"/>
            <x v="3"/>
            <x v="4"/>
          </reference>
        </references>
      </pivotArea>
    </format>
    <format dxfId="908">
      <pivotArea dataOnly="0" labelOnly="1" outline="0" fieldPosition="0">
        <references count="1">
          <reference field="4294967294" count="5">
            <x v="0"/>
            <x v="1"/>
            <x v="2"/>
            <x v="3"/>
            <x v="4"/>
          </reference>
        </references>
      </pivotArea>
    </format>
    <format dxfId="907">
      <pivotArea field="5" type="button" dataOnly="0" labelOnly="1" outline="0"/>
    </format>
    <format dxfId="906">
      <pivotArea type="all" dataOnly="0" outline="0" fieldPosition="0"/>
    </format>
  </formats>
  <pivotTableStyleInfo name="PivotStyleMedium9"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3" cacheId="10"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chartFormat="7">
  <location ref="A63:G66" firstHeaderRow="0" firstDataRow="1" firstDataCol="1" rowPageCount="2" colPageCount="1"/>
  <pivotFields count="49">
    <pivotField showAll="0" defaultSubtotal="0"/>
    <pivotField showAll="0"/>
    <pivotField axis="axisRow" showAll="0">
      <items count="15">
        <item x="7"/>
        <item x="5"/>
        <item x="11"/>
        <item x="6"/>
        <item x="9"/>
        <item x="3"/>
        <item x="10"/>
        <item x="4"/>
        <item x="8"/>
        <item x="0"/>
        <item x="1"/>
        <item x="12"/>
        <item x="13"/>
        <item x="2"/>
        <item t="default"/>
      </items>
    </pivotField>
    <pivotField showAll="0"/>
    <pivotField multipleItemSelectionAllowed="1" showAll="0"/>
    <pivotField showAll="0"/>
    <pivotField showAll="0"/>
    <pivotField showAll="0" defaultSubtotal="0"/>
    <pivotField name="NFI Core Kit2" showAll="0" defaultSubtotal="0"/>
    <pivotField showAll="0" defaultSubtotal="0"/>
    <pivotField dataField="1" showAll="0" defaultSubtotal="0"/>
    <pivotField name="Tarpaulin2" dataField="1" showAll="0" defaultSubtotal="0"/>
    <pivotField name="Blanket2" dataField="1" showAll="0" defaultSubtotal="0"/>
    <pivotField name="Kitchen Set2" dataField="1"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4">
        <item x="3"/>
        <item x="1"/>
        <item h="1" x="0"/>
        <item h="1" x="2"/>
      </items>
    </pivotField>
    <pivotField axis="axisPage" multipleItemSelectionAllowed="1" showAll="0" defaultSubtotal="0">
      <items count="3">
        <item h="1" x="1"/>
        <item h="1" x="2"/>
        <item x="0"/>
      </items>
    </pivotField>
    <pivotField showAll="0" defaultSubtotal="0"/>
    <pivotField showAll="0" defaultSubtotal="0"/>
    <pivotField showAll="0" defaultSubtotal="0"/>
    <pivotField showAll="0" defaultSubtotal="0"/>
  </pivotFields>
  <rowFields count="1">
    <field x="2"/>
  </rowFields>
  <rowItems count="3">
    <i>
      <x v="9"/>
    </i>
    <i>
      <x v="10"/>
    </i>
    <i t="grand">
      <x/>
    </i>
  </rowItems>
  <colFields count="1">
    <field x="-2"/>
  </colFields>
  <colItems count="6">
    <i>
      <x/>
    </i>
    <i i="1">
      <x v="1"/>
    </i>
    <i i="2">
      <x v="2"/>
    </i>
    <i i="3">
      <x v="3"/>
    </i>
    <i i="4">
      <x v="4"/>
    </i>
    <i i="5">
      <x v="5"/>
    </i>
  </colItems>
  <pageFields count="2">
    <pageField fld="44" hier="-1"/>
    <pageField fld="43" hier="-1"/>
  </pageFields>
  <dataFields count="6">
    <dataField name="Mosquito net " fld="10" baseField="0" baseItem="0"/>
    <dataField name="Tarpaulin" fld="11" baseField="0" baseItem="0"/>
    <dataField name="Blanket" fld="12" baseField="0" baseItem="0"/>
    <dataField name="Kitchen Set" fld="13" baseField="0" baseItem="0"/>
    <dataField name="Plastic Bucket " fld="15" baseField="0" baseItem="0"/>
    <dataField name="Plastic Mat " fld="16" baseField="0" baseItem="0"/>
  </dataFields>
  <formats count="2">
    <format dxfId="810">
      <pivotArea outline="0" collapsedLevelsAreSubtotals="1" fieldPosition="0"/>
    </format>
    <format dxfId="809">
      <pivotArea type="all" dataOnly="0" outline="0" fieldPosition="0"/>
    </format>
  </formats>
  <chartFormats count="6">
    <chartFormat chart="5" format="35" series="1">
      <pivotArea type="data" outline="0" fieldPosition="0">
        <references count="1">
          <reference field="4294967294" count="1" selected="0">
            <x v="0"/>
          </reference>
        </references>
      </pivotArea>
    </chartFormat>
    <chartFormat chart="5" format="36" series="1">
      <pivotArea type="data" outline="0" fieldPosition="0">
        <references count="1">
          <reference field="4294967294" count="1" selected="0">
            <x v="1"/>
          </reference>
        </references>
      </pivotArea>
    </chartFormat>
    <chartFormat chart="5" format="37" series="1">
      <pivotArea type="data" outline="0" fieldPosition="0">
        <references count="1">
          <reference field="4294967294" count="1" selected="0">
            <x v="2"/>
          </reference>
        </references>
      </pivotArea>
    </chartFormat>
    <chartFormat chart="5" format="38" series="1">
      <pivotArea type="data" outline="0" fieldPosition="0">
        <references count="1">
          <reference field="4294967294" count="1" selected="0">
            <x v="3"/>
          </reference>
        </references>
      </pivotArea>
    </chartFormat>
    <chartFormat chart="5" format="40" series="1">
      <pivotArea type="data" outline="0" fieldPosition="0">
        <references count="1">
          <reference field="4294967294" count="1" selected="0">
            <x v="4"/>
          </reference>
        </references>
      </pivotArea>
    </chartFormat>
    <chartFormat chart="5" format="41"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4" cacheId="1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73:D80" firstHeaderRow="0" firstDataRow="1" firstDataCol="1" rowPageCount="3" colPageCount="1"/>
  <pivotFields count="49">
    <pivotField showAll="0" defaultSubtotal="0"/>
    <pivotField showAll="0"/>
    <pivotField axis="axisRow" showAll="0">
      <items count="15">
        <item x="7"/>
        <item x="5"/>
        <item x="11"/>
        <item x="6"/>
        <item x="9"/>
        <item x="3"/>
        <item x="10"/>
        <item x="4"/>
        <item x="8"/>
        <item x="0"/>
        <item x="1"/>
        <item x="12"/>
        <item x="13"/>
        <item x="2"/>
        <item t="default"/>
      </items>
    </pivotField>
    <pivotField showAll="0"/>
    <pivotField multipleItemSelectionAllowed="1" showAll="0"/>
    <pivotField showAll="0"/>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axis="axisPage" multipleItemSelectionAllowed="1" showAll="0" defaultSubtotal="0">
      <items count="3">
        <item h="1" x="0"/>
        <item x="2"/>
        <item h="1" x="1"/>
      </items>
    </pivotField>
    <pivotField showAll="0" defaultSubtotal="0"/>
    <pivotField showAll="0" defaultSubtotal="0"/>
    <pivotField showAll="0" defaultSubtotal="0"/>
    <pivotField showAll="0" defaultSubtotal="0"/>
    <pivotField multipleItemSelectionAllowed="1" showAll="0" defaultSubtotal="0"/>
    <pivotField axis="axisPage" multipleItemSelectionAllowed="1" showAll="0" defaultSubtotal="0">
      <items count="3">
        <item h="1" x="1"/>
        <item h="1" x="2"/>
        <item x="0"/>
      </items>
    </pivotField>
    <pivotField axis="axisPage" multipleItemSelectionAllowed="1" showAll="0" defaultSubtotal="0">
      <items count="7">
        <item h="1" x="4"/>
        <item x="5"/>
        <item h="1" x="6"/>
        <item h="1" x="1"/>
        <item h="1" x="0"/>
        <item h="1" x="2"/>
        <item h="1" x="3"/>
      </items>
    </pivotField>
    <pivotField showAll="0" defaultSubtotal="0"/>
    <pivotField showAll="0" defaultSubtotal="0"/>
    <pivotField showAll="0" defaultSubtotal="0"/>
  </pivotFields>
  <rowFields count="1">
    <field x="2"/>
  </rowFields>
  <rowItems count="7">
    <i>
      <x v="1"/>
    </i>
    <i>
      <x v="3"/>
    </i>
    <i>
      <x v="5"/>
    </i>
    <i>
      <x v="7"/>
    </i>
    <i>
      <x v="9"/>
    </i>
    <i>
      <x v="10"/>
    </i>
    <i t="grand">
      <x/>
    </i>
  </rowItems>
  <colFields count="1">
    <field x="-2"/>
  </colFields>
  <colItems count="3">
    <i>
      <x/>
    </i>
    <i i="1">
      <x v="1"/>
    </i>
    <i i="2">
      <x v="2"/>
    </i>
  </colItems>
  <pageFields count="3">
    <pageField fld="44" hier="-1"/>
    <pageField fld="45" hier="-1"/>
    <pageField fld="38" hier="-1"/>
  </pageFields>
  <dataFields count="3">
    <dataField name="Winter Clothes Adult " fld="17" baseField="2" baseItem="6"/>
    <dataField name="Winter Clothes Children " fld="18" baseField="2" baseItem="6"/>
    <dataField name="Winter Blanket " fld="20" baseField="2" baseItem="6"/>
  </dataFields>
  <formats count="10">
    <format dxfId="820">
      <pivotArea outline="0" collapsedLevelsAreSubtotals="1" fieldPosition="0"/>
    </format>
    <format dxfId="819">
      <pivotArea type="all" dataOnly="0" outline="0" fieldPosition="0"/>
    </format>
    <format dxfId="818">
      <pivotArea field="44" type="button" dataOnly="0" labelOnly="1" outline="0" axis="axisPage" fieldPosition="0"/>
    </format>
    <format dxfId="817">
      <pivotArea dataOnly="0" labelOnly="1" outline="0" fieldPosition="0">
        <references count="1">
          <reference field="44" count="0"/>
        </references>
      </pivotArea>
    </format>
    <format dxfId="816">
      <pivotArea field="45" type="button" dataOnly="0" labelOnly="1" outline="0" axis="axisPage" fieldPosition="1"/>
    </format>
    <format dxfId="815">
      <pivotArea dataOnly="0" labelOnly="1" outline="0" fieldPosition="0">
        <references count="1">
          <reference field="45" count="0"/>
        </references>
      </pivotArea>
    </format>
    <format dxfId="814">
      <pivotArea field="38" type="button" dataOnly="0" labelOnly="1" outline="0" axis="axisPage" fieldPosition="2"/>
    </format>
    <format dxfId="813">
      <pivotArea dataOnly="0" labelOnly="1" outline="0" fieldPosition="0">
        <references count="1">
          <reference field="38" count="0"/>
        </references>
      </pivotArea>
    </format>
    <format dxfId="812">
      <pivotArea field="2" type="button" dataOnly="0" labelOnly="1" outline="0" axis="axisRow" fieldPosition="0"/>
    </format>
    <format dxfId="811">
      <pivotArea dataOnly="0" labelOnly="1" outline="0" fieldPosition="0">
        <references count="1">
          <reference field="4294967294" count="3">
            <x v="0"/>
            <x v="1"/>
            <x v="2"/>
          </reference>
        </references>
      </pivotArea>
    </format>
  </formats>
  <chartFormats count="3">
    <chartFormat chart="10"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1"/>
          </reference>
        </references>
      </pivotArea>
    </chartFormat>
    <chartFormat chart="10"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5" cacheId="2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81:D92" firstHeaderRow="0" firstDataRow="1" firstDataCol="1" rowPageCount="2" colPageCount="1"/>
  <pivotFields count="42">
    <pivotField axis="axisPage" multipleItemSelectionAllowed="1" showAll="0">
      <items count="3">
        <item x="0"/>
        <item h="1" x="1"/>
        <item t="default"/>
      </items>
    </pivotField>
    <pivotField axis="axisRow" multipleItemSelectionAllowed="1" showAll="0">
      <items count="3">
        <item x="0"/>
        <item sd="0" x="1"/>
        <item t="default"/>
      </items>
    </pivotField>
    <pivotField showAll="0" defaultSubtotal="0"/>
    <pivotField showAll="0" defaultSubtotal="0"/>
    <pivotField showAll="0" defaultSubtotal="0"/>
    <pivotField showAll="0" defaultSubtotal="0">
      <items count="22">
        <item x="3"/>
        <item x="2"/>
        <item x="11"/>
        <item x="20"/>
        <item x="12"/>
        <item x="7"/>
        <item x="17"/>
        <item x="14"/>
        <item x="5"/>
        <item x="18"/>
        <item x="9"/>
        <item x="10"/>
        <item x="4"/>
        <item x="16"/>
        <item x="0"/>
        <item x="15"/>
        <item x="19"/>
        <item x="8"/>
        <item x="6"/>
        <item x="13"/>
        <item x="1"/>
        <item x="21"/>
      </items>
    </pivotField>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pivotField showAll="0" defaultSubtotal="0"/>
    <pivotField showAll="0" defaultSubtotal="0"/>
    <pivotField showAll="0"/>
    <pivotField dataField="1" showAll="0"/>
    <pivotField showAll="0" defaultSubtotal="0"/>
    <pivotField axis="axisRow" showAll="0" defaultSubtotal="0">
      <items count="2">
        <item x="0"/>
        <item x="1"/>
      </items>
    </pivotField>
    <pivotField axis="axisPage" multipleItemSelectionAllowed="1" showAll="0" defaultSubtotal="0">
      <items count="2">
        <item h="1" x="1"/>
        <item x="0"/>
      </items>
    </pivotField>
    <pivotField axis="axisRow" showAll="0">
      <items count="6">
        <item x="1"/>
        <item x="0"/>
        <item x="2"/>
        <item x="3"/>
        <item x="4"/>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3">
    <field x="1"/>
    <field x="19"/>
    <field x="21"/>
  </rowFields>
  <rowItems count="11">
    <i>
      <x/>
    </i>
    <i r="1">
      <x/>
    </i>
    <i r="2">
      <x/>
    </i>
    <i r="2">
      <x v="1"/>
    </i>
    <i r="2">
      <x v="2"/>
    </i>
    <i r="1">
      <x v="1"/>
    </i>
    <i r="2">
      <x/>
    </i>
    <i r="2">
      <x v="1"/>
    </i>
    <i r="2">
      <x v="2"/>
    </i>
    <i>
      <x v="1"/>
    </i>
    <i t="grand">
      <x/>
    </i>
  </rowItems>
  <colFields count="1">
    <field x="-2"/>
  </colFields>
  <colItems count="3">
    <i>
      <x/>
    </i>
    <i i="1">
      <x v="1"/>
    </i>
    <i i="2">
      <x v="2"/>
    </i>
  </colItems>
  <pageFields count="2">
    <pageField fld="0" hier="-1"/>
    <pageField fld="20" hier="-1"/>
  </pageFields>
  <dataFields count="3">
    <dataField name="Count of Camp" fld="11" subtotal="count" baseField="0" baseItem="0"/>
    <dataField name="Sum of Total" fld="17" baseField="2" baseItem="0"/>
    <dataField name="Sum of Total2" fld="17" showDataAs="percentOfTotal" baseField="20" baseItem="1" numFmtId="10"/>
  </dataFields>
  <formats count="21">
    <format dxfId="2144">
      <pivotArea type="all" dataOnly="0" outline="0" fieldPosition="0"/>
    </format>
    <format dxfId="2143">
      <pivotArea grandRow="1" outline="0" collapsedLevelsAreSubtotals="1" fieldPosition="0"/>
    </format>
    <format dxfId="2142">
      <pivotArea dataOnly="0" labelOnly="1" grandRow="1" outline="0" fieldPosition="0"/>
    </format>
    <format dxfId="2141">
      <pivotArea outline="0" collapsedLevelsAreSubtotals="1" fieldPosition="0"/>
    </format>
    <format dxfId="2140">
      <pivotArea dataOnly="0" labelOnly="1" fieldPosition="0">
        <references count="1">
          <reference field="0" count="0"/>
        </references>
      </pivotArea>
    </format>
    <format dxfId="2139">
      <pivotArea dataOnly="0" labelOnly="1" grandRow="1" outline="0" fieldPosition="0"/>
    </format>
    <format dxfId="2138">
      <pivotArea outline="0" fieldPosition="0">
        <references count="1">
          <reference field="4294967294" count="1">
            <x v="2"/>
          </reference>
        </references>
      </pivotArea>
    </format>
    <format dxfId="2137">
      <pivotArea collapsedLevelsAreSubtotals="1" fieldPosition="0">
        <references count="4">
          <reference field="4294967294" count="1" selected="0">
            <x v="2"/>
          </reference>
          <reference field="1" count="1" selected="0">
            <x v="0"/>
          </reference>
          <reference field="19" count="1" selected="0">
            <x v="0"/>
          </reference>
          <reference field="21" count="3">
            <x v="0"/>
            <x v="1"/>
            <x v="2"/>
          </reference>
        </references>
      </pivotArea>
    </format>
    <format dxfId="2136">
      <pivotArea collapsedLevelsAreSubtotals="1" fieldPosition="0">
        <references count="3">
          <reference field="4294967294" count="1" selected="0">
            <x v="2"/>
          </reference>
          <reference field="1" count="1" selected="0">
            <x v="0"/>
          </reference>
          <reference field="19" count="1">
            <x v="1"/>
          </reference>
        </references>
      </pivotArea>
    </format>
    <format dxfId="2135">
      <pivotArea collapsedLevelsAreSubtotals="1" fieldPosition="0">
        <references count="4">
          <reference field="4294967294" count="1" selected="0">
            <x v="2"/>
          </reference>
          <reference field="1" count="1" selected="0">
            <x v="0"/>
          </reference>
          <reference field="19" count="1" selected="0">
            <x v="1"/>
          </reference>
          <reference field="21" count="3">
            <x v="0"/>
            <x v="1"/>
            <x v="2"/>
          </reference>
        </references>
      </pivotArea>
    </format>
    <format dxfId="2134">
      <pivotArea collapsedLevelsAreSubtotals="1" fieldPosition="0">
        <references count="2">
          <reference field="4294967294" count="1" selected="0">
            <x v="2"/>
          </reference>
          <reference field="1" count="1">
            <x v="1"/>
          </reference>
        </references>
      </pivotArea>
    </format>
    <format dxfId="2133">
      <pivotArea field="1" grandRow="1" outline="0" collapsedLevelsAreSubtotals="1" axis="axisRow" fieldPosition="0">
        <references count="1">
          <reference field="4294967294" count="1" selected="0">
            <x v="2"/>
          </reference>
        </references>
      </pivotArea>
    </format>
    <format dxfId="2132">
      <pivotArea field="0" type="button" dataOnly="0" labelOnly="1" outline="0" axis="axisPage" fieldPosition="0"/>
    </format>
    <format dxfId="2131">
      <pivotArea dataOnly="0" labelOnly="1" outline="0" fieldPosition="0">
        <references count="1">
          <reference field="0" count="0"/>
        </references>
      </pivotArea>
    </format>
    <format dxfId="2130">
      <pivotArea field="0" type="button" dataOnly="0" labelOnly="1" outline="0" axis="axisPage" fieldPosition="0"/>
    </format>
    <format dxfId="2129">
      <pivotArea dataOnly="0" labelOnly="1" outline="0" fieldPosition="0">
        <references count="1">
          <reference field="0" count="0"/>
        </references>
      </pivotArea>
    </format>
    <format dxfId="2128">
      <pivotArea collapsedLevelsAreSubtotals="1" fieldPosition="0">
        <references count="1">
          <reference field="1" count="1">
            <x v="0"/>
          </reference>
        </references>
      </pivotArea>
    </format>
    <format dxfId="2127">
      <pivotArea field="1" type="button" dataOnly="0" labelOnly="1" outline="0" axis="axisRow" fieldPosition="0"/>
    </format>
    <format dxfId="2126">
      <pivotArea dataOnly="0" labelOnly="1" fieldPosition="0">
        <references count="1">
          <reference field="1" count="1">
            <x v="0"/>
          </reference>
        </references>
      </pivotArea>
    </format>
    <format dxfId="2125">
      <pivotArea dataOnly="0" labelOnly="1" outline="0" fieldPosition="0">
        <references count="1">
          <reference field="4294967294" count="3">
            <x v="0"/>
            <x v="1"/>
            <x v="2"/>
          </reference>
        </references>
      </pivotArea>
    </format>
    <format dxfId="212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21" firstHeaderRow="0" firstDataRow="1" firstDataCol="1"/>
  <pivotFields count="14">
    <pivotField showAll="0"/>
    <pivotField axis="axisRow" showAll="0">
      <items count="5">
        <item x="0"/>
        <item x="1"/>
        <item x="2"/>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5">
    <i>
      <x/>
    </i>
    <i>
      <x v="1"/>
    </i>
    <i>
      <x v="2"/>
    </i>
    <i>
      <x v="3"/>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808">
      <pivotArea outline="0" collapsedLevelsAreSubtotals="1" fieldPosition="0"/>
    </format>
    <format dxfId="80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TCL" cacheId="23"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277" firstHeaderRow="1" firstDataRow="1" firstDataCol="2" rowPageCount="1" colPageCount="1"/>
  <pivotFields count="42">
    <pivotField axis="axisPage" compact="0" outline="0" multipleItemSelectionAllowed="1"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2">
        <item x="3"/>
        <item x="2"/>
        <item x="11"/>
        <item x="20"/>
        <item x="12"/>
        <item x="7"/>
        <item x="17"/>
        <item x="14"/>
        <item x="5"/>
        <item x="18"/>
        <item x="9"/>
        <item x="10"/>
        <item x="4"/>
        <item x="16"/>
        <item x="0"/>
        <item x="15"/>
        <item x="19"/>
        <item x="8"/>
        <item x="6"/>
        <item x="13"/>
        <item x="1"/>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1">
        <item x="142"/>
        <item x="150"/>
        <item x="139"/>
        <item x="49"/>
        <item x="147"/>
        <item x="160"/>
        <item x="144"/>
        <item x="164"/>
        <item x="141"/>
        <item x="88"/>
        <item x="180"/>
        <item x="181"/>
        <item x="179"/>
        <item x="140"/>
        <item x="158"/>
        <item x="143"/>
        <item x="109"/>
        <item x="108"/>
        <item x="121"/>
        <item x="105"/>
        <item x="84"/>
        <item x="41"/>
        <item x="134"/>
        <item x="145"/>
        <item x="11"/>
        <item x="9"/>
        <item x="10"/>
        <item x="118"/>
        <item x="151"/>
        <item x="157"/>
        <item x="237"/>
        <item x="238"/>
        <item x="45"/>
        <item x="27"/>
        <item x="110"/>
        <item x="131"/>
        <item x="161"/>
        <item x="159"/>
        <item x="137"/>
        <item x="221"/>
        <item x="231"/>
        <item x="42"/>
        <item x="117"/>
        <item x="51"/>
        <item x="173"/>
        <item x="182"/>
        <item x="17"/>
        <item x="18"/>
        <item x="116"/>
        <item x="47"/>
        <item x="167"/>
        <item x="225"/>
        <item x="226"/>
        <item x="227"/>
        <item x="12"/>
        <item x="76"/>
        <item x="73"/>
        <item x="169"/>
        <item x="132"/>
        <item x="44"/>
        <item x="120"/>
        <item x="130"/>
        <item x="129"/>
        <item x="14"/>
        <item x="13"/>
        <item x="165"/>
        <item x="152"/>
        <item x="138"/>
        <item x="48"/>
        <item x="70"/>
        <item x="68"/>
        <item x="69"/>
        <item x="126"/>
        <item x="103"/>
        <item x="186"/>
        <item x="26"/>
        <item x="114"/>
        <item x="63"/>
        <item x="30"/>
        <item x="28"/>
        <item x="39"/>
        <item x="38"/>
        <item x="183"/>
        <item x="15"/>
        <item x="61"/>
        <item x="7"/>
        <item x="177"/>
        <item x="178"/>
        <item x="62"/>
        <item x="166"/>
        <item x="124"/>
        <item x="123"/>
        <item x="125"/>
        <item x="113"/>
        <item x="57"/>
        <item x="220"/>
        <item x="235"/>
        <item x="75"/>
        <item x="65"/>
        <item x="90"/>
        <item x="89"/>
        <item x="92"/>
        <item x="94"/>
        <item x="95"/>
        <item x="91"/>
        <item x="96"/>
        <item x="93"/>
        <item x="19"/>
        <item x="20"/>
        <item x="102"/>
        <item x="86"/>
        <item x="83"/>
        <item x="82"/>
        <item x="87"/>
        <item x="85"/>
        <item x="149"/>
        <item x="228"/>
        <item x="55"/>
        <item x="56"/>
        <item x="223"/>
        <item x="217"/>
        <item x="206"/>
        <item x="170"/>
        <item x="218"/>
        <item x="229"/>
        <item x="148"/>
        <item x="50"/>
        <item x="16"/>
        <item x="60"/>
        <item x="127"/>
        <item x="216"/>
        <item x="213"/>
        <item x="215"/>
        <item x="232"/>
        <item x="214"/>
        <item x="233"/>
        <item x="222"/>
        <item x="219"/>
        <item x="171"/>
        <item x="174"/>
        <item x="128"/>
        <item x="162"/>
        <item x="224"/>
        <item x="236"/>
        <item x="23"/>
        <item x="53"/>
        <item x="99"/>
        <item x="79"/>
        <item x="234"/>
        <item x="77"/>
        <item x="185"/>
        <item x="32"/>
        <item x="133"/>
        <item x="80"/>
        <item x="81"/>
        <item x="122"/>
        <item x="58"/>
        <item x="1"/>
        <item x="71"/>
        <item x="136"/>
        <item x="119"/>
        <item x="175"/>
        <item x="98"/>
        <item x="163"/>
        <item x="64"/>
        <item x="135"/>
        <item x="31"/>
        <item x="24"/>
        <item x="29"/>
        <item x="25"/>
        <item x="153"/>
        <item x="46"/>
        <item x="104"/>
        <item x="154"/>
        <item x="100"/>
        <item x="72"/>
        <item x="5"/>
        <item x="6"/>
        <item x="40"/>
        <item x="66"/>
        <item x="67"/>
        <item x="8"/>
        <item x="184"/>
        <item x="78"/>
        <item x="187"/>
        <item x="172"/>
        <item x="54"/>
        <item x="106"/>
        <item x="59"/>
        <item x="0"/>
        <item x="3"/>
        <item x="2"/>
        <item x="4"/>
        <item x="36"/>
        <item x="97"/>
        <item x="176"/>
        <item x="74"/>
        <item x="37"/>
        <item x="35"/>
        <item x="156"/>
        <item x="155"/>
        <item x="111"/>
        <item x="43"/>
        <item x="146"/>
        <item x="21"/>
        <item x="52"/>
        <item x="101"/>
        <item x="168"/>
        <item x="230"/>
        <item x="188"/>
        <item x="190"/>
        <item x="189"/>
        <item x="191"/>
        <item x="192"/>
        <item x="239"/>
        <item x="240"/>
        <item x="193"/>
        <item x="242"/>
        <item x="194"/>
        <item x="241"/>
        <item x="195"/>
        <item x="243"/>
        <item x="196"/>
        <item x="197"/>
        <item x="198"/>
        <item x="34"/>
        <item x="33"/>
        <item x="112"/>
        <item x="115"/>
        <item x="22"/>
        <item x="107"/>
        <item x="199"/>
        <item x="244"/>
        <item x="200"/>
        <item x="201"/>
        <item x="202"/>
        <item x="203"/>
        <item x="204"/>
        <item x="205"/>
        <item x="245"/>
        <item x="207"/>
        <item x="246"/>
        <item x="249"/>
        <item x="250"/>
        <item x="251"/>
        <item x="247"/>
        <item x="248"/>
        <item x="252"/>
        <item x="253"/>
        <item x="208"/>
        <item x="209"/>
        <item x="210"/>
        <item x="211"/>
        <item x="212"/>
        <item x="254"/>
        <item x="255"/>
        <item x="256"/>
        <item x="257"/>
        <item x="258"/>
        <item x="259"/>
        <item x="260"/>
        <item x="261"/>
        <item x="262"/>
        <item x="263"/>
        <item x="264"/>
        <item x="265"/>
        <item x="266"/>
        <item x="267"/>
        <item x="268"/>
        <item x="269"/>
        <item x="27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5"/>
    <field x="11"/>
  </rowFields>
  <rowItems count="274">
    <i>
      <x/>
      <x v="3"/>
    </i>
    <i r="1">
      <x v="7"/>
    </i>
    <i r="1">
      <x v="22"/>
    </i>
    <i r="1">
      <x v="38"/>
    </i>
    <i r="1">
      <x v="43"/>
    </i>
    <i r="1">
      <x v="49"/>
    </i>
    <i r="1">
      <x v="68"/>
    </i>
    <i r="1">
      <x v="126"/>
    </i>
    <i r="1">
      <x v="145"/>
    </i>
    <i r="1">
      <x v="163"/>
    </i>
    <i r="1">
      <x v="171"/>
    </i>
    <i r="1">
      <x v="184"/>
    </i>
    <i r="1">
      <x v="186"/>
    </i>
    <i r="1">
      <x v="195"/>
    </i>
    <i r="1">
      <x v="205"/>
    </i>
    <i r="1">
      <x v="211"/>
    </i>
    <i>
      <x v="1"/>
      <x v="21"/>
    </i>
    <i r="1">
      <x v="32"/>
    </i>
    <i r="1">
      <x v="41"/>
    </i>
    <i r="1">
      <x v="59"/>
    </i>
    <i r="1">
      <x v="65"/>
    </i>
    <i r="1">
      <x v="161"/>
    </i>
    <i r="1">
      <x v="202"/>
    </i>
    <i r="1">
      <x v="210"/>
    </i>
    <i>
      <x v="2"/>
      <x/>
    </i>
    <i r="1">
      <x v="1"/>
    </i>
    <i r="1">
      <x v="2"/>
    </i>
    <i r="1">
      <x v="4"/>
    </i>
    <i r="1">
      <x v="5"/>
    </i>
    <i r="1">
      <x v="6"/>
    </i>
    <i r="1">
      <x v="8"/>
    </i>
    <i r="1">
      <x v="9"/>
    </i>
    <i r="1">
      <x v="13"/>
    </i>
    <i r="1">
      <x v="14"/>
    </i>
    <i r="1">
      <x v="15"/>
    </i>
    <i r="1">
      <x v="19"/>
    </i>
    <i r="1">
      <x v="20"/>
    </i>
    <i r="1">
      <x v="23"/>
    </i>
    <i r="1">
      <x v="28"/>
    </i>
    <i r="1">
      <x v="29"/>
    </i>
    <i r="1">
      <x v="35"/>
    </i>
    <i r="1">
      <x v="36"/>
    </i>
    <i r="1">
      <x v="37"/>
    </i>
    <i r="1">
      <x v="66"/>
    </i>
    <i r="1">
      <x v="67"/>
    </i>
    <i r="1">
      <x v="73"/>
    </i>
    <i r="1">
      <x v="99"/>
    </i>
    <i r="1">
      <x v="100"/>
    </i>
    <i r="1">
      <x v="101"/>
    </i>
    <i r="1">
      <x v="102"/>
    </i>
    <i r="1">
      <x v="103"/>
    </i>
    <i r="1">
      <x v="104"/>
    </i>
    <i r="1">
      <x v="105"/>
    </i>
    <i r="1">
      <x v="106"/>
    </i>
    <i r="1">
      <x v="109"/>
    </i>
    <i r="1">
      <x v="110"/>
    </i>
    <i r="1">
      <x v="111"/>
    </i>
    <i r="1">
      <x v="112"/>
    </i>
    <i r="1">
      <x v="113"/>
    </i>
    <i r="1">
      <x v="114"/>
    </i>
    <i r="1">
      <x v="115"/>
    </i>
    <i r="1">
      <x v="125"/>
    </i>
    <i r="1">
      <x v="141"/>
    </i>
    <i r="1">
      <x v="146"/>
    </i>
    <i r="1">
      <x v="153"/>
    </i>
    <i r="1">
      <x v="154"/>
    </i>
    <i r="1">
      <x v="162"/>
    </i>
    <i r="1">
      <x v="170"/>
    </i>
    <i r="1">
      <x v="172"/>
    </i>
    <i r="1">
      <x v="173"/>
    </i>
    <i r="1">
      <x v="174"/>
    </i>
    <i r="1">
      <x v="187"/>
    </i>
    <i r="1">
      <x v="194"/>
    </i>
    <i r="1">
      <x v="199"/>
    </i>
    <i r="1">
      <x v="200"/>
    </i>
    <i r="1">
      <x v="203"/>
    </i>
    <i r="1">
      <x v="206"/>
    </i>
    <i r="1">
      <x v="207"/>
    </i>
    <i r="1">
      <x v="218"/>
    </i>
    <i r="1">
      <x v="222"/>
    </i>
    <i r="1">
      <x v="240"/>
    </i>
    <i r="1">
      <x v="249"/>
    </i>
    <i r="1">
      <x v="250"/>
    </i>
    <i r="1">
      <x v="251"/>
    </i>
    <i r="1">
      <x v="252"/>
    </i>
    <i r="1">
      <x v="253"/>
    </i>
    <i>
      <x v="3"/>
      <x v="148"/>
    </i>
    <i r="1">
      <x v="232"/>
    </i>
    <i r="1">
      <x v="247"/>
    </i>
    <i>
      <x v="4"/>
      <x v="62"/>
    </i>
    <i>
      <x v="5"/>
      <x v="56"/>
    </i>
    <i>
      <x v="6"/>
      <x v="30"/>
    </i>
    <i r="1">
      <x v="31"/>
    </i>
    <i r="1">
      <x v="51"/>
    </i>
    <i r="1">
      <x v="52"/>
    </i>
    <i r="1">
      <x v="53"/>
    </i>
    <i r="1">
      <x v="116"/>
    </i>
    <i r="1">
      <x v="123"/>
    </i>
    <i r="1">
      <x v="124"/>
    </i>
    <i r="1">
      <x v="137"/>
    </i>
    <i r="1">
      <x v="208"/>
    </i>
    <i r="1">
      <x v="221"/>
    </i>
    <i r="1">
      <x v="239"/>
    </i>
    <i r="1">
      <x v="241"/>
    </i>
    <i r="1">
      <x v="244"/>
    </i>
    <i r="1">
      <x v="248"/>
    </i>
    <i>
      <x v="7"/>
      <x v="74"/>
    </i>
    <i>
      <x v="8"/>
      <x v="10"/>
    </i>
    <i r="1">
      <x v="11"/>
    </i>
    <i r="1">
      <x v="12"/>
    </i>
    <i r="1">
      <x v="18"/>
    </i>
    <i r="1">
      <x v="38"/>
    </i>
    <i r="1">
      <x v="45"/>
    </i>
    <i r="1">
      <x v="57"/>
    </i>
    <i r="1">
      <x v="60"/>
    </i>
    <i r="1">
      <x v="72"/>
    </i>
    <i r="1">
      <x v="82"/>
    </i>
    <i r="1">
      <x v="86"/>
    </i>
    <i r="1">
      <x v="87"/>
    </i>
    <i r="1">
      <x v="90"/>
    </i>
    <i r="1">
      <x v="91"/>
    </i>
    <i r="1">
      <x v="92"/>
    </i>
    <i r="1">
      <x v="98"/>
    </i>
    <i r="1">
      <x v="121"/>
    </i>
    <i r="1">
      <x v="122"/>
    </i>
    <i r="1">
      <x v="129"/>
    </i>
    <i r="1">
      <x v="138"/>
    </i>
    <i r="1">
      <x v="139"/>
    </i>
    <i r="1">
      <x v="140"/>
    </i>
    <i r="1">
      <x v="182"/>
    </i>
    <i r="1">
      <x v="209"/>
    </i>
    <i r="1">
      <x v="212"/>
    </i>
    <i r="1">
      <x v="216"/>
    </i>
    <i r="1">
      <x v="220"/>
    </i>
    <i>
      <x v="9"/>
      <x v="95"/>
    </i>
    <i r="1">
      <x v="96"/>
    </i>
    <i r="1">
      <x v="246"/>
    </i>
    <i>
      <x v="10"/>
      <x v="55"/>
    </i>
    <i r="1">
      <x v="97"/>
    </i>
    <i r="1">
      <x v="149"/>
    </i>
    <i r="1">
      <x v="233"/>
    </i>
    <i r="1">
      <x v="234"/>
    </i>
    <i r="1">
      <x v="235"/>
    </i>
    <i>
      <x v="11"/>
      <x v="147"/>
    </i>
    <i r="1">
      <x v="152"/>
    </i>
    <i r="1">
      <x v="183"/>
    </i>
    <i r="1">
      <x v="223"/>
    </i>
    <i r="1">
      <x v="224"/>
    </i>
    <i>
      <x v="12"/>
      <x v="27"/>
    </i>
    <i r="1">
      <x v="38"/>
    </i>
    <i r="1">
      <x v="42"/>
    </i>
    <i r="1">
      <x v="50"/>
    </i>
    <i r="1">
      <x v="69"/>
    </i>
    <i r="1">
      <x v="70"/>
    </i>
    <i r="1">
      <x v="71"/>
    </i>
    <i r="1">
      <x v="77"/>
    </i>
    <i r="1">
      <x v="84"/>
    </i>
    <i r="1">
      <x v="88"/>
    </i>
    <i r="1">
      <x v="89"/>
    </i>
    <i r="1">
      <x v="94"/>
    </i>
    <i r="1">
      <x v="117"/>
    </i>
    <i r="1">
      <x v="118"/>
    </i>
    <i r="1">
      <x v="128"/>
    </i>
    <i r="1">
      <x v="155"/>
    </i>
    <i r="1">
      <x v="156"/>
    </i>
    <i r="1">
      <x v="158"/>
    </i>
    <i r="1">
      <x v="160"/>
    </i>
    <i r="1">
      <x v="164"/>
    </i>
    <i r="1">
      <x v="175"/>
    </i>
    <i r="1">
      <x v="188"/>
    </i>
    <i r="1">
      <x v="238"/>
    </i>
    <i>
      <x v="13"/>
      <x v="39"/>
    </i>
    <i r="1">
      <x v="40"/>
    </i>
    <i r="1">
      <x v="119"/>
    </i>
    <i r="1">
      <x v="120"/>
    </i>
    <i r="1">
      <x v="135"/>
    </i>
    <i r="1">
      <x v="136"/>
    </i>
    <i r="1">
      <x v="214"/>
    </i>
    <i r="1">
      <x v="217"/>
    </i>
    <i r="1">
      <x v="259"/>
    </i>
    <i r="1">
      <x v="260"/>
    </i>
    <i r="1">
      <x v="261"/>
    </i>
    <i r="1">
      <x v="262"/>
    </i>
    <i r="1">
      <x v="263"/>
    </i>
    <i r="1">
      <x v="264"/>
    </i>
    <i r="1">
      <x v="265"/>
    </i>
    <i r="1">
      <x v="266"/>
    </i>
    <i r="1">
      <x v="267"/>
    </i>
    <i r="1">
      <x v="268"/>
    </i>
    <i r="1">
      <x v="269"/>
    </i>
    <i>
      <x v="14"/>
      <x v="24"/>
    </i>
    <i r="1">
      <x v="25"/>
    </i>
    <i r="1">
      <x v="26"/>
    </i>
    <i r="1">
      <x v="46"/>
    </i>
    <i r="1">
      <x v="47"/>
    </i>
    <i r="1">
      <x v="54"/>
    </i>
    <i r="1">
      <x v="63"/>
    </i>
    <i r="1">
      <x v="64"/>
    </i>
    <i r="1">
      <x v="83"/>
    </i>
    <i r="1">
      <x v="85"/>
    </i>
    <i r="1">
      <x v="107"/>
    </i>
    <i r="1">
      <x v="108"/>
    </i>
    <i r="1">
      <x v="127"/>
    </i>
    <i r="1">
      <x v="144"/>
    </i>
    <i r="1">
      <x v="157"/>
    </i>
    <i r="1">
      <x v="159"/>
    </i>
    <i r="1">
      <x v="176"/>
    </i>
    <i r="1">
      <x v="177"/>
    </i>
    <i r="1">
      <x v="181"/>
    </i>
    <i r="1">
      <x v="189"/>
    </i>
    <i r="1">
      <x v="190"/>
    </i>
    <i r="1">
      <x v="191"/>
    </i>
    <i r="1">
      <x v="192"/>
    </i>
    <i r="1">
      <x v="204"/>
    </i>
    <i r="1">
      <x v="229"/>
    </i>
    <i>
      <x v="15"/>
      <x v="130"/>
    </i>
    <i r="1">
      <x v="131"/>
    </i>
    <i r="1">
      <x v="132"/>
    </i>
    <i r="1">
      <x v="133"/>
    </i>
    <i r="1">
      <x v="134"/>
    </i>
    <i r="1">
      <x v="215"/>
    </i>
    <i r="1">
      <x v="219"/>
    </i>
    <i r="1">
      <x v="242"/>
    </i>
    <i r="1">
      <x v="243"/>
    </i>
    <i>
      <x v="16"/>
      <x v="142"/>
    </i>
    <i r="1">
      <x v="143"/>
    </i>
    <i r="1">
      <x v="245"/>
    </i>
    <i r="1">
      <x v="254"/>
    </i>
    <i r="1">
      <x v="255"/>
    </i>
    <i r="1">
      <x v="256"/>
    </i>
    <i r="1">
      <x v="257"/>
    </i>
    <i r="1">
      <x v="258"/>
    </i>
    <i>
      <x v="17"/>
      <x v="150"/>
    </i>
    <i r="1">
      <x v="196"/>
    </i>
    <i r="1">
      <x v="213"/>
    </i>
    <i r="1">
      <x v="231"/>
    </i>
    <i>
      <x v="18"/>
      <x v="38"/>
    </i>
    <i r="1">
      <x v="61"/>
    </i>
    <i r="1">
      <x v="179"/>
    </i>
    <i r="1">
      <x v="180"/>
    </i>
    <i>
      <x v="19"/>
      <x v="185"/>
    </i>
    <i r="1">
      <x v="236"/>
    </i>
    <i r="1">
      <x v="237"/>
    </i>
    <i>
      <x v="20"/>
      <x v="16"/>
    </i>
    <i r="1">
      <x v="17"/>
    </i>
    <i r="1">
      <x v="33"/>
    </i>
    <i r="1">
      <x v="34"/>
    </i>
    <i r="1">
      <x v="44"/>
    </i>
    <i r="1">
      <x v="48"/>
    </i>
    <i r="1">
      <x v="58"/>
    </i>
    <i r="1">
      <x v="75"/>
    </i>
    <i r="1">
      <x v="76"/>
    </i>
    <i r="1">
      <x v="78"/>
    </i>
    <i r="1">
      <x v="79"/>
    </i>
    <i r="1">
      <x v="80"/>
    </i>
    <i r="1">
      <x v="81"/>
    </i>
    <i r="1">
      <x v="93"/>
    </i>
    <i r="1">
      <x v="151"/>
    </i>
    <i r="1">
      <x v="165"/>
    </i>
    <i r="1">
      <x v="166"/>
    </i>
    <i r="1">
      <x v="167"/>
    </i>
    <i r="1">
      <x v="168"/>
    </i>
    <i r="1">
      <x v="169"/>
    </i>
    <i r="1">
      <x v="178"/>
    </i>
    <i r="1">
      <x v="193"/>
    </i>
    <i r="1">
      <x v="197"/>
    </i>
    <i r="1">
      <x v="198"/>
    </i>
    <i r="1">
      <x v="201"/>
    </i>
    <i r="1">
      <x v="225"/>
    </i>
    <i r="1">
      <x v="226"/>
    </i>
    <i r="1">
      <x v="227"/>
    </i>
    <i r="1">
      <x v="228"/>
    </i>
    <i r="1">
      <x v="230"/>
    </i>
    <i>
      <x v="21"/>
      <x v="270"/>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2.xml><?xml version="1.0" encoding="utf-8"?>
<pivotTableDefinition xmlns="http://schemas.openxmlformats.org/spreadsheetml/2006/main" name="PivotTable3" cacheId="23"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V278" firstHeaderRow="1" firstDataRow="1" firstDataCol="2" rowPageCount="1" colPageCount="1"/>
  <pivotFields count="42">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2">
        <item x="3"/>
        <item x="2"/>
        <item x="11"/>
        <item x="20"/>
        <item x="12"/>
        <item x="7"/>
        <item x="17"/>
        <item x="14"/>
        <item x="5"/>
        <item x="18"/>
        <item x="9"/>
        <item x="10"/>
        <item x="4"/>
        <item x="16"/>
        <item x="0"/>
        <item x="15"/>
        <item x="19"/>
        <item x="8"/>
        <item x="6"/>
        <item x="13"/>
        <item x="1"/>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198"/>
        <item x="246"/>
        <item x="199"/>
        <item x="200"/>
        <item x="201"/>
        <item x="247"/>
        <item x="202"/>
        <item x="203"/>
        <item x="204"/>
        <item x="205"/>
        <item x="206"/>
        <item x="207"/>
        <item x="208"/>
        <item x="248"/>
        <item x="210"/>
        <item x="209"/>
        <item x="249"/>
        <item x="250"/>
        <item x="251"/>
        <item x="252"/>
        <item x="253"/>
        <item x="254"/>
        <item x="255"/>
        <item x="256"/>
        <item x="211"/>
        <item x="212"/>
        <item x="213"/>
        <item x="214"/>
        <item x="215"/>
        <item x="257"/>
        <item x="258"/>
        <item x="259"/>
        <item x="260"/>
        <item x="261"/>
        <item x="262"/>
        <item x="263"/>
        <item x="264"/>
        <item x="265"/>
        <item x="266"/>
        <item x="267"/>
        <item x="268"/>
        <item x="269"/>
        <item x="270"/>
        <item x="271"/>
        <item x="272"/>
        <item x="27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1"/>
        <item x="0"/>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12"/>
    <field x="21"/>
  </rowFields>
  <rowItems count="274">
    <i>
      <x/>
      <x v="1"/>
    </i>
    <i>
      <x v="1"/>
      <x v="1"/>
    </i>
    <i>
      <x v="2"/>
      <x v="1"/>
    </i>
    <i>
      <x v="3"/>
      <x v="1"/>
    </i>
    <i>
      <x v="4"/>
      <x v="1"/>
    </i>
    <i>
      <x v="5"/>
      <x v="1"/>
    </i>
    <i>
      <x v="6"/>
      <x v="1"/>
    </i>
    <i>
      <x v="7"/>
      <x v="1"/>
    </i>
    <i>
      <x v="8"/>
      <x v="1"/>
    </i>
    <i>
      <x v="9"/>
      <x v="1"/>
    </i>
    <i>
      <x v="10"/>
      <x v="1"/>
    </i>
    <i>
      <x v="11"/>
      <x v="1"/>
    </i>
    <i>
      <x v="12"/>
      <x v="1"/>
    </i>
    <i>
      <x v="13"/>
      <x v="1"/>
    </i>
    <i>
      <x v="14"/>
      <x v="1"/>
    </i>
    <i>
      <x v="15"/>
      <x v="1"/>
    </i>
    <i>
      <x v="16"/>
      <x v="1"/>
    </i>
    <i>
      <x v="17"/>
      <x v="1"/>
    </i>
    <i>
      <x v="18"/>
      <x v="1"/>
    </i>
    <i>
      <x v="19"/>
      <x v="1"/>
    </i>
    <i>
      <x v="20"/>
      <x v="1"/>
    </i>
    <i>
      <x v="21"/>
      <x v="1"/>
    </i>
    <i>
      <x v="22"/>
      <x v="1"/>
    </i>
    <i>
      <x v="23"/>
      <x v="1"/>
    </i>
    <i>
      <x v="24"/>
      <x v="1"/>
    </i>
    <i>
      <x v="25"/>
      <x v="1"/>
    </i>
    <i>
      <x v="26"/>
      <x v="1"/>
    </i>
    <i>
      <x v="27"/>
      <x v="1"/>
    </i>
    <i>
      <x v="28"/>
      <x v="1"/>
    </i>
    <i>
      <x v="29"/>
      <x v="1"/>
    </i>
    <i>
      <x v="30"/>
      <x v="1"/>
    </i>
    <i>
      <x v="31"/>
      <x v="1"/>
    </i>
    <i>
      <x v="32"/>
      <x v="1"/>
    </i>
    <i>
      <x v="33"/>
      <x v="1"/>
    </i>
    <i>
      <x v="34"/>
      <x v="1"/>
    </i>
    <i>
      <x v="35"/>
      <x/>
    </i>
    <i>
      <x v="36"/>
      <x v="1"/>
    </i>
    <i>
      <x v="37"/>
      <x v="1"/>
    </i>
    <i>
      <x v="38"/>
      <x v="1"/>
    </i>
    <i>
      <x v="39"/>
      <x v="1"/>
    </i>
    <i>
      <x v="40"/>
      <x v="1"/>
    </i>
    <i>
      <x v="41"/>
      <x v="1"/>
    </i>
    <i>
      <x v="42"/>
      <x v="1"/>
    </i>
    <i>
      <x v="43"/>
      <x v="1"/>
    </i>
    <i>
      <x v="44"/>
      <x v="2"/>
    </i>
    <i>
      <x v="45"/>
      <x v="1"/>
    </i>
    <i>
      <x v="46"/>
      <x v="1"/>
    </i>
    <i>
      <x v="47"/>
      <x v="1"/>
    </i>
    <i>
      <x v="48"/>
      <x v="1"/>
    </i>
    <i>
      <x v="49"/>
      <x v="1"/>
    </i>
    <i>
      <x v="50"/>
      <x v="1"/>
    </i>
    <i>
      <x v="51"/>
      <x v="1"/>
    </i>
    <i>
      <x v="52"/>
      <x v="1"/>
    </i>
    <i>
      <x v="53"/>
      <x v="1"/>
    </i>
    <i>
      <x v="54"/>
      <x v="1"/>
    </i>
    <i>
      <x v="55"/>
      <x v="1"/>
    </i>
    <i>
      <x v="56"/>
      <x v="1"/>
    </i>
    <i>
      <x v="57"/>
      <x v="1"/>
    </i>
    <i>
      <x v="58"/>
      <x v="1"/>
    </i>
    <i>
      <x v="59"/>
      <x v="2"/>
    </i>
    <i>
      <x v="60"/>
      <x v="2"/>
    </i>
    <i>
      <x v="61"/>
      <x v="1"/>
    </i>
    <i>
      <x v="62"/>
      <x v="2"/>
    </i>
    <i>
      <x v="63"/>
      <x v="2"/>
    </i>
    <i>
      <x v="64"/>
      <x v="2"/>
    </i>
    <i>
      <x v="65"/>
      <x v="1"/>
    </i>
    <i>
      <x v="66"/>
      <x v="1"/>
    </i>
    <i>
      <x v="67"/>
      <x v="1"/>
    </i>
    <i>
      <x v="68"/>
      <x v="1"/>
    </i>
    <i>
      <x v="69"/>
      <x v="1"/>
    </i>
    <i>
      <x v="70"/>
      <x v="1"/>
    </i>
    <i>
      <x v="71"/>
      <x v="1"/>
    </i>
    <i>
      <x v="72"/>
      <x v="1"/>
    </i>
    <i>
      <x v="73"/>
      <x v="1"/>
    </i>
    <i>
      <x v="74"/>
      <x v="2"/>
    </i>
    <i>
      <x v="75"/>
      <x v="1"/>
    </i>
    <i>
      <x v="76"/>
      <x v="1"/>
    </i>
    <i>
      <x v="77"/>
      <x v="1"/>
    </i>
    <i>
      <x v="78"/>
      <x v="1"/>
    </i>
    <i>
      <x v="79"/>
      <x v="1"/>
    </i>
    <i>
      <x v="80"/>
      <x v="1"/>
    </i>
    <i>
      <x v="81"/>
      <x v="1"/>
    </i>
    <i>
      <x v="82"/>
      <x v="1"/>
    </i>
    <i>
      <x v="83"/>
      <x v="1"/>
    </i>
    <i>
      <x v="84"/>
      <x v="1"/>
    </i>
    <i>
      <x v="85"/>
      <x v="1"/>
    </i>
    <i>
      <x v="86"/>
      <x v="1"/>
    </i>
    <i>
      <x v="87"/>
      <x v="1"/>
    </i>
    <i>
      <x v="88"/>
      <x v="1"/>
    </i>
    <i>
      <x v="89"/>
      <x v="1"/>
    </i>
    <i>
      <x v="90"/>
      <x v="1"/>
    </i>
    <i>
      <x v="91"/>
      <x v="1"/>
    </i>
    <i>
      <x v="92"/>
      <x v="1"/>
    </i>
    <i>
      <x v="93"/>
      <x v="1"/>
    </i>
    <i>
      <x v="94"/>
      <x v="1"/>
    </i>
    <i>
      <x v="95"/>
      <x v="1"/>
    </i>
    <i>
      <x v="96"/>
      <x v="1"/>
    </i>
    <i>
      <x v="97"/>
      <x v="1"/>
    </i>
    <i>
      <x v="98"/>
      <x v="1"/>
    </i>
    <i>
      <x v="99"/>
      <x v="1"/>
    </i>
    <i>
      <x v="100"/>
      <x v="1"/>
    </i>
    <i>
      <x v="101"/>
      <x v="1"/>
    </i>
    <i>
      <x v="102"/>
      <x v="1"/>
    </i>
    <i>
      <x v="103"/>
      <x v="1"/>
    </i>
    <i>
      <x v="104"/>
      <x v="1"/>
    </i>
    <i>
      <x v="105"/>
      <x v="1"/>
    </i>
    <i>
      <x v="106"/>
      <x v="1"/>
    </i>
    <i>
      <x v="107"/>
      <x v="1"/>
    </i>
    <i>
      <x v="108"/>
      <x v="1"/>
    </i>
    <i>
      <x v="109"/>
      <x v="1"/>
    </i>
    <i>
      <x v="110"/>
      <x v="1"/>
    </i>
    <i>
      <x v="111"/>
      <x v="1"/>
    </i>
    <i>
      <x v="112"/>
      <x v="1"/>
    </i>
    <i>
      <x v="113"/>
      <x v="1"/>
    </i>
    <i>
      <x v="114"/>
      <x v="1"/>
    </i>
    <i>
      <x v="115"/>
      <x v="1"/>
    </i>
    <i>
      <x v="116"/>
      <x v="1"/>
    </i>
    <i>
      <x v="117"/>
      <x v="1"/>
    </i>
    <i>
      <x v="118"/>
      <x v="1"/>
    </i>
    <i>
      <x v="119"/>
      <x v="1"/>
    </i>
    <i>
      <x v="120"/>
      <x v="1"/>
    </i>
    <i>
      <x v="121"/>
      <x v="1"/>
    </i>
    <i>
      <x v="122"/>
      <x v="1"/>
    </i>
    <i>
      <x v="123"/>
      <x v="1"/>
    </i>
    <i>
      <x v="124"/>
      <x v="1"/>
    </i>
    <i>
      <x v="125"/>
      <x v="2"/>
    </i>
    <i>
      <x v="126"/>
      <x v="1"/>
    </i>
    <i>
      <x v="127"/>
      <x v="1"/>
    </i>
    <i>
      <x v="128"/>
      <x v="1"/>
    </i>
    <i>
      <x v="129"/>
      <x v="1"/>
    </i>
    <i>
      <x v="130"/>
      <x v="2"/>
    </i>
    <i>
      <x v="131"/>
      <x v="1"/>
    </i>
    <i>
      <x v="132"/>
      <x v="3"/>
    </i>
    <i>
      <x v="133"/>
      <x v="1"/>
    </i>
    <i>
      <x v="134"/>
      <x v="2"/>
    </i>
    <i>
      <x v="135"/>
      <x v="1"/>
    </i>
    <i>
      <x v="136"/>
      <x v="1"/>
    </i>
    <i>
      <x v="137"/>
      <x v="2"/>
    </i>
    <i>
      <x v="138"/>
      <x v="1"/>
    </i>
    <i>
      <x v="139"/>
      <x v="1"/>
    </i>
    <i>
      <x v="140"/>
      <x v="1"/>
    </i>
    <i>
      <x v="141"/>
      <x v="1"/>
    </i>
    <i>
      <x v="142"/>
      <x v="1"/>
    </i>
    <i>
      <x v="143"/>
      <x v="1"/>
    </i>
    <i>
      <x v="144"/>
      <x v="1"/>
    </i>
    <i>
      <x v="145"/>
      <x v="1"/>
    </i>
    <i>
      <x v="146"/>
      <x v="1"/>
    </i>
    <i>
      <x v="147"/>
      <x v="1"/>
    </i>
    <i>
      <x v="148"/>
      <x v="1"/>
    </i>
    <i>
      <x v="149"/>
      <x v="1"/>
    </i>
    <i>
      <x v="150"/>
      <x v="1"/>
    </i>
    <i>
      <x v="151"/>
      <x v="1"/>
    </i>
    <i>
      <x v="152"/>
      <x v="1"/>
    </i>
    <i>
      <x v="153"/>
      <x v="1"/>
    </i>
    <i>
      <x v="154"/>
      <x v="1"/>
    </i>
    <i>
      <x v="155"/>
      <x v="1"/>
    </i>
    <i>
      <x v="156"/>
      <x v="1"/>
    </i>
    <i>
      <x v="157"/>
      <x v="1"/>
    </i>
    <i>
      <x v="158"/>
      <x v="1"/>
    </i>
    <i>
      <x v="159"/>
      <x v="1"/>
    </i>
    <i>
      <x v="160"/>
      <x v="1"/>
    </i>
    <i>
      <x v="161"/>
      <x v="1"/>
    </i>
    <i>
      <x v="162"/>
      <x v="1"/>
    </i>
    <i>
      <x v="163"/>
      <x v="1"/>
    </i>
    <i>
      <x v="164"/>
      <x v="1"/>
    </i>
    <i>
      <x v="165"/>
      <x v="1"/>
    </i>
    <i>
      <x v="166"/>
      <x v="2"/>
    </i>
    <i>
      <x v="167"/>
      <x v="2"/>
    </i>
    <i>
      <x v="168"/>
      <x v="2"/>
    </i>
    <i>
      <x v="169"/>
      <x v="2"/>
    </i>
    <i>
      <x v="170"/>
      <x v="2"/>
    </i>
    <i>
      <x v="171"/>
      <x v="1"/>
    </i>
    <i>
      <x v="172"/>
      <x v="1"/>
    </i>
    <i>
      <x v="173"/>
      <x v="1"/>
    </i>
    <i>
      <x v="174"/>
      <x v="1"/>
    </i>
    <i>
      <x v="175"/>
      <x v="1"/>
    </i>
    <i>
      <x v="176"/>
      <x/>
    </i>
    <i>
      <x v="177"/>
      <x v="1"/>
    </i>
    <i>
      <x v="178"/>
      <x v="1"/>
    </i>
    <i>
      <x v="179"/>
      <x v="1"/>
    </i>
    <i>
      <x v="180"/>
      <x v="1"/>
    </i>
    <i>
      <x v="181"/>
      <x v="1"/>
    </i>
    <i>
      <x v="182"/>
      <x v="1"/>
    </i>
    <i>
      <x v="183"/>
      <x v="1"/>
    </i>
    <i>
      <x v="184"/>
      <x v="2"/>
    </i>
    <i>
      <x v="185"/>
      <x v="4"/>
    </i>
    <i>
      <x v="186"/>
      <x v="1"/>
    </i>
    <i>
      <x v="187"/>
      <x v="1"/>
    </i>
    <i>
      <x v="188"/>
      <x v="1"/>
    </i>
    <i>
      <x v="189"/>
      <x v="1"/>
    </i>
    <i>
      <x v="190"/>
      <x v="1"/>
    </i>
    <i>
      <x v="191"/>
      <x v="1"/>
    </i>
    <i>
      <x v="192"/>
      <x v="1"/>
    </i>
    <i>
      <x v="193"/>
      <x v="1"/>
    </i>
    <i>
      <x v="194"/>
      <x v="1"/>
    </i>
    <i>
      <x v="195"/>
      <x v="2"/>
    </i>
    <i>
      <x v="196"/>
      <x v="1"/>
    </i>
    <i>
      <x v="197"/>
      <x v="1"/>
    </i>
    <i>
      <x v="198"/>
      <x v="1"/>
    </i>
    <i>
      <x v="199"/>
      <x v="1"/>
    </i>
    <i>
      <x v="200"/>
      <x v="1"/>
    </i>
    <i>
      <x v="201"/>
      <x v="1"/>
    </i>
    <i>
      <x v="202"/>
      <x v="2"/>
    </i>
    <i>
      <x v="203"/>
      <x v="1"/>
    </i>
    <i>
      <x v="204"/>
      <x v="1"/>
    </i>
    <i>
      <x v="205"/>
      <x v="1"/>
    </i>
    <i>
      <x v="206"/>
      <x v="2"/>
    </i>
    <i>
      <x v="207"/>
      <x v="2"/>
    </i>
    <i>
      <x v="208"/>
      <x v="1"/>
    </i>
    <i>
      <x v="209"/>
      <x v="1"/>
    </i>
    <i>
      <x v="210"/>
      <x v="1"/>
    </i>
    <i>
      <x v="211"/>
      <x v="1"/>
    </i>
    <i>
      <x v="212"/>
      <x v="1"/>
    </i>
    <i>
      <x v="213"/>
      <x v="1"/>
    </i>
    <i>
      <x v="214"/>
      <x v="1"/>
    </i>
    <i>
      <x v="215"/>
      <x v="1"/>
    </i>
    <i>
      <x v="216"/>
      <x v="2"/>
    </i>
    <i>
      <x v="217"/>
      <x v="1"/>
    </i>
    <i>
      <x v="218"/>
      <x v="1"/>
    </i>
    <i>
      <x v="219"/>
      <x v="2"/>
    </i>
    <i>
      <x v="220"/>
      <x v="1"/>
    </i>
    <i>
      <x v="221"/>
      <x v="2"/>
    </i>
    <i>
      <x v="222"/>
      <x v="1"/>
    </i>
    <i>
      <x v="223"/>
      <x v="1"/>
    </i>
    <i>
      <x v="224"/>
      <x v="1"/>
    </i>
    <i>
      <x v="225"/>
      <x v="1"/>
    </i>
    <i>
      <x v="226"/>
      <x v="1"/>
    </i>
    <i>
      <x v="227"/>
      <x v="1"/>
    </i>
    <i>
      <x v="228"/>
      <x v="1"/>
    </i>
    <i>
      <x v="229"/>
      <x v="1"/>
    </i>
    <i>
      <x v="230"/>
      <x v="1"/>
    </i>
    <i>
      <x v="231"/>
      <x v="2"/>
    </i>
    <i>
      <x v="232"/>
      <x v="2"/>
    </i>
    <i>
      <x v="233"/>
      <x v="1"/>
    </i>
    <i>
      <x v="234"/>
      <x v="1"/>
    </i>
    <i>
      <x v="235"/>
      <x v="2"/>
    </i>
    <i>
      <x v="236"/>
      <x v="1"/>
    </i>
    <i>
      <x v="237"/>
      <x v="1"/>
    </i>
    <i>
      <x v="238"/>
      <x v="1"/>
    </i>
    <i>
      <x v="239"/>
      <x v="1"/>
    </i>
    <i>
      <x v="240"/>
      <x/>
    </i>
    <i>
      <x v="241"/>
      <x v="1"/>
    </i>
    <i>
      <x v="242"/>
      <x v="1"/>
    </i>
    <i>
      <x v="243"/>
      <x v="1"/>
    </i>
    <i>
      <x v="244"/>
      <x v="1"/>
    </i>
    <i>
      <x v="245"/>
      <x v="1"/>
    </i>
    <i>
      <x v="246"/>
      <x v="1"/>
    </i>
    <i>
      <x v="247"/>
      <x v="1"/>
    </i>
    <i>
      <x v="248"/>
      <x v="1"/>
    </i>
    <i>
      <x v="249"/>
      <x v="1"/>
    </i>
    <i>
      <x v="250"/>
      <x v="1"/>
    </i>
    <i>
      <x v="251"/>
      <x v="1"/>
    </i>
    <i>
      <x v="252"/>
      <x v="1"/>
    </i>
    <i>
      <x v="253"/>
      <x v="1"/>
    </i>
    <i>
      <x v="254"/>
      <x v="1"/>
    </i>
    <i>
      <x v="255"/>
      <x v="1"/>
    </i>
    <i>
      <x v="256"/>
      <x v="1"/>
    </i>
    <i>
      <x v="257"/>
      <x v="1"/>
    </i>
    <i>
      <x v="258"/>
      <x v="1"/>
    </i>
    <i>
      <x v="259"/>
      <x v="1"/>
    </i>
    <i>
      <x v="260"/>
      <x v="1"/>
    </i>
    <i>
      <x v="261"/>
      <x v="1"/>
    </i>
    <i>
      <x v="262"/>
      <x v="1"/>
    </i>
    <i>
      <x v="263"/>
      <x v="1"/>
    </i>
    <i>
      <x v="264"/>
      <x v="1"/>
    </i>
    <i>
      <x v="265"/>
      <x v="1"/>
    </i>
    <i>
      <x v="266"/>
      <x v="1"/>
    </i>
    <i>
      <x v="267"/>
      <x v="1"/>
    </i>
    <i>
      <x v="268"/>
      <x v="1"/>
    </i>
    <i>
      <x v="269"/>
      <x v="1"/>
    </i>
    <i>
      <x v="270"/>
      <x v="1"/>
    </i>
    <i>
      <x v="271"/>
      <x v="1"/>
    </i>
    <i>
      <x v="272"/>
      <x v="1"/>
    </i>
    <i>
      <x v="273"/>
      <x v="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3.xml><?xml version="1.0" encoding="utf-8"?>
<pivotTableDefinition xmlns="http://schemas.openxmlformats.org/spreadsheetml/2006/main" name="PivotTable2" cacheId="23"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R277" firstHeaderRow="0" firstDataRow="1" firstDataCol="4" rowPageCount="1" colPageCount="1"/>
  <pivotFields count="42">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2">
        <item x="3"/>
        <item x="2"/>
        <item x="11"/>
        <item x="20"/>
        <item x="12"/>
        <item x="7"/>
        <item x="17"/>
        <item x="14"/>
        <item x="5"/>
        <item x="18"/>
        <item x="9"/>
        <item x="10"/>
        <item x="4"/>
        <item x="16"/>
        <item x="0"/>
        <item x="15"/>
        <item x="19"/>
        <item x="8"/>
        <item x="6"/>
        <item x="13"/>
        <item x="1"/>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1">
        <item x="142"/>
        <item x="150"/>
        <item x="139"/>
        <item x="49"/>
        <item x="147"/>
        <item x="160"/>
        <item x="144"/>
        <item x="164"/>
        <item x="141"/>
        <item x="88"/>
        <item x="180"/>
        <item x="181"/>
        <item x="179"/>
        <item x="140"/>
        <item x="158"/>
        <item x="143"/>
        <item x="109"/>
        <item x="108"/>
        <item x="121"/>
        <item x="105"/>
        <item x="84"/>
        <item x="41"/>
        <item x="134"/>
        <item x="145"/>
        <item x="11"/>
        <item x="9"/>
        <item x="10"/>
        <item x="118"/>
        <item x="151"/>
        <item x="157"/>
        <item x="237"/>
        <item x="238"/>
        <item x="45"/>
        <item x="27"/>
        <item x="110"/>
        <item x="131"/>
        <item x="161"/>
        <item x="159"/>
        <item x="137"/>
        <item x="221"/>
        <item x="231"/>
        <item x="42"/>
        <item x="117"/>
        <item x="51"/>
        <item x="173"/>
        <item x="182"/>
        <item x="17"/>
        <item x="18"/>
        <item x="116"/>
        <item x="47"/>
        <item x="167"/>
        <item x="225"/>
        <item x="226"/>
        <item x="227"/>
        <item x="12"/>
        <item x="76"/>
        <item x="73"/>
        <item x="169"/>
        <item x="132"/>
        <item x="44"/>
        <item x="120"/>
        <item x="130"/>
        <item x="129"/>
        <item x="14"/>
        <item x="13"/>
        <item x="165"/>
        <item x="152"/>
        <item x="138"/>
        <item x="48"/>
        <item x="70"/>
        <item x="68"/>
        <item x="69"/>
        <item x="126"/>
        <item x="103"/>
        <item x="186"/>
        <item x="26"/>
        <item x="114"/>
        <item x="63"/>
        <item x="30"/>
        <item x="28"/>
        <item x="39"/>
        <item x="38"/>
        <item x="183"/>
        <item x="15"/>
        <item x="61"/>
        <item x="7"/>
        <item x="177"/>
        <item x="178"/>
        <item x="62"/>
        <item x="166"/>
        <item x="124"/>
        <item x="123"/>
        <item x="125"/>
        <item x="113"/>
        <item x="57"/>
        <item x="220"/>
        <item x="235"/>
        <item x="75"/>
        <item x="65"/>
        <item x="90"/>
        <item x="89"/>
        <item x="92"/>
        <item x="94"/>
        <item x="95"/>
        <item x="91"/>
        <item x="96"/>
        <item x="93"/>
        <item x="19"/>
        <item x="20"/>
        <item x="102"/>
        <item x="86"/>
        <item x="83"/>
        <item x="82"/>
        <item x="87"/>
        <item x="85"/>
        <item x="149"/>
        <item x="228"/>
        <item x="55"/>
        <item x="56"/>
        <item x="223"/>
        <item x="217"/>
        <item x="206"/>
        <item x="170"/>
        <item x="218"/>
        <item x="229"/>
        <item x="148"/>
        <item x="50"/>
        <item x="16"/>
        <item x="60"/>
        <item x="127"/>
        <item x="216"/>
        <item x="213"/>
        <item x="215"/>
        <item x="232"/>
        <item x="214"/>
        <item x="233"/>
        <item x="222"/>
        <item x="219"/>
        <item x="171"/>
        <item x="174"/>
        <item x="128"/>
        <item x="162"/>
        <item x="224"/>
        <item x="236"/>
        <item x="23"/>
        <item x="53"/>
        <item x="99"/>
        <item x="79"/>
        <item x="234"/>
        <item x="77"/>
        <item x="185"/>
        <item x="32"/>
        <item x="133"/>
        <item x="80"/>
        <item x="81"/>
        <item x="122"/>
        <item x="58"/>
        <item x="1"/>
        <item x="71"/>
        <item x="136"/>
        <item x="119"/>
        <item x="175"/>
        <item x="98"/>
        <item x="163"/>
        <item x="64"/>
        <item x="135"/>
        <item x="31"/>
        <item x="24"/>
        <item x="29"/>
        <item x="25"/>
        <item x="153"/>
        <item x="46"/>
        <item x="104"/>
        <item x="154"/>
        <item x="100"/>
        <item x="72"/>
        <item x="5"/>
        <item x="6"/>
        <item x="40"/>
        <item x="66"/>
        <item x="67"/>
        <item x="8"/>
        <item x="184"/>
        <item x="78"/>
        <item x="187"/>
        <item x="172"/>
        <item x="54"/>
        <item x="106"/>
        <item x="59"/>
        <item x="0"/>
        <item x="3"/>
        <item x="2"/>
        <item x="4"/>
        <item x="36"/>
        <item x="97"/>
        <item x="176"/>
        <item x="74"/>
        <item x="37"/>
        <item x="35"/>
        <item x="156"/>
        <item x="155"/>
        <item x="111"/>
        <item x="43"/>
        <item x="146"/>
        <item x="21"/>
        <item x="52"/>
        <item x="101"/>
        <item x="168"/>
        <item x="230"/>
        <item x="188"/>
        <item x="190"/>
        <item x="189"/>
        <item x="191"/>
        <item x="192"/>
        <item x="239"/>
        <item x="240"/>
        <item x="193"/>
        <item x="242"/>
        <item x="194"/>
        <item x="241"/>
        <item x="195"/>
        <item x="243"/>
        <item x="196"/>
        <item x="197"/>
        <item x="198"/>
        <item x="34"/>
        <item x="33"/>
        <item x="112"/>
        <item x="115"/>
        <item x="22"/>
        <item x="107"/>
        <item x="199"/>
        <item x="244"/>
        <item x="200"/>
        <item x="201"/>
        <item x="202"/>
        <item x="203"/>
        <item x="204"/>
        <item x="205"/>
        <item x="245"/>
        <item x="207"/>
        <item x="246"/>
        <item x="249"/>
        <item x="250"/>
        <item x="251"/>
        <item x="247"/>
        <item x="248"/>
        <item x="252"/>
        <item x="253"/>
        <item x="208"/>
        <item x="209"/>
        <item x="210"/>
        <item x="211"/>
        <item x="212"/>
        <item x="254"/>
        <item x="255"/>
        <item x="256"/>
        <item x="257"/>
        <item x="258"/>
        <item x="259"/>
        <item x="260"/>
        <item x="261"/>
        <item x="262"/>
        <item x="263"/>
        <item x="264"/>
        <item x="265"/>
        <item x="266"/>
        <item x="267"/>
        <item x="268"/>
        <item x="269"/>
        <item x="270"/>
      </items>
      <extLst>
        <ext xmlns:x14="http://schemas.microsoft.com/office/spreadsheetml/2009/9/main" uri="{2946ED86-A175-432a-8AC1-64E0C546D7DE}">
          <x14:pivotField fillDownLabels="1"/>
        </ext>
      </extLst>
    </pivotField>
    <pivotField axis="axisRow" compact="0" outline="0" showAll="0" defaultSubtotal="0">
      <items count="2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216"/>
        <item x="217"/>
        <item x="218"/>
        <item x="219"/>
        <item x="220"/>
        <item x="221"/>
        <item x="222"/>
        <item x="223"/>
        <item x="224"/>
        <item x="225"/>
        <item x="226"/>
        <item x="227"/>
        <item x="228"/>
        <item x="229"/>
        <item x="230"/>
        <item x="231"/>
        <item x="232"/>
        <item x="233"/>
        <item x="234"/>
        <item x="235"/>
        <item x="236"/>
        <item x="237"/>
        <item x="238"/>
        <item x="239"/>
        <item x="240"/>
        <item x="241"/>
        <item x="191"/>
        <item x="192"/>
        <item x="193"/>
        <item x="194"/>
        <item x="195"/>
        <item x="242"/>
        <item x="243"/>
        <item x="244"/>
        <item x="196"/>
        <item x="245"/>
        <item x="197"/>
        <item x="198"/>
        <item x="246"/>
        <item x="199"/>
        <item x="200"/>
        <item x="201"/>
        <item x="247"/>
        <item x="202"/>
        <item x="203"/>
        <item x="204"/>
        <item x="205"/>
        <item x="206"/>
        <item x="207"/>
        <item x="208"/>
        <item x="248"/>
        <item x="210"/>
        <item x="209"/>
        <item x="249"/>
        <item x="250"/>
        <item x="251"/>
        <item x="252"/>
        <item x="253"/>
        <item x="254"/>
        <item x="255"/>
        <item x="256"/>
        <item x="211"/>
        <item x="212"/>
        <item x="213"/>
        <item x="214"/>
        <item x="215"/>
        <item x="257"/>
        <item x="258"/>
        <item x="259"/>
        <item x="260"/>
        <item x="261"/>
        <item x="262"/>
        <item x="263"/>
        <item x="264"/>
        <item x="265"/>
        <item x="266"/>
        <item x="267"/>
        <item x="268"/>
        <item x="269"/>
        <item x="270"/>
        <item x="271"/>
        <item x="272"/>
        <item x="27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axis="axisRow"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4">
    <field x="12"/>
    <field x="11"/>
    <field x="38"/>
    <field x="5"/>
  </rowFields>
  <rowItems count="274">
    <i>
      <x/>
      <x v="189"/>
      <x v="9"/>
      <x v="14"/>
    </i>
    <i>
      <x v="1"/>
      <x v="157"/>
      <x v="9"/>
      <x v="14"/>
    </i>
    <i>
      <x v="2"/>
      <x v="191"/>
      <x v="9"/>
      <x v="14"/>
    </i>
    <i>
      <x v="3"/>
      <x v="190"/>
      <x v="9"/>
      <x v="14"/>
    </i>
    <i>
      <x v="4"/>
      <x v="192"/>
      <x v="9"/>
      <x v="14"/>
    </i>
    <i>
      <x v="5"/>
      <x v="176"/>
      <x v="9"/>
      <x v="14"/>
    </i>
    <i>
      <x v="6"/>
      <x v="177"/>
      <x v="9"/>
      <x v="14"/>
    </i>
    <i>
      <x v="7"/>
      <x v="85"/>
      <x v="9"/>
      <x v="14"/>
    </i>
    <i>
      <x v="8"/>
      <x v="181"/>
      <x v="9"/>
      <x v="14"/>
    </i>
    <i>
      <x v="9"/>
      <x v="25"/>
      <x v="9"/>
      <x v="14"/>
    </i>
    <i>
      <x v="10"/>
      <x v="26"/>
      <x v="9"/>
      <x v="14"/>
    </i>
    <i>
      <x v="11"/>
      <x v="24"/>
      <x v="9"/>
      <x v="14"/>
    </i>
    <i>
      <x v="12"/>
      <x v="54"/>
      <x v="9"/>
      <x v="14"/>
    </i>
    <i>
      <x v="13"/>
      <x v="64"/>
      <x v="9"/>
      <x v="14"/>
    </i>
    <i>
      <x v="14"/>
      <x v="63"/>
      <x v="9"/>
      <x v="14"/>
    </i>
    <i>
      <x v="15"/>
      <x v="83"/>
      <x v="9"/>
      <x v="14"/>
    </i>
    <i>
      <x v="16"/>
      <x v="127"/>
      <x v="9"/>
      <x v="14"/>
    </i>
    <i>
      <x v="17"/>
      <x v="46"/>
      <x v="9"/>
      <x v="14"/>
    </i>
    <i>
      <x v="18"/>
      <x v="47"/>
      <x v="9"/>
      <x v="14"/>
    </i>
    <i>
      <x v="19"/>
      <x v="107"/>
      <x v="9"/>
      <x v="14"/>
    </i>
    <i>
      <x v="20"/>
      <x v="108"/>
      <x v="9"/>
      <x v="14"/>
    </i>
    <i>
      <x v="21"/>
      <x v="204"/>
      <x v="9"/>
      <x v="14"/>
    </i>
    <i>
      <x v="22"/>
      <x v="229"/>
      <x v="9"/>
      <x v="14"/>
    </i>
    <i>
      <x v="23"/>
      <x v="144"/>
      <x v="9"/>
      <x v="14"/>
    </i>
    <i>
      <x v="24"/>
      <x v="167"/>
      <x v="11"/>
      <x v="20"/>
    </i>
    <i>
      <x v="25"/>
      <x v="169"/>
      <x v="11"/>
      <x v="20"/>
    </i>
    <i>
      <x v="26"/>
      <x v="75"/>
      <x v="11"/>
      <x v="20"/>
    </i>
    <i>
      <x v="27"/>
      <x v="33"/>
      <x v="11"/>
      <x v="20"/>
    </i>
    <i>
      <x v="28"/>
      <x v="79"/>
      <x v="11"/>
      <x v="20"/>
    </i>
    <i>
      <x v="29"/>
      <x v="168"/>
      <x v="11"/>
      <x v="20"/>
    </i>
    <i>
      <x v="30"/>
      <x v="78"/>
      <x v="11"/>
      <x v="20"/>
    </i>
    <i>
      <x v="31"/>
      <x v="166"/>
      <x v="11"/>
      <x v="20"/>
    </i>
    <i>
      <x v="32"/>
      <x v="151"/>
      <x v="11"/>
      <x v="20"/>
    </i>
    <i>
      <x v="33"/>
      <x v="226"/>
      <x v="11"/>
      <x v="20"/>
    </i>
    <i>
      <x v="34"/>
      <x v="225"/>
      <x v="11"/>
      <x v="20"/>
    </i>
    <i>
      <x v="35"/>
      <x v="198"/>
      <x v="11"/>
      <x v="20"/>
    </i>
    <i>
      <x v="36"/>
      <x v="193"/>
      <x v="11"/>
      <x v="20"/>
    </i>
    <i>
      <x v="37"/>
      <x v="197"/>
      <x v="11"/>
      <x v="20"/>
    </i>
    <i>
      <x v="38"/>
      <x v="81"/>
      <x v="11"/>
      <x v="20"/>
    </i>
    <i>
      <x v="39"/>
      <x v="80"/>
      <x v="11"/>
      <x v="20"/>
    </i>
    <i>
      <x v="40"/>
      <x v="178"/>
      <x v="11"/>
      <x v="20"/>
    </i>
    <i>
      <x v="41"/>
      <x v="21"/>
      <x v="1"/>
      <x v="1"/>
    </i>
    <i>
      <x v="42"/>
      <x v="41"/>
      <x v="1"/>
      <x v="1"/>
    </i>
    <i>
      <x v="43"/>
      <x v="202"/>
      <x v="1"/>
      <x v="1"/>
    </i>
    <i>
      <x v="44"/>
      <x v="59"/>
      <x v="1"/>
      <x v="1"/>
    </i>
    <i>
      <x v="45"/>
      <x v="32"/>
      <x v="1"/>
      <x v="1"/>
    </i>
    <i>
      <x v="46"/>
      <x v="171"/>
      <x/>
      <x/>
    </i>
    <i>
      <x v="47"/>
      <x v="49"/>
      <x/>
      <x/>
    </i>
    <i>
      <x v="48"/>
      <x v="68"/>
      <x/>
      <x/>
    </i>
    <i>
      <x v="49"/>
      <x v="3"/>
      <x/>
      <x/>
    </i>
    <i>
      <x v="50"/>
      <x v="126"/>
      <x/>
      <x/>
    </i>
    <i>
      <x v="51"/>
      <x v="43"/>
      <x/>
      <x/>
    </i>
    <i>
      <x v="52"/>
      <x v="205"/>
      <x/>
      <x/>
    </i>
    <i>
      <x v="53"/>
      <x v="145"/>
      <x/>
      <x/>
    </i>
    <i>
      <x v="54"/>
      <x v="186"/>
      <x/>
      <x/>
    </i>
    <i>
      <x v="55"/>
      <x v="117"/>
      <x v="8"/>
      <x v="12"/>
    </i>
    <i>
      <x v="56"/>
      <x v="118"/>
      <x v="8"/>
      <x v="12"/>
    </i>
    <i>
      <x v="57"/>
      <x v="94"/>
      <x v="8"/>
      <x v="12"/>
    </i>
    <i>
      <x v="58"/>
      <x v="156"/>
      <x v="8"/>
      <x v="12"/>
    </i>
    <i>
      <x v="59"/>
      <x v="188"/>
      <x v="8"/>
      <x v="12"/>
    </i>
    <i>
      <x v="60"/>
      <x v="128"/>
      <x v="8"/>
      <x v="12"/>
    </i>
    <i>
      <x v="61"/>
      <x v="84"/>
      <x v="8"/>
      <x v="12"/>
    </i>
    <i>
      <x v="62"/>
      <x v="88"/>
      <x v="8"/>
      <x v="12"/>
    </i>
    <i>
      <x v="63"/>
      <x v="77"/>
      <x v="8"/>
      <x v="12"/>
    </i>
    <i>
      <x v="64"/>
      <x v="164"/>
      <x v="8"/>
      <x v="12"/>
    </i>
    <i>
      <x v="65"/>
      <x v="98"/>
      <x v="7"/>
      <x v="8"/>
    </i>
    <i>
      <x v="66"/>
      <x v="179"/>
      <x v="5"/>
      <x v="18"/>
    </i>
    <i>
      <x v="67"/>
      <x v="180"/>
      <x v="5"/>
      <x v="18"/>
    </i>
    <i>
      <x v="68"/>
      <x v="70"/>
      <x v="8"/>
      <x v="12"/>
    </i>
    <i>
      <x v="69"/>
      <x v="71"/>
      <x v="8"/>
      <x v="12"/>
    </i>
    <i>
      <x v="70"/>
      <x v="69"/>
      <x v="8"/>
      <x v="12"/>
    </i>
    <i>
      <x v="71"/>
      <x v="158"/>
      <x v="8"/>
      <x v="12"/>
    </i>
    <i>
      <x v="72"/>
      <x v="175"/>
      <x v="8"/>
      <x v="12"/>
    </i>
    <i>
      <x v="73"/>
      <x v="56"/>
      <x v="5"/>
      <x v="5"/>
    </i>
    <i>
      <x v="74"/>
      <x v="196"/>
      <x v="5"/>
      <x v="17"/>
    </i>
    <i>
      <x v="75"/>
      <x v="97"/>
      <x v="5"/>
      <x v="10"/>
    </i>
    <i>
      <x v="76"/>
      <x v="55"/>
      <x v="5"/>
      <x v="10"/>
    </i>
    <i>
      <x v="77"/>
      <x v="149"/>
      <x v="5"/>
      <x v="10"/>
    </i>
    <i>
      <x v="78"/>
      <x v="183"/>
      <x v="5"/>
      <x v="11"/>
    </i>
    <i>
      <x v="79"/>
      <x v="147"/>
      <x v="5"/>
      <x v="11"/>
    </i>
    <i>
      <x v="80"/>
      <x v="153"/>
      <x v="2"/>
      <x v="2"/>
    </i>
    <i>
      <x v="81"/>
      <x v="154"/>
      <x v="2"/>
      <x v="2"/>
    </i>
    <i>
      <x v="82"/>
      <x v="112"/>
      <x v="2"/>
      <x v="2"/>
    </i>
    <i>
      <x v="83"/>
      <x v="111"/>
      <x v="2"/>
      <x v="2"/>
    </i>
    <i>
      <x v="84"/>
      <x v="20"/>
      <x v="2"/>
      <x v="2"/>
    </i>
    <i>
      <x v="85"/>
      <x v="114"/>
      <x v="2"/>
      <x v="2"/>
    </i>
    <i>
      <x v="86"/>
      <x v="110"/>
      <x v="2"/>
      <x v="2"/>
    </i>
    <i>
      <x v="87"/>
      <x v="113"/>
      <x v="2"/>
      <x v="2"/>
    </i>
    <i>
      <x v="88"/>
      <x v="9"/>
      <x v="2"/>
      <x v="2"/>
    </i>
    <i>
      <x v="89"/>
      <x v="100"/>
      <x v="2"/>
      <x v="2"/>
    </i>
    <i>
      <x v="90"/>
      <x v="99"/>
      <x v="2"/>
      <x v="2"/>
    </i>
    <i>
      <x v="91"/>
      <x v="104"/>
      <x v="2"/>
      <x v="2"/>
    </i>
    <i>
      <x v="92"/>
      <x v="101"/>
      <x v="2"/>
      <x v="2"/>
    </i>
    <i>
      <x v="93"/>
      <x v="106"/>
      <x v="2"/>
      <x v="2"/>
    </i>
    <i>
      <x v="94"/>
      <x v="102"/>
      <x v="2"/>
      <x v="2"/>
    </i>
    <i>
      <x v="95"/>
      <x v="103"/>
      <x v="2"/>
      <x v="2"/>
    </i>
    <i>
      <x v="96"/>
      <x v="105"/>
      <x v="2"/>
      <x v="2"/>
    </i>
    <i>
      <x v="97"/>
      <x v="194"/>
      <x v="2"/>
      <x v="2"/>
    </i>
    <i>
      <x v="98"/>
      <x v="162"/>
      <x v="2"/>
      <x v="2"/>
    </i>
    <i>
      <x v="99"/>
      <x v="146"/>
      <x v="2"/>
      <x v="2"/>
    </i>
    <i>
      <x v="100"/>
      <x v="174"/>
      <x v="2"/>
      <x v="2"/>
    </i>
    <i>
      <x v="101"/>
      <x v="206"/>
      <x v="2"/>
      <x v="2"/>
    </i>
    <i>
      <x v="102"/>
      <x v="109"/>
      <x v="2"/>
      <x v="2"/>
    </i>
    <i>
      <x v="103"/>
      <x v="73"/>
      <x v="2"/>
      <x v="2"/>
    </i>
    <i>
      <x v="104"/>
      <x v="172"/>
      <x v="2"/>
      <x v="2"/>
    </i>
    <i>
      <x v="105"/>
      <x v="19"/>
      <x v="2"/>
      <x v="2"/>
    </i>
    <i>
      <x v="106"/>
      <x v="187"/>
      <x v="2"/>
      <x v="2"/>
    </i>
    <i>
      <x v="107"/>
      <x v="230"/>
      <x v="11"/>
      <x v="20"/>
    </i>
    <i>
      <x v="108"/>
      <x v="17"/>
      <x v="11"/>
      <x v="20"/>
    </i>
    <i>
      <x v="109"/>
      <x v="16"/>
      <x v="11"/>
      <x v="20"/>
    </i>
    <i>
      <x v="110"/>
      <x v="34"/>
      <x v="11"/>
      <x v="20"/>
    </i>
    <i>
      <x v="111"/>
      <x v="201"/>
      <x v="11"/>
      <x v="20"/>
    </i>
    <i>
      <x v="112"/>
      <x v="227"/>
      <x v="11"/>
      <x v="20"/>
    </i>
    <i>
      <x v="113"/>
      <x v="93"/>
      <x v="11"/>
      <x v="20"/>
    </i>
    <i>
      <x v="114"/>
      <x v="76"/>
      <x v="11"/>
      <x v="20"/>
    </i>
    <i>
      <x v="115"/>
      <x v="228"/>
      <x v="11"/>
      <x v="20"/>
    </i>
    <i>
      <x v="116"/>
      <x v="48"/>
      <x v="11"/>
      <x v="20"/>
    </i>
    <i>
      <x v="117"/>
      <x v="42"/>
      <x v="8"/>
      <x v="12"/>
    </i>
    <i>
      <x v="118"/>
      <x v="27"/>
      <x v="8"/>
      <x v="12"/>
    </i>
    <i>
      <x v="119"/>
      <x v="160"/>
      <x v="8"/>
      <x v="12"/>
    </i>
    <i>
      <x v="120"/>
      <x v="60"/>
      <x v="7"/>
      <x v="8"/>
    </i>
    <i>
      <x v="121"/>
      <x v="18"/>
      <x v="7"/>
      <x v="8"/>
    </i>
    <i>
      <x v="122"/>
      <x v="155"/>
      <x v="8"/>
      <x v="12"/>
    </i>
    <i>
      <x v="123"/>
      <x v="91"/>
      <x v="7"/>
      <x v="8"/>
    </i>
    <i>
      <x v="124"/>
      <x v="90"/>
      <x v="7"/>
      <x v="8"/>
    </i>
    <i>
      <x v="125"/>
      <x v="92"/>
      <x v="7"/>
      <x v="8"/>
    </i>
    <i>
      <x v="126"/>
      <x v="72"/>
      <x v="7"/>
      <x v="8"/>
    </i>
    <i>
      <x v="127"/>
      <x v="129"/>
      <x v="7"/>
      <x v="8"/>
    </i>
    <i>
      <x v="128"/>
      <x v="140"/>
      <x v="7"/>
      <x v="8"/>
    </i>
    <i>
      <x v="129"/>
      <x v="62"/>
      <x v="4"/>
      <x v="4"/>
    </i>
    <i>
      <x v="130"/>
      <x v="61"/>
      <x v="5"/>
      <x v="18"/>
    </i>
    <i>
      <x v="131"/>
      <x v="35"/>
      <x v="2"/>
      <x v="2"/>
    </i>
    <i>
      <x v="132"/>
      <x v="58"/>
      <x v="11"/>
      <x v="20"/>
    </i>
    <i>
      <x v="133"/>
      <x v="152"/>
      <x v="5"/>
      <x v="11"/>
    </i>
    <i>
      <x v="134"/>
      <x v="22"/>
      <x/>
      <x/>
    </i>
    <i>
      <x v="135"/>
      <x v="165"/>
      <x v="11"/>
      <x v="20"/>
    </i>
    <i>
      <x v="136"/>
      <x v="159"/>
      <x v="9"/>
      <x v="14"/>
    </i>
    <i>
      <x v="137"/>
      <x v="38"/>
      <x/>
      <x/>
    </i>
    <i>
      <x v="138"/>
      <x v="67"/>
      <x v="2"/>
      <x v="2"/>
    </i>
    <i>
      <x v="139"/>
      <x v="2"/>
      <x v="2"/>
      <x v="2"/>
    </i>
    <i>
      <x v="140"/>
      <x v="13"/>
      <x v="2"/>
      <x v="2"/>
    </i>
    <i>
      <x v="141"/>
      <x v="8"/>
      <x v="2"/>
      <x v="2"/>
    </i>
    <i>
      <x v="142"/>
      <x/>
      <x v="2"/>
      <x v="2"/>
    </i>
    <i>
      <x v="143"/>
      <x v="15"/>
      <x v="2"/>
      <x v="2"/>
    </i>
    <i>
      <x v="144"/>
      <x v="6"/>
      <x v="2"/>
      <x v="2"/>
    </i>
    <i>
      <x v="145"/>
      <x v="23"/>
      <x v="2"/>
      <x v="2"/>
    </i>
    <i>
      <x v="146"/>
      <x v="203"/>
      <x v="2"/>
      <x v="2"/>
    </i>
    <i>
      <x v="147"/>
      <x v="4"/>
      <x v="2"/>
      <x v="2"/>
    </i>
    <i>
      <x v="148"/>
      <x v="125"/>
      <x v="2"/>
      <x v="2"/>
    </i>
    <i>
      <x v="149"/>
      <x v="115"/>
      <x v="2"/>
      <x v="2"/>
    </i>
    <i>
      <x v="150"/>
      <x v="1"/>
      <x v="2"/>
      <x v="2"/>
    </i>
    <i>
      <x v="151"/>
      <x v="28"/>
      <x v="2"/>
      <x v="2"/>
    </i>
    <i>
      <x v="152"/>
      <x v="66"/>
      <x v="2"/>
      <x v="2"/>
    </i>
    <i>
      <x v="153"/>
      <x v="170"/>
      <x v="2"/>
      <x v="2"/>
    </i>
    <i>
      <x v="154"/>
      <x v="173"/>
      <x v="2"/>
      <x v="2"/>
    </i>
    <i>
      <x v="155"/>
      <x v="200"/>
      <x v="2"/>
      <x v="2"/>
    </i>
    <i>
      <x v="156"/>
      <x v="199"/>
      <x v="2"/>
      <x v="2"/>
    </i>
    <i>
      <x v="157"/>
      <x v="29"/>
      <x v="2"/>
      <x v="2"/>
    </i>
    <i>
      <x v="158"/>
      <x v="14"/>
      <x v="2"/>
      <x v="2"/>
    </i>
    <i>
      <x v="159"/>
      <x v="37"/>
      <x v="2"/>
      <x v="2"/>
    </i>
    <i>
      <x v="160"/>
      <x v="5"/>
      <x v="2"/>
      <x v="2"/>
    </i>
    <i>
      <x v="161"/>
      <x v="36"/>
      <x v="2"/>
      <x v="2"/>
    </i>
    <i>
      <x v="162"/>
      <x v="141"/>
      <x v="2"/>
      <x v="2"/>
    </i>
    <i>
      <x v="163"/>
      <x v="163"/>
      <x/>
      <x/>
    </i>
    <i>
      <x v="164"/>
      <x v="7"/>
      <x/>
      <x/>
    </i>
    <i>
      <x v="165"/>
      <x v="65"/>
      <x v="1"/>
      <x v="1"/>
    </i>
    <i>
      <x v="166"/>
      <x v="38"/>
      <x v="7"/>
      <x v="8"/>
    </i>
    <i>
      <x v="167"/>
      <x v="38"/>
      <x v="8"/>
      <x v="12"/>
    </i>
    <i>
      <x v="168"/>
      <x v="89"/>
      <x v="8"/>
      <x v="12"/>
    </i>
    <i>
      <x v="169"/>
      <x v="38"/>
      <x v="5"/>
      <x v="18"/>
    </i>
    <i>
      <x v="170"/>
      <x v="50"/>
      <x v="8"/>
      <x v="12"/>
    </i>
    <i>
      <x v="171"/>
      <x v="207"/>
      <x v="2"/>
      <x v="2"/>
    </i>
    <i>
      <x v="172"/>
      <x v="57"/>
      <x v="7"/>
      <x v="8"/>
    </i>
    <i>
      <x v="173"/>
      <x v="122"/>
      <x v="7"/>
      <x v="8"/>
    </i>
    <i>
      <x v="174"/>
      <x v="138"/>
      <x v="7"/>
      <x v="8"/>
    </i>
    <i>
      <x v="175"/>
      <x v="185"/>
      <x v="5"/>
      <x v="19"/>
    </i>
    <i>
      <x v="176"/>
      <x v="44"/>
      <x v="11"/>
      <x v="20"/>
    </i>
    <i>
      <x v="177"/>
      <x v="139"/>
      <x v="7"/>
      <x v="8"/>
    </i>
    <i>
      <x v="178"/>
      <x v="161"/>
      <x v="1"/>
      <x v="1"/>
    </i>
    <i>
      <x v="179"/>
      <x v="195"/>
      <x/>
      <x/>
    </i>
    <i>
      <x v="180"/>
      <x v="86"/>
      <x v="7"/>
      <x v="8"/>
    </i>
    <i>
      <x v="181"/>
      <x v="87"/>
      <x v="7"/>
      <x v="8"/>
    </i>
    <i>
      <x v="182"/>
      <x v="12"/>
      <x v="7"/>
      <x v="8"/>
    </i>
    <i>
      <x v="183"/>
      <x v="10"/>
      <x v="7"/>
      <x v="8"/>
    </i>
    <i>
      <x v="184"/>
      <x v="11"/>
      <x v="7"/>
      <x v="8"/>
    </i>
    <i>
      <x v="185"/>
      <x v="45"/>
      <x v="7"/>
      <x v="8"/>
    </i>
    <i>
      <x v="186"/>
      <x v="82"/>
      <x v="7"/>
      <x v="8"/>
    </i>
    <i>
      <x v="187"/>
      <x v="182"/>
      <x v="7"/>
      <x v="8"/>
    </i>
    <i>
      <x v="188"/>
      <x v="150"/>
      <x v="5"/>
      <x v="17"/>
    </i>
    <i>
      <x v="189"/>
      <x v="74"/>
      <x v="5"/>
      <x v="7"/>
    </i>
    <i>
      <x v="190"/>
      <x v="184"/>
      <x/>
      <x/>
    </i>
    <i>
      <x v="191"/>
      <x v="131"/>
      <x v="10"/>
      <x v="15"/>
    </i>
    <i>
      <x v="192"/>
      <x v="134"/>
      <x v="10"/>
      <x v="15"/>
    </i>
    <i>
      <x v="193"/>
      <x v="132"/>
      <x v="10"/>
      <x v="15"/>
    </i>
    <i>
      <x v="194"/>
      <x v="130"/>
      <x v="10"/>
      <x v="15"/>
    </i>
    <i>
      <x v="195"/>
      <x v="120"/>
      <x v="5"/>
      <x v="13"/>
    </i>
    <i>
      <x v="196"/>
      <x v="123"/>
      <x v="6"/>
      <x v="6"/>
    </i>
    <i>
      <x v="197"/>
      <x v="137"/>
      <x v="6"/>
      <x v="6"/>
    </i>
    <i>
      <x v="198"/>
      <x v="95"/>
      <x v="5"/>
      <x v="9"/>
    </i>
    <i>
      <x v="199"/>
      <x v="39"/>
      <x v="5"/>
      <x v="13"/>
    </i>
    <i>
      <x v="200"/>
      <x v="136"/>
      <x v="5"/>
      <x v="13"/>
    </i>
    <i>
      <x v="201"/>
      <x v="119"/>
      <x v="5"/>
      <x v="13"/>
    </i>
    <i>
      <x v="202"/>
      <x v="142"/>
      <x v="5"/>
      <x v="16"/>
    </i>
    <i>
      <x v="203"/>
      <x v="51"/>
      <x v="6"/>
      <x v="6"/>
    </i>
    <i>
      <x v="204"/>
      <x v="52"/>
      <x v="6"/>
      <x v="6"/>
    </i>
    <i>
      <x v="205"/>
      <x v="53"/>
      <x v="6"/>
      <x v="6"/>
    </i>
    <i>
      <x v="206"/>
      <x v="116"/>
      <x v="6"/>
      <x v="6"/>
    </i>
    <i>
      <x v="207"/>
      <x v="124"/>
      <x v="6"/>
      <x v="6"/>
    </i>
    <i>
      <x v="208"/>
      <x v="208"/>
      <x v="6"/>
      <x v="6"/>
    </i>
    <i>
      <x v="209"/>
      <x v="40"/>
      <x v="5"/>
      <x v="13"/>
    </i>
    <i>
      <x v="210"/>
      <x v="133"/>
      <x v="10"/>
      <x v="15"/>
    </i>
    <i>
      <x v="211"/>
      <x v="135"/>
      <x v="5"/>
      <x v="13"/>
    </i>
    <i>
      <x v="212"/>
      <x v="148"/>
      <x v="3"/>
      <x v="3"/>
    </i>
    <i>
      <x v="213"/>
      <x v="96"/>
      <x v="5"/>
      <x v="9"/>
    </i>
    <i>
      <x v="214"/>
      <x v="143"/>
      <x v="5"/>
      <x v="16"/>
    </i>
    <i>
      <x v="215"/>
      <x v="30"/>
      <x v="6"/>
      <x v="6"/>
    </i>
    <i>
      <x v="216"/>
      <x v="31"/>
      <x v="6"/>
      <x v="6"/>
    </i>
    <i>
      <x v="217"/>
      <x v="209"/>
      <x v="7"/>
      <x v="8"/>
    </i>
    <i>
      <x v="218"/>
      <x v="211"/>
      <x/>
      <x/>
    </i>
    <i>
      <x v="219"/>
      <x v="210"/>
      <x v="1"/>
      <x v="1"/>
    </i>
    <i>
      <x v="220"/>
      <x v="212"/>
      <x v="7"/>
      <x v="8"/>
    </i>
    <i>
      <x v="221"/>
      <x v="213"/>
      <x v="5"/>
      <x v="17"/>
    </i>
    <i>
      <x v="222"/>
      <x v="214"/>
      <x v="5"/>
      <x v="13"/>
    </i>
    <i>
      <x v="223"/>
      <x v="215"/>
      <x v="10"/>
      <x v="15"/>
    </i>
    <i>
      <x v="224"/>
      <x v="219"/>
      <x v="10"/>
      <x v="15"/>
    </i>
    <i>
      <x v="225"/>
      <x v="216"/>
      <x v="7"/>
      <x v="8"/>
    </i>
    <i>
      <x v="226"/>
      <x v="217"/>
      <x v="5"/>
      <x v="13"/>
    </i>
    <i>
      <x v="227"/>
      <x v="218"/>
      <x v="2"/>
      <x v="2"/>
    </i>
    <i>
      <x v="228"/>
      <x v="220"/>
      <x v="7"/>
      <x v="8"/>
    </i>
    <i>
      <x v="229"/>
      <x v="221"/>
      <x v="6"/>
      <x v="6"/>
    </i>
    <i>
      <x v="230"/>
      <x v="222"/>
      <x v="2"/>
      <x v="2"/>
    </i>
    <i>
      <x v="231"/>
      <x v="223"/>
      <x v="5"/>
      <x v="11"/>
    </i>
    <i>
      <x v="232"/>
      <x v="224"/>
      <x v="5"/>
      <x v="11"/>
    </i>
    <i>
      <x v="233"/>
      <x v="232"/>
      <x v="3"/>
      <x v="3"/>
    </i>
    <i>
      <x v="234"/>
      <x v="231"/>
      <x v="5"/>
      <x v="17"/>
    </i>
    <i>
      <x v="235"/>
      <x v="233"/>
      <x v="5"/>
      <x v="10"/>
    </i>
    <i>
      <x v="236"/>
      <x v="234"/>
      <x v="5"/>
      <x v="10"/>
    </i>
    <i>
      <x v="237"/>
      <x v="235"/>
      <x v="5"/>
      <x v="10"/>
    </i>
    <i>
      <x v="238"/>
      <x v="236"/>
      <x v="5"/>
      <x v="19"/>
    </i>
    <i>
      <x v="239"/>
      <x v="237"/>
      <x v="5"/>
      <x v="19"/>
    </i>
    <i>
      <x v="240"/>
      <x v="238"/>
      <x v="8"/>
      <x v="12"/>
    </i>
    <i>
      <x v="241"/>
      <x v="239"/>
      <x v="6"/>
      <x v="6"/>
    </i>
    <i>
      <x v="242"/>
      <x v="240"/>
      <x v="2"/>
      <x v="2"/>
    </i>
    <i>
      <x v="243"/>
      <x v="121"/>
      <x v="7"/>
      <x v="8"/>
    </i>
    <i>
      <x v="244"/>
      <x v="241"/>
      <x v="6"/>
      <x v="6"/>
    </i>
    <i>
      <x v="245"/>
      <x v="245"/>
      <x v="5"/>
      <x v="16"/>
    </i>
    <i>
      <x v="246"/>
      <x v="246"/>
      <x v="5"/>
      <x v="9"/>
    </i>
    <i>
      <x v="247"/>
      <x v="242"/>
      <x v="10"/>
      <x v="15"/>
    </i>
    <i>
      <x v="248"/>
      <x v="243"/>
      <x v="10"/>
      <x v="15"/>
    </i>
    <i>
      <x v="249"/>
      <x v="244"/>
      <x v="6"/>
      <x v="6"/>
    </i>
    <i>
      <x v="250"/>
      <x v="247"/>
      <x v="3"/>
      <x v="3"/>
    </i>
    <i>
      <x v="251"/>
      <x v="248"/>
      <x v="6"/>
      <x v="6"/>
    </i>
    <i>
      <x v="252"/>
      <x v="249"/>
      <x v="2"/>
      <x v="2"/>
    </i>
    <i>
      <x v="253"/>
      <x v="250"/>
      <x v="2"/>
      <x v="2"/>
    </i>
    <i>
      <x v="254"/>
      <x v="251"/>
      <x v="2"/>
      <x v="2"/>
    </i>
    <i>
      <x v="255"/>
      <x v="252"/>
      <x v="2"/>
      <x v="2"/>
    </i>
    <i>
      <x v="256"/>
      <x v="253"/>
      <x v="2"/>
      <x v="2"/>
    </i>
    <i>
      <x v="257"/>
      <x v="254"/>
      <x v="5"/>
      <x v="16"/>
    </i>
    <i>
      <x v="258"/>
      <x v="255"/>
      <x v="5"/>
      <x v="16"/>
    </i>
    <i>
      <x v="259"/>
      <x v="256"/>
      <x v="5"/>
      <x v="16"/>
    </i>
    <i>
      <x v="260"/>
      <x v="257"/>
      <x v="5"/>
      <x v="16"/>
    </i>
    <i>
      <x v="261"/>
      <x v="258"/>
      <x v="5"/>
      <x v="16"/>
    </i>
    <i>
      <x v="262"/>
      <x v="259"/>
      <x v="5"/>
      <x v="13"/>
    </i>
    <i>
      <x v="263"/>
      <x v="260"/>
      <x v="5"/>
      <x v="13"/>
    </i>
    <i>
      <x v="264"/>
      <x v="261"/>
      <x v="5"/>
      <x v="13"/>
    </i>
    <i>
      <x v="265"/>
      <x v="262"/>
      <x v="5"/>
      <x v="13"/>
    </i>
    <i>
      <x v="266"/>
      <x v="263"/>
      <x v="5"/>
      <x v="13"/>
    </i>
    <i>
      <x v="267"/>
      <x v="264"/>
      <x v="5"/>
      <x v="13"/>
    </i>
    <i>
      <x v="268"/>
      <x v="265"/>
      <x v="5"/>
      <x v="13"/>
    </i>
    <i>
      <x v="269"/>
      <x v="266"/>
      <x v="5"/>
      <x v="13"/>
    </i>
    <i>
      <x v="270"/>
      <x v="267"/>
      <x v="5"/>
      <x v="13"/>
    </i>
    <i>
      <x v="271"/>
      <x v="268"/>
      <x v="5"/>
      <x v="13"/>
    </i>
    <i>
      <x v="272"/>
      <x v="269"/>
      <x v="5"/>
      <x v="13"/>
    </i>
    <i>
      <x v="273"/>
      <x v="270"/>
      <x v="12"/>
      <x v="21"/>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4.xml><?xml version="1.0" encoding="utf-8"?>
<pivotTableDefinition xmlns="http://schemas.openxmlformats.org/spreadsheetml/2006/main" name="PivotTable1" cacheId="23"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277" firstHeaderRow="1" firstDataRow="1" firstDataCol="3"/>
  <pivotFields count="42">
    <pivotField axis="axisRow"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2">
        <item x="3"/>
        <item x="2"/>
        <item x="11"/>
        <item x="20"/>
        <item x="12"/>
        <item x="7"/>
        <item x="17"/>
        <item x="14"/>
        <item x="5"/>
        <item x="18"/>
        <item x="9"/>
        <item x="10"/>
        <item x="4"/>
        <item x="16"/>
        <item x="0"/>
        <item x="15"/>
        <item x="19"/>
        <item x="8"/>
        <item x="6"/>
        <item x="13"/>
        <item x="1"/>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71">
        <item x="142"/>
        <item x="150"/>
        <item x="139"/>
        <item x="208"/>
        <item x="49"/>
        <item x="147"/>
        <item x="160"/>
        <item x="144"/>
        <item x="263"/>
        <item x="164"/>
        <item x="141"/>
        <item x="88"/>
        <item x="267"/>
        <item x="268"/>
        <item x="180"/>
        <item x="181"/>
        <item x="179"/>
        <item x="140"/>
        <item x="158"/>
        <item x="143"/>
        <item x="109"/>
        <item x="108"/>
        <item x="121"/>
        <item x="191"/>
        <item x="105"/>
        <item x="84"/>
        <item x="41"/>
        <item x="134"/>
        <item x="205"/>
        <item x="145"/>
        <item x="11"/>
        <item x="9"/>
        <item x="10"/>
        <item x="118"/>
        <item x="151"/>
        <item x="157"/>
        <item x="237"/>
        <item x="238"/>
        <item x="45"/>
        <item x="266"/>
        <item x="27"/>
        <item x="110"/>
        <item x="131"/>
        <item x="161"/>
        <item x="159"/>
        <item x="197"/>
        <item x="137"/>
        <item x="221"/>
        <item x="231"/>
        <item x="194"/>
        <item x="42"/>
        <item x="117"/>
        <item x="51"/>
        <item x="173"/>
        <item x="182"/>
        <item x="192"/>
        <item x="17"/>
        <item x="18"/>
        <item x="116"/>
        <item x="262"/>
        <item x="261"/>
        <item x="47"/>
        <item x="259"/>
        <item x="167"/>
        <item x="225"/>
        <item x="196"/>
        <item x="226"/>
        <item x="227"/>
        <item x="12"/>
        <item x="76"/>
        <item x="73"/>
        <item x="169"/>
        <item x="112"/>
        <item x="132"/>
        <item x="44"/>
        <item x="120"/>
        <item x="130"/>
        <item x="129"/>
        <item x="14"/>
        <item x="13"/>
        <item x="165"/>
        <item x="152"/>
        <item x="138"/>
        <item x="48"/>
        <item x="258"/>
        <item x="70"/>
        <item x="68"/>
        <item x="69"/>
        <item x="126"/>
        <item x="199"/>
        <item x="202"/>
        <item x="103"/>
        <item x="186"/>
        <item x="26"/>
        <item x="114"/>
        <item x="63"/>
        <item x="246"/>
        <item x="30"/>
        <item x="28"/>
        <item x="39"/>
        <item x="38"/>
        <item x="183"/>
        <item x="188"/>
        <item x="15"/>
        <item x="61"/>
        <item x="7"/>
        <item x="270"/>
        <item x="177"/>
        <item x="178"/>
        <item x="62"/>
        <item x="248"/>
        <item x="166"/>
        <item x="124"/>
        <item x="195"/>
        <item x="123"/>
        <item x="193"/>
        <item x="125"/>
        <item x="113"/>
        <item x="57"/>
        <item x="220"/>
        <item x="235"/>
        <item x="75"/>
        <item x="65"/>
        <item x="90"/>
        <item x="89"/>
        <item x="92"/>
        <item x="94"/>
        <item x="95"/>
        <item x="91"/>
        <item x="96"/>
        <item x="93"/>
        <item x="19"/>
        <item x="20"/>
        <item x="102"/>
        <item x="86"/>
        <item x="83"/>
        <item x="82"/>
        <item x="87"/>
        <item x="85"/>
        <item x="149"/>
        <item x="228"/>
        <item x="198"/>
        <item x="34"/>
        <item x="55"/>
        <item x="56"/>
        <item x="260"/>
        <item x="250"/>
        <item x="249"/>
        <item x="223"/>
        <item x="217"/>
        <item x="206"/>
        <item x="170"/>
        <item x="253"/>
        <item x="218"/>
        <item x="243"/>
        <item x="229"/>
        <item x="148"/>
        <item x="239"/>
        <item x="242"/>
        <item x="50"/>
        <item x="212"/>
        <item x="16"/>
        <item x="60"/>
        <item x="127"/>
        <item x="216"/>
        <item x="213"/>
        <item x="240"/>
        <item x="215"/>
        <item x="232"/>
        <item x="214"/>
        <item x="233"/>
        <item x="222"/>
        <item x="219"/>
        <item x="251"/>
        <item x="171"/>
        <item x="174"/>
        <item x="128"/>
        <item x="162"/>
        <item x="244"/>
        <item x="224"/>
        <item x="236"/>
        <item x="241"/>
        <item x="264"/>
        <item x="256"/>
        <item x="257"/>
        <item x="255"/>
        <item x="23"/>
        <item x="53"/>
        <item x="99"/>
        <item x="79"/>
        <item x="234"/>
        <item x="77"/>
        <item x="185"/>
        <item x="32"/>
        <item x="133"/>
        <item x="33"/>
        <item x="203"/>
        <item x="245"/>
        <item x="80"/>
        <item x="81"/>
        <item x="122"/>
        <item x="58"/>
        <item x="1"/>
        <item x="71"/>
        <item x="136"/>
        <item x="119"/>
        <item x="115"/>
        <item x="247"/>
        <item x="175"/>
        <item x="98"/>
        <item x="163"/>
        <item x="64"/>
        <item x="135"/>
        <item x="31"/>
        <item x="24"/>
        <item x="29"/>
        <item x="25"/>
        <item x="153"/>
        <item x="46"/>
        <item x="104"/>
        <item x="154"/>
        <item x="204"/>
        <item x="100"/>
        <item x="200"/>
        <item x="201"/>
        <item x="190"/>
        <item x="72"/>
        <item x="209"/>
        <item x="211"/>
        <item x="5"/>
        <item x="6"/>
        <item x="40"/>
        <item x="66"/>
        <item x="67"/>
        <item x="254"/>
        <item x="8"/>
        <item x="184"/>
        <item x="78"/>
        <item x="187"/>
        <item x="265"/>
        <item x="172"/>
        <item x="54"/>
        <item x="106"/>
        <item x="59"/>
        <item x="0"/>
        <item x="22"/>
        <item x="3"/>
        <item x="2"/>
        <item x="4"/>
        <item x="210"/>
        <item x="36"/>
        <item x="189"/>
        <item x="97"/>
        <item x="176"/>
        <item x="74"/>
        <item x="252"/>
        <item x="37"/>
        <item x="35"/>
        <item x="207"/>
        <item x="156"/>
        <item x="155"/>
        <item x="269"/>
        <item x="111"/>
        <item x="43"/>
        <item x="146"/>
        <item x="21"/>
        <item x="52"/>
        <item x="101"/>
        <item x="107"/>
        <item x="168"/>
        <item x="230"/>
      </items>
      <extLst>
        <ext xmlns:x14="http://schemas.microsoft.com/office/spreadsheetml/2009/9/main" uri="{2946ED86-A175-432a-8AC1-64E0C546D7DE}">
          <x14:pivotField fillDownLabels="1"/>
        </ext>
      </extLst>
    </pivotField>
    <pivotField axis="axisRow" compact="0" outline="0" showAll="0" defaultSubtotal="0">
      <items count="2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216"/>
        <item x="217"/>
        <item x="218"/>
        <item x="219"/>
        <item x="220"/>
        <item x="221"/>
        <item x="222"/>
        <item x="223"/>
        <item x="224"/>
        <item x="225"/>
        <item x="226"/>
        <item x="227"/>
        <item x="228"/>
        <item x="229"/>
        <item x="230"/>
        <item x="231"/>
        <item x="232"/>
        <item x="233"/>
        <item x="234"/>
        <item x="235"/>
        <item x="236"/>
        <item x="237"/>
        <item x="238"/>
        <item x="239"/>
        <item x="240"/>
        <item x="241"/>
        <item x="191"/>
        <item x="192"/>
        <item x="193"/>
        <item x="194"/>
        <item x="195"/>
        <item x="242"/>
        <item x="243"/>
        <item x="244"/>
        <item x="196"/>
        <item x="245"/>
        <item x="197"/>
        <item x="198"/>
        <item x="246"/>
        <item x="199"/>
        <item x="200"/>
        <item x="201"/>
        <item x="247"/>
        <item x="202"/>
        <item x="203"/>
        <item x="204"/>
        <item x="205"/>
        <item x="206"/>
        <item x="207"/>
        <item x="208"/>
        <item x="248"/>
        <item x="210"/>
        <item x="209"/>
        <item x="249"/>
        <item x="250"/>
        <item x="251"/>
        <item x="252"/>
        <item x="253"/>
        <item x="254"/>
        <item x="255"/>
        <item x="256"/>
        <item x="211"/>
        <item x="212"/>
        <item x="213"/>
        <item x="214"/>
        <item x="215"/>
        <item x="257"/>
        <item x="258"/>
        <item x="259"/>
        <item x="260"/>
        <item x="261"/>
        <item x="262"/>
        <item x="263"/>
        <item x="264"/>
        <item x="265"/>
        <item x="266"/>
        <item x="267"/>
        <item x="268"/>
        <item x="269"/>
        <item x="270"/>
        <item x="271"/>
        <item x="272"/>
        <item x="27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3">
    <field x="11"/>
    <field x="12"/>
    <field x="0"/>
  </rowFields>
  <rowItems count="274">
    <i>
      <x/>
      <x v="142"/>
      <x/>
    </i>
    <i>
      <x v="1"/>
      <x v="150"/>
      <x v="1"/>
    </i>
    <i>
      <x v="2"/>
      <x v="139"/>
      <x v="1"/>
    </i>
    <i>
      <x v="3"/>
      <x v="252"/>
      <x v="1"/>
    </i>
    <i>
      <x v="4"/>
      <x v="49"/>
      <x v="1"/>
    </i>
    <i>
      <x v="5"/>
      <x v="147"/>
      <x v="1"/>
    </i>
    <i>
      <x v="6"/>
      <x v="160"/>
      <x v="1"/>
    </i>
    <i>
      <x v="7"/>
      <x v="144"/>
      <x/>
    </i>
    <i>
      <x v="8"/>
      <x v="266"/>
      <x v="1"/>
    </i>
    <i>
      <x v="9"/>
      <x v="164"/>
      <x v="1"/>
    </i>
    <i>
      <x v="10"/>
      <x v="141"/>
      <x/>
    </i>
    <i>
      <x v="11"/>
      <x v="88"/>
      <x/>
    </i>
    <i>
      <x v="12"/>
      <x v="270"/>
      <x v="1"/>
    </i>
    <i>
      <x v="13"/>
      <x v="271"/>
      <x v="1"/>
    </i>
    <i>
      <x v="14"/>
      <x v="183"/>
      <x/>
    </i>
    <i>
      <x v="15"/>
      <x v="184"/>
      <x/>
    </i>
    <i>
      <x v="16"/>
      <x v="182"/>
      <x/>
    </i>
    <i>
      <x v="17"/>
      <x v="140"/>
      <x v="1"/>
    </i>
    <i>
      <x v="18"/>
      <x v="158"/>
      <x/>
    </i>
    <i>
      <x v="19"/>
      <x v="143"/>
      <x/>
    </i>
    <i>
      <x v="20"/>
      <x v="109"/>
      <x/>
    </i>
    <i>
      <x v="21"/>
      <x v="108"/>
      <x v="1"/>
    </i>
    <i>
      <x v="22"/>
      <x v="121"/>
      <x v="1"/>
    </i>
    <i>
      <x v="23"/>
      <x v="220"/>
      <x/>
    </i>
    <i>
      <x v="24"/>
      <x v="105"/>
      <x v="1"/>
    </i>
    <i>
      <x v="25"/>
      <x v="84"/>
      <x/>
    </i>
    <i>
      <x v="26"/>
      <x v="41"/>
      <x v="1"/>
    </i>
    <i>
      <x v="27"/>
      <x v="134"/>
      <x/>
    </i>
    <i>
      <x v="28"/>
      <x v="240"/>
      <x v="1"/>
    </i>
    <i>
      <x v="29"/>
      <x v="145"/>
      <x v="1"/>
    </i>
    <i>
      <x v="30"/>
      <x v="11"/>
      <x v="1"/>
    </i>
    <i>
      <x v="31"/>
      <x v="9"/>
      <x v="1"/>
    </i>
    <i>
      <x v="32"/>
      <x v="10"/>
      <x v="1"/>
    </i>
    <i>
      <x v="33"/>
      <x v="118"/>
      <x v="1"/>
    </i>
    <i>
      <x v="34"/>
      <x v="151"/>
      <x/>
    </i>
    <i>
      <x v="35"/>
      <x v="157"/>
      <x/>
    </i>
    <i>
      <x v="36"/>
      <x v="215"/>
      <x/>
    </i>
    <i>
      <x v="37"/>
      <x v="216"/>
      <x/>
    </i>
    <i>
      <x v="38"/>
      <x v="45"/>
      <x/>
    </i>
    <i>
      <x v="39"/>
      <x v="269"/>
      <x/>
    </i>
    <i>
      <x v="40"/>
      <x v="27"/>
      <x v="1"/>
    </i>
    <i>
      <x v="41"/>
      <x v="110"/>
      <x v="1"/>
    </i>
    <i>
      <x v="42"/>
      <x v="131"/>
      <x v="1"/>
    </i>
    <i>
      <x v="43"/>
      <x v="161"/>
      <x v="1"/>
    </i>
    <i>
      <x v="44"/>
      <x v="159"/>
      <x/>
    </i>
    <i>
      <x v="45"/>
      <x v="231"/>
      <x v="1"/>
    </i>
    <i>
      <x v="46"/>
      <x v="137"/>
      <x v="1"/>
    </i>
    <i r="1">
      <x v="166"/>
      <x v="1"/>
    </i>
    <i r="1">
      <x v="167"/>
      <x v="1"/>
    </i>
    <i r="1">
      <x v="169"/>
      <x v="1"/>
    </i>
    <i>
      <x v="47"/>
      <x v="199"/>
      <x v="1"/>
    </i>
    <i>
      <x v="48"/>
      <x v="209"/>
      <x v="1"/>
    </i>
    <i>
      <x v="49"/>
      <x v="227"/>
      <x v="1"/>
    </i>
    <i>
      <x v="50"/>
      <x v="42"/>
      <x v="1"/>
    </i>
    <i>
      <x v="51"/>
      <x v="117"/>
      <x v="1"/>
    </i>
    <i>
      <x v="52"/>
      <x v="51"/>
      <x v="1"/>
    </i>
    <i>
      <x v="53"/>
      <x v="176"/>
      <x v="1"/>
    </i>
    <i>
      <x v="54"/>
      <x v="185"/>
      <x/>
    </i>
    <i>
      <x v="55"/>
      <x v="221"/>
      <x v="1"/>
    </i>
    <i>
      <x v="56"/>
      <x v="17"/>
      <x v="1"/>
    </i>
    <i>
      <x v="57"/>
      <x v="18"/>
      <x v="1"/>
    </i>
    <i>
      <x v="58"/>
      <x v="116"/>
      <x v="1"/>
    </i>
    <i>
      <x v="59"/>
      <x v="265"/>
      <x v="1"/>
    </i>
    <i>
      <x v="60"/>
      <x v="264"/>
      <x/>
    </i>
    <i>
      <x v="61"/>
      <x v="47"/>
      <x/>
    </i>
    <i>
      <x v="62"/>
      <x v="262"/>
      <x v="1"/>
    </i>
    <i>
      <x v="63"/>
      <x v="170"/>
      <x v="1"/>
    </i>
    <i>
      <x v="64"/>
      <x v="203"/>
      <x v="1"/>
    </i>
    <i>
      <x v="65"/>
      <x v="230"/>
      <x v="1"/>
    </i>
    <i>
      <x v="66"/>
      <x v="204"/>
      <x v="1"/>
    </i>
    <i>
      <x v="67"/>
      <x v="205"/>
      <x v="1"/>
    </i>
    <i>
      <x v="68"/>
      <x v="12"/>
      <x v="1"/>
    </i>
    <i>
      <x v="69"/>
      <x v="76"/>
      <x v="1"/>
    </i>
    <i>
      <x v="70"/>
      <x v="73"/>
      <x/>
    </i>
    <i>
      <x v="71"/>
      <x v="172"/>
      <x/>
    </i>
    <i>
      <x v="72"/>
      <x v="112"/>
      <x/>
    </i>
    <i>
      <x v="73"/>
      <x v="132"/>
      <x v="1"/>
    </i>
    <i>
      <x v="74"/>
      <x v="44"/>
      <x v="1"/>
    </i>
    <i>
      <x v="75"/>
      <x v="120"/>
      <x v="1"/>
    </i>
    <i>
      <x v="76"/>
      <x v="130"/>
      <x v="1"/>
    </i>
    <i>
      <x v="77"/>
      <x v="129"/>
      <x/>
    </i>
    <i>
      <x v="78"/>
      <x v="14"/>
      <x v="1"/>
    </i>
    <i>
      <x v="79"/>
      <x v="13"/>
      <x v="1"/>
    </i>
    <i>
      <x v="80"/>
      <x v="165"/>
      <x v="1"/>
    </i>
    <i>
      <x v="81"/>
      <x v="152"/>
      <x v="1"/>
    </i>
    <i>
      <x v="82"/>
      <x v="138"/>
      <x v="1"/>
    </i>
    <i>
      <x v="83"/>
      <x v="48"/>
      <x v="1"/>
    </i>
    <i>
      <x v="84"/>
      <x v="261"/>
      <x v="1"/>
    </i>
    <i>
      <x v="85"/>
      <x v="70"/>
      <x v="1"/>
    </i>
    <i>
      <x v="86"/>
      <x v="68"/>
      <x v="1"/>
    </i>
    <i>
      <x v="87"/>
      <x v="69"/>
      <x v="1"/>
    </i>
    <i>
      <x v="88"/>
      <x v="126"/>
      <x/>
    </i>
    <i>
      <x v="89"/>
      <x v="234"/>
      <x v="1"/>
    </i>
    <i>
      <x v="90"/>
      <x v="237"/>
      <x/>
    </i>
    <i>
      <x v="91"/>
      <x v="103"/>
      <x/>
    </i>
    <i>
      <x v="92"/>
      <x v="189"/>
      <x/>
    </i>
    <i>
      <x v="93"/>
      <x v="26"/>
      <x v="1"/>
    </i>
    <i>
      <x v="94"/>
      <x v="114"/>
      <x v="1"/>
    </i>
    <i>
      <x v="95"/>
      <x v="63"/>
      <x v="1"/>
    </i>
    <i>
      <x v="96"/>
      <x v="244"/>
      <x v="1"/>
    </i>
    <i>
      <x v="97"/>
      <x v="30"/>
      <x v="1"/>
    </i>
    <i>
      <x v="98"/>
      <x v="28"/>
      <x v="1"/>
    </i>
    <i>
      <x v="99"/>
      <x v="39"/>
      <x v="1"/>
    </i>
    <i>
      <x v="100"/>
      <x v="38"/>
      <x v="1"/>
    </i>
    <i>
      <x v="101"/>
      <x v="186"/>
      <x v="1"/>
    </i>
    <i>
      <x v="102"/>
      <x v="217"/>
      <x v="1"/>
    </i>
    <i>
      <x v="103"/>
      <x v="15"/>
      <x v="1"/>
    </i>
    <i>
      <x v="104"/>
      <x v="61"/>
      <x v="1"/>
    </i>
    <i>
      <x v="105"/>
      <x v="7"/>
      <x v="1"/>
    </i>
    <i>
      <x v="106"/>
      <x v="273"/>
      <x v="1"/>
    </i>
    <i>
      <x v="107"/>
      <x v="180"/>
      <x/>
    </i>
    <i>
      <x v="108"/>
      <x v="181"/>
      <x/>
    </i>
    <i>
      <x v="109"/>
      <x v="62"/>
      <x v="1"/>
    </i>
    <i>
      <x v="110"/>
      <x v="246"/>
      <x v="1"/>
    </i>
    <i>
      <x v="111"/>
      <x v="168"/>
      <x v="1"/>
    </i>
    <i>
      <x v="112"/>
      <x v="124"/>
      <x v="1"/>
    </i>
    <i>
      <x v="113"/>
      <x v="228"/>
      <x v="1"/>
    </i>
    <i>
      <x v="114"/>
      <x v="123"/>
      <x v="1"/>
    </i>
    <i>
      <x v="115"/>
      <x v="225"/>
      <x v="1"/>
    </i>
    <i>
      <x v="116"/>
      <x v="125"/>
      <x v="1"/>
    </i>
    <i>
      <x v="117"/>
      <x v="113"/>
      <x/>
    </i>
    <i>
      <x v="118"/>
      <x v="57"/>
      <x/>
    </i>
    <i>
      <x v="119"/>
      <x v="198"/>
      <x v="1"/>
    </i>
    <i>
      <x v="120"/>
      <x v="213"/>
      <x v="1"/>
    </i>
    <i>
      <x v="121"/>
      <x v="75"/>
      <x v="1"/>
    </i>
    <i>
      <x v="122"/>
      <x v="65"/>
      <x v="1"/>
    </i>
    <i>
      <x v="123"/>
      <x v="90"/>
      <x/>
    </i>
    <i>
      <x v="124"/>
      <x v="89"/>
      <x/>
    </i>
    <i>
      <x v="125"/>
      <x v="92"/>
      <x/>
    </i>
    <i>
      <x v="126"/>
      <x v="94"/>
      <x/>
    </i>
    <i>
      <x v="127"/>
      <x v="95"/>
      <x/>
    </i>
    <i>
      <x v="128"/>
      <x v="91"/>
      <x/>
    </i>
    <i>
      <x v="129"/>
      <x v="96"/>
      <x/>
    </i>
    <i>
      <x v="130"/>
      <x v="93"/>
      <x/>
    </i>
    <i>
      <x v="131"/>
      <x v="19"/>
      <x v="1"/>
    </i>
    <i>
      <x v="132"/>
      <x v="20"/>
      <x v="1"/>
    </i>
    <i>
      <x v="133"/>
      <x v="102"/>
      <x/>
    </i>
    <i>
      <x v="134"/>
      <x v="86"/>
      <x/>
    </i>
    <i>
      <x v="135"/>
      <x v="83"/>
      <x/>
    </i>
    <i>
      <x v="136"/>
      <x v="82"/>
      <x/>
    </i>
    <i>
      <x v="137"/>
      <x v="87"/>
      <x v="1"/>
    </i>
    <i>
      <x v="138"/>
      <x v="85"/>
      <x/>
    </i>
    <i>
      <x v="139"/>
      <x v="149"/>
      <x/>
    </i>
    <i>
      <x v="140"/>
      <x v="206"/>
      <x v="1"/>
    </i>
    <i>
      <x v="141"/>
      <x v="232"/>
      <x v="1"/>
    </i>
    <i>
      <x v="142"/>
      <x v="34"/>
      <x/>
    </i>
    <i>
      <x v="143"/>
      <x v="55"/>
      <x v="1"/>
    </i>
    <i>
      <x v="144"/>
      <x v="56"/>
      <x/>
    </i>
    <i>
      <x v="145"/>
      <x v="263"/>
      <x/>
    </i>
    <i>
      <x v="146"/>
      <x v="248"/>
      <x v="1"/>
    </i>
    <i>
      <x v="147"/>
      <x v="247"/>
      <x v="1"/>
    </i>
    <i>
      <x v="148"/>
      <x v="201"/>
      <x/>
    </i>
    <i>
      <x v="149"/>
      <x v="195"/>
      <x v="1"/>
    </i>
    <i>
      <x v="150"/>
      <x v="243"/>
      <x/>
    </i>
    <i>
      <x v="151"/>
      <x v="173"/>
      <x/>
    </i>
    <i>
      <x v="152"/>
      <x v="251"/>
      <x v="1"/>
    </i>
    <i>
      <x v="153"/>
      <x v="196"/>
      <x v="1"/>
    </i>
    <i>
      <x v="154"/>
      <x v="229"/>
      <x v="1"/>
    </i>
    <i>
      <x v="155"/>
      <x v="207"/>
      <x/>
    </i>
    <i>
      <x v="156"/>
      <x v="148"/>
      <x/>
    </i>
    <i>
      <x v="157"/>
      <x v="222"/>
      <x v="1"/>
    </i>
    <i>
      <x v="158"/>
      <x v="226"/>
      <x v="1"/>
    </i>
    <i>
      <x v="159"/>
      <x v="50"/>
      <x v="1"/>
    </i>
    <i>
      <x v="160"/>
      <x v="256"/>
      <x v="1"/>
    </i>
    <i>
      <x v="161"/>
      <x v="16"/>
      <x/>
    </i>
    <i>
      <x v="162"/>
      <x v="60"/>
      <x v="1"/>
    </i>
    <i>
      <x v="163"/>
      <x v="127"/>
      <x/>
    </i>
    <i>
      <x v="164"/>
      <x v="194"/>
      <x v="1"/>
    </i>
    <i>
      <x v="165"/>
      <x v="191"/>
      <x v="1"/>
    </i>
    <i>
      <x v="166"/>
      <x v="223"/>
      <x v="1"/>
    </i>
    <i>
      <x v="167"/>
      <x v="193"/>
      <x v="1"/>
    </i>
    <i>
      <x v="168"/>
      <x v="210"/>
      <x/>
    </i>
    <i>
      <x v="169"/>
      <x v="192"/>
      <x/>
    </i>
    <i>
      <x v="170"/>
      <x v="211"/>
      <x/>
    </i>
    <i>
      <x v="171"/>
      <x v="200"/>
      <x v="1"/>
    </i>
    <i>
      <x v="172"/>
      <x v="197"/>
      <x v="1"/>
    </i>
    <i>
      <x v="173"/>
      <x v="249"/>
      <x v="1"/>
    </i>
    <i>
      <x v="174"/>
      <x v="174"/>
      <x/>
    </i>
    <i>
      <x v="175"/>
      <x v="177"/>
      <x/>
    </i>
    <i>
      <x v="176"/>
      <x v="128"/>
      <x/>
    </i>
    <i>
      <x v="177"/>
      <x v="162"/>
      <x v="1"/>
    </i>
    <i>
      <x v="178"/>
      <x v="233"/>
      <x v="1"/>
    </i>
    <i>
      <x v="179"/>
      <x v="202"/>
      <x v="1"/>
    </i>
    <i>
      <x v="180"/>
      <x v="214"/>
      <x v="1"/>
    </i>
    <i>
      <x v="181"/>
      <x v="224"/>
      <x v="1"/>
    </i>
    <i>
      <x v="182"/>
      <x v="267"/>
      <x v="1"/>
    </i>
    <i>
      <x v="183"/>
      <x v="259"/>
      <x v="1"/>
    </i>
    <i>
      <x v="184"/>
      <x v="260"/>
      <x v="1"/>
    </i>
    <i>
      <x v="185"/>
      <x v="258"/>
      <x v="1"/>
    </i>
    <i>
      <x v="186"/>
      <x v="23"/>
      <x v="1"/>
    </i>
    <i>
      <x v="187"/>
      <x v="53"/>
      <x v="1"/>
    </i>
    <i>
      <x v="188"/>
      <x v="99"/>
      <x v="1"/>
    </i>
    <i>
      <x v="189"/>
      <x v="79"/>
      <x/>
    </i>
    <i>
      <x v="190"/>
      <x v="212"/>
      <x v="1"/>
    </i>
    <i>
      <x v="191"/>
      <x v="77"/>
      <x v="1"/>
    </i>
    <i>
      <x v="192"/>
      <x v="188"/>
      <x/>
    </i>
    <i>
      <x v="193"/>
      <x v="32"/>
      <x v="1"/>
    </i>
    <i>
      <x v="194"/>
      <x v="133"/>
      <x v="1"/>
    </i>
    <i>
      <x v="195"/>
      <x v="33"/>
      <x/>
    </i>
    <i>
      <x v="196"/>
      <x v="238"/>
      <x v="1"/>
    </i>
    <i>
      <x v="197"/>
      <x v="241"/>
      <x v="1"/>
    </i>
    <i>
      <x v="198"/>
      <x v="80"/>
      <x/>
    </i>
    <i>
      <x v="199"/>
      <x v="81"/>
      <x/>
    </i>
    <i>
      <x v="200"/>
      <x v="122"/>
      <x v="1"/>
    </i>
    <i>
      <x v="201"/>
      <x v="58"/>
      <x/>
    </i>
    <i>
      <x v="202"/>
      <x v="1"/>
      <x v="1"/>
    </i>
    <i>
      <x v="203"/>
      <x v="71"/>
      <x v="1"/>
    </i>
    <i>
      <x v="204"/>
      <x v="136"/>
      <x v="1"/>
    </i>
    <i>
      <x v="205"/>
      <x v="119"/>
      <x v="1"/>
    </i>
    <i>
      <x v="206"/>
      <x v="115"/>
      <x v="1"/>
    </i>
    <i>
      <x v="207"/>
      <x v="245"/>
      <x v="1"/>
    </i>
    <i>
      <x v="208"/>
      <x v="178"/>
      <x v="1"/>
    </i>
    <i>
      <x v="209"/>
      <x v="98"/>
      <x/>
    </i>
    <i>
      <x v="210"/>
      <x v="163"/>
      <x v="1"/>
    </i>
    <i>
      <x v="211"/>
      <x v="64"/>
      <x v="1"/>
    </i>
    <i>
      <x v="212"/>
      <x v="135"/>
      <x v="1"/>
    </i>
    <i>
      <x v="213"/>
      <x v="31"/>
      <x v="1"/>
    </i>
    <i>
      <x v="214"/>
      <x v="24"/>
      <x v="1"/>
    </i>
    <i>
      <x v="215"/>
      <x v="29"/>
      <x v="1"/>
    </i>
    <i>
      <x v="216"/>
      <x v="25"/>
      <x v="1"/>
    </i>
    <i>
      <x v="217"/>
      <x v="153"/>
      <x v="1"/>
    </i>
    <i>
      <x v="218"/>
      <x v="46"/>
      <x v="1"/>
    </i>
    <i>
      <x v="219"/>
      <x v="104"/>
      <x/>
    </i>
    <i>
      <x v="220"/>
      <x v="154"/>
      <x v="1"/>
    </i>
    <i>
      <x v="221"/>
      <x v="239"/>
      <x v="1"/>
    </i>
    <i>
      <x v="222"/>
      <x v="100"/>
      <x/>
    </i>
    <i>
      <x v="223"/>
      <x v="235"/>
      <x v="1"/>
    </i>
    <i>
      <x v="224"/>
      <x v="236"/>
      <x v="1"/>
    </i>
    <i>
      <x v="225"/>
      <x v="219"/>
      <x v="1"/>
    </i>
    <i>
      <x v="226"/>
      <x v="72"/>
      <x v="1"/>
    </i>
    <i>
      <x v="227"/>
      <x v="253"/>
      <x v="1"/>
    </i>
    <i>
      <x v="228"/>
      <x v="255"/>
      <x v="1"/>
    </i>
    <i>
      <x v="229"/>
      <x v="5"/>
      <x v="1"/>
    </i>
    <i>
      <x v="230"/>
      <x v="6"/>
      <x v="1"/>
    </i>
    <i>
      <x v="231"/>
      <x v="40"/>
      <x v="1"/>
    </i>
    <i>
      <x v="232"/>
      <x v="66"/>
      <x v="1"/>
    </i>
    <i>
      <x v="233"/>
      <x v="67"/>
      <x v="1"/>
    </i>
    <i>
      <x v="234"/>
      <x v="257"/>
      <x v="1"/>
    </i>
    <i>
      <x v="235"/>
      <x v="8"/>
      <x v="1"/>
    </i>
    <i>
      <x v="236"/>
      <x v="187"/>
      <x/>
    </i>
    <i>
      <x v="237"/>
      <x v="78"/>
      <x v="1"/>
    </i>
    <i>
      <x v="238"/>
      <x v="190"/>
      <x/>
    </i>
    <i>
      <x v="239"/>
      <x v="268"/>
      <x v="1"/>
    </i>
    <i>
      <x v="240"/>
      <x v="175"/>
      <x v="1"/>
    </i>
    <i>
      <x v="241"/>
      <x v="54"/>
      <x v="1"/>
    </i>
    <i>
      <x v="242"/>
      <x v="106"/>
      <x/>
    </i>
    <i>
      <x v="243"/>
      <x v="59"/>
      <x v="1"/>
    </i>
    <i>
      <x v="244"/>
      <x/>
      <x v="1"/>
    </i>
    <i>
      <x v="245"/>
      <x v="22"/>
      <x v="1"/>
    </i>
    <i>
      <x v="246"/>
      <x v="3"/>
      <x v="1"/>
    </i>
    <i>
      <x v="247"/>
      <x v="2"/>
      <x v="1"/>
    </i>
    <i>
      <x v="248"/>
      <x v="4"/>
      <x v="1"/>
    </i>
    <i>
      <x v="249"/>
      <x v="254"/>
      <x v="1"/>
    </i>
    <i>
      <x v="250"/>
      <x v="36"/>
      <x v="1"/>
    </i>
    <i>
      <x v="251"/>
      <x v="218"/>
      <x/>
    </i>
    <i>
      <x v="252"/>
      <x v="97"/>
      <x/>
    </i>
    <i>
      <x v="253"/>
      <x v="179"/>
      <x/>
    </i>
    <i>
      <x v="254"/>
      <x v="74"/>
      <x v="1"/>
    </i>
    <i>
      <x v="255"/>
      <x v="250"/>
      <x v="1"/>
    </i>
    <i>
      <x v="256"/>
      <x v="37"/>
      <x v="1"/>
    </i>
    <i>
      <x v="257"/>
      <x v="35"/>
      <x/>
    </i>
    <i>
      <x v="258"/>
      <x v="242"/>
      <x v="1"/>
    </i>
    <i>
      <x v="259"/>
      <x v="156"/>
      <x/>
    </i>
    <i>
      <x v="260"/>
      <x v="155"/>
      <x v="1"/>
    </i>
    <i>
      <x v="261"/>
      <x v="272"/>
      <x v="1"/>
    </i>
    <i>
      <x v="262"/>
      <x v="111"/>
      <x v="1"/>
    </i>
    <i>
      <x v="263"/>
      <x v="43"/>
      <x/>
    </i>
    <i>
      <x v="264"/>
      <x v="146"/>
      <x/>
    </i>
    <i>
      <x v="265"/>
      <x v="21"/>
      <x v="1"/>
    </i>
    <i>
      <x v="266"/>
      <x v="52"/>
      <x v="1"/>
    </i>
    <i>
      <x v="267"/>
      <x v="101"/>
      <x v="1"/>
    </i>
    <i>
      <x v="268"/>
      <x v="107"/>
      <x v="1"/>
    </i>
    <i>
      <x v="269"/>
      <x v="171"/>
      <x/>
    </i>
    <i>
      <x v="270"/>
      <x v="208"/>
      <x v="1"/>
    </i>
  </rowItems>
  <colItems count="1">
    <i/>
  </colItems>
  <dataFields count="1">
    <dataField name="Sum of HH" fld="16"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3.xml><?xml version="1.0" encoding="utf-8"?>
<pivotTableDefinition xmlns="http://schemas.openxmlformats.org/spreadsheetml/2006/main" name="PivotTable6" cacheId="2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68:D73" firstHeaderRow="1" firstDataRow="2" firstDataCol="1" rowPageCount="2" colPageCount="1"/>
  <pivotFields count="42">
    <pivotField axis="axisPage" multipleItemSelectionAllowed="1" showAll="0">
      <items count="3">
        <item x="0"/>
        <item h="1" x="1"/>
        <item t="default"/>
      </items>
    </pivotField>
    <pivotField showAll="0"/>
    <pivotField showAll="0" defaultSubtotal="0"/>
    <pivotField showAll="0"/>
    <pivotField showAll="0" defaultSubtotal="0"/>
    <pivotField showAll="0" defaultSubtotal="0">
      <items count="22">
        <item x="3"/>
        <item x="2"/>
        <item x="11"/>
        <item x="20"/>
        <item x="12"/>
        <item x="7"/>
        <item x="17"/>
        <item x="14"/>
        <item x="5"/>
        <item x="18"/>
        <item x="9"/>
        <item x="10"/>
        <item x="4"/>
        <item x="16"/>
        <item x="0"/>
        <item x="15"/>
        <item x="19"/>
        <item x="8"/>
        <item x="6"/>
        <item x="13"/>
        <item x="1"/>
        <item x="21"/>
      </items>
    </pivotField>
    <pivotField showAll="0" defaultSubtotal="0"/>
    <pivotField showAll="0" defaultSubtotal="0"/>
    <pivotField showAll="0" defaultSubtotal="0"/>
    <pivotField showAll="0"/>
    <pivotField showAll="0" defaultSubtotal="0"/>
    <pivotField showAll="0" defaultSubtotal="0"/>
    <pivotField dataField="1" showAll="0" defaultSubtotal="0"/>
    <pivotField showAll="0"/>
    <pivotField showAll="0" defaultSubtotal="0"/>
    <pivotField showAll="0" defaultSubtotal="0"/>
    <pivotField showAll="0"/>
    <pivotField showAll="0"/>
    <pivotField showAll="0"/>
    <pivotField axis="axisCol" showAll="0">
      <items count="3">
        <item x="0"/>
        <item x="1"/>
        <item t="default"/>
      </items>
    </pivotField>
    <pivotField axis="axisPage" multipleItemSelectionAllowed="1" showAll="0" defaultSubtotal="0">
      <items count="2">
        <item h="1" x="1"/>
        <item x="0"/>
      </items>
    </pivotField>
    <pivotField axis="axisRow" showAll="0">
      <items count="6">
        <item x="0"/>
        <item x="2"/>
        <item x="1"/>
        <item x="3"/>
        <item x="4"/>
        <item t="default"/>
      </items>
    </pivotField>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1">
    <field x="21"/>
  </rowFields>
  <rowItems count="4">
    <i>
      <x/>
    </i>
    <i>
      <x v="1"/>
    </i>
    <i>
      <x v="2"/>
    </i>
    <i t="grand">
      <x/>
    </i>
  </rowItems>
  <colFields count="1">
    <field x="19"/>
  </colFields>
  <colItems count="3">
    <i>
      <x/>
    </i>
    <i>
      <x v="1"/>
    </i>
    <i t="grand">
      <x/>
    </i>
  </colItems>
  <pageFields count="2">
    <pageField fld="0" hier="-1"/>
    <pageField fld="20" hier="-1"/>
  </pageFields>
  <dataFields count="1">
    <dataField name="Count of CP_Pcode" fld="12" subtotal="count" baseField="0" baseItem="0"/>
  </dataFields>
  <formats count="2">
    <format dxfId="2146">
      <pivotArea outline="0" collapsedLevelsAreSubtotals="1" fieldPosition="0"/>
    </format>
    <format dxfId="214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2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56:D61" firstHeaderRow="1" firstDataRow="2" firstDataCol="1" rowPageCount="2" colPageCount="1"/>
  <pivotFields count="42">
    <pivotField axis="axisPage" multipleItemSelectionAllowed="1" showAll="0">
      <items count="3">
        <item x="0"/>
        <item h="1" x="1"/>
        <item t="default"/>
      </items>
    </pivotField>
    <pivotField showAll="0"/>
    <pivotField showAll="0" defaultSubtotal="0"/>
    <pivotField showAll="0"/>
    <pivotField showAll="0" defaultSubtotal="0"/>
    <pivotField showAll="0" defaultSubtotal="0">
      <items count="22">
        <item x="3"/>
        <item x="2"/>
        <item x="11"/>
        <item x="20"/>
        <item x="12"/>
        <item x="7"/>
        <item x="17"/>
        <item x="14"/>
        <item x="5"/>
        <item x="18"/>
        <item x="9"/>
        <item x="10"/>
        <item x="4"/>
        <item x="16"/>
        <item x="0"/>
        <item x="15"/>
        <item x="19"/>
        <item x="8"/>
        <item x="6"/>
        <item x="13"/>
        <item x="1"/>
        <item x="21"/>
      </items>
    </pivotField>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3">
        <item x="0"/>
        <item x="1"/>
        <item t="default"/>
      </items>
    </pivotField>
    <pivotField axis="axisPage" multipleItemSelectionAllowed="1" showAll="0" defaultSubtotal="0">
      <items count="2">
        <item h="1" x="1"/>
        <item x="0"/>
      </items>
    </pivotField>
    <pivotField axis="axisRow" showAll="0">
      <items count="6">
        <item x="0"/>
        <item x="2"/>
        <item x="1"/>
        <item x="3"/>
        <item x="4"/>
        <item t="default"/>
      </items>
    </pivotField>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1">
    <field x="21"/>
  </rowFields>
  <rowItems count="4">
    <i>
      <x/>
    </i>
    <i>
      <x v="1"/>
    </i>
    <i>
      <x v="2"/>
    </i>
    <i t="grand">
      <x/>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6">
    <format dxfId="2152">
      <pivotArea field="0" type="button" dataOnly="0" labelOnly="1" outline="0" axis="axisPage" fieldPosition="0"/>
    </format>
    <format dxfId="2151">
      <pivotArea dataOnly="0" labelOnly="1" outline="0" fieldPosition="0">
        <references count="1">
          <reference field="0" count="0"/>
        </references>
      </pivotArea>
    </format>
    <format dxfId="2150">
      <pivotArea type="all" dataOnly="0" outline="0" fieldPosition="0"/>
    </format>
    <format dxfId="2149">
      <pivotArea type="all" dataOnly="0" outline="0" fieldPosition="0"/>
    </format>
    <format dxfId="2148">
      <pivotArea collapsedLevelsAreSubtotals="1" fieldPosition="0">
        <references count="1">
          <reference field="21" count="4">
            <x v="0"/>
            <x v="1"/>
            <x v="2"/>
            <x v="3"/>
          </reference>
        </references>
      </pivotArea>
    </format>
    <format dxfId="2147">
      <pivotArea dataOnly="0" labelOnly="1" fieldPosition="0">
        <references count="1">
          <reference field="21"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23"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46:D50" firstHeaderRow="1" firstDataRow="2" firstDataCol="1" rowPageCount="2" colPageCount="1"/>
  <pivotFields count="42">
    <pivotField axis="axisRow" multipleItemSelectionAllowed="1" showAll="0">
      <items count="3">
        <item x="0"/>
        <item x="1"/>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showAll="0" defaultSubtotal="0">
      <items count="22">
        <item x="3"/>
        <item x="2"/>
        <item x="11"/>
        <item x="20"/>
        <item x="12"/>
        <item x="7"/>
        <item x="17"/>
        <item x="14"/>
        <item x="5"/>
        <item x="18"/>
        <item x="9"/>
        <item x="10"/>
        <item x="4"/>
        <item x="16"/>
        <item x="0"/>
        <item x="15"/>
        <item x="19"/>
        <item x="8"/>
        <item x="6"/>
        <item x="13"/>
        <item x="1"/>
        <item x="2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Col" showAll="0" defaultSubtotal="0">
      <items count="2">
        <item x="0"/>
        <item x="1"/>
      </items>
    </pivotField>
    <pivotField axis="axisPage" showAll="0" defaultSubtotal="0">
      <items count="2">
        <item x="1"/>
        <item x="0"/>
      </items>
    </pivotField>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1">
    <field x="0"/>
  </rowFields>
  <rowItems count="3">
    <i>
      <x/>
    </i>
    <i>
      <x v="1"/>
    </i>
    <i t="grand">
      <x/>
    </i>
  </rowItems>
  <colFields count="1">
    <field x="19"/>
  </colFields>
  <colItems count="3">
    <i>
      <x/>
    </i>
    <i>
      <x v="1"/>
    </i>
    <i t="grand">
      <x/>
    </i>
  </colItems>
  <pageFields count="2">
    <pageField fld="1" hier="-1"/>
    <pageField fld="20" item="1" hier="-1"/>
  </pageFields>
  <dataFields count="1">
    <dataField name="Sum of Total" fld="17" baseField="2" baseItem="0"/>
  </dataFields>
  <formats count="13">
    <format dxfId="2165">
      <pivotArea type="all" dataOnly="0" outline="0" fieldPosition="0"/>
    </format>
    <format dxfId="2164">
      <pivotArea field="1" type="button" dataOnly="0" labelOnly="1" outline="0" axis="axisPage" fieldPosition="0"/>
    </format>
    <format dxfId="2163">
      <pivotArea grandRow="1" outline="0" collapsedLevelsAreSubtotals="1" fieldPosition="0"/>
    </format>
    <format dxfId="2162">
      <pivotArea dataOnly="0" labelOnly="1" grandRow="1" outline="0" fieldPosition="0"/>
    </format>
    <format dxfId="2161">
      <pivotArea outline="0" collapsedLevelsAreSubtotals="1" fieldPosition="0"/>
    </format>
    <format dxfId="2160">
      <pivotArea dataOnly="0" labelOnly="1" fieldPosition="0">
        <references count="1">
          <reference field="0" count="0"/>
        </references>
      </pivotArea>
    </format>
    <format dxfId="2159">
      <pivotArea dataOnly="0" labelOnly="1" grandRow="1" outline="0" fieldPosition="0"/>
    </format>
    <format dxfId="2158">
      <pivotArea type="topRight" dataOnly="0" labelOnly="1" outline="0" fieldPosition="0"/>
    </format>
    <format dxfId="2157">
      <pivotArea type="all" dataOnly="0" outline="0" fieldPosition="0"/>
    </format>
    <format dxfId="2156">
      <pivotArea dataOnly="0" labelOnly="1" outline="0" fieldPosition="0">
        <references count="1">
          <reference field="1" count="0"/>
        </references>
      </pivotArea>
    </format>
    <format dxfId="2155">
      <pivotArea type="all" dataOnly="0" outline="0" fieldPosition="0"/>
    </format>
    <format dxfId="2154">
      <pivotArea collapsedLevelsAreSubtotals="1" fieldPosition="0">
        <references count="1">
          <reference field="0" count="0"/>
        </references>
      </pivotArea>
    </format>
    <format dxfId="2153">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2" cacheId="23"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P11:Q47" firstHeaderRow="1" firstDataRow="1" firstDataCol="1" rowPageCount="1" colPageCount="1"/>
  <pivotFields count="42">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howAll="0" defaultSubtotal="0">
      <items count="22">
        <item x="3"/>
        <item x="2"/>
        <item x="11"/>
        <item x="20"/>
        <item x="12"/>
        <item x="7"/>
        <item x="17"/>
        <item x="14"/>
        <item x="5"/>
        <item x="18"/>
        <item x="9"/>
        <item x="10"/>
        <item x="4"/>
        <item x="16"/>
        <item x="0"/>
        <item x="15"/>
        <item x="19"/>
        <item x="8"/>
        <item x="6"/>
        <item x="13"/>
        <item x="1"/>
        <item x="2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axis="axisRow"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2">
    <field x="38"/>
    <field x="5"/>
  </rowFields>
  <rowItems count="36">
    <i>
      <x/>
    </i>
    <i r="1">
      <x/>
    </i>
    <i>
      <x v="1"/>
    </i>
    <i r="1">
      <x v="1"/>
    </i>
    <i>
      <x v="2"/>
    </i>
    <i r="1">
      <x v="2"/>
    </i>
    <i>
      <x v="3"/>
    </i>
    <i r="1">
      <x v="3"/>
    </i>
    <i>
      <x v="4"/>
    </i>
    <i r="1">
      <x v="4"/>
    </i>
    <i>
      <x v="5"/>
    </i>
    <i r="1">
      <x v="5"/>
    </i>
    <i r="1">
      <x v="7"/>
    </i>
    <i r="1">
      <x v="9"/>
    </i>
    <i r="1">
      <x v="10"/>
    </i>
    <i r="1">
      <x v="11"/>
    </i>
    <i r="1">
      <x v="13"/>
    </i>
    <i r="1">
      <x v="16"/>
    </i>
    <i r="1">
      <x v="17"/>
    </i>
    <i r="1">
      <x v="18"/>
    </i>
    <i r="1">
      <x v="19"/>
    </i>
    <i>
      <x v="6"/>
    </i>
    <i r="1">
      <x v="6"/>
    </i>
    <i>
      <x v="7"/>
    </i>
    <i r="1">
      <x v="8"/>
    </i>
    <i>
      <x v="8"/>
    </i>
    <i r="1">
      <x v="12"/>
    </i>
    <i>
      <x v="9"/>
    </i>
    <i r="1">
      <x v="14"/>
    </i>
    <i>
      <x v="10"/>
    </i>
    <i r="1">
      <x v="15"/>
    </i>
    <i>
      <x v="11"/>
    </i>
    <i r="1">
      <x v="20"/>
    </i>
    <i>
      <x v="12"/>
    </i>
    <i r="1">
      <x v="21"/>
    </i>
    <i t="grand">
      <x/>
    </i>
  </rowItems>
  <colItems count="1">
    <i/>
  </colItems>
  <pageFields count="1">
    <pageField fld="1" hier="-1"/>
  </pageFields>
  <dataFields count="1">
    <dataField name="Population" fld="17" baseField="5" baseItem="22"/>
  </dataFields>
  <formats count="5">
    <format dxfId="2170">
      <pivotArea type="all" dataOnly="0" outline="0" fieldPosition="0"/>
    </format>
    <format dxfId="2169">
      <pivotArea field="1" type="button" dataOnly="0" labelOnly="1" outline="0" axis="axisPage" fieldPosition="0"/>
    </format>
    <format dxfId="2168">
      <pivotArea dataOnly="0" labelOnly="1" outline="0" fieldPosition="0">
        <references count="1">
          <reference field="4294967294" count="1">
            <x v="0"/>
          </reference>
        </references>
      </pivotArea>
    </format>
    <format dxfId="2167">
      <pivotArea grandRow="1" outline="0" collapsedLevelsAreSubtotals="1" fieldPosition="0"/>
    </format>
    <format dxfId="2166">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7" cacheId="23"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A7:J217" firstHeaderRow="0" firstDataRow="1" firstDataCol="7" rowPageCount="2" colPageCount="1"/>
  <pivotFields count="42">
    <pivotField axis="axisPage" compact="0" outline="0" multipleItemSelectionAllowed="1" showAll="0">
      <items count="3">
        <item x="0"/>
        <item h="1" x="1"/>
        <item t="default"/>
      </items>
    </pivotField>
    <pivotField axis="axisRow" dataField="1" compact="0" outline="0" showAll="0">
      <items count="3">
        <item x="0"/>
        <item x="1"/>
        <item t="default"/>
      </items>
    </pivotField>
    <pivotField compact="0" outline="0" showAll="0" defaultSubtotal="0"/>
    <pivotField compact="0" outline="0" showAll="0"/>
    <pivotField compact="0" outline="0" showAll="0" defaultSubtotal="0"/>
    <pivotField axis="axisRow" compact="0" outline="0" showAll="0">
      <items count="23">
        <item x="3"/>
        <item x="2"/>
        <item x="11"/>
        <item x="20"/>
        <item x="12"/>
        <item x="7"/>
        <item x="17"/>
        <item x="14"/>
        <item x="5"/>
        <item x="18"/>
        <item x="9"/>
        <item x="10"/>
        <item x="4"/>
        <item x="16"/>
        <item x="0"/>
        <item x="15"/>
        <item x="19"/>
        <item x="8"/>
        <item x="6"/>
        <item x="13"/>
        <item x="1"/>
        <item x="21"/>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271">
        <item x="142"/>
        <item x="150"/>
        <item x="139"/>
        <item x="49"/>
        <item x="147"/>
        <item x="160"/>
        <item x="144"/>
        <item x="164"/>
        <item x="141"/>
        <item x="88"/>
        <item x="180"/>
        <item x="181"/>
        <item x="179"/>
        <item x="140"/>
        <item x="158"/>
        <item x="143"/>
        <item x="109"/>
        <item x="108"/>
        <item x="121"/>
        <item x="105"/>
        <item x="84"/>
        <item x="41"/>
        <item x="134"/>
        <item x="145"/>
        <item x="11"/>
        <item x="9"/>
        <item x="10"/>
        <item x="118"/>
        <item x="151"/>
        <item x="157"/>
        <item x="237"/>
        <item x="238"/>
        <item x="45"/>
        <item x="27"/>
        <item x="110"/>
        <item x="131"/>
        <item x="161"/>
        <item x="159"/>
        <item x="137"/>
        <item x="221"/>
        <item x="231"/>
        <item x="42"/>
        <item x="117"/>
        <item x="51"/>
        <item x="173"/>
        <item x="182"/>
        <item x="17"/>
        <item x="18"/>
        <item x="116"/>
        <item x="47"/>
        <item x="167"/>
        <item x="225"/>
        <item x="226"/>
        <item x="227"/>
        <item x="12"/>
        <item x="76"/>
        <item x="73"/>
        <item x="169"/>
        <item x="132"/>
        <item x="44"/>
        <item x="120"/>
        <item x="130"/>
        <item x="129"/>
        <item x="14"/>
        <item x="13"/>
        <item x="165"/>
        <item x="152"/>
        <item x="138"/>
        <item x="48"/>
        <item x="70"/>
        <item x="68"/>
        <item x="69"/>
        <item x="126"/>
        <item x="103"/>
        <item x="186"/>
        <item x="26"/>
        <item x="114"/>
        <item x="63"/>
        <item x="30"/>
        <item x="28"/>
        <item x="39"/>
        <item x="38"/>
        <item x="183"/>
        <item x="15"/>
        <item x="61"/>
        <item x="7"/>
        <item x="177"/>
        <item x="178"/>
        <item x="62"/>
        <item x="166"/>
        <item x="124"/>
        <item x="123"/>
        <item x="125"/>
        <item x="113"/>
        <item x="57"/>
        <item x="220"/>
        <item x="235"/>
        <item x="75"/>
        <item x="65"/>
        <item x="90"/>
        <item x="89"/>
        <item x="92"/>
        <item x="94"/>
        <item x="95"/>
        <item x="91"/>
        <item x="96"/>
        <item x="93"/>
        <item x="19"/>
        <item x="20"/>
        <item x="102"/>
        <item x="86"/>
        <item x="83"/>
        <item x="82"/>
        <item x="87"/>
        <item x="85"/>
        <item x="149"/>
        <item x="228"/>
        <item x="55"/>
        <item x="56"/>
        <item x="223"/>
        <item x="217"/>
        <item x="206"/>
        <item x="170"/>
        <item x="218"/>
        <item x="229"/>
        <item x="148"/>
        <item x="50"/>
        <item x="16"/>
        <item x="60"/>
        <item x="127"/>
        <item x="216"/>
        <item x="213"/>
        <item x="215"/>
        <item x="232"/>
        <item x="214"/>
        <item x="233"/>
        <item x="222"/>
        <item x="219"/>
        <item x="171"/>
        <item x="174"/>
        <item x="128"/>
        <item x="162"/>
        <item x="224"/>
        <item x="236"/>
        <item x="23"/>
        <item x="53"/>
        <item x="99"/>
        <item x="79"/>
        <item x="234"/>
        <item x="77"/>
        <item x="185"/>
        <item x="32"/>
        <item x="133"/>
        <item x="80"/>
        <item x="81"/>
        <item x="122"/>
        <item x="58"/>
        <item x="1"/>
        <item x="71"/>
        <item x="136"/>
        <item x="119"/>
        <item x="175"/>
        <item x="98"/>
        <item x="163"/>
        <item x="64"/>
        <item x="135"/>
        <item x="31"/>
        <item x="24"/>
        <item x="29"/>
        <item x="25"/>
        <item x="153"/>
        <item x="46"/>
        <item x="104"/>
        <item x="154"/>
        <item x="100"/>
        <item x="72"/>
        <item x="5"/>
        <item x="6"/>
        <item x="40"/>
        <item x="66"/>
        <item x="67"/>
        <item x="8"/>
        <item x="184"/>
        <item x="78"/>
        <item x="187"/>
        <item x="172"/>
        <item x="54"/>
        <item x="106"/>
        <item x="59"/>
        <item x="0"/>
        <item x="3"/>
        <item x="2"/>
        <item x="4"/>
        <item x="36"/>
        <item x="97"/>
        <item x="176"/>
        <item x="74"/>
        <item x="37"/>
        <item x="35"/>
        <item x="156"/>
        <item x="155"/>
        <item x="111"/>
        <item x="43"/>
        <item x="146"/>
        <item x="21"/>
        <item x="52"/>
        <item x="101"/>
        <item x="168"/>
        <item x="230"/>
        <item x="188"/>
        <item x="190"/>
        <item x="189"/>
        <item x="191"/>
        <item x="192"/>
        <item x="239"/>
        <item x="240"/>
        <item x="193"/>
        <item x="242"/>
        <item x="194"/>
        <item x="241"/>
        <item x="195"/>
        <item x="243"/>
        <item x="196"/>
        <item x="197"/>
        <item x="198"/>
        <item x="34"/>
        <item x="33"/>
        <item x="112"/>
        <item x="115"/>
        <item x="22"/>
        <item x="107"/>
        <item x="199"/>
        <item x="244"/>
        <item x="200"/>
        <item x="201"/>
        <item x="202"/>
        <item x="203"/>
        <item x="204"/>
        <item x="205"/>
        <item x="245"/>
        <item x="207"/>
        <item x="246"/>
        <item x="249"/>
        <item x="250"/>
        <item x="251"/>
        <item x="247"/>
        <item x="248"/>
        <item x="252"/>
        <item x="253"/>
        <item x="208"/>
        <item x="209"/>
        <item x="210"/>
        <item x="211"/>
        <item x="212"/>
        <item x="254"/>
        <item x="255"/>
        <item x="256"/>
        <item x="257"/>
        <item x="258"/>
        <item x="259"/>
        <item x="260"/>
        <item x="261"/>
        <item x="262"/>
        <item x="263"/>
        <item x="264"/>
        <item x="265"/>
        <item x="266"/>
        <item x="267"/>
        <item x="268"/>
        <item x="269"/>
        <item x="270"/>
      </items>
    </pivotField>
    <pivotField axis="axisRow" compact="0" outline="0" showAll="0" defaultSubtotal="0">
      <items count="2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216"/>
        <item x="217"/>
        <item x="218"/>
        <item x="219"/>
        <item x="220"/>
        <item x="221"/>
        <item x="222"/>
        <item x="223"/>
        <item x="224"/>
        <item x="225"/>
        <item x="226"/>
        <item x="227"/>
        <item x="228"/>
        <item x="229"/>
        <item x="230"/>
        <item x="231"/>
        <item x="232"/>
        <item x="233"/>
        <item x="234"/>
        <item x="235"/>
        <item x="236"/>
        <item x="237"/>
        <item x="238"/>
        <item x="239"/>
        <item x="240"/>
        <item x="241"/>
        <item x="191"/>
        <item x="192"/>
        <item x="193"/>
        <item x="194"/>
        <item x="195"/>
        <item x="242"/>
        <item x="243"/>
        <item x="244"/>
        <item x="196"/>
        <item x="245"/>
        <item x="197"/>
        <item x="198"/>
        <item x="246"/>
        <item x="199"/>
        <item x="200"/>
        <item x="201"/>
        <item x="247"/>
        <item x="202"/>
        <item x="203"/>
        <item x="204"/>
        <item x="205"/>
        <item x="206"/>
        <item x="207"/>
        <item x="208"/>
        <item x="248"/>
        <item x="210"/>
        <item x="209"/>
        <item x="249"/>
        <item x="250"/>
        <item x="251"/>
        <item x="252"/>
        <item x="253"/>
        <item x="254"/>
        <item x="255"/>
        <item x="256"/>
        <item x="211"/>
        <item x="212"/>
        <item x="213"/>
        <item x="214"/>
        <item x="215"/>
        <item x="257"/>
        <item x="258"/>
        <item x="259"/>
        <item x="260"/>
        <item x="261"/>
        <item x="262"/>
        <item x="263"/>
        <item x="264"/>
        <item x="265"/>
        <item x="266"/>
        <item x="267"/>
        <item x="268"/>
        <item x="269"/>
        <item x="270"/>
        <item x="271"/>
        <item x="272"/>
        <item x="273"/>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2">
        <item x="0"/>
        <item x="1"/>
      </items>
    </pivotField>
    <pivotField axis="axisPage" compact="0" outline="0" multipleItemSelectionAllowed="1" showAll="0" defaultSubtotal="0">
      <items count="2">
        <item h="1" x="1"/>
        <item x="0"/>
      </items>
    </pivotField>
    <pivotField name="Camps/Host Families" axis="axisRow" compact="0" outline="0" showAll="0" defaultSubtotal="0">
      <items count="5">
        <item x="0"/>
        <item x="2"/>
        <item x="1"/>
        <item x="3"/>
        <item x="4"/>
      </items>
    </pivotField>
    <pivotField compact="0" outline="0" showAll="0" defaultSubtotal="0">
      <items count="4">
        <item x="3"/>
        <item x="1"/>
        <item x="0"/>
        <item x="2"/>
      </items>
    </pivotField>
    <pivotField compact="0" outline="0" showAll="0" defaultSubtotal="0"/>
    <pivotField compact="0" outline="0" showAll="0" defaultSubtotal="0"/>
    <pivotField axis="axisRow" compact="0" outline="0" showAll="0" defaultSubtotal="0">
      <items count="6">
        <item x="0"/>
        <item x="4"/>
        <item x="2"/>
        <item x="1"/>
        <item n=" " x="3"/>
        <item x="5"/>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dragToRow="0" dragToCol="0" dragToPage="0" showAll="0" defaultSubtotal="0"/>
    <pivotField compact="0" outline="0" showAll="0" defaultSubtotal="0">
      <items count="13">
        <item x="3"/>
        <item x="8"/>
        <item x="0"/>
        <item x="10"/>
        <item x="5"/>
        <item x="11"/>
        <item x="4"/>
        <item x="1"/>
        <item x="6"/>
        <item x="9"/>
        <item x="7"/>
        <item x="2"/>
        <item x="12"/>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7">
    <field x="1"/>
    <field x="5"/>
    <field x="11"/>
    <field x="12"/>
    <field x="21"/>
    <field x="25"/>
    <field x="19"/>
  </rowFields>
  <rowItems count="210">
    <i>
      <x/>
      <x/>
      <x v="3"/>
      <x v="49"/>
      <x/>
      <x v="1"/>
      <x/>
    </i>
    <i r="2">
      <x v="7"/>
      <x v="164"/>
      <x/>
      <x/>
      <x/>
    </i>
    <i r="2">
      <x v="38"/>
      <x v="137"/>
      <x v="1"/>
      <x v="4"/>
      <x/>
    </i>
    <i r="2">
      <x v="43"/>
      <x v="51"/>
      <x/>
      <x/>
      <x/>
    </i>
    <i r="2">
      <x v="68"/>
      <x v="48"/>
      <x/>
      <x v="3"/>
      <x/>
    </i>
    <i r="2">
      <x v="126"/>
      <x v="50"/>
      <x/>
      <x v="3"/>
      <x/>
    </i>
    <i r="2">
      <x v="145"/>
      <x v="53"/>
      <x/>
      <x v="1"/>
      <x/>
    </i>
    <i r="2">
      <x v="163"/>
      <x v="163"/>
      <x/>
      <x/>
      <x/>
    </i>
    <i r="2">
      <x v="171"/>
      <x v="46"/>
      <x/>
      <x/>
      <x/>
    </i>
    <i r="2">
      <x v="186"/>
      <x v="54"/>
      <x/>
      <x v="3"/>
      <x/>
    </i>
    <i r="2">
      <x v="205"/>
      <x v="52"/>
      <x/>
      <x v="3"/>
      <x/>
    </i>
    <i t="default" r="1">
      <x/>
    </i>
    <i r="1">
      <x v="1"/>
      <x v="21"/>
      <x v="41"/>
      <x/>
      <x v="3"/>
      <x/>
    </i>
    <i r="2">
      <x v="41"/>
      <x v="42"/>
      <x/>
      <x/>
      <x v="1"/>
    </i>
    <i r="2">
      <x v="59"/>
      <x v="44"/>
      <x v="1"/>
      <x v="4"/>
      <x/>
    </i>
    <i r="2">
      <x v="65"/>
      <x v="165"/>
      <x/>
      <x v="3"/>
      <x/>
    </i>
    <i r="2">
      <x v="161"/>
      <x v="178"/>
      <x/>
      <x v="2"/>
      <x/>
    </i>
    <i r="2">
      <x v="210"/>
      <x v="219"/>
      <x/>
      <x v="2"/>
      <x/>
    </i>
    <i t="default" r="1">
      <x v="1"/>
    </i>
    <i r="1">
      <x v="2"/>
      <x v="1"/>
      <x v="150"/>
      <x/>
      <x/>
      <x/>
    </i>
    <i r="2">
      <x v="2"/>
      <x v="139"/>
      <x/>
      <x v="2"/>
      <x/>
    </i>
    <i r="2">
      <x v="4"/>
      <x v="147"/>
      <x/>
      <x v="3"/>
      <x/>
    </i>
    <i r="2">
      <x v="5"/>
      <x v="160"/>
      <x/>
      <x v="3"/>
      <x/>
    </i>
    <i r="2">
      <x v="13"/>
      <x v="140"/>
      <x/>
      <x/>
      <x/>
    </i>
    <i r="2">
      <x v="19"/>
      <x v="105"/>
      <x/>
      <x v="3"/>
      <x/>
    </i>
    <i r="2">
      <x v="23"/>
      <x v="145"/>
      <x/>
      <x v="3"/>
      <x/>
    </i>
    <i r="2">
      <x v="35"/>
      <x v="131"/>
      <x/>
      <x/>
      <x/>
    </i>
    <i r="2">
      <x v="36"/>
      <x v="161"/>
      <x/>
      <x v="3"/>
      <x/>
    </i>
    <i r="2">
      <x v="66"/>
      <x v="152"/>
      <x/>
      <x v="3"/>
      <x/>
    </i>
    <i r="2">
      <x v="67"/>
      <x v="138"/>
      <x/>
      <x v="3"/>
      <x/>
    </i>
    <i r="2">
      <x v="113"/>
      <x v="87"/>
      <x/>
      <x v="3"/>
      <x/>
    </i>
    <i r="2">
      <x v="141"/>
      <x v="162"/>
      <x/>
      <x v="3"/>
      <x/>
    </i>
    <i r="2">
      <x v="146"/>
      <x v="99"/>
      <x/>
      <x v="2"/>
      <x/>
    </i>
    <i r="2">
      <x v="170"/>
      <x v="153"/>
      <x/>
      <x v="3"/>
      <x/>
    </i>
    <i r="2">
      <x v="173"/>
      <x v="154"/>
      <x/>
      <x/>
      <x/>
    </i>
    <i r="2">
      <x v="200"/>
      <x v="155"/>
      <x/>
      <x/>
      <x/>
    </i>
    <i r="2">
      <x v="206"/>
      <x v="101"/>
      <x/>
      <x/>
      <x/>
    </i>
    <i r="2">
      <x v="218"/>
      <x v="227"/>
      <x/>
      <x/>
      <x/>
    </i>
    <i r="2">
      <x v="222"/>
      <x v="230"/>
      <x/>
      <x/>
      <x/>
    </i>
    <i r="2">
      <x v="240"/>
      <x v="242"/>
      <x/>
      <x v="4"/>
      <x/>
    </i>
    <i r="2">
      <x v="249"/>
      <x v="252"/>
      <x/>
      <x v="4"/>
      <x/>
    </i>
    <i r="2">
      <x v="250"/>
      <x v="253"/>
      <x/>
      <x v="4"/>
      <x/>
    </i>
    <i r="2">
      <x v="251"/>
      <x v="254"/>
      <x/>
      <x v="4"/>
      <x/>
    </i>
    <i r="2">
      <x v="252"/>
      <x v="255"/>
      <x/>
      <x v="4"/>
      <x/>
    </i>
    <i r="2">
      <x v="253"/>
      <x v="256"/>
      <x/>
      <x v="4"/>
      <x/>
    </i>
    <i t="default" r="1">
      <x v="2"/>
    </i>
    <i r="1">
      <x v="8"/>
      <x v="18"/>
      <x v="121"/>
      <x/>
      <x v="1"/>
      <x v="1"/>
    </i>
    <i r="2">
      <x v="38"/>
      <x v="166"/>
      <x v="1"/>
      <x v="4"/>
      <x/>
    </i>
    <i r="2">
      <x v="60"/>
      <x v="120"/>
      <x/>
      <x v="1"/>
      <x v="1"/>
    </i>
    <i r="2">
      <x v="82"/>
      <x v="186"/>
      <x/>
      <x/>
      <x/>
    </i>
    <i r="2">
      <x v="90"/>
      <x v="124"/>
      <x/>
      <x/>
      <x/>
    </i>
    <i r="2">
      <x v="91"/>
      <x v="123"/>
      <x/>
      <x v="1"/>
      <x/>
    </i>
    <i r="2">
      <x v="92"/>
      <x v="125"/>
      <x v="1"/>
      <x v="4"/>
      <x/>
    </i>
    <i r="2">
      <x v="98"/>
      <x v="65"/>
      <x/>
      <x/>
      <x/>
    </i>
    <i r="2">
      <x v="209"/>
      <x v="217"/>
      <x/>
      <x v="1"/>
      <x/>
    </i>
    <i r="2">
      <x v="216"/>
      <x v="225"/>
      <x/>
      <x v="1"/>
      <x/>
    </i>
    <i r="2">
      <x v="220"/>
      <x v="228"/>
      <x/>
      <x/>
      <x/>
    </i>
    <i t="default" r="1">
      <x v="8"/>
    </i>
    <i r="1">
      <x v="10"/>
      <x v="55"/>
      <x v="76"/>
      <x/>
      <x/>
      <x/>
    </i>
    <i r="2">
      <x v="97"/>
      <x v="75"/>
      <x/>
      <x/>
      <x/>
    </i>
    <i r="2">
      <x v="149"/>
      <x v="77"/>
      <x/>
      <x/>
      <x/>
    </i>
    <i r="2">
      <x v="233"/>
      <x v="235"/>
      <x v="1"/>
      <x v="4"/>
      <x/>
    </i>
    <i r="2">
      <x v="234"/>
      <x v="236"/>
      <x/>
      <x/>
      <x/>
    </i>
    <i t="default" r="1">
      <x v="10"/>
    </i>
    <i r="1">
      <x v="11"/>
      <x v="152"/>
      <x v="133"/>
      <x/>
      <x/>
      <x/>
    </i>
    <i r="2">
      <x v="183"/>
      <x v="78"/>
      <x/>
      <x v="2"/>
      <x/>
    </i>
    <i r="2">
      <x v="223"/>
      <x v="231"/>
      <x v="1"/>
      <x v="4"/>
      <x/>
    </i>
    <i r="2">
      <x v="224"/>
      <x v="232"/>
      <x v="1"/>
      <x v="4"/>
      <x/>
    </i>
    <i t="default" r="1">
      <x v="11"/>
    </i>
    <i r="1">
      <x v="12"/>
      <x v="27"/>
      <x v="118"/>
      <x/>
      <x v="2"/>
      <x v="1"/>
    </i>
    <i r="2">
      <x v="38"/>
      <x v="167"/>
      <x v="1"/>
      <x v="4"/>
      <x/>
    </i>
    <i r="2">
      <x v="42"/>
      <x v="117"/>
      <x/>
      <x v="2"/>
      <x v="1"/>
    </i>
    <i r="2">
      <x v="50"/>
      <x v="170"/>
      <x v="1"/>
      <x v="4"/>
      <x/>
    </i>
    <i r="2">
      <x v="69"/>
      <x v="70"/>
      <x/>
      <x/>
      <x/>
    </i>
    <i r="2">
      <x v="70"/>
      <x v="68"/>
      <x/>
      <x v="1"/>
      <x/>
    </i>
    <i r="2">
      <x v="71"/>
      <x v="69"/>
      <x/>
      <x/>
      <x/>
    </i>
    <i r="2">
      <x v="77"/>
      <x v="63"/>
      <x v="1"/>
      <x v="4"/>
      <x/>
    </i>
    <i r="2">
      <x v="84"/>
      <x v="61"/>
      <x/>
      <x v="1"/>
      <x/>
    </i>
    <i r="2">
      <x v="88"/>
      <x v="62"/>
      <x v="1"/>
      <x v="4"/>
      <x/>
    </i>
    <i r="2">
      <x v="89"/>
      <x v="168"/>
      <x v="1"/>
      <x v="4"/>
      <x/>
    </i>
    <i r="2">
      <x v="117"/>
      <x v="55"/>
      <x/>
      <x/>
      <x/>
    </i>
    <i r="2">
      <x v="128"/>
      <x v="60"/>
      <x v="1"/>
      <x v="4"/>
      <x/>
    </i>
    <i r="2">
      <x v="155"/>
      <x v="122"/>
      <x/>
      <x v="1"/>
      <x v="1"/>
    </i>
    <i r="2">
      <x v="158"/>
      <x v="71"/>
      <x/>
      <x/>
      <x/>
    </i>
    <i r="2">
      <x v="160"/>
      <x v="119"/>
      <x/>
      <x v="1"/>
      <x v="1"/>
    </i>
    <i r="2">
      <x v="164"/>
      <x v="64"/>
      <x v="1"/>
      <x v="4"/>
      <x/>
    </i>
    <i r="2">
      <x v="175"/>
      <x v="72"/>
      <x/>
      <x/>
      <x/>
    </i>
    <i r="2">
      <x v="188"/>
      <x v="59"/>
      <x v="1"/>
      <x v="4"/>
      <x/>
    </i>
    <i r="2">
      <x v="238"/>
      <x v="240"/>
      <x v="2"/>
      <x v="4"/>
      <x/>
    </i>
    <i t="default" r="1">
      <x v="12"/>
    </i>
    <i r="1">
      <x v="14"/>
      <x v="24"/>
      <x v="11"/>
      <x/>
      <x/>
      <x/>
    </i>
    <i r="2">
      <x v="25"/>
      <x v="9"/>
      <x/>
      <x/>
      <x/>
    </i>
    <i r="2">
      <x v="26"/>
      <x v="10"/>
      <x/>
      <x/>
      <x/>
    </i>
    <i r="2">
      <x v="46"/>
      <x v="17"/>
      <x/>
      <x/>
      <x/>
    </i>
    <i r="2">
      <x v="47"/>
      <x v="18"/>
      <x/>
      <x v="2"/>
      <x/>
    </i>
    <i r="2">
      <x v="54"/>
      <x v="12"/>
      <x/>
      <x/>
      <x/>
    </i>
    <i r="2">
      <x v="63"/>
      <x v="14"/>
      <x/>
      <x/>
      <x/>
    </i>
    <i r="2">
      <x v="64"/>
      <x v="13"/>
      <x/>
      <x/>
      <x/>
    </i>
    <i r="2">
      <x v="83"/>
      <x v="15"/>
      <x/>
      <x/>
      <x/>
    </i>
    <i r="2">
      <x v="85"/>
      <x v="7"/>
      <x/>
      <x/>
      <x/>
    </i>
    <i r="2">
      <x v="107"/>
      <x v="19"/>
      <x/>
      <x v="3"/>
      <x/>
    </i>
    <i r="2">
      <x v="108"/>
      <x v="20"/>
      <x/>
      <x v="3"/>
      <x/>
    </i>
    <i r="2">
      <x v="144"/>
      <x v="23"/>
      <x/>
      <x v="2"/>
      <x/>
    </i>
    <i r="2">
      <x v="157"/>
      <x v="1"/>
      <x/>
      <x/>
      <x/>
    </i>
    <i r="2">
      <x v="159"/>
      <x v="136"/>
      <x/>
      <x v="2"/>
      <x/>
    </i>
    <i r="2">
      <x v="176"/>
      <x v="5"/>
      <x/>
      <x/>
      <x/>
    </i>
    <i r="2">
      <x v="177"/>
      <x v="6"/>
      <x/>
      <x v="3"/>
      <x/>
    </i>
    <i r="2">
      <x v="181"/>
      <x v="8"/>
      <x/>
      <x/>
      <x/>
    </i>
    <i r="2">
      <x v="189"/>
      <x/>
      <x/>
      <x/>
      <x/>
    </i>
    <i r="2">
      <x v="190"/>
      <x v="3"/>
      <x/>
      <x v="3"/>
      <x/>
    </i>
    <i r="2">
      <x v="191"/>
      <x v="2"/>
      <x/>
      <x/>
      <x/>
    </i>
    <i r="2">
      <x v="192"/>
      <x v="4"/>
      <x/>
      <x/>
      <x/>
    </i>
    <i r="2">
      <x v="204"/>
      <x v="21"/>
      <x/>
      <x v="3"/>
      <x/>
    </i>
    <i r="2">
      <x v="229"/>
      <x v="22"/>
      <x/>
      <x v="3"/>
      <x/>
    </i>
    <i t="default" r="1">
      <x v="14"/>
    </i>
    <i r="1">
      <x v="17"/>
      <x v="196"/>
      <x v="74"/>
      <x v="1"/>
      <x v="4"/>
      <x/>
    </i>
    <i r="2">
      <x v="213"/>
      <x v="221"/>
      <x v="1"/>
      <x v="4"/>
      <x/>
    </i>
    <i r="2">
      <x v="231"/>
      <x v="234"/>
      <x/>
      <x/>
      <x/>
    </i>
    <i t="default" r="1">
      <x v="17"/>
    </i>
    <i r="1">
      <x v="18"/>
      <x v="38"/>
      <x v="169"/>
      <x v="1"/>
      <x v="4"/>
      <x/>
    </i>
    <i r="2">
      <x v="61"/>
      <x v="130"/>
      <x v="1"/>
      <x v="4"/>
      <x v="1"/>
    </i>
    <i r="2">
      <x v="179"/>
      <x v="66"/>
      <x/>
      <x/>
      <x/>
    </i>
    <i r="2">
      <x v="180"/>
      <x v="67"/>
      <x/>
      <x v="1"/>
      <x/>
    </i>
    <i t="default" r="1">
      <x v="18"/>
    </i>
    <i r="1">
      <x v="19"/>
      <x v="185"/>
      <x v="175"/>
      <x/>
      <x v="4"/>
      <x/>
    </i>
    <i r="2">
      <x v="236"/>
      <x v="238"/>
      <x/>
      <x v="4"/>
      <x/>
    </i>
    <i r="2">
      <x v="237"/>
      <x v="239"/>
      <x/>
      <x v="4"/>
      <x/>
    </i>
    <i t="default" r="1">
      <x v="19"/>
    </i>
    <i r="1">
      <x v="20"/>
      <x v="17"/>
      <x v="108"/>
      <x/>
      <x v="2"/>
      <x v="1"/>
    </i>
    <i r="2">
      <x v="33"/>
      <x v="27"/>
      <x/>
      <x v="3"/>
      <x/>
    </i>
    <i r="2">
      <x v="34"/>
      <x v="110"/>
      <x/>
      <x/>
      <x v="1"/>
    </i>
    <i r="2">
      <x v="44"/>
      <x v="176"/>
      <x v="2"/>
      <x v="4"/>
      <x v="1"/>
    </i>
    <i r="2">
      <x v="48"/>
      <x v="116"/>
      <x/>
      <x v="2"/>
      <x v="1"/>
    </i>
    <i r="2">
      <x v="75"/>
      <x v="26"/>
      <x/>
      <x/>
      <x/>
    </i>
    <i r="2">
      <x v="76"/>
      <x v="114"/>
      <x/>
      <x v="2"/>
      <x v="1"/>
    </i>
    <i r="2">
      <x v="78"/>
      <x v="30"/>
      <x/>
      <x v="3"/>
      <x/>
    </i>
    <i r="2">
      <x v="79"/>
      <x v="28"/>
      <x/>
      <x v="2"/>
      <x/>
    </i>
    <i r="2">
      <x v="80"/>
      <x v="39"/>
      <x/>
      <x/>
      <x/>
    </i>
    <i r="2">
      <x v="81"/>
      <x v="38"/>
      <x/>
      <x/>
      <x/>
    </i>
    <i r="2">
      <x v="151"/>
      <x v="32"/>
      <x/>
      <x v="3"/>
      <x/>
    </i>
    <i r="2">
      <x v="165"/>
      <x v="135"/>
      <x/>
      <x v="2"/>
      <x v="1"/>
    </i>
    <i r="2">
      <x v="166"/>
      <x v="31"/>
      <x/>
      <x v="3"/>
      <x/>
    </i>
    <i r="2">
      <x v="167"/>
      <x v="24"/>
      <x/>
      <x/>
      <x/>
    </i>
    <i r="2">
      <x v="168"/>
      <x v="29"/>
      <x/>
      <x v="3"/>
      <x/>
    </i>
    <i r="2">
      <x v="169"/>
      <x v="25"/>
      <x/>
      <x v="3"/>
      <x/>
    </i>
    <i r="2">
      <x v="178"/>
      <x v="40"/>
      <x/>
      <x/>
      <x/>
    </i>
    <i r="2">
      <x v="193"/>
      <x v="36"/>
      <x/>
      <x v="3"/>
      <x/>
    </i>
    <i r="2">
      <x v="197"/>
      <x v="37"/>
      <x/>
      <x v="3"/>
      <x/>
    </i>
    <i r="2">
      <x v="201"/>
      <x v="111"/>
      <x/>
      <x v="2"/>
      <x v="1"/>
    </i>
    <i r="2">
      <x v="228"/>
      <x v="115"/>
      <x/>
      <x/>
      <x v="1"/>
    </i>
    <i r="2">
      <x v="230"/>
      <x v="107"/>
      <x/>
      <x/>
      <x v="1"/>
    </i>
    <i t="default" r="1">
      <x v="20"/>
    </i>
    <i t="default">
      <x/>
    </i>
    <i>
      <x v="1"/>
      <x v="3"/>
      <x v="148"/>
      <x v="212"/>
      <x v="1"/>
      <x v="4"/>
      <x v="1"/>
    </i>
    <i r="2">
      <x v="232"/>
      <x v="233"/>
      <x/>
      <x/>
      <x/>
    </i>
    <i r="2">
      <x v="247"/>
      <x v="250"/>
      <x/>
      <x v="4"/>
      <x/>
    </i>
    <i t="default" r="1">
      <x v="3"/>
    </i>
    <i r="1">
      <x v="6"/>
      <x v="51"/>
      <x v="203"/>
      <x/>
      <x/>
      <x/>
    </i>
    <i r="2">
      <x v="52"/>
      <x v="204"/>
      <x/>
      <x/>
      <x/>
    </i>
    <i r="2">
      <x v="53"/>
      <x v="205"/>
      <x/>
      <x v="5"/>
      <x/>
    </i>
    <i r="2">
      <x v="116"/>
      <x v="206"/>
      <x/>
      <x/>
      <x/>
    </i>
    <i r="2">
      <x v="123"/>
      <x v="196"/>
      <x/>
      <x/>
      <x/>
    </i>
    <i r="2">
      <x v="137"/>
      <x v="197"/>
      <x/>
      <x/>
      <x/>
    </i>
    <i r="2">
      <x v="208"/>
      <x v="208"/>
      <x/>
      <x/>
      <x/>
    </i>
    <i r="2">
      <x v="221"/>
      <x v="229"/>
      <x/>
      <x v="5"/>
      <x/>
    </i>
    <i r="2">
      <x v="239"/>
      <x v="241"/>
      <x/>
      <x v="4"/>
      <x/>
    </i>
    <i r="2">
      <x v="241"/>
      <x v="244"/>
      <x/>
      <x v="4"/>
      <x/>
    </i>
    <i r="2">
      <x v="244"/>
      <x v="249"/>
      <x/>
      <x v="4"/>
      <x/>
    </i>
    <i r="2">
      <x v="248"/>
      <x v="251"/>
      <x/>
      <x v="4"/>
      <x/>
    </i>
    <i t="default" r="1">
      <x v="6"/>
    </i>
    <i r="1">
      <x v="9"/>
      <x v="95"/>
      <x v="198"/>
      <x/>
      <x/>
      <x/>
    </i>
    <i r="2">
      <x v="96"/>
      <x v="213"/>
      <x/>
      <x v="5"/>
      <x/>
    </i>
    <i r="2">
      <x v="246"/>
      <x v="246"/>
      <x/>
      <x v="4"/>
      <x/>
    </i>
    <i t="default" r="1">
      <x v="9"/>
    </i>
    <i r="1">
      <x v="13"/>
      <x v="39"/>
      <x v="199"/>
      <x v="1"/>
      <x v="4"/>
      <x/>
    </i>
    <i r="2">
      <x v="40"/>
      <x v="209"/>
      <x v="1"/>
      <x v="4"/>
      <x v="1"/>
    </i>
    <i r="2">
      <x v="120"/>
      <x v="195"/>
      <x v="1"/>
      <x v="4"/>
      <x v="1"/>
    </i>
    <i r="2">
      <x v="136"/>
      <x v="200"/>
      <x v="1"/>
      <x v="4"/>
      <x/>
    </i>
    <i r="2">
      <x v="214"/>
      <x v="222"/>
      <x/>
      <x/>
      <x/>
    </i>
    <i r="2">
      <x v="217"/>
      <x v="226"/>
      <x/>
      <x v="5"/>
      <x/>
    </i>
    <i r="2">
      <x v="259"/>
      <x v="262"/>
      <x/>
      <x v="4"/>
      <x/>
    </i>
    <i r="2">
      <x v="262"/>
      <x v="265"/>
      <x/>
      <x v="4"/>
      <x/>
    </i>
    <i r="2">
      <x v="263"/>
      <x v="266"/>
      <x/>
      <x v="4"/>
      <x/>
    </i>
    <i r="2">
      <x v="264"/>
      <x v="267"/>
      <x/>
      <x v="4"/>
      <x/>
    </i>
    <i r="2">
      <x v="265"/>
      <x v="268"/>
      <x/>
      <x v="4"/>
      <x/>
    </i>
    <i r="2">
      <x v="267"/>
      <x v="270"/>
      <x/>
      <x v="4"/>
      <x/>
    </i>
    <i r="2">
      <x v="268"/>
      <x v="271"/>
      <x/>
      <x v="4"/>
      <x/>
    </i>
    <i r="2">
      <x v="269"/>
      <x v="272"/>
      <x/>
      <x v="4"/>
      <x/>
    </i>
    <i t="default" r="1">
      <x v="13"/>
    </i>
    <i r="1">
      <x v="15"/>
      <x v="130"/>
      <x v="194"/>
      <x/>
      <x/>
      <x/>
    </i>
    <i r="2">
      <x v="131"/>
      <x v="191"/>
      <x/>
      <x/>
      <x/>
    </i>
    <i r="2">
      <x v="132"/>
      <x v="193"/>
      <x/>
      <x v="5"/>
      <x/>
    </i>
    <i r="2">
      <x v="215"/>
      <x v="223"/>
      <x/>
      <x/>
      <x/>
    </i>
    <i r="2">
      <x v="219"/>
      <x v="224"/>
      <x/>
      <x/>
      <x/>
    </i>
    <i r="2">
      <x v="242"/>
      <x v="247"/>
      <x/>
      <x v="4"/>
      <x/>
    </i>
    <i r="2">
      <x v="243"/>
      <x v="248"/>
      <x/>
      <x v="4"/>
      <x/>
    </i>
    <i t="default" r="1">
      <x v="15"/>
    </i>
    <i r="1">
      <x v="16"/>
      <x v="142"/>
      <x v="202"/>
      <x/>
      <x/>
      <x/>
    </i>
    <i r="2">
      <x v="143"/>
      <x v="214"/>
      <x v="1"/>
      <x v="4"/>
      <x/>
    </i>
    <i r="2">
      <x v="245"/>
      <x v="245"/>
      <x/>
      <x v="4"/>
      <x/>
    </i>
    <i r="2">
      <x v="254"/>
      <x v="257"/>
      <x/>
      <x v="4"/>
      <x/>
    </i>
    <i r="2">
      <x v="255"/>
      <x v="258"/>
      <x/>
      <x v="4"/>
      <x/>
    </i>
    <i r="2">
      <x v="256"/>
      <x v="259"/>
      <x/>
      <x v="4"/>
      <x/>
    </i>
    <i r="2">
      <x v="257"/>
      <x v="260"/>
      <x/>
      <x v="4"/>
      <x/>
    </i>
    <i r="2">
      <x v="258"/>
      <x v="261"/>
      <x/>
      <x v="4"/>
      <x/>
    </i>
    <i t="default" r="1">
      <x v="16"/>
    </i>
    <i r="1">
      <x v="21"/>
      <x v="270"/>
      <x v="273"/>
      <x/>
      <x v="4"/>
      <x/>
    </i>
    <i t="default" r="1">
      <x v="21"/>
    </i>
    <i t="default">
      <x v="1"/>
    </i>
    <i t="grand">
      <x/>
    </i>
  </rowItems>
  <colFields count="1">
    <field x="-2"/>
  </colFields>
  <colItems count="3">
    <i>
      <x/>
    </i>
    <i i="1">
      <x v="1"/>
    </i>
    <i i="2">
      <x v="2"/>
    </i>
  </colItems>
  <pageFields count="2">
    <pageField fld="0" hier="-1"/>
    <pageField fld="20" hier="-1"/>
  </pageFields>
  <dataFields count="3">
    <dataField name="HoH" fld="16" baseField="19" baseItem="0"/>
    <dataField name="Individual" fld="17" baseField="19" baseItem="0"/>
    <dataField name="Location" fld="1" subtotal="count" baseField="0" baseItem="0"/>
  </dataFields>
  <formats count="582">
    <format dxfId="2103">
      <pivotArea outline="0" collapsedLevelsAreSubtotals="1" fieldPosition="0"/>
    </format>
    <format dxfId="2102">
      <pivotArea dataOnly="0" labelOnly="1" outline="0" fieldPosition="0">
        <references count="1">
          <reference field="4294967294" count="2">
            <x v="0"/>
            <x v="1"/>
          </reference>
        </references>
      </pivotArea>
    </format>
    <format dxfId="2101">
      <pivotArea grandRow="1" outline="0" collapsedLevelsAreSubtotals="1" fieldPosition="0"/>
    </format>
    <format dxfId="2100">
      <pivotArea dataOnly="0" labelOnly="1" grandRow="1" outline="0" fieldPosition="0"/>
    </format>
    <format dxfId="2099">
      <pivotArea grandRow="1" outline="0" collapsedLevelsAreSubtotals="1" fieldPosition="0"/>
    </format>
    <format dxfId="2098">
      <pivotArea dataOnly="0" labelOnly="1" grandRow="1" outline="0" fieldPosition="0"/>
    </format>
    <format dxfId="2097">
      <pivotArea field="21" type="button" dataOnly="0" labelOnly="1" outline="0" axis="axisRow" fieldPosition="4"/>
    </format>
    <format dxfId="2096">
      <pivotArea field="25" type="button" dataOnly="0" labelOnly="1" outline="0" axis="axisRow" fieldPosition="5"/>
    </format>
    <format dxfId="2095">
      <pivotArea field="25" type="button" dataOnly="0" labelOnly="1" outline="0" axis="axisRow" fieldPosition="5"/>
    </format>
    <format dxfId="2094">
      <pivotArea field="1" type="button" dataOnly="0" labelOnly="1" outline="0" axis="axisRow" fieldPosition="0"/>
    </format>
    <format dxfId="2093">
      <pivotArea field="5" type="button" dataOnly="0" labelOnly="1" outline="0" axis="axisRow" fieldPosition="1"/>
    </format>
    <format dxfId="2092">
      <pivotArea field="11" type="button" dataOnly="0" labelOnly="1" outline="0" axis="axisRow" fieldPosition="2"/>
    </format>
    <format dxfId="2091">
      <pivotArea field="12" type="button" dataOnly="0" labelOnly="1" outline="0" axis="axisRow" fieldPosition="3"/>
    </format>
    <format dxfId="2090">
      <pivotArea field="21" type="button" dataOnly="0" labelOnly="1" outline="0" axis="axisRow" fieldPosition="4"/>
    </format>
    <format dxfId="2089">
      <pivotArea field="22" type="button" dataOnly="0" labelOnly="1" outline="0"/>
    </format>
    <format dxfId="2088">
      <pivotArea dataOnly="0" labelOnly="1" outline="0" fieldPosition="0">
        <references count="1">
          <reference field="4294967294" count="2">
            <x v="0"/>
            <x v="1"/>
          </reference>
        </references>
      </pivotArea>
    </format>
    <format dxfId="2087">
      <pivotArea field="1" type="button" dataOnly="0" labelOnly="1" outline="0" axis="axisRow" fieldPosition="0"/>
    </format>
    <format dxfId="2086">
      <pivotArea field="5" type="button" dataOnly="0" labelOnly="1" outline="0" axis="axisRow" fieldPosition="1"/>
    </format>
    <format dxfId="2085">
      <pivotArea field="11" type="button" dataOnly="0" labelOnly="1" outline="0" axis="axisRow" fieldPosition="2"/>
    </format>
    <format dxfId="2084">
      <pivotArea field="12" type="button" dataOnly="0" labelOnly="1" outline="0" axis="axisRow" fieldPosition="3"/>
    </format>
    <format dxfId="2083">
      <pivotArea field="21" type="button" dataOnly="0" labelOnly="1" outline="0" axis="axisRow" fieldPosition="4"/>
    </format>
    <format dxfId="2082">
      <pivotArea field="22" type="button" dataOnly="0" labelOnly="1" outline="0"/>
    </format>
    <format dxfId="2081">
      <pivotArea dataOnly="0" labelOnly="1" outline="0" fieldPosition="0">
        <references count="1">
          <reference field="4294967294" count="2">
            <x v="0"/>
            <x v="1"/>
          </reference>
        </references>
      </pivotArea>
    </format>
    <format dxfId="2080">
      <pivotArea dataOnly="0" labelOnly="1" outline="0" fieldPosition="0">
        <references count="3">
          <reference field="1" count="1" selected="0">
            <x v="0"/>
          </reference>
          <reference field="5" count="1" selected="0">
            <x v="0"/>
          </reference>
          <reference field="11" count="6">
            <x v="68"/>
            <x v="126"/>
            <x v="145"/>
            <x v="163"/>
            <x v="171"/>
            <x v="186"/>
          </reference>
        </references>
      </pivotArea>
    </format>
    <format dxfId="2079">
      <pivotArea dataOnly="0" labelOnly="1" outline="0" fieldPosition="0">
        <references count="3">
          <reference field="1" count="1" selected="0">
            <x v="0"/>
          </reference>
          <reference field="5" count="1" selected="0">
            <x v="14"/>
          </reference>
          <reference field="11" count="7">
            <x v="25"/>
            <x v="26"/>
            <x v="46"/>
            <x v="47"/>
            <x v="54"/>
            <x v="63"/>
            <x v="64"/>
          </reference>
        </references>
      </pivotArea>
    </format>
    <format dxfId="2078">
      <pivotArea dataOnly="0" labelOnly="1" outline="0" fieldPosition="0">
        <references count="3">
          <reference field="1" count="1" selected="0">
            <x v="0"/>
          </reference>
          <reference field="5" count="1" selected="0">
            <x v="20"/>
          </reference>
          <reference field="11" count="15">
            <x v="75"/>
            <x v="76"/>
            <x v="78"/>
            <x v="79"/>
            <x v="80"/>
            <x v="81"/>
            <x v="151"/>
            <x v="165"/>
            <x v="166"/>
            <x v="167"/>
            <x v="168"/>
            <x v="169"/>
            <x v="178"/>
            <x v="193"/>
            <x v="197"/>
          </reference>
        </references>
      </pivotArea>
    </format>
    <format dxfId="2077">
      <pivotArea field="1" type="button" dataOnly="0" labelOnly="1" outline="0" axis="axisRow" fieldPosition="0"/>
    </format>
    <format dxfId="2076">
      <pivotArea field="5" type="button" dataOnly="0" labelOnly="1" outline="0" axis="axisRow" fieldPosition="1"/>
    </format>
    <format dxfId="2075">
      <pivotArea field="11" type="button" dataOnly="0" labelOnly="1" outline="0" axis="axisRow" fieldPosition="2"/>
    </format>
    <format dxfId="2074">
      <pivotArea field="12" type="button" dataOnly="0" labelOnly="1" outline="0" axis="axisRow" fieldPosition="3"/>
    </format>
    <format dxfId="2073">
      <pivotArea field="19" type="button" dataOnly="0" labelOnly="1" outline="0" axis="axisRow" fieldPosition="6"/>
    </format>
    <format dxfId="2072">
      <pivotArea type="all" dataOnly="0" outline="0" fieldPosition="0"/>
    </format>
    <format dxfId="2071">
      <pivotArea type="all" dataOnly="0" outline="0" fieldPosition="0"/>
    </format>
    <format dxfId="2070">
      <pivotArea outline="0" collapsedLevelsAreSubtotals="1" fieldPosition="0"/>
    </format>
    <format dxfId="2069">
      <pivotArea dataOnly="0" labelOnly="1" outline="0" fieldPosition="0">
        <references count="1">
          <reference field="1" count="0"/>
        </references>
      </pivotArea>
    </format>
    <format dxfId="2068">
      <pivotArea dataOnly="0" labelOnly="1" outline="0" fieldPosition="0">
        <references count="1">
          <reference field="1" count="0" defaultSubtotal="1"/>
        </references>
      </pivotArea>
    </format>
    <format dxfId="2067">
      <pivotArea dataOnly="0" labelOnly="1" grandRow="1" outline="0" fieldPosition="0"/>
    </format>
    <format dxfId="2066">
      <pivotArea dataOnly="0" labelOnly="1" outline="0" fieldPosition="0">
        <references count="2">
          <reference field="1" count="1" selected="0">
            <x v="0"/>
          </reference>
          <reference field="5" count="13">
            <x v="0"/>
            <x v="1"/>
            <x v="2"/>
            <x v="5"/>
            <x v="8"/>
            <x v="10"/>
            <x v="11"/>
            <x v="12"/>
            <x v="14"/>
            <x v="17"/>
            <x v="18"/>
            <x v="19"/>
            <x v="20"/>
          </reference>
        </references>
      </pivotArea>
    </format>
    <format dxfId="2065">
      <pivotArea dataOnly="0" labelOnly="1" outline="0" fieldPosition="0">
        <references count="2">
          <reference field="1" count="1" selected="0">
            <x v="0"/>
          </reference>
          <reference field="5" count="13" defaultSubtotal="1">
            <x v="0"/>
            <x v="1"/>
            <x v="2"/>
            <x v="5"/>
            <x v="8"/>
            <x v="10"/>
            <x v="11"/>
            <x v="12"/>
            <x v="14"/>
            <x v="17"/>
            <x v="18"/>
            <x v="19"/>
            <x v="20"/>
          </reference>
        </references>
      </pivotArea>
    </format>
    <format dxfId="2064">
      <pivotArea dataOnly="0" labelOnly="1" outline="0" fieldPosition="0">
        <references count="2">
          <reference field="1" count="1" selected="0">
            <x v="1"/>
          </reference>
          <reference field="5" count="6">
            <x v="3"/>
            <x v="6"/>
            <x v="9"/>
            <x v="13"/>
            <x v="15"/>
            <x v="16"/>
          </reference>
        </references>
      </pivotArea>
    </format>
    <format dxfId="2063">
      <pivotArea dataOnly="0" labelOnly="1" outline="0" fieldPosition="0">
        <references count="2">
          <reference field="1" count="1" selected="0">
            <x v="1"/>
          </reference>
          <reference field="5" count="6" defaultSubtotal="1">
            <x v="3"/>
            <x v="6"/>
            <x v="9"/>
            <x v="13"/>
            <x v="15"/>
            <x v="16"/>
          </reference>
        </references>
      </pivotArea>
    </format>
    <format dxfId="2062">
      <pivotArea dataOnly="0" labelOnly="1" outline="0" fieldPosition="0">
        <references count="3">
          <reference field="1" count="1" selected="0">
            <x v="0"/>
          </reference>
          <reference field="5" count="1" selected="0">
            <x v="0"/>
          </reference>
          <reference field="11" count="11">
            <x v="3"/>
            <x v="7"/>
            <x v="38"/>
            <x v="43"/>
            <x v="68"/>
            <x v="126"/>
            <x v="145"/>
            <x v="163"/>
            <x v="171"/>
            <x v="186"/>
            <x v="205"/>
          </reference>
        </references>
      </pivotArea>
    </format>
    <format dxfId="2061">
      <pivotArea dataOnly="0" labelOnly="1" outline="0" fieldPosition="0">
        <references count="3">
          <reference field="1" count="1" selected="0">
            <x v="0"/>
          </reference>
          <reference field="5" count="1" selected="0">
            <x v="1"/>
          </reference>
          <reference field="11" count="6">
            <x v="21"/>
            <x v="41"/>
            <x v="59"/>
            <x v="65"/>
            <x v="161"/>
            <x v="210"/>
          </reference>
        </references>
      </pivotArea>
    </format>
    <format dxfId="2060">
      <pivotArea dataOnly="0" labelOnly="1" outline="0" fieldPosition="0">
        <references count="3">
          <reference field="1" count="1" selected="0">
            <x v="0"/>
          </reference>
          <reference field="5" count="1" selected="0">
            <x v="2"/>
          </reference>
          <reference field="11" count="26">
            <x v="1"/>
            <x v="2"/>
            <x v="4"/>
            <x v="5"/>
            <x v="13"/>
            <x v="19"/>
            <x v="23"/>
            <x v="35"/>
            <x v="36"/>
            <x v="66"/>
            <x v="67"/>
            <x v="113"/>
            <x v="141"/>
            <x v="146"/>
            <x v="170"/>
            <x v="173"/>
            <x v="200"/>
            <x v="206"/>
            <x v="218"/>
            <x v="222"/>
            <x v="240"/>
            <x v="249"/>
            <x v="250"/>
            <x v="251"/>
            <x v="252"/>
            <x v="253"/>
          </reference>
        </references>
      </pivotArea>
    </format>
    <format dxfId="2059">
      <pivotArea dataOnly="0" labelOnly="1" outline="0" fieldPosition="0">
        <references count="3">
          <reference field="1" count="1" selected="0">
            <x v="0"/>
          </reference>
          <reference field="5" count="1" selected="0">
            <x v="5"/>
          </reference>
          <reference field="11" count="1">
            <x v="56"/>
          </reference>
        </references>
      </pivotArea>
    </format>
    <format dxfId="2058">
      <pivotArea dataOnly="0" labelOnly="1" outline="0" fieldPosition="0">
        <references count="3">
          <reference field="1" count="1" selected="0">
            <x v="0"/>
          </reference>
          <reference field="5" count="1" selected="0">
            <x v="8"/>
          </reference>
          <reference field="11" count="11">
            <x v="18"/>
            <x v="38"/>
            <x v="60"/>
            <x v="82"/>
            <x v="90"/>
            <x v="91"/>
            <x v="92"/>
            <x v="98"/>
            <x v="209"/>
            <x v="216"/>
            <x v="220"/>
          </reference>
        </references>
      </pivotArea>
    </format>
    <format dxfId="2057">
      <pivotArea dataOnly="0" labelOnly="1" outline="0" fieldPosition="0">
        <references count="3">
          <reference field="1" count="1" selected="0">
            <x v="0"/>
          </reference>
          <reference field="5" count="1" selected="0">
            <x v="10"/>
          </reference>
          <reference field="11" count="6">
            <x v="55"/>
            <x v="97"/>
            <x v="149"/>
            <x v="233"/>
            <x v="234"/>
            <x v="235"/>
          </reference>
        </references>
      </pivotArea>
    </format>
    <format dxfId="2056">
      <pivotArea dataOnly="0" labelOnly="1" outline="0" fieldPosition="0">
        <references count="3">
          <reference field="1" count="1" selected="0">
            <x v="0"/>
          </reference>
          <reference field="5" count="1" selected="0">
            <x v="11"/>
          </reference>
          <reference field="11" count="4">
            <x v="152"/>
            <x v="183"/>
            <x v="223"/>
            <x v="224"/>
          </reference>
        </references>
      </pivotArea>
    </format>
    <format dxfId="2055">
      <pivotArea dataOnly="0" labelOnly="1" outline="0" fieldPosition="0">
        <references count="3">
          <reference field="1" count="1" selected="0">
            <x v="0"/>
          </reference>
          <reference field="5" count="1" selected="0">
            <x v="12"/>
          </reference>
          <reference field="11" count="20">
            <x v="27"/>
            <x v="38"/>
            <x v="42"/>
            <x v="50"/>
            <x v="69"/>
            <x v="70"/>
            <x v="71"/>
            <x v="77"/>
            <x v="84"/>
            <x v="88"/>
            <x v="89"/>
            <x v="117"/>
            <x v="128"/>
            <x v="155"/>
            <x v="158"/>
            <x v="160"/>
            <x v="164"/>
            <x v="175"/>
            <x v="188"/>
            <x v="238"/>
          </reference>
        </references>
      </pivotArea>
    </format>
    <format dxfId="2054">
      <pivotArea dataOnly="0" labelOnly="1" outline="0" fieldPosition="0">
        <references count="3">
          <reference field="1" count="1" selected="0">
            <x v="0"/>
          </reference>
          <reference field="5" count="1" selected="0">
            <x v="14"/>
          </reference>
          <reference field="11" count="24">
            <x v="24"/>
            <x v="25"/>
            <x v="26"/>
            <x v="46"/>
            <x v="47"/>
            <x v="54"/>
            <x v="63"/>
            <x v="64"/>
            <x v="83"/>
            <x v="85"/>
            <x v="107"/>
            <x v="108"/>
            <x v="144"/>
            <x v="157"/>
            <x v="159"/>
            <x v="176"/>
            <x v="177"/>
            <x v="181"/>
            <x v="189"/>
            <x v="190"/>
            <x v="191"/>
            <x v="192"/>
            <x v="204"/>
            <x v="229"/>
          </reference>
        </references>
      </pivotArea>
    </format>
    <format dxfId="2053">
      <pivotArea dataOnly="0" labelOnly="1" outline="0" fieldPosition="0">
        <references count="3">
          <reference field="1" count="1" selected="0">
            <x v="0"/>
          </reference>
          <reference field="5" count="1" selected="0">
            <x v="17"/>
          </reference>
          <reference field="11" count="3">
            <x v="196"/>
            <x v="213"/>
            <x v="231"/>
          </reference>
        </references>
      </pivotArea>
    </format>
    <format dxfId="2052">
      <pivotArea dataOnly="0" labelOnly="1" outline="0" fieldPosition="0">
        <references count="3">
          <reference field="1" count="1" selected="0">
            <x v="0"/>
          </reference>
          <reference field="5" count="1" selected="0">
            <x v="18"/>
          </reference>
          <reference field="11" count="4">
            <x v="38"/>
            <x v="61"/>
            <x v="179"/>
            <x v="180"/>
          </reference>
        </references>
      </pivotArea>
    </format>
    <format dxfId="2051">
      <pivotArea dataOnly="0" labelOnly="1" outline="0" fieldPosition="0">
        <references count="3">
          <reference field="1" count="1" selected="0">
            <x v="0"/>
          </reference>
          <reference field="5" count="1" selected="0">
            <x v="19"/>
          </reference>
          <reference field="11" count="3">
            <x v="185"/>
            <x v="236"/>
            <x v="237"/>
          </reference>
        </references>
      </pivotArea>
    </format>
    <format dxfId="2050">
      <pivotArea dataOnly="0" labelOnly="1" outline="0" fieldPosition="0">
        <references count="3">
          <reference field="1" count="1" selected="0">
            <x v="0"/>
          </reference>
          <reference field="5" count="1" selected="0">
            <x v="20"/>
          </reference>
          <reference field="11" count="23">
            <x v="17"/>
            <x v="33"/>
            <x v="34"/>
            <x v="44"/>
            <x v="48"/>
            <x v="75"/>
            <x v="76"/>
            <x v="78"/>
            <x v="79"/>
            <x v="80"/>
            <x v="81"/>
            <x v="151"/>
            <x v="165"/>
            <x v="166"/>
            <x v="167"/>
            <x v="168"/>
            <x v="169"/>
            <x v="178"/>
            <x v="193"/>
            <x v="197"/>
            <x v="201"/>
            <x v="228"/>
            <x v="230"/>
          </reference>
        </references>
      </pivotArea>
    </format>
    <format dxfId="2049">
      <pivotArea dataOnly="0" labelOnly="1" outline="0" fieldPosition="0">
        <references count="3">
          <reference field="1" count="1" selected="0">
            <x v="1"/>
          </reference>
          <reference field="5" count="1" selected="0">
            <x v="3"/>
          </reference>
          <reference field="11" count="3">
            <x v="148"/>
            <x v="232"/>
            <x v="247"/>
          </reference>
        </references>
      </pivotArea>
    </format>
    <format dxfId="2048">
      <pivotArea dataOnly="0" labelOnly="1" outline="0" fieldPosition="0">
        <references count="3">
          <reference field="1" count="1" selected="0">
            <x v="1"/>
          </reference>
          <reference field="5" count="1" selected="0">
            <x v="6"/>
          </reference>
          <reference field="11" count="12">
            <x v="51"/>
            <x v="52"/>
            <x v="53"/>
            <x v="116"/>
            <x v="123"/>
            <x v="137"/>
            <x v="208"/>
            <x v="221"/>
            <x v="239"/>
            <x v="241"/>
            <x v="244"/>
            <x v="248"/>
          </reference>
        </references>
      </pivotArea>
    </format>
    <format dxfId="2047">
      <pivotArea dataOnly="0" labelOnly="1" outline="0" fieldPosition="0">
        <references count="3">
          <reference field="1" count="1" selected="0">
            <x v="1"/>
          </reference>
          <reference field="5" count="1" selected="0">
            <x v="9"/>
          </reference>
          <reference field="11" count="3">
            <x v="95"/>
            <x v="96"/>
            <x v="246"/>
          </reference>
        </references>
      </pivotArea>
    </format>
    <format dxfId="2046">
      <pivotArea dataOnly="0" labelOnly="1" outline="0" fieldPosition="0">
        <references count="3">
          <reference field="1" count="1" selected="0">
            <x v="1"/>
          </reference>
          <reference field="5" count="1" selected="0">
            <x v="13"/>
          </reference>
          <reference field="11" count="6">
            <x v="39"/>
            <x v="40"/>
            <x v="120"/>
            <x v="136"/>
            <x v="214"/>
            <x v="217"/>
          </reference>
        </references>
      </pivotArea>
    </format>
    <format dxfId="2045">
      <pivotArea dataOnly="0" labelOnly="1" outline="0" fieldPosition="0">
        <references count="3">
          <reference field="1" count="1" selected="0">
            <x v="1"/>
          </reference>
          <reference field="5" count="1" selected="0">
            <x v="15"/>
          </reference>
          <reference field="11" count="7">
            <x v="130"/>
            <x v="131"/>
            <x v="132"/>
            <x v="215"/>
            <x v="219"/>
            <x v="242"/>
            <x v="243"/>
          </reference>
        </references>
      </pivotArea>
    </format>
    <format dxfId="2044">
      <pivotArea dataOnly="0" labelOnly="1" outline="0" fieldPosition="0">
        <references count="3">
          <reference field="1" count="1" selected="0">
            <x v="1"/>
          </reference>
          <reference field="5" count="1" selected="0">
            <x v="16"/>
          </reference>
          <reference field="11" count="3">
            <x v="142"/>
            <x v="143"/>
            <x v="245"/>
          </reference>
        </references>
      </pivotArea>
    </format>
    <format dxfId="2043">
      <pivotArea dataOnly="0" labelOnly="1" outline="0" fieldPosition="0">
        <references count="4">
          <reference field="1" count="1" selected="0">
            <x v="0"/>
          </reference>
          <reference field="5" count="1" selected="0">
            <x v="0"/>
          </reference>
          <reference field="11" count="1" selected="0">
            <x v="3"/>
          </reference>
          <reference field="12" count="1">
            <x v="49"/>
          </reference>
        </references>
      </pivotArea>
    </format>
    <format dxfId="2042">
      <pivotArea dataOnly="0" labelOnly="1" outline="0" fieldPosition="0">
        <references count="4">
          <reference field="1" count="1" selected="0">
            <x v="0"/>
          </reference>
          <reference field="5" count="1" selected="0">
            <x v="0"/>
          </reference>
          <reference field="11" count="1" selected="0">
            <x v="7"/>
          </reference>
          <reference field="12" count="1">
            <x v="164"/>
          </reference>
        </references>
      </pivotArea>
    </format>
    <format dxfId="2041">
      <pivotArea dataOnly="0" labelOnly="1" outline="0" fieldPosition="0">
        <references count="4">
          <reference field="1" count="1" selected="0">
            <x v="0"/>
          </reference>
          <reference field="5" count="1" selected="0">
            <x v="0"/>
          </reference>
          <reference field="11" count="1" selected="0">
            <x v="38"/>
          </reference>
          <reference field="12" count="1">
            <x v="137"/>
          </reference>
        </references>
      </pivotArea>
    </format>
    <format dxfId="2040">
      <pivotArea dataOnly="0" labelOnly="1" outline="0" fieldPosition="0">
        <references count="4">
          <reference field="1" count="1" selected="0">
            <x v="0"/>
          </reference>
          <reference field="5" count="1" selected="0">
            <x v="0"/>
          </reference>
          <reference field="11" count="1" selected="0">
            <x v="43"/>
          </reference>
          <reference field="12" count="1">
            <x v="51"/>
          </reference>
        </references>
      </pivotArea>
    </format>
    <format dxfId="2039">
      <pivotArea dataOnly="0" labelOnly="1" outline="0" fieldPosition="0">
        <references count="4">
          <reference field="1" count="1" selected="0">
            <x v="0"/>
          </reference>
          <reference field="5" count="1" selected="0">
            <x v="0"/>
          </reference>
          <reference field="11" count="1" selected="0">
            <x v="68"/>
          </reference>
          <reference field="12" count="1">
            <x v="48"/>
          </reference>
        </references>
      </pivotArea>
    </format>
    <format dxfId="2038">
      <pivotArea dataOnly="0" labelOnly="1" outline="0" fieldPosition="0">
        <references count="4">
          <reference field="1" count="1" selected="0">
            <x v="0"/>
          </reference>
          <reference field="5" count="1" selected="0">
            <x v="0"/>
          </reference>
          <reference field="11" count="1" selected="0">
            <x v="126"/>
          </reference>
          <reference field="12" count="1">
            <x v="50"/>
          </reference>
        </references>
      </pivotArea>
    </format>
    <format dxfId="2037">
      <pivotArea dataOnly="0" labelOnly="1" outline="0" fieldPosition="0">
        <references count="4">
          <reference field="1" count="1" selected="0">
            <x v="0"/>
          </reference>
          <reference field="5" count="1" selected="0">
            <x v="0"/>
          </reference>
          <reference field="11" count="1" selected="0">
            <x v="145"/>
          </reference>
          <reference field="12" count="1">
            <x v="53"/>
          </reference>
        </references>
      </pivotArea>
    </format>
    <format dxfId="2036">
      <pivotArea dataOnly="0" labelOnly="1" outline="0" fieldPosition="0">
        <references count="4">
          <reference field="1" count="1" selected="0">
            <x v="0"/>
          </reference>
          <reference field="5" count="1" selected="0">
            <x v="0"/>
          </reference>
          <reference field="11" count="1" selected="0">
            <x v="163"/>
          </reference>
          <reference field="12" count="1">
            <x v="163"/>
          </reference>
        </references>
      </pivotArea>
    </format>
    <format dxfId="2035">
      <pivotArea dataOnly="0" labelOnly="1" outline="0" fieldPosition="0">
        <references count="4">
          <reference field="1" count="1" selected="0">
            <x v="0"/>
          </reference>
          <reference field="5" count="1" selected="0">
            <x v="0"/>
          </reference>
          <reference field="11" count="1" selected="0">
            <x v="171"/>
          </reference>
          <reference field="12" count="1">
            <x v="46"/>
          </reference>
        </references>
      </pivotArea>
    </format>
    <format dxfId="2034">
      <pivotArea dataOnly="0" labelOnly="1" outline="0" fieldPosition="0">
        <references count="4">
          <reference field="1" count="1" selected="0">
            <x v="0"/>
          </reference>
          <reference field="5" count="1" selected="0">
            <x v="0"/>
          </reference>
          <reference field="11" count="1" selected="0">
            <x v="186"/>
          </reference>
          <reference field="12" count="1">
            <x v="54"/>
          </reference>
        </references>
      </pivotArea>
    </format>
    <format dxfId="2033">
      <pivotArea dataOnly="0" labelOnly="1" outline="0" fieldPosition="0">
        <references count="4">
          <reference field="1" count="1" selected="0">
            <x v="0"/>
          </reference>
          <reference field="5" count="1" selected="0">
            <x v="0"/>
          </reference>
          <reference field="11" count="1" selected="0">
            <x v="205"/>
          </reference>
          <reference field="12" count="1">
            <x v="52"/>
          </reference>
        </references>
      </pivotArea>
    </format>
    <format dxfId="2032">
      <pivotArea dataOnly="0" labelOnly="1" outline="0" fieldPosition="0">
        <references count="4">
          <reference field="1" count="1" selected="0">
            <x v="0"/>
          </reference>
          <reference field="5" count="1" selected="0">
            <x v="1"/>
          </reference>
          <reference field="11" count="1" selected="0">
            <x v="21"/>
          </reference>
          <reference field="12" count="1">
            <x v="41"/>
          </reference>
        </references>
      </pivotArea>
    </format>
    <format dxfId="2031">
      <pivotArea dataOnly="0" labelOnly="1" outline="0" fieldPosition="0">
        <references count="4">
          <reference field="1" count="1" selected="0">
            <x v="0"/>
          </reference>
          <reference field="5" count="1" selected="0">
            <x v="1"/>
          </reference>
          <reference field="11" count="1" selected="0">
            <x v="41"/>
          </reference>
          <reference field="12" count="1">
            <x v="42"/>
          </reference>
        </references>
      </pivotArea>
    </format>
    <format dxfId="2030">
      <pivotArea dataOnly="0" labelOnly="1" outline="0" fieldPosition="0">
        <references count="4">
          <reference field="1" count="1" selected="0">
            <x v="0"/>
          </reference>
          <reference field="5" count="1" selected="0">
            <x v="1"/>
          </reference>
          <reference field="11" count="1" selected="0">
            <x v="59"/>
          </reference>
          <reference field="12" count="1">
            <x v="44"/>
          </reference>
        </references>
      </pivotArea>
    </format>
    <format dxfId="2029">
      <pivotArea dataOnly="0" labelOnly="1" outline="0" fieldPosition="0">
        <references count="4">
          <reference field="1" count="1" selected="0">
            <x v="0"/>
          </reference>
          <reference field="5" count="1" selected="0">
            <x v="1"/>
          </reference>
          <reference field="11" count="1" selected="0">
            <x v="65"/>
          </reference>
          <reference field="12" count="1">
            <x v="165"/>
          </reference>
        </references>
      </pivotArea>
    </format>
    <format dxfId="2028">
      <pivotArea dataOnly="0" labelOnly="1" outline="0" fieldPosition="0">
        <references count="4">
          <reference field="1" count="1" selected="0">
            <x v="0"/>
          </reference>
          <reference field="5" count="1" selected="0">
            <x v="1"/>
          </reference>
          <reference field="11" count="1" selected="0">
            <x v="161"/>
          </reference>
          <reference field="12" count="1">
            <x v="178"/>
          </reference>
        </references>
      </pivotArea>
    </format>
    <format dxfId="2027">
      <pivotArea dataOnly="0" labelOnly="1" outline="0" fieldPosition="0">
        <references count="4">
          <reference field="1" count="1" selected="0">
            <x v="0"/>
          </reference>
          <reference field="5" count="1" selected="0">
            <x v="1"/>
          </reference>
          <reference field="11" count="1" selected="0">
            <x v="210"/>
          </reference>
          <reference field="12" count="1">
            <x v="219"/>
          </reference>
        </references>
      </pivotArea>
    </format>
    <format dxfId="2026">
      <pivotArea dataOnly="0" labelOnly="1" outline="0" fieldPosition="0">
        <references count="4">
          <reference field="1" count="1" selected="0">
            <x v="0"/>
          </reference>
          <reference field="5" count="1" selected="0">
            <x v="2"/>
          </reference>
          <reference field="11" count="1" selected="0">
            <x v="1"/>
          </reference>
          <reference field="12" count="1">
            <x v="150"/>
          </reference>
        </references>
      </pivotArea>
    </format>
    <format dxfId="2025">
      <pivotArea dataOnly="0" labelOnly="1" outline="0" fieldPosition="0">
        <references count="4">
          <reference field="1" count="1" selected="0">
            <x v="0"/>
          </reference>
          <reference field="5" count="1" selected="0">
            <x v="2"/>
          </reference>
          <reference field="11" count="1" selected="0">
            <x v="2"/>
          </reference>
          <reference field="12" count="1">
            <x v="139"/>
          </reference>
        </references>
      </pivotArea>
    </format>
    <format dxfId="2024">
      <pivotArea dataOnly="0" labelOnly="1" outline="0" fieldPosition="0">
        <references count="4">
          <reference field="1" count="1" selected="0">
            <x v="0"/>
          </reference>
          <reference field="5" count="1" selected="0">
            <x v="2"/>
          </reference>
          <reference field="11" count="1" selected="0">
            <x v="4"/>
          </reference>
          <reference field="12" count="1">
            <x v="147"/>
          </reference>
        </references>
      </pivotArea>
    </format>
    <format dxfId="2023">
      <pivotArea dataOnly="0" labelOnly="1" outline="0" fieldPosition="0">
        <references count="4">
          <reference field="1" count="1" selected="0">
            <x v="0"/>
          </reference>
          <reference field="5" count="1" selected="0">
            <x v="2"/>
          </reference>
          <reference field="11" count="1" selected="0">
            <x v="5"/>
          </reference>
          <reference field="12" count="1">
            <x v="160"/>
          </reference>
        </references>
      </pivotArea>
    </format>
    <format dxfId="2022">
      <pivotArea dataOnly="0" labelOnly="1" outline="0" fieldPosition="0">
        <references count="4">
          <reference field="1" count="1" selected="0">
            <x v="0"/>
          </reference>
          <reference field="5" count="1" selected="0">
            <x v="2"/>
          </reference>
          <reference field="11" count="1" selected="0">
            <x v="13"/>
          </reference>
          <reference field="12" count="1">
            <x v="140"/>
          </reference>
        </references>
      </pivotArea>
    </format>
    <format dxfId="2021">
      <pivotArea dataOnly="0" labelOnly="1" outline="0" fieldPosition="0">
        <references count="4">
          <reference field="1" count="1" selected="0">
            <x v="0"/>
          </reference>
          <reference field="5" count="1" selected="0">
            <x v="2"/>
          </reference>
          <reference field="11" count="1" selected="0">
            <x v="19"/>
          </reference>
          <reference field="12" count="1">
            <x v="105"/>
          </reference>
        </references>
      </pivotArea>
    </format>
    <format dxfId="2020">
      <pivotArea dataOnly="0" labelOnly="1" outline="0" fieldPosition="0">
        <references count="4">
          <reference field="1" count="1" selected="0">
            <x v="0"/>
          </reference>
          <reference field="5" count="1" selected="0">
            <x v="2"/>
          </reference>
          <reference field="11" count="1" selected="0">
            <x v="23"/>
          </reference>
          <reference field="12" count="1">
            <x v="145"/>
          </reference>
        </references>
      </pivotArea>
    </format>
    <format dxfId="2019">
      <pivotArea dataOnly="0" labelOnly="1" outline="0" fieldPosition="0">
        <references count="4">
          <reference field="1" count="1" selected="0">
            <x v="0"/>
          </reference>
          <reference field="5" count="1" selected="0">
            <x v="2"/>
          </reference>
          <reference field="11" count="1" selected="0">
            <x v="35"/>
          </reference>
          <reference field="12" count="1">
            <x v="131"/>
          </reference>
        </references>
      </pivotArea>
    </format>
    <format dxfId="2018">
      <pivotArea dataOnly="0" labelOnly="1" outline="0" fieldPosition="0">
        <references count="4">
          <reference field="1" count="1" selected="0">
            <x v="0"/>
          </reference>
          <reference field="5" count="1" selected="0">
            <x v="2"/>
          </reference>
          <reference field="11" count="1" selected="0">
            <x v="36"/>
          </reference>
          <reference field="12" count="1">
            <x v="161"/>
          </reference>
        </references>
      </pivotArea>
    </format>
    <format dxfId="2017">
      <pivotArea dataOnly="0" labelOnly="1" outline="0" fieldPosition="0">
        <references count="4">
          <reference field="1" count="1" selected="0">
            <x v="0"/>
          </reference>
          <reference field="5" count="1" selected="0">
            <x v="2"/>
          </reference>
          <reference field="11" count="1" selected="0">
            <x v="66"/>
          </reference>
          <reference field="12" count="1">
            <x v="152"/>
          </reference>
        </references>
      </pivotArea>
    </format>
    <format dxfId="2016">
      <pivotArea dataOnly="0" labelOnly="1" outline="0" fieldPosition="0">
        <references count="4">
          <reference field="1" count="1" selected="0">
            <x v="0"/>
          </reference>
          <reference field="5" count="1" selected="0">
            <x v="2"/>
          </reference>
          <reference field="11" count="1" selected="0">
            <x v="67"/>
          </reference>
          <reference field="12" count="1">
            <x v="138"/>
          </reference>
        </references>
      </pivotArea>
    </format>
    <format dxfId="2015">
      <pivotArea dataOnly="0" labelOnly="1" outline="0" fieldPosition="0">
        <references count="4">
          <reference field="1" count="1" selected="0">
            <x v="0"/>
          </reference>
          <reference field="5" count="1" selected="0">
            <x v="2"/>
          </reference>
          <reference field="11" count="1" selected="0">
            <x v="113"/>
          </reference>
          <reference field="12" count="1">
            <x v="87"/>
          </reference>
        </references>
      </pivotArea>
    </format>
    <format dxfId="2014">
      <pivotArea dataOnly="0" labelOnly="1" outline="0" fieldPosition="0">
        <references count="4">
          <reference field="1" count="1" selected="0">
            <x v="0"/>
          </reference>
          <reference field="5" count="1" selected="0">
            <x v="2"/>
          </reference>
          <reference field="11" count="1" selected="0">
            <x v="141"/>
          </reference>
          <reference field="12" count="1">
            <x v="162"/>
          </reference>
        </references>
      </pivotArea>
    </format>
    <format dxfId="2013">
      <pivotArea dataOnly="0" labelOnly="1" outline="0" fieldPosition="0">
        <references count="4">
          <reference field="1" count="1" selected="0">
            <x v="0"/>
          </reference>
          <reference field="5" count="1" selected="0">
            <x v="2"/>
          </reference>
          <reference field="11" count="1" selected="0">
            <x v="146"/>
          </reference>
          <reference field="12" count="1">
            <x v="99"/>
          </reference>
        </references>
      </pivotArea>
    </format>
    <format dxfId="2012">
      <pivotArea dataOnly="0" labelOnly="1" outline="0" fieldPosition="0">
        <references count="4">
          <reference field="1" count="1" selected="0">
            <x v="0"/>
          </reference>
          <reference field="5" count="1" selected="0">
            <x v="2"/>
          </reference>
          <reference field="11" count="1" selected="0">
            <x v="170"/>
          </reference>
          <reference field="12" count="1">
            <x v="153"/>
          </reference>
        </references>
      </pivotArea>
    </format>
    <format dxfId="2011">
      <pivotArea dataOnly="0" labelOnly="1" outline="0" fieldPosition="0">
        <references count="4">
          <reference field="1" count="1" selected="0">
            <x v="0"/>
          </reference>
          <reference field="5" count="1" selected="0">
            <x v="2"/>
          </reference>
          <reference field="11" count="1" selected="0">
            <x v="173"/>
          </reference>
          <reference field="12" count="1">
            <x v="154"/>
          </reference>
        </references>
      </pivotArea>
    </format>
    <format dxfId="2010">
      <pivotArea dataOnly="0" labelOnly="1" outline="0" fieldPosition="0">
        <references count="4">
          <reference field="1" count="1" selected="0">
            <x v="0"/>
          </reference>
          <reference field="5" count="1" selected="0">
            <x v="2"/>
          </reference>
          <reference field="11" count="1" selected="0">
            <x v="200"/>
          </reference>
          <reference field="12" count="1">
            <x v="155"/>
          </reference>
        </references>
      </pivotArea>
    </format>
    <format dxfId="2009">
      <pivotArea dataOnly="0" labelOnly="1" outline="0" fieldPosition="0">
        <references count="4">
          <reference field="1" count="1" selected="0">
            <x v="0"/>
          </reference>
          <reference field="5" count="1" selected="0">
            <x v="2"/>
          </reference>
          <reference field="11" count="1" selected="0">
            <x v="206"/>
          </reference>
          <reference field="12" count="1">
            <x v="101"/>
          </reference>
        </references>
      </pivotArea>
    </format>
    <format dxfId="2008">
      <pivotArea dataOnly="0" labelOnly="1" outline="0" fieldPosition="0">
        <references count="4">
          <reference field="1" count="1" selected="0">
            <x v="0"/>
          </reference>
          <reference field="5" count="1" selected="0">
            <x v="2"/>
          </reference>
          <reference field="11" count="1" selected="0">
            <x v="218"/>
          </reference>
          <reference field="12" count="1">
            <x v="227"/>
          </reference>
        </references>
      </pivotArea>
    </format>
    <format dxfId="2007">
      <pivotArea dataOnly="0" labelOnly="1" outline="0" fieldPosition="0">
        <references count="4">
          <reference field="1" count="1" selected="0">
            <x v="0"/>
          </reference>
          <reference field="5" count="1" selected="0">
            <x v="2"/>
          </reference>
          <reference field="11" count="1" selected="0">
            <x v="222"/>
          </reference>
          <reference field="12" count="1">
            <x v="230"/>
          </reference>
        </references>
      </pivotArea>
    </format>
    <format dxfId="2006">
      <pivotArea dataOnly="0" labelOnly="1" outline="0" fieldPosition="0">
        <references count="4">
          <reference field="1" count="1" selected="0">
            <x v="0"/>
          </reference>
          <reference field="5" count="1" selected="0">
            <x v="2"/>
          </reference>
          <reference field="11" count="1" selected="0">
            <x v="240"/>
          </reference>
          <reference field="12" count="1">
            <x v="242"/>
          </reference>
        </references>
      </pivotArea>
    </format>
    <format dxfId="2005">
      <pivotArea dataOnly="0" labelOnly="1" outline="0" fieldPosition="0">
        <references count="4">
          <reference field="1" count="1" selected="0">
            <x v="0"/>
          </reference>
          <reference field="5" count="1" selected="0">
            <x v="2"/>
          </reference>
          <reference field="11" count="1" selected="0">
            <x v="249"/>
          </reference>
          <reference field="12" count="1">
            <x v="252"/>
          </reference>
        </references>
      </pivotArea>
    </format>
    <format dxfId="2004">
      <pivotArea dataOnly="0" labelOnly="1" outline="0" fieldPosition="0">
        <references count="4">
          <reference field="1" count="1" selected="0">
            <x v="0"/>
          </reference>
          <reference field="5" count="1" selected="0">
            <x v="2"/>
          </reference>
          <reference field="11" count="1" selected="0">
            <x v="250"/>
          </reference>
          <reference field="12" count="1">
            <x v="253"/>
          </reference>
        </references>
      </pivotArea>
    </format>
    <format dxfId="2003">
      <pivotArea dataOnly="0" labelOnly="1" outline="0" fieldPosition="0">
        <references count="4">
          <reference field="1" count="1" selected="0">
            <x v="0"/>
          </reference>
          <reference field="5" count="1" selected="0">
            <x v="2"/>
          </reference>
          <reference field="11" count="1" selected="0">
            <x v="251"/>
          </reference>
          <reference field="12" count="1">
            <x v="254"/>
          </reference>
        </references>
      </pivotArea>
    </format>
    <format dxfId="2002">
      <pivotArea dataOnly="0" labelOnly="1" outline="0" fieldPosition="0">
        <references count="4">
          <reference field="1" count="1" selected="0">
            <x v="0"/>
          </reference>
          <reference field="5" count="1" selected="0">
            <x v="2"/>
          </reference>
          <reference field="11" count="1" selected="0">
            <x v="252"/>
          </reference>
          <reference field="12" count="1">
            <x v="255"/>
          </reference>
        </references>
      </pivotArea>
    </format>
    <format dxfId="2001">
      <pivotArea dataOnly="0" labelOnly="1" outline="0" fieldPosition="0">
        <references count="4">
          <reference field="1" count="1" selected="0">
            <x v="0"/>
          </reference>
          <reference field="5" count="1" selected="0">
            <x v="2"/>
          </reference>
          <reference field="11" count="1" selected="0">
            <x v="253"/>
          </reference>
          <reference field="12" count="1">
            <x v="256"/>
          </reference>
        </references>
      </pivotArea>
    </format>
    <format dxfId="2000">
      <pivotArea dataOnly="0" labelOnly="1" outline="0" fieldPosition="0">
        <references count="4">
          <reference field="1" count="1" selected="0">
            <x v="0"/>
          </reference>
          <reference field="5" count="1" selected="0">
            <x v="5"/>
          </reference>
          <reference field="11" count="1" selected="0">
            <x v="56"/>
          </reference>
          <reference field="12" count="1">
            <x v="73"/>
          </reference>
        </references>
      </pivotArea>
    </format>
    <format dxfId="1999">
      <pivotArea dataOnly="0" labelOnly="1" outline="0" fieldPosition="0">
        <references count="4">
          <reference field="1" count="1" selected="0">
            <x v="0"/>
          </reference>
          <reference field="5" count="1" selected="0">
            <x v="8"/>
          </reference>
          <reference field="11" count="1" selected="0">
            <x v="18"/>
          </reference>
          <reference field="12" count="1">
            <x v="121"/>
          </reference>
        </references>
      </pivotArea>
    </format>
    <format dxfId="1998">
      <pivotArea dataOnly="0" labelOnly="1" outline="0" fieldPosition="0">
        <references count="4">
          <reference field="1" count="1" selected="0">
            <x v="0"/>
          </reference>
          <reference field="5" count="1" selected="0">
            <x v="8"/>
          </reference>
          <reference field="11" count="1" selected="0">
            <x v="38"/>
          </reference>
          <reference field="12" count="1">
            <x v="166"/>
          </reference>
        </references>
      </pivotArea>
    </format>
    <format dxfId="1997">
      <pivotArea dataOnly="0" labelOnly="1" outline="0" fieldPosition="0">
        <references count="4">
          <reference field="1" count="1" selected="0">
            <x v="0"/>
          </reference>
          <reference field="5" count="1" selected="0">
            <x v="8"/>
          </reference>
          <reference field="11" count="1" selected="0">
            <x v="60"/>
          </reference>
          <reference field="12" count="1">
            <x v="120"/>
          </reference>
        </references>
      </pivotArea>
    </format>
    <format dxfId="1996">
      <pivotArea dataOnly="0" labelOnly="1" outline="0" fieldPosition="0">
        <references count="4">
          <reference field="1" count="1" selected="0">
            <x v="0"/>
          </reference>
          <reference field="5" count="1" selected="0">
            <x v="8"/>
          </reference>
          <reference field="11" count="1" selected="0">
            <x v="82"/>
          </reference>
          <reference field="12" count="1">
            <x v="186"/>
          </reference>
        </references>
      </pivotArea>
    </format>
    <format dxfId="1995">
      <pivotArea dataOnly="0" labelOnly="1" outline="0" fieldPosition="0">
        <references count="4">
          <reference field="1" count="1" selected="0">
            <x v="0"/>
          </reference>
          <reference field="5" count="1" selected="0">
            <x v="8"/>
          </reference>
          <reference field="11" count="1" selected="0">
            <x v="90"/>
          </reference>
          <reference field="12" count="1">
            <x v="124"/>
          </reference>
        </references>
      </pivotArea>
    </format>
    <format dxfId="1994">
      <pivotArea dataOnly="0" labelOnly="1" outline="0" fieldPosition="0">
        <references count="4">
          <reference field="1" count="1" selected="0">
            <x v="0"/>
          </reference>
          <reference field="5" count="1" selected="0">
            <x v="8"/>
          </reference>
          <reference field="11" count="1" selected="0">
            <x v="91"/>
          </reference>
          <reference field="12" count="1">
            <x v="123"/>
          </reference>
        </references>
      </pivotArea>
    </format>
    <format dxfId="1993">
      <pivotArea dataOnly="0" labelOnly="1" outline="0" fieldPosition="0">
        <references count="4">
          <reference field="1" count="1" selected="0">
            <x v="0"/>
          </reference>
          <reference field="5" count="1" selected="0">
            <x v="8"/>
          </reference>
          <reference field="11" count="1" selected="0">
            <x v="92"/>
          </reference>
          <reference field="12" count="1">
            <x v="125"/>
          </reference>
        </references>
      </pivotArea>
    </format>
    <format dxfId="1992">
      <pivotArea dataOnly="0" labelOnly="1" outline="0" fieldPosition="0">
        <references count="4">
          <reference field="1" count="1" selected="0">
            <x v="0"/>
          </reference>
          <reference field="5" count="1" selected="0">
            <x v="8"/>
          </reference>
          <reference field="11" count="1" selected="0">
            <x v="98"/>
          </reference>
          <reference field="12" count="1">
            <x v="65"/>
          </reference>
        </references>
      </pivotArea>
    </format>
    <format dxfId="1991">
      <pivotArea dataOnly="0" labelOnly="1" outline="0" fieldPosition="0">
        <references count="4">
          <reference field="1" count="1" selected="0">
            <x v="0"/>
          </reference>
          <reference field="5" count="1" selected="0">
            <x v="8"/>
          </reference>
          <reference field="11" count="1" selected="0">
            <x v="209"/>
          </reference>
          <reference field="12" count="1">
            <x v="217"/>
          </reference>
        </references>
      </pivotArea>
    </format>
    <format dxfId="1990">
      <pivotArea dataOnly="0" labelOnly="1" outline="0" fieldPosition="0">
        <references count="4">
          <reference field="1" count="1" selected="0">
            <x v="0"/>
          </reference>
          <reference field="5" count="1" selected="0">
            <x v="8"/>
          </reference>
          <reference field="11" count="1" selected="0">
            <x v="216"/>
          </reference>
          <reference field="12" count="1">
            <x v="225"/>
          </reference>
        </references>
      </pivotArea>
    </format>
    <format dxfId="1989">
      <pivotArea dataOnly="0" labelOnly="1" outline="0" fieldPosition="0">
        <references count="4">
          <reference field="1" count="1" selected="0">
            <x v="0"/>
          </reference>
          <reference field="5" count="1" selected="0">
            <x v="8"/>
          </reference>
          <reference field="11" count="1" selected="0">
            <x v="220"/>
          </reference>
          <reference field="12" count="1">
            <x v="228"/>
          </reference>
        </references>
      </pivotArea>
    </format>
    <format dxfId="1988">
      <pivotArea dataOnly="0" labelOnly="1" outline="0" fieldPosition="0">
        <references count="4">
          <reference field="1" count="1" selected="0">
            <x v="0"/>
          </reference>
          <reference field="5" count="1" selected="0">
            <x v="10"/>
          </reference>
          <reference field="11" count="1" selected="0">
            <x v="55"/>
          </reference>
          <reference field="12" count="1">
            <x v="76"/>
          </reference>
        </references>
      </pivotArea>
    </format>
    <format dxfId="1987">
      <pivotArea dataOnly="0" labelOnly="1" outline="0" fieldPosition="0">
        <references count="4">
          <reference field="1" count="1" selected="0">
            <x v="0"/>
          </reference>
          <reference field="5" count="1" selected="0">
            <x v="10"/>
          </reference>
          <reference field="11" count="1" selected="0">
            <x v="97"/>
          </reference>
          <reference field="12" count="1">
            <x v="75"/>
          </reference>
        </references>
      </pivotArea>
    </format>
    <format dxfId="1986">
      <pivotArea dataOnly="0" labelOnly="1" outline="0" fieldPosition="0">
        <references count="4">
          <reference field="1" count="1" selected="0">
            <x v="0"/>
          </reference>
          <reference field="5" count="1" selected="0">
            <x v="10"/>
          </reference>
          <reference field="11" count="1" selected="0">
            <x v="149"/>
          </reference>
          <reference field="12" count="1">
            <x v="77"/>
          </reference>
        </references>
      </pivotArea>
    </format>
    <format dxfId="1985">
      <pivotArea dataOnly="0" labelOnly="1" outline="0" fieldPosition="0">
        <references count="4">
          <reference field="1" count="1" selected="0">
            <x v="0"/>
          </reference>
          <reference field="5" count="1" selected="0">
            <x v="10"/>
          </reference>
          <reference field="11" count="1" selected="0">
            <x v="233"/>
          </reference>
          <reference field="12" count="1">
            <x v="235"/>
          </reference>
        </references>
      </pivotArea>
    </format>
    <format dxfId="1984">
      <pivotArea dataOnly="0" labelOnly="1" outline="0" fieldPosition="0">
        <references count="4">
          <reference field="1" count="1" selected="0">
            <x v="0"/>
          </reference>
          <reference field="5" count="1" selected="0">
            <x v="10"/>
          </reference>
          <reference field="11" count="1" selected="0">
            <x v="234"/>
          </reference>
          <reference field="12" count="1">
            <x v="236"/>
          </reference>
        </references>
      </pivotArea>
    </format>
    <format dxfId="1983">
      <pivotArea dataOnly="0" labelOnly="1" outline="0" fieldPosition="0">
        <references count="4">
          <reference field="1" count="1" selected="0">
            <x v="0"/>
          </reference>
          <reference field="5" count="1" selected="0">
            <x v="10"/>
          </reference>
          <reference field="11" count="1" selected="0">
            <x v="235"/>
          </reference>
          <reference field="12" count="1">
            <x v="237"/>
          </reference>
        </references>
      </pivotArea>
    </format>
    <format dxfId="1982">
      <pivotArea dataOnly="0" labelOnly="1" outline="0" fieldPosition="0">
        <references count="4">
          <reference field="1" count="1" selected="0">
            <x v="0"/>
          </reference>
          <reference field="5" count="1" selected="0">
            <x v="11"/>
          </reference>
          <reference field="11" count="1" selected="0">
            <x v="152"/>
          </reference>
          <reference field="12" count="1">
            <x v="133"/>
          </reference>
        </references>
      </pivotArea>
    </format>
    <format dxfId="1981">
      <pivotArea dataOnly="0" labelOnly="1" outline="0" fieldPosition="0">
        <references count="4">
          <reference field="1" count="1" selected="0">
            <x v="0"/>
          </reference>
          <reference field="5" count="1" selected="0">
            <x v="11"/>
          </reference>
          <reference field="11" count="1" selected="0">
            <x v="183"/>
          </reference>
          <reference field="12" count="1">
            <x v="78"/>
          </reference>
        </references>
      </pivotArea>
    </format>
    <format dxfId="1980">
      <pivotArea dataOnly="0" labelOnly="1" outline="0" fieldPosition="0">
        <references count="4">
          <reference field="1" count="1" selected="0">
            <x v="0"/>
          </reference>
          <reference field="5" count="1" selected="0">
            <x v="11"/>
          </reference>
          <reference field="11" count="1" selected="0">
            <x v="223"/>
          </reference>
          <reference field="12" count="1">
            <x v="231"/>
          </reference>
        </references>
      </pivotArea>
    </format>
    <format dxfId="1979">
      <pivotArea dataOnly="0" labelOnly="1" outline="0" fieldPosition="0">
        <references count="4">
          <reference field="1" count="1" selected="0">
            <x v="0"/>
          </reference>
          <reference field="5" count="1" selected="0">
            <x v="11"/>
          </reference>
          <reference field="11" count="1" selected="0">
            <x v="224"/>
          </reference>
          <reference field="12" count="1">
            <x v="232"/>
          </reference>
        </references>
      </pivotArea>
    </format>
    <format dxfId="1978">
      <pivotArea dataOnly="0" labelOnly="1" outline="0" fieldPosition="0">
        <references count="4">
          <reference field="1" count="1" selected="0">
            <x v="0"/>
          </reference>
          <reference field="5" count="1" selected="0">
            <x v="12"/>
          </reference>
          <reference field="11" count="1" selected="0">
            <x v="27"/>
          </reference>
          <reference field="12" count="1">
            <x v="118"/>
          </reference>
        </references>
      </pivotArea>
    </format>
    <format dxfId="1977">
      <pivotArea dataOnly="0" labelOnly="1" outline="0" fieldPosition="0">
        <references count="4">
          <reference field="1" count="1" selected="0">
            <x v="0"/>
          </reference>
          <reference field="5" count="1" selected="0">
            <x v="12"/>
          </reference>
          <reference field="11" count="1" selected="0">
            <x v="38"/>
          </reference>
          <reference field="12" count="1">
            <x v="167"/>
          </reference>
        </references>
      </pivotArea>
    </format>
    <format dxfId="1976">
      <pivotArea dataOnly="0" labelOnly="1" outline="0" fieldPosition="0">
        <references count="4">
          <reference field="1" count="1" selected="0">
            <x v="0"/>
          </reference>
          <reference field="5" count="1" selected="0">
            <x v="12"/>
          </reference>
          <reference field="11" count="1" selected="0">
            <x v="42"/>
          </reference>
          <reference field="12" count="1">
            <x v="117"/>
          </reference>
        </references>
      </pivotArea>
    </format>
    <format dxfId="1975">
      <pivotArea dataOnly="0" labelOnly="1" outline="0" fieldPosition="0">
        <references count="4">
          <reference field="1" count="1" selected="0">
            <x v="0"/>
          </reference>
          <reference field="5" count="1" selected="0">
            <x v="12"/>
          </reference>
          <reference field="11" count="1" selected="0">
            <x v="50"/>
          </reference>
          <reference field="12" count="1">
            <x v="170"/>
          </reference>
        </references>
      </pivotArea>
    </format>
    <format dxfId="1974">
      <pivotArea dataOnly="0" labelOnly="1" outline="0" fieldPosition="0">
        <references count="4">
          <reference field="1" count="1" selected="0">
            <x v="0"/>
          </reference>
          <reference field="5" count="1" selected="0">
            <x v="12"/>
          </reference>
          <reference field="11" count="1" selected="0">
            <x v="69"/>
          </reference>
          <reference field="12" count="1">
            <x v="70"/>
          </reference>
        </references>
      </pivotArea>
    </format>
    <format dxfId="1973">
      <pivotArea dataOnly="0" labelOnly="1" outline="0" fieldPosition="0">
        <references count="4">
          <reference field="1" count="1" selected="0">
            <x v="0"/>
          </reference>
          <reference field="5" count="1" selected="0">
            <x v="12"/>
          </reference>
          <reference field="11" count="1" selected="0">
            <x v="70"/>
          </reference>
          <reference field="12" count="1">
            <x v="68"/>
          </reference>
        </references>
      </pivotArea>
    </format>
    <format dxfId="1972">
      <pivotArea dataOnly="0" labelOnly="1" outline="0" fieldPosition="0">
        <references count="4">
          <reference field="1" count="1" selected="0">
            <x v="0"/>
          </reference>
          <reference field="5" count="1" selected="0">
            <x v="12"/>
          </reference>
          <reference field="11" count="1" selected="0">
            <x v="71"/>
          </reference>
          <reference field="12" count="1">
            <x v="69"/>
          </reference>
        </references>
      </pivotArea>
    </format>
    <format dxfId="1971">
      <pivotArea dataOnly="0" labelOnly="1" outline="0" fieldPosition="0">
        <references count="4">
          <reference field="1" count="1" selected="0">
            <x v="0"/>
          </reference>
          <reference field="5" count="1" selected="0">
            <x v="12"/>
          </reference>
          <reference field="11" count="1" selected="0">
            <x v="77"/>
          </reference>
          <reference field="12" count="1">
            <x v="63"/>
          </reference>
        </references>
      </pivotArea>
    </format>
    <format dxfId="1970">
      <pivotArea dataOnly="0" labelOnly="1" outline="0" fieldPosition="0">
        <references count="4">
          <reference field="1" count="1" selected="0">
            <x v="0"/>
          </reference>
          <reference field="5" count="1" selected="0">
            <x v="12"/>
          </reference>
          <reference field="11" count="1" selected="0">
            <x v="84"/>
          </reference>
          <reference field="12" count="1">
            <x v="61"/>
          </reference>
        </references>
      </pivotArea>
    </format>
    <format dxfId="1969">
      <pivotArea dataOnly="0" labelOnly="1" outline="0" fieldPosition="0">
        <references count="4">
          <reference field="1" count="1" selected="0">
            <x v="0"/>
          </reference>
          <reference field="5" count="1" selected="0">
            <x v="12"/>
          </reference>
          <reference field="11" count="1" selected="0">
            <x v="88"/>
          </reference>
          <reference field="12" count="1">
            <x v="62"/>
          </reference>
        </references>
      </pivotArea>
    </format>
    <format dxfId="1968">
      <pivotArea dataOnly="0" labelOnly="1" outline="0" fieldPosition="0">
        <references count="4">
          <reference field="1" count="1" selected="0">
            <x v="0"/>
          </reference>
          <reference field="5" count="1" selected="0">
            <x v="12"/>
          </reference>
          <reference field="11" count="1" selected="0">
            <x v="89"/>
          </reference>
          <reference field="12" count="1">
            <x v="168"/>
          </reference>
        </references>
      </pivotArea>
    </format>
    <format dxfId="1967">
      <pivotArea dataOnly="0" labelOnly="1" outline="0" fieldPosition="0">
        <references count="4">
          <reference field="1" count="1" selected="0">
            <x v="0"/>
          </reference>
          <reference field="5" count="1" selected="0">
            <x v="12"/>
          </reference>
          <reference field="11" count="1" selected="0">
            <x v="117"/>
          </reference>
          <reference field="12" count="1">
            <x v="55"/>
          </reference>
        </references>
      </pivotArea>
    </format>
    <format dxfId="1966">
      <pivotArea dataOnly="0" labelOnly="1" outline="0" fieldPosition="0">
        <references count="4">
          <reference field="1" count="1" selected="0">
            <x v="0"/>
          </reference>
          <reference field="5" count="1" selected="0">
            <x v="12"/>
          </reference>
          <reference field="11" count="1" selected="0">
            <x v="128"/>
          </reference>
          <reference field="12" count="1">
            <x v="60"/>
          </reference>
        </references>
      </pivotArea>
    </format>
    <format dxfId="1965">
      <pivotArea dataOnly="0" labelOnly="1" outline="0" fieldPosition="0">
        <references count="4">
          <reference field="1" count="1" selected="0">
            <x v="0"/>
          </reference>
          <reference field="5" count="1" selected="0">
            <x v="12"/>
          </reference>
          <reference field="11" count="1" selected="0">
            <x v="155"/>
          </reference>
          <reference field="12" count="1">
            <x v="122"/>
          </reference>
        </references>
      </pivotArea>
    </format>
    <format dxfId="1964">
      <pivotArea dataOnly="0" labelOnly="1" outline="0" fieldPosition="0">
        <references count="4">
          <reference field="1" count="1" selected="0">
            <x v="0"/>
          </reference>
          <reference field="5" count="1" selected="0">
            <x v="12"/>
          </reference>
          <reference field="11" count="1" selected="0">
            <x v="158"/>
          </reference>
          <reference field="12" count="1">
            <x v="71"/>
          </reference>
        </references>
      </pivotArea>
    </format>
    <format dxfId="1963">
      <pivotArea dataOnly="0" labelOnly="1" outline="0" fieldPosition="0">
        <references count="4">
          <reference field="1" count="1" selected="0">
            <x v="0"/>
          </reference>
          <reference field="5" count="1" selected="0">
            <x v="12"/>
          </reference>
          <reference field="11" count="1" selected="0">
            <x v="160"/>
          </reference>
          <reference field="12" count="1">
            <x v="119"/>
          </reference>
        </references>
      </pivotArea>
    </format>
    <format dxfId="1962">
      <pivotArea dataOnly="0" labelOnly="1" outline="0" fieldPosition="0">
        <references count="4">
          <reference field="1" count="1" selected="0">
            <x v="0"/>
          </reference>
          <reference field="5" count="1" selected="0">
            <x v="12"/>
          </reference>
          <reference field="11" count="1" selected="0">
            <x v="164"/>
          </reference>
          <reference field="12" count="1">
            <x v="64"/>
          </reference>
        </references>
      </pivotArea>
    </format>
    <format dxfId="1961">
      <pivotArea dataOnly="0" labelOnly="1" outline="0" fieldPosition="0">
        <references count="4">
          <reference field="1" count="1" selected="0">
            <x v="0"/>
          </reference>
          <reference field="5" count="1" selected="0">
            <x v="12"/>
          </reference>
          <reference field="11" count="1" selected="0">
            <x v="175"/>
          </reference>
          <reference field="12" count="1">
            <x v="72"/>
          </reference>
        </references>
      </pivotArea>
    </format>
    <format dxfId="1960">
      <pivotArea dataOnly="0" labelOnly="1" outline="0" fieldPosition="0">
        <references count="4">
          <reference field="1" count="1" selected="0">
            <x v="0"/>
          </reference>
          <reference field="5" count="1" selected="0">
            <x v="12"/>
          </reference>
          <reference field="11" count="1" selected="0">
            <x v="188"/>
          </reference>
          <reference field="12" count="1">
            <x v="59"/>
          </reference>
        </references>
      </pivotArea>
    </format>
    <format dxfId="1959">
      <pivotArea dataOnly="0" labelOnly="1" outline="0" fieldPosition="0">
        <references count="4">
          <reference field="1" count="1" selected="0">
            <x v="0"/>
          </reference>
          <reference field="5" count="1" selected="0">
            <x v="12"/>
          </reference>
          <reference field="11" count="1" selected="0">
            <x v="238"/>
          </reference>
          <reference field="12" count="1">
            <x v="240"/>
          </reference>
        </references>
      </pivotArea>
    </format>
    <format dxfId="1958">
      <pivotArea dataOnly="0" labelOnly="1" outline="0" fieldPosition="0">
        <references count="4">
          <reference field="1" count="1" selected="0">
            <x v="0"/>
          </reference>
          <reference field="5" count="1" selected="0">
            <x v="14"/>
          </reference>
          <reference field="11" count="1" selected="0">
            <x v="24"/>
          </reference>
          <reference field="12" count="1">
            <x v="11"/>
          </reference>
        </references>
      </pivotArea>
    </format>
    <format dxfId="1957">
      <pivotArea dataOnly="0" labelOnly="1" outline="0" fieldPosition="0">
        <references count="4">
          <reference field="1" count="1" selected="0">
            <x v="0"/>
          </reference>
          <reference field="5" count="1" selected="0">
            <x v="14"/>
          </reference>
          <reference field="11" count="1" selected="0">
            <x v="25"/>
          </reference>
          <reference field="12" count="1">
            <x v="9"/>
          </reference>
        </references>
      </pivotArea>
    </format>
    <format dxfId="1956">
      <pivotArea dataOnly="0" labelOnly="1" outline="0" fieldPosition="0">
        <references count="4">
          <reference field="1" count="1" selected="0">
            <x v="0"/>
          </reference>
          <reference field="5" count="1" selected="0">
            <x v="14"/>
          </reference>
          <reference field="11" count="1" selected="0">
            <x v="26"/>
          </reference>
          <reference field="12" count="1">
            <x v="10"/>
          </reference>
        </references>
      </pivotArea>
    </format>
    <format dxfId="1955">
      <pivotArea dataOnly="0" labelOnly="1" outline="0" fieldPosition="0">
        <references count="4">
          <reference field="1" count="1" selected="0">
            <x v="0"/>
          </reference>
          <reference field="5" count="1" selected="0">
            <x v="14"/>
          </reference>
          <reference field="11" count="1" selected="0">
            <x v="46"/>
          </reference>
          <reference field="12" count="1">
            <x v="17"/>
          </reference>
        </references>
      </pivotArea>
    </format>
    <format dxfId="1954">
      <pivotArea dataOnly="0" labelOnly="1" outline="0" fieldPosition="0">
        <references count="4">
          <reference field="1" count="1" selected="0">
            <x v="0"/>
          </reference>
          <reference field="5" count="1" selected="0">
            <x v="14"/>
          </reference>
          <reference field="11" count="1" selected="0">
            <x v="47"/>
          </reference>
          <reference field="12" count="1">
            <x v="18"/>
          </reference>
        </references>
      </pivotArea>
    </format>
    <format dxfId="1953">
      <pivotArea dataOnly="0" labelOnly="1" outline="0" fieldPosition="0">
        <references count="4">
          <reference field="1" count="1" selected="0">
            <x v="0"/>
          </reference>
          <reference field="5" count="1" selected="0">
            <x v="14"/>
          </reference>
          <reference field="11" count="1" selected="0">
            <x v="54"/>
          </reference>
          <reference field="12" count="1">
            <x v="12"/>
          </reference>
        </references>
      </pivotArea>
    </format>
    <format dxfId="1952">
      <pivotArea dataOnly="0" labelOnly="1" outline="0" fieldPosition="0">
        <references count="4">
          <reference field="1" count="1" selected="0">
            <x v="0"/>
          </reference>
          <reference field="5" count="1" selected="0">
            <x v="14"/>
          </reference>
          <reference field="11" count="1" selected="0">
            <x v="63"/>
          </reference>
          <reference field="12" count="1">
            <x v="14"/>
          </reference>
        </references>
      </pivotArea>
    </format>
    <format dxfId="1951">
      <pivotArea dataOnly="0" labelOnly="1" outline="0" fieldPosition="0">
        <references count="4">
          <reference field="1" count="1" selected="0">
            <x v="0"/>
          </reference>
          <reference field="5" count="1" selected="0">
            <x v="14"/>
          </reference>
          <reference field="11" count="1" selected="0">
            <x v="64"/>
          </reference>
          <reference field="12" count="1">
            <x v="13"/>
          </reference>
        </references>
      </pivotArea>
    </format>
    <format dxfId="1950">
      <pivotArea dataOnly="0" labelOnly="1" outline="0" fieldPosition="0">
        <references count="4">
          <reference field="1" count="1" selected="0">
            <x v="0"/>
          </reference>
          <reference field="5" count="1" selected="0">
            <x v="14"/>
          </reference>
          <reference field="11" count="1" selected="0">
            <x v="83"/>
          </reference>
          <reference field="12" count="1">
            <x v="15"/>
          </reference>
        </references>
      </pivotArea>
    </format>
    <format dxfId="1949">
      <pivotArea dataOnly="0" labelOnly="1" outline="0" fieldPosition="0">
        <references count="4">
          <reference field="1" count="1" selected="0">
            <x v="0"/>
          </reference>
          <reference field="5" count="1" selected="0">
            <x v="14"/>
          </reference>
          <reference field="11" count="1" selected="0">
            <x v="85"/>
          </reference>
          <reference field="12" count="1">
            <x v="7"/>
          </reference>
        </references>
      </pivotArea>
    </format>
    <format dxfId="1948">
      <pivotArea dataOnly="0" labelOnly="1" outline="0" fieldPosition="0">
        <references count="4">
          <reference field="1" count="1" selected="0">
            <x v="0"/>
          </reference>
          <reference field="5" count="1" selected="0">
            <x v="14"/>
          </reference>
          <reference field="11" count="1" selected="0">
            <x v="107"/>
          </reference>
          <reference field="12" count="1">
            <x v="19"/>
          </reference>
        </references>
      </pivotArea>
    </format>
    <format dxfId="1947">
      <pivotArea dataOnly="0" labelOnly="1" outline="0" fieldPosition="0">
        <references count="4">
          <reference field="1" count="1" selected="0">
            <x v="0"/>
          </reference>
          <reference field="5" count="1" selected="0">
            <x v="14"/>
          </reference>
          <reference field="11" count="1" selected="0">
            <x v="108"/>
          </reference>
          <reference field="12" count="1">
            <x v="20"/>
          </reference>
        </references>
      </pivotArea>
    </format>
    <format dxfId="1946">
      <pivotArea dataOnly="0" labelOnly="1" outline="0" fieldPosition="0">
        <references count="4">
          <reference field="1" count="1" selected="0">
            <x v="0"/>
          </reference>
          <reference field="5" count="1" selected="0">
            <x v="14"/>
          </reference>
          <reference field="11" count="1" selected="0">
            <x v="144"/>
          </reference>
          <reference field="12" count="1">
            <x v="23"/>
          </reference>
        </references>
      </pivotArea>
    </format>
    <format dxfId="1945">
      <pivotArea dataOnly="0" labelOnly="1" outline="0" fieldPosition="0">
        <references count="4">
          <reference field="1" count="1" selected="0">
            <x v="0"/>
          </reference>
          <reference field="5" count="1" selected="0">
            <x v="14"/>
          </reference>
          <reference field="11" count="1" selected="0">
            <x v="157"/>
          </reference>
          <reference field="12" count="1">
            <x v="1"/>
          </reference>
        </references>
      </pivotArea>
    </format>
    <format dxfId="1944">
      <pivotArea dataOnly="0" labelOnly="1" outline="0" fieldPosition="0">
        <references count="4">
          <reference field="1" count="1" selected="0">
            <x v="0"/>
          </reference>
          <reference field="5" count="1" selected="0">
            <x v="14"/>
          </reference>
          <reference field="11" count="1" selected="0">
            <x v="159"/>
          </reference>
          <reference field="12" count="1">
            <x v="136"/>
          </reference>
        </references>
      </pivotArea>
    </format>
    <format dxfId="1943">
      <pivotArea dataOnly="0" labelOnly="1" outline="0" fieldPosition="0">
        <references count="4">
          <reference field="1" count="1" selected="0">
            <x v="0"/>
          </reference>
          <reference field="5" count="1" selected="0">
            <x v="14"/>
          </reference>
          <reference field="11" count="1" selected="0">
            <x v="176"/>
          </reference>
          <reference field="12" count="1">
            <x v="5"/>
          </reference>
        </references>
      </pivotArea>
    </format>
    <format dxfId="1942">
      <pivotArea dataOnly="0" labelOnly="1" outline="0" fieldPosition="0">
        <references count="4">
          <reference field="1" count="1" selected="0">
            <x v="0"/>
          </reference>
          <reference field="5" count="1" selected="0">
            <x v="14"/>
          </reference>
          <reference field="11" count="1" selected="0">
            <x v="177"/>
          </reference>
          <reference field="12" count="1">
            <x v="6"/>
          </reference>
        </references>
      </pivotArea>
    </format>
    <format dxfId="1941">
      <pivotArea dataOnly="0" labelOnly="1" outline="0" fieldPosition="0">
        <references count="4">
          <reference field="1" count="1" selected="0">
            <x v="0"/>
          </reference>
          <reference field="5" count="1" selected="0">
            <x v="14"/>
          </reference>
          <reference field="11" count="1" selected="0">
            <x v="181"/>
          </reference>
          <reference field="12" count="1">
            <x v="8"/>
          </reference>
        </references>
      </pivotArea>
    </format>
    <format dxfId="1940">
      <pivotArea dataOnly="0" labelOnly="1" outline="0" fieldPosition="0">
        <references count="4">
          <reference field="1" count="1" selected="0">
            <x v="0"/>
          </reference>
          <reference field="5" count="1" selected="0">
            <x v="14"/>
          </reference>
          <reference field="11" count="1" selected="0">
            <x v="189"/>
          </reference>
          <reference field="12" count="1">
            <x v="0"/>
          </reference>
        </references>
      </pivotArea>
    </format>
    <format dxfId="1939">
      <pivotArea dataOnly="0" labelOnly="1" outline="0" fieldPosition="0">
        <references count="4">
          <reference field="1" count="1" selected="0">
            <x v="0"/>
          </reference>
          <reference field="5" count="1" selected="0">
            <x v="14"/>
          </reference>
          <reference field="11" count="1" selected="0">
            <x v="190"/>
          </reference>
          <reference field="12" count="1">
            <x v="3"/>
          </reference>
        </references>
      </pivotArea>
    </format>
    <format dxfId="1938">
      <pivotArea dataOnly="0" labelOnly="1" outline="0" fieldPosition="0">
        <references count="4">
          <reference field="1" count="1" selected="0">
            <x v="0"/>
          </reference>
          <reference field="5" count="1" selected="0">
            <x v="14"/>
          </reference>
          <reference field="11" count="1" selected="0">
            <x v="191"/>
          </reference>
          <reference field="12" count="1">
            <x v="2"/>
          </reference>
        </references>
      </pivotArea>
    </format>
    <format dxfId="1937">
      <pivotArea dataOnly="0" labelOnly="1" outline="0" fieldPosition="0">
        <references count="4">
          <reference field="1" count="1" selected="0">
            <x v="0"/>
          </reference>
          <reference field="5" count="1" selected="0">
            <x v="14"/>
          </reference>
          <reference field="11" count="1" selected="0">
            <x v="192"/>
          </reference>
          <reference field="12" count="1">
            <x v="4"/>
          </reference>
        </references>
      </pivotArea>
    </format>
    <format dxfId="1936">
      <pivotArea dataOnly="0" labelOnly="1" outline="0" fieldPosition="0">
        <references count="4">
          <reference field="1" count="1" selected="0">
            <x v="0"/>
          </reference>
          <reference field="5" count="1" selected="0">
            <x v="14"/>
          </reference>
          <reference field="11" count="1" selected="0">
            <x v="204"/>
          </reference>
          <reference field="12" count="1">
            <x v="21"/>
          </reference>
        </references>
      </pivotArea>
    </format>
    <format dxfId="1935">
      <pivotArea dataOnly="0" labelOnly="1" outline="0" fieldPosition="0">
        <references count="4">
          <reference field="1" count="1" selected="0">
            <x v="0"/>
          </reference>
          <reference field="5" count="1" selected="0">
            <x v="14"/>
          </reference>
          <reference field="11" count="1" selected="0">
            <x v="229"/>
          </reference>
          <reference field="12" count="1">
            <x v="22"/>
          </reference>
        </references>
      </pivotArea>
    </format>
    <format dxfId="1934">
      <pivotArea dataOnly="0" labelOnly="1" outline="0" fieldPosition="0">
        <references count="4">
          <reference field="1" count="1" selected="0">
            <x v="0"/>
          </reference>
          <reference field="5" count="1" selected="0">
            <x v="17"/>
          </reference>
          <reference field="11" count="1" selected="0">
            <x v="196"/>
          </reference>
          <reference field="12" count="1">
            <x v="74"/>
          </reference>
        </references>
      </pivotArea>
    </format>
    <format dxfId="1933">
      <pivotArea dataOnly="0" labelOnly="1" outline="0" fieldPosition="0">
        <references count="4">
          <reference field="1" count="1" selected="0">
            <x v="0"/>
          </reference>
          <reference field="5" count="1" selected="0">
            <x v="17"/>
          </reference>
          <reference field="11" count="1" selected="0">
            <x v="213"/>
          </reference>
          <reference field="12" count="1">
            <x v="221"/>
          </reference>
        </references>
      </pivotArea>
    </format>
    <format dxfId="1932">
      <pivotArea dataOnly="0" labelOnly="1" outline="0" fieldPosition="0">
        <references count="4">
          <reference field="1" count="1" selected="0">
            <x v="0"/>
          </reference>
          <reference field="5" count="1" selected="0">
            <x v="17"/>
          </reference>
          <reference field="11" count="1" selected="0">
            <x v="231"/>
          </reference>
          <reference field="12" count="1">
            <x v="234"/>
          </reference>
        </references>
      </pivotArea>
    </format>
    <format dxfId="1931">
      <pivotArea dataOnly="0" labelOnly="1" outline="0" fieldPosition="0">
        <references count="4">
          <reference field="1" count="1" selected="0">
            <x v="0"/>
          </reference>
          <reference field="5" count="1" selected="0">
            <x v="18"/>
          </reference>
          <reference field="11" count="1" selected="0">
            <x v="38"/>
          </reference>
          <reference field="12" count="1">
            <x v="169"/>
          </reference>
        </references>
      </pivotArea>
    </format>
    <format dxfId="1930">
      <pivotArea dataOnly="0" labelOnly="1" outline="0" fieldPosition="0">
        <references count="4">
          <reference field="1" count="1" selected="0">
            <x v="0"/>
          </reference>
          <reference field="5" count="1" selected="0">
            <x v="18"/>
          </reference>
          <reference field="11" count="1" selected="0">
            <x v="61"/>
          </reference>
          <reference field="12" count="1">
            <x v="130"/>
          </reference>
        </references>
      </pivotArea>
    </format>
    <format dxfId="1929">
      <pivotArea dataOnly="0" labelOnly="1" outline="0" fieldPosition="0">
        <references count="4">
          <reference field="1" count="1" selected="0">
            <x v="0"/>
          </reference>
          <reference field="5" count="1" selected="0">
            <x v="18"/>
          </reference>
          <reference field="11" count="1" selected="0">
            <x v="179"/>
          </reference>
          <reference field="12" count="1">
            <x v="66"/>
          </reference>
        </references>
      </pivotArea>
    </format>
    <format dxfId="1928">
      <pivotArea dataOnly="0" labelOnly="1" outline="0" fieldPosition="0">
        <references count="4">
          <reference field="1" count="1" selected="0">
            <x v="0"/>
          </reference>
          <reference field="5" count="1" selected="0">
            <x v="18"/>
          </reference>
          <reference field="11" count="1" selected="0">
            <x v="180"/>
          </reference>
          <reference field="12" count="1">
            <x v="67"/>
          </reference>
        </references>
      </pivotArea>
    </format>
    <format dxfId="1927">
      <pivotArea dataOnly="0" labelOnly="1" outline="0" fieldPosition="0">
        <references count="4">
          <reference field="1" count="1" selected="0">
            <x v="0"/>
          </reference>
          <reference field="5" count="1" selected="0">
            <x v="19"/>
          </reference>
          <reference field="11" count="1" selected="0">
            <x v="185"/>
          </reference>
          <reference field="12" count="1">
            <x v="175"/>
          </reference>
        </references>
      </pivotArea>
    </format>
    <format dxfId="1926">
      <pivotArea dataOnly="0" labelOnly="1" outline="0" fieldPosition="0">
        <references count="4">
          <reference field="1" count="1" selected="0">
            <x v="0"/>
          </reference>
          <reference field="5" count="1" selected="0">
            <x v="19"/>
          </reference>
          <reference field="11" count="1" selected="0">
            <x v="236"/>
          </reference>
          <reference field="12" count="1">
            <x v="238"/>
          </reference>
        </references>
      </pivotArea>
    </format>
    <format dxfId="1925">
      <pivotArea dataOnly="0" labelOnly="1" outline="0" fieldPosition="0">
        <references count="4">
          <reference field="1" count="1" selected="0">
            <x v="0"/>
          </reference>
          <reference field="5" count="1" selected="0">
            <x v="19"/>
          </reference>
          <reference field="11" count="1" selected="0">
            <x v="237"/>
          </reference>
          <reference field="12" count="1">
            <x v="239"/>
          </reference>
        </references>
      </pivotArea>
    </format>
    <format dxfId="1924">
      <pivotArea dataOnly="0" labelOnly="1" outline="0" fieldPosition="0">
        <references count="4">
          <reference field="1" count="1" selected="0">
            <x v="0"/>
          </reference>
          <reference field="5" count="1" selected="0">
            <x v="20"/>
          </reference>
          <reference field="11" count="1" selected="0">
            <x v="17"/>
          </reference>
          <reference field="12" count="1">
            <x v="108"/>
          </reference>
        </references>
      </pivotArea>
    </format>
    <format dxfId="1923">
      <pivotArea dataOnly="0" labelOnly="1" outline="0" fieldPosition="0">
        <references count="4">
          <reference field="1" count="1" selected="0">
            <x v="0"/>
          </reference>
          <reference field="5" count="1" selected="0">
            <x v="20"/>
          </reference>
          <reference field="11" count="1" selected="0">
            <x v="33"/>
          </reference>
          <reference field="12" count="1">
            <x v="27"/>
          </reference>
        </references>
      </pivotArea>
    </format>
    <format dxfId="1922">
      <pivotArea dataOnly="0" labelOnly="1" outline="0" fieldPosition="0">
        <references count="4">
          <reference field="1" count="1" selected="0">
            <x v="0"/>
          </reference>
          <reference field="5" count="1" selected="0">
            <x v="20"/>
          </reference>
          <reference field="11" count="1" selected="0">
            <x v="34"/>
          </reference>
          <reference field="12" count="1">
            <x v="110"/>
          </reference>
        </references>
      </pivotArea>
    </format>
    <format dxfId="1921">
      <pivotArea dataOnly="0" labelOnly="1" outline="0" fieldPosition="0">
        <references count="4">
          <reference field="1" count="1" selected="0">
            <x v="0"/>
          </reference>
          <reference field="5" count="1" selected="0">
            <x v="20"/>
          </reference>
          <reference field="11" count="1" selected="0">
            <x v="44"/>
          </reference>
          <reference field="12" count="1">
            <x v="176"/>
          </reference>
        </references>
      </pivotArea>
    </format>
    <format dxfId="1920">
      <pivotArea dataOnly="0" labelOnly="1" outline="0" fieldPosition="0">
        <references count="4">
          <reference field="1" count="1" selected="0">
            <x v="0"/>
          </reference>
          <reference field="5" count="1" selected="0">
            <x v="20"/>
          </reference>
          <reference field="11" count="1" selected="0">
            <x v="48"/>
          </reference>
          <reference field="12" count="1">
            <x v="116"/>
          </reference>
        </references>
      </pivotArea>
    </format>
    <format dxfId="1919">
      <pivotArea dataOnly="0" labelOnly="1" outline="0" fieldPosition="0">
        <references count="4">
          <reference field="1" count="1" selected="0">
            <x v="0"/>
          </reference>
          <reference field="5" count="1" selected="0">
            <x v="20"/>
          </reference>
          <reference field="11" count="1" selected="0">
            <x v="75"/>
          </reference>
          <reference field="12" count="1">
            <x v="26"/>
          </reference>
        </references>
      </pivotArea>
    </format>
    <format dxfId="1918">
      <pivotArea dataOnly="0" labelOnly="1" outline="0" fieldPosition="0">
        <references count="4">
          <reference field="1" count="1" selected="0">
            <x v="0"/>
          </reference>
          <reference field="5" count="1" selected="0">
            <x v="20"/>
          </reference>
          <reference field="11" count="1" selected="0">
            <x v="76"/>
          </reference>
          <reference field="12" count="1">
            <x v="114"/>
          </reference>
        </references>
      </pivotArea>
    </format>
    <format dxfId="1917">
      <pivotArea dataOnly="0" labelOnly="1" outline="0" fieldPosition="0">
        <references count="4">
          <reference field="1" count="1" selected="0">
            <x v="0"/>
          </reference>
          <reference field="5" count="1" selected="0">
            <x v="20"/>
          </reference>
          <reference field="11" count="1" selected="0">
            <x v="78"/>
          </reference>
          <reference field="12" count="1">
            <x v="30"/>
          </reference>
        </references>
      </pivotArea>
    </format>
    <format dxfId="1916">
      <pivotArea dataOnly="0" labelOnly="1" outline="0" fieldPosition="0">
        <references count="4">
          <reference field="1" count="1" selected="0">
            <x v="0"/>
          </reference>
          <reference field="5" count="1" selected="0">
            <x v="20"/>
          </reference>
          <reference field="11" count="1" selected="0">
            <x v="79"/>
          </reference>
          <reference field="12" count="1">
            <x v="28"/>
          </reference>
        </references>
      </pivotArea>
    </format>
    <format dxfId="1915">
      <pivotArea dataOnly="0" labelOnly="1" outline="0" fieldPosition="0">
        <references count="4">
          <reference field="1" count="1" selected="0">
            <x v="0"/>
          </reference>
          <reference field="5" count="1" selected="0">
            <x v="20"/>
          </reference>
          <reference field="11" count="1" selected="0">
            <x v="80"/>
          </reference>
          <reference field="12" count="1">
            <x v="39"/>
          </reference>
        </references>
      </pivotArea>
    </format>
    <format dxfId="1914">
      <pivotArea dataOnly="0" labelOnly="1" outline="0" fieldPosition="0">
        <references count="4">
          <reference field="1" count="1" selected="0">
            <x v="0"/>
          </reference>
          <reference field="5" count="1" selected="0">
            <x v="20"/>
          </reference>
          <reference field="11" count="1" selected="0">
            <x v="81"/>
          </reference>
          <reference field="12" count="1">
            <x v="38"/>
          </reference>
        </references>
      </pivotArea>
    </format>
    <format dxfId="1913">
      <pivotArea dataOnly="0" labelOnly="1" outline="0" fieldPosition="0">
        <references count="4">
          <reference field="1" count="1" selected="0">
            <x v="0"/>
          </reference>
          <reference field="5" count="1" selected="0">
            <x v="20"/>
          </reference>
          <reference field="11" count="1" selected="0">
            <x v="151"/>
          </reference>
          <reference field="12" count="1">
            <x v="32"/>
          </reference>
        </references>
      </pivotArea>
    </format>
    <format dxfId="1912">
      <pivotArea dataOnly="0" labelOnly="1" outline="0" fieldPosition="0">
        <references count="4">
          <reference field="1" count="1" selected="0">
            <x v="0"/>
          </reference>
          <reference field="5" count="1" selected="0">
            <x v="20"/>
          </reference>
          <reference field="11" count="1" selected="0">
            <x v="165"/>
          </reference>
          <reference field="12" count="1">
            <x v="135"/>
          </reference>
        </references>
      </pivotArea>
    </format>
    <format dxfId="1911">
      <pivotArea dataOnly="0" labelOnly="1" outline="0" fieldPosition="0">
        <references count="4">
          <reference field="1" count="1" selected="0">
            <x v="0"/>
          </reference>
          <reference field="5" count="1" selected="0">
            <x v="20"/>
          </reference>
          <reference field="11" count="1" selected="0">
            <x v="166"/>
          </reference>
          <reference field="12" count="1">
            <x v="31"/>
          </reference>
        </references>
      </pivotArea>
    </format>
    <format dxfId="1910">
      <pivotArea dataOnly="0" labelOnly="1" outline="0" fieldPosition="0">
        <references count="4">
          <reference field="1" count="1" selected="0">
            <x v="0"/>
          </reference>
          <reference field="5" count="1" selected="0">
            <x v="20"/>
          </reference>
          <reference field="11" count="1" selected="0">
            <x v="167"/>
          </reference>
          <reference field="12" count="1">
            <x v="24"/>
          </reference>
        </references>
      </pivotArea>
    </format>
    <format dxfId="1909">
      <pivotArea dataOnly="0" labelOnly="1" outline="0" fieldPosition="0">
        <references count="4">
          <reference field="1" count="1" selected="0">
            <x v="0"/>
          </reference>
          <reference field="5" count="1" selected="0">
            <x v="20"/>
          </reference>
          <reference field="11" count="1" selected="0">
            <x v="168"/>
          </reference>
          <reference field="12" count="1">
            <x v="29"/>
          </reference>
        </references>
      </pivotArea>
    </format>
    <format dxfId="1908">
      <pivotArea dataOnly="0" labelOnly="1" outline="0" fieldPosition="0">
        <references count="4">
          <reference field="1" count="1" selected="0">
            <x v="0"/>
          </reference>
          <reference field="5" count="1" selected="0">
            <x v="20"/>
          </reference>
          <reference field="11" count="1" selected="0">
            <x v="169"/>
          </reference>
          <reference field="12" count="1">
            <x v="25"/>
          </reference>
        </references>
      </pivotArea>
    </format>
    <format dxfId="1907">
      <pivotArea dataOnly="0" labelOnly="1" outline="0" fieldPosition="0">
        <references count="4">
          <reference field="1" count="1" selected="0">
            <x v="0"/>
          </reference>
          <reference field="5" count="1" selected="0">
            <x v="20"/>
          </reference>
          <reference field="11" count="1" selected="0">
            <x v="178"/>
          </reference>
          <reference field="12" count="1">
            <x v="40"/>
          </reference>
        </references>
      </pivotArea>
    </format>
    <format dxfId="1906">
      <pivotArea dataOnly="0" labelOnly="1" outline="0" fieldPosition="0">
        <references count="4">
          <reference field="1" count="1" selected="0">
            <x v="0"/>
          </reference>
          <reference field="5" count="1" selected="0">
            <x v="20"/>
          </reference>
          <reference field="11" count="1" selected="0">
            <x v="193"/>
          </reference>
          <reference field="12" count="1">
            <x v="36"/>
          </reference>
        </references>
      </pivotArea>
    </format>
    <format dxfId="1905">
      <pivotArea dataOnly="0" labelOnly="1" outline="0" fieldPosition="0">
        <references count="4">
          <reference field="1" count="1" selected="0">
            <x v="0"/>
          </reference>
          <reference field="5" count="1" selected="0">
            <x v="20"/>
          </reference>
          <reference field="11" count="1" selected="0">
            <x v="197"/>
          </reference>
          <reference field="12" count="1">
            <x v="37"/>
          </reference>
        </references>
      </pivotArea>
    </format>
    <format dxfId="1904">
      <pivotArea dataOnly="0" labelOnly="1" outline="0" fieldPosition="0">
        <references count="4">
          <reference field="1" count="1" selected="0">
            <x v="0"/>
          </reference>
          <reference field="5" count="1" selected="0">
            <x v="20"/>
          </reference>
          <reference field="11" count="1" selected="0">
            <x v="201"/>
          </reference>
          <reference field="12" count="1">
            <x v="111"/>
          </reference>
        </references>
      </pivotArea>
    </format>
    <format dxfId="1903">
      <pivotArea dataOnly="0" labelOnly="1" outline="0" fieldPosition="0">
        <references count="4">
          <reference field="1" count="1" selected="0">
            <x v="0"/>
          </reference>
          <reference field="5" count="1" selected="0">
            <x v="20"/>
          </reference>
          <reference field="11" count="1" selected="0">
            <x v="228"/>
          </reference>
          <reference field="12" count="1">
            <x v="115"/>
          </reference>
        </references>
      </pivotArea>
    </format>
    <format dxfId="1902">
      <pivotArea dataOnly="0" labelOnly="1" outline="0" fieldPosition="0">
        <references count="4">
          <reference field="1" count="1" selected="0">
            <x v="0"/>
          </reference>
          <reference field="5" count="1" selected="0">
            <x v="20"/>
          </reference>
          <reference field="11" count="1" selected="0">
            <x v="230"/>
          </reference>
          <reference field="12" count="1">
            <x v="107"/>
          </reference>
        </references>
      </pivotArea>
    </format>
    <format dxfId="1901">
      <pivotArea dataOnly="0" labelOnly="1" outline="0" fieldPosition="0">
        <references count="4">
          <reference field="1" count="1" selected="0">
            <x v="1"/>
          </reference>
          <reference field="5" count="1" selected="0">
            <x v="3"/>
          </reference>
          <reference field="11" count="1" selected="0">
            <x v="148"/>
          </reference>
          <reference field="12" count="1">
            <x v="212"/>
          </reference>
        </references>
      </pivotArea>
    </format>
    <format dxfId="1900">
      <pivotArea dataOnly="0" labelOnly="1" outline="0" fieldPosition="0">
        <references count="4">
          <reference field="1" count="1" selected="0">
            <x v="1"/>
          </reference>
          <reference field="5" count="1" selected="0">
            <x v="3"/>
          </reference>
          <reference field="11" count="1" selected="0">
            <x v="232"/>
          </reference>
          <reference field="12" count="1">
            <x v="233"/>
          </reference>
        </references>
      </pivotArea>
    </format>
    <format dxfId="1899">
      <pivotArea dataOnly="0" labelOnly="1" outline="0" fieldPosition="0">
        <references count="4">
          <reference field="1" count="1" selected="0">
            <x v="1"/>
          </reference>
          <reference field="5" count="1" selected="0">
            <x v="3"/>
          </reference>
          <reference field="11" count="1" selected="0">
            <x v="247"/>
          </reference>
          <reference field="12" count="1">
            <x v="250"/>
          </reference>
        </references>
      </pivotArea>
    </format>
    <format dxfId="1898">
      <pivotArea dataOnly="0" labelOnly="1" outline="0" fieldPosition="0">
        <references count="4">
          <reference field="1" count="1" selected="0">
            <x v="1"/>
          </reference>
          <reference field="5" count="1" selected="0">
            <x v="6"/>
          </reference>
          <reference field="11" count="1" selected="0">
            <x v="51"/>
          </reference>
          <reference field="12" count="1">
            <x v="203"/>
          </reference>
        </references>
      </pivotArea>
    </format>
    <format dxfId="1897">
      <pivotArea dataOnly="0" labelOnly="1" outline="0" fieldPosition="0">
        <references count="4">
          <reference field="1" count="1" selected="0">
            <x v="1"/>
          </reference>
          <reference field="5" count="1" selected="0">
            <x v="6"/>
          </reference>
          <reference field="11" count="1" selected="0">
            <x v="52"/>
          </reference>
          <reference field="12" count="1">
            <x v="204"/>
          </reference>
        </references>
      </pivotArea>
    </format>
    <format dxfId="1896">
      <pivotArea dataOnly="0" labelOnly="1" outline="0" fieldPosition="0">
        <references count="4">
          <reference field="1" count="1" selected="0">
            <x v="1"/>
          </reference>
          <reference field="5" count="1" selected="0">
            <x v="6"/>
          </reference>
          <reference field="11" count="1" selected="0">
            <x v="53"/>
          </reference>
          <reference field="12" count="1">
            <x v="205"/>
          </reference>
        </references>
      </pivotArea>
    </format>
    <format dxfId="1895">
      <pivotArea dataOnly="0" labelOnly="1" outline="0" fieldPosition="0">
        <references count="4">
          <reference field="1" count="1" selected="0">
            <x v="1"/>
          </reference>
          <reference field="5" count="1" selected="0">
            <x v="6"/>
          </reference>
          <reference field="11" count="1" selected="0">
            <x v="116"/>
          </reference>
          <reference field="12" count="1">
            <x v="206"/>
          </reference>
        </references>
      </pivotArea>
    </format>
    <format dxfId="1894">
      <pivotArea dataOnly="0" labelOnly="1" outline="0" fieldPosition="0">
        <references count="4">
          <reference field="1" count="1" selected="0">
            <x v="1"/>
          </reference>
          <reference field="5" count="1" selected="0">
            <x v="6"/>
          </reference>
          <reference field="11" count="1" selected="0">
            <x v="123"/>
          </reference>
          <reference field="12" count="1">
            <x v="196"/>
          </reference>
        </references>
      </pivotArea>
    </format>
    <format dxfId="1893">
      <pivotArea dataOnly="0" labelOnly="1" outline="0" fieldPosition="0">
        <references count="4">
          <reference field="1" count="1" selected="0">
            <x v="1"/>
          </reference>
          <reference field="5" count="1" selected="0">
            <x v="6"/>
          </reference>
          <reference field="11" count="1" selected="0">
            <x v="137"/>
          </reference>
          <reference field="12" count="1">
            <x v="197"/>
          </reference>
        </references>
      </pivotArea>
    </format>
    <format dxfId="1892">
      <pivotArea dataOnly="0" labelOnly="1" outline="0" fieldPosition="0">
        <references count="4">
          <reference field="1" count="1" selected="0">
            <x v="1"/>
          </reference>
          <reference field="5" count="1" selected="0">
            <x v="6"/>
          </reference>
          <reference field="11" count="1" selected="0">
            <x v="208"/>
          </reference>
          <reference field="12" count="1">
            <x v="208"/>
          </reference>
        </references>
      </pivotArea>
    </format>
    <format dxfId="1891">
      <pivotArea dataOnly="0" labelOnly="1" outline="0" fieldPosition="0">
        <references count="4">
          <reference field="1" count="1" selected="0">
            <x v="1"/>
          </reference>
          <reference field="5" count="1" selected="0">
            <x v="6"/>
          </reference>
          <reference field="11" count="1" selected="0">
            <x v="221"/>
          </reference>
          <reference field="12" count="1">
            <x v="229"/>
          </reference>
        </references>
      </pivotArea>
    </format>
    <format dxfId="1890">
      <pivotArea dataOnly="0" labelOnly="1" outline="0" fieldPosition="0">
        <references count="4">
          <reference field="1" count="1" selected="0">
            <x v="1"/>
          </reference>
          <reference field="5" count="1" selected="0">
            <x v="6"/>
          </reference>
          <reference field="11" count="1" selected="0">
            <x v="239"/>
          </reference>
          <reference field="12" count="1">
            <x v="241"/>
          </reference>
        </references>
      </pivotArea>
    </format>
    <format dxfId="1889">
      <pivotArea dataOnly="0" labelOnly="1" outline="0" fieldPosition="0">
        <references count="4">
          <reference field="1" count="1" selected="0">
            <x v="1"/>
          </reference>
          <reference field="5" count="1" selected="0">
            <x v="6"/>
          </reference>
          <reference field="11" count="1" selected="0">
            <x v="241"/>
          </reference>
          <reference field="12" count="1">
            <x v="244"/>
          </reference>
        </references>
      </pivotArea>
    </format>
    <format dxfId="1888">
      <pivotArea dataOnly="0" labelOnly="1" outline="0" fieldPosition="0">
        <references count="4">
          <reference field="1" count="1" selected="0">
            <x v="1"/>
          </reference>
          <reference field="5" count="1" selected="0">
            <x v="6"/>
          </reference>
          <reference field="11" count="1" selected="0">
            <x v="244"/>
          </reference>
          <reference field="12" count="1">
            <x v="249"/>
          </reference>
        </references>
      </pivotArea>
    </format>
    <format dxfId="1887">
      <pivotArea dataOnly="0" labelOnly="1" outline="0" fieldPosition="0">
        <references count="4">
          <reference field="1" count="1" selected="0">
            <x v="1"/>
          </reference>
          <reference field="5" count="1" selected="0">
            <x v="6"/>
          </reference>
          <reference field="11" count="1" selected="0">
            <x v="248"/>
          </reference>
          <reference field="12" count="1">
            <x v="251"/>
          </reference>
        </references>
      </pivotArea>
    </format>
    <format dxfId="1886">
      <pivotArea dataOnly="0" labelOnly="1" outline="0" fieldPosition="0">
        <references count="4">
          <reference field="1" count="1" selected="0">
            <x v="1"/>
          </reference>
          <reference field="5" count="1" selected="0">
            <x v="9"/>
          </reference>
          <reference field="11" count="1" selected="0">
            <x v="95"/>
          </reference>
          <reference field="12" count="1">
            <x v="198"/>
          </reference>
        </references>
      </pivotArea>
    </format>
    <format dxfId="1885">
      <pivotArea dataOnly="0" labelOnly="1" outline="0" fieldPosition="0">
        <references count="4">
          <reference field="1" count="1" selected="0">
            <x v="1"/>
          </reference>
          <reference field="5" count="1" selected="0">
            <x v="9"/>
          </reference>
          <reference field="11" count="1" selected="0">
            <x v="96"/>
          </reference>
          <reference field="12" count="1">
            <x v="213"/>
          </reference>
        </references>
      </pivotArea>
    </format>
    <format dxfId="1884">
      <pivotArea dataOnly="0" labelOnly="1" outline="0" fieldPosition="0">
        <references count="4">
          <reference field="1" count="1" selected="0">
            <x v="1"/>
          </reference>
          <reference field="5" count="1" selected="0">
            <x v="9"/>
          </reference>
          <reference field="11" count="1" selected="0">
            <x v="246"/>
          </reference>
          <reference field="12" count="1">
            <x v="246"/>
          </reference>
        </references>
      </pivotArea>
    </format>
    <format dxfId="1883">
      <pivotArea dataOnly="0" labelOnly="1" outline="0" fieldPosition="0">
        <references count="4">
          <reference field="1" count="1" selected="0">
            <x v="1"/>
          </reference>
          <reference field="5" count="1" selected="0">
            <x v="13"/>
          </reference>
          <reference field="11" count="1" selected="0">
            <x v="39"/>
          </reference>
          <reference field="12" count="1">
            <x v="199"/>
          </reference>
        </references>
      </pivotArea>
    </format>
    <format dxfId="1882">
      <pivotArea dataOnly="0" labelOnly="1" outline="0" fieldPosition="0">
        <references count="4">
          <reference field="1" count="1" selected="0">
            <x v="1"/>
          </reference>
          <reference field="5" count="1" selected="0">
            <x v="13"/>
          </reference>
          <reference field="11" count="1" selected="0">
            <x v="40"/>
          </reference>
          <reference field="12" count="1">
            <x v="209"/>
          </reference>
        </references>
      </pivotArea>
    </format>
    <format dxfId="1881">
      <pivotArea dataOnly="0" labelOnly="1" outline="0" fieldPosition="0">
        <references count="4">
          <reference field="1" count="1" selected="0">
            <x v="1"/>
          </reference>
          <reference field="5" count="1" selected="0">
            <x v="13"/>
          </reference>
          <reference field="11" count="1" selected="0">
            <x v="120"/>
          </reference>
          <reference field="12" count="1">
            <x v="195"/>
          </reference>
        </references>
      </pivotArea>
    </format>
    <format dxfId="1880">
      <pivotArea dataOnly="0" labelOnly="1" outline="0" fieldPosition="0">
        <references count="4">
          <reference field="1" count="1" selected="0">
            <x v="1"/>
          </reference>
          <reference field="5" count="1" selected="0">
            <x v="13"/>
          </reference>
          <reference field="11" count="1" selected="0">
            <x v="136"/>
          </reference>
          <reference field="12" count="1">
            <x v="200"/>
          </reference>
        </references>
      </pivotArea>
    </format>
    <format dxfId="1879">
      <pivotArea dataOnly="0" labelOnly="1" outline="0" fieldPosition="0">
        <references count="4">
          <reference field="1" count="1" selected="0">
            <x v="1"/>
          </reference>
          <reference field="5" count="1" selected="0">
            <x v="13"/>
          </reference>
          <reference field="11" count="1" selected="0">
            <x v="214"/>
          </reference>
          <reference field="12" count="1">
            <x v="222"/>
          </reference>
        </references>
      </pivotArea>
    </format>
    <format dxfId="1878">
      <pivotArea dataOnly="0" labelOnly="1" outline="0" fieldPosition="0">
        <references count="4">
          <reference field="1" count="1" selected="0">
            <x v="1"/>
          </reference>
          <reference field="5" count="1" selected="0">
            <x v="13"/>
          </reference>
          <reference field="11" count="1" selected="0">
            <x v="217"/>
          </reference>
          <reference field="12" count="1">
            <x v="226"/>
          </reference>
        </references>
      </pivotArea>
    </format>
    <format dxfId="1877">
      <pivotArea dataOnly="0" labelOnly="1" outline="0" fieldPosition="0">
        <references count="4">
          <reference field="1" count="1" selected="0">
            <x v="1"/>
          </reference>
          <reference field="5" count="1" selected="0">
            <x v="15"/>
          </reference>
          <reference field="11" count="1" selected="0">
            <x v="130"/>
          </reference>
          <reference field="12" count="1">
            <x v="194"/>
          </reference>
        </references>
      </pivotArea>
    </format>
    <format dxfId="1876">
      <pivotArea dataOnly="0" labelOnly="1" outline="0" fieldPosition="0">
        <references count="4">
          <reference field="1" count="1" selected="0">
            <x v="1"/>
          </reference>
          <reference field="5" count="1" selected="0">
            <x v="15"/>
          </reference>
          <reference field="11" count="1" selected="0">
            <x v="131"/>
          </reference>
          <reference field="12" count="1">
            <x v="191"/>
          </reference>
        </references>
      </pivotArea>
    </format>
    <format dxfId="1875">
      <pivotArea dataOnly="0" labelOnly="1" outline="0" fieldPosition="0">
        <references count="4">
          <reference field="1" count="1" selected="0">
            <x v="1"/>
          </reference>
          <reference field="5" count="1" selected="0">
            <x v="15"/>
          </reference>
          <reference field="11" count="1" selected="0">
            <x v="132"/>
          </reference>
          <reference field="12" count="1">
            <x v="193"/>
          </reference>
        </references>
      </pivotArea>
    </format>
    <format dxfId="1874">
      <pivotArea dataOnly="0" labelOnly="1" outline="0" fieldPosition="0">
        <references count="4">
          <reference field="1" count="1" selected="0">
            <x v="1"/>
          </reference>
          <reference field="5" count="1" selected="0">
            <x v="15"/>
          </reference>
          <reference field="11" count="1" selected="0">
            <x v="215"/>
          </reference>
          <reference field="12" count="1">
            <x v="223"/>
          </reference>
        </references>
      </pivotArea>
    </format>
    <format dxfId="1873">
      <pivotArea dataOnly="0" labelOnly="1" outline="0" fieldPosition="0">
        <references count="4">
          <reference field="1" count="1" selected="0">
            <x v="1"/>
          </reference>
          <reference field="5" count="1" selected="0">
            <x v="15"/>
          </reference>
          <reference field="11" count="1" selected="0">
            <x v="219"/>
          </reference>
          <reference field="12" count="1">
            <x v="224"/>
          </reference>
        </references>
      </pivotArea>
    </format>
    <format dxfId="1872">
      <pivotArea dataOnly="0" labelOnly="1" outline="0" fieldPosition="0">
        <references count="4">
          <reference field="1" count="1" selected="0">
            <x v="1"/>
          </reference>
          <reference field="5" count="1" selected="0">
            <x v="15"/>
          </reference>
          <reference field="11" count="1" selected="0">
            <x v="242"/>
          </reference>
          <reference field="12" count="1">
            <x v="247"/>
          </reference>
        </references>
      </pivotArea>
    </format>
    <format dxfId="1871">
      <pivotArea dataOnly="0" labelOnly="1" outline="0" fieldPosition="0">
        <references count="4">
          <reference field="1" count="1" selected="0">
            <x v="1"/>
          </reference>
          <reference field="5" count="1" selected="0">
            <x v="15"/>
          </reference>
          <reference field="11" count="1" selected="0">
            <x v="243"/>
          </reference>
          <reference field="12" count="1">
            <x v="248"/>
          </reference>
        </references>
      </pivotArea>
    </format>
    <format dxfId="1870">
      <pivotArea dataOnly="0" labelOnly="1" outline="0" fieldPosition="0">
        <references count="4">
          <reference field="1" count="1" selected="0">
            <x v="1"/>
          </reference>
          <reference field="5" count="1" selected="0">
            <x v="16"/>
          </reference>
          <reference field="11" count="1" selected="0">
            <x v="142"/>
          </reference>
          <reference field="12" count="1">
            <x v="202"/>
          </reference>
        </references>
      </pivotArea>
    </format>
    <format dxfId="1869">
      <pivotArea dataOnly="0" labelOnly="1" outline="0" fieldPosition="0">
        <references count="4">
          <reference field="1" count="1" selected="0">
            <x v="1"/>
          </reference>
          <reference field="5" count="1" selected="0">
            <x v="16"/>
          </reference>
          <reference field="11" count="1" selected="0">
            <x v="143"/>
          </reference>
          <reference field="12" count="1">
            <x v="214"/>
          </reference>
        </references>
      </pivotArea>
    </format>
    <format dxfId="1868">
      <pivotArea dataOnly="0" labelOnly="1" outline="0" fieldPosition="0">
        <references count="4">
          <reference field="1" count="1" selected="0">
            <x v="1"/>
          </reference>
          <reference field="5" count="1" selected="0">
            <x v="16"/>
          </reference>
          <reference field="11" count="1" selected="0">
            <x v="245"/>
          </reference>
          <reference field="12" count="1">
            <x v="245"/>
          </reference>
        </references>
      </pivotArea>
    </format>
    <format dxfId="1867">
      <pivotArea dataOnly="0" labelOnly="1" outline="0" fieldPosition="0">
        <references count="5">
          <reference field="1" count="1" selected="0">
            <x v="0"/>
          </reference>
          <reference field="5" count="1" selected="0">
            <x v="0"/>
          </reference>
          <reference field="11" count="1" selected="0">
            <x v="3"/>
          </reference>
          <reference field="12" count="1" selected="0">
            <x v="49"/>
          </reference>
          <reference field="21" count="1">
            <x v="0"/>
          </reference>
        </references>
      </pivotArea>
    </format>
    <format dxfId="1866">
      <pivotArea dataOnly="0" labelOnly="1" outline="0" fieldPosition="0">
        <references count="5">
          <reference field="1" count="1" selected="0">
            <x v="0"/>
          </reference>
          <reference field="5" count="1" selected="0">
            <x v="0"/>
          </reference>
          <reference field="11" count="1" selected="0">
            <x v="38"/>
          </reference>
          <reference field="12" count="1" selected="0">
            <x v="137"/>
          </reference>
          <reference field="21" count="1">
            <x v="1"/>
          </reference>
        </references>
      </pivotArea>
    </format>
    <format dxfId="1865">
      <pivotArea dataOnly="0" labelOnly="1" outline="0" fieldPosition="0">
        <references count="5">
          <reference field="1" count="1" selected="0">
            <x v="0"/>
          </reference>
          <reference field="5" count="1" selected="0">
            <x v="0"/>
          </reference>
          <reference field="11" count="1" selected="0">
            <x v="43"/>
          </reference>
          <reference field="12" count="1" selected="0">
            <x v="51"/>
          </reference>
          <reference field="21" count="1">
            <x v="0"/>
          </reference>
        </references>
      </pivotArea>
    </format>
    <format dxfId="1864">
      <pivotArea dataOnly="0" labelOnly="1" outline="0" fieldPosition="0">
        <references count="5">
          <reference field="1" count="1" selected="0">
            <x v="0"/>
          </reference>
          <reference field="5" count="1" selected="0">
            <x v="1"/>
          </reference>
          <reference field="11" count="1" selected="0">
            <x v="21"/>
          </reference>
          <reference field="12" count="1" selected="0">
            <x v="41"/>
          </reference>
          <reference field="21" count="1">
            <x v="0"/>
          </reference>
        </references>
      </pivotArea>
    </format>
    <format dxfId="1863">
      <pivotArea dataOnly="0" labelOnly="1" outline="0" fieldPosition="0">
        <references count="5">
          <reference field="1" count="1" selected="0">
            <x v="0"/>
          </reference>
          <reference field="5" count="1" selected="0">
            <x v="1"/>
          </reference>
          <reference field="11" count="1" selected="0">
            <x v="59"/>
          </reference>
          <reference field="12" count="1" selected="0">
            <x v="44"/>
          </reference>
          <reference field="21" count="1">
            <x v="1"/>
          </reference>
        </references>
      </pivotArea>
    </format>
    <format dxfId="1862">
      <pivotArea dataOnly="0" labelOnly="1" outline="0" fieldPosition="0">
        <references count="5">
          <reference field="1" count="1" selected="0">
            <x v="0"/>
          </reference>
          <reference field="5" count="1" selected="0">
            <x v="1"/>
          </reference>
          <reference field="11" count="1" selected="0">
            <x v="65"/>
          </reference>
          <reference field="12" count="1" selected="0">
            <x v="165"/>
          </reference>
          <reference field="21" count="1">
            <x v="0"/>
          </reference>
        </references>
      </pivotArea>
    </format>
    <format dxfId="1861">
      <pivotArea dataOnly="0" labelOnly="1" outline="0" fieldPosition="0">
        <references count="5">
          <reference field="1" count="1" selected="0">
            <x v="0"/>
          </reference>
          <reference field="5" count="1" selected="0">
            <x v="2"/>
          </reference>
          <reference field="11" count="1" selected="0">
            <x v="1"/>
          </reference>
          <reference field="12" count="1" selected="0">
            <x v="150"/>
          </reference>
          <reference field="21" count="1">
            <x v="0"/>
          </reference>
        </references>
      </pivotArea>
    </format>
    <format dxfId="1860">
      <pivotArea dataOnly="0" labelOnly="1" outline="0" fieldPosition="0">
        <references count="5">
          <reference field="1" count="1" selected="0">
            <x v="0"/>
          </reference>
          <reference field="5" count="1" selected="0">
            <x v="5"/>
          </reference>
          <reference field="11" count="1" selected="0">
            <x v="56"/>
          </reference>
          <reference field="12" count="1" selected="0">
            <x v="73"/>
          </reference>
          <reference field="21" count="1">
            <x v="0"/>
          </reference>
        </references>
      </pivotArea>
    </format>
    <format dxfId="1859">
      <pivotArea dataOnly="0" labelOnly="1" outline="0" fieldPosition="0">
        <references count="5">
          <reference field="1" count="1" selected="0">
            <x v="0"/>
          </reference>
          <reference field="5" count="1" selected="0">
            <x v="8"/>
          </reference>
          <reference field="11" count="1" selected="0">
            <x v="18"/>
          </reference>
          <reference field="12" count="1" selected="0">
            <x v="121"/>
          </reference>
          <reference field="21" count="1">
            <x v="0"/>
          </reference>
        </references>
      </pivotArea>
    </format>
    <format dxfId="1858">
      <pivotArea dataOnly="0" labelOnly="1" outline="0" fieldPosition="0">
        <references count="5">
          <reference field="1" count="1" selected="0">
            <x v="0"/>
          </reference>
          <reference field="5" count="1" selected="0">
            <x v="8"/>
          </reference>
          <reference field="11" count="1" selected="0">
            <x v="38"/>
          </reference>
          <reference field="12" count="1" selected="0">
            <x v="166"/>
          </reference>
          <reference field="21" count="1">
            <x v="1"/>
          </reference>
        </references>
      </pivotArea>
    </format>
    <format dxfId="1857">
      <pivotArea dataOnly="0" labelOnly="1" outline="0" fieldPosition="0">
        <references count="5">
          <reference field="1" count="1" selected="0">
            <x v="0"/>
          </reference>
          <reference field="5" count="1" selected="0">
            <x v="8"/>
          </reference>
          <reference field="11" count="1" selected="0">
            <x v="60"/>
          </reference>
          <reference field="12" count="1" selected="0">
            <x v="120"/>
          </reference>
          <reference field="21" count="1">
            <x v="0"/>
          </reference>
        </references>
      </pivotArea>
    </format>
    <format dxfId="1856">
      <pivotArea dataOnly="0" labelOnly="1" outline="0" fieldPosition="0">
        <references count="5">
          <reference field="1" count="1" selected="0">
            <x v="0"/>
          </reference>
          <reference field="5" count="1" selected="0">
            <x v="8"/>
          </reference>
          <reference field="11" count="1" selected="0">
            <x v="92"/>
          </reference>
          <reference field="12" count="1" selected="0">
            <x v="125"/>
          </reference>
          <reference field="21" count="1">
            <x v="1"/>
          </reference>
        </references>
      </pivotArea>
    </format>
    <format dxfId="1855">
      <pivotArea dataOnly="0" labelOnly="1" outline="0" fieldPosition="0">
        <references count="5">
          <reference field="1" count="1" selected="0">
            <x v="0"/>
          </reference>
          <reference field="5" count="1" selected="0">
            <x v="8"/>
          </reference>
          <reference field="11" count="1" selected="0">
            <x v="98"/>
          </reference>
          <reference field="12" count="1" selected="0">
            <x v="65"/>
          </reference>
          <reference field="21" count="1">
            <x v="0"/>
          </reference>
        </references>
      </pivotArea>
    </format>
    <format dxfId="1854">
      <pivotArea dataOnly="0" labelOnly="1" outline="0" fieldPosition="0">
        <references count="5">
          <reference field="1" count="1" selected="0">
            <x v="0"/>
          </reference>
          <reference field="5" count="1" selected="0">
            <x v="10"/>
          </reference>
          <reference field="11" count="1" selected="0">
            <x v="55"/>
          </reference>
          <reference field="12" count="1" selected="0">
            <x v="76"/>
          </reference>
          <reference field="21" count="1">
            <x v="0"/>
          </reference>
        </references>
      </pivotArea>
    </format>
    <format dxfId="1853">
      <pivotArea dataOnly="0" labelOnly="1" outline="0" fieldPosition="0">
        <references count="5">
          <reference field="1" count="1" selected="0">
            <x v="0"/>
          </reference>
          <reference field="5" count="1" selected="0">
            <x v="10"/>
          </reference>
          <reference field="11" count="1" selected="0">
            <x v="233"/>
          </reference>
          <reference field="12" count="1" selected="0">
            <x v="235"/>
          </reference>
          <reference field="21" count="1">
            <x v="1"/>
          </reference>
        </references>
      </pivotArea>
    </format>
    <format dxfId="1852">
      <pivotArea dataOnly="0" labelOnly="1" outline="0" fieldPosition="0">
        <references count="5">
          <reference field="1" count="1" selected="0">
            <x v="0"/>
          </reference>
          <reference field="5" count="1" selected="0">
            <x v="10"/>
          </reference>
          <reference field="11" count="1" selected="0">
            <x v="234"/>
          </reference>
          <reference field="12" count="1" selected="0">
            <x v="236"/>
          </reference>
          <reference field="21" count="1">
            <x v="0"/>
          </reference>
        </references>
      </pivotArea>
    </format>
    <format dxfId="1851">
      <pivotArea dataOnly="0" labelOnly="1" outline="0" fieldPosition="0">
        <references count="5">
          <reference field="1" count="1" selected="0">
            <x v="0"/>
          </reference>
          <reference field="5" count="1" selected="0">
            <x v="11"/>
          </reference>
          <reference field="11" count="1" selected="0">
            <x v="152"/>
          </reference>
          <reference field="12" count="1" selected="0">
            <x v="133"/>
          </reference>
          <reference field="21" count="1">
            <x v="0"/>
          </reference>
        </references>
      </pivotArea>
    </format>
    <format dxfId="1850">
      <pivotArea dataOnly="0" labelOnly="1" outline="0" fieldPosition="0">
        <references count="5">
          <reference field="1" count="1" selected="0">
            <x v="0"/>
          </reference>
          <reference field="5" count="1" selected="0">
            <x v="11"/>
          </reference>
          <reference field="11" count="1" selected="0">
            <x v="223"/>
          </reference>
          <reference field="12" count="1" selected="0">
            <x v="231"/>
          </reference>
          <reference field="21" count="1">
            <x v="1"/>
          </reference>
        </references>
      </pivotArea>
    </format>
    <format dxfId="1849">
      <pivotArea dataOnly="0" labelOnly="1" outline="0" fieldPosition="0">
        <references count="5">
          <reference field="1" count="1" selected="0">
            <x v="0"/>
          </reference>
          <reference field="5" count="1" selected="0">
            <x v="12"/>
          </reference>
          <reference field="11" count="1" selected="0">
            <x v="27"/>
          </reference>
          <reference field="12" count="1" selected="0">
            <x v="118"/>
          </reference>
          <reference field="21" count="1">
            <x v="0"/>
          </reference>
        </references>
      </pivotArea>
    </format>
    <format dxfId="1848">
      <pivotArea dataOnly="0" labelOnly="1" outline="0" fieldPosition="0">
        <references count="5">
          <reference field="1" count="1" selected="0">
            <x v="0"/>
          </reference>
          <reference field="5" count="1" selected="0">
            <x v="12"/>
          </reference>
          <reference field="11" count="1" selected="0">
            <x v="38"/>
          </reference>
          <reference field="12" count="1" selected="0">
            <x v="167"/>
          </reference>
          <reference field="21" count="1">
            <x v="1"/>
          </reference>
        </references>
      </pivotArea>
    </format>
    <format dxfId="1847">
      <pivotArea dataOnly="0" labelOnly="1" outline="0" fieldPosition="0">
        <references count="5">
          <reference field="1" count="1" selected="0">
            <x v="0"/>
          </reference>
          <reference field="5" count="1" selected="0">
            <x v="12"/>
          </reference>
          <reference field="11" count="1" selected="0">
            <x v="42"/>
          </reference>
          <reference field="12" count="1" selected="0">
            <x v="117"/>
          </reference>
          <reference field="21" count="1">
            <x v="0"/>
          </reference>
        </references>
      </pivotArea>
    </format>
    <format dxfId="1846">
      <pivotArea dataOnly="0" labelOnly="1" outline="0" fieldPosition="0">
        <references count="5">
          <reference field="1" count="1" selected="0">
            <x v="0"/>
          </reference>
          <reference field="5" count="1" selected="0">
            <x v="12"/>
          </reference>
          <reference field="11" count="1" selected="0">
            <x v="50"/>
          </reference>
          <reference field="12" count="1" selected="0">
            <x v="170"/>
          </reference>
          <reference field="21" count="1">
            <x v="1"/>
          </reference>
        </references>
      </pivotArea>
    </format>
    <format dxfId="1845">
      <pivotArea dataOnly="0" labelOnly="1" outline="0" fieldPosition="0">
        <references count="5">
          <reference field="1" count="1" selected="0">
            <x v="0"/>
          </reference>
          <reference field="5" count="1" selected="0">
            <x v="12"/>
          </reference>
          <reference field="11" count="1" selected="0">
            <x v="69"/>
          </reference>
          <reference field="12" count="1" selected="0">
            <x v="70"/>
          </reference>
          <reference field="21" count="1">
            <x v="0"/>
          </reference>
        </references>
      </pivotArea>
    </format>
    <format dxfId="1844">
      <pivotArea dataOnly="0" labelOnly="1" outline="0" fieldPosition="0">
        <references count="5">
          <reference field="1" count="1" selected="0">
            <x v="0"/>
          </reference>
          <reference field="5" count="1" selected="0">
            <x v="12"/>
          </reference>
          <reference field="11" count="1" selected="0">
            <x v="77"/>
          </reference>
          <reference field="12" count="1" selected="0">
            <x v="63"/>
          </reference>
          <reference field="21" count="1">
            <x v="1"/>
          </reference>
        </references>
      </pivotArea>
    </format>
    <format dxfId="1843">
      <pivotArea dataOnly="0" labelOnly="1" outline="0" fieldPosition="0">
        <references count="5">
          <reference field="1" count="1" selected="0">
            <x v="0"/>
          </reference>
          <reference field="5" count="1" selected="0">
            <x v="12"/>
          </reference>
          <reference field="11" count="1" selected="0">
            <x v="84"/>
          </reference>
          <reference field="12" count="1" selected="0">
            <x v="61"/>
          </reference>
          <reference field="21" count="1">
            <x v="0"/>
          </reference>
        </references>
      </pivotArea>
    </format>
    <format dxfId="1842">
      <pivotArea dataOnly="0" labelOnly="1" outline="0" fieldPosition="0">
        <references count="5">
          <reference field="1" count="1" selected="0">
            <x v="0"/>
          </reference>
          <reference field="5" count="1" selected="0">
            <x v="12"/>
          </reference>
          <reference field="11" count="1" selected="0">
            <x v="88"/>
          </reference>
          <reference field="12" count="1" selected="0">
            <x v="62"/>
          </reference>
          <reference field="21" count="1">
            <x v="1"/>
          </reference>
        </references>
      </pivotArea>
    </format>
    <format dxfId="1841">
      <pivotArea dataOnly="0" labelOnly="1" outline="0" fieldPosition="0">
        <references count="5">
          <reference field="1" count="1" selected="0">
            <x v="0"/>
          </reference>
          <reference field="5" count="1" selected="0">
            <x v="12"/>
          </reference>
          <reference field="11" count="1" selected="0">
            <x v="117"/>
          </reference>
          <reference field="12" count="1" selected="0">
            <x v="55"/>
          </reference>
          <reference field="21" count="1">
            <x v="0"/>
          </reference>
        </references>
      </pivotArea>
    </format>
    <format dxfId="1840">
      <pivotArea dataOnly="0" labelOnly="1" outline="0" fieldPosition="0">
        <references count="5">
          <reference field="1" count="1" selected="0">
            <x v="0"/>
          </reference>
          <reference field="5" count="1" selected="0">
            <x v="12"/>
          </reference>
          <reference field="11" count="1" selected="0">
            <x v="128"/>
          </reference>
          <reference field="12" count="1" selected="0">
            <x v="60"/>
          </reference>
          <reference field="21" count="1">
            <x v="1"/>
          </reference>
        </references>
      </pivotArea>
    </format>
    <format dxfId="1839">
      <pivotArea dataOnly="0" labelOnly="1" outline="0" fieldPosition="0">
        <references count="5">
          <reference field="1" count="1" selected="0">
            <x v="0"/>
          </reference>
          <reference field="5" count="1" selected="0">
            <x v="12"/>
          </reference>
          <reference field="11" count="1" selected="0">
            <x v="155"/>
          </reference>
          <reference field="12" count="1" selected="0">
            <x v="122"/>
          </reference>
          <reference field="21" count="1">
            <x v="0"/>
          </reference>
        </references>
      </pivotArea>
    </format>
    <format dxfId="1838">
      <pivotArea dataOnly="0" labelOnly="1" outline="0" fieldPosition="0">
        <references count="5">
          <reference field="1" count="1" selected="0">
            <x v="0"/>
          </reference>
          <reference field="5" count="1" selected="0">
            <x v="12"/>
          </reference>
          <reference field="11" count="1" selected="0">
            <x v="164"/>
          </reference>
          <reference field="12" count="1" selected="0">
            <x v="64"/>
          </reference>
          <reference field="21" count="1">
            <x v="1"/>
          </reference>
        </references>
      </pivotArea>
    </format>
    <format dxfId="1837">
      <pivotArea dataOnly="0" labelOnly="1" outline="0" fieldPosition="0">
        <references count="5">
          <reference field="1" count="1" selected="0">
            <x v="0"/>
          </reference>
          <reference field="5" count="1" selected="0">
            <x v="12"/>
          </reference>
          <reference field="11" count="1" selected="0">
            <x v="175"/>
          </reference>
          <reference field="12" count="1" selected="0">
            <x v="72"/>
          </reference>
          <reference field="21" count="1">
            <x v="0"/>
          </reference>
        </references>
      </pivotArea>
    </format>
    <format dxfId="1836">
      <pivotArea dataOnly="0" labelOnly="1" outline="0" fieldPosition="0">
        <references count="5">
          <reference field="1" count="1" selected="0">
            <x v="0"/>
          </reference>
          <reference field="5" count="1" selected="0">
            <x v="12"/>
          </reference>
          <reference field="11" count="1" selected="0">
            <x v="188"/>
          </reference>
          <reference field="12" count="1" selected="0">
            <x v="59"/>
          </reference>
          <reference field="21" count="1">
            <x v="1"/>
          </reference>
        </references>
      </pivotArea>
    </format>
    <format dxfId="1835">
      <pivotArea dataOnly="0" labelOnly="1" outline="0" fieldPosition="0">
        <references count="5">
          <reference field="1" count="1" selected="0">
            <x v="0"/>
          </reference>
          <reference field="5" count="1" selected="0">
            <x v="12"/>
          </reference>
          <reference field="11" count="1" selected="0">
            <x v="238"/>
          </reference>
          <reference field="12" count="1" selected="0">
            <x v="240"/>
          </reference>
          <reference field="21" count="1">
            <x v="2"/>
          </reference>
        </references>
      </pivotArea>
    </format>
    <format dxfId="1834">
      <pivotArea dataOnly="0" labelOnly="1" outline="0" fieldPosition="0">
        <references count="5">
          <reference field="1" count="1" selected="0">
            <x v="0"/>
          </reference>
          <reference field="5" count="1" selected="0">
            <x v="14"/>
          </reference>
          <reference field="11" count="1" selected="0">
            <x v="24"/>
          </reference>
          <reference field="12" count="1" selected="0">
            <x v="11"/>
          </reference>
          <reference field="21" count="1">
            <x v="0"/>
          </reference>
        </references>
      </pivotArea>
    </format>
    <format dxfId="1833">
      <pivotArea dataOnly="0" labelOnly="1" outline="0" fieldPosition="0">
        <references count="5">
          <reference field="1" count="1" selected="0">
            <x v="0"/>
          </reference>
          <reference field="5" count="1" selected="0">
            <x v="17"/>
          </reference>
          <reference field="11" count="1" selected="0">
            <x v="196"/>
          </reference>
          <reference field="12" count="1" selected="0">
            <x v="74"/>
          </reference>
          <reference field="21" count="1">
            <x v="1"/>
          </reference>
        </references>
      </pivotArea>
    </format>
    <format dxfId="1832">
      <pivotArea dataOnly="0" labelOnly="1" outline="0" fieldPosition="0">
        <references count="5">
          <reference field="1" count="1" selected="0">
            <x v="0"/>
          </reference>
          <reference field="5" count="1" selected="0">
            <x v="17"/>
          </reference>
          <reference field="11" count="1" selected="0">
            <x v="231"/>
          </reference>
          <reference field="12" count="1" selected="0">
            <x v="234"/>
          </reference>
          <reference field="21" count="1">
            <x v="0"/>
          </reference>
        </references>
      </pivotArea>
    </format>
    <format dxfId="1831">
      <pivotArea dataOnly="0" labelOnly="1" outline="0" fieldPosition="0">
        <references count="5">
          <reference field="1" count="1" selected="0">
            <x v="0"/>
          </reference>
          <reference field="5" count="1" selected="0">
            <x v="18"/>
          </reference>
          <reference field="11" count="1" selected="0">
            <x v="38"/>
          </reference>
          <reference field="12" count="1" selected="0">
            <x v="169"/>
          </reference>
          <reference field="21" count="1">
            <x v="1"/>
          </reference>
        </references>
      </pivotArea>
    </format>
    <format dxfId="1830">
      <pivotArea dataOnly="0" labelOnly="1" outline="0" fieldPosition="0">
        <references count="5">
          <reference field="1" count="1" selected="0">
            <x v="0"/>
          </reference>
          <reference field="5" count="1" selected="0">
            <x v="18"/>
          </reference>
          <reference field="11" count="1" selected="0">
            <x v="179"/>
          </reference>
          <reference field="12" count="1" selected="0">
            <x v="66"/>
          </reference>
          <reference field="21" count="1">
            <x v="0"/>
          </reference>
        </references>
      </pivotArea>
    </format>
    <format dxfId="1829">
      <pivotArea dataOnly="0" labelOnly="1" outline="0" fieldPosition="0">
        <references count="5">
          <reference field="1" count="1" selected="0">
            <x v="0"/>
          </reference>
          <reference field="5" count="1" selected="0">
            <x v="19"/>
          </reference>
          <reference field="11" count="1" selected="0">
            <x v="185"/>
          </reference>
          <reference field="12" count="1" selected="0">
            <x v="175"/>
          </reference>
          <reference field="21" count="1">
            <x v="0"/>
          </reference>
        </references>
      </pivotArea>
    </format>
    <format dxfId="1828">
      <pivotArea dataOnly="0" labelOnly="1" outline="0" fieldPosition="0">
        <references count="5">
          <reference field="1" count="1" selected="0">
            <x v="0"/>
          </reference>
          <reference field="5" count="1" selected="0">
            <x v="20"/>
          </reference>
          <reference field="11" count="1" selected="0">
            <x v="17"/>
          </reference>
          <reference field="12" count="1" selected="0">
            <x v="108"/>
          </reference>
          <reference field="21" count="1">
            <x v="0"/>
          </reference>
        </references>
      </pivotArea>
    </format>
    <format dxfId="1827">
      <pivotArea dataOnly="0" labelOnly="1" outline="0" fieldPosition="0">
        <references count="5">
          <reference field="1" count="1" selected="0">
            <x v="0"/>
          </reference>
          <reference field="5" count="1" selected="0">
            <x v="20"/>
          </reference>
          <reference field="11" count="1" selected="0">
            <x v="44"/>
          </reference>
          <reference field="12" count="1" selected="0">
            <x v="176"/>
          </reference>
          <reference field="21" count="1">
            <x v="2"/>
          </reference>
        </references>
      </pivotArea>
    </format>
    <format dxfId="1826">
      <pivotArea dataOnly="0" labelOnly="1" outline="0" fieldPosition="0">
        <references count="5">
          <reference field="1" count="1" selected="0">
            <x v="0"/>
          </reference>
          <reference field="5" count="1" selected="0">
            <x v="20"/>
          </reference>
          <reference field="11" count="1" selected="0">
            <x v="48"/>
          </reference>
          <reference field="12" count="1" selected="0">
            <x v="116"/>
          </reference>
          <reference field="21" count="1">
            <x v="0"/>
          </reference>
        </references>
      </pivotArea>
    </format>
    <format dxfId="1825">
      <pivotArea dataOnly="0" labelOnly="1" outline="0" fieldPosition="0">
        <references count="5">
          <reference field="1" count="1" selected="0">
            <x v="1"/>
          </reference>
          <reference field="5" count="1" selected="0">
            <x v="3"/>
          </reference>
          <reference field="11" count="1" selected="0">
            <x v="148"/>
          </reference>
          <reference field="12" count="1" selected="0">
            <x v="212"/>
          </reference>
          <reference field="21" count="1">
            <x v="1"/>
          </reference>
        </references>
      </pivotArea>
    </format>
    <format dxfId="1824">
      <pivotArea dataOnly="0" labelOnly="1" outline="0" fieldPosition="0">
        <references count="5">
          <reference field="1" count="1" selected="0">
            <x v="1"/>
          </reference>
          <reference field="5" count="1" selected="0">
            <x v="3"/>
          </reference>
          <reference field="11" count="1" selected="0">
            <x v="232"/>
          </reference>
          <reference field="12" count="1" selected="0">
            <x v="233"/>
          </reference>
          <reference field="21" count="1">
            <x v="0"/>
          </reference>
        </references>
      </pivotArea>
    </format>
    <format dxfId="1823">
      <pivotArea dataOnly="0" labelOnly="1" outline="0" fieldPosition="0">
        <references count="5">
          <reference field="1" count="1" selected="0">
            <x v="1"/>
          </reference>
          <reference field="5" count="1" selected="0">
            <x v="6"/>
          </reference>
          <reference field="11" count="1" selected="0">
            <x v="51"/>
          </reference>
          <reference field="12" count="1" selected="0">
            <x v="203"/>
          </reference>
          <reference field="21" count="1">
            <x v="0"/>
          </reference>
        </references>
      </pivotArea>
    </format>
    <format dxfId="1822">
      <pivotArea dataOnly="0" labelOnly="1" outline="0" fieldPosition="0">
        <references count="5">
          <reference field="1" count="1" selected="0">
            <x v="1"/>
          </reference>
          <reference field="5" count="1" selected="0">
            <x v="9"/>
          </reference>
          <reference field="11" count="1" selected="0">
            <x v="95"/>
          </reference>
          <reference field="12" count="1" selected="0">
            <x v="198"/>
          </reference>
          <reference field="21" count="1">
            <x v="0"/>
          </reference>
        </references>
      </pivotArea>
    </format>
    <format dxfId="1821">
      <pivotArea dataOnly="0" labelOnly="1" outline="0" fieldPosition="0">
        <references count="5">
          <reference field="1" count="1" selected="0">
            <x v="1"/>
          </reference>
          <reference field="5" count="1" selected="0">
            <x v="13"/>
          </reference>
          <reference field="11" count="1" selected="0">
            <x v="39"/>
          </reference>
          <reference field="12" count="1" selected="0">
            <x v="199"/>
          </reference>
          <reference field="21" count="1">
            <x v="1"/>
          </reference>
        </references>
      </pivotArea>
    </format>
    <format dxfId="1820">
      <pivotArea dataOnly="0" labelOnly="1" outline="0" fieldPosition="0">
        <references count="5">
          <reference field="1" count="1" selected="0">
            <x v="1"/>
          </reference>
          <reference field="5" count="1" selected="0">
            <x v="13"/>
          </reference>
          <reference field="11" count="1" selected="0">
            <x v="214"/>
          </reference>
          <reference field="12" count="1" selected="0">
            <x v="222"/>
          </reference>
          <reference field="21" count="1">
            <x v="0"/>
          </reference>
        </references>
      </pivotArea>
    </format>
    <format dxfId="1819">
      <pivotArea dataOnly="0" labelOnly="1" outline="0" fieldPosition="0">
        <references count="5">
          <reference field="1" count="1" selected="0">
            <x v="1"/>
          </reference>
          <reference field="5" count="1" selected="0">
            <x v="15"/>
          </reference>
          <reference field="11" count="1" selected="0">
            <x v="130"/>
          </reference>
          <reference field="12" count="1" selected="0">
            <x v="194"/>
          </reference>
          <reference field="21" count="1">
            <x v="0"/>
          </reference>
        </references>
      </pivotArea>
    </format>
    <format dxfId="1818">
      <pivotArea dataOnly="0" labelOnly="1" outline="0" fieldPosition="0">
        <references count="5">
          <reference field="1" count="1" selected="0">
            <x v="1"/>
          </reference>
          <reference field="5" count="1" selected="0">
            <x v="16"/>
          </reference>
          <reference field="11" count="1" selected="0">
            <x v="142"/>
          </reference>
          <reference field="12" count="1" selected="0">
            <x v="202"/>
          </reference>
          <reference field="21" count="1">
            <x v="0"/>
          </reference>
        </references>
      </pivotArea>
    </format>
    <format dxfId="1817">
      <pivotArea dataOnly="0" labelOnly="1" outline="0" fieldPosition="0">
        <references count="5">
          <reference field="1" count="1" selected="0">
            <x v="1"/>
          </reference>
          <reference field="5" count="1" selected="0">
            <x v="16"/>
          </reference>
          <reference field="11" count="1" selected="0">
            <x v="143"/>
          </reference>
          <reference field="12" count="1" selected="0">
            <x v="214"/>
          </reference>
          <reference field="21" count="1">
            <x v="1"/>
          </reference>
        </references>
      </pivotArea>
    </format>
    <format dxfId="1816">
      <pivotArea dataOnly="0" labelOnly="1" outline="0" fieldPosition="0">
        <references count="5">
          <reference field="1" count="1" selected="0">
            <x v="1"/>
          </reference>
          <reference field="5" count="1" selected="0">
            <x v="16"/>
          </reference>
          <reference field="11" count="1" selected="0">
            <x v="245"/>
          </reference>
          <reference field="12" count="1" selected="0">
            <x v="245"/>
          </reference>
          <reference field="21" count="1">
            <x v="0"/>
          </reference>
        </references>
      </pivotArea>
    </format>
    <format dxfId="1815">
      <pivotArea dataOnly="0" labelOnly="1" outline="0" fieldPosition="0">
        <references count="6">
          <reference field="1" count="1" selected="0">
            <x v="0"/>
          </reference>
          <reference field="5" count="1" selected="0">
            <x v="0"/>
          </reference>
          <reference field="11" count="1" selected="0">
            <x v="3"/>
          </reference>
          <reference field="12" count="1" selected="0">
            <x v="49"/>
          </reference>
          <reference field="21" count="1" selected="0">
            <x v="0"/>
          </reference>
          <reference field="25" count="1">
            <x v="1"/>
          </reference>
        </references>
      </pivotArea>
    </format>
    <format dxfId="1814">
      <pivotArea dataOnly="0" labelOnly="1" outline="0" fieldPosition="0">
        <references count="6">
          <reference field="1" count="1" selected="0">
            <x v="0"/>
          </reference>
          <reference field="5" count="1" selected="0">
            <x v="0"/>
          </reference>
          <reference field="11" count="1" selected="0">
            <x v="7"/>
          </reference>
          <reference field="12" count="1" selected="0">
            <x v="164"/>
          </reference>
          <reference field="21" count="1" selected="0">
            <x v="0"/>
          </reference>
          <reference field="25" count="1">
            <x v="0"/>
          </reference>
        </references>
      </pivotArea>
    </format>
    <format dxfId="1813">
      <pivotArea dataOnly="0" labelOnly="1" outline="0" fieldPosition="0">
        <references count="6">
          <reference field="1" count="1" selected="0">
            <x v="0"/>
          </reference>
          <reference field="5" count="1" selected="0">
            <x v="0"/>
          </reference>
          <reference field="11" count="1" selected="0">
            <x v="38"/>
          </reference>
          <reference field="12" count="1" selected="0">
            <x v="137"/>
          </reference>
          <reference field="21" count="1" selected="0">
            <x v="1"/>
          </reference>
          <reference field="25" count="1">
            <x v="4"/>
          </reference>
        </references>
      </pivotArea>
    </format>
    <format dxfId="1812">
      <pivotArea dataOnly="0" labelOnly="1" outline="0" fieldPosition="0">
        <references count="6">
          <reference field="1" count="1" selected="0">
            <x v="0"/>
          </reference>
          <reference field="5" count="1" selected="0">
            <x v="0"/>
          </reference>
          <reference field="11" count="1" selected="0">
            <x v="43"/>
          </reference>
          <reference field="12" count="1" selected="0">
            <x v="51"/>
          </reference>
          <reference field="21" count="1" selected="0">
            <x v="0"/>
          </reference>
          <reference field="25" count="1">
            <x v="0"/>
          </reference>
        </references>
      </pivotArea>
    </format>
    <format dxfId="1811">
      <pivotArea dataOnly="0" labelOnly="1" outline="0" fieldPosition="0">
        <references count="6">
          <reference field="1" count="1" selected="0">
            <x v="0"/>
          </reference>
          <reference field="5" count="1" selected="0">
            <x v="0"/>
          </reference>
          <reference field="11" count="1" selected="0">
            <x v="68"/>
          </reference>
          <reference field="12" count="1" selected="0">
            <x v="48"/>
          </reference>
          <reference field="21" count="1" selected="0">
            <x v="0"/>
          </reference>
          <reference field="25" count="1">
            <x v="3"/>
          </reference>
        </references>
      </pivotArea>
    </format>
    <format dxfId="1810">
      <pivotArea dataOnly="0" labelOnly="1" outline="0" fieldPosition="0">
        <references count="6">
          <reference field="1" count="1" selected="0">
            <x v="0"/>
          </reference>
          <reference field="5" count="1" selected="0">
            <x v="0"/>
          </reference>
          <reference field="11" count="1" selected="0">
            <x v="145"/>
          </reference>
          <reference field="12" count="1" selected="0">
            <x v="53"/>
          </reference>
          <reference field="21" count="1" selected="0">
            <x v="0"/>
          </reference>
          <reference field="25" count="1">
            <x v="1"/>
          </reference>
        </references>
      </pivotArea>
    </format>
    <format dxfId="1809">
      <pivotArea dataOnly="0" labelOnly="1" outline="0" fieldPosition="0">
        <references count="6">
          <reference field="1" count="1" selected="0">
            <x v="0"/>
          </reference>
          <reference field="5" count="1" selected="0">
            <x v="0"/>
          </reference>
          <reference field="11" count="1" selected="0">
            <x v="163"/>
          </reference>
          <reference field="12" count="1" selected="0">
            <x v="163"/>
          </reference>
          <reference field="21" count="1" selected="0">
            <x v="0"/>
          </reference>
          <reference field="25" count="1">
            <x v="0"/>
          </reference>
        </references>
      </pivotArea>
    </format>
    <format dxfId="1808">
      <pivotArea dataOnly="0" labelOnly="1" outline="0" fieldPosition="0">
        <references count="6">
          <reference field="1" count="1" selected="0">
            <x v="0"/>
          </reference>
          <reference field="5" count="1" selected="0">
            <x v="0"/>
          </reference>
          <reference field="11" count="1" selected="0">
            <x v="186"/>
          </reference>
          <reference field="12" count="1" selected="0">
            <x v="54"/>
          </reference>
          <reference field="21" count="1" selected="0">
            <x v="0"/>
          </reference>
          <reference field="25" count="1">
            <x v="3"/>
          </reference>
        </references>
      </pivotArea>
    </format>
    <format dxfId="1807">
      <pivotArea dataOnly="0" labelOnly="1" outline="0" fieldPosition="0">
        <references count="6">
          <reference field="1" count="1" selected="0">
            <x v="0"/>
          </reference>
          <reference field="5" count="1" selected="0">
            <x v="1"/>
          </reference>
          <reference field="11" count="1" selected="0">
            <x v="21"/>
          </reference>
          <reference field="12" count="1" selected="0">
            <x v="41"/>
          </reference>
          <reference field="21" count="1" selected="0">
            <x v="0"/>
          </reference>
          <reference field="25" count="1">
            <x v="3"/>
          </reference>
        </references>
      </pivotArea>
    </format>
    <format dxfId="1806">
      <pivotArea dataOnly="0" labelOnly="1" outline="0" fieldPosition="0">
        <references count="6">
          <reference field="1" count="1" selected="0">
            <x v="0"/>
          </reference>
          <reference field="5" count="1" selected="0">
            <x v="1"/>
          </reference>
          <reference field="11" count="1" selected="0">
            <x v="41"/>
          </reference>
          <reference field="12" count="1" selected="0">
            <x v="42"/>
          </reference>
          <reference field="21" count="1" selected="0">
            <x v="0"/>
          </reference>
          <reference field="25" count="1">
            <x v="0"/>
          </reference>
        </references>
      </pivotArea>
    </format>
    <format dxfId="1805">
      <pivotArea dataOnly="0" labelOnly="1" outline="0" fieldPosition="0">
        <references count="6">
          <reference field="1" count="1" selected="0">
            <x v="0"/>
          </reference>
          <reference field="5" count="1" selected="0">
            <x v="1"/>
          </reference>
          <reference field="11" count="1" selected="0">
            <x v="59"/>
          </reference>
          <reference field="12" count="1" selected="0">
            <x v="44"/>
          </reference>
          <reference field="21" count="1" selected="0">
            <x v="1"/>
          </reference>
          <reference field="25" count="1">
            <x v="4"/>
          </reference>
        </references>
      </pivotArea>
    </format>
    <format dxfId="1804">
      <pivotArea dataOnly="0" labelOnly="1" outline="0" fieldPosition="0">
        <references count="6">
          <reference field="1" count="1" selected="0">
            <x v="0"/>
          </reference>
          <reference field="5" count="1" selected="0">
            <x v="1"/>
          </reference>
          <reference field="11" count="1" selected="0">
            <x v="65"/>
          </reference>
          <reference field="12" count="1" selected="0">
            <x v="165"/>
          </reference>
          <reference field="21" count="1" selected="0">
            <x v="0"/>
          </reference>
          <reference field="25" count="1">
            <x v="3"/>
          </reference>
        </references>
      </pivotArea>
    </format>
    <format dxfId="1803">
      <pivotArea dataOnly="0" labelOnly="1" outline="0" fieldPosition="0">
        <references count="6">
          <reference field="1" count="1" selected="0">
            <x v="0"/>
          </reference>
          <reference field="5" count="1" selected="0">
            <x v="1"/>
          </reference>
          <reference field="11" count="1" selected="0">
            <x v="161"/>
          </reference>
          <reference field="12" count="1" selected="0">
            <x v="178"/>
          </reference>
          <reference field="21" count="1" selected="0">
            <x v="0"/>
          </reference>
          <reference field="25" count="1">
            <x v="2"/>
          </reference>
        </references>
      </pivotArea>
    </format>
    <format dxfId="1802">
      <pivotArea dataOnly="0" labelOnly="1" outline="0" fieldPosition="0">
        <references count="6">
          <reference field="1" count="1" selected="0">
            <x v="0"/>
          </reference>
          <reference field="5" count="1" selected="0">
            <x v="2"/>
          </reference>
          <reference field="11" count="1" selected="0">
            <x v="1"/>
          </reference>
          <reference field="12" count="1" selected="0">
            <x v="150"/>
          </reference>
          <reference field="21" count="1" selected="0">
            <x v="0"/>
          </reference>
          <reference field="25" count="1">
            <x v="0"/>
          </reference>
        </references>
      </pivotArea>
    </format>
    <format dxfId="1801">
      <pivotArea dataOnly="0" labelOnly="1" outline="0" fieldPosition="0">
        <references count="6">
          <reference field="1" count="1" selected="0">
            <x v="0"/>
          </reference>
          <reference field="5" count="1" selected="0">
            <x v="2"/>
          </reference>
          <reference field="11" count="1" selected="0">
            <x v="2"/>
          </reference>
          <reference field="12" count="1" selected="0">
            <x v="139"/>
          </reference>
          <reference field="21" count="1" selected="0">
            <x v="0"/>
          </reference>
          <reference field="25" count="1">
            <x v="2"/>
          </reference>
        </references>
      </pivotArea>
    </format>
    <format dxfId="1800">
      <pivotArea dataOnly="0" labelOnly="1" outline="0" fieldPosition="0">
        <references count="6">
          <reference field="1" count="1" selected="0">
            <x v="0"/>
          </reference>
          <reference field="5" count="1" selected="0">
            <x v="2"/>
          </reference>
          <reference field="11" count="1" selected="0">
            <x v="4"/>
          </reference>
          <reference field="12" count="1" selected="0">
            <x v="147"/>
          </reference>
          <reference field="21" count="1" selected="0">
            <x v="0"/>
          </reference>
          <reference field="25" count="1">
            <x v="3"/>
          </reference>
        </references>
      </pivotArea>
    </format>
    <format dxfId="1799">
      <pivotArea dataOnly="0" labelOnly="1" outline="0" fieldPosition="0">
        <references count="6">
          <reference field="1" count="1" selected="0">
            <x v="0"/>
          </reference>
          <reference field="5" count="1" selected="0">
            <x v="2"/>
          </reference>
          <reference field="11" count="1" selected="0">
            <x v="13"/>
          </reference>
          <reference field="12" count="1" selected="0">
            <x v="140"/>
          </reference>
          <reference field="21" count="1" selected="0">
            <x v="0"/>
          </reference>
          <reference field="25" count="1">
            <x v="0"/>
          </reference>
        </references>
      </pivotArea>
    </format>
    <format dxfId="1798">
      <pivotArea dataOnly="0" labelOnly="1" outline="0" fieldPosition="0">
        <references count="6">
          <reference field="1" count="1" selected="0">
            <x v="0"/>
          </reference>
          <reference field="5" count="1" selected="0">
            <x v="2"/>
          </reference>
          <reference field="11" count="1" selected="0">
            <x v="19"/>
          </reference>
          <reference field="12" count="1" selected="0">
            <x v="105"/>
          </reference>
          <reference field="21" count="1" selected="0">
            <x v="0"/>
          </reference>
          <reference field="25" count="1">
            <x v="3"/>
          </reference>
        </references>
      </pivotArea>
    </format>
    <format dxfId="1797">
      <pivotArea dataOnly="0" labelOnly="1" outline="0" fieldPosition="0">
        <references count="6">
          <reference field="1" count="1" selected="0">
            <x v="0"/>
          </reference>
          <reference field="5" count="1" selected="0">
            <x v="2"/>
          </reference>
          <reference field="11" count="1" selected="0">
            <x v="35"/>
          </reference>
          <reference field="12" count="1" selected="0">
            <x v="131"/>
          </reference>
          <reference field="21" count="1" selected="0">
            <x v="0"/>
          </reference>
          <reference field="25" count="1">
            <x v="0"/>
          </reference>
        </references>
      </pivotArea>
    </format>
    <format dxfId="1796">
      <pivotArea dataOnly="0" labelOnly="1" outline="0" fieldPosition="0">
        <references count="6">
          <reference field="1" count="1" selected="0">
            <x v="0"/>
          </reference>
          <reference field="5" count="1" selected="0">
            <x v="2"/>
          </reference>
          <reference field="11" count="1" selected="0">
            <x v="36"/>
          </reference>
          <reference field="12" count="1" selected="0">
            <x v="161"/>
          </reference>
          <reference field="21" count="1" selected="0">
            <x v="0"/>
          </reference>
          <reference field="25" count="1">
            <x v="3"/>
          </reference>
        </references>
      </pivotArea>
    </format>
    <format dxfId="1795">
      <pivotArea dataOnly="0" labelOnly="1" outline="0" fieldPosition="0">
        <references count="6">
          <reference field="1" count="1" selected="0">
            <x v="0"/>
          </reference>
          <reference field="5" count="1" selected="0">
            <x v="2"/>
          </reference>
          <reference field="11" count="1" selected="0">
            <x v="146"/>
          </reference>
          <reference field="12" count="1" selected="0">
            <x v="99"/>
          </reference>
          <reference field="21" count="1" selected="0">
            <x v="0"/>
          </reference>
          <reference field="25" count="1">
            <x v="2"/>
          </reference>
        </references>
      </pivotArea>
    </format>
    <format dxfId="1794">
      <pivotArea dataOnly="0" labelOnly="1" outline="0" fieldPosition="0">
        <references count="6">
          <reference field="1" count="1" selected="0">
            <x v="0"/>
          </reference>
          <reference field="5" count="1" selected="0">
            <x v="2"/>
          </reference>
          <reference field="11" count="1" selected="0">
            <x v="170"/>
          </reference>
          <reference field="12" count="1" selected="0">
            <x v="153"/>
          </reference>
          <reference field="21" count="1" selected="0">
            <x v="0"/>
          </reference>
          <reference field="25" count="1">
            <x v="3"/>
          </reference>
        </references>
      </pivotArea>
    </format>
    <format dxfId="1793">
      <pivotArea dataOnly="0" labelOnly="1" outline="0" fieldPosition="0">
        <references count="6">
          <reference field="1" count="1" selected="0">
            <x v="0"/>
          </reference>
          <reference field="5" count="1" selected="0">
            <x v="2"/>
          </reference>
          <reference field="11" count="1" selected="0">
            <x v="173"/>
          </reference>
          <reference field="12" count="1" selected="0">
            <x v="154"/>
          </reference>
          <reference field="21" count="1" selected="0">
            <x v="0"/>
          </reference>
          <reference field="25" count="1">
            <x v="0"/>
          </reference>
        </references>
      </pivotArea>
    </format>
    <format dxfId="1792">
      <pivotArea dataOnly="0" labelOnly="1" outline="0" fieldPosition="0">
        <references count="6">
          <reference field="1" count="1" selected="0">
            <x v="0"/>
          </reference>
          <reference field="5" count="1" selected="0">
            <x v="2"/>
          </reference>
          <reference field="11" count="1" selected="0">
            <x v="240"/>
          </reference>
          <reference field="12" count="1" selected="0">
            <x v="242"/>
          </reference>
          <reference field="21" count="1" selected="0">
            <x v="0"/>
          </reference>
          <reference field="25" count="1">
            <x v="4"/>
          </reference>
        </references>
      </pivotArea>
    </format>
    <format dxfId="1791">
      <pivotArea dataOnly="0" labelOnly="1" outline="0" fieldPosition="0">
        <references count="6">
          <reference field="1" count="1" selected="0">
            <x v="0"/>
          </reference>
          <reference field="5" count="1" selected="0">
            <x v="5"/>
          </reference>
          <reference field="11" count="1" selected="0">
            <x v="56"/>
          </reference>
          <reference field="12" count="1" selected="0">
            <x v="73"/>
          </reference>
          <reference field="21" count="1" selected="0">
            <x v="0"/>
          </reference>
          <reference field="25" count="1">
            <x v="4"/>
          </reference>
        </references>
      </pivotArea>
    </format>
    <format dxfId="1790">
      <pivotArea dataOnly="0" labelOnly="1" outline="0" fieldPosition="0">
        <references count="6">
          <reference field="1" count="1" selected="0">
            <x v="0"/>
          </reference>
          <reference field="5" count="1" selected="0">
            <x v="8"/>
          </reference>
          <reference field="11" count="1" selected="0">
            <x v="18"/>
          </reference>
          <reference field="12" count="1" selected="0">
            <x v="121"/>
          </reference>
          <reference field="21" count="1" selected="0">
            <x v="0"/>
          </reference>
          <reference field="25" count="1">
            <x v="1"/>
          </reference>
        </references>
      </pivotArea>
    </format>
    <format dxfId="1789">
      <pivotArea dataOnly="0" labelOnly="1" outline="0" fieldPosition="0">
        <references count="6">
          <reference field="1" count="1" selected="0">
            <x v="0"/>
          </reference>
          <reference field="5" count="1" selected="0">
            <x v="8"/>
          </reference>
          <reference field="11" count="1" selected="0">
            <x v="38"/>
          </reference>
          <reference field="12" count="1" selected="0">
            <x v="166"/>
          </reference>
          <reference field="21" count="1" selected="0">
            <x v="1"/>
          </reference>
          <reference field="25" count="1">
            <x v="4"/>
          </reference>
        </references>
      </pivotArea>
    </format>
    <format dxfId="1788">
      <pivotArea dataOnly="0" labelOnly="1" outline="0" fieldPosition="0">
        <references count="6">
          <reference field="1" count="1" selected="0">
            <x v="0"/>
          </reference>
          <reference field="5" count="1" selected="0">
            <x v="8"/>
          </reference>
          <reference field="11" count="1" selected="0">
            <x v="60"/>
          </reference>
          <reference field="12" count="1" selected="0">
            <x v="120"/>
          </reference>
          <reference field="21" count="1" selected="0">
            <x v="0"/>
          </reference>
          <reference field="25" count="1">
            <x v="1"/>
          </reference>
        </references>
      </pivotArea>
    </format>
    <format dxfId="1787">
      <pivotArea dataOnly="0" labelOnly="1" outline="0" fieldPosition="0">
        <references count="6">
          <reference field="1" count="1" selected="0">
            <x v="0"/>
          </reference>
          <reference field="5" count="1" selected="0">
            <x v="8"/>
          </reference>
          <reference field="11" count="1" selected="0">
            <x v="82"/>
          </reference>
          <reference field="12" count="1" selected="0">
            <x v="186"/>
          </reference>
          <reference field="21" count="1" selected="0">
            <x v="0"/>
          </reference>
          <reference field="25" count="1">
            <x v="0"/>
          </reference>
        </references>
      </pivotArea>
    </format>
    <format dxfId="1786">
      <pivotArea dataOnly="0" labelOnly="1" outline="0" fieldPosition="0">
        <references count="6">
          <reference field="1" count="1" selected="0">
            <x v="0"/>
          </reference>
          <reference field="5" count="1" selected="0">
            <x v="8"/>
          </reference>
          <reference field="11" count="1" selected="0">
            <x v="91"/>
          </reference>
          <reference field="12" count="1" selected="0">
            <x v="123"/>
          </reference>
          <reference field="21" count="1" selected="0">
            <x v="0"/>
          </reference>
          <reference field="25" count="1">
            <x v="1"/>
          </reference>
        </references>
      </pivotArea>
    </format>
    <format dxfId="1785">
      <pivotArea dataOnly="0" labelOnly="1" outline="0" fieldPosition="0">
        <references count="6">
          <reference field="1" count="1" selected="0">
            <x v="0"/>
          </reference>
          <reference field="5" count="1" selected="0">
            <x v="8"/>
          </reference>
          <reference field="11" count="1" selected="0">
            <x v="92"/>
          </reference>
          <reference field="12" count="1" selected="0">
            <x v="125"/>
          </reference>
          <reference field="21" count="1" selected="0">
            <x v="1"/>
          </reference>
          <reference field="25" count="1">
            <x v="4"/>
          </reference>
        </references>
      </pivotArea>
    </format>
    <format dxfId="1784">
      <pivotArea dataOnly="0" labelOnly="1" outline="0" fieldPosition="0">
        <references count="6">
          <reference field="1" count="1" selected="0">
            <x v="0"/>
          </reference>
          <reference field="5" count="1" selected="0">
            <x v="8"/>
          </reference>
          <reference field="11" count="1" selected="0">
            <x v="98"/>
          </reference>
          <reference field="12" count="1" selected="0">
            <x v="65"/>
          </reference>
          <reference field="21" count="1" selected="0">
            <x v="0"/>
          </reference>
          <reference field="25" count="1">
            <x v="0"/>
          </reference>
        </references>
      </pivotArea>
    </format>
    <format dxfId="1783">
      <pivotArea dataOnly="0" labelOnly="1" outline="0" fieldPosition="0">
        <references count="6">
          <reference field="1" count="1" selected="0">
            <x v="0"/>
          </reference>
          <reference field="5" count="1" selected="0">
            <x v="8"/>
          </reference>
          <reference field="11" count="1" selected="0">
            <x v="209"/>
          </reference>
          <reference field="12" count="1" selected="0">
            <x v="217"/>
          </reference>
          <reference field="21" count="1" selected="0">
            <x v="0"/>
          </reference>
          <reference field="25" count="1">
            <x v="1"/>
          </reference>
        </references>
      </pivotArea>
    </format>
    <format dxfId="1782">
      <pivotArea dataOnly="0" labelOnly="1" outline="0" fieldPosition="0">
        <references count="6">
          <reference field="1" count="1" selected="0">
            <x v="0"/>
          </reference>
          <reference field="5" count="1" selected="0">
            <x v="8"/>
          </reference>
          <reference field="11" count="1" selected="0">
            <x v="220"/>
          </reference>
          <reference field="12" count="1" selected="0">
            <x v="228"/>
          </reference>
          <reference field="21" count="1" selected="0">
            <x v="0"/>
          </reference>
          <reference field="25" count="1">
            <x v="0"/>
          </reference>
        </references>
      </pivotArea>
    </format>
    <format dxfId="1781">
      <pivotArea dataOnly="0" labelOnly="1" outline="0" fieldPosition="0">
        <references count="6">
          <reference field="1" count="1" selected="0">
            <x v="0"/>
          </reference>
          <reference field="5" count="1" selected="0">
            <x v="10"/>
          </reference>
          <reference field="11" count="1" selected="0">
            <x v="55"/>
          </reference>
          <reference field="12" count="1" selected="0">
            <x v="76"/>
          </reference>
          <reference field="21" count="1" selected="0">
            <x v="0"/>
          </reference>
          <reference field="25" count="1">
            <x v="0"/>
          </reference>
        </references>
      </pivotArea>
    </format>
    <format dxfId="1780">
      <pivotArea dataOnly="0" labelOnly="1" outline="0" fieldPosition="0">
        <references count="6">
          <reference field="1" count="1" selected="0">
            <x v="0"/>
          </reference>
          <reference field="5" count="1" selected="0">
            <x v="10"/>
          </reference>
          <reference field="11" count="1" selected="0">
            <x v="233"/>
          </reference>
          <reference field="12" count="1" selected="0">
            <x v="235"/>
          </reference>
          <reference field="21" count="1" selected="0">
            <x v="1"/>
          </reference>
          <reference field="25" count="1">
            <x v="4"/>
          </reference>
        </references>
      </pivotArea>
    </format>
    <format dxfId="1779">
      <pivotArea dataOnly="0" labelOnly="1" outline="0" fieldPosition="0">
        <references count="6">
          <reference field="1" count="1" selected="0">
            <x v="0"/>
          </reference>
          <reference field="5" count="1" selected="0">
            <x v="10"/>
          </reference>
          <reference field="11" count="1" selected="0">
            <x v="234"/>
          </reference>
          <reference field="12" count="1" selected="0">
            <x v="236"/>
          </reference>
          <reference field="21" count="1" selected="0">
            <x v="0"/>
          </reference>
          <reference field="25" count="1">
            <x v="0"/>
          </reference>
        </references>
      </pivotArea>
    </format>
    <format dxfId="1778">
      <pivotArea dataOnly="0" labelOnly="1" outline="0" fieldPosition="0">
        <references count="6">
          <reference field="1" count="1" selected="0">
            <x v="0"/>
          </reference>
          <reference field="5" count="1" selected="0">
            <x v="10"/>
          </reference>
          <reference field="11" count="1" selected="0">
            <x v="235"/>
          </reference>
          <reference field="12" count="1" selected="0">
            <x v="237"/>
          </reference>
          <reference field="21" count="1" selected="0">
            <x v="0"/>
          </reference>
          <reference field="25" count="1">
            <x v="2"/>
          </reference>
        </references>
      </pivotArea>
    </format>
    <format dxfId="1777">
      <pivotArea dataOnly="0" labelOnly="1" outline="0" fieldPosition="0">
        <references count="6">
          <reference field="1" count="1" selected="0">
            <x v="0"/>
          </reference>
          <reference field="5" count="1" selected="0">
            <x v="11"/>
          </reference>
          <reference field="11" count="1" selected="0">
            <x v="152"/>
          </reference>
          <reference field="12" count="1" selected="0">
            <x v="133"/>
          </reference>
          <reference field="21" count="1" selected="0">
            <x v="0"/>
          </reference>
          <reference field="25" count="1">
            <x v="0"/>
          </reference>
        </references>
      </pivotArea>
    </format>
    <format dxfId="1776">
      <pivotArea dataOnly="0" labelOnly="1" outline="0" fieldPosition="0">
        <references count="6">
          <reference field="1" count="1" selected="0">
            <x v="0"/>
          </reference>
          <reference field="5" count="1" selected="0">
            <x v="11"/>
          </reference>
          <reference field="11" count="1" selected="0">
            <x v="183"/>
          </reference>
          <reference field="12" count="1" selected="0">
            <x v="78"/>
          </reference>
          <reference field="21" count="1" selected="0">
            <x v="0"/>
          </reference>
          <reference field="25" count="1">
            <x v="2"/>
          </reference>
        </references>
      </pivotArea>
    </format>
    <format dxfId="1775">
      <pivotArea dataOnly="0" labelOnly="1" outline="0" fieldPosition="0">
        <references count="6">
          <reference field="1" count="1" selected="0">
            <x v="0"/>
          </reference>
          <reference field="5" count="1" selected="0">
            <x v="11"/>
          </reference>
          <reference field="11" count="1" selected="0">
            <x v="223"/>
          </reference>
          <reference field="12" count="1" selected="0">
            <x v="231"/>
          </reference>
          <reference field="21" count="1" selected="0">
            <x v="1"/>
          </reference>
          <reference field="25" count="1">
            <x v="4"/>
          </reference>
        </references>
      </pivotArea>
    </format>
    <format dxfId="1774">
      <pivotArea dataOnly="0" labelOnly="1" outline="0" fieldPosition="0">
        <references count="6">
          <reference field="1" count="1" selected="0">
            <x v="0"/>
          </reference>
          <reference field="5" count="1" selected="0">
            <x v="12"/>
          </reference>
          <reference field="11" count="1" selected="0">
            <x v="27"/>
          </reference>
          <reference field="12" count="1" selected="0">
            <x v="118"/>
          </reference>
          <reference field="21" count="1" selected="0">
            <x v="0"/>
          </reference>
          <reference field="25" count="1">
            <x v="2"/>
          </reference>
        </references>
      </pivotArea>
    </format>
    <format dxfId="1773">
      <pivotArea dataOnly="0" labelOnly="1" outline="0" fieldPosition="0">
        <references count="6">
          <reference field="1" count="1" selected="0">
            <x v="0"/>
          </reference>
          <reference field="5" count="1" selected="0">
            <x v="12"/>
          </reference>
          <reference field="11" count="1" selected="0">
            <x v="38"/>
          </reference>
          <reference field="12" count="1" selected="0">
            <x v="167"/>
          </reference>
          <reference field="21" count="1" selected="0">
            <x v="1"/>
          </reference>
          <reference field="25" count="1">
            <x v="4"/>
          </reference>
        </references>
      </pivotArea>
    </format>
    <format dxfId="1772">
      <pivotArea dataOnly="0" labelOnly="1" outline="0" fieldPosition="0">
        <references count="6">
          <reference field="1" count="1" selected="0">
            <x v="0"/>
          </reference>
          <reference field="5" count="1" selected="0">
            <x v="12"/>
          </reference>
          <reference field="11" count="1" selected="0">
            <x v="42"/>
          </reference>
          <reference field="12" count="1" selected="0">
            <x v="117"/>
          </reference>
          <reference field="21" count="1" selected="0">
            <x v="0"/>
          </reference>
          <reference field="25" count="1">
            <x v="2"/>
          </reference>
        </references>
      </pivotArea>
    </format>
    <format dxfId="1771">
      <pivotArea dataOnly="0" labelOnly="1" outline="0" fieldPosition="0">
        <references count="6">
          <reference field="1" count="1" selected="0">
            <x v="0"/>
          </reference>
          <reference field="5" count="1" selected="0">
            <x v="12"/>
          </reference>
          <reference field="11" count="1" selected="0">
            <x v="50"/>
          </reference>
          <reference field="12" count="1" selected="0">
            <x v="170"/>
          </reference>
          <reference field="21" count="1" selected="0">
            <x v="1"/>
          </reference>
          <reference field="25" count="1">
            <x v="4"/>
          </reference>
        </references>
      </pivotArea>
    </format>
    <format dxfId="1770">
      <pivotArea dataOnly="0" labelOnly="1" outline="0" fieldPosition="0">
        <references count="6">
          <reference field="1" count="1" selected="0">
            <x v="0"/>
          </reference>
          <reference field="5" count="1" selected="0">
            <x v="12"/>
          </reference>
          <reference field="11" count="1" selected="0">
            <x v="69"/>
          </reference>
          <reference field="12" count="1" selected="0">
            <x v="70"/>
          </reference>
          <reference field="21" count="1" selected="0">
            <x v="0"/>
          </reference>
          <reference field="25" count="1">
            <x v="0"/>
          </reference>
        </references>
      </pivotArea>
    </format>
    <format dxfId="1769">
      <pivotArea dataOnly="0" labelOnly="1" outline="0" fieldPosition="0">
        <references count="6">
          <reference field="1" count="1" selected="0">
            <x v="0"/>
          </reference>
          <reference field="5" count="1" selected="0">
            <x v="12"/>
          </reference>
          <reference field="11" count="1" selected="0">
            <x v="70"/>
          </reference>
          <reference field="12" count="1" selected="0">
            <x v="68"/>
          </reference>
          <reference field="21" count="1" selected="0">
            <x v="0"/>
          </reference>
          <reference field="25" count="1">
            <x v="1"/>
          </reference>
        </references>
      </pivotArea>
    </format>
    <format dxfId="1768">
      <pivotArea dataOnly="0" labelOnly="1" outline="0" fieldPosition="0">
        <references count="6">
          <reference field="1" count="1" selected="0">
            <x v="0"/>
          </reference>
          <reference field="5" count="1" selected="0">
            <x v="12"/>
          </reference>
          <reference field="11" count="1" selected="0">
            <x v="71"/>
          </reference>
          <reference field="12" count="1" selected="0">
            <x v="69"/>
          </reference>
          <reference field="21" count="1" selected="0">
            <x v="0"/>
          </reference>
          <reference field="25" count="1">
            <x v="0"/>
          </reference>
        </references>
      </pivotArea>
    </format>
    <format dxfId="1767">
      <pivotArea dataOnly="0" labelOnly="1" outline="0" fieldPosition="0">
        <references count="6">
          <reference field="1" count="1" selected="0">
            <x v="0"/>
          </reference>
          <reference field="5" count="1" selected="0">
            <x v="12"/>
          </reference>
          <reference field="11" count="1" selected="0">
            <x v="77"/>
          </reference>
          <reference field="12" count="1" selected="0">
            <x v="63"/>
          </reference>
          <reference field="21" count="1" selected="0">
            <x v="1"/>
          </reference>
          <reference field="25" count="1">
            <x v="4"/>
          </reference>
        </references>
      </pivotArea>
    </format>
    <format dxfId="1766">
      <pivotArea dataOnly="0" labelOnly="1" outline="0" fieldPosition="0">
        <references count="6">
          <reference field="1" count="1" selected="0">
            <x v="0"/>
          </reference>
          <reference field="5" count="1" selected="0">
            <x v="12"/>
          </reference>
          <reference field="11" count="1" selected="0">
            <x v="84"/>
          </reference>
          <reference field="12" count="1" selected="0">
            <x v="61"/>
          </reference>
          <reference field="21" count="1" selected="0">
            <x v="0"/>
          </reference>
          <reference field="25" count="1">
            <x v="1"/>
          </reference>
        </references>
      </pivotArea>
    </format>
    <format dxfId="1765">
      <pivotArea dataOnly="0" labelOnly="1" outline="0" fieldPosition="0">
        <references count="6">
          <reference field="1" count="1" selected="0">
            <x v="0"/>
          </reference>
          <reference field="5" count="1" selected="0">
            <x v="12"/>
          </reference>
          <reference field="11" count="1" selected="0">
            <x v="88"/>
          </reference>
          <reference field="12" count="1" selected="0">
            <x v="62"/>
          </reference>
          <reference field="21" count="1" selected="0">
            <x v="1"/>
          </reference>
          <reference field="25" count="1">
            <x v="4"/>
          </reference>
        </references>
      </pivotArea>
    </format>
    <format dxfId="1764">
      <pivotArea dataOnly="0" labelOnly="1" outline="0" fieldPosition="0">
        <references count="6">
          <reference field="1" count="1" selected="0">
            <x v="0"/>
          </reference>
          <reference field="5" count="1" selected="0">
            <x v="12"/>
          </reference>
          <reference field="11" count="1" selected="0">
            <x v="117"/>
          </reference>
          <reference field="12" count="1" selected="0">
            <x v="55"/>
          </reference>
          <reference field="21" count="1" selected="0">
            <x v="0"/>
          </reference>
          <reference field="25" count="1">
            <x v="0"/>
          </reference>
        </references>
      </pivotArea>
    </format>
    <format dxfId="1763">
      <pivotArea dataOnly="0" labelOnly="1" outline="0" fieldPosition="0">
        <references count="6">
          <reference field="1" count="1" selected="0">
            <x v="0"/>
          </reference>
          <reference field="5" count="1" selected="0">
            <x v="12"/>
          </reference>
          <reference field="11" count="1" selected="0">
            <x v="128"/>
          </reference>
          <reference field="12" count="1" selected="0">
            <x v="60"/>
          </reference>
          <reference field="21" count="1" selected="0">
            <x v="1"/>
          </reference>
          <reference field="25" count="1">
            <x v="4"/>
          </reference>
        </references>
      </pivotArea>
    </format>
    <format dxfId="1762">
      <pivotArea dataOnly="0" labelOnly="1" outline="0" fieldPosition="0">
        <references count="6">
          <reference field="1" count="1" selected="0">
            <x v="0"/>
          </reference>
          <reference field="5" count="1" selected="0">
            <x v="12"/>
          </reference>
          <reference field="11" count="1" selected="0">
            <x v="155"/>
          </reference>
          <reference field="12" count="1" selected="0">
            <x v="122"/>
          </reference>
          <reference field="21" count="1" selected="0">
            <x v="0"/>
          </reference>
          <reference field="25" count="1">
            <x v="1"/>
          </reference>
        </references>
      </pivotArea>
    </format>
    <format dxfId="1761">
      <pivotArea dataOnly="0" labelOnly="1" outline="0" fieldPosition="0">
        <references count="6">
          <reference field="1" count="1" selected="0">
            <x v="0"/>
          </reference>
          <reference field="5" count="1" selected="0">
            <x v="12"/>
          </reference>
          <reference field="11" count="1" selected="0">
            <x v="158"/>
          </reference>
          <reference field="12" count="1" selected="0">
            <x v="71"/>
          </reference>
          <reference field="21" count="1" selected="0">
            <x v="0"/>
          </reference>
          <reference field="25" count="1">
            <x v="0"/>
          </reference>
        </references>
      </pivotArea>
    </format>
    <format dxfId="1760">
      <pivotArea dataOnly="0" labelOnly="1" outline="0" fieldPosition="0">
        <references count="6">
          <reference field="1" count="1" selected="0">
            <x v="0"/>
          </reference>
          <reference field="5" count="1" selected="0">
            <x v="12"/>
          </reference>
          <reference field="11" count="1" selected="0">
            <x v="160"/>
          </reference>
          <reference field="12" count="1" selected="0">
            <x v="119"/>
          </reference>
          <reference field="21" count="1" selected="0">
            <x v="0"/>
          </reference>
          <reference field="25" count="1">
            <x v="1"/>
          </reference>
        </references>
      </pivotArea>
    </format>
    <format dxfId="1759">
      <pivotArea dataOnly="0" labelOnly="1" outline="0" fieldPosition="0">
        <references count="6">
          <reference field="1" count="1" selected="0">
            <x v="0"/>
          </reference>
          <reference field="5" count="1" selected="0">
            <x v="12"/>
          </reference>
          <reference field="11" count="1" selected="0">
            <x v="164"/>
          </reference>
          <reference field="12" count="1" selected="0">
            <x v="64"/>
          </reference>
          <reference field="21" count="1" selected="0">
            <x v="1"/>
          </reference>
          <reference field="25" count="1">
            <x v="4"/>
          </reference>
        </references>
      </pivotArea>
    </format>
    <format dxfId="1758">
      <pivotArea dataOnly="0" labelOnly="1" outline="0" fieldPosition="0">
        <references count="6">
          <reference field="1" count="1" selected="0">
            <x v="0"/>
          </reference>
          <reference field="5" count="1" selected="0">
            <x v="12"/>
          </reference>
          <reference field="11" count="1" selected="0">
            <x v="175"/>
          </reference>
          <reference field="12" count="1" selected="0">
            <x v="72"/>
          </reference>
          <reference field="21" count="1" selected="0">
            <x v="0"/>
          </reference>
          <reference field="25" count="1">
            <x v="0"/>
          </reference>
        </references>
      </pivotArea>
    </format>
    <format dxfId="1757">
      <pivotArea dataOnly="0" labelOnly="1" outline="0" fieldPosition="0">
        <references count="6">
          <reference field="1" count="1" selected="0">
            <x v="0"/>
          </reference>
          <reference field="5" count="1" selected="0">
            <x v="12"/>
          </reference>
          <reference field="11" count="1" selected="0">
            <x v="188"/>
          </reference>
          <reference field="12" count="1" selected="0">
            <x v="59"/>
          </reference>
          <reference field="21" count="1" selected="0">
            <x v="1"/>
          </reference>
          <reference field="25" count="1">
            <x v="4"/>
          </reference>
        </references>
      </pivotArea>
    </format>
    <format dxfId="1756">
      <pivotArea dataOnly="0" labelOnly="1" outline="0" fieldPosition="0">
        <references count="6">
          <reference field="1" count="1" selected="0">
            <x v="0"/>
          </reference>
          <reference field="5" count="1" selected="0">
            <x v="14"/>
          </reference>
          <reference field="11" count="1" selected="0">
            <x v="24"/>
          </reference>
          <reference field="12" count="1" selected="0">
            <x v="11"/>
          </reference>
          <reference field="21" count="1" selected="0">
            <x v="0"/>
          </reference>
          <reference field="25" count="1">
            <x v="0"/>
          </reference>
        </references>
      </pivotArea>
    </format>
    <format dxfId="1755">
      <pivotArea dataOnly="0" labelOnly="1" outline="0" fieldPosition="0">
        <references count="6">
          <reference field="1" count="1" selected="0">
            <x v="0"/>
          </reference>
          <reference field="5" count="1" selected="0">
            <x v="14"/>
          </reference>
          <reference field="11" count="1" selected="0">
            <x v="47"/>
          </reference>
          <reference field="12" count="1" selected="0">
            <x v="18"/>
          </reference>
          <reference field="21" count="1" selected="0">
            <x v="0"/>
          </reference>
          <reference field="25" count="1">
            <x v="2"/>
          </reference>
        </references>
      </pivotArea>
    </format>
    <format dxfId="1754">
      <pivotArea dataOnly="0" labelOnly="1" outline="0" fieldPosition="0">
        <references count="6">
          <reference field="1" count="1" selected="0">
            <x v="0"/>
          </reference>
          <reference field="5" count="1" selected="0">
            <x v="14"/>
          </reference>
          <reference field="11" count="1" selected="0">
            <x v="54"/>
          </reference>
          <reference field="12" count="1" selected="0">
            <x v="12"/>
          </reference>
          <reference field="21" count="1" selected="0">
            <x v="0"/>
          </reference>
          <reference field="25" count="1">
            <x v="0"/>
          </reference>
        </references>
      </pivotArea>
    </format>
    <format dxfId="1753">
      <pivotArea dataOnly="0" labelOnly="1" outline="0" fieldPosition="0">
        <references count="6">
          <reference field="1" count="1" selected="0">
            <x v="0"/>
          </reference>
          <reference field="5" count="1" selected="0">
            <x v="14"/>
          </reference>
          <reference field="11" count="1" selected="0">
            <x v="107"/>
          </reference>
          <reference field="12" count="1" selected="0">
            <x v="19"/>
          </reference>
          <reference field="21" count="1" selected="0">
            <x v="0"/>
          </reference>
          <reference field="25" count="1">
            <x v="3"/>
          </reference>
        </references>
      </pivotArea>
    </format>
    <format dxfId="1752">
      <pivotArea dataOnly="0" labelOnly="1" outline="0" fieldPosition="0">
        <references count="6">
          <reference field="1" count="1" selected="0">
            <x v="0"/>
          </reference>
          <reference field="5" count="1" selected="0">
            <x v="14"/>
          </reference>
          <reference field="11" count="1" selected="0">
            <x v="144"/>
          </reference>
          <reference field="12" count="1" selected="0">
            <x v="23"/>
          </reference>
          <reference field="21" count="1" selected="0">
            <x v="0"/>
          </reference>
          <reference field="25" count="1">
            <x v="2"/>
          </reference>
        </references>
      </pivotArea>
    </format>
    <format dxfId="1751">
      <pivotArea dataOnly="0" labelOnly="1" outline="0" fieldPosition="0">
        <references count="6">
          <reference field="1" count="1" selected="0">
            <x v="0"/>
          </reference>
          <reference field="5" count="1" selected="0">
            <x v="14"/>
          </reference>
          <reference field="11" count="1" selected="0">
            <x v="157"/>
          </reference>
          <reference field="12" count="1" selected="0">
            <x v="1"/>
          </reference>
          <reference field="21" count="1" selected="0">
            <x v="0"/>
          </reference>
          <reference field="25" count="1">
            <x v="0"/>
          </reference>
        </references>
      </pivotArea>
    </format>
    <format dxfId="1750">
      <pivotArea dataOnly="0" labelOnly="1" outline="0" fieldPosition="0">
        <references count="6">
          <reference field="1" count="1" selected="0">
            <x v="0"/>
          </reference>
          <reference field="5" count="1" selected="0">
            <x v="14"/>
          </reference>
          <reference field="11" count="1" selected="0">
            <x v="159"/>
          </reference>
          <reference field="12" count="1" selected="0">
            <x v="136"/>
          </reference>
          <reference field="21" count="1" selected="0">
            <x v="0"/>
          </reference>
          <reference field="25" count="1">
            <x v="2"/>
          </reference>
        </references>
      </pivotArea>
    </format>
    <format dxfId="1749">
      <pivotArea dataOnly="0" labelOnly="1" outline="0" fieldPosition="0">
        <references count="6">
          <reference field="1" count="1" selected="0">
            <x v="0"/>
          </reference>
          <reference field="5" count="1" selected="0">
            <x v="14"/>
          </reference>
          <reference field="11" count="1" selected="0">
            <x v="176"/>
          </reference>
          <reference field="12" count="1" selected="0">
            <x v="5"/>
          </reference>
          <reference field="21" count="1" selected="0">
            <x v="0"/>
          </reference>
          <reference field="25" count="1">
            <x v="0"/>
          </reference>
        </references>
      </pivotArea>
    </format>
    <format dxfId="1748">
      <pivotArea dataOnly="0" labelOnly="1" outline="0" fieldPosition="0">
        <references count="6">
          <reference field="1" count="1" selected="0">
            <x v="0"/>
          </reference>
          <reference field="5" count="1" selected="0">
            <x v="14"/>
          </reference>
          <reference field="11" count="1" selected="0">
            <x v="177"/>
          </reference>
          <reference field="12" count="1" selected="0">
            <x v="6"/>
          </reference>
          <reference field="21" count="1" selected="0">
            <x v="0"/>
          </reference>
          <reference field="25" count="1">
            <x v="3"/>
          </reference>
        </references>
      </pivotArea>
    </format>
    <format dxfId="1747">
      <pivotArea dataOnly="0" labelOnly="1" outline="0" fieldPosition="0">
        <references count="6">
          <reference field="1" count="1" selected="0">
            <x v="0"/>
          </reference>
          <reference field="5" count="1" selected="0">
            <x v="14"/>
          </reference>
          <reference field="11" count="1" selected="0">
            <x v="181"/>
          </reference>
          <reference field="12" count="1" selected="0">
            <x v="8"/>
          </reference>
          <reference field="21" count="1" selected="0">
            <x v="0"/>
          </reference>
          <reference field="25" count="1">
            <x v="0"/>
          </reference>
        </references>
      </pivotArea>
    </format>
    <format dxfId="1746">
      <pivotArea dataOnly="0" labelOnly="1" outline="0" fieldPosition="0">
        <references count="6">
          <reference field="1" count="1" selected="0">
            <x v="0"/>
          </reference>
          <reference field="5" count="1" selected="0">
            <x v="14"/>
          </reference>
          <reference field="11" count="1" selected="0">
            <x v="190"/>
          </reference>
          <reference field="12" count="1" selected="0">
            <x v="3"/>
          </reference>
          <reference field="21" count="1" selected="0">
            <x v="0"/>
          </reference>
          <reference field="25" count="1">
            <x v="3"/>
          </reference>
        </references>
      </pivotArea>
    </format>
    <format dxfId="1745">
      <pivotArea dataOnly="0" labelOnly="1" outline="0" fieldPosition="0">
        <references count="6">
          <reference field="1" count="1" selected="0">
            <x v="0"/>
          </reference>
          <reference field="5" count="1" selected="0">
            <x v="14"/>
          </reference>
          <reference field="11" count="1" selected="0">
            <x v="191"/>
          </reference>
          <reference field="12" count="1" selected="0">
            <x v="2"/>
          </reference>
          <reference field="21" count="1" selected="0">
            <x v="0"/>
          </reference>
          <reference field="25" count="1">
            <x v="0"/>
          </reference>
        </references>
      </pivotArea>
    </format>
    <format dxfId="1744">
      <pivotArea dataOnly="0" labelOnly="1" outline="0" fieldPosition="0">
        <references count="6">
          <reference field="1" count="1" selected="0">
            <x v="0"/>
          </reference>
          <reference field="5" count="1" selected="0">
            <x v="14"/>
          </reference>
          <reference field="11" count="1" selected="0">
            <x v="204"/>
          </reference>
          <reference field="12" count="1" selected="0">
            <x v="21"/>
          </reference>
          <reference field="21" count="1" selected="0">
            <x v="0"/>
          </reference>
          <reference field="25" count="1">
            <x v="3"/>
          </reference>
        </references>
      </pivotArea>
    </format>
    <format dxfId="1743">
      <pivotArea dataOnly="0" labelOnly="1" outline="0" fieldPosition="0">
        <references count="6">
          <reference field="1" count="1" selected="0">
            <x v="0"/>
          </reference>
          <reference field="5" count="1" selected="0">
            <x v="17"/>
          </reference>
          <reference field="11" count="1" selected="0">
            <x v="196"/>
          </reference>
          <reference field="12" count="1" selected="0">
            <x v="74"/>
          </reference>
          <reference field="21" count="1" selected="0">
            <x v="1"/>
          </reference>
          <reference field="25" count="1">
            <x v="4"/>
          </reference>
        </references>
      </pivotArea>
    </format>
    <format dxfId="1742">
      <pivotArea dataOnly="0" labelOnly="1" outline="0" fieldPosition="0">
        <references count="6">
          <reference field="1" count="1" selected="0">
            <x v="0"/>
          </reference>
          <reference field="5" count="1" selected="0">
            <x v="17"/>
          </reference>
          <reference field="11" count="1" selected="0">
            <x v="231"/>
          </reference>
          <reference field="12" count="1" selected="0">
            <x v="234"/>
          </reference>
          <reference field="21" count="1" selected="0">
            <x v="0"/>
          </reference>
          <reference field="25" count="1">
            <x v="0"/>
          </reference>
        </references>
      </pivotArea>
    </format>
    <format dxfId="1741">
      <pivotArea dataOnly="0" labelOnly="1" outline="0" fieldPosition="0">
        <references count="6">
          <reference field="1" count="1" selected="0">
            <x v="0"/>
          </reference>
          <reference field="5" count="1" selected="0">
            <x v="18"/>
          </reference>
          <reference field="11" count="1" selected="0">
            <x v="38"/>
          </reference>
          <reference field="12" count="1" selected="0">
            <x v="169"/>
          </reference>
          <reference field="21" count="1" selected="0">
            <x v="1"/>
          </reference>
          <reference field="25" count="1">
            <x v="4"/>
          </reference>
        </references>
      </pivotArea>
    </format>
    <format dxfId="1740">
      <pivotArea dataOnly="0" labelOnly="1" outline="0" fieldPosition="0">
        <references count="6">
          <reference field="1" count="1" selected="0">
            <x v="0"/>
          </reference>
          <reference field="5" count="1" selected="0">
            <x v="18"/>
          </reference>
          <reference field="11" count="1" selected="0">
            <x v="179"/>
          </reference>
          <reference field="12" count="1" selected="0">
            <x v="66"/>
          </reference>
          <reference field="21" count="1" selected="0">
            <x v="0"/>
          </reference>
          <reference field="25" count="1">
            <x v="0"/>
          </reference>
        </references>
      </pivotArea>
    </format>
    <format dxfId="1739">
      <pivotArea dataOnly="0" labelOnly="1" outline="0" fieldPosition="0">
        <references count="6">
          <reference field="1" count="1" selected="0">
            <x v="0"/>
          </reference>
          <reference field="5" count="1" selected="0">
            <x v="18"/>
          </reference>
          <reference field="11" count="1" selected="0">
            <x v="180"/>
          </reference>
          <reference field="12" count="1" selected="0">
            <x v="67"/>
          </reference>
          <reference field="21" count="1" selected="0">
            <x v="0"/>
          </reference>
          <reference field="25" count="1">
            <x v="1"/>
          </reference>
        </references>
      </pivotArea>
    </format>
    <format dxfId="1738">
      <pivotArea dataOnly="0" labelOnly="1" outline="0" fieldPosition="0">
        <references count="6">
          <reference field="1" count="1" selected="0">
            <x v="0"/>
          </reference>
          <reference field="5" count="1" selected="0">
            <x v="19"/>
          </reference>
          <reference field="11" count="1" selected="0">
            <x v="185"/>
          </reference>
          <reference field="12" count="1" selected="0">
            <x v="175"/>
          </reference>
          <reference field="21" count="1" selected="0">
            <x v="0"/>
          </reference>
          <reference field="25" count="1">
            <x v="4"/>
          </reference>
        </references>
      </pivotArea>
    </format>
    <format dxfId="1737">
      <pivotArea dataOnly="0" labelOnly="1" outline="0" fieldPosition="0">
        <references count="6">
          <reference field="1" count="1" selected="0">
            <x v="0"/>
          </reference>
          <reference field="5" count="1" selected="0">
            <x v="20"/>
          </reference>
          <reference field="11" count="1" selected="0">
            <x v="17"/>
          </reference>
          <reference field="12" count="1" selected="0">
            <x v="108"/>
          </reference>
          <reference field="21" count="1" selected="0">
            <x v="0"/>
          </reference>
          <reference field="25" count="1">
            <x v="2"/>
          </reference>
        </references>
      </pivotArea>
    </format>
    <format dxfId="1736">
      <pivotArea dataOnly="0" labelOnly="1" outline="0" fieldPosition="0">
        <references count="6">
          <reference field="1" count="1" selected="0">
            <x v="0"/>
          </reference>
          <reference field="5" count="1" selected="0">
            <x v="20"/>
          </reference>
          <reference field="11" count="1" selected="0">
            <x v="33"/>
          </reference>
          <reference field="12" count="1" selected="0">
            <x v="27"/>
          </reference>
          <reference field="21" count="1" selected="0">
            <x v="0"/>
          </reference>
          <reference field="25" count="1">
            <x v="3"/>
          </reference>
        </references>
      </pivotArea>
    </format>
    <format dxfId="1735">
      <pivotArea dataOnly="0" labelOnly="1" outline="0" fieldPosition="0">
        <references count="6">
          <reference field="1" count="1" selected="0">
            <x v="0"/>
          </reference>
          <reference field="5" count="1" selected="0">
            <x v="20"/>
          </reference>
          <reference field="11" count="1" selected="0">
            <x v="34"/>
          </reference>
          <reference field="12" count="1" selected="0">
            <x v="110"/>
          </reference>
          <reference field="21" count="1" selected="0">
            <x v="0"/>
          </reference>
          <reference field="25" count="1">
            <x v="0"/>
          </reference>
        </references>
      </pivotArea>
    </format>
    <format dxfId="1734">
      <pivotArea dataOnly="0" labelOnly="1" outline="0" fieldPosition="0">
        <references count="6">
          <reference field="1" count="1" selected="0">
            <x v="0"/>
          </reference>
          <reference field="5" count="1" selected="0">
            <x v="20"/>
          </reference>
          <reference field="11" count="1" selected="0">
            <x v="44"/>
          </reference>
          <reference field="12" count="1" selected="0">
            <x v="176"/>
          </reference>
          <reference field="21" count="1" selected="0">
            <x v="2"/>
          </reference>
          <reference field="25" count="1">
            <x v="4"/>
          </reference>
        </references>
      </pivotArea>
    </format>
    <format dxfId="1733">
      <pivotArea dataOnly="0" labelOnly="1" outline="0" fieldPosition="0">
        <references count="6">
          <reference field="1" count="1" selected="0">
            <x v="0"/>
          </reference>
          <reference field="5" count="1" selected="0">
            <x v="20"/>
          </reference>
          <reference field="11" count="1" selected="0">
            <x v="48"/>
          </reference>
          <reference field="12" count="1" selected="0">
            <x v="116"/>
          </reference>
          <reference field="21" count="1" selected="0">
            <x v="0"/>
          </reference>
          <reference field="25" count="1">
            <x v="2"/>
          </reference>
        </references>
      </pivotArea>
    </format>
    <format dxfId="1732">
      <pivotArea dataOnly="0" labelOnly="1" outline="0" fieldPosition="0">
        <references count="6">
          <reference field="1" count="1" selected="0">
            <x v="0"/>
          </reference>
          <reference field="5" count="1" selected="0">
            <x v="20"/>
          </reference>
          <reference field="11" count="1" selected="0">
            <x v="75"/>
          </reference>
          <reference field="12" count="1" selected="0">
            <x v="26"/>
          </reference>
          <reference field="21" count="1" selected="0">
            <x v="0"/>
          </reference>
          <reference field="25" count="1">
            <x v="0"/>
          </reference>
        </references>
      </pivotArea>
    </format>
    <format dxfId="1731">
      <pivotArea dataOnly="0" labelOnly="1" outline="0" fieldPosition="0">
        <references count="6">
          <reference field="1" count="1" selected="0">
            <x v="0"/>
          </reference>
          <reference field="5" count="1" selected="0">
            <x v="20"/>
          </reference>
          <reference field="11" count="1" selected="0">
            <x v="76"/>
          </reference>
          <reference field="12" count="1" selected="0">
            <x v="114"/>
          </reference>
          <reference field="21" count="1" selected="0">
            <x v="0"/>
          </reference>
          <reference field="25" count="1">
            <x v="2"/>
          </reference>
        </references>
      </pivotArea>
    </format>
    <format dxfId="1730">
      <pivotArea dataOnly="0" labelOnly="1" outline="0" fieldPosition="0">
        <references count="6">
          <reference field="1" count="1" selected="0">
            <x v="0"/>
          </reference>
          <reference field="5" count="1" selected="0">
            <x v="20"/>
          </reference>
          <reference field="11" count="1" selected="0">
            <x v="78"/>
          </reference>
          <reference field="12" count="1" selected="0">
            <x v="30"/>
          </reference>
          <reference field="21" count="1" selected="0">
            <x v="0"/>
          </reference>
          <reference field="25" count="1">
            <x v="3"/>
          </reference>
        </references>
      </pivotArea>
    </format>
    <format dxfId="1729">
      <pivotArea dataOnly="0" labelOnly="1" outline="0" fieldPosition="0">
        <references count="6">
          <reference field="1" count="1" selected="0">
            <x v="0"/>
          </reference>
          <reference field="5" count="1" selected="0">
            <x v="20"/>
          </reference>
          <reference field="11" count="1" selected="0">
            <x v="79"/>
          </reference>
          <reference field="12" count="1" selected="0">
            <x v="28"/>
          </reference>
          <reference field="21" count="1" selected="0">
            <x v="0"/>
          </reference>
          <reference field="25" count="1">
            <x v="2"/>
          </reference>
        </references>
      </pivotArea>
    </format>
    <format dxfId="1728">
      <pivotArea dataOnly="0" labelOnly="1" outline="0" fieldPosition="0">
        <references count="6">
          <reference field="1" count="1" selected="0">
            <x v="0"/>
          </reference>
          <reference field="5" count="1" selected="0">
            <x v="20"/>
          </reference>
          <reference field="11" count="1" selected="0">
            <x v="80"/>
          </reference>
          <reference field="12" count="1" selected="0">
            <x v="39"/>
          </reference>
          <reference field="21" count="1" selected="0">
            <x v="0"/>
          </reference>
          <reference field="25" count="1">
            <x v="0"/>
          </reference>
        </references>
      </pivotArea>
    </format>
    <format dxfId="1727">
      <pivotArea dataOnly="0" labelOnly="1" outline="0" fieldPosition="0">
        <references count="6">
          <reference field="1" count="1" selected="0">
            <x v="0"/>
          </reference>
          <reference field="5" count="1" selected="0">
            <x v="20"/>
          </reference>
          <reference field="11" count="1" selected="0">
            <x v="151"/>
          </reference>
          <reference field="12" count="1" selected="0">
            <x v="32"/>
          </reference>
          <reference field="21" count="1" selected="0">
            <x v="0"/>
          </reference>
          <reference field="25" count="1">
            <x v="3"/>
          </reference>
        </references>
      </pivotArea>
    </format>
    <format dxfId="1726">
      <pivotArea dataOnly="0" labelOnly="1" outline="0" fieldPosition="0">
        <references count="6">
          <reference field="1" count="1" selected="0">
            <x v="0"/>
          </reference>
          <reference field="5" count="1" selected="0">
            <x v="20"/>
          </reference>
          <reference field="11" count="1" selected="0">
            <x v="165"/>
          </reference>
          <reference field="12" count="1" selected="0">
            <x v="135"/>
          </reference>
          <reference field="21" count="1" selected="0">
            <x v="0"/>
          </reference>
          <reference field="25" count="1">
            <x v="2"/>
          </reference>
        </references>
      </pivotArea>
    </format>
    <format dxfId="1725">
      <pivotArea dataOnly="0" labelOnly="1" outline="0" fieldPosition="0">
        <references count="6">
          <reference field="1" count="1" selected="0">
            <x v="0"/>
          </reference>
          <reference field="5" count="1" selected="0">
            <x v="20"/>
          </reference>
          <reference field="11" count="1" selected="0">
            <x v="166"/>
          </reference>
          <reference field="12" count="1" selected="0">
            <x v="31"/>
          </reference>
          <reference field="21" count="1" selected="0">
            <x v="0"/>
          </reference>
          <reference field="25" count="1">
            <x v="3"/>
          </reference>
        </references>
      </pivotArea>
    </format>
    <format dxfId="1724">
      <pivotArea dataOnly="0" labelOnly="1" outline="0" fieldPosition="0">
        <references count="6">
          <reference field="1" count="1" selected="0">
            <x v="0"/>
          </reference>
          <reference field="5" count="1" selected="0">
            <x v="20"/>
          </reference>
          <reference field="11" count="1" selected="0">
            <x v="167"/>
          </reference>
          <reference field="12" count="1" selected="0">
            <x v="24"/>
          </reference>
          <reference field="21" count="1" selected="0">
            <x v="0"/>
          </reference>
          <reference field="25" count="1">
            <x v="0"/>
          </reference>
        </references>
      </pivotArea>
    </format>
    <format dxfId="1723">
      <pivotArea dataOnly="0" labelOnly="1" outline="0" fieldPosition="0">
        <references count="6">
          <reference field="1" count="1" selected="0">
            <x v="0"/>
          </reference>
          <reference field="5" count="1" selected="0">
            <x v="20"/>
          </reference>
          <reference field="11" count="1" selected="0">
            <x v="168"/>
          </reference>
          <reference field="12" count="1" selected="0">
            <x v="29"/>
          </reference>
          <reference field="21" count="1" selected="0">
            <x v="0"/>
          </reference>
          <reference field="25" count="1">
            <x v="3"/>
          </reference>
        </references>
      </pivotArea>
    </format>
    <format dxfId="1722">
      <pivotArea dataOnly="0" labelOnly="1" outline="0" fieldPosition="0">
        <references count="6">
          <reference field="1" count="1" selected="0">
            <x v="0"/>
          </reference>
          <reference field="5" count="1" selected="0">
            <x v="20"/>
          </reference>
          <reference field="11" count="1" selected="0">
            <x v="178"/>
          </reference>
          <reference field="12" count="1" selected="0">
            <x v="40"/>
          </reference>
          <reference field="21" count="1" selected="0">
            <x v="0"/>
          </reference>
          <reference field="25" count="1">
            <x v="0"/>
          </reference>
        </references>
      </pivotArea>
    </format>
    <format dxfId="1721">
      <pivotArea dataOnly="0" labelOnly="1" outline="0" fieldPosition="0">
        <references count="6">
          <reference field="1" count="1" selected="0">
            <x v="0"/>
          </reference>
          <reference field="5" count="1" selected="0">
            <x v="20"/>
          </reference>
          <reference field="11" count="1" selected="0">
            <x v="193"/>
          </reference>
          <reference field="12" count="1" selected="0">
            <x v="36"/>
          </reference>
          <reference field="21" count="1" selected="0">
            <x v="0"/>
          </reference>
          <reference field="25" count="1">
            <x v="3"/>
          </reference>
        </references>
      </pivotArea>
    </format>
    <format dxfId="1720">
      <pivotArea dataOnly="0" labelOnly="1" outline="0" fieldPosition="0">
        <references count="6">
          <reference field="1" count="1" selected="0">
            <x v="0"/>
          </reference>
          <reference field="5" count="1" selected="0">
            <x v="20"/>
          </reference>
          <reference field="11" count="1" selected="0">
            <x v="201"/>
          </reference>
          <reference field="12" count="1" selected="0">
            <x v="111"/>
          </reference>
          <reference field="21" count="1" selected="0">
            <x v="0"/>
          </reference>
          <reference field="25" count="1">
            <x v="2"/>
          </reference>
        </references>
      </pivotArea>
    </format>
    <format dxfId="1719">
      <pivotArea dataOnly="0" labelOnly="1" outline="0" fieldPosition="0">
        <references count="6">
          <reference field="1" count="1" selected="0">
            <x v="0"/>
          </reference>
          <reference field="5" count="1" selected="0">
            <x v="20"/>
          </reference>
          <reference field="11" count="1" selected="0">
            <x v="228"/>
          </reference>
          <reference field="12" count="1" selected="0">
            <x v="115"/>
          </reference>
          <reference field="21" count="1" selected="0">
            <x v="0"/>
          </reference>
          <reference field="25" count="1">
            <x v="0"/>
          </reference>
        </references>
      </pivotArea>
    </format>
    <format dxfId="1718">
      <pivotArea dataOnly="0" labelOnly="1" outline="0" fieldPosition="0">
        <references count="6">
          <reference field="1" count="1" selected="0">
            <x v="1"/>
          </reference>
          <reference field="5" count="1" selected="0">
            <x v="3"/>
          </reference>
          <reference field="11" count="1" selected="0">
            <x v="148"/>
          </reference>
          <reference field="12" count="1" selected="0">
            <x v="212"/>
          </reference>
          <reference field="21" count="1" selected="0">
            <x v="1"/>
          </reference>
          <reference field="25" count="1">
            <x v="4"/>
          </reference>
        </references>
      </pivotArea>
    </format>
    <format dxfId="1717">
      <pivotArea dataOnly="0" labelOnly="1" outline="0" fieldPosition="0">
        <references count="6">
          <reference field="1" count="1" selected="0">
            <x v="1"/>
          </reference>
          <reference field="5" count="1" selected="0">
            <x v="3"/>
          </reference>
          <reference field="11" count="1" selected="0">
            <x v="232"/>
          </reference>
          <reference field="12" count="1" selected="0">
            <x v="233"/>
          </reference>
          <reference field="21" count="1" selected="0">
            <x v="0"/>
          </reference>
          <reference field="25" count="1">
            <x v="0"/>
          </reference>
        </references>
      </pivotArea>
    </format>
    <format dxfId="1716">
      <pivotArea dataOnly="0" labelOnly="1" outline="0" fieldPosition="0">
        <references count="6">
          <reference field="1" count="1" selected="0">
            <x v="1"/>
          </reference>
          <reference field="5" count="1" selected="0">
            <x v="3"/>
          </reference>
          <reference field="11" count="1" selected="0">
            <x v="247"/>
          </reference>
          <reference field="12" count="1" selected="0">
            <x v="250"/>
          </reference>
          <reference field="21" count="1" selected="0">
            <x v="0"/>
          </reference>
          <reference field="25" count="1">
            <x v="4"/>
          </reference>
        </references>
      </pivotArea>
    </format>
    <format dxfId="1715">
      <pivotArea dataOnly="0" labelOnly="1" outline="0" fieldPosition="0">
        <references count="6">
          <reference field="1" count="1" selected="0">
            <x v="1"/>
          </reference>
          <reference field="5" count="1" selected="0">
            <x v="6"/>
          </reference>
          <reference field="11" count="1" selected="0">
            <x v="51"/>
          </reference>
          <reference field="12" count="1" selected="0">
            <x v="203"/>
          </reference>
          <reference field="21" count="1" selected="0">
            <x v="0"/>
          </reference>
          <reference field="25" count="1">
            <x v="0"/>
          </reference>
        </references>
      </pivotArea>
    </format>
    <format dxfId="1714">
      <pivotArea dataOnly="0" labelOnly="1" outline="0" fieldPosition="0">
        <references count="6">
          <reference field="1" count="1" selected="0">
            <x v="1"/>
          </reference>
          <reference field="5" count="1" selected="0">
            <x v="6"/>
          </reference>
          <reference field="11" count="1" selected="0">
            <x v="53"/>
          </reference>
          <reference field="12" count="1" selected="0">
            <x v="205"/>
          </reference>
          <reference field="21" count="1" selected="0">
            <x v="0"/>
          </reference>
          <reference field="25" count="1">
            <x v="5"/>
          </reference>
        </references>
      </pivotArea>
    </format>
    <format dxfId="1713">
      <pivotArea dataOnly="0" labelOnly="1" outline="0" fieldPosition="0">
        <references count="6">
          <reference field="1" count="1" selected="0">
            <x v="1"/>
          </reference>
          <reference field="5" count="1" selected="0">
            <x v="6"/>
          </reference>
          <reference field="11" count="1" selected="0">
            <x v="116"/>
          </reference>
          <reference field="12" count="1" selected="0">
            <x v="206"/>
          </reference>
          <reference field="21" count="1" selected="0">
            <x v="0"/>
          </reference>
          <reference field="25" count="1">
            <x v="0"/>
          </reference>
        </references>
      </pivotArea>
    </format>
    <format dxfId="1712">
      <pivotArea dataOnly="0" labelOnly="1" outline="0" fieldPosition="0">
        <references count="6">
          <reference field="1" count="1" selected="0">
            <x v="1"/>
          </reference>
          <reference field="5" count="1" selected="0">
            <x v="6"/>
          </reference>
          <reference field="11" count="1" selected="0">
            <x v="221"/>
          </reference>
          <reference field="12" count="1" selected="0">
            <x v="229"/>
          </reference>
          <reference field="21" count="1" selected="0">
            <x v="0"/>
          </reference>
          <reference field="25" count="1">
            <x v="5"/>
          </reference>
        </references>
      </pivotArea>
    </format>
    <format dxfId="1711">
      <pivotArea dataOnly="0" labelOnly="1" outline="0" fieldPosition="0">
        <references count="6">
          <reference field="1" count="1" selected="0">
            <x v="1"/>
          </reference>
          <reference field="5" count="1" selected="0">
            <x v="6"/>
          </reference>
          <reference field="11" count="1" selected="0">
            <x v="239"/>
          </reference>
          <reference field="12" count="1" selected="0">
            <x v="241"/>
          </reference>
          <reference field="21" count="1" selected="0">
            <x v="0"/>
          </reference>
          <reference field="25" count="1">
            <x v="4"/>
          </reference>
        </references>
      </pivotArea>
    </format>
    <format dxfId="1710">
      <pivotArea dataOnly="0" labelOnly="1" outline="0" fieldPosition="0">
        <references count="6">
          <reference field="1" count="1" selected="0">
            <x v="1"/>
          </reference>
          <reference field="5" count="1" selected="0">
            <x v="9"/>
          </reference>
          <reference field="11" count="1" selected="0">
            <x v="95"/>
          </reference>
          <reference field="12" count="1" selected="0">
            <x v="198"/>
          </reference>
          <reference field="21" count="1" selected="0">
            <x v="0"/>
          </reference>
          <reference field="25" count="1">
            <x v="0"/>
          </reference>
        </references>
      </pivotArea>
    </format>
    <format dxfId="1709">
      <pivotArea dataOnly="0" labelOnly="1" outline="0" fieldPosition="0">
        <references count="6">
          <reference field="1" count="1" selected="0">
            <x v="1"/>
          </reference>
          <reference field="5" count="1" selected="0">
            <x v="9"/>
          </reference>
          <reference field="11" count="1" selected="0">
            <x v="96"/>
          </reference>
          <reference field="12" count="1" selected="0">
            <x v="213"/>
          </reference>
          <reference field="21" count="1" selected="0">
            <x v="0"/>
          </reference>
          <reference field="25" count="1">
            <x v="5"/>
          </reference>
        </references>
      </pivotArea>
    </format>
    <format dxfId="1708">
      <pivotArea dataOnly="0" labelOnly="1" outline="0" fieldPosition="0">
        <references count="6">
          <reference field="1" count="1" selected="0">
            <x v="1"/>
          </reference>
          <reference field="5" count="1" selected="0">
            <x v="9"/>
          </reference>
          <reference field="11" count="1" selected="0">
            <x v="246"/>
          </reference>
          <reference field="12" count="1" selected="0">
            <x v="246"/>
          </reference>
          <reference field="21" count="1" selected="0">
            <x v="0"/>
          </reference>
          <reference field="25" count="1">
            <x v="4"/>
          </reference>
        </references>
      </pivotArea>
    </format>
    <format dxfId="1707">
      <pivotArea dataOnly="0" labelOnly="1" outline="0" fieldPosition="0">
        <references count="6">
          <reference field="1" count="1" selected="0">
            <x v="1"/>
          </reference>
          <reference field="5" count="1" selected="0">
            <x v="13"/>
          </reference>
          <reference field="11" count="1" selected="0">
            <x v="39"/>
          </reference>
          <reference field="12" count="1" selected="0">
            <x v="199"/>
          </reference>
          <reference field="21" count="1" selected="0">
            <x v="1"/>
          </reference>
          <reference field="25" count="1">
            <x v="4"/>
          </reference>
        </references>
      </pivotArea>
    </format>
    <format dxfId="1706">
      <pivotArea dataOnly="0" labelOnly="1" outline="0" fieldPosition="0">
        <references count="6">
          <reference field="1" count="1" selected="0">
            <x v="1"/>
          </reference>
          <reference field="5" count="1" selected="0">
            <x v="13"/>
          </reference>
          <reference field="11" count="1" selected="0">
            <x v="214"/>
          </reference>
          <reference field="12" count="1" selected="0">
            <x v="222"/>
          </reference>
          <reference field="21" count="1" selected="0">
            <x v="0"/>
          </reference>
          <reference field="25" count="1">
            <x v="0"/>
          </reference>
        </references>
      </pivotArea>
    </format>
    <format dxfId="1705">
      <pivotArea dataOnly="0" labelOnly="1" outline="0" fieldPosition="0">
        <references count="6">
          <reference field="1" count="1" selected="0">
            <x v="1"/>
          </reference>
          <reference field="5" count="1" selected="0">
            <x v="13"/>
          </reference>
          <reference field="11" count="1" selected="0">
            <x v="217"/>
          </reference>
          <reference field="12" count="1" selected="0">
            <x v="226"/>
          </reference>
          <reference field="21" count="1" selected="0">
            <x v="0"/>
          </reference>
          <reference field="25" count="1">
            <x v="5"/>
          </reference>
        </references>
      </pivotArea>
    </format>
    <format dxfId="1704">
      <pivotArea dataOnly="0" labelOnly="1" outline="0" fieldPosition="0">
        <references count="6">
          <reference field="1" count="1" selected="0">
            <x v="1"/>
          </reference>
          <reference field="5" count="1" selected="0">
            <x v="15"/>
          </reference>
          <reference field="11" count="1" selected="0">
            <x v="130"/>
          </reference>
          <reference field="12" count="1" selected="0">
            <x v="194"/>
          </reference>
          <reference field="21" count="1" selected="0">
            <x v="0"/>
          </reference>
          <reference field="25" count="1">
            <x v="0"/>
          </reference>
        </references>
      </pivotArea>
    </format>
    <format dxfId="1703">
      <pivotArea dataOnly="0" labelOnly="1" outline="0" fieldPosition="0">
        <references count="6">
          <reference field="1" count="1" selected="0">
            <x v="1"/>
          </reference>
          <reference field="5" count="1" selected="0">
            <x v="15"/>
          </reference>
          <reference field="11" count="1" selected="0">
            <x v="132"/>
          </reference>
          <reference field="12" count="1" selected="0">
            <x v="193"/>
          </reference>
          <reference field="21" count="1" selected="0">
            <x v="0"/>
          </reference>
          <reference field="25" count="1">
            <x v="5"/>
          </reference>
        </references>
      </pivotArea>
    </format>
    <format dxfId="1702">
      <pivotArea dataOnly="0" labelOnly="1" outline="0" fieldPosition="0">
        <references count="6">
          <reference field="1" count="1" selected="0">
            <x v="1"/>
          </reference>
          <reference field="5" count="1" selected="0">
            <x v="15"/>
          </reference>
          <reference field="11" count="1" selected="0">
            <x v="215"/>
          </reference>
          <reference field="12" count="1" selected="0">
            <x v="223"/>
          </reference>
          <reference field="21" count="1" selected="0">
            <x v="0"/>
          </reference>
          <reference field="25" count="1">
            <x v="0"/>
          </reference>
        </references>
      </pivotArea>
    </format>
    <format dxfId="1701">
      <pivotArea dataOnly="0" labelOnly="1" outline="0" fieldPosition="0">
        <references count="6">
          <reference field="1" count="1" selected="0">
            <x v="1"/>
          </reference>
          <reference field="5" count="1" selected="0">
            <x v="15"/>
          </reference>
          <reference field="11" count="1" selected="0">
            <x v="242"/>
          </reference>
          <reference field="12" count="1" selected="0">
            <x v="247"/>
          </reference>
          <reference field="21" count="1" selected="0">
            <x v="0"/>
          </reference>
          <reference field="25" count="1">
            <x v="4"/>
          </reference>
        </references>
      </pivotArea>
    </format>
    <format dxfId="1700">
      <pivotArea dataOnly="0" labelOnly="1" outline="0" fieldPosition="0">
        <references count="6">
          <reference field="1" count="1" selected="0">
            <x v="1"/>
          </reference>
          <reference field="5" count="1" selected="0">
            <x v="16"/>
          </reference>
          <reference field="11" count="1" selected="0">
            <x v="142"/>
          </reference>
          <reference field="12" count="1" selected="0">
            <x v="202"/>
          </reference>
          <reference field="21" count="1" selected="0">
            <x v="0"/>
          </reference>
          <reference field="25" count="1">
            <x v="0"/>
          </reference>
        </references>
      </pivotArea>
    </format>
    <format dxfId="1699">
      <pivotArea dataOnly="0" labelOnly="1" outline="0" fieldPosition="0">
        <references count="6">
          <reference field="1" count="1" selected="0">
            <x v="1"/>
          </reference>
          <reference field="5" count="1" selected="0">
            <x v="16"/>
          </reference>
          <reference field="11" count="1" selected="0">
            <x v="143"/>
          </reference>
          <reference field="12" count="1" selected="0">
            <x v="214"/>
          </reference>
          <reference field="21" count="1" selected="0">
            <x v="1"/>
          </reference>
          <reference field="25" count="1">
            <x v="4"/>
          </reference>
        </references>
      </pivotArea>
    </format>
    <format dxfId="1698">
      <pivotArea dataOnly="0" labelOnly="1" outline="0" fieldPosition="0">
        <references count="7">
          <reference field="1" count="1" selected="0">
            <x v="0"/>
          </reference>
          <reference field="5" count="1" selected="0">
            <x v="0"/>
          </reference>
          <reference field="11" count="1" selected="0">
            <x v="3"/>
          </reference>
          <reference field="12" count="1" selected="0">
            <x v="49"/>
          </reference>
          <reference field="19" count="1">
            <x v="0"/>
          </reference>
          <reference field="21" count="1" selected="0">
            <x v="0"/>
          </reference>
          <reference field="25" count="1" selected="0">
            <x v="1"/>
          </reference>
        </references>
      </pivotArea>
    </format>
    <format dxfId="1697">
      <pivotArea dataOnly="0" labelOnly="1" outline="0" fieldPosition="0">
        <references count="7">
          <reference field="1" count="1" selected="0">
            <x v="0"/>
          </reference>
          <reference field="5" count="1" selected="0">
            <x v="0"/>
          </reference>
          <reference field="11" count="1" selected="0">
            <x v="7"/>
          </reference>
          <reference field="12" count="1" selected="0">
            <x v="164"/>
          </reference>
          <reference field="19" count="1">
            <x v="0"/>
          </reference>
          <reference field="21" count="1" selected="0">
            <x v="0"/>
          </reference>
          <reference field="25" count="1" selected="0">
            <x v="0"/>
          </reference>
        </references>
      </pivotArea>
    </format>
    <format dxfId="1696">
      <pivotArea dataOnly="0" labelOnly="1" outline="0" fieldPosition="0">
        <references count="7">
          <reference field="1" count="1" selected="0">
            <x v="0"/>
          </reference>
          <reference field="5" count="1" selected="0">
            <x v="0"/>
          </reference>
          <reference field="11" count="1" selected="0">
            <x v="38"/>
          </reference>
          <reference field="12" count="1" selected="0">
            <x v="137"/>
          </reference>
          <reference field="19" count="1">
            <x v="0"/>
          </reference>
          <reference field="21" count="1" selected="0">
            <x v="1"/>
          </reference>
          <reference field="25" count="1" selected="0">
            <x v="4"/>
          </reference>
        </references>
      </pivotArea>
    </format>
    <format dxfId="1695">
      <pivotArea dataOnly="0" labelOnly="1" outline="0" fieldPosition="0">
        <references count="7">
          <reference field="1" count="1" selected="0">
            <x v="0"/>
          </reference>
          <reference field="5" count="1" selected="0">
            <x v="0"/>
          </reference>
          <reference field="11" count="1" selected="0">
            <x v="43"/>
          </reference>
          <reference field="12" count="1" selected="0">
            <x v="51"/>
          </reference>
          <reference field="19" count="1">
            <x v="0"/>
          </reference>
          <reference field="21" count="1" selected="0">
            <x v="0"/>
          </reference>
          <reference field="25" count="1" selected="0">
            <x v="0"/>
          </reference>
        </references>
      </pivotArea>
    </format>
    <format dxfId="1694">
      <pivotArea dataOnly="0" labelOnly="1" outline="0" fieldPosition="0">
        <references count="7">
          <reference field="1" count="1" selected="0">
            <x v="0"/>
          </reference>
          <reference field="5" count="1" selected="0">
            <x v="0"/>
          </reference>
          <reference field="11" count="1" selected="0">
            <x v="68"/>
          </reference>
          <reference field="12" count="1" selected="0">
            <x v="48"/>
          </reference>
          <reference field="19" count="1">
            <x v="0"/>
          </reference>
          <reference field="21" count="1" selected="0">
            <x v="0"/>
          </reference>
          <reference field="25" count="1" selected="0">
            <x v="3"/>
          </reference>
        </references>
      </pivotArea>
    </format>
    <format dxfId="1693">
      <pivotArea dataOnly="0" labelOnly="1" outline="0" fieldPosition="0">
        <references count="7">
          <reference field="1" count="1" selected="0">
            <x v="0"/>
          </reference>
          <reference field="5" count="1" selected="0">
            <x v="0"/>
          </reference>
          <reference field="11" count="1" selected="0">
            <x v="126"/>
          </reference>
          <reference field="12" count="1" selected="0">
            <x v="50"/>
          </reference>
          <reference field="19" count="1">
            <x v="0"/>
          </reference>
          <reference field="21" count="1" selected="0">
            <x v="0"/>
          </reference>
          <reference field="25" count="1" selected="0">
            <x v="3"/>
          </reference>
        </references>
      </pivotArea>
    </format>
    <format dxfId="1692">
      <pivotArea dataOnly="0" labelOnly="1" outline="0" fieldPosition="0">
        <references count="7">
          <reference field="1" count="1" selected="0">
            <x v="0"/>
          </reference>
          <reference field="5" count="1" selected="0">
            <x v="0"/>
          </reference>
          <reference field="11" count="1" selected="0">
            <x v="145"/>
          </reference>
          <reference field="12" count="1" selected="0">
            <x v="53"/>
          </reference>
          <reference field="19" count="1">
            <x v="0"/>
          </reference>
          <reference field="21" count="1" selected="0">
            <x v="0"/>
          </reference>
          <reference field="25" count="1" selected="0">
            <x v="1"/>
          </reference>
        </references>
      </pivotArea>
    </format>
    <format dxfId="1691">
      <pivotArea dataOnly="0" labelOnly="1" outline="0" fieldPosition="0">
        <references count="7">
          <reference field="1" count="1" selected="0">
            <x v="0"/>
          </reference>
          <reference field="5" count="1" selected="0">
            <x v="0"/>
          </reference>
          <reference field="11" count="1" selected="0">
            <x v="163"/>
          </reference>
          <reference field="12" count="1" selected="0">
            <x v="163"/>
          </reference>
          <reference field="19" count="1">
            <x v="0"/>
          </reference>
          <reference field="21" count="1" selected="0">
            <x v="0"/>
          </reference>
          <reference field="25" count="1" selected="0">
            <x v="0"/>
          </reference>
        </references>
      </pivotArea>
    </format>
    <format dxfId="1690">
      <pivotArea dataOnly="0" labelOnly="1" outline="0" fieldPosition="0">
        <references count="7">
          <reference field="1" count="1" selected="0">
            <x v="0"/>
          </reference>
          <reference field="5" count="1" selected="0">
            <x v="0"/>
          </reference>
          <reference field="11" count="1" selected="0">
            <x v="171"/>
          </reference>
          <reference field="12" count="1" selected="0">
            <x v="46"/>
          </reference>
          <reference field="19" count="1">
            <x v="0"/>
          </reference>
          <reference field="21" count="1" selected="0">
            <x v="0"/>
          </reference>
          <reference field="25" count="1" selected="0">
            <x v="0"/>
          </reference>
        </references>
      </pivotArea>
    </format>
    <format dxfId="1689">
      <pivotArea dataOnly="0" labelOnly="1" outline="0" fieldPosition="0">
        <references count="7">
          <reference field="1" count="1" selected="0">
            <x v="0"/>
          </reference>
          <reference field="5" count="1" selected="0">
            <x v="0"/>
          </reference>
          <reference field="11" count="1" selected="0">
            <x v="186"/>
          </reference>
          <reference field="12" count="1" selected="0">
            <x v="54"/>
          </reference>
          <reference field="19" count="1">
            <x v="0"/>
          </reference>
          <reference field="21" count="1" selected="0">
            <x v="0"/>
          </reference>
          <reference field="25" count="1" selected="0">
            <x v="3"/>
          </reference>
        </references>
      </pivotArea>
    </format>
    <format dxfId="1688">
      <pivotArea dataOnly="0" labelOnly="1" outline="0" fieldPosition="0">
        <references count="7">
          <reference field="1" count="1" selected="0">
            <x v="0"/>
          </reference>
          <reference field="5" count="1" selected="0">
            <x v="0"/>
          </reference>
          <reference field="11" count="1" selected="0">
            <x v="205"/>
          </reference>
          <reference field="12" count="1" selected="0">
            <x v="52"/>
          </reference>
          <reference field="19" count="1">
            <x v="0"/>
          </reference>
          <reference field="21" count="1" selected="0">
            <x v="0"/>
          </reference>
          <reference field="25" count="1" selected="0">
            <x v="3"/>
          </reference>
        </references>
      </pivotArea>
    </format>
    <format dxfId="1687">
      <pivotArea dataOnly="0" labelOnly="1" outline="0" fieldPosition="0">
        <references count="7">
          <reference field="1" count="1" selected="0">
            <x v="0"/>
          </reference>
          <reference field="5" count="1" selected="0">
            <x v="1"/>
          </reference>
          <reference field="11" count="1" selected="0">
            <x v="21"/>
          </reference>
          <reference field="12" count="1" selected="0">
            <x v="41"/>
          </reference>
          <reference field="19" count="1">
            <x v="0"/>
          </reference>
          <reference field="21" count="1" selected="0">
            <x v="0"/>
          </reference>
          <reference field="25" count="1" selected="0">
            <x v="3"/>
          </reference>
        </references>
      </pivotArea>
    </format>
    <format dxfId="1686">
      <pivotArea dataOnly="0" labelOnly="1" outline="0" fieldPosition="0">
        <references count="7">
          <reference field="1" count="1" selected="0">
            <x v="0"/>
          </reference>
          <reference field="5" count="1" selected="0">
            <x v="1"/>
          </reference>
          <reference field="11" count="1" selected="0">
            <x v="41"/>
          </reference>
          <reference field="12" count="1" selected="0">
            <x v="42"/>
          </reference>
          <reference field="19" count="1">
            <x v="1"/>
          </reference>
          <reference field="21" count="1" selected="0">
            <x v="0"/>
          </reference>
          <reference field="25" count="1" selected="0">
            <x v="0"/>
          </reference>
        </references>
      </pivotArea>
    </format>
    <format dxfId="1685">
      <pivotArea dataOnly="0" labelOnly="1" outline="0" fieldPosition="0">
        <references count="7">
          <reference field="1" count="1" selected="0">
            <x v="0"/>
          </reference>
          <reference field="5" count="1" selected="0">
            <x v="1"/>
          </reference>
          <reference field="11" count="1" selected="0">
            <x v="59"/>
          </reference>
          <reference field="12" count="1" selected="0">
            <x v="44"/>
          </reference>
          <reference field="19" count="1">
            <x v="0"/>
          </reference>
          <reference field="21" count="1" selected="0">
            <x v="1"/>
          </reference>
          <reference field="25" count="1" selected="0">
            <x v="4"/>
          </reference>
        </references>
      </pivotArea>
    </format>
    <format dxfId="1684">
      <pivotArea dataOnly="0" labelOnly="1" outline="0" fieldPosition="0">
        <references count="7">
          <reference field="1" count="1" selected="0">
            <x v="0"/>
          </reference>
          <reference field="5" count="1" selected="0">
            <x v="1"/>
          </reference>
          <reference field="11" count="1" selected="0">
            <x v="65"/>
          </reference>
          <reference field="12" count="1" selected="0">
            <x v="165"/>
          </reference>
          <reference field="19" count="1">
            <x v="0"/>
          </reference>
          <reference field="21" count="1" selected="0">
            <x v="0"/>
          </reference>
          <reference field="25" count="1" selected="0">
            <x v="3"/>
          </reference>
        </references>
      </pivotArea>
    </format>
    <format dxfId="1683">
      <pivotArea dataOnly="0" labelOnly="1" outline="0" fieldPosition="0">
        <references count="7">
          <reference field="1" count="1" selected="0">
            <x v="0"/>
          </reference>
          <reference field="5" count="1" selected="0">
            <x v="1"/>
          </reference>
          <reference field="11" count="1" selected="0">
            <x v="161"/>
          </reference>
          <reference field="12" count="1" selected="0">
            <x v="178"/>
          </reference>
          <reference field="19" count="1">
            <x v="0"/>
          </reference>
          <reference field="21" count="1" selected="0">
            <x v="0"/>
          </reference>
          <reference field="25" count="1" selected="0">
            <x v="2"/>
          </reference>
        </references>
      </pivotArea>
    </format>
    <format dxfId="1682">
      <pivotArea dataOnly="0" labelOnly="1" outline="0" fieldPosition="0">
        <references count="7">
          <reference field="1" count="1" selected="0">
            <x v="0"/>
          </reference>
          <reference field="5" count="1" selected="0">
            <x v="1"/>
          </reference>
          <reference field="11" count="1" selected="0">
            <x v="210"/>
          </reference>
          <reference field="12" count="1" selected="0">
            <x v="219"/>
          </reference>
          <reference field="19" count="1">
            <x v="0"/>
          </reference>
          <reference field="21" count="1" selected="0">
            <x v="0"/>
          </reference>
          <reference field="25" count="1" selected="0">
            <x v="2"/>
          </reference>
        </references>
      </pivotArea>
    </format>
    <format dxfId="1681">
      <pivotArea dataOnly="0" labelOnly="1" outline="0" fieldPosition="0">
        <references count="7">
          <reference field="1" count="1" selected="0">
            <x v="0"/>
          </reference>
          <reference field="5" count="1" selected="0">
            <x v="2"/>
          </reference>
          <reference field="11" count="1" selected="0">
            <x v="1"/>
          </reference>
          <reference field="12" count="1" selected="0">
            <x v="150"/>
          </reference>
          <reference field="19" count="1">
            <x v="0"/>
          </reference>
          <reference field="21" count="1" selected="0">
            <x v="0"/>
          </reference>
          <reference field="25" count="1" selected="0">
            <x v="0"/>
          </reference>
        </references>
      </pivotArea>
    </format>
    <format dxfId="1680">
      <pivotArea dataOnly="0" labelOnly="1" outline="0" fieldPosition="0">
        <references count="7">
          <reference field="1" count="1" selected="0">
            <x v="0"/>
          </reference>
          <reference field="5" count="1" selected="0">
            <x v="2"/>
          </reference>
          <reference field="11" count="1" selected="0">
            <x v="2"/>
          </reference>
          <reference field="12" count="1" selected="0">
            <x v="139"/>
          </reference>
          <reference field="19" count="1">
            <x v="0"/>
          </reference>
          <reference field="21" count="1" selected="0">
            <x v="0"/>
          </reference>
          <reference field="25" count="1" selected="0">
            <x v="2"/>
          </reference>
        </references>
      </pivotArea>
    </format>
    <format dxfId="1679">
      <pivotArea dataOnly="0" labelOnly="1" outline="0" fieldPosition="0">
        <references count="7">
          <reference field="1" count="1" selected="0">
            <x v="0"/>
          </reference>
          <reference field="5" count="1" selected="0">
            <x v="2"/>
          </reference>
          <reference field="11" count="1" selected="0">
            <x v="4"/>
          </reference>
          <reference field="12" count="1" selected="0">
            <x v="147"/>
          </reference>
          <reference field="19" count="1">
            <x v="0"/>
          </reference>
          <reference field="21" count="1" selected="0">
            <x v="0"/>
          </reference>
          <reference field="25" count="1" selected="0">
            <x v="3"/>
          </reference>
        </references>
      </pivotArea>
    </format>
    <format dxfId="1678">
      <pivotArea dataOnly="0" labelOnly="1" outline="0" fieldPosition="0">
        <references count="7">
          <reference field="1" count="1" selected="0">
            <x v="0"/>
          </reference>
          <reference field="5" count="1" selected="0">
            <x v="2"/>
          </reference>
          <reference field="11" count="1" selected="0">
            <x v="5"/>
          </reference>
          <reference field="12" count="1" selected="0">
            <x v="160"/>
          </reference>
          <reference field="19" count="1">
            <x v="0"/>
          </reference>
          <reference field="21" count="1" selected="0">
            <x v="0"/>
          </reference>
          <reference field="25" count="1" selected="0">
            <x v="3"/>
          </reference>
        </references>
      </pivotArea>
    </format>
    <format dxfId="1677">
      <pivotArea dataOnly="0" labelOnly="1" outline="0" fieldPosition="0">
        <references count="7">
          <reference field="1" count="1" selected="0">
            <x v="0"/>
          </reference>
          <reference field="5" count="1" selected="0">
            <x v="2"/>
          </reference>
          <reference field="11" count="1" selected="0">
            <x v="13"/>
          </reference>
          <reference field="12" count="1" selected="0">
            <x v="140"/>
          </reference>
          <reference field="19" count="1">
            <x v="0"/>
          </reference>
          <reference field="21" count="1" selected="0">
            <x v="0"/>
          </reference>
          <reference field="25" count="1" selected="0">
            <x v="0"/>
          </reference>
        </references>
      </pivotArea>
    </format>
    <format dxfId="1676">
      <pivotArea dataOnly="0" labelOnly="1" outline="0" fieldPosition="0">
        <references count="7">
          <reference field="1" count="1" selected="0">
            <x v="0"/>
          </reference>
          <reference field="5" count="1" selected="0">
            <x v="2"/>
          </reference>
          <reference field="11" count="1" selected="0">
            <x v="19"/>
          </reference>
          <reference field="12" count="1" selected="0">
            <x v="105"/>
          </reference>
          <reference field="19" count="1">
            <x v="0"/>
          </reference>
          <reference field="21" count="1" selected="0">
            <x v="0"/>
          </reference>
          <reference field="25" count="1" selected="0">
            <x v="3"/>
          </reference>
        </references>
      </pivotArea>
    </format>
    <format dxfId="1675">
      <pivotArea dataOnly="0" labelOnly="1" outline="0" fieldPosition="0">
        <references count="7">
          <reference field="1" count="1" selected="0">
            <x v="0"/>
          </reference>
          <reference field="5" count="1" selected="0">
            <x v="2"/>
          </reference>
          <reference field="11" count="1" selected="0">
            <x v="23"/>
          </reference>
          <reference field="12" count="1" selected="0">
            <x v="145"/>
          </reference>
          <reference field="19" count="1">
            <x v="0"/>
          </reference>
          <reference field="21" count="1" selected="0">
            <x v="0"/>
          </reference>
          <reference field="25" count="1" selected="0">
            <x v="3"/>
          </reference>
        </references>
      </pivotArea>
    </format>
    <format dxfId="1674">
      <pivotArea dataOnly="0" labelOnly="1" outline="0" fieldPosition="0">
        <references count="7">
          <reference field="1" count="1" selected="0">
            <x v="0"/>
          </reference>
          <reference field="5" count="1" selected="0">
            <x v="2"/>
          </reference>
          <reference field="11" count="1" selected="0">
            <x v="35"/>
          </reference>
          <reference field="12" count="1" selected="0">
            <x v="131"/>
          </reference>
          <reference field="19" count="1">
            <x v="0"/>
          </reference>
          <reference field="21" count="1" selected="0">
            <x v="0"/>
          </reference>
          <reference field="25" count="1" selected="0">
            <x v="0"/>
          </reference>
        </references>
      </pivotArea>
    </format>
    <format dxfId="1673">
      <pivotArea dataOnly="0" labelOnly="1" outline="0" fieldPosition="0">
        <references count="7">
          <reference field="1" count="1" selected="0">
            <x v="0"/>
          </reference>
          <reference field="5" count="1" selected="0">
            <x v="2"/>
          </reference>
          <reference field="11" count="1" selected="0">
            <x v="36"/>
          </reference>
          <reference field="12" count="1" selected="0">
            <x v="161"/>
          </reference>
          <reference field="19" count="1">
            <x v="0"/>
          </reference>
          <reference field="21" count="1" selected="0">
            <x v="0"/>
          </reference>
          <reference field="25" count="1" selected="0">
            <x v="3"/>
          </reference>
        </references>
      </pivotArea>
    </format>
    <format dxfId="1672">
      <pivotArea dataOnly="0" labelOnly="1" outline="0" fieldPosition="0">
        <references count="7">
          <reference field="1" count="1" selected="0">
            <x v="0"/>
          </reference>
          <reference field="5" count="1" selected="0">
            <x v="2"/>
          </reference>
          <reference field="11" count="1" selected="0">
            <x v="66"/>
          </reference>
          <reference field="12" count="1" selected="0">
            <x v="152"/>
          </reference>
          <reference field="19" count="1">
            <x v="0"/>
          </reference>
          <reference field="21" count="1" selected="0">
            <x v="0"/>
          </reference>
          <reference field="25" count="1" selected="0">
            <x v="3"/>
          </reference>
        </references>
      </pivotArea>
    </format>
    <format dxfId="1671">
      <pivotArea dataOnly="0" labelOnly="1" outline="0" fieldPosition="0">
        <references count="7">
          <reference field="1" count="1" selected="0">
            <x v="0"/>
          </reference>
          <reference field="5" count="1" selected="0">
            <x v="2"/>
          </reference>
          <reference field="11" count="1" selected="0">
            <x v="67"/>
          </reference>
          <reference field="12" count="1" selected="0">
            <x v="138"/>
          </reference>
          <reference field="19" count="1">
            <x v="0"/>
          </reference>
          <reference field="21" count="1" selected="0">
            <x v="0"/>
          </reference>
          <reference field="25" count="1" selected="0">
            <x v="3"/>
          </reference>
        </references>
      </pivotArea>
    </format>
    <format dxfId="1670">
      <pivotArea dataOnly="0" labelOnly="1" outline="0" fieldPosition="0">
        <references count="7">
          <reference field="1" count="1" selected="0">
            <x v="0"/>
          </reference>
          <reference field="5" count="1" selected="0">
            <x v="2"/>
          </reference>
          <reference field="11" count="1" selected="0">
            <x v="113"/>
          </reference>
          <reference field="12" count="1" selected="0">
            <x v="87"/>
          </reference>
          <reference field="19" count="1">
            <x v="0"/>
          </reference>
          <reference field="21" count="1" selected="0">
            <x v="0"/>
          </reference>
          <reference field="25" count="1" selected="0">
            <x v="3"/>
          </reference>
        </references>
      </pivotArea>
    </format>
    <format dxfId="1669">
      <pivotArea dataOnly="0" labelOnly="1" outline="0" fieldPosition="0">
        <references count="7">
          <reference field="1" count="1" selected="0">
            <x v="0"/>
          </reference>
          <reference field="5" count="1" selected="0">
            <x v="2"/>
          </reference>
          <reference field="11" count="1" selected="0">
            <x v="141"/>
          </reference>
          <reference field="12" count="1" selected="0">
            <x v="162"/>
          </reference>
          <reference field="19" count="1">
            <x v="0"/>
          </reference>
          <reference field="21" count="1" selected="0">
            <x v="0"/>
          </reference>
          <reference field="25" count="1" selected="0">
            <x v="3"/>
          </reference>
        </references>
      </pivotArea>
    </format>
    <format dxfId="1668">
      <pivotArea dataOnly="0" labelOnly="1" outline="0" fieldPosition="0">
        <references count="7">
          <reference field="1" count="1" selected="0">
            <x v="0"/>
          </reference>
          <reference field="5" count="1" selected="0">
            <x v="2"/>
          </reference>
          <reference field="11" count="1" selected="0">
            <x v="146"/>
          </reference>
          <reference field="12" count="1" selected="0">
            <x v="99"/>
          </reference>
          <reference field="19" count="1">
            <x v="0"/>
          </reference>
          <reference field="21" count="1" selected="0">
            <x v="0"/>
          </reference>
          <reference field="25" count="1" selected="0">
            <x v="2"/>
          </reference>
        </references>
      </pivotArea>
    </format>
    <format dxfId="1667">
      <pivotArea dataOnly="0" labelOnly="1" outline="0" fieldPosition="0">
        <references count="7">
          <reference field="1" count="1" selected="0">
            <x v="0"/>
          </reference>
          <reference field="5" count="1" selected="0">
            <x v="2"/>
          </reference>
          <reference field="11" count="1" selected="0">
            <x v="170"/>
          </reference>
          <reference field="12" count="1" selected="0">
            <x v="153"/>
          </reference>
          <reference field="19" count="1">
            <x v="0"/>
          </reference>
          <reference field="21" count="1" selected="0">
            <x v="0"/>
          </reference>
          <reference field="25" count="1" selected="0">
            <x v="3"/>
          </reference>
        </references>
      </pivotArea>
    </format>
    <format dxfId="1666">
      <pivotArea dataOnly="0" labelOnly="1" outline="0" fieldPosition="0">
        <references count="7">
          <reference field="1" count="1" selected="0">
            <x v="0"/>
          </reference>
          <reference field="5" count="1" selected="0">
            <x v="2"/>
          </reference>
          <reference field="11" count="1" selected="0">
            <x v="173"/>
          </reference>
          <reference field="12" count="1" selected="0">
            <x v="154"/>
          </reference>
          <reference field="19" count="1">
            <x v="0"/>
          </reference>
          <reference field="21" count="1" selected="0">
            <x v="0"/>
          </reference>
          <reference field="25" count="1" selected="0">
            <x v="0"/>
          </reference>
        </references>
      </pivotArea>
    </format>
    <format dxfId="1665">
      <pivotArea dataOnly="0" labelOnly="1" outline="0" fieldPosition="0">
        <references count="7">
          <reference field="1" count="1" selected="0">
            <x v="0"/>
          </reference>
          <reference field="5" count="1" selected="0">
            <x v="2"/>
          </reference>
          <reference field="11" count="1" selected="0">
            <x v="200"/>
          </reference>
          <reference field="12" count="1" selected="0">
            <x v="155"/>
          </reference>
          <reference field="19" count="1">
            <x v="0"/>
          </reference>
          <reference field="21" count="1" selected="0">
            <x v="0"/>
          </reference>
          <reference field="25" count="1" selected="0">
            <x v="0"/>
          </reference>
        </references>
      </pivotArea>
    </format>
    <format dxfId="1664">
      <pivotArea dataOnly="0" labelOnly="1" outline="0" fieldPosition="0">
        <references count="7">
          <reference field="1" count="1" selected="0">
            <x v="0"/>
          </reference>
          <reference field="5" count="1" selected="0">
            <x v="2"/>
          </reference>
          <reference field="11" count="1" selected="0">
            <x v="206"/>
          </reference>
          <reference field="12" count="1" selected="0">
            <x v="101"/>
          </reference>
          <reference field="19" count="1">
            <x v="0"/>
          </reference>
          <reference field="21" count="1" selected="0">
            <x v="0"/>
          </reference>
          <reference field="25" count="1" selected="0">
            <x v="0"/>
          </reference>
        </references>
      </pivotArea>
    </format>
    <format dxfId="1663">
      <pivotArea dataOnly="0" labelOnly="1" outline="0" fieldPosition="0">
        <references count="7">
          <reference field="1" count="1" selected="0">
            <x v="0"/>
          </reference>
          <reference field="5" count="1" selected="0">
            <x v="2"/>
          </reference>
          <reference field="11" count="1" selected="0">
            <x v="218"/>
          </reference>
          <reference field="12" count="1" selected="0">
            <x v="227"/>
          </reference>
          <reference field="19" count="1">
            <x v="0"/>
          </reference>
          <reference field="21" count="1" selected="0">
            <x v="0"/>
          </reference>
          <reference field="25" count="1" selected="0">
            <x v="0"/>
          </reference>
        </references>
      </pivotArea>
    </format>
    <format dxfId="1662">
      <pivotArea dataOnly="0" labelOnly="1" outline="0" fieldPosition="0">
        <references count="7">
          <reference field="1" count="1" selected="0">
            <x v="0"/>
          </reference>
          <reference field="5" count="1" selected="0">
            <x v="2"/>
          </reference>
          <reference field="11" count="1" selected="0">
            <x v="222"/>
          </reference>
          <reference field="12" count="1" selected="0">
            <x v="230"/>
          </reference>
          <reference field="19" count="1">
            <x v="0"/>
          </reference>
          <reference field="21" count="1" selected="0">
            <x v="0"/>
          </reference>
          <reference field="25" count="1" selected="0">
            <x v="0"/>
          </reference>
        </references>
      </pivotArea>
    </format>
    <format dxfId="1661">
      <pivotArea dataOnly="0" labelOnly="1" outline="0" fieldPosition="0">
        <references count="7">
          <reference field="1" count="1" selected="0">
            <x v="0"/>
          </reference>
          <reference field="5" count="1" selected="0">
            <x v="2"/>
          </reference>
          <reference field="11" count="1" selected="0">
            <x v="240"/>
          </reference>
          <reference field="12" count="1" selected="0">
            <x v="242"/>
          </reference>
          <reference field="19" count="1">
            <x v="0"/>
          </reference>
          <reference field="21" count="1" selected="0">
            <x v="0"/>
          </reference>
          <reference field="25" count="1" selected="0">
            <x v="4"/>
          </reference>
        </references>
      </pivotArea>
    </format>
    <format dxfId="1660">
      <pivotArea dataOnly="0" labelOnly="1" outline="0" fieldPosition="0">
        <references count="7">
          <reference field="1" count="1" selected="0">
            <x v="0"/>
          </reference>
          <reference field="5" count="1" selected="0">
            <x v="2"/>
          </reference>
          <reference field="11" count="1" selected="0">
            <x v="249"/>
          </reference>
          <reference field="12" count="1" selected="0">
            <x v="252"/>
          </reference>
          <reference field="19" count="1">
            <x v="0"/>
          </reference>
          <reference field="21" count="1" selected="0">
            <x v="0"/>
          </reference>
          <reference field="25" count="1" selected="0">
            <x v="4"/>
          </reference>
        </references>
      </pivotArea>
    </format>
    <format dxfId="1659">
      <pivotArea dataOnly="0" labelOnly="1" outline="0" fieldPosition="0">
        <references count="7">
          <reference field="1" count="1" selected="0">
            <x v="0"/>
          </reference>
          <reference field="5" count="1" selected="0">
            <x v="2"/>
          </reference>
          <reference field="11" count="1" selected="0">
            <x v="250"/>
          </reference>
          <reference field="12" count="1" selected="0">
            <x v="253"/>
          </reference>
          <reference field="19" count="1">
            <x v="0"/>
          </reference>
          <reference field="21" count="1" selected="0">
            <x v="0"/>
          </reference>
          <reference field="25" count="1" selected="0">
            <x v="4"/>
          </reference>
        </references>
      </pivotArea>
    </format>
    <format dxfId="1658">
      <pivotArea dataOnly="0" labelOnly="1" outline="0" fieldPosition="0">
        <references count="7">
          <reference field="1" count="1" selected="0">
            <x v="0"/>
          </reference>
          <reference field="5" count="1" selected="0">
            <x v="2"/>
          </reference>
          <reference field="11" count="1" selected="0">
            <x v="251"/>
          </reference>
          <reference field="12" count="1" selected="0">
            <x v="254"/>
          </reference>
          <reference field="19" count="1">
            <x v="0"/>
          </reference>
          <reference field="21" count="1" selected="0">
            <x v="0"/>
          </reference>
          <reference field="25" count="1" selected="0">
            <x v="4"/>
          </reference>
        </references>
      </pivotArea>
    </format>
    <format dxfId="1657">
      <pivotArea dataOnly="0" labelOnly="1" outline="0" fieldPosition="0">
        <references count="7">
          <reference field="1" count="1" selected="0">
            <x v="0"/>
          </reference>
          <reference field="5" count="1" selected="0">
            <x v="2"/>
          </reference>
          <reference field="11" count="1" selected="0">
            <x v="252"/>
          </reference>
          <reference field="12" count="1" selected="0">
            <x v="255"/>
          </reference>
          <reference field="19" count="1">
            <x v="0"/>
          </reference>
          <reference field="21" count="1" selected="0">
            <x v="0"/>
          </reference>
          <reference field="25" count="1" selected="0">
            <x v="4"/>
          </reference>
        </references>
      </pivotArea>
    </format>
    <format dxfId="1656">
      <pivotArea dataOnly="0" labelOnly="1" outline="0" fieldPosition="0">
        <references count="7">
          <reference field="1" count="1" selected="0">
            <x v="0"/>
          </reference>
          <reference field="5" count="1" selected="0">
            <x v="2"/>
          </reference>
          <reference field="11" count="1" selected="0">
            <x v="253"/>
          </reference>
          <reference field="12" count="1" selected="0">
            <x v="256"/>
          </reference>
          <reference field="19" count="1">
            <x v="0"/>
          </reference>
          <reference field="21" count="1" selected="0">
            <x v="0"/>
          </reference>
          <reference field="25" count="1" selected="0">
            <x v="4"/>
          </reference>
        </references>
      </pivotArea>
    </format>
    <format dxfId="1655">
      <pivotArea dataOnly="0" labelOnly="1" outline="0" fieldPosition="0">
        <references count="7">
          <reference field="1" count="1" selected="0">
            <x v="0"/>
          </reference>
          <reference field="5" count="1" selected="0">
            <x v="5"/>
          </reference>
          <reference field="11" count="1" selected="0">
            <x v="56"/>
          </reference>
          <reference field="12" count="1" selected="0">
            <x v="73"/>
          </reference>
          <reference field="19" count="1">
            <x v="0"/>
          </reference>
          <reference field="21" count="1" selected="0">
            <x v="0"/>
          </reference>
          <reference field="25" count="1" selected="0">
            <x v="4"/>
          </reference>
        </references>
      </pivotArea>
    </format>
    <format dxfId="1654">
      <pivotArea dataOnly="0" labelOnly="1" outline="0" fieldPosition="0">
        <references count="7">
          <reference field="1" count="1" selected="0">
            <x v="0"/>
          </reference>
          <reference field="5" count="1" selected="0">
            <x v="8"/>
          </reference>
          <reference field="11" count="1" selected="0">
            <x v="18"/>
          </reference>
          <reference field="12" count="1" selected="0">
            <x v="121"/>
          </reference>
          <reference field="19" count="1">
            <x v="1"/>
          </reference>
          <reference field="21" count="1" selected="0">
            <x v="0"/>
          </reference>
          <reference field="25" count="1" selected="0">
            <x v="1"/>
          </reference>
        </references>
      </pivotArea>
    </format>
    <format dxfId="1653">
      <pivotArea dataOnly="0" labelOnly="1" outline="0" fieldPosition="0">
        <references count="7">
          <reference field="1" count="1" selected="0">
            <x v="0"/>
          </reference>
          <reference field="5" count="1" selected="0">
            <x v="8"/>
          </reference>
          <reference field="11" count="1" selected="0">
            <x v="38"/>
          </reference>
          <reference field="12" count="1" selected="0">
            <x v="166"/>
          </reference>
          <reference field="19" count="1">
            <x v="0"/>
          </reference>
          <reference field="21" count="1" selected="0">
            <x v="1"/>
          </reference>
          <reference field="25" count="1" selected="0">
            <x v="4"/>
          </reference>
        </references>
      </pivotArea>
    </format>
    <format dxfId="1652">
      <pivotArea dataOnly="0" labelOnly="1" outline="0" fieldPosition="0">
        <references count="7">
          <reference field="1" count="1" selected="0">
            <x v="0"/>
          </reference>
          <reference field="5" count="1" selected="0">
            <x v="8"/>
          </reference>
          <reference field="11" count="1" selected="0">
            <x v="60"/>
          </reference>
          <reference field="12" count="1" selected="0">
            <x v="120"/>
          </reference>
          <reference field="19" count="1">
            <x v="1"/>
          </reference>
          <reference field="21" count="1" selected="0">
            <x v="0"/>
          </reference>
          <reference field="25" count="1" selected="0">
            <x v="1"/>
          </reference>
        </references>
      </pivotArea>
    </format>
    <format dxfId="1651">
      <pivotArea dataOnly="0" labelOnly="1" outline="0" fieldPosition="0">
        <references count="7">
          <reference field="1" count="1" selected="0">
            <x v="0"/>
          </reference>
          <reference field="5" count="1" selected="0">
            <x v="8"/>
          </reference>
          <reference field="11" count="1" selected="0">
            <x v="82"/>
          </reference>
          <reference field="12" count="1" selected="0">
            <x v="186"/>
          </reference>
          <reference field="19" count="1">
            <x v="0"/>
          </reference>
          <reference field="21" count="1" selected="0">
            <x v="0"/>
          </reference>
          <reference field="25" count="1" selected="0">
            <x v="0"/>
          </reference>
        </references>
      </pivotArea>
    </format>
    <format dxfId="1650">
      <pivotArea dataOnly="0" labelOnly="1" outline="0" fieldPosition="0">
        <references count="7">
          <reference field="1" count="1" selected="0">
            <x v="0"/>
          </reference>
          <reference field="5" count="1" selected="0">
            <x v="8"/>
          </reference>
          <reference field="11" count="1" selected="0">
            <x v="90"/>
          </reference>
          <reference field="12" count="1" selected="0">
            <x v="124"/>
          </reference>
          <reference field="19" count="1">
            <x v="0"/>
          </reference>
          <reference field="21" count="1" selected="0">
            <x v="0"/>
          </reference>
          <reference field="25" count="1" selected="0">
            <x v="0"/>
          </reference>
        </references>
      </pivotArea>
    </format>
    <format dxfId="1649">
      <pivotArea dataOnly="0" labelOnly="1" outline="0" fieldPosition="0">
        <references count="7">
          <reference field="1" count="1" selected="0">
            <x v="0"/>
          </reference>
          <reference field="5" count="1" selected="0">
            <x v="8"/>
          </reference>
          <reference field="11" count="1" selected="0">
            <x v="91"/>
          </reference>
          <reference field="12" count="1" selected="0">
            <x v="123"/>
          </reference>
          <reference field="19" count="1">
            <x v="0"/>
          </reference>
          <reference field="21" count="1" selected="0">
            <x v="0"/>
          </reference>
          <reference field="25" count="1" selected="0">
            <x v="1"/>
          </reference>
        </references>
      </pivotArea>
    </format>
    <format dxfId="1648">
      <pivotArea dataOnly="0" labelOnly="1" outline="0" fieldPosition="0">
        <references count="7">
          <reference field="1" count="1" selected="0">
            <x v="0"/>
          </reference>
          <reference field="5" count="1" selected="0">
            <x v="8"/>
          </reference>
          <reference field="11" count="1" selected="0">
            <x v="92"/>
          </reference>
          <reference field="12" count="1" selected="0">
            <x v="125"/>
          </reference>
          <reference field="19" count="1">
            <x v="0"/>
          </reference>
          <reference field="21" count="1" selected="0">
            <x v="1"/>
          </reference>
          <reference field="25" count="1" selected="0">
            <x v="4"/>
          </reference>
        </references>
      </pivotArea>
    </format>
    <format dxfId="1647">
      <pivotArea dataOnly="0" labelOnly="1" outline="0" fieldPosition="0">
        <references count="7">
          <reference field="1" count="1" selected="0">
            <x v="0"/>
          </reference>
          <reference field="5" count="1" selected="0">
            <x v="8"/>
          </reference>
          <reference field="11" count="1" selected="0">
            <x v="98"/>
          </reference>
          <reference field="12" count="1" selected="0">
            <x v="65"/>
          </reference>
          <reference field="19" count="1">
            <x v="0"/>
          </reference>
          <reference field="21" count="1" selected="0">
            <x v="0"/>
          </reference>
          <reference field="25" count="1" selected="0">
            <x v="0"/>
          </reference>
        </references>
      </pivotArea>
    </format>
    <format dxfId="1646">
      <pivotArea dataOnly="0" labelOnly="1" outline="0" fieldPosition="0">
        <references count="7">
          <reference field="1" count="1" selected="0">
            <x v="0"/>
          </reference>
          <reference field="5" count="1" selected="0">
            <x v="8"/>
          </reference>
          <reference field="11" count="1" selected="0">
            <x v="209"/>
          </reference>
          <reference field="12" count="1" selected="0">
            <x v="217"/>
          </reference>
          <reference field="19" count="1">
            <x v="0"/>
          </reference>
          <reference field="21" count="1" selected="0">
            <x v="0"/>
          </reference>
          <reference field="25" count="1" selected="0">
            <x v="1"/>
          </reference>
        </references>
      </pivotArea>
    </format>
    <format dxfId="1645">
      <pivotArea dataOnly="0" labelOnly="1" outline="0" fieldPosition="0">
        <references count="7">
          <reference field="1" count="1" selected="0">
            <x v="0"/>
          </reference>
          <reference field="5" count="1" selected="0">
            <x v="8"/>
          </reference>
          <reference field="11" count="1" selected="0">
            <x v="216"/>
          </reference>
          <reference field="12" count="1" selected="0">
            <x v="225"/>
          </reference>
          <reference field="19" count="1">
            <x v="0"/>
          </reference>
          <reference field="21" count="1" selected="0">
            <x v="0"/>
          </reference>
          <reference field="25" count="1" selected="0">
            <x v="1"/>
          </reference>
        </references>
      </pivotArea>
    </format>
    <format dxfId="1644">
      <pivotArea dataOnly="0" labelOnly="1" outline="0" fieldPosition="0">
        <references count="7">
          <reference field="1" count="1" selected="0">
            <x v="0"/>
          </reference>
          <reference field="5" count="1" selected="0">
            <x v="8"/>
          </reference>
          <reference field="11" count="1" selected="0">
            <x v="220"/>
          </reference>
          <reference field="12" count="1" selected="0">
            <x v="228"/>
          </reference>
          <reference field="19" count="1">
            <x v="0"/>
          </reference>
          <reference field="21" count="1" selected="0">
            <x v="0"/>
          </reference>
          <reference field="25" count="1" selected="0">
            <x v="0"/>
          </reference>
        </references>
      </pivotArea>
    </format>
    <format dxfId="1643">
      <pivotArea dataOnly="0" labelOnly="1" outline="0" fieldPosition="0">
        <references count="7">
          <reference field="1" count="1" selected="0">
            <x v="0"/>
          </reference>
          <reference field="5" count="1" selected="0">
            <x v="10"/>
          </reference>
          <reference field="11" count="1" selected="0">
            <x v="55"/>
          </reference>
          <reference field="12" count="1" selected="0">
            <x v="76"/>
          </reference>
          <reference field="19" count="1">
            <x v="0"/>
          </reference>
          <reference field="21" count="1" selected="0">
            <x v="0"/>
          </reference>
          <reference field="25" count="1" selected="0">
            <x v="0"/>
          </reference>
        </references>
      </pivotArea>
    </format>
    <format dxfId="1642">
      <pivotArea dataOnly="0" labelOnly="1" outline="0" fieldPosition="0">
        <references count="7">
          <reference field="1" count="1" selected="0">
            <x v="0"/>
          </reference>
          <reference field="5" count="1" selected="0">
            <x v="10"/>
          </reference>
          <reference field="11" count="1" selected="0">
            <x v="97"/>
          </reference>
          <reference field="12" count="1" selected="0">
            <x v="75"/>
          </reference>
          <reference field="19" count="1">
            <x v="0"/>
          </reference>
          <reference field="21" count="1" selected="0">
            <x v="0"/>
          </reference>
          <reference field="25" count="1" selected="0">
            <x v="0"/>
          </reference>
        </references>
      </pivotArea>
    </format>
    <format dxfId="1641">
      <pivotArea dataOnly="0" labelOnly="1" outline="0" fieldPosition="0">
        <references count="7">
          <reference field="1" count="1" selected="0">
            <x v="0"/>
          </reference>
          <reference field="5" count="1" selected="0">
            <x v="10"/>
          </reference>
          <reference field="11" count="1" selected="0">
            <x v="149"/>
          </reference>
          <reference field="12" count="1" selected="0">
            <x v="77"/>
          </reference>
          <reference field="19" count="1">
            <x v="0"/>
          </reference>
          <reference field="21" count="1" selected="0">
            <x v="0"/>
          </reference>
          <reference field="25" count="1" selected="0">
            <x v="0"/>
          </reference>
        </references>
      </pivotArea>
    </format>
    <format dxfId="1640">
      <pivotArea dataOnly="0" labelOnly="1" outline="0" fieldPosition="0">
        <references count="7">
          <reference field="1" count="1" selected="0">
            <x v="0"/>
          </reference>
          <reference field="5" count="1" selected="0">
            <x v="10"/>
          </reference>
          <reference field="11" count="1" selected="0">
            <x v="233"/>
          </reference>
          <reference field="12" count="1" selected="0">
            <x v="235"/>
          </reference>
          <reference field="19" count="1">
            <x v="0"/>
          </reference>
          <reference field="21" count="1" selected="0">
            <x v="1"/>
          </reference>
          <reference field="25" count="1" selected="0">
            <x v="4"/>
          </reference>
        </references>
      </pivotArea>
    </format>
    <format dxfId="1639">
      <pivotArea dataOnly="0" labelOnly="1" outline="0" fieldPosition="0">
        <references count="7">
          <reference field="1" count="1" selected="0">
            <x v="0"/>
          </reference>
          <reference field="5" count="1" selected="0">
            <x v="10"/>
          </reference>
          <reference field="11" count="1" selected="0">
            <x v="234"/>
          </reference>
          <reference field="12" count="1" selected="0">
            <x v="236"/>
          </reference>
          <reference field="19" count="1">
            <x v="0"/>
          </reference>
          <reference field="21" count="1" selected="0">
            <x v="0"/>
          </reference>
          <reference field="25" count="1" selected="0">
            <x v="0"/>
          </reference>
        </references>
      </pivotArea>
    </format>
    <format dxfId="1638">
      <pivotArea dataOnly="0" labelOnly="1" outline="0" fieldPosition="0">
        <references count="7">
          <reference field="1" count="1" selected="0">
            <x v="0"/>
          </reference>
          <reference field="5" count="1" selected="0">
            <x v="10"/>
          </reference>
          <reference field="11" count="1" selected="0">
            <x v="235"/>
          </reference>
          <reference field="12" count="1" selected="0">
            <x v="237"/>
          </reference>
          <reference field="19" count="1">
            <x v="0"/>
          </reference>
          <reference field="21" count="1" selected="0">
            <x v="0"/>
          </reference>
          <reference field="25" count="1" selected="0">
            <x v="2"/>
          </reference>
        </references>
      </pivotArea>
    </format>
    <format dxfId="1637">
      <pivotArea dataOnly="0" labelOnly="1" outline="0" fieldPosition="0">
        <references count="7">
          <reference field="1" count="1" selected="0">
            <x v="0"/>
          </reference>
          <reference field="5" count="1" selected="0">
            <x v="11"/>
          </reference>
          <reference field="11" count="1" selected="0">
            <x v="152"/>
          </reference>
          <reference field="12" count="1" selected="0">
            <x v="133"/>
          </reference>
          <reference field="19" count="1">
            <x v="0"/>
          </reference>
          <reference field="21" count="1" selected="0">
            <x v="0"/>
          </reference>
          <reference field="25" count="1" selected="0">
            <x v="0"/>
          </reference>
        </references>
      </pivotArea>
    </format>
    <format dxfId="1636">
      <pivotArea dataOnly="0" labelOnly="1" outline="0" fieldPosition="0">
        <references count="7">
          <reference field="1" count="1" selected="0">
            <x v="0"/>
          </reference>
          <reference field="5" count="1" selected="0">
            <x v="11"/>
          </reference>
          <reference field="11" count="1" selected="0">
            <x v="183"/>
          </reference>
          <reference field="12" count="1" selected="0">
            <x v="78"/>
          </reference>
          <reference field="19" count="1">
            <x v="0"/>
          </reference>
          <reference field="21" count="1" selected="0">
            <x v="0"/>
          </reference>
          <reference field="25" count="1" selected="0">
            <x v="2"/>
          </reference>
        </references>
      </pivotArea>
    </format>
    <format dxfId="1635">
      <pivotArea dataOnly="0" labelOnly="1" outline="0" fieldPosition="0">
        <references count="7">
          <reference field="1" count="1" selected="0">
            <x v="0"/>
          </reference>
          <reference field="5" count="1" selected="0">
            <x v="11"/>
          </reference>
          <reference field="11" count="1" selected="0">
            <x v="223"/>
          </reference>
          <reference field="12" count="1" selected="0">
            <x v="231"/>
          </reference>
          <reference field="19" count="1">
            <x v="0"/>
          </reference>
          <reference field="21" count="1" selected="0">
            <x v="1"/>
          </reference>
          <reference field="25" count="1" selected="0">
            <x v="4"/>
          </reference>
        </references>
      </pivotArea>
    </format>
    <format dxfId="1634">
      <pivotArea dataOnly="0" labelOnly="1" outline="0" fieldPosition="0">
        <references count="7">
          <reference field="1" count="1" selected="0">
            <x v="0"/>
          </reference>
          <reference field="5" count="1" selected="0">
            <x v="11"/>
          </reference>
          <reference field="11" count="1" selected="0">
            <x v="224"/>
          </reference>
          <reference field="12" count="1" selected="0">
            <x v="232"/>
          </reference>
          <reference field="19" count="1">
            <x v="0"/>
          </reference>
          <reference field="21" count="1" selected="0">
            <x v="1"/>
          </reference>
          <reference field="25" count="1" selected="0">
            <x v="4"/>
          </reference>
        </references>
      </pivotArea>
    </format>
    <format dxfId="1633">
      <pivotArea dataOnly="0" labelOnly="1" outline="0" fieldPosition="0">
        <references count="7">
          <reference field="1" count="1" selected="0">
            <x v="0"/>
          </reference>
          <reference field="5" count="1" selected="0">
            <x v="12"/>
          </reference>
          <reference field="11" count="1" selected="0">
            <x v="27"/>
          </reference>
          <reference field="12" count="1" selected="0">
            <x v="118"/>
          </reference>
          <reference field="19" count="1">
            <x v="1"/>
          </reference>
          <reference field="21" count="1" selected="0">
            <x v="0"/>
          </reference>
          <reference field="25" count="1" selected="0">
            <x v="2"/>
          </reference>
        </references>
      </pivotArea>
    </format>
    <format dxfId="1632">
      <pivotArea dataOnly="0" labelOnly="1" outline="0" fieldPosition="0">
        <references count="7">
          <reference field="1" count="1" selected="0">
            <x v="0"/>
          </reference>
          <reference field="5" count="1" selected="0">
            <x v="12"/>
          </reference>
          <reference field="11" count="1" selected="0">
            <x v="38"/>
          </reference>
          <reference field="12" count="1" selected="0">
            <x v="167"/>
          </reference>
          <reference field="19" count="1">
            <x v="0"/>
          </reference>
          <reference field="21" count="1" selected="0">
            <x v="1"/>
          </reference>
          <reference field="25" count="1" selected="0">
            <x v="4"/>
          </reference>
        </references>
      </pivotArea>
    </format>
    <format dxfId="1631">
      <pivotArea dataOnly="0" labelOnly="1" outline="0" fieldPosition="0">
        <references count="7">
          <reference field="1" count="1" selected="0">
            <x v="0"/>
          </reference>
          <reference field="5" count="1" selected="0">
            <x v="12"/>
          </reference>
          <reference field="11" count="1" selected="0">
            <x v="42"/>
          </reference>
          <reference field="12" count="1" selected="0">
            <x v="117"/>
          </reference>
          <reference field="19" count="1">
            <x v="1"/>
          </reference>
          <reference field="21" count="1" selected="0">
            <x v="0"/>
          </reference>
          <reference field="25" count="1" selected="0">
            <x v="2"/>
          </reference>
        </references>
      </pivotArea>
    </format>
    <format dxfId="1630">
      <pivotArea dataOnly="0" labelOnly="1" outline="0" fieldPosition="0">
        <references count="7">
          <reference field="1" count="1" selected="0">
            <x v="0"/>
          </reference>
          <reference field="5" count="1" selected="0">
            <x v="12"/>
          </reference>
          <reference field="11" count="1" selected="0">
            <x v="50"/>
          </reference>
          <reference field="12" count="1" selected="0">
            <x v="170"/>
          </reference>
          <reference field="19" count="1">
            <x v="0"/>
          </reference>
          <reference field="21" count="1" selected="0">
            <x v="1"/>
          </reference>
          <reference field="25" count="1" selected="0">
            <x v="4"/>
          </reference>
        </references>
      </pivotArea>
    </format>
    <format dxfId="1629">
      <pivotArea dataOnly="0" labelOnly="1" outline="0" fieldPosition="0">
        <references count="7">
          <reference field="1" count="1" selected="0">
            <x v="0"/>
          </reference>
          <reference field="5" count="1" selected="0">
            <x v="12"/>
          </reference>
          <reference field="11" count="1" selected="0">
            <x v="69"/>
          </reference>
          <reference field="12" count="1" selected="0">
            <x v="70"/>
          </reference>
          <reference field="19" count="1">
            <x v="0"/>
          </reference>
          <reference field="21" count="1" selected="0">
            <x v="0"/>
          </reference>
          <reference field="25" count="1" selected="0">
            <x v="0"/>
          </reference>
        </references>
      </pivotArea>
    </format>
    <format dxfId="1628">
      <pivotArea dataOnly="0" labelOnly="1" outline="0" fieldPosition="0">
        <references count="7">
          <reference field="1" count="1" selected="0">
            <x v="0"/>
          </reference>
          <reference field="5" count="1" selected="0">
            <x v="12"/>
          </reference>
          <reference field="11" count="1" selected="0">
            <x v="70"/>
          </reference>
          <reference field="12" count="1" selected="0">
            <x v="68"/>
          </reference>
          <reference field="19" count="1">
            <x v="0"/>
          </reference>
          <reference field="21" count="1" selected="0">
            <x v="0"/>
          </reference>
          <reference field="25" count="1" selected="0">
            <x v="1"/>
          </reference>
        </references>
      </pivotArea>
    </format>
    <format dxfId="1627">
      <pivotArea dataOnly="0" labelOnly="1" outline="0" fieldPosition="0">
        <references count="7">
          <reference field="1" count="1" selected="0">
            <x v="0"/>
          </reference>
          <reference field="5" count="1" selected="0">
            <x v="12"/>
          </reference>
          <reference field="11" count="1" selected="0">
            <x v="71"/>
          </reference>
          <reference field="12" count="1" selected="0">
            <x v="69"/>
          </reference>
          <reference field="19" count="1">
            <x v="0"/>
          </reference>
          <reference field="21" count="1" selected="0">
            <x v="0"/>
          </reference>
          <reference field="25" count="1" selected="0">
            <x v="0"/>
          </reference>
        </references>
      </pivotArea>
    </format>
    <format dxfId="1626">
      <pivotArea dataOnly="0" labelOnly="1" outline="0" fieldPosition="0">
        <references count="7">
          <reference field="1" count="1" selected="0">
            <x v="0"/>
          </reference>
          <reference field="5" count="1" selected="0">
            <x v="12"/>
          </reference>
          <reference field="11" count="1" selected="0">
            <x v="77"/>
          </reference>
          <reference field="12" count="1" selected="0">
            <x v="63"/>
          </reference>
          <reference field="19" count="1">
            <x v="0"/>
          </reference>
          <reference field="21" count="1" selected="0">
            <x v="1"/>
          </reference>
          <reference field="25" count="1" selected="0">
            <x v="4"/>
          </reference>
        </references>
      </pivotArea>
    </format>
    <format dxfId="1625">
      <pivotArea dataOnly="0" labelOnly="1" outline="0" fieldPosition="0">
        <references count="7">
          <reference field="1" count="1" selected="0">
            <x v="0"/>
          </reference>
          <reference field="5" count="1" selected="0">
            <x v="12"/>
          </reference>
          <reference field="11" count="1" selected="0">
            <x v="84"/>
          </reference>
          <reference field="12" count="1" selected="0">
            <x v="61"/>
          </reference>
          <reference field="19" count="1">
            <x v="0"/>
          </reference>
          <reference field="21" count="1" selected="0">
            <x v="0"/>
          </reference>
          <reference field="25" count="1" selected="0">
            <x v="1"/>
          </reference>
        </references>
      </pivotArea>
    </format>
    <format dxfId="1624">
      <pivotArea dataOnly="0" labelOnly="1" outline="0" fieldPosition="0">
        <references count="7">
          <reference field="1" count="1" selected="0">
            <x v="0"/>
          </reference>
          <reference field="5" count="1" selected="0">
            <x v="12"/>
          </reference>
          <reference field="11" count="1" selected="0">
            <x v="88"/>
          </reference>
          <reference field="12" count="1" selected="0">
            <x v="62"/>
          </reference>
          <reference field="19" count="1">
            <x v="0"/>
          </reference>
          <reference field="21" count="1" selected="0">
            <x v="1"/>
          </reference>
          <reference field="25" count="1" selected="0">
            <x v="4"/>
          </reference>
        </references>
      </pivotArea>
    </format>
    <format dxfId="1623">
      <pivotArea dataOnly="0" labelOnly="1" outline="0" fieldPosition="0">
        <references count="7">
          <reference field="1" count="1" selected="0">
            <x v="0"/>
          </reference>
          <reference field="5" count="1" selected="0">
            <x v="12"/>
          </reference>
          <reference field="11" count="1" selected="0">
            <x v="89"/>
          </reference>
          <reference field="12" count="1" selected="0">
            <x v="168"/>
          </reference>
          <reference field="19" count="1">
            <x v="0"/>
          </reference>
          <reference field="21" count="1" selected="0">
            <x v="1"/>
          </reference>
          <reference field="25" count="1" selected="0">
            <x v="4"/>
          </reference>
        </references>
      </pivotArea>
    </format>
    <format dxfId="1622">
      <pivotArea dataOnly="0" labelOnly="1" outline="0" fieldPosition="0">
        <references count="7">
          <reference field="1" count="1" selected="0">
            <x v="0"/>
          </reference>
          <reference field="5" count="1" selected="0">
            <x v="12"/>
          </reference>
          <reference field="11" count="1" selected="0">
            <x v="117"/>
          </reference>
          <reference field="12" count="1" selected="0">
            <x v="55"/>
          </reference>
          <reference field="19" count="1">
            <x v="0"/>
          </reference>
          <reference field="21" count="1" selected="0">
            <x v="0"/>
          </reference>
          <reference field="25" count="1" selected="0">
            <x v="0"/>
          </reference>
        </references>
      </pivotArea>
    </format>
    <format dxfId="1621">
      <pivotArea dataOnly="0" labelOnly="1" outline="0" fieldPosition="0">
        <references count="7">
          <reference field="1" count="1" selected="0">
            <x v="0"/>
          </reference>
          <reference field="5" count="1" selected="0">
            <x v="12"/>
          </reference>
          <reference field="11" count="1" selected="0">
            <x v="128"/>
          </reference>
          <reference field="12" count="1" selected="0">
            <x v="60"/>
          </reference>
          <reference field="19" count="1">
            <x v="0"/>
          </reference>
          <reference field="21" count="1" selected="0">
            <x v="1"/>
          </reference>
          <reference field="25" count="1" selected="0">
            <x v="4"/>
          </reference>
        </references>
      </pivotArea>
    </format>
    <format dxfId="1620">
      <pivotArea dataOnly="0" labelOnly="1" outline="0" fieldPosition="0">
        <references count="7">
          <reference field="1" count="1" selected="0">
            <x v="0"/>
          </reference>
          <reference field="5" count="1" selected="0">
            <x v="12"/>
          </reference>
          <reference field="11" count="1" selected="0">
            <x v="155"/>
          </reference>
          <reference field="12" count="1" selected="0">
            <x v="122"/>
          </reference>
          <reference field="19" count="1">
            <x v="1"/>
          </reference>
          <reference field="21" count="1" selected="0">
            <x v="0"/>
          </reference>
          <reference field="25" count="1" selected="0">
            <x v="1"/>
          </reference>
        </references>
      </pivotArea>
    </format>
    <format dxfId="1619">
      <pivotArea dataOnly="0" labelOnly="1" outline="0" fieldPosition="0">
        <references count="7">
          <reference field="1" count="1" selected="0">
            <x v="0"/>
          </reference>
          <reference field="5" count="1" selected="0">
            <x v="12"/>
          </reference>
          <reference field="11" count="1" selected="0">
            <x v="158"/>
          </reference>
          <reference field="12" count="1" selected="0">
            <x v="71"/>
          </reference>
          <reference field="19" count="1">
            <x v="0"/>
          </reference>
          <reference field="21" count="1" selected="0">
            <x v="0"/>
          </reference>
          <reference field="25" count="1" selected="0">
            <x v="0"/>
          </reference>
        </references>
      </pivotArea>
    </format>
    <format dxfId="1618">
      <pivotArea dataOnly="0" labelOnly="1" outline="0" fieldPosition="0">
        <references count="7">
          <reference field="1" count="1" selected="0">
            <x v="0"/>
          </reference>
          <reference field="5" count="1" selected="0">
            <x v="12"/>
          </reference>
          <reference field="11" count="1" selected="0">
            <x v="160"/>
          </reference>
          <reference field="12" count="1" selected="0">
            <x v="119"/>
          </reference>
          <reference field="19" count="1">
            <x v="1"/>
          </reference>
          <reference field="21" count="1" selected="0">
            <x v="0"/>
          </reference>
          <reference field="25" count="1" selected="0">
            <x v="1"/>
          </reference>
        </references>
      </pivotArea>
    </format>
    <format dxfId="1617">
      <pivotArea dataOnly="0" labelOnly="1" outline="0" fieldPosition="0">
        <references count="7">
          <reference field="1" count="1" selected="0">
            <x v="0"/>
          </reference>
          <reference field="5" count="1" selected="0">
            <x v="12"/>
          </reference>
          <reference field="11" count="1" selected="0">
            <x v="164"/>
          </reference>
          <reference field="12" count="1" selected="0">
            <x v="64"/>
          </reference>
          <reference field="19" count="1">
            <x v="0"/>
          </reference>
          <reference field="21" count="1" selected="0">
            <x v="1"/>
          </reference>
          <reference field="25" count="1" selected="0">
            <x v="4"/>
          </reference>
        </references>
      </pivotArea>
    </format>
    <format dxfId="1616">
      <pivotArea dataOnly="0" labelOnly="1" outline="0" fieldPosition="0">
        <references count="7">
          <reference field="1" count="1" selected="0">
            <x v="0"/>
          </reference>
          <reference field="5" count="1" selected="0">
            <x v="12"/>
          </reference>
          <reference field="11" count="1" selected="0">
            <x v="175"/>
          </reference>
          <reference field="12" count="1" selected="0">
            <x v="72"/>
          </reference>
          <reference field="19" count="1">
            <x v="0"/>
          </reference>
          <reference field="21" count="1" selected="0">
            <x v="0"/>
          </reference>
          <reference field="25" count="1" selected="0">
            <x v="0"/>
          </reference>
        </references>
      </pivotArea>
    </format>
    <format dxfId="1615">
      <pivotArea dataOnly="0" labelOnly="1" outline="0" fieldPosition="0">
        <references count="7">
          <reference field="1" count="1" selected="0">
            <x v="0"/>
          </reference>
          <reference field="5" count="1" selected="0">
            <x v="12"/>
          </reference>
          <reference field="11" count="1" selected="0">
            <x v="188"/>
          </reference>
          <reference field="12" count="1" selected="0">
            <x v="59"/>
          </reference>
          <reference field="19" count="1">
            <x v="0"/>
          </reference>
          <reference field="21" count="1" selected="0">
            <x v="1"/>
          </reference>
          <reference field="25" count="1" selected="0">
            <x v="4"/>
          </reference>
        </references>
      </pivotArea>
    </format>
    <format dxfId="1614">
      <pivotArea dataOnly="0" labelOnly="1" outline="0" fieldPosition="0">
        <references count="7">
          <reference field="1" count="1" selected="0">
            <x v="0"/>
          </reference>
          <reference field="5" count="1" selected="0">
            <x v="12"/>
          </reference>
          <reference field="11" count="1" selected="0">
            <x v="238"/>
          </reference>
          <reference field="12" count="1" selected="0">
            <x v="240"/>
          </reference>
          <reference field="19" count="1">
            <x v="0"/>
          </reference>
          <reference field="21" count="1" selected="0">
            <x v="2"/>
          </reference>
          <reference field="25" count="1" selected="0">
            <x v="4"/>
          </reference>
        </references>
      </pivotArea>
    </format>
    <format dxfId="1613">
      <pivotArea dataOnly="0" labelOnly="1" outline="0" fieldPosition="0">
        <references count="7">
          <reference field="1" count="1" selected="0">
            <x v="0"/>
          </reference>
          <reference field="5" count="1" selected="0">
            <x v="14"/>
          </reference>
          <reference field="11" count="1" selected="0">
            <x v="24"/>
          </reference>
          <reference field="12" count="1" selected="0">
            <x v="11"/>
          </reference>
          <reference field="19" count="1">
            <x v="0"/>
          </reference>
          <reference field="21" count="1" selected="0">
            <x v="0"/>
          </reference>
          <reference field="25" count="1" selected="0">
            <x v="0"/>
          </reference>
        </references>
      </pivotArea>
    </format>
    <format dxfId="1612">
      <pivotArea dataOnly="0" labelOnly="1" outline="0" fieldPosition="0">
        <references count="7">
          <reference field="1" count="1" selected="0">
            <x v="0"/>
          </reference>
          <reference field="5" count="1" selected="0">
            <x v="14"/>
          </reference>
          <reference field="11" count="1" selected="0">
            <x v="25"/>
          </reference>
          <reference field="12" count="1" selected="0">
            <x v="9"/>
          </reference>
          <reference field="19" count="1">
            <x v="0"/>
          </reference>
          <reference field="21" count="1" selected="0">
            <x v="0"/>
          </reference>
          <reference field="25" count="1" selected="0">
            <x v="0"/>
          </reference>
        </references>
      </pivotArea>
    </format>
    <format dxfId="1611">
      <pivotArea dataOnly="0" labelOnly="1" outline="0" fieldPosition="0">
        <references count="7">
          <reference field="1" count="1" selected="0">
            <x v="0"/>
          </reference>
          <reference field="5" count="1" selected="0">
            <x v="14"/>
          </reference>
          <reference field="11" count="1" selected="0">
            <x v="26"/>
          </reference>
          <reference field="12" count="1" selected="0">
            <x v="10"/>
          </reference>
          <reference field="19" count="1">
            <x v="0"/>
          </reference>
          <reference field="21" count="1" selected="0">
            <x v="0"/>
          </reference>
          <reference field="25" count="1" selected="0">
            <x v="0"/>
          </reference>
        </references>
      </pivotArea>
    </format>
    <format dxfId="1610">
      <pivotArea dataOnly="0" labelOnly="1" outline="0" fieldPosition="0">
        <references count="7">
          <reference field="1" count="1" selected="0">
            <x v="0"/>
          </reference>
          <reference field="5" count="1" selected="0">
            <x v="14"/>
          </reference>
          <reference field="11" count="1" selected="0">
            <x v="46"/>
          </reference>
          <reference field="12" count="1" selected="0">
            <x v="17"/>
          </reference>
          <reference field="19" count="1">
            <x v="0"/>
          </reference>
          <reference field="21" count="1" selected="0">
            <x v="0"/>
          </reference>
          <reference field="25" count="1" selected="0">
            <x v="0"/>
          </reference>
        </references>
      </pivotArea>
    </format>
    <format dxfId="1609">
      <pivotArea dataOnly="0" labelOnly="1" outline="0" fieldPosition="0">
        <references count="7">
          <reference field="1" count="1" selected="0">
            <x v="0"/>
          </reference>
          <reference field="5" count="1" selected="0">
            <x v="14"/>
          </reference>
          <reference field="11" count="1" selected="0">
            <x v="47"/>
          </reference>
          <reference field="12" count="1" selected="0">
            <x v="18"/>
          </reference>
          <reference field="19" count="1">
            <x v="0"/>
          </reference>
          <reference field="21" count="1" selected="0">
            <x v="0"/>
          </reference>
          <reference field="25" count="1" selected="0">
            <x v="2"/>
          </reference>
        </references>
      </pivotArea>
    </format>
    <format dxfId="1608">
      <pivotArea dataOnly="0" labelOnly="1" outline="0" fieldPosition="0">
        <references count="7">
          <reference field="1" count="1" selected="0">
            <x v="0"/>
          </reference>
          <reference field="5" count="1" selected="0">
            <x v="14"/>
          </reference>
          <reference field="11" count="1" selected="0">
            <x v="54"/>
          </reference>
          <reference field="12" count="1" selected="0">
            <x v="12"/>
          </reference>
          <reference field="19" count="1">
            <x v="0"/>
          </reference>
          <reference field="21" count="1" selected="0">
            <x v="0"/>
          </reference>
          <reference field="25" count="1" selected="0">
            <x v="0"/>
          </reference>
        </references>
      </pivotArea>
    </format>
    <format dxfId="1607">
      <pivotArea dataOnly="0" labelOnly="1" outline="0" fieldPosition="0">
        <references count="7">
          <reference field="1" count="1" selected="0">
            <x v="0"/>
          </reference>
          <reference field="5" count="1" selected="0">
            <x v="14"/>
          </reference>
          <reference field="11" count="1" selected="0">
            <x v="63"/>
          </reference>
          <reference field="12" count="1" selected="0">
            <x v="14"/>
          </reference>
          <reference field="19" count="1">
            <x v="0"/>
          </reference>
          <reference field="21" count="1" selected="0">
            <x v="0"/>
          </reference>
          <reference field="25" count="1" selected="0">
            <x v="0"/>
          </reference>
        </references>
      </pivotArea>
    </format>
    <format dxfId="1606">
      <pivotArea dataOnly="0" labelOnly="1" outline="0" fieldPosition="0">
        <references count="7">
          <reference field="1" count="1" selected="0">
            <x v="0"/>
          </reference>
          <reference field="5" count="1" selected="0">
            <x v="14"/>
          </reference>
          <reference field="11" count="1" selected="0">
            <x v="64"/>
          </reference>
          <reference field="12" count="1" selected="0">
            <x v="13"/>
          </reference>
          <reference field="19" count="1">
            <x v="0"/>
          </reference>
          <reference field="21" count="1" selected="0">
            <x v="0"/>
          </reference>
          <reference field="25" count="1" selected="0">
            <x v="0"/>
          </reference>
        </references>
      </pivotArea>
    </format>
    <format dxfId="1605">
      <pivotArea dataOnly="0" labelOnly="1" outline="0" fieldPosition="0">
        <references count="7">
          <reference field="1" count="1" selected="0">
            <x v="0"/>
          </reference>
          <reference field="5" count="1" selected="0">
            <x v="14"/>
          </reference>
          <reference field="11" count="1" selected="0">
            <x v="83"/>
          </reference>
          <reference field="12" count="1" selected="0">
            <x v="15"/>
          </reference>
          <reference field="19" count="1">
            <x v="0"/>
          </reference>
          <reference field="21" count="1" selected="0">
            <x v="0"/>
          </reference>
          <reference field="25" count="1" selected="0">
            <x v="0"/>
          </reference>
        </references>
      </pivotArea>
    </format>
    <format dxfId="1604">
      <pivotArea dataOnly="0" labelOnly="1" outline="0" fieldPosition="0">
        <references count="7">
          <reference field="1" count="1" selected="0">
            <x v="0"/>
          </reference>
          <reference field="5" count="1" selected="0">
            <x v="14"/>
          </reference>
          <reference field="11" count="1" selected="0">
            <x v="85"/>
          </reference>
          <reference field="12" count="1" selected="0">
            <x v="7"/>
          </reference>
          <reference field="19" count="1">
            <x v="0"/>
          </reference>
          <reference field="21" count="1" selected="0">
            <x v="0"/>
          </reference>
          <reference field="25" count="1" selected="0">
            <x v="0"/>
          </reference>
        </references>
      </pivotArea>
    </format>
    <format dxfId="1603">
      <pivotArea dataOnly="0" labelOnly="1" outline="0" fieldPosition="0">
        <references count="7">
          <reference field="1" count="1" selected="0">
            <x v="0"/>
          </reference>
          <reference field="5" count="1" selected="0">
            <x v="14"/>
          </reference>
          <reference field="11" count="1" selected="0">
            <x v="107"/>
          </reference>
          <reference field="12" count="1" selected="0">
            <x v="19"/>
          </reference>
          <reference field="19" count="1">
            <x v="0"/>
          </reference>
          <reference field="21" count="1" selected="0">
            <x v="0"/>
          </reference>
          <reference field="25" count="1" selected="0">
            <x v="3"/>
          </reference>
        </references>
      </pivotArea>
    </format>
    <format dxfId="1602">
      <pivotArea dataOnly="0" labelOnly="1" outline="0" fieldPosition="0">
        <references count="7">
          <reference field="1" count="1" selected="0">
            <x v="0"/>
          </reference>
          <reference field="5" count="1" selected="0">
            <x v="14"/>
          </reference>
          <reference field="11" count="1" selected="0">
            <x v="108"/>
          </reference>
          <reference field="12" count="1" selected="0">
            <x v="20"/>
          </reference>
          <reference field="19" count="1">
            <x v="0"/>
          </reference>
          <reference field="21" count="1" selected="0">
            <x v="0"/>
          </reference>
          <reference field="25" count="1" selected="0">
            <x v="3"/>
          </reference>
        </references>
      </pivotArea>
    </format>
    <format dxfId="1601">
      <pivotArea dataOnly="0" labelOnly="1" outline="0" fieldPosition="0">
        <references count="7">
          <reference field="1" count="1" selected="0">
            <x v="0"/>
          </reference>
          <reference field="5" count="1" selected="0">
            <x v="14"/>
          </reference>
          <reference field="11" count="1" selected="0">
            <x v="144"/>
          </reference>
          <reference field="12" count="1" selected="0">
            <x v="23"/>
          </reference>
          <reference field="19" count="1">
            <x v="0"/>
          </reference>
          <reference field="21" count="1" selected="0">
            <x v="0"/>
          </reference>
          <reference field="25" count="1" selected="0">
            <x v="2"/>
          </reference>
        </references>
      </pivotArea>
    </format>
    <format dxfId="1600">
      <pivotArea dataOnly="0" labelOnly="1" outline="0" fieldPosition="0">
        <references count="7">
          <reference field="1" count="1" selected="0">
            <x v="0"/>
          </reference>
          <reference field="5" count="1" selected="0">
            <x v="14"/>
          </reference>
          <reference field="11" count="1" selected="0">
            <x v="157"/>
          </reference>
          <reference field="12" count="1" selected="0">
            <x v="1"/>
          </reference>
          <reference field="19" count="1">
            <x v="0"/>
          </reference>
          <reference field="21" count="1" selected="0">
            <x v="0"/>
          </reference>
          <reference field="25" count="1" selected="0">
            <x v="0"/>
          </reference>
        </references>
      </pivotArea>
    </format>
    <format dxfId="1599">
      <pivotArea dataOnly="0" labelOnly="1" outline="0" fieldPosition="0">
        <references count="7">
          <reference field="1" count="1" selected="0">
            <x v="0"/>
          </reference>
          <reference field="5" count="1" selected="0">
            <x v="14"/>
          </reference>
          <reference field="11" count="1" selected="0">
            <x v="159"/>
          </reference>
          <reference field="12" count="1" selected="0">
            <x v="136"/>
          </reference>
          <reference field="19" count="1">
            <x v="0"/>
          </reference>
          <reference field="21" count="1" selected="0">
            <x v="0"/>
          </reference>
          <reference field="25" count="1" selected="0">
            <x v="2"/>
          </reference>
        </references>
      </pivotArea>
    </format>
    <format dxfId="1598">
      <pivotArea dataOnly="0" labelOnly="1" outline="0" fieldPosition="0">
        <references count="7">
          <reference field="1" count="1" selected="0">
            <x v="0"/>
          </reference>
          <reference field="5" count="1" selected="0">
            <x v="14"/>
          </reference>
          <reference field="11" count="1" selected="0">
            <x v="176"/>
          </reference>
          <reference field="12" count="1" selected="0">
            <x v="5"/>
          </reference>
          <reference field="19" count="1">
            <x v="0"/>
          </reference>
          <reference field="21" count="1" selected="0">
            <x v="0"/>
          </reference>
          <reference field="25" count="1" selected="0">
            <x v="0"/>
          </reference>
        </references>
      </pivotArea>
    </format>
    <format dxfId="1597">
      <pivotArea dataOnly="0" labelOnly="1" outline="0" fieldPosition="0">
        <references count="7">
          <reference field="1" count="1" selected="0">
            <x v="0"/>
          </reference>
          <reference field="5" count="1" selected="0">
            <x v="14"/>
          </reference>
          <reference field="11" count="1" selected="0">
            <x v="177"/>
          </reference>
          <reference field="12" count="1" selected="0">
            <x v="6"/>
          </reference>
          <reference field="19" count="1">
            <x v="0"/>
          </reference>
          <reference field="21" count="1" selected="0">
            <x v="0"/>
          </reference>
          <reference field="25" count="1" selected="0">
            <x v="3"/>
          </reference>
        </references>
      </pivotArea>
    </format>
    <format dxfId="1596">
      <pivotArea dataOnly="0" labelOnly="1" outline="0" fieldPosition="0">
        <references count="7">
          <reference field="1" count="1" selected="0">
            <x v="0"/>
          </reference>
          <reference field="5" count="1" selected="0">
            <x v="14"/>
          </reference>
          <reference field="11" count="1" selected="0">
            <x v="181"/>
          </reference>
          <reference field="12" count="1" selected="0">
            <x v="8"/>
          </reference>
          <reference field="19" count="1">
            <x v="0"/>
          </reference>
          <reference field="21" count="1" selected="0">
            <x v="0"/>
          </reference>
          <reference field="25" count="1" selected="0">
            <x v="0"/>
          </reference>
        </references>
      </pivotArea>
    </format>
    <format dxfId="1595">
      <pivotArea dataOnly="0" labelOnly="1" outline="0" fieldPosition="0">
        <references count="7">
          <reference field="1" count="1" selected="0">
            <x v="0"/>
          </reference>
          <reference field="5" count="1" selected="0">
            <x v="14"/>
          </reference>
          <reference field="11" count="1" selected="0">
            <x v="189"/>
          </reference>
          <reference field="12" count="1" selected="0">
            <x v="0"/>
          </reference>
          <reference field="19" count="1">
            <x v="0"/>
          </reference>
          <reference field="21" count="1" selected="0">
            <x v="0"/>
          </reference>
          <reference field="25" count="1" selected="0">
            <x v="0"/>
          </reference>
        </references>
      </pivotArea>
    </format>
    <format dxfId="1594">
      <pivotArea dataOnly="0" labelOnly="1" outline="0" fieldPosition="0">
        <references count="7">
          <reference field="1" count="1" selected="0">
            <x v="0"/>
          </reference>
          <reference field="5" count="1" selected="0">
            <x v="14"/>
          </reference>
          <reference field="11" count="1" selected="0">
            <x v="190"/>
          </reference>
          <reference field="12" count="1" selected="0">
            <x v="3"/>
          </reference>
          <reference field="19" count="1">
            <x v="0"/>
          </reference>
          <reference field="21" count="1" selected="0">
            <x v="0"/>
          </reference>
          <reference field="25" count="1" selected="0">
            <x v="3"/>
          </reference>
        </references>
      </pivotArea>
    </format>
    <format dxfId="1593">
      <pivotArea dataOnly="0" labelOnly="1" outline="0" fieldPosition="0">
        <references count="7">
          <reference field="1" count="1" selected="0">
            <x v="0"/>
          </reference>
          <reference field="5" count="1" selected="0">
            <x v="14"/>
          </reference>
          <reference field="11" count="1" selected="0">
            <x v="191"/>
          </reference>
          <reference field="12" count="1" selected="0">
            <x v="2"/>
          </reference>
          <reference field="19" count="1">
            <x v="0"/>
          </reference>
          <reference field="21" count="1" selected="0">
            <x v="0"/>
          </reference>
          <reference field="25" count="1" selected="0">
            <x v="0"/>
          </reference>
        </references>
      </pivotArea>
    </format>
    <format dxfId="1592">
      <pivotArea dataOnly="0" labelOnly="1" outline="0" fieldPosition="0">
        <references count="7">
          <reference field="1" count="1" selected="0">
            <x v="0"/>
          </reference>
          <reference field="5" count="1" selected="0">
            <x v="14"/>
          </reference>
          <reference field="11" count="1" selected="0">
            <x v="192"/>
          </reference>
          <reference field="12" count="1" selected="0">
            <x v="4"/>
          </reference>
          <reference field="19" count="1">
            <x v="0"/>
          </reference>
          <reference field="21" count="1" selected="0">
            <x v="0"/>
          </reference>
          <reference field="25" count="1" selected="0">
            <x v="0"/>
          </reference>
        </references>
      </pivotArea>
    </format>
    <format dxfId="1591">
      <pivotArea dataOnly="0" labelOnly="1" outline="0" fieldPosition="0">
        <references count="7">
          <reference field="1" count="1" selected="0">
            <x v="0"/>
          </reference>
          <reference field="5" count="1" selected="0">
            <x v="14"/>
          </reference>
          <reference field="11" count="1" selected="0">
            <x v="204"/>
          </reference>
          <reference field="12" count="1" selected="0">
            <x v="21"/>
          </reference>
          <reference field="19" count="1">
            <x v="0"/>
          </reference>
          <reference field="21" count="1" selected="0">
            <x v="0"/>
          </reference>
          <reference field="25" count="1" selected="0">
            <x v="3"/>
          </reference>
        </references>
      </pivotArea>
    </format>
    <format dxfId="1590">
      <pivotArea dataOnly="0" labelOnly="1" outline="0" fieldPosition="0">
        <references count="7">
          <reference field="1" count="1" selected="0">
            <x v="0"/>
          </reference>
          <reference field="5" count="1" selected="0">
            <x v="14"/>
          </reference>
          <reference field="11" count="1" selected="0">
            <x v="229"/>
          </reference>
          <reference field="12" count="1" selected="0">
            <x v="22"/>
          </reference>
          <reference field="19" count="1">
            <x v="0"/>
          </reference>
          <reference field="21" count="1" selected="0">
            <x v="0"/>
          </reference>
          <reference field="25" count="1" selected="0">
            <x v="3"/>
          </reference>
        </references>
      </pivotArea>
    </format>
    <format dxfId="1589">
      <pivotArea dataOnly="0" labelOnly="1" outline="0" fieldPosition="0">
        <references count="7">
          <reference field="1" count="1" selected="0">
            <x v="0"/>
          </reference>
          <reference field="5" count="1" selected="0">
            <x v="17"/>
          </reference>
          <reference field="11" count="1" selected="0">
            <x v="196"/>
          </reference>
          <reference field="12" count="1" selected="0">
            <x v="74"/>
          </reference>
          <reference field="19" count="1">
            <x v="0"/>
          </reference>
          <reference field="21" count="1" selected="0">
            <x v="1"/>
          </reference>
          <reference field="25" count="1" selected="0">
            <x v="4"/>
          </reference>
        </references>
      </pivotArea>
    </format>
    <format dxfId="1588">
      <pivotArea dataOnly="0" labelOnly="1" outline="0" fieldPosition="0">
        <references count="7">
          <reference field="1" count="1" selected="0">
            <x v="0"/>
          </reference>
          <reference field="5" count="1" selected="0">
            <x v="17"/>
          </reference>
          <reference field="11" count="1" selected="0">
            <x v="213"/>
          </reference>
          <reference field="12" count="1" selected="0">
            <x v="221"/>
          </reference>
          <reference field="19" count="1">
            <x v="0"/>
          </reference>
          <reference field="21" count="1" selected="0">
            <x v="1"/>
          </reference>
          <reference field="25" count="1" selected="0">
            <x v="4"/>
          </reference>
        </references>
      </pivotArea>
    </format>
    <format dxfId="1587">
      <pivotArea dataOnly="0" labelOnly="1" outline="0" fieldPosition="0">
        <references count="7">
          <reference field="1" count="1" selected="0">
            <x v="0"/>
          </reference>
          <reference field="5" count="1" selected="0">
            <x v="17"/>
          </reference>
          <reference field="11" count="1" selected="0">
            <x v="231"/>
          </reference>
          <reference field="12" count="1" selected="0">
            <x v="234"/>
          </reference>
          <reference field="19" count="1">
            <x v="0"/>
          </reference>
          <reference field="21" count="1" selected="0">
            <x v="0"/>
          </reference>
          <reference field="25" count="1" selected="0">
            <x v="0"/>
          </reference>
        </references>
      </pivotArea>
    </format>
    <format dxfId="1586">
      <pivotArea dataOnly="0" labelOnly="1" outline="0" fieldPosition="0">
        <references count="7">
          <reference field="1" count="1" selected="0">
            <x v="0"/>
          </reference>
          <reference field="5" count="1" selected="0">
            <x v="18"/>
          </reference>
          <reference field="11" count="1" selected="0">
            <x v="38"/>
          </reference>
          <reference field="12" count="1" selected="0">
            <x v="169"/>
          </reference>
          <reference field="19" count="1">
            <x v="0"/>
          </reference>
          <reference field="21" count="1" selected="0">
            <x v="1"/>
          </reference>
          <reference field="25" count="1" selected="0">
            <x v="4"/>
          </reference>
        </references>
      </pivotArea>
    </format>
    <format dxfId="1585">
      <pivotArea dataOnly="0" labelOnly="1" outline="0" fieldPosition="0">
        <references count="7">
          <reference field="1" count="1" selected="0">
            <x v="0"/>
          </reference>
          <reference field="5" count="1" selected="0">
            <x v="18"/>
          </reference>
          <reference field="11" count="1" selected="0">
            <x v="61"/>
          </reference>
          <reference field="12" count="1" selected="0">
            <x v="130"/>
          </reference>
          <reference field="19" count="1">
            <x v="1"/>
          </reference>
          <reference field="21" count="1" selected="0">
            <x v="1"/>
          </reference>
          <reference field="25" count="1" selected="0">
            <x v="4"/>
          </reference>
        </references>
      </pivotArea>
    </format>
    <format dxfId="1584">
      <pivotArea dataOnly="0" labelOnly="1" outline="0" fieldPosition="0">
        <references count="7">
          <reference field="1" count="1" selected="0">
            <x v="0"/>
          </reference>
          <reference field="5" count="1" selected="0">
            <x v="18"/>
          </reference>
          <reference field="11" count="1" selected="0">
            <x v="179"/>
          </reference>
          <reference field="12" count="1" selected="0">
            <x v="66"/>
          </reference>
          <reference field="19" count="1">
            <x v="0"/>
          </reference>
          <reference field="21" count="1" selected="0">
            <x v="0"/>
          </reference>
          <reference field="25" count="1" selected="0">
            <x v="0"/>
          </reference>
        </references>
      </pivotArea>
    </format>
    <format dxfId="1583">
      <pivotArea dataOnly="0" labelOnly="1" outline="0" fieldPosition="0">
        <references count="7">
          <reference field="1" count="1" selected="0">
            <x v="0"/>
          </reference>
          <reference field="5" count="1" selected="0">
            <x v="18"/>
          </reference>
          <reference field="11" count="1" selected="0">
            <x v="180"/>
          </reference>
          <reference field="12" count="1" selected="0">
            <x v="67"/>
          </reference>
          <reference field="19" count="1">
            <x v="0"/>
          </reference>
          <reference field="21" count="1" selected="0">
            <x v="0"/>
          </reference>
          <reference field="25" count="1" selected="0">
            <x v="1"/>
          </reference>
        </references>
      </pivotArea>
    </format>
    <format dxfId="1582">
      <pivotArea dataOnly="0" labelOnly="1" outline="0" fieldPosition="0">
        <references count="7">
          <reference field="1" count="1" selected="0">
            <x v="0"/>
          </reference>
          <reference field="5" count="1" selected="0">
            <x v="19"/>
          </reference>
          <reference field="11" count="1" selected="0">
            <x v="185"/>
          </reference>
          <reference field="12" count="1" selected="0">
            <x v="175"/>
          </reference>
          <reference field="19" count="1">
            <x v="0"/>
          </reference>
          <reference field="21" count="1" selected="0">
            <x v="0"/>
          </reference>
          <reference field="25" count="1" selected="0">
            <x v="4"/>
          </reference>
        </references>
      </pivotArea>
    </format>
    <format dxfId="1581">
      <pivotArea dataOnly="0" labelOnly="1" outline="0" fieldPosition="0">
        <references count="7">
          <reference field="1" count="1" selected="0">
            <x v="0"/>
          </reference>
          <reference field="5" count="1" selected="0">
            <x v="19"/>
          </reference>
          <reference field="11" count="1" selected="0">
            <x v="236"/>
          </reference>
          <reference field="12" count="1" selected="0">
            <x v="238"/>
          </reference>
          <reference field="19" count="1">
            <x v="0"/>
          </reference>
          <reference field="21" count="1" selected="0">
            <x v="0"/>
          </reference>
          <reference field="25" count="1" selected="0">
            <x v="4"/>
          </reference>
        </references>
      </pivotArea>
    </format>
    <format dxfId="1580">
      <pivotArea dataOnly="0" labelOnly="1" outline="0" fieldPosition="0">
        <references count="7">
          <reference field="1" count="1" selected="0">
            <x v="0"/>
          </reference>
          <reference field="5" count="1" selected="0">
            <x v="19"/>
          </reference>
          <reference field="11" count="1" selected="0">
            <x v="237"/>
          </reference>
          <reference field="12" count="1" selected="0">
            <x v="239"/>
          </reference>
          <reference field="19" count="1">
            <x v="0"/>
          </reference>
          <reference field="21" count="1" selected="0">
            <x v="0"/>
          </reference>
          <reference field="25" count="1" selected="0">
            <x v="4"/>
          </reference>
        </references>
      </pivotArea>
    </format>
    <format dxfId="1579">
      <pivotArea dataOnly="0" labelOnly="1" outline="0" fieldPosition="0">
        <references count="7">
          <reference field="1" count="1" selected="0">
            <x v="0"/>
          </reference>
          <reference field="5" count="1" selected="0">
            <x v="20"/>
          </reference>
          <reference field="11" count="1" selected="0">
            <x v="17"/>
          </reference>
          <reference field="12" count="1" selected="0">
            <x v="108"/>
          </reference>
          <reference field="19" count="1">
            <x v="1"/>
          </reference>
          <reference field="21" count="1" selected="0">
            <x v="0"/>
          </reference>
          <reference field="25" count="1" selected="0">
            <x v="2"/>
          </reference>
        </references>
      </pivotArea>
    </format>
    <format dxfId="1578">
      <pivotArea dataOnly="0" labelOnly="1" outline="0" fieldPosition="0">
        <references count="7">
          <reference field="1" count="1" selected="0">
            <x v="0"/>
          </reference>
          <reference field="5" count="1" selected="0">
            <x v="20"/>
          </reference>
          <reference field="11" count="1" selected="0">
            <x v="33"/>
          </reference>
          <reference field="12" count="1" selected="0">
            <x v="27"/>
          </reference>
          <reference field="19" count="1">
            <x v="0"/>
          </reference>
          <reference field="21" count="1" selected="0">
            <x v="0"/>
          </reference>
          <reference field="25" count="1" selected="0">
            <x v="3"/>
          </reference>
        </references>
      </pivotArea>
    </format>
    <format dxfId="1577">
      <pivotArea dataOnly="0" labelOnly="1" outline="0" fieldPosition="0">
        <references count="7">
          <reference field="1" count="1" selected="0">
            <x v="0"/>
          </reference>
          <reference field="5" count="1" selected="0">
            <x v="20"/>
          </reference>
          <reference field="11" count="1" selected="0">
            <x v="34"/>
          </reference>
          <reference field="12" count="1" selected="0">
            <x v="110"/>
          </reference>
          <reference field="19" count="1">
            <x v="1"/>
          </reference>
          <reference field="21" count="1" selected="0">
            <x v="0"/>
          </reference>
          <reference field="25" count="1" selected="0">
            <x v="0"/>
          </reference>
        </references>
      </pivotArea>
    </format>
    <format dxfId="1576">
      <pivotArea dataOnly="0" labelOnly="1" outline="0" fieldPosition="0">
        <references count="7">
          <reference field="1" count="1" selected="0">
            <x v="0"/>
          </reference>
          <reference field="5" count="1" selected="0">
            <x v="20"/>
          </reference>
          <reference field="11" count="1" selected="0">
            <x v="44"/>
          </reference>
          <reference field="12" count="1" selected="0">
            <x v="176"/>
          </reference>
          <reference field="19" count="1">
            <x v="1"/>
          </reference>
          <reference field="21" count="1" selected="0">
            <x v="2"/>
          </reference>
          <reference field="25" count="1" selected="0">
            <x v="4"/>
          </reference>
        </references>
      </pivotArea>
    </format>
    <format dxfId="1575">
      <pivotArea dataOnly="0" labelOnly="1" outline="0" fieldPosition="0">
        <references count="7">
          <reference field="1" count="1" selected="0">
            <x v="0"/>
          </reference>
          <reference field="5" count="1" selected="0">
            <x v="20"/>
          </reference>
          <reference field="11" count="1" selected="0">
            <x v="48"/>
          </reference>
          <reference field="12" count="1" selected="0">
            <x v="116"/>
          </reference>
          <reference field="19" count="1">
            <x v="1"/>
          </reference>
          <reference field="21" count="1" selected="0">
            <x v="0"/>
          </reference>
          <reference field="25" count="1" selected="0">
            <x v="2"/>
          </reference>
        </references>
      </pivotArea>
    </format>
    <format dxfId="1574">
      <pivotArea dataOnly="0" labelOnly="1" outline="0" fieldPosition="0">
        <references count="7">
          <reference field="1" count="1" selected="0">
            <x v="0"/>
          </reference>
          <reference field="5" count="1" selected="0">
            <x v="20"/>
          </reference>
          <reference field="11" count="1" selected="0">
            <x v="75"/>
          </reference>
          <reference field="12" count="1" selected="0">
            <x v="26"/>
          </reference>
          <reference field="19" count="1">
            <x v="0"/>
          </reference>
          <reference field="21" count="1" selected="0">
            <x v="0"/>
          </reference>
          <reference field="25" count="1" selected="0">
            <x v="0"/>
          </reference>
        </references>
      </pivotArea>
    </format>
    <format dxfId="1573">
      <pivotArea dataOnly="0" labelOnly="1" outline="0" fieldPosition="0">
        <references count="7">
          <reference field="1" count="1" selected="0">
            <x v="0"/>
          </reference>
          <reference field="5" count="1" selected="0">
            <x v="20"/>
          </reference>
          <reference field="11" count="1" selected="0">
            <x v="76"/>
          </reference>
          <reference field="12" count="1" selected="0">
            <x v="114"/>
          </reference>
          <reference field="19" count="1">
            <x v="1"/>
          </reference>
          <reference field="21" count="1" selected="0">
            <x v="0"/>
          </reference>
          <reference field="25" count="1" selected="0">
            <x v="2"/>
          </reference>
        </references>
      </pivotArea>
    </format>
    <format dxfId="1572">
      <pivotArea dataOnly="0" labelOnly="1" outline="0" fieldPosition="0">
        <references count="7">
          <reference field="1" count="1" selected="0">
            <x v="0"/>
          </reference>
          <reference field="5" count="1" selected="0">
            <x v="20"/>
          </reference>
          <reference field="11" count="1" selected="0">
            <x v="78"/>
          </reference>
          <reference field="12" count="1" selected="0">
            <x v="30"/>
          </reference>
          <reference field="19" count="1">
            <x v="0"/>
          </reference>
          <reference field="21" count="1" selected="0">
            <x v="0"/>
          </reference>
          <reference field="25" count="1" selected="0">
            <x v="3"/>
          </reference>
        </references>
      </pivotArea>
    </format>
    <format dxfId="1571">
      <pivotArea dataOnly="0" labelOnly="1" outline="0" fieldPosition="0">
        <references count="7">
          <reference field="1" count="1" selected="0">
            <x v="0"/>
          </reference>
          <reference field="5" count="1" selected="0">
            <x v="20"/>
          </reference>
          <reference field="11" count="1" selected="0">
            <x v="79"/>
          </reference>
          <reference field="12" count="1" selected="0">
            <x v="28"/>
          </reference>
          <reference field="19" count="1">
            <x v="0"/>
          </reference>
          <reference field="21" count="1" selected="0">
            <x v="0"/>
          </reference>
          <reference field="25" count="1" selected="0">
            <x v="2"/>
          </reference>
        </references>
      </pivotArea>
    </format>
    <format dxfId="1570">
      <pivotArea dataOnly="0" labelOnly="1" outline="0" fieldPosition="0">
        <references count="7">
          <reference field="1" count="1" selected="0">
            <x v="0"/>
          </reference>
          <reference field="5" count="1" selected="0">
            <x v="20"/>
          </reference>
          <reference field="11" count="1" selected="0">
            <x v="80"/>
          </reference>
          <reference field="12" count="1" selected="0">
            <x v="39"/>
          </reference>
          <reference field="19" count="1">
            <x v="0"/>
          </reference>
          <reference field="21" count="1" selected="0">
            <x v="0"/>
          </reference>
          <reference field="25" count="1" selected="0">
            <x v="0"/>
          </reference>
        </references>
      </pivotArea>
    </format>
    <format dxfId="1569">
      <pivotArea dataOnly="0" labelOnly="1" outline="0" fieldPosition="0">
        <references count="7">
          <reference field="1" count="1" selected="0">
            <x v="0"/>
          </reference>
          <reference field="5" count="1" selected="0">
            <x v="20"/>
          </reference>
          <reference field="11" count="1" selected="0">
            <x v="81"/>
          </reference>
          <reference field="12" count="1" selected="0">
            <x v="38"/>
          </reference>
          <reference field="19" count="1">
            <x v="0"/>
          </reference>
          <reference field="21" count="1" selected="0">
            <x v="0"/>
          </reference>
          <reference field="25" count="1" selected="0">
            <x v="0"/>
          </reference>
        </references>
      </pivotArea>
    </format>
    <format dxfId="1568">
      <pivotArea dataOnly="0" labelOnly="1" outline="0" fieldPosition="0">
        <references count="7">
          <reference field="1" count="1" selected="0">
            <x v="0"/>
          </reference>
          <reference field="5" count="1" selected="0">
            <x v="20"/>
          </reference>
          <reference field="11" count="1" selected="0">
            <x v="151"/>
          </reference>
          <reference field="12" count="1" selected="0">
            <x v="32"/>
          </reference>
          <reference field="19" count="1">
            <x v="0"/>
          </reference>
          <reference field="21" count="1" selected="0">
            <x v="0"/>
          </reference>
          <reference field="25" count="1" selected="0">
            <x v="3"/>
          </reference>
        </references>
      </pivotArea>
    </format>
    <format dxfId="1567">
      <pivotArea dataOnly="0" labelOnly="1" outline="0" fieldPosition="0">
        <references count="7">
          <reference field="1" count="1" selected="0">
            <x v="0"/>
          </reference>
          <reference field="5" count="1" selected="0">
            <x v="20"/>
          </reference>
          <reference field="11" count="1" selected="0">
            <x v="165"/>
          </reference>
          <reference field="12" count="1" selected="0">
            <x v="135"/>
          </reference>
          <reference field="19" count="1">
            <x v="1"/>
          </reference>
          <reference field="21" count="1" selected="0">
            <x v="0"/>
          </reference>
          <reference field="25" count="1" selected="0">
            <x v="2"/>
          </reference>
        </references>
      </pivotArea>
    </format>
    <format dxfId="1566">
      <pivotArea dataOnly="0" labelOnly="1" outline="0" fieldPosition="0">
        <references count="7">
          <reference field="1" count="1" selected="0">
            <x v="0"/>
          </reference>
          <reference field="5" count="1" selected="0">
            <x v="20"/>
          </reference>
          <reference field="11" count="1" selected="0">
            <x v="166"/>
          </reference>
          <reference field="12" count="1" selected="0">
            <x v="31"/>
          </reference>
          <reference field="19" count="1">
            <x v="0"/>
          </reference>
          <reference field="21" count="1" selected="0">
            <x v="0"/>
          </reference>
          <reference field="25" count="1" selected="0">
            <x v="3"/>
          </reference>
        </references>
      </pivotArea>
    </format>
    <format dxfId="1565">
      <pivotArea dataOnly="0" labelOnly="1" outline="0" fieldPosition="0">
        <references count="7">
          <reference field="1" count="1" selected="0">
            <x v="0"/>
          </reference>
          <reference field="5" count="1" selected="0">
            <x v="20"/>
          </reference>
          <reference field="11" count="1" selected="0">
            <x v="167"/>
          </reference>
          <reference field="12" count="1" selected="0">
            <x v="24"/>
          </reference>
          <reference field="19" count="1">
            <x v="0"/>
          </reference>
          <reference field="21" count="1" selected="0">
            <x v="0"/>
          </reference>
          <reference field="25" count="1" selected="0">
            <x v="0"/>
          </reference>
        </references>
      </pivotArea>
    </format>
    <format dxfId="1564">
      <pivotArea dataOnly="0" labelOnly="1" outline="0" fieldPosition="0">
        <references count="7">
          <reference field="1" count="1" selected="0">
            <x v="0"/>
          </reference>
          <reference field="5" count="1" selected="0">
            <x v="20"/>
          </reference>
          <reference field="11" count="1" selected="0">
            <x v="168"/>
          </reference>
          <reference field="12" count="1" selected="0">
            <x v="29"/>
          </reference>
          <reference field="19" count="1">
            <x v="0"/>
          </reference>
          <reference field="21" count="1" selected="0">
            <x v="0"/>
          </reference>
          <reference field="25" count="1" selected="0">
            <x v="3"/>
          </reference>
        </references>
      </pivotArea>
    </format>
    <format dxfId="1563">
      <pivotArea dataOnly="0" labelOnly="1" outline="0" fieldPosition="0">
        <references count="7">
          <reference field="1" count="1" selected="0">
            <x v="0"/>
          </reference>
          <reference field="5" count="1" selected="0">
            <x v="20"/>
          </reference>
          <reference field="11" count="1" selected="0">
            <x v="169"/>
          </reference>
          <reference field="12" count="1" selected="0">
            <x v="25"/>
          </reference>
          <reference field="19" count="1">
            <x v="0"/>
          </reference>
          <reference field="21" count="1" selected="0">
            <x v="0"/>
          </reference>
          <reference field="25" count="1" selected="0">
            <x v="3"/>
          </reference>
        </references>
      </pivotArea>
    </format>
    <format dxfId="1562">
      <pivotArea dataOnly="0" labelOnly="1" outline="0" fieldPosition="0">
        <references count="7">
          <reference field="1" count="1" selected="0">
            <x v="0"/>
          </reference>
          <reference field="5" count="1" selected="0">
            <x v="20"/>
          </reference>
          <reference field="11" count="1" selected="0">
            <x v="178"/>
          </reference>
          <reference field="12" count="1" selected="0">
            <x v="40"/>
          </reference>
          <reference field="19" count="1">
            <x v="0"/>
          </reference>
          <reference field="21" count="1" selected="0">
            <x v="0"/>
          </reference>
          <reference field="25" count="1" selected="0">
            <x v="0"/>
          </reference>
        </references>
      </pivotArea>
    </format>
    <format dxfId="1561">
      <pivotArea dataOnly="0" labelOnly="1" outline="0" fieldPosition="0">
        <references count="7">
          <reference field="1" count="1" selected="0">
            <x v="0"/>
          </reference>
          <reference field="5" count="1" selected="0">
            <x v="20"/>
          </reference>
          <reference field="11" count="1" selected="0">
            <x v="193"/>
          </reference>
          <reference field="12" count="1" selected="0">
            <x v="36"/>
          </reference>
          <reference field="19" count="1">
            <x v="0"/>
          </reference>
          <reference field="21" count="1" selected="0">
            <x v="0"/>
          </reference>
          <reference field="25" count="1" selected="0">
            <x v="3"/>
          </reference>
        </references>
      </pivotArea>
    </format>
    <format dxfId="1560">
      <pivotArea dataOnly="0" labelOnly="1" outline="0" fieldPosition="0">
        <references count="7">
          <reference field="1" count="1" selected="0">
            <x v="0"/>
          </reference>
          <reference field="5" count="1" selected="0">
            <x v="20"/>
          </reference>
          <reference field="11" count="1" selected="0">
            <x v="197"/>
          </reference>
          <reference field="12" count="1" selected="0">
            <x v="37"/>
          </reference>
          <reference field="19" count="1">
            <x v="0"/>
          </reference>
          <reference field="21" count="1" selected="0">
            <x v="0"/>
          </reference>
          <reference field="25" count="1" selected="0">
            <x v="3"/>
          </reference>
        </references>
      </pivotArea>
    </format>
    <format dxfId="1559">
      <pivotArea dataOnly="0" labelOnly="1" outline="0" fieldPosition="0">
        <references count="7">
          <reference field="1" count="1" selected="0">
            <x v="0"/>
          </reference>
          <reference field="5" count="1" selected="0">
            <x v="20"/>
          </reference>
          <reference field="11" count="1" selected="0">
            <x v="201"/>
          </reference>
          <reference field="12" count="1" selected="0">
            <x v="111"/>
          </reference>
          <reference field="19" count="1">
            <x v="1"/>
          </reference>
          <reference field="21" count="1" selected="0">
            <x v="0"/>
          </reference>
          <reference field="25" count="1" selected="0">
            <x v="2"/>
          </reference>
        </references>
      </pivotArea>
    </format>
    <format dxfId="1558">
      <pivotArea dataOnly="0" labelOnly="1" outline="0" fieldPosition="0">
        <references count="7">
          <reference field="1" count="1" selected="0">
            <x v="0"/>
          </reference>
          <reference field="5" count="1" selected="0">
            <x v="20"/>
          </reference>
          <reference field="11" count="1" selected="0">
            <x v="228"/>
          </reference>
          <reference field="12" count="1" selected="0">
            <x v="115"/>
          </reference>
          <reference field="19" count="1">
            <x v="1"/>
          </reference>
          <reference field="21" count="1" selected="0">
            <x v="0"/>
          </reference>
          <reference field="25" count="1" selected="0">
            <x v="0"/>
          </reference>
        </references>
      </pivotArea>
    </format>
    <format dxfId="1557">
      <pivotArea dataOnly="0" labelOnly="1" outline="0" fieldPosition="0">
        <references count="7">
          <reference field="1" count="1" selected="0">
            <x v="0"/>
          </reference>
          <reference field="5" count="1" selected="0">
            <x v="20"/>
          </reference>
          <reference field="11" count="1" selected="0">
            <x v="230"/>
          </reference>
          <reference field="12" count="1" selected="0">
            <x v="107"/>
          </reference>
          <reference field="19" count="1">
            <x v="1"/>
          </reference>
          <reference field="21" count="1" selected="0">
            <x v="0"/>
          </reference>
          <reference field="25" count="1" selected="0">
            <x v="0"/>
          </reference>
        </references>
      </pivotArea>
    </format>
    <format dxfId="1556">
      <pivotArea dataOnly="0" labelOnly="1" outline="0" fieldPosition="0">
        <references count="7">
          <reference field="1" count="1" selected="0">
            <x v="1"/>
          </reference>
          <reference field="5" count="1" selected="0">
            <x v="3"/>
          </reference>
          <reference field="11" count="1" selected="0">
            <x v="148"/>
          </reference>
          <reference field="12" count="1" selected="0">
            <x v="212"/>
          </reference>
          <reference field="19" count="1">
            <x v="1"/>
          </reference>
          <reference field="21" count="1" selected="0">
            <x v="1"/>
          </reference>
          <reference field="25" count="1" selected="0">
            <x v="4"/>
          </reference>
        </references>
      </pivotArea>
    </format>
    <format dxfId="1555">
      <pivotArea dataOnly="0" labelOnly="1" outline="0" fieldPosition="0">
        <references count="7">
          <reference field="1" count="1" selected="0">
            <x v="1"/>
          </reference>
          <reference field="5" count="1" selected="0">
            <x v="3"/>
          </reference>
          <reference field="11" count="1" selected="0">
            <x v="232"/>
          </reference>
          <reference field="12" count="1" selected="0">
            <x v="233"/>
          </reference>
          <reference field="19" count="1">
            <x v="0"/>
          </reference>
          <reference field="21" count="1" selected="0">
            <x v="0"/>
          </reference>
          <reference field="25" count="1" selected="0">
            <x v="0"/>
          </reference>
        </references>
      </pivotArea>
    </format>
    <format dxfId="1554">
      <pivotArea dataOnly="0" labelOnly="1" outline="0" fieldPosition="0">
        <references count="7">
          <reference field="1" count="1" selected="0">
            <x v="1"/>
          </reference>
          <reference field="5" count="1" selected="0">
            <x v="3"/>
          </reference>
          <reference field="11" count="1" selected="0">
            <x v="247"/>
          </reference>
          <reference field="12" count="1" selected="0">
            <x v="250"/>
          </reference>
          <reference field="19" count="1">
            <x v="0"/>
          </reference>
          <reference field="21" count="1" selected="0">
            <x v="0"/>
          </reference>
          <reference field="25" count="1" selected="0">
            <x v="4"/>
          </reference>
        </references>
      </pivotArea>
    </format>
    <format dxfId="1553">
      <pivotArea dataOnly="0" labelOnly="1" outline="0" fieldPosition="0">
        <references count="7">
          <reference field="1" count="1" selected="0">
            <x v="1"/>
          </reference>
          <reference field="5" count="1" selected="0">
            <x v="6"/>
          </reference>
          <reference field="11" count="1" selected="0">
            <x v="51"/>
          </reference>
          <reference field="12" count="1" selected="0">
            <x v="203"/>
          </reference>
          <reference field="19" count="1">
            <x v="0"/>
          </reference>
          <reference field="21" count="1" selected="0">
            <x v="0"/>
          </reference>
          <reference field="25" count="1" selected="0">
            <x v="0"/>
          </reference>
        </references>
      </pivotArea>
    </format>
    <format dxfId="1552">
      <pivotArea dataOnly="0" labelOnly="1" outline="0" fieldPosition="0">
        <references count="7">
          <reference field="1" count="1" selected="0">
            <x v="1"/>
          </reference>
          <reference field="5" count="1" selected="0">
            <x v="6"/>
          </reference>
          <reference field="11" count="1" selected="0">
            <x v="52"/>
          </reference>
          <reference field="12" count="1" selected="0">
            <x v="204"/>
          </reference>
          <reference field="19" count="1">
            <x v="0"/>
          </reference>
          <reference field="21" count="1" selected="0">
            <x v="0"/>
          </reference>
          <reference field="25" count="1" selected="0">
            <x v="0"/>
          </reference>
        </references>
      </pivotArea>
    </format>
    <format dxfId="1551">
      <pivotArea dataOnly="0" labelOnly="1" outline="0" fieldPosition="0">
        <references count="7">
          <reference field="1" count="1" selected="0">
            <x v="1"/>
          </reference>
          <reference field="5" count="1" selected="0">
            <x v="6"/>
          </reference>
          <reference field="11" count="1" selected="0">
            <x v="53"/>
          </reference>
          <reference field="12" count="1" selected="0">
            <x v="205"/>
          </reference>
          <reference field="19" count="1">
            <x v="0"/>
          </reference>
          <reference field="21" count="1" selected="0">
            <x v="0"/>
          </reference>
          <reference field="25" count="1" selected="0">
            <x v="5"/>
          </reference>
        </references>
      </pivotArea>
    </format>
    <format dxfId="1550">
      <pivotArea dataOnly="0" labelOnly="1" outline="0" fieldPosition="0">
        <references count="7">
          <reference field="1" count="1" selected="0">
            <x v="1"/>
          </reference>
          <reference field="5" count="1" selected="0">
            <x v="6"/>
          </reference>
          <reference field="11" count="1" selected="0">
            <x v="116"/>
          </reference>
          <reference field="12" count="1" selected="0">
            <x v="206"/>
          </reference>
          <reference field="19" count="1">
            <x v="0"/>
          </reference>
          <reference field="21" count="1" selected="0">
            <x v="0"/>
          </reference>
          <reference field="25" count="1" selected="0">
            <x v="0"/>
          </reference>
        </references>
      </pivotArea>
    </format>
    <format dxfId="1549">
      <pivotArea dataOnly="0" labelOnly="1" outline="0" fieldPosition="0">
        <references count="7">
          <reference field="1" count="1" selected="0">
            <x v="1"/>
          </reference>
          <reference field="5" count="1" selected="0">
            <x v="6"/>
          </reference>
          <reference field="11" count="1" selected="0">
            <x v="123"/>
          </reference>
          <reference field="12" count="1" selected="0">
            <x v="196"/>
          </reference>
          <reference field="19" count="1">
            <x v="0"/>
          </reference>
          <reference field="21" count="1" selected="0">
            <x v="0"/>
          </reference>
          <reference field="25" count="1" selected="0">
            <x v="0"/>
          </reference>
        </references>
      </pivotArea>
    </format>
    <format dxfId="1548">
      <pivotArea dataOnly="0" labelOnly="1" outline="0" fieldPosition="0">
        <references count="7">
          <reference field="1" count="1" selected="0">
            <x v="1"/>
          </reference>
          <reference field="5" count="1" selected="0">
            <x v="6"/>
          </reference>
          <reference field="11" count="1" selected="0">
            <x v="137"/>
          </reference>
          <reference field="12" count="1" selected="0">
            <x v="197"/>
          </reference>
          <reference field="19" count="1">
            <x v="0"/>
          </reference>
          <reference field="21" count="1" selected="0">
            <x v="0"/>
          </reference>
          <reference field="25" count="1" selected="0">
            <x v="0"/>
          </reference>
        </references>
      </pivotArea>
    </format>
    <format dxfId="1547">
      <pivotArea dataOnly="0" labelOnly="1" outline="0" fieldPosition="0">
        <references count="7">
          <reference field="1" count="1" selected="0">
            <x v="1"/>
          </reference>
          <reference field="5" count="1" selected="0">
            <x v="6"/>
          </reference>
          <reference field="11" count="1" selected="0">
            <x v="208"/>
          </reference>
          <reference field="12" count="1" selected="0">
            <x v="208"/>
          </reference>
          <reference field="19" count="1">
            <x v="0"/>
          </reference>
          <reference field="21" count="1" selected="0">
            <x v="0"/>
          </reference>
          <reference field="25" count="1" selected="0">
            <x v="0"/>
          </reference>
        </references>
      </pivotArea>
    </format>
    <format dxfId="1546">
      <pivotArea dataOnly="0" labelOnly="1" outline="0" fieldPosition="0">
        <references count="7">
          <reference field="1" count="1" selected="0">
            <x v="1"/>
          </reference>
          <reference field="5" count="1" selected="0">
            <x v="6"/>
          </reference>
          <reference field="11" count="1" selected="0">
            <x v="221"/>
          </reference>
          <reference field="12" count="1" selected="0">
            <x v="229"/>
          </reference>
          <reference field="19" count="1">
            <x v="0"/>
          </reference>
          <reference field="21" count="1" selected="0">
            <x v="0"/>
          </reference>
          <reference field="25" count="1" selected="0">
            <x v="5"/>
          </reference>
        </references>
      </pivotArea>
    </format>
    <format dxfId="1545">
      <pivotArea dataOnly="0" labelOnly="1" outline="0" fieldPosition="0">
        <references count="7">
          <reference field="1" count="1" selected="0">
            <x v="1"/>
          </reference>
          <reference field="5" count="1" selected="0">
            <x v="6"/>
          </reference>
          <reference field="11" count="1" selected="0">
            <x v="239"/>
          </reference>
          <reference field="12" count="1" selected="0">
            <x v="241"/>
          </reference>
          <reference field="19" count="1">
            <x v="0"/>
          </reference>
          <reference field="21" count="1" selected="0">
            <x v="0"/>
          </reference>
          <reference field="25" count="1" selected="0">
            <x v="4"/>
          </reference>
        </references>
      </pivotArea>
    </format>
    <format dxfId="1544">
      <pivotArea dataOnly="0" labelOnly="1" outline="0" fieldPosition="0">
        <references count="7">
          <reference field="1" count="1" selected="0">
            <x v="1"/>
          </reference>
          <reference field="5" count="1" selected="0">
            <x v="6"/>
          </reference>
          <reference field="11" count="1" selected="0">
            <x v="241"/>
          </reference>
          <reference field="12" count="1" selected="0">
            <x v="244"/>
          </reference>
          <reference field="19" count="1">
            <x v="0"/>
          </reference>
          <reference field="21" count="1" selected="0">
            <x v="0"/>
          </reference>
          <reference field="25" count="1" selected="0">
            <x v="4"/>
          </reference>
        </references>
      </pivotArea>
    </format>
    <format dxfId="1543">
      <pivotArea dataOnly="0" labelOnly="1" outline="0" fieldPosition="0">
        <references count="7">
          <reference field="1" count="1" selected="0">
            <x v="1"/>
          </reference>
          <reference field="5" count="1" selected="0">
            <x v="6"/>
          </reference>
          <reference field="11" count="1" selected="0">
            <x v="244"/>
          </reference>
          <reference field="12" count="1" selected="0">
            <x v="249"/>
          </reference>
          <reference field="19" count="1">
            <x v="0"/>
          </reference>
          <reference field="21" count="1" selected="0">
            <x v="0"/>
          </reference>
          <reference field="25" count="1" selected="0">
            <x v="4"/>
          </reference>
        </references>
      </pivotArea>
    </format>
    <format dxfId="1542">
      <pivotArea dataOnly="0" labelOnly="1" outline="0" fieldPosition="0">
        <references count="7">
          <reference field="1" count="1" selected="0">
            <x v="1"/>
          </reference>
          <reference field="5" count="1" selected="0">
            <x v="6"/>
          </reference>
          <reference field="11" count="1" selected="0">
            <x v="248"/>
          </reference>
          <reference field="12" count="1" selected="0">
            <x v="251"/>
          </reference>
          <reference field="19" count="1">
            <x v="0"/>
          </reference>
          <reference field="21" count="1" selected="0">
            <x v="0"/>
          </reference>
          <reference field="25" count="1" selected="0">
            <x v="4"/>
          </reference>
        </references>
      </pivotArea>
    </format>
    <format dxfId="1541">
      <pivotArea dataOnly="0" labelOnly="1" outline="0" fieldPosition="0">
        <references count="7">
          <reference field="1" count="1" selected="0">
            <x v="1"/>
          </reference>
          <reference field="5" count="1" selected="0">
            <x v="9"/>
          </reference>
          <reference field="11" count="1" selected="0">
            <x v="95"/>
          </reference>
          <reference field="12" count="1" selected="0">
            <x v="198"/>
          </reference>
          <reference field="19" count="1">
            <x v="0"/>
          </reference>
          <reference field="21" count="1" selected="0">
            <x v="0"/>
          </reference>
          <reference field="25" count="1" selected="0">
            <x v="0"/>
          </reference>
        </references>
      </pivotArea>
    </format>
    <format dxfId="1540">
      <pivotArea dataOnly="0" labelOnly="1" outline="0" fieldPosition="0">
        <references count="7">
          <reference field="1" count="1" selected="0">
            <x v="1"/>
          </reference>
          <reference field="5" count="1" selected="0">
            <x v="9"/>
          </reference>
          <reference field="11" count="1" selected="0">
            <x v="96"/>
          </reference>
          <reference field="12" count="1" selected="0">
            <x v="213"/>
          </reference>
          <reference field="19" count="1">
            <x v="0"/>
          </reference>
          <reference field="21" count="1" selected="0">
            <x v="0"/>
          </reference>
          <reference field="25" count="1" selected="0">
            <x v="5"/>
          </reference>
        </references>
      </pivotArea>
    </format>
    <format dxfId="1539">
      <pivotArea dataOnly="0" labelOnly="1" outline="0" fieldPosition="0">
        <references count="7">
          <reference field="1" count="1" selected="0">
            <x v="1"/>
          </reference>
          <reference field="5" count="1" selected="0">
            <x v="9"/>
          </reference>
          <reference field="11" count="1" selected="0">
            <x v="246"/>
          </reference>
          <reference field="12" count="1" selected="0">
            <x v="246"/>
          </reference>
          <reference field="19" count="1">
            <x v="0"/>
          </reference>
          <reference field="21" count="1" selected="0">
            <x v="0"/>
          </reference>
          <reference field="25" count="1" selected="0">
            <x v="4"/>
          </reference>
        </references>
      </pivotArea>
    </format>
    <format dxfId="1538">
      <pivotArea dataOnly="0" labelOnly="1" outline="0" fieldPosition="0">
        <references count="7">
          <reference field="1" count="1" selected="0">
            <x v="1"/>
          </reference>
          <reference field="5" count="1" selected="0">
            <x v="13"/>
          </reference>
          <reference field="11" count="1" selected="0">
            <x v="39"/>
          </reference>
          <reference field="12" count="1" selected="0">
            <x v="199"/>
          </reference>
          <reference field="19" count="1">
            <x v="0"/>
          </reference>
          <reference field="21" count="1" selected="0">
            <x v="1"/>
          </reference>
          <reference field="25" count="1" selected="0">
            <x v="4"/>
          </reference>
        </references>
      </pivotArea>
    </format>
    <format dxfId="1537">
      <pivotArea dataOnly="0" labelOnly="1" outline="0" fieldPosition="0">
        <references count="7">
          <reference field="1" count="1" selected="0">
            <x v="1"/>
          </reference>
          <reference field="5" count="1" selected="0">
            <x v="13"/>
          </reference>
          <reference field="11" count="1" selected="0">
            <x v="40"/>
          </reference>
          <reference field="12" count="1" selected="0">
            <x v="209"/>
          </reference>
          <reference field="19" count="1">
            <x v="1"/>
          </reference>
          <reference field="21" count="1" selected="0">
            <x v="1"/>
          </reference>
          <reference field="25" count="1" selected="0">
            <x v="4"/>
          </reference>
        </references>
      </pivotArea>
    </format>
    <format dxfId="1536">
      <pivotArea dataOnly="0" labelOnly="1" outline="0" fieldPosition="0">
        <references count="7">
          <reference field="1" count="1" selected="0">
            <x v="1"/>
          </reference>
          <reference field="5" count="1" selected="0">
            <x v="13"/>
          </reference>
          <reference field="11" count="1" selected="0">
            <x v="120"/>
          </reference>
          <reference field="12" count="1" selected="0">
            <x v="195"/>
          </reference>
          <reference field="19" count="1">
            <x v="1"/>
          </reference>
          <reference field="21" count="1" selected="0">
            <x v="1"/>
          </reference>
          <reference field="25" count="1" selected="0">
            <x v="4"/>
          </reference>
        </references>
      </pivotArea>
    </format>
    <format dxfId="1535">
      <pivotArea dataOnly="0" labelOnly="1" outline="0" fieldPosition="0">
        <references count="7">
          <reference field="1" count="1" selected="0">
            <x v="1"/>
          </reference>
          <reference field="5" count="1" selected="0">
            <x v="13"/>
          </reference>
          <reference field="11" count="1" selected="0">
            <x v="136"/>
          </reference>
          <reference field="12" count="1" selected="0">
            <x v="200"/>
          </reference>
          <reference field="19" count="1">
            <x v="0"/>
          </reference>
          <reference field="21" count="1" selected="0">
            <x v="1"/>
          </reference>
          <reference field="25" count="1" selected="0">
            <x v="4"/>
          </reference>
        </references>
      </pivotArea>
    </format>
    <format dxfId="1534">
      <pivotArea dataOnly="0" labelOnly="1" outline="0" fieldPosition="0">
        <references count="7">
          <reference field="1" count="1" selected="0">
            <x v="1"/>
          </reference>
          <reference field="5" count="1" selected="0">
            <x v="13"/>
          </reference>
          <reference field="11" count="1" selected="0">
            <x v="214"/>
          </reference>
          <reference field="12" count="1" selected="0">
            <x v="222"/>
          </reference>
          <reference field="19" count="1">
            <x v="0"/>
          </reference>
          <reference field="21" count="1" selected="0">
            <x v="0"/>
          </reference>
          <reference field="25" count="1" selected="0">
            <x v="0"/>
          </reference>
        </references>
      </pivotArea>
    </format>
    <format dxfId="1533">
      <pivotArea dataOnly="0" labelOnly="1" outline="0" fieldPosition="0">
        <references count="7">
          <reference field="1" count="1" selected="0">
            <x v="1"/>
          </reference>
          <reference field="5" count="1" selected="0">
            <x v="13"/>
          </reference>
          <reference field="11" count="1" selected="0">
            <x v="217"/>
          </reference>
          <reference field="12" count="1" selected="0">
            <x v="226"/>
          </reference>
          <reference field="19" count="1">
            <x v="0"/>
          </reference>
          <reference field="21" count="1" selected="0">
            <x v="0"/>
          </reference>
          <reference field="25" count="1" selected="0">
            <x v="5"/>
          </reference>
        </references>
      </pivotArea>
    </format>
    <format dxfId="1532">
      <pivotArea dataOnly="0" labelOnly="1" outline="0" fieldPosition="0">
        <references count="7">
          <reference field="1" count="1" selected="0">
            <x v="1"/>
          </reference>
          <reference field="5" count="1" selected="0">
            <x v="15"/>
          </reference>
          <reference field="11" count="1" selected="0">
            <x v="130"/>
          </reference>
          <reference field="12" count="1" selected="0">
            <x v="194"/>
          </reference>
          <reference field="19" count="1">
            <x v="0"/>
          </reference>
          <reference field="21" count="1" selected="0">
            <x v="0"/>
          </reference>
          <reference field="25" count="1" selected="0">
            <x v="0"/>
          </reference>
        </references>
      </pivotArea>
    </format>
    <format dxfId="1531">
      <pivotArea dataOnly="0" labelOnly="1" outline="0" fieldPosition="0">
        <references count="7">
          <reference field="1" count="1" selected="0">
            <x v="1"/>
          </reference>
          <reference field="5" count="1" selected="0">
            <x v="15"/>
          </reference>
          <reference field="11" count="1" selected="0">
            <x v="131"/>
          </reference>
          <reference field="12" count="1" selected="0">
            <x v="191"/>
          </reference>
          <reference field="19" count="1">
            <x v="0"/>
          </reference>
          <reference field="21" count="1" selected="0">
            <x v="0"/>
          </reference>
          <reference field="25" count="1" selected="0">
            <x v="0"/>
          </reference>
        </references>
      </pivotArea>
    </format>
    <format dxfId="1530">
      <pivotArea dataOnly="0" labelOnly="1" outline="0" fieldPosition="0">
        <references count="7">
          <reference field="1" count="1" selected="0">
            <x v="1"/>
          </reference>
          <reference field="5" count="1" selected="0">
            <x v="15"/>
          </reference>
          <reference field="11" count="1" selected="0">
            <x v="132"/>
          </reference>
          <reference field="12" count="1" selected="0">
            <x v="193"/>
          </reference>
          <reference field="19" count="1">
            <x v="0"/>
          </reference>
          <reference field="21" count="1" selected="0">
            <x v="0"/>
          </reference>
          <reference field="25" count="1" selected="0">
            <x v="5"/>
          </reference>
        </references>
      </pivotArea>
    </format>
    <format dxfId="1529">
      <pivotArea dataOnly="0" labelOnly="1" outline="0" fieldPosition="0">
        <references count="7">
          <reference field="1" count="1" selected="0">
            <x v="1"/>
          </reference>
          <reference field="5" count="1" selected="0">
            <x v="15"/>
          </reference>
          <reference field="11" count="1" selected="0">
            <x v="215"/>
          </reference>
          <reference field="12" count="1" selected="0">
            <x v="223"/>
          </reference>
          <reference field="19" count="1">
            <x v="0"/>
          </reference>
          <reference field="21" count="1" selected="0">
            <x v="0"/>
          </reference>
          <reference field="25" count="1" selected="0">
            <x v="0"/>
          </reference>
        </references>
      </pivotArea>
    </format>
    <format dxfId="1528">
      <pivotArea dataOnly="0" labelOnly="1" outline="0" fieldPosition="0">
        <references count="7">
          <reference field="1" count="1" selected="0">
            <x v="1"/>
          </reference>
          <reference field="5" count="1" selected="0">
            <x v="15"/>
          </reference>
          <reference field="11" count="1" selected="0">
            <x v="219"/>
          </reference>
          <reference field="12" count="1" selected="0">
            <x v="224"/>
          </reference>
          <reference field="19" count="1">
            <x v="0"/>
          </reference>
          <reference field="21" count="1" selected="0">
            <x v="0"/>
          </reference>
          <reference field="25" count="1" selected="0">
            <x v="0"/>
          </reference>
        </references>
      </pivotArea>
    </format>
    <format dxfId="1527">
      <pivotArea dataOnly="0" labelOnly="1" outline="0" fieldPosition="0">
        <references count="7">
          <reference field="1" count="1" selected="0">
            <x v="1"/>
          </reference>
          <reference field="5" count="1" selected="0">
            <x v="15"/>
          </reference>
          <reference field="11" count="1" selected="0">
            <x v="242"/>
          </reference>
          <reference field="12" count="1" selected="0">
            <x v="247"/>
          </reference>
          <reference field="19" count="1">
            <x v="0"/>
          </reference>
          <reference field="21" count="1" selected="0">
            <x v="0"/>
          </reference>
          <reference field="25" count="1" selected="0">
            <x v="4"/>
          </reference>
        </references>
      </pivotArea>
    </format>
    <format dxfId="1526">
      <pivotArea dataOnly="0" labelOnly="1" outline="0" fieldPosition="0">
        <references count="7">
          <reference field="1" count="1" selected="0">
            <x v="1"/>
          </reference>
          <reference field="5" count="1" selected="0">
            <x v="15"/>
          </reference>
          <reference field="11" count="1" selected="0">
            <x v="243"/>
          </reference>
          <reference field="12" count="1" selected="0">
            <x v="248"/>
          </reference>
          <reference field="19" count="1">
            <x v="0"/>
          </reference>
          <reference field="21" count="1" selected="0">
            <x v="0"/>
          </reference>
          <reference field="25" count="1" selected="0">
            <x v="4"/>
          </reference>
        </references>
      </pivotArea>
    </format>
    <format dxfId="1525">
      <pivotArea dataOnly="0" labelOnly="1" outline="0" fieldPosition="0">
        <references count="7">
          <reference field="1" count="1" selected="0">
            <x v="1"/>
          </reference>
          <reference field="5" count="1" selected="0">
            <x v="16"/>
          </reference>
          <reference field="11" count="1" selected="0">
            <x v="142"/>
          </reference>
          <reference field="12" count="1" selected="0">
            <x v="202"/>
          </reference>
          <reference field="19" count="1">
            <x v="0"/>
          </reference>
          <reference field="21" count="1" selected="0">
            <x v="0"/>
          </reference>
          <reference field="25" count="1" selected="0">
            <x v="0"/>
          </reference>
        </references>
      </pivotArea>
    </format>
    <format dxfId="1524">
      <pivotArea dataOnly="0" labelOnly="1" outline="0" fieldPosition="0">
        <references count="7">
          <reference field="1" count="1" selected="0">
            <x v="1"/>
          </reference>
          <reference field="5" count="1" selected="0">
            <x v="16"/>
          </reference>
          <reference field="11" count="1" selected="0">
            <x v="143"/>
          </reference>
          <reference field="12" count="1" selected="0">
            <x v="214"/>
          </reference>
          <reference field="19" count="1">
            <x v="0"/>
          </reference>
          <reference field="21" count="1" selected="0">
            <x v="1"/>
          </reference>
          <reference field="25" count="1" selected="0">
            <x v="4"/>
          </reference>
        </references>
      </pivotArea>
    </format>
    <format dxfId="1523">
      <pivotArea dataOnly="0" labelOnly="1" outline="0" fieldPosition="0">
        <references count="7">
          <reference field="1" count="1" selected="0">
            <x v="1"/>
          </reference>
          <reference field="5" count="1" selected="0">
            <x v="16"/>
          </reference>
          <reference field="11" count="1" selected="0">
            <x v="245"/>
          </reference>
          <reference field="12" count="1" selected="0">
            <x v="245"/>
          </reference>
          <reference field="19" count="1">
            <x v="0"/>
          </reference>
          <reference field="21" count="1" selected="0">
            <x v="0"/>
          </reference>
          <reference field="25" count="1" selected="0">
            <x v="4"/>
          </reference>
        </references>
      </pivotArea>
    </format>
    <format dxfId="1522">
      <pivotArea dataOnly="0" labelOnly="1" outline="0" fieldPosition="0">
        <references count="1">
          <reference field="4294967294" count="3">
            <x v="0"/>
            <x v="1"/>
            <x v="2"/>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23"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H166" firstHeaderRow="0" firstDataRow="1" firstDataCol="6" rowPageCount="1" colPageCount="1"/>
  <pivotFields count="42">
    <pivotField axis="axisPage" compact="0" outline="0" multipleItemSelectionAllowed="1" showAll="0" defaultSubtotal="0">
      <items count="2">
        <item h="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2">
        <item x="3"/>
        <item x="2"/>
        <item x="11"/>
        <item x="20"/>
        <item x="12"/>
        <item x="7"/>
        <item x="17"/>
        <item x="14"/>
        <item x="5"/>
        <item x="18"/>
        <item x="9"/>
        <item x="10"/>
        <item x="4"/>
        <item x="16"/>
        <item x="0"/>
        <item x="15"/>
        <item x="19"/>
        <item x="8"/>
        <item x="6"/>
        <item x="13"/>
        <item x="1"/>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1">
        <item x="142"/>
        <item x="150"/>
        <item x="139"/>
        <item x="49"/>
        <item x="147"/>
        <item x="160"/>
        <item x="144"/>
        <item x="164"/>
        <item x="141"/>
        <item x="88"/>
        <item x="180"/>
        <item x="181"/>
        <item x="179"/>
        <item x="140"/>
        <item x="158"/>
        <item x="143"/>
        <item x="109"/>
        <item x="108"/>
        <item x="121"/>
        <item x="191"/>
        <item x="105"/>
        <item x="84"/>
        <item x="41"/>
        <item x="134"/>
        <item x="145"/>
        <item x="11"/>
        <item x="9"/>
        <item x="10"/>
        <item x="118"/>
        <item x="151"/>
        <item x="157"/>
        <item x="237"/>
        <item x="238"/>
        <item x="45"/>
        <item x="27"/>
        <item x="110"/>
        <item x="131"/>
        <item x="161"/>
        <item x="159"/>
        <item x="137"/>
        <item x="221"/>
        <item x="231"/>
        <item x="194"/>
        <item x="42"/>
        <item x="117"/>
        <item x="51"/>
        <item x="173"/>
        <item x="182"/>
        <item x="192"/>
        <item x="17"/>
        <item x="18"/>
        <item x="116"/>
        <item x="47"/>
        <item x="167"/>
        <item x="225"/>
        <item x="226"/>
        <item x="227"/>
        <item x="12"/>
        <item x="76"/>
        <item x="73"/>
        <item x="169"/>
        <item x="132"/>
        <item x="44"/>
        <item x="120"/>
        <item x="130"/>
        <item x="129"/>
        <item x="14"/>
        <item x="13"/>
        <item x="165"/>
        <item x="152"/>
        <item x="138"/>
        <item x="48"/>
        <item x="70"/>
        <item x="68"/>
        <item x="69"/>
        <item x="126"/>
        <item x="103"/>
        <item x="186"/>
        <item x="26"/>
        <item x="114"/>
        <item x="63"/>
        <item x="30"/>
        <item x="28"/>
        <item x="39"/>
        <item x="38"/>
        <item x="183"/>
        <item x="188"/>
        <item x="15"/>
        <item x="61"/>
        <item x="7"/>
        <item x="177"/>
        <item x="178"/>
        <item x="62"/>
        <item x="166"/>
        <item x="124"/>
        <item x="195"/>
        <item x="123"/>
        <item x="193"/>
        <item x="125"/>
        <item x="113"/>
        <item x="57"/>
        <item x="220"/>
        <item x="235"/>
        <item x="75"/>
        <item x="65"/>
        <item x="90"/>
        <item x="89"/>
        <item x="92"/>
        <item x="94"/>
        <item x="95"/>
        <item x="91"/>
        <item x="96"/>
        <item x="93"/>
        <item x="19"/>
        <item x="20"/>
        <item x="102"/>
        <item x="86"/>
        <item x="83"/>
        <item x="82"/>
        <item x="87"/>
        <item x="85"/>
        <item x="149"/>
        <item x="228"/>
        <item x="55"/>
        <item x="56"/>
        <item x="223"/>
        <item x="217"/>
        <item x="206"/>
        <item x="170"/>
        <item x="218"/>
        <item x="243"/>
        <item x="229"/>
        <item x="148"/>
        <item x="239"/>
        <item x="242"/>
        <item x="50"/>
        <item x="16"/>
        <item x="60"/>
        <item x="127"/>
        <item x="216"/>
        <item x="213"/>
        <item x="240"/>
        <item x="215"/>
        <item x="232"/>
        <item x="214"/>
        <item x="233"/>
        <item x="222"/>
        <item x="219"/>
        <item x="171"/>
        <item x="174"/>
        <item x="128"/>
        <item x="162"/>
        <item x="224"/>
        <item x="236"/>
        <item x="241"/>
        <item x="23"/>
        <item x="53"/>
        <item x="99"/>
        <item x="79"/>
        <item x="234"/>
        <item x="77"/>
        <item x="185"/>
        <item x="32"/>
        <item x="133"/>
        <item x="80"/>
        <item x="81"/>
        <item x="122"/>
        <item x="58"/>
        <item x="1"/>
        <item x="71"/>
        <item x="136"/>
        <item x="119"/>
        <item x="175"/>
        <item x="98"/>
        <item x="163"/>
        <item x="64"/>
        <item x="135"/>
        <item x="31"/>
        <item x="24"/>
        <item x="29"/>
        <item x="25"/>
        <item x="153"/>
        <item x="46"/>
        <item x="104"/>
        <item x="154"/>
        <item x="100"/>
        <item x="190"/>
        <item x="72"/>
        <item x="5"/>
        <item x="6"/>
        <item x="40"/>
        <item x="66"/>
        <item x="67"/>
        <item x="8"/>
        <item x="184"/>
        <item x="78"/>
        <item x="187"/>
        <item x="172"/>
        <item x="54"/>
        <item x="106"/>
        <item x="59"/>
        <item x="0"/>
        <item x="3"/>
        <item x="2"/>
        <item x="4"/>
        <item x="36"/>
        <item x="189"/>
        <item x="97"/>
        <item x="176"/>
        <item x="74"/>
        <item x="37"/>
        <item x="35"/>
        <item x="156"/>
        <item x="155"/>
        <item x="111"/>
        <item x="43"/>
        <item x="146"/>
        <item x="21"/>
        <item x="52"/>
        <item x="101"/>
        <item x="168"/>
        <item x="230"/>
        <item x="196"/>
        <item x="197"/>
        <item x="198"/>
        <item x="34"/>
        <item x="33"/>
        <item x="112"/>
        <item x="115"/>
        <item x="22"/>
        <item x="107"/>
        <item x="199"/>
        <item x="244"/>
        <item x="200"/>
        <item x="201"/>
        <item x="202"/>
        <item x="203"/>
        <item x="204"/>
        <item x="205"/>
        <item x="245"/>
        <item x="207"/>
        <item x="246"/>
        <item x="249"/>
        <item x="250"/>
        <item x="251"/>
        <item x="247"/>
        <item x="248"/>
        <item x="252"/>
        <item x="253"/>
        <item x="208"/>
        <item x="209"/>
        <item x="210"/>
        <item x="211"/>
        <item x="212"/>
        <item x="254"/>
        <item x="255"/>
        <item x="256"/>
        <item x="257"/>
        <item x="258"/>
        <item x="259"/>
        <item x="260"/>
        <item x="261"/>
        <item x="262"/>
        <item x="263"/>
        <item x="264"/>
        <item x="265"/>
        <item x="266"/>
        <item x="267"/>
        <item x="268"/>
        <item x="269"/>
        <item x="270"/>
      </items>
      <extLst>
        <ext xmlns:x14="http://schemas.microsoft.com/office/spreadsheetml/2009/9/main" uri="{2946ED86-A175-432a-8AC1-64E0C546D7DE}">
          <x14:pivotField fillDownLabels="1"/>
        </ext>
      </extLst>
    </pivotField>
    <pivotField name="CpPcode" axis="axisRow" compact="0" outline="0" showAll="0" defaultSubtotal="0">
      <items count="2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199"/>
        <item x="200"/>
        <item x="201"/>
        <item x="247"/>
        <item x="202"/>
        <item x="203"/>
        <item x="204"/>
        <item x="205"/>
        <item x="206"/>
        <item x="207"/>
        <item x="208"/>
        <item x="248"/>
        <item x="210"/>
        <item x="209"/>
        <item x="249"/>
        <item x="250"/>
        <item x="251"/>
        <item x="252"/>
        <item x="253"/>
        <item x="254"/>
        <item x="255"/>
        <item x="256"/>
        <item x="211"/>
        <item x="212"/>
        <item x="213"/>
        <item x="214"/>
        <item x="215"/>
        <item x="257"/>
        <item x="258"/>
        <item x="259"/>
        <item x="260"/>
        <item x="261"/>
        <item x="262"/>
        <item x="263"/>
        <item x="264"/>
        <item x="265"/>
        <item x="266"/>
        <item x="267"/>
        <item x="268"/>
        <item x="269"/>
        <item x="270"/>
        <item x="271"/>
        <item x="272"/>
        <item x="273"/>
      </items>
      <extLst>
        <ext xmlns:x14="http://schemas.microsoft.com/office/spreadsheetml/2009/9/main" uri="{2946ED86-A175-432a-8AC1-64E0C546D7DE}">
          <x14:pivotField fillDownLabels="1"/>
        </ext>
      </extLst>
    </pivotField>
    <pivotField axis="axisRow" compact="0" outline="0" showAll="0" defaultSubtotal="0">
      <items count="200">
        <item x="122"/>
        <item x="123"/>
        <item x="85"/>
        <item x="125"/>
        <item x="126"/>
        <item x="83"/>
        <item x="81"/>
        <item x="77"/>
        <item x="78"/>
        <item x="138"/>
        <item x="79"/>
        <item x="112"/>
        <item x="129"/>
        <item x="128"/>
        <item x="80"/>
        <item x="130"/>
        <item x="115"/>
        <item x="82"/>
        <item x="84"/>
        <item x="118"/>
        <item x="114"/>
        <item x="117"/>
        <item x="124"/>
        <item x="113"/>
        <item x="119"/>
        <item x="121"/>
        <item x="120"/>
        <item x="116"/>
        <item x="76"/>
        <item x="75"/>
        <item x="127"/>
        <item x="107"/>
        <item x="136"/>
        <item x="64"/>
        <item x="140"/>
        <item x="73"/>
        <item x="72"/>
        <item x="74"/>
        <item x="185"/>
        <item x="171"/>
        <item x="106"/>
        <item x="163"/>
        <item x="45"/>
        <item x="145"/>
        <item x="52"/>
        <item x="111"/>
        <item x="44"/>
        <item x="48"/>
        <item x="49"/>
        <item x="47"/>
        <item x="149"/>
        <item x="46"/>
        <item x="50"/>
        <item x="131"/>
        <item x="135"/>
        <item x="19"/>
        <item x="20"/>
        <item x="63"/>
        <item x="133"/>
        <item x="51"/>
        <item x="60"/>
        <item x="59"/>
        <item x="137"/>
        <item x="53"/>
        <item x="32"/>
        <item x="55"/>
        <item x="54"/>
        <item x="56"/>
        <item x="134"/>
        <item x="17"/>
        <item x="16"/>
        <item x="2"/>
        <item x="18"/>
        <item x="10"/>
        <item x="4"/>
        <item x="9"/>
        <item x="11"/>
        <item x="0"/>
        <item x="3"/>
        <item x="1"/>
        <item x="186"/>
        <item x="5"/>
        <item x="13"/>
        <item x="21"/>
        <item x="175"/>
        <item x="27"/>
        <item x="12"/>
        <item x="58"/>
        <item x="14"/>
        <item x="61"/>
        <item x="15"/>
        <item x="71"/>
        <item x="57"/>
        <item x="6"/>
        <item x="7"/>
        <item x="8"/>
        <item x="34"/>
        <item x="38"/>
        <item x="36"/>
        <item x="62"/>
        <item x="25"/>
        <item x="30"/>
        <item x="110"/>
        <item x="39"/>
        <item x="29"/>
        <item x="28"/>
        <item x="35"/>
        <item x="24"/>
        <item x="31"/>
        <item x="37"/>
        <item x="26"/>
        <item x="97"/>
        <item x="142"/>
        <item x="90"/>
        <item x="92"/>
        <item x="91"/>
        <item x="152"/>
        <item x="95"/>
        <item x="141"/>
        <item x="96"/>
        <item x="153"/>
        <item x="102"/>
        <item x="146"/>
        <item x="105"/>
        <item x="147"/>
        <item x="104"/>
        <item x="103"/>
        <item x="154"/>
        <item x="139"/>
        <item x="151"/>
        <item x="100"/>
        <item x="99"/>
        <item x="101"/>
        <item x="165"/>
        <item x="166"/>
        <item x="183"/>
        <item x="167"/>
        <item x="188"/>
        <item x="189"/>
        <item x="69"/>
        <item x="144"/>
        <item x="93"/>
        <item x="66"/>
        <item x="108"/>
        <item x="67"/>
        <item x="68"/>
        <item x="65"/>
        <item x="94"/>
        <item x="98"/>
        <item x="86"/>
        <item x="179"/>
        <item x="89"/>
        <item x="170"/>
        <item x="181"/>
        <item x="88"/>
        <item x="176"/>
        <item x="187"/>
        <item x="190"/>
        <item x="87"/>
        <item x="177"/>
        <item x="178"/>
        <item x="109"/>
        <item x="40"/>
        <item x="168"/>
        <item x="182"/>
        <item x="172"/>
        <item x="173"/>
        <item x="70"/>
        <item x="180"/>
        <item x="169"/>
        <item x="174"/>
        <item x="184"/>
        <item x="43"/>
        <item x="42"/>
        <item x="33"/>
        <item x="156"/>
        <item x="157"/>
        <item x="148"/>
        <item x="41"/>
        <item x="132"/>
        <item x="143"/>
        <item x="150"/>
        <item x="23"/>
        <item x="158"/>
        <item x="192"/>
        <item x="160"/>
        <item x="161"/>
        <item x="162"/>
        <item x="193"/>
        <item x="22"/>
        <item x="155"/>
        <item x="194"/>
        <item x="197"/>
        <item x="196"/>
        <item x="199"/>
        <item x="191"/>
        <item x="195"/>
        <item x="159"/>
        <item x="198"/>
        <item x="16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Accomodation" axis="axisRow" compact="0" outline="0" showAll="0" defaultSubtotal="0">
      <items count="5">
        <item x="1"/>
        <item x="0"/>
        <item h="1" x="2"/>
        <item h="1" x="3"/>
        <item h="1"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6">
        <item x="0"/>
        <item x="4"/>
        <item x="2"/>
        <item x="1"/>
        <item x="3"/>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6">
    <field x="11"/>
    <field x="12"/>
    <field x="13"/>
    <field x="19"/>
    <field x="21"/>
    <field x="25"/>
  </rowFields>
  <rowItems count="163">
    <i>
      <x v="1"/>
      <x v="150"/>
      <x v="25"/>
      <x/>
      <x v="1"/>
      <x/>
    </i>
    <i>
      <x v="2"/>
      <x v="139"/>
      <x v="23"/>
      <x/>
      <x v="1"/>
      <x v="2"/>
    </i>
    <i>
      <x v="3"/>
      <x v="49"/>
      <x v="49"/>
      <x/>
      <x v="1"/>
      <x v="1"/>
    </i>
    <i>
      <x v="4"/>
      <x v="147"/>
      <x v="19"/>
      <x/>
      <x v="1"/>
      <x v="3"/>
    </i>
    <i>
      <x v="5"/>
      <x v="160"/>
      <x v="13"/>
      <x/>
      <x v="1"/>
      <x v="3"/>
    </i>
    <i>
      <x v="7"/>
      <x v="164"/>
      <x v="53"/>
      <x/>
      <x v="1"/>
      <x/>
    </i>
    <i>
      <x v="13"/>
      <x v="140"/>
      <x v="20"/>
      <x/>
      <x v="1"/>
      <x/>
    </i>
    <i>
      <x v="17"/>
      <x v="108"/>
      <x v="158"/>
      <x v="1"/>
      <x v="1"/>
      <x v="2"/>
    </i>
    <i>
      <x v="18"/>
      <x v="121"/>
      <x v="130"/>
      <x v="1"/>
      <x v="1"/>
      <x v="1"/>
    </i>
    <i>
      <x v="20"/>
      <x v="105"/>
      <x v="2"/>
      <x/>
      <x v="1"/>
      <x v="3"/>
    </i>
    <i>
      <x v="22"/>
      <x v="41"/>
      <x v="178"/>
      <x/>
      <x v="1"/>
      <x v="3"/>
    </i>
    <i>
      <x v="24"/>
      <x v="145"/>
      <x v="21"/>
      <x/>
      <x v="1"/>
      <x v="3"/>
    </i>
    <i>
      <x v="25"/>
      <x v="11"/>
      <x v="76"/>
      <x/>
      <x v="1"/>
      <x/>
    </i>
    <i>
      <x v="26"/>
      <x v="9"/>
      <x v="75"/>
      <x/>
      <x v="1"/>
      <x/>
    </i>
    <i>
      <x v="27"/>
      <x v="10"/>
      <x v="73"/>
      <x/>
      <x v="1"/>
      <x/>
    </i>
    <i>
      <x v="28"/>
      <x v="118"/>
      <x v="111"/>
      <x v="1"/>
      <x v="1"/>
      <x v="2"/>
    </i>
    <i>
      <x v="34"/>
      <x v="27"/>
      <x v="85"/>
      <x/>
      <x v="1"/>
      <x v="3"/>
    </i>
    <i>
      <x v="35"/>
      <x v="110"/>
      <x v="151"/>
      <x v="1"/>
      <x v="1"/>
      <x/>
    </i>
    <i>
      <x v="36"/>
      <x v="131"/>
      <x v="31"/>
      <x/>
      <x v="1"/>
      <x/>
    </i>
    <i>
      <x v="37"/>
      <x v="161"/>
      <x v="12"/>
      <x/>
      <x v="1"/>
      <x v="3"/>
    </i>
    <i>
      <x v="42"/>
      <x v="197"/>
      <x v="7"/>
      <x/>
      <x v="1"/>
      <x/>
    </i>
    <i>
      <x v="43"/>
      <x v="42"/>
      <x v="173"/>
      <x v="1"/>
      <x v="1"/>
      <x/>
    </i>
    <i>
      <x v="44"/>
      <x v="117"/>
      <x v="119"/>
      <x v="1"/>
      <x v="1"/>
      <x v="2"/>
    </i>
    <i>
      <x v="45"/>
      <x v="51"/>
      <x v="48"/>
      <x/>
      <x v="1"/>
      <x/>
    </i>
    <i>
      <x v="46"/>
      <x v="176"/>
      <x v="112"/>
      <x v="1"/>
      <x/>
      <x v="4"/>
    </i>
    <i>
      <x v="49"/>
      <x v="17"/>
      <x v="69"/>
      <x/>
      <x v="1"/>
      <x/>
    </i>
    <i>
      <x v="50"/>
      <x v="18"/>
      <x v="72"/>
      <x/>
      <x v="1"/>
      <x v="2"/>
    </i>
    <i>
      <x v="51"/>
      <x v="116"/>
      <x v="117"/>
      <x v="1"/>
      <x v="1"/>
      <x v="2"/>
    </i>
    <i>
      <x v="54"/>
      <x v="211"/>
      <x v="155"/>
      <x/>
      <x v="1"/>
      <x/>
    </i>
    <i>
      <x v="55"/>
      <x v="212"/>
      <x v="159"/>
      <x/>
      <x v="1"/>
      <x/>
    </i>
    <i>
      <x v="56"/>
      <x v="213"/>
      <x v="160"/>
      <x/>
      <x v="1"/>
      <x v="5"/>
    </i>
    <i>
      <x v="57"/>
      <x v="12"/>
      <x v="86"/>
      <x/>
      <x v="1"/>
      <x/>
    </i>
    <i>
      <x v="58"/>
      <x v="76"/>
      <x v="35"/>
      <x/>
      <x v="1"/>
      <x/>
    </i>
    <i>
      <x v="63"/>
      <x v="120"/>
      <x v="131"/>
      <x v="1"/>
      <x v="1"/>
      <x v="1"/>
    </i>
    <i>
      <x v="66"/>
      <x v="14"/>
      <x v="88"/>
      <x/>
      <x v="1"/>
      <x/>
    </i>
    <i>
      <x v="67"/>
      <x v="13"/>
      <x v="82"/>
      <x/>
      <x v="1"/>
      <x/>
    </i>
    <i>
      <x v="68"/>
      <x v="165"/>
      <x v="179"/>
      <x/>
      <x v="1"/>
      <x v="3"/>
    </i>
    <i>
      <x v="69"/>
      <x v="152"/>
      <x/>
      <x/>
      <x v="1"/>
      <x v="3"/>
    </i>
    <i>
      <x v="70"/>
      <x v="138"/>
      <x v="11"/>
      <x/>
      <x v="1"/>
      <x v="3"/>
    </i>
    <i>
      <x v="71"/>
      <x v="48"/>
      <x v="51"/>
      <x/>
      <x v="1"/>
      <x v="3"/>
    </i>
    <i>
      <x v="72"/>
      <x v="70"/>
      <x v="144"/>
      <x/>
      <x v="1"/>
      <x/>
    </i>
    <i>
      <x v="73"/>
      <x v="68"/>
      <x v="146"/>
      <x/>
      <x v="1"/>
      <x v="1"/>
    </i>
    <i>
      <x v="74"/>
      <x v="69"/>
      <x v="142"/>
      <x/>
      <x v="1"/>
      <x/>
    </i>
    <i>
      <x v="78"/>
      <x v="26"/>
      <x v="110"/>
      <x/>
      <x v="1"/>
      <x/>
    </i>
    <i>
      <x v="79"/>
      <x v="114"/>
      <x v="141"/>
      <x v="1"/>
      <x v="1"/>
      <x v="2"/>
    </i>
    <i>
      <x v="81"/>
      <x v="30"/>
      <x v="101"/>
      <x/>
      <x v="1"/>
      <x v="3"/>
    </i>
    <i>
      <x v="82"/>
      <x v="28"/>
      <x v="105"/>
      <x/>
      <x v="1"/>
      <x v="2"/>
    </i>
    <i>
      <x v="83"/>
      <x v="39"/>
      <x v="103"/>
      <x/>
      <x v="1"/>
      <x/>
    </i>
    <i>
      <x v="84"/>
      <x v="38"/>
      <x v="97"/>
      <x/>
      <x v="1"/>
      <x/>
    </i>
    <i>
      <x v="85"/>
      <x v="186"/>
      <x v="43"/>
      <x/>
      <x v="1"/>
      <x/>
    </i>
    <i>
      <x v="86"/>
      <x v="191"/>
      <x v="177"/>
      <x/>
      <x v="1"/>
      <x v="1"/>
    </i>
    <i>
      <x v="87"/>
      <x v="15"/>
      <x v="90"/>
      <x/>
      <x v="1"/>
      <x/>
    </i>
    <i>
      <x v="88"/>
      <x v="61"/>
      <x v="61"/>
      <x/>
      <x v="1"/>
      <x v="1"/>
    </i>
    <i>
      <x v="89"/>
      <x v="7"/>
      <x v="94"/>
      <x/>
      <x v="1"/>
      <x/>
    </i>
    <i>
      <x v="94"/>
      <x v="124"/>
      <x v="126"/>
      <x/>
      <x v="1"/>
      <x/>
    </i>
    <i>
      <x v="95"/>
      <x v="198"/>
      <x v="127"/>
      <x/>
      <x v="1"/>
      <x/>
    </i>
    <i>
      <x v="96"/>
      <x v="123"/>
      <x v="121"/>
      <x/>
      <x v="1"/>
      <x v="1"/>
    </i>
    <i>
      <x v="97"/>
      <x v="196"/>
      <x v="120"/>
      <x/>
      <x v="1"/>
      <x v="1"/>
    </i>
    <i>
      <x v="101"/>
      <x v="206"/>
      <x v="39"/>
      <x/>
      <x v="1"/>
      <x/>
    </i>
    <i>
      <x v="102"/>
      <x v="221"/>
      <x v="38"/>
      <x/>
      <x v="1"/>
      <x v="5"/>
    </i>
    <i>
      <x v="103"/>
      <x v="75"/>
      <x v="36"/>
      <x/>
      <x v="1"/>
      <x/>
    </i>
    <i>
      <x v="104"/>
      <x v="65"/>
      <x v="57"/>
      <x/>
      <x v="1"/>
      <x/>
    </i>
    <i>
      <x v="113"/>
      <x v="19"/>
      <x v="55"/>
      <x/>
      <x v="1"/>
      <x v="3"/>
    </i>
    <i>
      <x v="114"/>
      <x v="20"/>
      <x v="56"/>
      <x/>
      <x v="1"/>
      <x v="3"/>
    </i>
    <i>
      <x v="119"/>
      <x v="87"/>
      <x v="14"/>
      <x/>
      <x v="1"/>
      <x v="3"/>
    </i>
    <i>
      <x v="122"/>
      <x v="214"/>
      <x v="150"/>
      <x/>
      <x v="1"/>
      <x/>
    </i>
    <i>
      <x v="123"/>
      <x v="55"/>
      <x v="63"/>
      <x/>
      <x v="1"/>
      <x/>
    </i>
    <i>
      <x v="129"/>
      <x v="204"/>
      <x v="169"/>
      <x/>
      <x v="1"/>
      <x/>
    </i>
    <i>
      <x v="130"/>
      <x v="229"/>
      <x v="195"/>
      <x/>
      <x v="1"/>
      <x v="5"/>
    </i>
    <i>
      <x v="133"/>
      <x v="225"/>
      <x v="156"/>
      <x/>
      <x v="1"/>
      <x/>
    </i>
    <i>
      <x v="134"/>
      <x v="228"/>
      <x v="157"/>
      <x/>
      <x v="1"/>
      <x v="5"/>
    </i>
    <i>
      <x v="135"/>
      <x v="50"/>
      <x v="47"/>
      <x/>
      <x v="1"/>
      <x v="3"/>
    </i>
    <i>
      <x v="139"/>
      <x v="202"/>
      <x v="136"/>
      <x/>
      <x v="1"/>
      <x/>
    </i>
    <i>
      <x v="140"/>
      <x v="199"/>
      <x v="133"/>
      <x/>
      <x v="1"/>
      <x/>
    </i>
    <i>
      <x v="141"/>
      <x v="226"/>
      <x v="137"/>
      <x/>
      <x v="1"/>
      <x/>
    </i>
    <i>
      <x v="142"/>
      <x v="201"/>
      <x v="134"/>
      <x/>
      <x v="1"/>
      <x v="5"/>
    </i>
    <i>
      <x v="147"/>
      <x v="205"/>
      <x v="152"/>
      <x/>
      <x v="1"/>
      <x/>
    </i>
    <i>
      <x v="151"/>
      <x v="162"/>
      <x v="15"/>
      <x/>
      <x v="1"/>
      <x v="3"/>
    </i>
    <i>
      <x v="152"/>
      <x v="210"/>
      <x v="84"/>
      <x/>
      <x v="1"/>
      <x/>
    </i>
    <i>
      <x v="154"/>
      <x v="227"/>
      <x v="138"/>
      <x/>
      <x v="1"/>
      <x/>
    </i>
    <i>
      <x v="155"/>
      <x v="23"/>
      <x v="182"/>
      <x/>
      <x v="1"/>
      <x v="2"/>
    </i>
    <i>
      <x v="156"/>
      <x v="53"/>
      <x v="59"/>
      <x/>
      <x v="1"/>
      <x v="1"/>
    </i>
    <i>
      <x v="157"/>
      <x v="99"/>
      <x v="17"/>
      <x/>
      <x v="1"/>
      <x v="2"/>
    </i>
    <i>
      <x v="160"/>
      <x v="77"/>
      <x v="37"/>
      <x/>
      <x v="1"/>
      <x/>
    </i>
    <i>
      <x v="162"/>
      <x v="32"/>
      <x v="64"/>
      <x/>
      <x v="1"/>
      <x v="3"/>
    </i>
    <i>
      <x v="163"/>
      <x v="133"/>
      <x v="28"/>
      <x/>
      <x v="1"/>
      <x/>
    </i>
    <i>
      <x v="166"/>
      <x v="122"/>
      <x v="132"/>
      <x v="1"/>
      <x v="1"/>
      <x v="1"/>
    </i>
    <i>
      <x v="168"/>
      <x v="1"/>
      <x v="79"/>
      <x/>
      <x v="1"/>
      <x/>
    </i>
    <i>
      <x v="169"/>
      <x v="71"/>
      <x v="145"/>
      <x/>
      <x v="1"/>
      <x/>
    </i>
    <i>
      <x v="170"/>
      <x v="136"/>
      <x v="102"/>
      <x/>
      <x v="1"/>
      <x v="2"/>
    </i>
    <i>
      <x v="171"/>
      <x v="119"/>
      <x v="148"/>
      <x v="1"/>
      <x v="1"/>
      <x v="1"/>
    </i>
    <i>
      <x v="172"/>
      <x v="178"/>
      <x v="180"/>
      <x/>
      <x v="1"/>
      <x v="2"/>
    </i>
    <i>
      <x v="174"/>
      <x v="163"/>
      <x v="53"/>
      <x/>
      <x v="1"/>
      <x/>
    </i>
    <i>
      <x v="176"/>
      <x v="135"/>
      <x v="161"/>
      <x v="1"/>
      <x v="1"/>
      <x v="2"/>
    </i>
    <i>
      <x v="177"/>
      <x v="31"/>
      <x v="108"/>
      <x/>
      <x v="1"/>
      <x v="3"/>
    </i>
    <i>
      <x v="178"/>
      <x v="24"/>
      <x v="107"/>
      <x/>
      <x v="1"/>
      <x/>
    </i>
    <i>
      <x v="179"/>
      <x v="29"/>
      <x v="104"/>
      <x/>
      <x v="1"/>
      <x v="3"/>
    </i>
    <i>
      <x v="180"/>
      <x v="25"/>
      <x v="100"/>
      <x/>
      <x v="1"/>
      <x v="3"/>
    </i>
    <i>
      <x v="181"/>
      <x v="153"/>
      <x v="1"/>
      <x/>
      <x v="1"/>
      <x v="3"/>
    </i>
    <i>
      <x v="182"/>
      <x v="46"/>
      <x v="46"/>
      <x/>
      <x v="1"/>
      <x/>
    </i>
    <i>
      <x v="184"/>
      <x v="154"/>
      <x v="22"/>
      <x/>
      <x v="1"/>
      <x/>
    </i>
    <i>
      <x v="186"/>
      <x v="193"/>
      <x v="181"/>
      <x/>
      <x v="1"/>
      <x v="2"/>
    </i>
    <i>
      <x v="187"/>
      <x v="72"/>
      <x v="139"/>
      <x/>
      <x v="1"/>
      <x/>
    </i>
    <i>
      <x v="188"/>
      <x v="5"/>
      <x v="81"/>
      <x/>
      <x v="1"/>
      <x/>
    </i>
    <i>
      <x v="189"/>
      <x v="6"/>
      <x v="93"/>
      <x/>
      <x v="1"/>
      <x v="3"/>
    </i>
    <i>
      <x v="190"/>
      <x v="40"/>
      <x v="162"/>
      <x/>
      <x v="1"/>
      <x/>
    </i>
    <i>
      <x v="191"/>
      <x v="66"/>
      <x v="33"/>
      <x/>
      <x v="1"/>
      <x/>
    </i>
    <i>
      <x v="192"/>
      <x v="67"/>
      <x v="33"/>
      <x/>
      <x v="1"/>
      <x v="1"/>
    </i>
    <i>
      <x v="193"/>
      <x v="8"/>
      <x v="95"/>
      <x/>
      <x v="1"/>
      <x/>
    </i>
    <i>
      <x v="195"/>
      <x v="78"/>
      <x v="29"/>
      <x/>
      <x v="1"/>
      <x v="2"/>
    </i>
    <i>
      <x v="197"/>
      <x v="175"/>
      <x v="118"/>
      <x/>
      <x v="1"/>
      <x v="4"/>
    </i>
    <i>
      <x v="198"/>
      <x v="54"/>
      <x v="44"/>
      <x/>
      <x v="1"/>
      <x v="3"/>
    </i>
    <i>
      <x v="201"/>
      <x/>
      <x v="77"/>
      <x/>
      <x v="1"/>
      <x/>
    </i>
    <i>
      <x v="202"/>
      <x v="3"/>
      <x v="78"/>
      <x/>
      <x v="1"/>
      <x v="3"/>
    </i>
    <i>
      <x v="203"/>
      <x v="2"/>
      <x v="71"/>
      <x/>
      <x v="1"/>
      <x/>
    </i>
    <i>
      <x v="204"/>
      <x v="4"/>
      <x v="74"/>
      <x/>
      <x v="1"/>
      <x/>
    </i>
    <i>
      <x v="205"/>
      <x v="36"/>
      <x v="98"/>
      <x/>
      <x v="1"/>
      <x v="3"/>
    </i>
    <i>
      <x v="210"/>
      <x v="37"/>
      <x v="109"/>
      <x/>
      <x v="1"/>
      <x v="3"/>
    </i>
    <i>
      <x v="213"/>
      <x v="155"/>
      <x v="3"/>
      <x/>
      <x v="1"/>
      <x/>
    </i>
    <i>
      <x v="214"/>
      <x v="111"/>
      <x v="113"/>
      <x v="1"/>
      <x v="1"/>
      <x v="2"/>
    </i>
    <i>
      <x v="217"/>
      <x v="21"/>
      <x v="83"/>
      <x/>
      <x v="1"/>
      <x v="3"/>
    </i>
    <i>
      <x v="218"/>
      <x v="52"/>
      <x v="52"/>
      <x/>
      <x v="1"/>
      <x v="3"/>
    </i>
    <i>
      <x v="219"/>
      <x v="101"/>
      <x v="5"/>
      <x/>
      <x v="1"/>
      <x/>
    </i>
    <i>
      <x v="221"/>
      <x v="216"/>
      <x v="153"/>
      <x/>
      <x v="1"/>
      <x/>
    </i>
    <i>
      <x v="222"/>
      <x v="230"/>
      <x v="190"/>
      <x/>
      <x v="1"/>
      <x/>
    </i>
    <i>
      <x v="228"/>
      <x v="115"/>
      <x v="147"/>
      <x v="1"/>
      <x v="1"/>
      <x/>
    </i>
    <i>
      <x v="229"/>
      <x v="22"/>
      <x v="189"/>
      <x/>
      <x v="1"/>
      <x v="3"/>
    </i>
    <i>
      <x v="230"/>
      <x v="107"/>
      <x v="149"/>
      <x v="1"/>
      <x v="1"/>
      <x/>
    </i>
    <i>
      <x v="231"/>
      <x v="234"/>
      <x v="183"/>
      <x/>
      <x v="1"/>
      <x/>
    </i>
    <i>
      <x v="232"/>
      <x v="233"/>
      <x v="184"/>
      <x/>
      <x v="1"/>
      <x/>
    </i>
    <i>
      <x v="234"/>
      <x v="236"/>
      <x v="197"/>
      <x/>
      <x v="1"/>
      <x/>
    </i>
    <i>
      <x v="236"/>
      <x v="238"/>
      <x v="185"/>
      <x/>
      <x v="1"/>
      <x v="4"/>
    </i>
    <i>
      <x v="237"/>
      <x v="239"/>
      <x v="186"/>
      <x/>
      <x v="1"/>
      <x v="4"/>
    </i>
    <i>
      <x v="238"/>
      <x v="240"/>
      <x v="187"/>
      <x/>
      <x/>
      <x v="4"/>
    </i>
    <i>
      <x v="239"/>
      <x v="241"/>
      <x v="188"/>
      <x/>
      <x v="1"/>
      <x v="4"/>
    </i>
    <i>
      <x v="240"/>
      <x v="242"/>
      <x v="190"/>
      <x/>
      <x v="1"/>
      <x v="4"/>
    </i>
    <i>
      <x v="241"/>
      <x v="244"/>
      <x v="191"/>
      <x/>
      <x v="1"/>
      <x v="4"/>
    </i>
    <i>
      <x v="242"/>
      <x v="247"/>
      <x v="193"/>
      <x/>
      <x v="1"/>
      <x v="4"/>
    </i>
    <i>
      <x v="243"/>
      <x v="248"/>
      <x v="192"/>
      <x/>
      <x v="1"/>
      <x v="4"/>
    </i>
    <i>
      <x v="244"/>
      <x v="249"/>
      <x v="192"/>
      <x/>
      <x v="1"/>
      <x v="4"/>
    </i>
    <i>
      <x v="245"/>
      <x v="245"/>
      <x v="196"/>
      <x/>
      <x v="1"/>
      <x v="4"/>
    </i>
    <i>
      <x v="246"/>
      <x v="246"/>
      <x v="174"/>
      <x/>
      <x v="1"/>
      <x v="4"/>
    </i>
    <i>
      <x v="247"/>
      <x v="250"/>
      <x v="198"/>
      <x/>
      <x v="1"/>
      <x v="4"/>
    </i>
    <i>
      <x v="248"/>
      <x v="251"/>
      <x v="194"/>
      <x/>
      <x v="1"/>
      <x v="4"/>
    </i>
    <i>
      <x v="249"/>
      <x v="252"/>
      <x v="199"/>
      <x/>
      <x v="1"/>
      <x v="4"/>
    </i>
    <i>
      <x v="250"/>
      <x v="253"/>
      <x v="199"/>
      <x/>
      <x v="1"/>
      <x v="4"/>
    </i>
    <i>
      <x v="251"/>
      <x v="254"/>
      <x v="199"/>
      <x/>
      <x v="1"/>
      <x v="4"/>
    </i>
    <i>
      <x v="252"/>
      <x v="255"/>
      <x v="199"/>
      <x/>
      <x v="1"/>
      <x v="4"/>
    </i>
    <i>
      <x v="253"/>
      <x v="256"/>
      <x v="199"/>
      <x/>
      <x v="1"/>
      <x v="4"/>
    </i>
    <i>
      <x v="254"/>
      <x v="257"/>
      <x v="174"/>
      <x/>
      <x v="1"/>
      <x v="4"/>
    </i>
    <i>
      <x v="255"/>
      <x v="258"/>
      <x v="174"/>
      <x/>
      <x v="1"/>
      <x v="4"/>
    </i>
    <i>
      <x v="256"/>
      <x v="259"/>
      <x v="174"/>
      <x/>
      <x v="1"/>
      <x v="4"/>
    </i>
    <i>
      <x v="257"/>
      <x v="260"/>
      <x v="174"/>
      <x/>
      <x v="1"/>
      <x v="4"/>
    </i>
    <i>
      <x v="258"/>
      <x v="261"/>
      <x v="174"/>
      <x/>
      <x v="1"/>
      <x v="4"/>
    </i>
    <i>
      <x v="259"/>
      <x v="262"/>
      <x v="174"/>
      <x/>
      <x v="1"/>
      <x v="4"/>
    </i>
    <i>
      <x v="262"/>
      <x v="265"/>
      <x v="174"/>
      <x/>
      <x v="1"/>
      <x v="4"/>
    </i>
    <i>
      <x v="263"/>
      <x v="266"/>
      <x v="174"/>
      <x/>
      <x v="1"/>
      <x v="4"/>
    </i>
    <i>
      <x v="264"/>
      <x v="267"/>
      <x v="174"/>
      <x/>
      <x v="1"/>
      <x v="4"/>
    </i>
    <i>
      <x v="265"/>
      <x v="268"/>
      <x v="174"/>
      <x/>
      <x v="1"/>
      <x v="4"/>
    </i>
    <i>
      <x v="267"/>
      <x v="270"/>
      <x v="174"/>
      <x/>
      <x v="1"/>
      <x v="4"/>
    </i>
    <i>
      <x v="268"/>
      <x v="271"/>
      <x v="174"/>
      <x/>
      <x v="1"/>
      <x v="4"/>
    </i>
    <i>
      <x v="269"/>
      <x v="272"/>
      <x v="174"/>
      <x/>
      <x v="1"/>
      <x v="4"/>
    </i>
    <i>
      <x v="270"/>
      <x v="273"/>
      <x v="174"/>
      <x/>
      <x v="1"/>
      <x v="4"/>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9.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2" firstHeaderRow="1" firstDataRow="1" firstDataCol="4" rowPageCount="1" colPageCount="1"/>
  <pivotFields count="23">
    <pivotField compact="0" outline="0" showAll="0" defaultSubtotal="0"/>
    <pivotField axis="axisRow" compact="0" outline="0" showAll="0" defaultSubtotal="0">
      <items count="17">
        <item h="1" x="6"/>
        <item h="1" x="11"/>
        <item h="1" x="9"/>
        <item h="1" x="14"/>
        <item h="1" x="2"/>
        <item h="1" x="12"/>
        <item h="1" x="7"/>
        <item h="1" x="4"/>
        <item x="5"/>
        <item h="1" x="16"/>
        <item h="1" x="10"/>
        <item h="1" x="0"/>
        <item h="1" x="3"/>
        <item h="1" x="13"/>
        <item h="1" x="8"/>
        <item h="1" x="15"/>
        <item h="1" x="1"/>
      </items>
    </pivotField>
    <pivotField compact="0" outline="0" showAll="0" defaultSubtotal="0"/>
    <pivotField compact="0" outline="0" showAll="0" defaultSubtotal="0"/>
    <pivotField axis="axisRow" compact="0" outline="0" showAll="0" defaultSubtotal="0">
      <items count="17">
        <item x="4"/>
        <item x="1"/>
        <item x="3"/>
        <item x="7"/>
        <item x="5"/>
        <item x="13"/>
        <item x="10"/>
        <item x="15"/>
        <item x="6"/>
        <item x="11"/>
        <item x="2"/>
        <item x="8"/>
        <item x="14"/>
        <item x="16"/>
        <item x="0"/>
        <item x="9"/>
        <item x="12"/>
      </items>
    </pivotField>
    <pivotField axis="axisRow" compact="0" outline="0" showAll="0" defaultSubtotal="0">
      <items count="146">
        <item x="72"/>
        <item x="90"/>
        <item x="8"/>
        <item x="9"/>
        <item x="91"/>
        <item x="73"/>
        <item x="55"/>
        <item x="0"/>
        <item x="56"/>
        <item x="57"/>
        <item x="10"/>
        <item x="7"/>
        <item x="11"/>
        <item x="43"/>
        <item x="92"/>
        <item x="93"/>
        <item x="28"/>
        <item x="64"/>
        <item x="23"/>
        <item x="74"/>
        <item x="94"/>
        <item x="44"/>
        <item x="95"/>
        <item x="29"/>
        <item x="96"/>
        <item x="39"/>
        <item x="97"/>
        <item x="99"/>
        <item x="100"/>
        <item x="101"/>
        <item x="102"/>
        <item x="75"/>
        <item x="14"/>
        <item x="103"/>
        <item x="45"/>
        <item x="6"/>
        <item x="12"/>
        <item x="58"/>
        <item x="13"/>
        <item x="104"/>
        <item x="59"/>
        <item x="18"/>
        <item x="105"/>
        <item x="106"/>
        <item x="107"/>
        <item x="108"/>
        <item x="76"/>
        <item x="109"/>
        <item x="110"/>
        <item x="31"/>
        <item x="32"/>
        <item x="111"/>
        <item x="112"/>
        <item x="65"/>
        <item x="113"/>
        <item x="114"/>
        <item x="15"/>
        <item x="115"/>
        <item x="77"/>
        <item x="116"/>
        <item x="66"/>
        <item x="117"/>
        <item x="16"/>
        <item x="4"/>
        <item x="79"/>
        <item x="67"/>
        <item x="119"/>
        <item x="120"/>
        <item x="121"/>
        <item x="68"/>
        <item x="123"/>
        <item x="124"/>
        <item x="125"/>
        <item x="126"/>
        <item x="61"/>
        <item x="127"/>
        <item x="2"/>
        <item x="128"/>
        <item x="129"/>
        <item x="130"/>
        <item x="62"/>
        <item x="131"/>
        <item x="81"/>
        <item x="37"/>
        <item x="82"/>
        <item x="132"/>
        <item x="19"/>
        <item x="50"/>
        <item x="40"/>
        <item x="1"/>
        <item x="69"/>
        <item x="38"/>
        <item x="5"/>
        <item x="33"/>
        <item x="70"/>
        <item x="133"/>
        <item x="83"/>
        <item x="17"/>
        <item x="134"/>
        <item x="84"/>
        <item x="20"/>
        <item x="51"/>
        <item x="26"/>
        <item x="135"/>
        <item x="136"/>
        <item x="52"/>
        <item x="137"/>
        <item x="85"/>
        <item x="34"/>
        <item x="138"/>
        <item x="35"/>
        <item x="36"/>
        <item x="63"/>
        <item x="139"/>
        <item x="86"/>
        <item x="140"/>
        <item x="141"/>
        <item x="87"/>
        <item x="142"/>
        <item x="88"/>
        <item x="143"/>
        <item x="89"/>
        <item x="144"/>
        <item x="145"/>
        <item x="71"/>
        <item x="118"/>
        <item x="60"/>
        <item x="122"/>
        <item x="46"/>
        <item x="49"/>
        <item x="54"/>
        <item x="25"/>
        <item x="53"/>
        <item x="27"/>
        <item x="80"/>
        <item x="78"/>
        <item x="48"/>
        <item x="98"/>
        <item x="42"/>
        <item x="30"/>
        <item x="47"/>
        <item x="41"/>
        <item x="24"/>
        <item x="21"/>
        <item x="22"/>
        <item x="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4">
        <item x="134"/>
        <item x="34"/>
        <item x="132"/>
        <item x="35"/>
        <item x="138"/>
        <item x="36"/>
        <item x="51"/>
        <item x="113"/>
        <item x="52"/>
        <item x="92"/>
        <item x="93"/>
        <item x="43"/>
        <item x="101"/>
        <item x="45"/>
        <item x="103"/>
        <item x="112"/>
        <item x="29"/>
        <item x="96"/>
        <item x="16"/>
        <item x="4"/>
        <item x="142"/>
        <item x="2"/>
        <item x="33"/>
        <item x="133"/>
        <item x="106"/>
        <item x="64"/>
        <item x="109"/>
        <item x="70"/>
        <item x="76"/>
        <item x="5"/>
        <item x="62"/>
        <item x="140"/>
        <item x="63"/>
        <item x="86"/>
        <item x="31"/>
        <item x="110"/>
        <item x="26"/>
        <item x="7"/>
        <item x="17"/>
        <item x="13"/>
        <item x="90"/>
        <item x="68"/>
        <item x="95"/>
        <item x="89"/>
        <item x="128"/>
        <item x="85"/>
        <item x="67"/>
        <item x="119"/>
        <item x="115"/>
        <item x="82"/>
        <item x="65"/>
        <item x="108"/>
        <item x="66"/>
        <item x="135"/>
        <item x="136"/>
        <item x="59"/>
        <item x="18"/>
        <item x="104"/>
        <item x="19"/>
        <item x="20"/>
        <item x="116"/>
        <item x="102"/>
        <item x="130"/>
        <item x="137"/>
        <item x="81"/>
        <item x="79"/>
        <item x="117"/>
        <item x="129"/>
        <item x="143"/>
        <item x="10"/>
        <item x="0"/>
        <item x="23"/>
        <item x="88"/>
        <item x="107"/>
        <item x="39"/>
        <item x="44"/>
        <item x="28"/>
        <item x="40"/>
        <item x="14"/>
        <item x="56"/>
        <item x="37"/>
        <item x="15"/>
        <item x="114"/>
        <item x="105"/>
        <item x="131"/>
        <item x="38"/>
        <item x="50"/>
        <item x="58"/>
        <item x="73"/>
        <item x="11"/>
        <item x="8"/>
        <item x="72"/>
        <item x="12"/>
        <item x="83"/>
        <item x="84"/>
        <item x="87"/>
        <item x="141"/>
        <item x="55"/>
        <item x="9"/>
        <item x="74"/>
        <item x="61"/>
        <item x="69"/>
        <item x="91"/>
        <item x="6"/>
        <item x="75"/>
        <item x="121"/>
        <item x="126"/>
        <item x="1"/>
        <item x="32"/>
        <item x="111"/>
        <item x="139"/>
        <item x="57"/>
        <item x="124"/>
        <item x="123"/>
        <item x="120"/>
        <item x="125"/>
        <item x="77"/>
        <item x="94"/>
        <item x="127"/>
        <item x="97"/>
        <item x="99"/>
        <item x="100"/>
        <item x="71"/>
        <item x="118"/>
        <item x="60"/>
        <item x="122"/>
        <item x="46"/>
        <item x="49"/>
        <item x="54"/>
        <item x="80"/>
        <item x="25"/>
        <item x="53"/>
        <item x="27"/>
        <item x="78"/>
        <item x="48"/>
        <item x="98"/>
        <item x="42"/>
        <item x="30"/>
        <item x="47"/>
        <item x="41"/>
        <item x="24"/>
        <item x="21"/>
        <item x="22"/>
        <item x="3"/>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8"/>
  </rowFields>
  <rowItems count="19">
    <i>
      <x v="8"/>
      <x/>
      <x v="22"/>
      <x v="42"/>
    </i>
    <i r="2">
      <x v="38"/>
      <x v="39"/>
    </i>
    <i r="2">
      <x v="90"/>
      <x v="101"/>
    </i>
    <i r="2">
      <x v="97"/>
      <x v="38"/>
    </i>
    <i r="2">
      <x v="121"/>
      <x v="43"/>
    </i>
    <i r="1">
      <x v="3"/>
      <x v="27"/>
      <x v="120"/>
    </i>
    <i r="2">
      <x v="28"/>
      <x v="121"/>
    </i>
    <i r="2">
      <x v="130"/>
      <x v="128"/>
    </i>
    <i r="1">
      <x v="4"/>
      <x v="55"/>
      <x v="82"/>
    </i>
    <i r="2">
      <x v="60"/>
      <x v="52"/>
    </i>
    <i r="1">
      <x v="8"/>
      <x v="53"/>
      <x v="50"/>
    </i>
    <i r="2">
      <x v="65"/>
      <x v="46"/>
    </i>
    <i r="1">
      <x v="9"/>
      <x v="126"/>
      <x v="124"/>
    </i>
    <i r="2">
      <x v="127"/>
      <x v="125"/>
    </i>
    <i r="1">
      <x v="11"/>
      <x v="128"/>
      <x v="126"/>
    </i>
    <i r="2">
      <x v="129"/>
      <x v="127"/>
    </i>
    <i r="1">
      <x v="13"/>
      <x v="103"/>
      <x v="53"/>
    </i>
    <i r="1">
      <x v="14"/>
      <x v="119"/>
      <x v="72"/>
    </i>
    <i r="1">
      <x v="16"/>
      <x v="136"/>
      <x v="134"/>
    </i>
  </rowItems>
  <colItems count="1">
    <i/>
  </colItems>
  <pageFields count="1">
    <pageField fld="19"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CampList" displayName="CampList" ref="A4:AK278" tableType="xml" totalsRowShown="0" headerRowDxfId="2212" dataDxfId="2211" headerRowCellStyle="Normal_Sheet11">
  <autoFilter ref="A4:AK278">
    <filterColumn colId="0">
      <filters>
        <filter val="Open"/>
      </filters>
    </filterColumn>
  </autoFilter>
  <tableColumns count="37">
    <tableColumn id="24" uniqueName="Status" name="Status" dataDxfId="2210" dataCellStyle="Normal_Sheet3_1">
      <xmlColumnPr mapId="11" xpath="/dataroot/Camp_x005f_x0020_List/Status" xmlDataType="string"/>
    </tableColumn>
    <tableColumn id="2" uniqueName="State" name="State" dataDxfId="2209">
      <xmlColumnPr mapId="11" xpath="/dataroot/Camp_x005f_x0020_List/State" xmlDataType="string"/>
    </tableColumn>
    <tableColumn id="12" uniqueName="S_Pcode" name="S_Pcode" dataDxfId="2208">
      <xmlColumnPr mapId="11" xpath="/dataroot/Camp_x005f_x0020_List/S_Pcode" xmlDataType="string"/>
    </tableColumn>
    <tableColumn id="23" uniqueName="District" name="District" dataDxfId="2207">
      <xmlColumnPr mapId="11" xpath="/dataroot/Camp_x005f_x0020_List/District" xmlDataType="string"/>
    </tableColumn>
    <tableColumn id="19" uniqueName="D_Pcode" name="D_Pcode" dataDxfId="2206">
      <xmlColumnPr mapId="11" xpath="/dataroot/Camp_x005f_x0020_List/D_Pcode" xmlDataType="string"/>
    </tableColumn>
    <tableColumn id="3" uniqueName="Township" name="Township" dataDxfId="2205">
      <xmlColumnPr mapId="11" xpath="/dataroot/Camp_x005f_x0020_List/Township" xmlDataType="string"/>
    </tableColumn>
    <tableColumn id="13" uniqueName="T_Pcode" name="T_Pcode" dataDxfId="2204">
      <xmlColumnPr mapId="11" xpath="/dataroot/Camp_x005f_x0020_List/T_Pcode" xmlDataType="string"/>
    </tableColumn>
    <tableColumn id="14" uniqueName="VillageTracKTown" name="VillageTracKTown" dataDxfId="2203">
      <xmlColumnPr mapId="11" xpath="/dataroot/Camp_x005f_x0020_List/VillageTracKTown" xmlDataType="string"/>
    </tableColumn>
    <tableColumn id="15" uniqueName="VTT_Pcode" name="VTT_Pcode" dataDxfId="2202">
      <xmlColumnPr mapId="11" xpath="/dataroot/Camp_x005f_x0020_List/VTT_Pcode" xmlDataType="string"/>
    </tableColumn>
    <tableColumn id="16" uniqueName="VillageWard_Name" name="VillageWard_Name" dataDxfId="2201">
      <xmlColumnPr mapId="11" xpath="/dataroot/Camp_x005f_x0020_List/VillageWard_Name" xmlDataType="string"/>
    </tableColumn>
    <tableColumn id="17" uniqueName="VW_Pcode" name="VW_Pcode" dataDxfId="2200">
      <xmlColumnPr mapId="11" xpath="/dataroot/Camp_x005f_x0020_List/VW_Pcode" xmlDataType="string"/>
    </tableColumn>
    <tableColumn id="4" uniqueName="Camp" name="Camp" dataDxfId="2199">
      <xmlColumnPr mapId="11" xpath="/dataroot/Camp_x005f_x0020_List/Camp" xmlDataType="string"/>
    </tableColumn>
    <tableColumn id="5" uniqueName="CP_Pcode" name="CP_Pcode" dataDxfId="2198">
      <xmlColumnPr mapId="11" xpath="/dataroot/Camp_x005f_x0020_List/CP_Pcode" xmlDataType="string"/>
    </tableColumn>
    <tableColumn id="6" uniqueName="Longitude" name="Longitude" dataDxfId="2197">
      <xmlColumnPr mapId="11" xpath="/dataroot/Camp_x005f_x0020_List/Longitude" xmlDataType="double"/>
    </tableColumn>
    <tableColumn id="7" uniqueName="Latitude" name="Latitude" dataDxfId="2196">
      <xmlColumnPr mapId="11" xpath="/dataroot/Camp_x005f_x0020_List/Latitude" xmlDataType="double"/>
    </tableColumn>
    <tableColumn id="25" uniqueName="Altitude" name="Altitude" dataDxfId="2195">
      <xmlColumnPr mapId="11" xpath="/dataroot/Camp_x005f_x0020_List/Altitude" xmlDataType="double"/>
    </tableColumn>
    <tableColumn id="8" uniqueName="HH" name="HH" dataDxfId="2194">
      <xmlColumnPr mapId="11" xpath="/dataroot/Camp_x005f_x0020_List/HH" xmlDataType="double"/>
    </tableColumn>
    <tableColumn id="9" uniqueName="Total" name="Total" dataDxfId="2193">
      <xmlColumnPr mapId="11" xpath="/dataroot/Camp_x005f_x0020_List/Total" xmlDataType="double"/>
    </tableColumn>
    <tableColumn id="11" uniqueName="Avg" name="Avg" dataDxfId="2192">
      <calculatedColumnFormula>IF(CampList[[#This Row],[HH]]&gt;0,CampList[[#This Row],[Total]]/CampList[[#This Row],[HH]],"NA")</calculatedColumnFormula>
      <xmlColumnPr mapId="11" xpath="/dataroot/Camp_x005f_x0020_List/Avg" xmlDataType="string"/>
    </tableColumn>
    <tableColumn id="28" uniqueName="Accessibility" name="Accessibility" dataDxfId="2191">
      <xmlColumnPr mapId="11" xpath="/dataroot/Camp_x005f_x0020_List/Accessibility" xmlDataType="string"/>
    </tableColumn>
    <tableColumn id="1" uniqueName="Affected Population" name="Affected Population" dataDxfId="2190">
      <xmlColumnPr mapId="11" xpath="/dataroot/Camp_x005f_x0020_List/Affected_x005f_x0020_Population" xmlDataType="string"/>
    </tableColumn>
    <tableColumn id="29" uniqueName="Type of Accomodation" name="Type of Accomodation" dataDxfId="2189">
      <xmlColumnPr mapId="11" xpath="/dataroot/Camp_x005f_x0020_List/Type_x005f_x0020_of_x005f_x0020_Accomodation" xmlDataType="string"/>
    </tableColumn>
    <tableColumn id="30" uniqueName="Type of Location" name="Type of Location" dataDxfId="2188">
      <xmlColumnPr mapId="11" xpath="/dataroot/Camp_x005f_x0020_List/Type_x005f_x0020_of_x005f_x0020_Location" xmlDataType="string"/>
    </tableColumn>
    <tableColumn id="31" uniqueName="Opening Date" name="Opening Date" dataDxfId="2187">
      <xmlColumnPr mapId="11" xpath="/dataroot/Camp_x005f_x0020_List/Opening_x005f_x0020_Date" xmlDataType="dateTime"/>
    </tableColumn>
    <tableColumn id="22" uniqueName="CM/FP" name="CM/FP" dataDxfId="2186">
      <xmlColumnPr mapId="11" xpath="/dataroot/Camp_x005f_x0020_List/CM_x005f_x002F_FP" xmlDataType="double"/>
    </tableColumn>
    <tableColumn id="26" uniqueName="Responsible Agency" name="Responsible Agency" dataDxfId="2185">
      <xmlColumnPr mapId="11" xpath="/dataroot/Camp_x005f_x0020_List/Responsible_x005f_x0020_Agency" xmlDataType="string"/>
    </tableColumn>
    <tableColumn id="18" uniqueName="Source" name="Source" dataDxfId="2184">
      <xmlColumnPr mapId="11" xpath="/dataroot/Camp_x005f_x0020_List/Source" xmlDataType="string"/>
    </tableColumn>
    <tableColumn id="20" uniqueName="Method" name="Method" dataDxfId="2183">
      <xmlColumnPr mapId="11" xpath="/dataroot/Camp_x005f_x0020_List/Method" xmlDataType="string"/>
    </tableColumn>
    <tableColumn id="10" uniqueName="Update Date" name="Update Date" dataDxfId="2182">
      <xmlColumnPr mapId="11" xpath="/dataroot/Camp_x005f_x0020_List/Update_x005f_x0020_Date" xmlDataType="dateTime"/>
    </tableColumn>
    <tableColumn id="21" uniqueName="Comment" name="Comment" dataDxfId="2181">
      <xmlColumnPr mapId="11" xpath="/dataroot/Camp_x005f_x0020_List/Comment" xmlDataType="string"/>
    </tableColumn>
    <tableColumn id="32" uniqueName="Priority" name="Priority" dataDxfId="2180">
      <xmlColumnPr mapId="11" xpath="/dataroot/Camp_x005f_x0020_List/Priority" xmlDataType="string"/>
    </tableColumn>
    <tableColumn id="27" uniqueName="Shelter Gap" name="Shelter Gap" dataDxfId="2179">
      <calculatedColumnFormula>IF(CampList[[#This Row],[Type of Accomodation]]="camp",MAX(0,CampList[[#This Row],[HH]]-SUMIF(Table_Shelter[Pcode],CampList[[#This Row],[CP_Pcode]],Table_Shelter[HH Covered])),0)</calculatedColumnFormula>
      <xmlColumnPr mapId="11" xpath="/dataroot/Camp_x005f_x0020_List/Shelter_x005f_x0020_Gap" xmlDataType="double"/>
    </tableColumn>
    <tableColumn id="33" uniqueName="Land Status" name="Land Status" dataDxfId="2178">
      <xmlColumnPr mapId="11" xpath="/dataroot/Camp_x005f_x0020_List/Land_x005f_x0020_Status" xmlDataType="string"/>
    </tableColumn>
    <tableColumn id="34" uniqueName="Shelter Possible" name="Shelter Possible" dataDxfId="2177">
      <calculatedColumnFormula>MIN(CampList[[#This Row],[Shelter Gap]],CampList[[#This Row],[Land Status]])</calculatedColumnFormula>
      <xmlColumnPr mapId="11" xpath="/dataroot/Camp_x005f_x0020_List/Shelter_x005f_x0020_Possible" xmlDataType="double"/>
    </tableColumn>
    <tableColumn id="35" uniqueName="Nearest_Town" name="Nearest_Town" dataDxfId="2176">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2175"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2174">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5" name="Table5" displayName="Table5" ref="L1:L24" totalsRowShown="0" headerRowDxfId="785" dataDxfId="784">
  <autoFilter ref="L1:L24"/>
  <tableColumns count="1">
    <tableColumn id="1" name="Kachin" dataDxfId="783"/>
  </tableColumns>
  <tableStyleInfo name="TableStyleMedium2" showFirstColumn="0" showLastColumn="0" showRowStripes="1" showColumnStripes="0"/>
</table>
</file>

<file path=xl/tables/table11.xml><?xml version="1.0" encoding="utf-8"?>
<table xmlns="http://schemas.openxmlformats.org/spreadsheetml/2006/main" id="6" name="Table6" displayName="Table6" ref="N1:N7" totalsRowShown="0" headerRowDxfId="782" dataDxfId="781">
  <autoFilter ref="N1:N7"/>
  <tableColumns count="1">
    <tableColumn id="1" name="Shan_North" dataDxfId="780"/>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183" totalsRowShown="0">
  <autoFilter ref="A1:C183"/>
  <sortState ref="A2:C166">
    <sortCondition ref="A1:A166"/>
  </sortState>
  <tableColumns count="3">
    <tableColumn id="1" name="CP_Pcode" dataDxfId="2173"/>
    <tableColumn id="2" name="Nearest Town" dataDxfId="2172"/>
    <tableColumn id="3" name="distance" dataDxfId="2171"/>
  </tableColumns>
  <tableStyleInfo name="TableStyleMedium2" showFirstColumn="0" showLastColumn="0" showRowStripes="1" showColumnStripes="0"/>
</table>
</file>

<file path=xl/tables/table3.xml><?xml version="1.0" encoding="utf-8"?>
<table xmlns="http://schemas.openxmlformats.org/spreadsheetml/2006/main" id="7" name="Table58" displayName="Table58" ref="T2:AG24" totalsRowCount="1" headerRowDxfId="1516" dataDxfId="1514" totalsRowDxfId="1512" headerRowBorderDxfId="1515" tableBorderDxfId="1513" totalsRowBorderDxfId="1511" dataCellStyle="Percent">
  <autoFilter ref="T2:AG23"/>
  <tableColumns count="14">
    <tableColumn id="1" name="Pcode" dataDxfId="1510" totalsRowDxfId="1509"/>
    <tableColumn id="2" name="Township" totalsRowLabel="Kachin/Shan" dataDxfId="1508" totalsRowDxfId="1507"/>
    <tableColumn id="3" name="Long." totalsRowLabel="96.00" dataDxfId="1506" totalsRowDxfId="1505"/>
    <tableColumn id="4" name="Lat." totalsRowLabel="27.00" dataDxfId="1504" totalsRowDxfId="1503"/>
    <tableColumn id="5" name="HS" totalsRowFunction="sum" dataDxfId="1502" totalsRowDxfId="1501">
      <calculatedColumnFormula>'CCCM Dashboard'!C16</calculatedColumnFormula>
    </tableColumn>
    <tableColumn id="6" name="Pop" totalsRowFunction="sum" dataDxfId="1500" totalsRowDxfId="1499" dataCellStyle="Comma">
      <calculatedColumnFormula>'CCCM Dashboard'!D16</calculatedColumnFormula>
    </tableColumn>
    <tableColumn id="7" name="N_cps" totalsRowFunction="custom" dataDxfId="1498" totalsRowDxfId="1497">
      <calculatedColumnFormula>CONCATENATE(AG3, " cp",IF(AG3&gt;1,"s",""))</calculatedColumnFormula>
      <totalsRowFormula>CONCATENATE(Table58[[#Totals],[Column1]]," camps")</totalsRowFormula>
    </tableColumn>
    <tableColumn id="8" name="Coverage" totalsRowFunction="custom" dataDxfId="1496" totalsRowDxfId="1495" dataCellStyle="Percent">
      <calculatedColumnFormula>'Shelter Coverage &amp; Gaps'!#REF!</calculatedColumnFormula>
      <totalsRowFormula>SUMPRODUCT(Table58[Pop]*Table58[Coverage])/Table58[[#Totals],[Pop]]</totalsRowFormula>
    </tableColumn>
    <tableColumn id="9" name="Hygiene" totalsRowFunction="custom" dataDxfId="1494" totalsRowDxfId="1493" dataCellStyle="Percent">
      <totalsRowFormula>SUMPRODUCT(Table58[Pop]*Table58[Hygiene])/Table58[[#Totals],[Pop]]</totalsRowFormula>
    </tableColumn>
    <tableColumn id="10" name="Core" totalsRowFunction="custom" dataDxfId="1492" totalsRowDxfId="1491" dataCellStyle="Percent">
      <totalsRowFormula>SUMPRODUCT(Table58[Pop]*Table58[Core])/Table58[[#Totals],[Pop]]</totalsRowFormula>
    </tableColumn>
    <tableColumn id="11" name="Sanitary" totalsRowFunction="custom" dataDxfId="1490" totalsRowDxfId="1489" dataCellStyle="Percent">
      <totalsRowFormula>SUMPRODUCT(Table58[Pop]*Table58[Sanitary])/Table58[[#Totals],[Pop]]</totalsRowFormula>
    </tableColumn>
    <tableColumn id="12" name="Y" totalsRowFunction="custom" dataDxfId="1488" totalsRowDxfId="1487">
      <calculatedColumnFormula>$S$3-ROUND((W3-$S$1)*$S$5,0)</calculatedColumnFormula>
      <totalsRowFormula>1000-ROUND((W24-23.5)*$S$5,0)</totalsRowFormula>
    </tableColumn>
    <tableColumn id="13" name="X" totalsRowFunction="custom" dataDxfId="1486" totalsRowDxfId="1485">
      <calculatedColumnFormula>ROUND((V3-$S$2)*$S$5,0)+$S$4</calculatedColumnFormula>
      <totalsRowFormula>ROUND((V24-96.5)*$S$5,0)+100</totalsRowFormula>
    </tableColumn>
    <tableColumn id="14" name="Column1" totalsRowFunction="sum" dataDxfId="1484" totalsRowDxfId="1483" dataCellStyle="Comma">
      <calculatedColumnFormula>'CCCM Dashboard'!E16</calculatedColumnFormula>
    </tableColumn>
  </tableColumns>
  <tableStyleInfo name="TableStyleMedium10" showFirstColumn="0" showLastColumn="0" showRowStripes="1" showColumnStripes="0"/>
</table>
</file>

<file path=xl/tables/table4.xml><?xml version="1.0" encoding="utf-8"?>
<table xmlns="http://schemas.openxmlformats.org/spreadsheetml/2006/main" id="4" name="Table_Shelter" displayName="Table_Shelter" ref="A4:W367" tableType="xml" totalsRowShown="0" headerRowDxfId="1406" dataDxfId="1404" headerRowBorderDxfId="1405" tableBorderDxfId="1403" totalsRowBorderDxfId="1402">
  <autoFilter ref="A4:W367"/>
  <sortState ref="A5:W367">
    <sortCondition descending="1" ref="A4:A367"/>
  </sortState>
  <tableColumns count="23">
    <tableColumn id="1" uniqueName="Update Date" name="Update Date" dataDxfId="1401">
      <xmlColumnPr mapId="9" xpath="/dataroot/Shelter_x005f_x0020_Tracking/Update_x005f_x0020_Date" xmlDataType="dateTime"/>
    </tableColumn>
    <tableColumn id="2" uniqueName="Organization" name="Organization" dataDxfId="1400">
      <xmlColumnPr mapId="9" xpath="/dataroot/Shelter_x005f_x0020_Tracking/Organization" xmlDataType="string"/>
    </tableColumn>
    <tableColumn id="3" uniqueName="ImplementingPartner" name="Implementing  Partner" dataDxfId="1399">
      <xmlColumnPr mapId="9" xpath="/dataroot/Shelter_x005f_x0020_Tracking/ImplementingPartner" xmlDataType="string"/>
    </tableColumn>
    <tableColumn id="4" uniqueName="State" name="State" dataDxfId="1398" dataCellStyle="Normal_Sheet3">
      <xmlColumnPr mapId="9" xpath="/dataroot/Shelter_x005f_x0020_Tracking/State" xmlDataType="string"/>
    </tableColumn>
    <tableColumn id="5" uniqueName="Township" name="Township" dataDxfId="1397">
      <xmlColumnPr mapId="9" xpath="/dataroot/Shelter_x005f_x0020_Tracking/Township" xmlDataType="string"/>
    </tableColumn>
    <tableColumn id="6" uniqueName="CampName" name="CampName" dataDxfId="1396">
      <xmlColumnPr mapId="9" xpath="/dataroot/Shelter_x005f_x0020_Tracking/CampName" xmlDataType="string"/>
    </tableColumn>
    <tableColumn id="7" uniqueName="HHperShelter" name="HH per Shelter" dataDxfId="1395">
      <xmlColumnPr mapId="9" xpath="/dataroot/Shelter_x005f_x0020_Tracking/HHperShelter" xmlDataType="double"/>
    </tableColumn>
    <tableColumn id="8" uniqueName="#ofFamilyTentPlanned(Target)" name="# of Family Tent Planned(Target)" dataDxfId="1394">
      <xmlColumnPr mapId="9" xpath="/dataroot/Shelter_x005f_x0020_Tracking/_x005f_x0023_ofFamilyTentPlanned_x005f_x0028_Target_x005f_x0029_" xmlDataType="double"/>
    </tableColumn>
    <tableColumn id="9" uniqueName="#ofFamilyTentDistributed" name="# of Family Tent Distributed" dataDxfId="1393">
      <xmlColumnPr mapId="9" xpath="/dataroot/Shelter_x005f_x0020_Tracking/_x005f_x0023_ofFamilyTentDistributed" xmlDataType="double"/>
    </tableColumn>
    <tableColumn id="10" uniqueName="#ofTemporaryShelterUnitsPlanned(Target)" name="# of Temporary Shelter Units Planned (Target)" dataDxfId="1392">
      <xmlColumnPr mapId="9" xpath="/dataroot/Shelter_x005f_x0020_Tracking/_x005f_x0023_ofTemporaryShelterUnitsPlanned_x005f_x0028_Target_x005f_x0029_" xmlDataType="double"/>
    </tableColumn>
    <tableColumn id="11" uniqueName="#ofTemporaryShelterUnitsBuilt" name="# of Temporary Shelter Units Built" dataDxfId="1391">
      <xmlColumnPr mapId="9" xpath="/dataroot/Shelter_x005f_x0020_Tracking/_x005f_x0023_ofTemporaryShelterUnitsBuilt" xmlDataType="double"/>
    </tableColumn>
    <tableColumn id="12" uniqueName="#ofTemporaryShelterUnderConstruction" name="# of Temporary Shelter Under  Construction" dataDxfId="1390">
      <xmlColumnPr mapId="9" xpath="/dataroot/Shelter_x005f_x0020_Tracking/_x005f_x0023_ofTemporaryShelterUnderConstruction" xmlDataType="string"/>
    </tableColumn>
    <tableColumn id="13" uniqueName="#ofPermanentHousePlanned(Target)" name="# of Permanent House Planned (Target)" dataDxfId="1389">
      <xmlColumnPr mapId="9" xpath="/dataroot/Shelter_x005f_x0020_Tracking/_x005f_x0023_ofPermanentHousePlanned_x005f_x0028_Target_x005f_x0029_" xmlDataType="string"/>
    </tableColumn>
    <tableColumn id="14" uniqueName="#ofPermanentHouseBuilt" name="# of Permanent House Built" dataDxfId="1388">
      <xmlColumnPr mapId="9" xpath="/dataroot/Shelter_x005f_x0020_Tracking/_x005f_x0023_ofPermanentHouseBuilt" xmlDataType="string"/>
    </tableColumn>
    <tableColumn id="15" uniqueName="#ofPermanentHouseUnderConstruction" name="# of Permanent House Under Construction" dataDxfId="1387">
      <xmlColumnPr mapId="9" xpath="/dataroot/Shelter_x005f_x0020_Tracking/_x005f_x0023_ofPermanentHouseUnderConstruction" xmlDataType="string"/>
    </tableColumn>
    <tableColumn id="16" uniqueName="HHCovered" name="HH Covered" dataDxfId="1386">
      <calculatedColumnFormula>IF(Table_Shelter[[#This Row],[Status]]="Open",IF(V5="NO",Table_Shelter[[#This Row],[HH per Shelter]]*(Table_Shelter[[#This Row],['# of Temporary Shelter Units Built]]+Table_Shelter[[#This Row],['# of Temporary Shelter Under  Construction]]+Table_Shelter[[#This Row],['# of Permanent House Under Construction]]),0),0)</calculatedColumnFormula>
      <xmlColumnPr mapId="9" xpath="/dataroot/Shelter_x005f_x0020_Tracking/HHCovered" xmlDataType="double"/>
    </tableColumn>
    <tableColumn id="21" uniqueName="Planned Renovation" name="Planned Renovation" dataDxfId="1385">
      <xmlColumnPr mapId="9" xpath="/dataroot/Shelter_x005f_x0020_Tracking/Planned_x005f_x0020_Renovation" xmlDataType="double"/>
    </tableColumn>
    <tableColumn id="20" uniqueName="Renovated" name="Renovated" dataDxfId="1384">
      <xmlColumnPr mapId="9" xpath="/dataroot/Shelter_x005f_x0020_Tracking/Renovated" xmlDataType="string"/>
    </tableColumn>
    <tableColumn id="17" uniqueName="Pcode" name="Pcode" dataDxfId="1383">
      <calculatedColumnFormula>IFERROR(VLOOKUP(Table_Shelter[[#This Row],[CampName]],CL,2,0),"")</calculatedColumnFormula>
      <xmlColumnPr mapId="9" xpath="/dataroot/Shelter_x005f_x0020_Tracking/Pcode" xmlDataType="string"/>
    </tableColumn>
    <tableColumn id="18" uniqueName="Status" name="Status" dataDxfId="1382">
      <calculatedColumnFormula>IFERROR(VLOOKUP(Table_Shelter[[#This Row],[CampName]],CL,3,0),"")</calculatedColumnFormula>
      <xmlColumnPr mapId="9" xpath="/dataroot/Shelter_x005f_x0020_Tracking/Status" xmlDataType="string"/>
    </tableColumn>
    <tableColumn id="19" uniqueName="Coverage" name="Coverage" dataDxfId="1381">
      <calculatedColumnFormula>IFERROR(Table_Shelter[[#This Row],[HH Covered]]/VLOOKUP(Table_Shelter[[#This Row],[CampName]],CL,4,0),"")</calculatedColumnFormula>
      <xmlColumnPr mapId="9" xpath="/dataroot/Shelter_x005f_x0020_Tracking/Coverage" xmlDataType="double"/>
    </tableColumn>
    <tableColumn id="23" uniqueName="23" name="Replacement (YES/NO)" dataDxfId="1380">
      <calculatedColumnFormula>VLOOKUP(Table_Shelter[[#This Row],[CampName]],CL,4,0)</calculatedColumnFormula>
    </tableColumn>
    <tableColumn id="22" uniqueName="Comments" name="Comments" dataDxfId="1379">
      <xmlColumnPr mapId="9" xpath="/dataroot/Shelter_x005f_x0020_Tracking/Comments" xmlDataType="string"/>
    </tableColumn>
  </tableColumns>
  <tableStyleInfo name="TableStyleMedium2" showFirstColumn="0" showLastColumn="0" showRowStripes="1" showColumnStripes="0"/>
</table>
</file>

<file path=xl/tables/table5.xml><?xml version="1.0" encoding="utf-8"?>
<table xmlns="http://schemas.openxmlformats.org/spreadsheetml/2006/main" id="8" name="Shelter_Draw" displayName="Shelter_Draw" ref="CG21:CJ31" totalsRowShown="0" headerRowDxfId="905" headerRowBorderDxfId="904" tableBorderDxfId="903" totalsRowBorderDxfId="902">
  <autoFilter ref="CG21:CJ31"/>
  <tableColumns count="4">
    <tableColumn id="1" name="Township" dataDxfId="901">
      <calculatedColumnFormula>C22</calculatedColumnFormula>
    </tableColumn>
    <tableColumn id="2" name="V1" dataDxfId="900">
      <calculatedColumnFormula>D22-Shelter_Draw[[#This Row],[V2]]-Shelter_Draw[[#This Row],[V3]]</calculatedColumnFormula>
    </tableColumn>
    <tableColumn id="3" name="V2" dataDxfId="899">
      <calculatedColumnFormula>H22</calculatedColumnFormula>
    </tableColumn>
    <tableColumn id="4" name="V3" dataDxfId="898">
      <calculatedColumnFormula>G22-H22</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2" name="Table_NFI" displayName="Table_NFI" ref="A5:AW1339" tableType="xml" totalsRowShown="0" headerRowDxfId="875" dataDxfId="873" headerRowBorderDxfId="874" tableBorderDxfId="872" totalsRowBorderDxfId="871">
  <autoFilter ref="A5:AW1339"/>
  <sortState ref="A6:AW1339">
    <sortCondition descending="1" ref="B5:B1339"/>
  </sortState>
  <tableColumns count="49">
    <tableColumn id="23" uniqueName="Months" name="Months" dataDxfId="870">
      <calculatedColumnFormula>IF(ISBLANK(B6),"",(Report_Date-B6)/30)</calculatedColumnFormula>
      <xmlColumnPr mapId="8" xpath="/dataroot/NFI_x005f_x0020_Tracking/Months" xmlDataType="double"/>
    </tableColumn>
    <tableColumn id="1" uniqueName="Distribution Date" name="Distribution Date" dataDxfId="869">
      <xmlColumnPr mapId="8" xpath="/dataroot/NFI_x005f_x0020_Tracking/Distribution_x005f_x0020_Date" xmlDataType="dateTime"/>
    </tableColumn>
    <tableColumn id="2" uniqueName="Organization" name="Organization" dataDxfId="868">
      <xmlColumnPr mapId="8" xpath="/dataroot/NFI_x005f_x0020_Tracking/Organization" xmlDataType="string"/>
    </tableColumn>
    <tableColumn id="3" uniqueName="Implementing Partner" name="Implementing Partner" dataDxfId="867">
      <xmlColumnPr mapId="8" xpath="/dataroot/NFI_x005f_x0020_Tracking/Implementing_x005f_x0020_Partner" xmlDataType="string"/>
    </tableColumn>
    <tableColumn id="4" uniqueName="State" name="State" dataDxfId="866">
      <xmlColumnPr mapId="8" xpath="/dataroot/NFI_x005f_x0020_Tracking/State" xmlDataType="string"/>
    </tableColumn>
    <tableColumn id="5" uniqueName="Township" name="Township" dataDxfId="865">
      <xmlColumnPr mapId="8" xpath="/dataroot/NFI_x005f_x0020_Tracking/Township" xmlDataType="string"/>
    </tableColumn>
    <tableColumn id="6" uniqueName="Camp Name" name="Camp Name" dataDxfId="864">
      <xmlColumnPr mapId="8" xpath="/dataroot/NFI_x005f_x0020_Tracking/Camp_x005f_x0020_Name" xmlDataType="string"/>
    </tableColumn>
    <tableColumn id="7" uniqueName="Hygiene Kit" name="Hygiene Kit" dataDxfId="863">
      <xmlColumnPr mapId="8" xpath="/dataroot/NFI_x005f_x0020_Tracking/Hygiene_x005f_x0020_Kit" xmlDataType="string"/>
    </tableColumn>
    <tableColumn id="8" uniqueName="NFI Core Kit" name="NFI Core Kit" dataDxfId="862">
      <xmlColumnPr mapId="8" xpath="/dataroot/NFI_x005f_x0020_Tracking/NFI_x005f_x0020_Core_x005f_x0020_Kit" xmlDataType="string"/>
    </tableColumn>
    <tableColumn id="9" uniqueName="Sanitary Kit" name="Sanitary Kit" dataDxfId="861">
      <xmlColumnPr mapId="8" xpath="/dataroot/NFI_x005f_x0020_Tracking/Sanitary_x005f_x0020_Kit" xmlDataType="string"/>
    </tableColumn>
    <tableColumn id="10" uniqueName="Mosquito net" name="Mosquito net" dataDxfId="860">
      <xmlColumnPr mapId="8" xpath="/dataroot/NFI_x005f_x0020_Tracking/Mosquito_x005f_x0020_net" xmlDataType="double"/>
    </tableColumn>
    <tableColumn id="11" uniqueName="Tarpaulin" name="Tarpaulin" dataDxfId="859">
      <xmlColumnPr mapId="8" xpath="/dataroot/NFI_x005f_x0020_Tracking/Tarpaulin" xmlDataType="double"/>
    </tableColumn>
    <tableColumn id="12" uniqueName="Blanket" name="Blanket" dataDxfId="858">
      <xmlColumnPr mapId="8" xpath="/dataroot/NFI_x005f_x0020_Tracking/Blanket" xmlDataType="double"/>
    </tableColumn>
    <tableColumn id="13" uniqueName="Kitchen Set" name="Kitchen Set" dataDxfId="857">
      <xmlColumnPr mapId="8" xpath="/dataroot/NFI_x005f_x0020_Tracking/Kitchen_x005f_x0020_Set" xmlDataType="double"/>
    </tableColumn>
    <tableColumn id="14" uniqueName="Clothes Kit" name="Clothes Kit" dataDxfId="856">
      <xmlColumnPr mapId="8" xpath="/dataroot/NFI_x005f_x0020_Tracking/Clothes_x005f_x0020_Kit" xmlDataType="double"/>
    </tableColumn>
    <tableColumn id="26" uniqueName="Plastic Bucket" name="Plastic Bucket" dataDxfId="855">
      <xmlColumnPr mapId="8" xpath="/dataroot/NFI_x005f_x0020_Tracking/Plastic_x005f_x0020_Bucket" xmlDataType="double"/>
    </tableColumn>
    <tableColumn id="25" uniqueName="Plastic Mat" name="Plastic Mat" dataDxfId="854">
      <xmlColumnPr mapId="8" xpath="/dataroot/NFI_x005f_x0020_Tracking/Plastic_x005f_x0020_Mat" xmlDataType="double"/>
    </tableColumn>
    <tableColumn id="47" uniqueName="Winter Clothes Adult" name="Winter Clothes Adult" dataDxfId="853">
      <xmlColumnPr mapId="8" xpath="/dataroot/NFI_x005f_x0020_Tracking/Winter_x005f_x0020_Clothes_x005f_x0020_Adult" xmlDataType="string"/>
    </tableColumn>
    <tableColumn id="46" uniqueName="Winter Clothes Children" name="Winter Clothes Children" dataDxfId="852">
      <xmlColumnPr mapId="8" xpath="/dataroot/NFI_x005f_x0020_Tracking/Winter_x005f_x0020_Clothes_x005f_x0020_Children" xmlDataType="string"/>
    </tableColumn>
    <tableColumn id="45" uniqueName="Winter Items Other" name="Winter Items Other" dataDxfId="851">
      <xmlColumnPr mapId="8" xpath="/dataroot/NFI_x005f_x0020_Tracking/Winter_x005f_x0020_Items_x005f_x0020_Other" xmlDataType="string"/>
    </tableColumn>
    <tableColumn id="32" uniqueName="Winter Blanket" name="Winter Blanket" dataDxfId="850">
      <xmlColumnPr mapId="8" xpath="/dataroot/NFI_x005f_x0020_Tracking/Winter_x005f_x0020_Blanket" xmlDataType="string"/>
    </tableColumn>
    <tableColumn id="38" uniqueName="38" name="Jerry Can" dataDxfId="849"/>
    <tableColumn id="41" uniqueName="41" name="Shelter Tool kit" dataDxfId="848"/>
    <tableColumn id="40" uniqueName="40" name="Tent" dataDxfId="847"/>
    <tableColumn id="15" uniqueName="Hygiene Kit_LS" name="Hygiene Kit_LS" dataDxfId="846">
      <calculatedColumnFormula>IF(NFI_Expiration=1,IF($A6&lt;VLOOKUP(H$5,NFI,5,0),1,0)*Table_NFI[[#This Row],[Hygiene Kit]],Table_NFI[Hygiene Kit])</calculatedColumnFormula>
      <xmlColumnPr mapId="8" xpath="/dataroot/NFI_x005f_x0020_Tracking/Hygiene_x005f_x0020_Kit_LS" xmlDataType="string"/>
    </tableColumn>
    <tableColumn id="16" uniqueName="NFI Core Kit_LS" name="NFI Core Kit_LS" dataDxfId="845">
      <calculatedColumnFormula>IF(NFI_Expiration=1,IF($A6&lt;VLOOKUP(I$5,NFI,5,0),1,0)*Table_NFI[[#This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844">
      <calculatedColumnFormula>IF(NFI_Expiration=1,IF($A6&lt;VLOOKUP(J$5,NFI,5,0),1,0)*Table_NFI[[#This Row],[Sanitary Kit]],Table_NFI[Sanitary Kit])</calculatedColumnFormula>
      <xmlColumnPr mapId="8" xpath="/dataroot/NFI_x005f_x0020_Tracking/Sanitary_x005f_x0020_Kit_LS" xmlDataType="string"/>
    </tableColumn>
    <tableColumn id="18" uniqueName="Mosquito net_LS" name="Mosquito net_LS" dataDxfId="843">
      <calculatedColumnFormula>IF(NFI_Expiration=1,IF($A6&lt;VLOOKUP(K$5,NFI,5,0),1,0)*Table_NFI[[#This Row],[Mosquito net]],Table_NFI[Mosquito net])</calculatedColumnFormula>
      <xmlColumnPr mapId="8" xpath="/dataroot/NFI_x005f_x0020_Tracking/Mosquito_x005f_x0020_net_LS" xmlDataType="string"/>
    </tableColumn>
    <tableColumn id="19" uniqueName="Tarpaulin_LS" name="Tarpaulin_LS" dataDxfId="842">
      <calculatedColumnFormula>IF(NFI_Expiration=1,IF($A6&lt;VLOOKUP(L$5,NFI,5,0),1,0)*Table_NFI[[#This Row],[Tarpaulin]],Table_NFI[[#This Row],[Tarpaulin]])</calculatedColumnFormula>
      <xmlColumnPr mapId="8" xpath="/dataroot/NFI_x005f_x0020_Tracking/Tarpaulin_LS" xmlDataType="string"/>
    </tableColumn>
    <tableColumn id="20" uniqueName="Blanket_LS" name="Blanket_LS" dataDxfId="841">
      <calculatedColumnFormula>IF(NFI_Expiration=1,IF($A6&lt;VLOOKUP(M$5,NFI,5,0),1,0)*Table_NFI[[#This Row],[Blanket]],Table_NFI[[#This Row],[Blanket]])</calculatedColumnFormula>
      <xmlColumnPr mapId="8" xpath="/dataroot/NFI_x005f_x0020_Tracking/Blanket_LS" xmlDataType="string"/>
    </tableColumn>
    <tableColumn id="21" uniqueName="Kitchen Set_LS" name="Kitchen Set_LS" dataDxfId="840">
      <calculatedColumnFormula>IF(NFI_Expiration=1,IF($A6&lt;VLOOKUP(N$5,NFI,5,0),1,0)*Table_NFI[[#This Row],[Kitchen Set]],Table_NFI[Kitchen Set])</calculatedColumnFormula>
      <xmlColumnPr mapId="8" xpath="/dataroot/NFI_x005f_x0020_Tracking/Kitchen_x005f_x0020_Set_LS" xmlDataType="string"/>
    </tableColumn>
    <tableColumn id="22" uniqueName="Clothes Kit_LS" name="Clothes Kit_LS" dataDxfId="839">
      <calculatedColumnFormula>IF(NFI_Expiration=1,IF($A6&lt;VLOOKUP(O$5,NFI,5,0),1,0)*Table_NFI[[#This Row],[Clothes Kit]],Table_NFI[Clothes Kit])</calculatedColumnFormula>
      <xmlColumnPr mapId="8" xpath="/dataroot/NFI_x005f_x0020_Tracking/Clothes_x005f_x0020_Kit_LS" xmlDataType="string"/>
    </tableColumn>
    <tableColumn id="28" uniqueName="Plastic Bucket _LS" name="Plastic Bucket _LS" dataDxfId="838">
      <calculatedColumnFormula>IF(NFI_Expiration=1,IF($A6&lt;VLOOKUP(P$5,NFI,5,0),1,0)*Table_NFI[[#This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837">
      <calculatedColumnFormula>IF(NFI_Expiration=1,IF($A6&lt;VLOOKUP(Q$5,NFI,5,0),1,0)*Table_NFI[[#This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836">
      <calculatedColumnFormula>IF(NFI_Expiration=1,IF($A6&lt;VLOOKUP(R$5,NFI,5,0),1,0)*Table_NFI[[#This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835">
      <calculatedColumnFormula>IF(NFI_Expiration=1,IF($A6&lt;VLOOKUP(S$5,NFI,5,0),1,0)*Table_NFI[[#This Row],[Winter Clothes Children]],Table_NFI[Winter Clothes Children])</calculatedColumnFormula>
      <xmlColumnPr mapId="8" xpath="/dataroot/NFI_x005f_x0020_Tracking/Winter_x005f_x0020_Clothes_x005f_x0020_Children_LS" xmlDataType="string"/>
    </tableColumn>
    <tableColumn id="48" uniqueName="Winter Items Other_LS" name="Winter Items Other_LS" dataDxfId="834">
      <calculatedColumnFormula>IF(NFI_Expiration=1,IF($A6&lt;VLOOKUP(T$5,NFI,5,0),1,0)*Table_NFI[[#This Row],[Winter Items Other]],Table_NFI[Winter Items Other])</calculatedColumnFormula>
      <xmlColumnPr mapId="8" xpath="/dataroot/NFI_x005f_x0020_Tracking/Winter_x005f_x0020_Items_x005f_x0020_Other_LS" xmlDataType="string"/>
    </tableColumn>
    <tableColumn id="33" uniqueName="Winter Blanket_LS" name="Winter Blanket_LS" dataDxfId="833">
      <calculatedColumnFormula>IF(NFI_Expiration=1,IF($A6&lt;VLOOKUP(M$5,NFI,5,0),1,0)*Table_NFI[[#This Row],[Winter Blanket]],Table_NFI[[#This Row],[Winter Blanket]])</calculatedColumnFormula>
      <xmlColumnPr mapId="8" xpath="/dataroot/NFI_x005f_x0020_Tracking/Winter_x005f_x0020_Blanket_LS" xmlDataType="string"/>
    </tableColumn>
    <tableColumn id="36" uniqueName="Winter" name="Winter" dataDxfId="832">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831">
      <calculatedColumnFormula>IF(NFI_Expiration=1,IF($A6&lt;VLOOKUP(V$5,NFI,5,0),1,0)*Table_NFI[[#This Row],[Jerry Can]],Table_NFI[Jerry Can])</calculatedColumnFormula>
    </tableColumn>
    <tableColumn id="42" uniqueName="42" name="Shelter Tool kit_LS" dataDxfId="830">
      <calculatedColumnFormula>IF(NFI_Expiration=1,IF($A6&lt;VLOOKUP(V$5,NFI,5,0),1,0)*Table_NFI[[#This Row],[Shelter Tool kit]],Table_NFI[Shelter Tool kit])</calculatedColumnFormula>
    </tableColumn>
    <tableColumn id="43" uniqueName="43" name="Tent_LS" dataDxfId="829">
      <calculatedColumnFormula>IF(NFI_Expiration=1,IF($A6&lt;VLOOKUP(V$5,NFI,5,0),1,0)*Table_NFI[[#This Row],[Tent]],Table_NFI[Tent])</calculatedColumnFormula>
    </tableColumn>
    <tableColumn id="24" uniqueName="Pcode" name="Pcode" dataDxfId="828">
      <calculatedColumnFormula>IFERROR(VLOOKUP(Table_NFI[[#This Row],[Camp Name]],CL,2,0),"")</calculatedColumnFormula>
      <xmlColumnPr mapId="8" xpath="/dataroot/NFI_x005f_x0020_Tracking/Pcode" xmlDataType="string"/>
    </tableColumn>
    <tableColumn id="35" uniqueName="opening_date" name="opening_date" dataDxfId="827">
      <calculatedColumnFormula>IF(Table_NFI[[#This Row],[Pcode]]="","",IF(OFFSET(CampList[Opening Date],MATCH(Table_NFI[[#This Row],[Pcode]],CampList[CP_Pcode],0)-1,0,1,1)&gt;=NFI_Monitor_Date,1,0))</calculatedColumnFormula>
      <xmlColumnPr mapId="8" xpath="/dataroot/NFI_x005f_x0020_Tracking/opening_date" xmlDataType="double"/>
    </tableColumn>
    <tableColumn id="34" uniqueName="Status" name="Status" dataDxfId="826">
      <calculatedColumnFormula>IFERROR(VLOOKUP(Table_NFI[[#This Row],[Camp Name]],CL,3,0),"")</calculatedColumnFormula>
      <xmlColumnPr mapId="8" xpath="/dataroot/NFI_x005f_x0020_Tracking/Status" xmlDataType="string"/>
    </tableColumn>
    <tableColumn id="29" uniqueName="Priority" name="Priority" dataDxfId="825">
      <calculatedColumnFormula>IF(Table_NFI[[#This Row],[Pcode]]="","",OFFSET(CampList[Priority],MATCH(Table_NFI[[#This Row],[Pcode]],CampList[CP_Pcode],0)-1,0,1,1))</calculatedColumnFormula>
      <xmlColumnPr mapId="8" xpath="/dataroot/NFI_x005f_x0020_Tracking/Priority" xmlDataType="string"/>
    </tableColumn>
    <tableColumn id="30" uniqueName="Coverage" name="Coverage" dataDxfId="824">
      <calculatedColumnFormula>IFERROR(Table_NFI[[#This Row],[Kitchen Set]]/VLOOKUP(Table_NFI[[#This Row],[Camp Name]],CL,4,0),"")</calculatedColumnFormula>
      <xmlColumnPr mapId="8" xpath="/dataroot/NFI_x005f_x0020_Tracking/Coverage" xmlDataType="double"/>
    </tableColumn>
    <tableColumn id="31" uniqueName="Planned Distribution" name="Planned Distribution" dataDxfId="823">
      <xmlColumnPr mapId="8" xpath="/dataroot/NFI_x005f_x0020_Tracking/Planned_x005f_x0020_Distribution" xmlDataType="string"/>
    </tableColumn>
    <tableColumn id="37" uniqueName="Comment" name="Comment" dataDxfId="822">
      <xmlColumnPr mapId="8" xpath="/dataroot/NFI_x005f_x0020_Tracking/Comment" xmlDataType="string"/>
    </tableColumn>
  </tableColumns>
  <tableStyleInfo name="TableStyleLight1" showFirstColumn="0" showLastColumn="0" showRowStripes="1" showColumnStripes="0"/>
</table>
</file>

<file path=xl/tables/table7.xml><?xml version="1.0" encoding="utf-8"?>
<table xmlns="http://schemas.openxmlformats.org/spreadsheetml/2006/main" id="11" name="Table11" displayName="Table11" ref="A1:AQ7" totalsRowShown="0">
  <autoFilter ref="A1:AQ7"/>
  <tableColumns count="43">
    <tableColumn id="1" name="Months"/>
    <tableColumn id="2" name="Distribution Date" dataDxfId="821"/>
    <tableColumn id="3" name="Organization"/>
    <tableColumn id="4" name="Implementing Partner"/>
    <tableColumn id="5" name="State"/>
    <tableColumn id="6" name="Township"/>
    <tableColumn id="7" name="Camp Name"/>
    <tableColumn id="8" name="Hygiene Kit"/>
    <tableColumn id="9" name="NFI Core Kit"/>
    <tableColumn id="10" name="Sanitary Kit"/>
    <tableColumn id="11" name="Mosquito net"/>
    <tableColumn id="12" name="Tarpaulin"/>
    <tableColumn id="13" name="Blanket"/>
    <tableColumn id="14" name="Kitchen Set"/>
    <tableColumn id="15" name="Clothes Kit"/>
    <tableColumn id="16" name="Plastic Bucket"/>
    <tableColumn id="17" name="Plastic Mat"/>
    <tableColumn id="18" name="Winter Clothes Adult"/>
    <tableColumn id="19" name="Winter Clothes Children"/>
    <tableColumn id="20" name="Winter Items Other"/>
    <tableColumn id="21" name="Winter Blanket"/>
    <tableColumn id="22" name="Hygiene Kit_LS"/>
    <tableColumn id="23" name="NFI Core Kit_LS"/>
    <tableColumn id="24" name="Sanitary Kit_LS"/>
    <tableColumn id="25" name="Mosquito net_LS"/>
    <tableColumn id="26" name="Tarpaulin_LS"/>
    <tableColumn id="27" name="Blanket_LS"/>
    <tableColumn id="28" name="Kitchen Set_LS"/>
    <tableColumn id="29" name="Clothes Kit_LS"/>
    <tableColumn id="30" name="Plastic Bucket _LS"/>
    <tableColumn id="31" name="Plastic  Mat_LS"/>
    <tableColumn id="32" name="Winter Clothes Adult_LS"/>
    <tableColumn id="33" name="Winter Clothes Children_LS"/>
    <tableColumn id="34" name="Winter Items Other_LS"/>
    <tableColumn id="35" name="Winter Blanket_LS"/>
    <tableColumn id="36" name="Winter"/>
    <tableColumn id="37" name="Pcode"/>
    <tableColumn id="38" name="opening_date"/>
    <tableColumn id="39" name="Status"/>
    <tableColumn id="40" name="Priority"/>
    <tableColumn id="41" name="Coverage"/>
    <tableColumn id="42" name="Planned Distribution"/>
    <tableColumn id="43" name="Comment"/>
  </tableColumns>
  <tableStyleInfo name="TableStyleMedium2" showFirstColumn="0" showLastColumn="0" showRowStripes="1" showColumnStripes="0"/>
</table>
</file>

<file path=xl/tables/table8.xml><?xml version="1.0" encoding="utf-8"?>
<table xmlns="http://schemas.openxmlformats.org/spreadsheetml/2006/main" id="10" name="Table10" displayName="Table10" ref="A1:N168" totalsRowShown="0" headerRowDxfId="806" headerRowBorderDxfId="805" tableBorderDxfId="804" totalsRowBorderDxfId="803">
  <autoFilter ref="A1:N168"/>
  <tableColumns count="14">
    <tableColumn id="5" name="Pcode" dataDxfId="802"/>
    <tableColumn id="2" name="Priority" dataDxfId="801">
      <calculatedColumnFormula>OFFSET(CampList[Priority],MATCH(Table10[[#This Row],[Pcode]],CampList[CP_Pcode],0)-1,0,1,1)</calculatedColumnFormula>
    </tableColumn>
    <tableColumn id="1" name="Camp" dataDxfId="800">
      <calculatedColumnFormula>OFFSET(CampList[Camp],MATCH(Table10[[#This Row],[Pcode]],CampList[CP_Pcode],0)-1,0,1,1)</calculatedColumnFormula>
    </tableColumn>
    <tableColumn id="4" name="Township" dataDxfId="799">
      <calculatedColumnFormula>OFFSET(CampList[Township],MATCH(Table10[[#This Row],[Pcode]],CampList[CP_Pcode],0)-1,0,1,1)</calculatedColumnFormula>
    </tableColumn>
    <tableColumn id="6" name="HH" dataDxfId="798">
      <calculatedColumnFormula>OFFSET(CampList[HH],MATCH(Table10[[#This Row],[Pcode]],CampList[CP_Pcode],0)-1,0,1,1)</calculatedColumnFormula>
    </tableColumn>
    <tableColumn id="7" name="Ind" dataDxfId="797">
      <calculatedColumnFormula>OFFSET(CampList[Total],MATCH(Table10[[#This Row],[Pcode]],CampList[CP_Pcode],0)-1,0,1,1)</calculatedColumnFormula>
    </tableColumn>
    <tableColumn id="8" name="Winter Clothes Adult " dataDxfId="796">
      <calculatedColumnFormula>SUMIF('NFI Tracking'!AQ$11:AQ$1048576,Table10[[#This Row],[Pcode]],'NFI Tracking'!AI$11:AI$1048576)</calculatedColumnFormula>
    </tableColumn>
    <tableColumn id="9" name="Winter Clothes Children " dataDxfId="795">
      <calculatedColumnFormula>SUMIF('NFI Tracking'!AQ$11:AQ$1048576,Table10[[#This Row],[Pcode]],'NFI Tracking'!AJ$11:AJ$1048576)</calculatedColumnFormula>
    </tableColumn>
    <tableColumn id="10" name="Winter Items Other " dataDxfId="794">
      <calculatedColumnFormula>SUMIF('NFI Tracking'!AQ$11:AQ$1048576,Table10[[#This Row],[Pcode]],'NFI Tracking'!AK$11:AK$1048576)</calculatedColumnFormula>
    </tableColumn>
    <tableColumn id="11" name="WC_Adult_Gap" dataDxfId="793">
      <calculatedColumnFormula>MAX(Table10[[#This Row],[HH]]*VLOOKUP("Winter Clothes Adult",NFI,6)-Table10[[#This Row],[Winter Clothes Adult ]],0)</calculatedColumnFormula>
    </tableColumn>
    <tableColumn id="12" name="WC_Child_Gap" dataDxfId="792">
      <calculatedColumnFormula>MAX(Table10[[#This Row],[HH]]*VLOOKUP("Winter Clothes Children ",NFI,6)-Table10[[#This Row],[Winter Clothes Children ]],0)</calculatedColumnFormula>
    </tableColumn>
    <tableColumn id="13" name="WI_Other_Gap" dataDxfId="791">
      <calculatedColumnFormula>MAX(Table10[[#This Row],[HH]]*VLOOKUP("Winter Items Other ",NFI,6)-Table10[[#This Row],[Winter Items Other ]],0)</calculatedColumnFormula>
    </tableColumn>
    <tableColumn id="3" name="Planned Distribution" dataDxfId="790">
      <calculatedColumnFormula>IF(OR(Table10[[#This Row],[Winter Clothes Adult ]]&lt;&gt;0,Table10[[#This Row],[Winter Clothes Children ]]&lt;&gt;0,Table10[[#This Row],[Winter Items Other ]]&lt;&gt;0),"No","")</calculatedColumnFormula>
    </tableColumn>
    <tableColumn id="14" name="Check1" dataDxfId="789">
      <calculatedColumnFormula>COUNTIF(A:A,Table10[[#This Row],[Pcode]])-1</calculatedColumnFormula>
    </tableColumn>
  </tableColumns>
  <tableStyleInfo name="TableStyleMedium2" showFirstColumn="0" showLastColumn="0" showRowStripes="1" showColumnStripes="0"/>
</table>
</file>

<file path=xl/tables/table9.xml><?xml version="1.0" encoding="utf-8"?>
<table xmlns="http://schemas.openxmlformats.org/spreadsheetml/2006/main" id="3" name="Table3" displayName="Table3" ref="J1:J4" totalsRowShown="0" headerRowDxfId="788" dataDxfId="787">
  <autoFilter ref="J1:J4"/>
  <tableColumns count="1">
    <tableColumn id="1" name="State" dataDxfId="78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pivotTable" Target="../pivotTables/pivotTable16.xml"/><Relationship Id="rId1" Type="http://schemas.openxmlformats.org/officeDocument/2006/relationships/pivotTable" Target="../pivotTables/pivotTable15.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7" Type="http://schemas.openxmlformats.org/officeDocument/2006/relationships/table" Target="../tables/table5.xml"/><Relationship Id="rId2" Type="http://schemas.openxmlformats.org/officeDocument/2006/relationships/printerSettings" Target="../printerSettings/printerSettings11.bin"/><Relationship Id="rId1" Type="http://schemas.openxmlformats.org/officeDocument/2006/relationships/pivotTable" Target="../pivotTables/pivotTable17.xml"/><Relationship Id="rId6" Type="http://schemas.openxmlformats.org/officeDocument/2006/relationships/image" Target="../media/image20.emf"/><Relationship Id="rId5" Type="http://schemas.openxmlformats.org/officeDocument/2006/relationships/control" Target="../activeX/activeX4.xml"/><Relationship Id="rId4"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9.xml"/><Relationship Id="rId1" Type="http://schemas.openxmlformats.org/officeDocument/2006/relationships/pivotTable" Target="../pivotTables/pivotTable18.xm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15.bin"/><Relationship Id="rId1" Type="http://schemas.openxmlformats.org/officeDocument/2006/relationships/pivotTable" Target="../pivotTables/pivotTable20.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pivotTable" Target="../pivotTables/pivotTable23.xml"/><Relationship Id="rId2" Type="http://schemas.openxmlformats.org/officeDocument/2006/relationships/pivotTable" Target="../pivotTables/pivotTable22.xml"/><Relationship Id="rId1" Type="http://schemas.openxmlformats.org/officeDocument/2006/relationships/pivotTable" Target="../pivotTables/pivotTable21.xml"/><Relationship Id="rId4" Type="http://schemas.openxmlformats.org/officeDocument/2006/relationships/pivotTable" Target="../pivotTables/pivot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7.bin"/><Relationship Id="rId4" Type="http://schemas.openxmlformats.org/officeDocument/2006/relationships/table" Target="../tables/table1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ivotTable" Target="../pivotTables/pivotTable3.xml"/><Relationship Id="rId7" Type="http://schemas.openxmlformats.org/officeDocument/2006/relationships/printerSettings" Target="../printerSettings/printerSettings3.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7.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vmlDrawing" Target="../drawings/vmlDrawing2.vml"/><Relationship Id="rId7" Type="http://schemas.openxmlformats.org/officeDocument/2006/relationships/ctrlProp" Target="../ctrlProps/ctrlProp1.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image" Target="../media/image13.emf"/><Relationship Id="rId11" Type="http://schemas.openxmlformats.org/officeDocument/2006/relationships/table" Target="../tables/table3.xml"/><Relationship Id="rId5" Type="http://schemas.openxmlformats.org/officeDocument/2006/relationships/control" Target="../activeX/activeX3.xml"/><Relationship Id="rId10" Type="http://schemas.openxmlformats.org/officeDocument/2006/relationships/ctrlProp" Target="../ctrlProps/ctrlProp4.xml"/><Relationship Id="rId4" Type="http://schemas.openxmlformats.org/officeDocument/2006/relationships/vmlDrawing" Target="../drawings/vmlDrawing3.vml"/><Relationship Id="rId9"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C1:Y24"/>
  <sheetViews>
    <sheetView showZeros="0" zoomScale="80" zoomScaleNormal="80" workbookViewId="0">
      <selection activeCell="AC20" sqref="AC20"/>
    </sheetView>
  </sheetViews>
  <sheetFormatPr defaultColWidth="9.140625" defaultRowHeight="15" x14ac:dyDescent="0.25"/>
  <cols>
    <col min="1" max="1" width="2" style="5" customWidth="1"/>
    <col min="2" max="4" width="9.140625" style="5"/>
    <col min="5" max="5" width="3.28515625" style="5" customWidth="1"/>
    <col min="6" max="9" width="9.140625" style="5"/>
    <col min="10" max="10" width="7.140625" style="5" customWidth="1"/>
    <col min="11" max="11" width="3.28515625" style="5" customWidth="1"/>
    <col min="12" max="12" width="4.5703125" style="5" customWidth="1"/>
    <col min="13" max="13" width="36.140625" style="5" customWidth="1"/>
    <col min="14" max="14" width="2.7109375" style="5" customWidth="1"/>
    <col min="15" max="15" width="3.28515625" style="5" customWidth="1"/>
    <col min="16" max="17" width="0" style="5" hidden="1" customWidth="1"/>
    <col min="18" max="18" width="9.140625" style="5" hidden="1" customWidth="1"/>
    <col min="19" max="19" width="3.28515625" style="5" hidden="1" customWidth="1"/>
    <col min="20" max="22" width="0" style="5" hidden="1" customWidth="1"/>
    <col min="23" max="23" width="6.42578125" style="5" customWidth="1"/>
    <col min="24" max="16384" width="9.140625" style="5"/>
  </cols>
  <sheetData>
    <row r="1" spans="3:22" ht="5.25" customHeight="1" x14ac:dyDescent="0.25"/>
    <row r="2" spans="3:22" ht="8.25" customHeight="1" x14ac:dyDescent="0.25">
      <c r="C2" s="832" t="s">
        <v>420</v>
      </c>
      <c r="D2" s="832"/>
      <c r="E2" s="832"/>
      <c r="F2" s="832"/>
      <c r="G2" s="832"/>
      <c r="H2" s="832"/>
      <c r="I2" s="832"/>
      <c r="J2" s="832"/>
      <c r="K2" s="832"/>
      <c r="L2" s="832"/>
      <c r="M2" s="832"/>
      <c r="N2" s="832"/>
      <c r="O2" s="832"/>
      <c r="P2" s="832"/>
      <c r="Q2" s="832"/>
      <c r="R2" s="832"/>
      <c r="S2" s="832"/>
      <c r="T2" s="832"/>
      <c r="U2" s="832"/>
      <c r="V2" s="832"/>
    </row>
    <row r="3" spans="3:22" ht="18" customHeight="1" x14ac:dyDescent="0.25">
      <c r="C3" s="832"/>
      <c r="D3" s="832"/>
      <c r="E3" s="832"/>
      <c r="F3" s="832"/>
      <c r="G3" s="832"/>
      <c r="H3" s="832"/>
      <c r="I3" s="832"/>
      <c r="J3" s="832"/>
      <c r="K3" s="832"/>
      <c r="L3" s="832"/>
      <c r="M3" s="832"/>
      <c r="N3" s="832"/>
      <c r="O3" s="832"/>
      <c r="P3" s="832"/>
      <c r="Q3" s="832"/>
      <c r="R3" s="832"/>
      <c r="S3" s="832"/>
      <c r="T3" s="832"/>
      <c r="U3" s="832"/>
      <c r="V3" s="832"/>
    </row>
    <row r="4" spans="3:22" ht="11.25" customHeight="1" x14ac:dyDescent="0.25">
      <c r="C4" s="832"/>
      <c r="D4" s="832"/>
      <c r="E4" s="832"/>
      <c r="F4" s="832"/>
      <c r="G4" s="832"/>
      <c r="H4" s="832"/>
      <c r="I4" s="832"/>
      <c r="J4" s="832"/>
      <c r="K4" s="832"/>
      <c r="L4" s="832"/>
      <c r="M4" s="832"/>
      <c r="N4" s="832"/>
      <c r="O4" s="832"/>
      <c r="P4" s="832"/>
      <c r="Q4" s="832"/>
      <c r="R4" s="832"/>
      <c r="S4" s="832"/>
      <c r="T4" s="832"/>
      <c r="U4" s="832"/>
      <c r="V4" s="832"/>
    </row>
    <row r="5" spans="3:22" ht="19.899999999999999" customHeight="1" x14ac:dyDescent="0.25">
      <c r="C5" s="834">
        <f>Definition!B23</f>
        <v>42675</v>
      </c>
      <c r="D5" s="834"/>
      <c r="E5" s="834"/>
      <c r="F5" s="834"/>
      <c r="G5" s="834"/>
      <c r="H5" s="834"/>
      <c r="I5" s="834"/>
      <c r="J5" s="834"/>
      <c r="K5" s="834"/>
      <c r="L5" s="834"/>
      <c r="M5" s="834"/>
      <c r="N5" s="834"/>
      <c r="O5" s="834"/>
    </row>
    <row r="6" spans="3:22" ht="8.25" customHeight="1" x14ac:dyDescent="0.25"/>
    <row r="7" spans="3:22" x14ac:dyDescent="0.25">
      <c r="C7" s="831" t="s">
        <v>446</v>
      </c>
      <c r="D7" s="831"/>
      <c r="E7" s="22"/>
      <c r="F7" s="833" t="s">
        <v>451</v>
      </c>
      <c r="G7" s="833"/>
      <c r="H7" s="833"/>
      <c r="I7" s="833"/>
      <c r="J7" s="833"/>
      <c r="K7" s="22"/>
      <c r="L7" s="833" t="s">
        <v>444</v>
      </c>
      <c r="M7" s="833"/>
      <c r="N7" s="833"/>
      <c r="O7" s="22"/>
      <c r="P7" s="833" t="s">
        <v>449</v>
      </c>
      <c r="Q7" s="833"/>
      <c r="R7" s="833"/>
      <c r="S7" s="22"/>
      <c r="T7" s="833" t="s">
        <v>450</v>
      </c>
      <c r="U7" s="833"/>
      <c r="V7" s="833"/>
    </row>
    <row r="8" spans="3:22" ht="16.149999999999999" customHeight="1" x14ac:dyDescent="0.25">
      <c r="C8" s="831"/>
      <c r="D8" s="831"/>
      <c r="E8" s="22"/>
      <c r="F8" s="22"/>
      <c r="G8" s="22"/>
      <c r="H8" s="22"/>
      <c r="I8" s="22"/>
      <c r="J8" s="22"/>
      <c r="K8" s="22"/>
      <c r="L8" s="22"/>
      <c r="M8" s="22"/>
      <c r="N8" s="22"/>
      <c r="O8" s="22"/>
      <c r="P8" s="22"/>
      <c r="Q8" s="22"/>
      <c r="R8" s="22"/>
      <c r="S8" s="22"/>
      <c r="T8" s="22"/>
      <c r="U8" s="22"/>
      <c r="V8" s="22"/>
    </row>
    <row r="9" spans="3:22" ht="16.149999999999999" customHeight="1" x14ac:dyDescent="0.25">
      <c r="C9" s="831"/>
      <c r="D9" s="831"/>
      <c r="E9" s="22"/>
      <c r="F9" s="22"/>
      <c r="G9" s="22"/>
      <c r="H9" s="22"/>
      <c r="I9" s="22"/>
      <c r="J9" s="22"/>
      <c r="K9" s="22"/>
      <c r="L9" s="645" t="s">
        <v>381</v>
      </c>
      <c r="M9" s="648" t="s">
        <v>1444</v>
      </c>
      <c r="N9" s="646" t="s">
        <v>445</v>
      </c>
      <c r="O9" s="22"/>
      <c r="P9" s="20" t="s">
        <v>381</v>
      </c>
      <c r="Q9" s="49" t="s">
        <v>380</v>
      </c>
      <c r="R9" s="50" t="s">
        <v>445</v>
      </c>
      <c r="S9" s="22"/>
      <c r="T9" s="20" t="s">
        <v>381</v>
      </c>
      <c r="U9" s="21" t="s">
        <v>380</v>
      </c>
      <c r="V9" s="19" t="s">
        <v>445</v>
      </c>
    </row>
    <row r="10" spans="3:22" ht="16.149999999999999" customHeight="1" x14ac:dyDescent="0.25">
      <c r="C10" s="831"/>
      <c r="D10" s="831"/>
      <c r="E10" s="22"/>
      <c r="F10" s="22"/>
      <c r="G10" s="22"/>
      <c r="H10" s="22"/>
      <c r="I10" s="22"/>
      <c r="J10" s="22"/>
      <c r="K10" s="22"/>
      <c r="L10" s="22"/>
      <c r="M10" s="22"/>
      <c r="N10" s="22"/>
      <c r="O10" s="22"/>
      <c r="P10" s="22"/>
      <c r="Q10" s="22"/>
      <c r="R10" s="22"/>
      <c r="S10" s="22"/>
      <c r="T10" s="22"/>
      <c r="U10" s="22"/>
      <c r="V10" s="22"/>
    </row>
    <row r="11" spans="3:22" ht="16.149999999999999" customHeight="1" x14ac:dyDescent="0.25">
      <c r="C11" s="831"/>
      <c r="D11" s="831"/>
      <c r="E11" s="22"/>
      <c r="F11" s="22"/>
      <c r="G11" s="22"/>
      <c r="H11" s="22"/>
      <c r="I11" s="22"/>
      <c r="J11" s="22"/>
      <c r="K11" s="22"/>
      <c r="L11" s="22"/>
      <c r="M11" s="22"/>
      <c r="N11" s="22"/>
      <c r="O11" s="22"/>
      <c r="P11" s="22"/>
      <c r="Q11" s="22"/>
      <c r="R11" s="22"/>
      <c r="S11" s="22"/>
      <c r="T11" s="22"/>
      <c r="U11" s="22"/>
      <c r="V11" s="22"/>
    </row>
    <row r="12" spans="3:22" ht="16.149999999999999" customHeight="1" x14ac:dyDescent="0.25">
      <c r="C12" s="831"/>
      <c r="D12" s="831"/>
      <c r="E12" s="22"/>
      <c r="F12" s="22"/>
      <c r="G12" s="22"/>
      <c r="H12" s="22"/>
      <c r="I12" s="22"/>
      <c r="J12" s="22"/>
      <c r="K12" s="22"/>
      <c r="L12" s="22"/>
      <c r="M12" s="22"/>
      <c r="N12" s="22"/>
      <c r="O12" s="22"/>
      <c r="P12" s="22"/>
      <c r="Q12" s="22"/>
      <c r="R12" s="22"/>
      <c r="S12" s="22"/>
      <c r="T12" s="22"/>
      <c r="U12" s="22"/>
      <c r="V12" s="22"/>
    </row>
    <row r="13" spans="3:22" ht="16.149999999999999" customHeight="1" x14ac:dyDescent="0.25"/>
    <row r="14" spans="3:22" ht="16.149999999999999" customHeight="1" x14ac:dyDescent="0.25">
      <c r="C14" s="831" t="s">
        <v>447</v>
      </c>
      <c r="D14" s="831"/>
      <c r="E14" s="22"/>
      <c r="F14" s="22"/>
      <c r="G14" s="22"/>
      <c r="H14" s="22"/>
      <c r="I14" s="22"/>
      <c r="J14" s="22"/>
      <c r="K14" s="22"/>
      <c r="L14" s="22"/>
      <c r="M14" s="22"/>
      <c r="N14" s="22"/>
      <c r="O14" s="22"/>
      <c r="P14" s="22"/>
      <c r="Q14" s="22"/>
      <c r="R14" s="22"/>
      <c r="S14" s="22"/>
      <c r="T14" s="22"/>
      <c r="U14" s="22"/>
      <c r="V14" s="22"/>
    </row>
    <row r="15" spans="3:22" ht="16.149999999999999" customHeight="1" x14ac:dyDescent="0.25">
      <c r="C15" s="831"/>
      <c r="D15" s="831"/>
      <c r="E15" s="22"/>
      <c r="F15" s="22"/>
      <c r="G15" s="22"/>
      <c r="H15" s="22"/>
      <c r="I15" s="22"/>
      <c r="J15" s="22"/>
      <c r="K15" s="22"/>
      <c r="L15" s="22"/>
      <c r="M15" s="22"/>
      <c r="N15" s="22"/>
      <c r="O15" s="22"/>
      <c r="P15" s="22"/>
      <c r="Q15" s="22"/>
      <c r="R15" s="22"/>
      <c r="S15" s="22"/>
      <c r="T15" s="22"/>
      <c r="U15" s="22"/>
      <c r="V15" s="22"/>
    </row>
    <row r="16" spans="3:22" ht="16.149999999999999" customHeight="1" x14ac:dyDescent="0.25">
      <c r="C16" s="831"/>
      <c r="D16" s="831"/>
      <c r="E16" s="22"/>
      <c r="F16" s="22"/>
      <c r="G16" s="22"/>
      <c r="H16" s="22"/>
      <c r="I16" s="22"/>
      <c r="J16" s="22"/>
      <c r="K16" s="22"/>
      <c r="L16" s="72" t="s">
        <v>381</v>
      </c>
      <c r="M16" s="648" t="s">
        <v>1444</v>
      </c>
      <c r="N16" s="50" t="s">
        <v>445</v>
      </c>
      <c r="O16" s="22"/>
      <c r="P16" s="20" t="s">
        <v>381</v>
      </c>
      <c r="Q16" s="49" t="s">
        <v>380</v>
      </c>
      <c r="R16" s="50" t="s">
        <v>445</v>
      </c>
      <c r="S16" s="22"/>
      <c r="T16" s="20" t="s">
        <v>381</v>
      </c>
      <c r="U16" s="21" t="s">
        <v>380</v>
      </c>
      <c r="V16" s="19" t="s">
        <v>445</v>
      </c>
    </row>
    <row r="17" spans="3:25" ht="16.149999999999999" customHeight="1" x14ac:dyDescent="0.25">
      <c r="C17" s="831"/>
      <c r="D17" s="831"/>
      <c r="E17" s="22"/>
      <c r="F17" s="22"/>
      <c r="G17" s="22"/>
      <c r="H17" s="22"/>
      <c r="I17" s="22"/>
      <c r="J17" s="22"/>
      <c r="K17" s="22"/>
      <c r="L17" s="22"/>
      <c r="M17" s="22"/>
      <c r="N17" s="22"/>
      <c r="O17" s="22"/>
      <c r="P17" s="22"/>
      <c r="Q17" s="22"/>
      <c r="R17" s="22"/>
      <c r="S17" s="22"/>
      <c r="T17" s="22"/>
      <c r="U17" s="22"/>
      <c r="V17" s="22"/>
    </row>
    <row r="18" spans="3:25" ht="16.149999999999999" customHeight="1" x14ac:dyDescent="0.25">
      <c r="C18" s="831"/>
      <c r="D18" s="831"/>
      <c r="E18" s="22"/>
      <c r="F18" s="22"/>
      <c r="G18" s="22"/>
      <c r="H18" s="22"/>
      <c r="I18" s="22"/>
      <c r="J18" s="22"/>
      <c r="K18" s="22"/>
      <c r="L18" s="22"/>
      <c r="M18" s="22"/>
      <c r="N18" s="22"/>
      <c r="O18" s="22"/>
      <c r="P18" s="22"/>
      <c r="Q18" s="22"/>
      <c r="R18" s="22"/>
      <c r="S18" s="22"/>
      <c r="T18" s="22"/>
      <c r="U18" s="22"/>
      <c r="V18" s="22"/>
    </row>
    <row r="19" spans="3:25" ht="16.149999999999999" customHeight="1" x14ac:dyDescent="0.25">
      <c r="C19" s="831"/>
      <c r="D19" s="831"/>
      <c r="E19" s="22"/>
      <c r="F19" s="22"/>
      <c r="G19" s="22"/>
      <c r="H19" s="22"/>
      <c r="I19" s="22"/>
      <c r="J19" s="22"/>
      <c r="K19" s="22"/>
      <c r="L19" s="22"/>
      <c r="M19" s="22"/>
      <c r="N19" s="22"/>
      <c r="O19" s="22"/>
      <c r="P19" s="22"/>
      <c r="Q19" s="22"/>
      <c r="R19" s="22"/>
      <c r="S19" s="22"/>
      <c r="T19" s="22"/>
      <c r="U19" s="22"/>
      <c r="V19" s="22"/>
    </row>
    <row r="20" spans="3:25" ht="16.149999999999999" customHeight="1" x14ac:dyDescent="0.25">
      <c r="Y20" s="647"/>
    </row>
    <row r="21" spans="3:25" ht="16.149999999999999" customHeight="1" x14ac:dyDescent="0.25">
      <c r="C21" s="831" t="s">
        <v>448</v>
      </c>
      <c r="D21" s="831"/>
      <c r="E21" s="23"/>
      <c r="F21" s="23"/>
      <c r="G21" s="23"/>
      <c r="H21" s="23"/>
      <c r="I21" s="23"/>
      <c r="J21" s="23"/>
      <c r="K21" s="23"/>
      <c r="L21" s="22"/>
      <c r="M21" s="22"/>
      <c r="N21" s="22"/>
      <c r="O21" s="22"/>
      <c r="P21" s="22"/>
      <c r="Q21" s="22"/>
      <c r="R21" s="22"/>
      <c r="S21" s="22"/>
      <c r="T21" s="22"/>
      <c r="U21" s="22"/>
      <c r="V21" s="22"/>
    </row>
    <row r="22" spans="3:25" ht="16.149999999999999" customHeight="1" x14ac:dyDescent="0.25">
      <c r="C22" s="831"/>
      <c r="D22" s="831"/>
      <c r="E22" s="23"/>
      <c r="F22" s="23"/>
      <c r="G22" s="23"/>
      <c r="H22" s="23"/>
      <c r="I22" s="23"/>
      <c r="J22" s="23"/>
      <c r="K22" s="23"/>
      <c r="L22" s="23"/>
      <c r="M22" s="649" t="s">
        <v>1444</v>
      </c>
      <c r="N22" s="23"/>
      <c r="O22" s="22"/>
      <c r="P22" s="22"/>
      <c r="Q22" s="22"/>
      <c r="R22" s="22"/>
      <c r="S22" s="22"/>
      <c r="T22" s="10"/>
      <c r="U22" s="10"/>
      <c r="V22" s="10"/>
    </row>
    <row r="23" spans="3:25" ht="16.149999999999999" customHeight="1" x14ac:dyDescent="0.25">
      <c r="C23" s="831"/>
      <c r="D23" s="831"/>
      <c r="E23" s="23"/>
      <c r="F23" s="23"/>
      <c r="G23" s="23"/>
      <c r="H23" s="23"/>
      <c r="I23" s="23"/>
      <c r="J23" s="23"/>
      <c r="K23" s="23"/>
      <c r="L23" s="50" t="s">
        <v>381</v>
      </c>
      <c r="M23" s="50" t="s">
        <v>380</v>
      </c>
      <c r="N23" s="50" t="s">
        <v>445</v>
      </c>
      <c r="O23" s="22"/>
      <c r="P23" s="20" t="s">
        <v>381</v>
      </c>
      <c r="Q23" s="49" t="s">
        <v>380</v>
      </c>
      <c r="R23" s="50" t="s">
        <v>445</v>
      </c>
      <c r="S23" s="22"/>
      <c r="T23" s="20" t="s">
        <v>381</v>
      </c>
      <c r="U23" s="21" t="s">
        <v>380</v>
      </c>
      <c r="V23" s="19" t="s">
        <v>445</v>
      </c>
    </row>
    <row r="24" spans="3:25" ht="16.149999999999999" customHeight="1" x14ac:dyDescent="0.25">
      <c r="C24" s="831"/>
      <c r="D24" s="831"/>
      <c r="E24" s="23"/>
      <c r="F24" s="23"/>
      <c r="G24" s="23"/>
      <c r="H24" s="23"/>
      <c r="I24" s="23"/>
      <c r="J24" s="23"/>
      <c r="K24" s="23"/>
      <c r="L24" s="23"/>
      <c r="M24" s="23"/>
      <c r="N24" s="23"/>
      <c r="O24" s="22"/>
      <c r="P24" s="22"/>
      <c r="Q24" s="22"/>
      <c r="R24" s="22"/>
      <c r="S24" s="22"/>
      <c r="T24" s="10"/>
      <c r="U24" s="10"/>
      <c r="V24" s="10"/>
    </row>
  </sheetData>
  <mergeCells count="9">
    <mergeCell ref="C7:D12"/>
    <mergeCell ref="C14:D19"/>
    <mergeCell ref="C21:D24"/>
    <mergeCell ref="C2:V4"/>
    <mergeCell ref="T7:V7"/>
    <mergeCell ref="P7:R7"/>
    <mergeCell ref="L7:N7"/>
    <mergeCell ref="F7:J7"/>
    <mergeCell ref="C5:O5"/>
  </mergeCells>
  <hyperlinks>
    <hyperlink ref="L9" location="Rakhine_CCCM_D!A1" display="Rakhine"/>
    <hyperlink ref="L16" location="Rakhine_Shelter_D!A1" display="Rakhine"/>
    <hyperlink ref="M16" location="'Shelter Coverage &amp; Gaps'!A1" display="Kachin"/>
    <hyperlink ref="M23" location="Kachin_CCCM_D!A1" display="Kachin"/>
    <hyperlink ref="M22" location="'NFI Summary'!A1" display="Kachin"/>
    <hyperlink ref="M9" location="'CCCM Dashboard'!A1" display="Kachin"/>
  </hyperlinks>
  <pageMargins left="0.7" right="0.7" top="0.75" bottom="0.75" header="0.3" footer="0.3"/>
  <pageSetup scale="93" orientation="landscape" r:id="rId1"/>
  <drawing r:id="rId2"/>
  <legacyDrawing r:id="rId3"/>
  <controls>
    <mc:AlternateContent xmlns:mc="http://schemas.openxmlformats.org/markup-compatibility/2006">
      <mc:Choice Requires="x14">
        <control shapeId="1025" r:id="rId4" name="Main_Export_Data">
          <controlPr defaultSize="0" autoLine="0" r:id="rId5">
            <anchor moveWithCells="1">
              <from>
                <xdr:col>25</xdr:col>
                <xdr:colOff>180975</xdr:colOff>
                <xdr:row>6</xdr:row>
                <xdr:rowOff>0</xdr:rowOff>
              </from>
              <to>
                <xdr:col>27</xdr:col>
                <xdr:colOff>476250</xdr:colOff>
                <xdr:row>8</xdr:row>
                <xdr:rowOff>47625</xdr:rowOff>
              </to>
            </anchor>
          </controlPr>
        </control>
      </mc:Choice>
      <mc:Fallback>
        <control shapeId="1025" r:id="rId4" name="Main_Export_Data"/>
      </mc:Fallback>
    </mc:AlternateContent>
    <mc:AlternateContent xmlns:mc="http://schemas.openxmlformats.org/markup-compatibility/2006">
      <mc:Choice Requires="x14">
        <control shapeId="1026" r:id="rId6" name="Print_Report">
          <controlPr defaultSize="0" autoLine="0" r:id="rId7">
            <anchor moveWithCells="1">
              <from>
                <xdr:col>25</xdr:col>
                <xdr:colOff>133350</xdr:colOff>
                <xdr:row>10</xdr:row>
                <xdr:rowOff>9525</xdr:rowOff>
              </from>
              <to>
                <xdr:col>27</xdr:col>
                <xdr:colOff>504825</xdr:colOff>
                <xdr:row>11</xdr:row>
                <xdr:rowOff>133350</xdr:rowOff>
              </to>
            </anchor>
          </controlPr>
        </control>
      </mc:Choice>
      <mc:Fallback>
        <control shapeId="1026" r:id="rId6" name="Print_Report"/>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DN367"/>
  <sheetViews>
    <sheetView showZeros="0" zoomScale="85" zoomScaleNormal="85" zoomScaleSheetLayoutView="85" workbookViewId="0">
      <pane xSplit="1" ySplit="4" topLeftCell="B38" activePane="bottomRight" state="frozen"/>
      <selection activeCell="AS915" sqref="AS915"/>
      <selection pane="topRight" activeCell="AS915" sqref="AS915"/>
      <selection pane="bottomLeft" activeCell="AS915" sqref="AS915"/>
      <selection pane="bottomRight" activeCell="H44" sqref="H44"/>
    </sheetView>
  </sheetViews>
  <sheetFormatPr defaultColWidth="9.140625" defaultRowHeight="15" x14ac:dyDescent="0.25"/>
  <cols>
    <col min="1" max="1" width="21.7109375" customWidth="1"/>
    <col min="2" max="2" width="16" customWidth="1"/>
    <col min="3" max="3" width="14.85546875" customWidth="1"/>
    <col min="4" max="4" width="13.42578125" customWidth="1"/>
    <col min="5" max="5" width="17.140625" customWidth="1"/>
    <col min="6" max="6" width="42.140625" customWidth="1"/>
    <col min="7" max="7" width="17.7109375" customWidth="1"/>
    <col min="8" max="8" width="17.85546875" customWidth="1"/>
    <col min="9" max="9" width="14.28515625" customWidth="1"/>
    <col min="10" max="10" width="19.85546875" customWidth="1"/>
    <col min="11" max="11" width="15.85546875" customWidth="1"/>
    <col min="12" max="12" width="15.42578125" customWidth="1"/>
    <col min="13" max="13" width="18.5703125" customWidth="1"/>
    <col min="14" max="14" width="23.7109375" customWidth="1"/>
    <col min="15" max="15" width="19.5703125" customWidth="1"/>
    <col min="16" max="16" width="16.5703125" customWidth="1"/>
    <col min="17" max="17" width="20" style="4" customWidth="1"/>
    <col min="18" max="18" width="16.140625" style="4" customWidth="1"/>
    <col min="19" max="19" width="32.28515625" customWidth="1"/>
    <col min="20" max="20" width="12.5703125" customWidth="1"/>
    <col min="21" max="21" width="13.7109375" customWidth="1"/>
    <col min="22" max="22" width="20.42578125" style="333" customWidth="1"/>
    <col min="23" max="23" width="43.85546875" bestFit="1" customWidth="1"/>
    <col min="24" max="84" width="9.140625" style="445"/>
    <col min="85" max="16384" width="9.140625" style="4"/>
  </cols>
  <sheetData>
    <row r="1" spans="1:118" s="15" customFormat="1" ht="36" x14ac:dyDescent="0.25">
      <c r="A1" s="258"/>
      <c r="B1" s="238"/>
      <c r="C1" s="238"/>
      <c r="D1" s="238"/>
      <c r="E1" s="238"/>
      <c r="F1" s="238"/>
      <c r="G1" s="238"/>
      <c r="H1" s="238"/>
      <c r="I1" s="238"/>
      <c r="J1" s="238"/>
      <c r="K1" s="238"/>
      <c r="L1" s="238"/>
      <c r="M1" s="238"/>
      <c r="N1" s="238"/>
      <c r="O1" s="238"/>
      <c r="P1" s="238"/>
      <c r="Q1" s="189"/>
      <c r="R1" s="189"/>
      <c r="S1" s="189"/>
      <c r="T1" s="189"/>
      <c r="U1" s="189"/>
      <c r="V1" s="346"/>
      <c r="W1" s="190"/>
      <c r="X1" s="444"/>
      <c r="Y1" s="444"/>
      <c r="Z1" s="444"/>
      <c r="AA1" s="444"/>
      <c r="AB1" s="444"/>
      <c r="AC1" s="444"/>
      <c r="AD1" s="444"/>
      <c r="AE1" s="444"/>
      <c r="AF1" s="444"/>
      <c r="AG1" s="444"/>
      <c r="AH1" s="444"/>
      <c r="AI1" s="444"/>
      <c r="AJ1" s="444"/>
      <c r="AK1" s="444"/>
      <c r="AL1" s="444"/>
      <c r="AM1" s="444"/>
      <c r="AN1" s="444"/>
      <c r="AO1" s="444"/>
      <c r="AP1" s="444"/>
      <c r="AQ1" s="444"/>
      <c r="AR1" s="444"/>
      <c r="AS1" s="444"/>
      <c r="AT1" s="444"/>
      <c r="AU1" s="444"/>
      <c r="AV1" s="444"/>
      <c r="AW1" s="444"/>
      <c r="AX1" s="444"/>
      <c r="AY1" s="444"/>
      <c r="AZ1" s="444"/>
      <c r="BA1" s="444"/>
      <c r="BB1" s="444"/>
      <c r="BC1" s="444"/>
      <c r="BD1" s="444"/>
      <c r="BE1" s="444"/>
      <c r="BF1" s="444"/>
      <c r="BG1" s="444"/>
      <c r="BH1" s="444"/>
      <c r="BI1" s="444"/>
      <c r="BJ1" s="444"/>
      <c r="BK1" s="444"/>
      <c r="BL1" s="444"/>
      <c r="BM1" s="444"/>
      <c r="BN1" s="444"/>
      <c r="BO1" s="444"/>
      <c r="BP1" s="444"/>
      <c r="BQ1" s="444"/>
      <c r="BR1" s="444"/>
      <c r="BS1" s="444"/>
      <c r="BT1" s="444"/>
      <c r="BU1" s="444"/>
      <c r="BV1" s="444"/>
      <c r="BW1" s="444"/>
      <c r="BX1" s="444"/>
      <c r="BY1" s="444"/>
      <c r="BZ1" s="444"/>
      <c r="CA1" s="444"/>
      <c r="CB1" s="444"/>
      <c r="CC1" s="444"/>
      <c r="CD1" s="444"/>
      <c r="CE1" s="444"/>
      <c r="CF1" s="444"/>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row>
    <row r="2" spans="1:118" s="15" customFormat="1" ht="36" x14ac:dyDescent="0.25">
      <c r="A2" s="842" t="s">
        <v>1279</v>
      </c>
      <c r="B2" s="839"/>
      <c r="C2" s="839"/>
      <c r="D2" s="206"/>
      <c r="E2" s="206"/>
      <c r="F2" s="206"/>
      <c r="G2" s="206"/>
      <c r="H2" s="206"/>
      <c r="I2" s="206"/>
      <c r="J2" s="206"/>
      <c r="K2" s="206"/>
      <c r="L2" s="206"/>
      <c r="M2" s="206"/>
      <c r="N2" s="206"/>
      <c r="O2" s="206"/>
      <c r="P2" s="206"/>
      <c r="Q2" s="172"/>
      <c r="R2" s="172"/>
      <c r="S2" s="172"/>
      <c r="T2" s="172"/>
      <c r="U2" s="172"/>
      <c r="V2" s="344"/>
      <c r="W2" s="191"/>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c r="BT2" s="444"/>
      <c r="BU2" s="444"/>
      <c r="BV2" s="444"/>
      <c r="BW2" s="444"/>
      <c r="BX2" s="444"/>
      <c r="BY2" s="444"/>
      <c r="BZ2" s="444"/>
      <c r="CA2" s="444"/>
      <c r="CB2" s="444"/>
      <c r="CC2" s="444"/>
      <c r="CD2" s="444"/>
      <c r="CE2" s="444"/>
      <c r="CF2" s="444"/>
      <c r="CG2" s="340"/>
      <c r="CH2" s="340"/>
      <c r="CI2" s="340"/>
      <c r="CJ2" s="340"/>
      <c r="CK2" s="340"/>
      <c r="CL2" s="340"/>
      <c r="CM2" s="340"/>
      <c r="CN2" s="340"/>
      <c r="CO2" s="340"/>
      <c r="CP2" s="340"/>
      <c r="CQ2" s="340"/>
      <c r="CR2" s="340"/>
      <c r="CS2" s="340"/>
      <c r="CT2" s="340"/>
      <c r="CU2" s="340"/>
      <c r="CV2" s="340"/>
      <c r="CW2" s="340"/>
      <c r="CX2" s="340"/>
      <c r="CY2" s="340"/>
      <c r="CZ2" s="340"/>
      <c r="DA2" s="340"/>
      <c r="DB2" s="340"/>
      <c r="DC2" s="340"/>
      <c r="DD2" s="340"/>
      <c r="DE2" s="340"/>
      <c r="DF2" s="340"/>
      <c r="DG2" s="340"/>
      <c r="DH2" s="340"/>
      <c r="DI2" s="340"/>
      <c r="DJ2" s="340"/>
      <c r="DK2" s="340"/>
      <c r="DL2" s="340"/>
      <c r="DM2" s="340"/>
      <c r="DN2" s="340"/>
    </row>
    <row r="3" spans="1:118" s="15" customFormat="1" ht="18" customHeight="1" x14ac:dyDescent="0.25">
      <c r="A3" s="843">
        <f>Definition!B23</f>
        <v>42675</v>
      </c>
      <c r="B3" s="844"/>
      <c r="C3" s="844"/>
      <c r="D3" s="844"/>
      <c r="E3" s="844"/>
      <c r="F3" s="844"/>
      <c r="G3" s="844"/>
      <c r="H3" s="844"/>
      <c r="I3" s="844"/>
      <c r="J3" s="844"/>
      <c r="K3" s="844"/>
      <c r="L3" s="844"/>
      <c r="M3" s="844"/>
      <c r="N3" s="844"/>
      <c r="O3" s="844"/>
      <c r="P3" s="844"/>
      <c r="Q3" s="278"/>
      <c r="R3" s="193"/>
      <c r="S3" s="193"/>
      <c r="T3" s="193"/>
      <c r="U3" s="193"/>
      <c r="V3" s="193"/>
      <c r="W3" s="194"/>
      <c r="X3" s="444"/>
      <c r="Y3" s="444"/>
      <c r="Z3" s="444"/>
      <c r="AA3" s="444"/>
      <c r="AB3" s="444"/>
      <c r="AC3" s="444"/>
      <c r="AD3" s="444"/>
      <c r="AE3" s="444"/>
      <c r="AF3" s="444"/>
      <c r="AG3" s="444"/>
      <c r="AH3" s="444"/>
      <c r="AI3" s="444"/>
      <c r="AJ3" s="444"/>
      <c r="AK3" s="444"/>
      <c r="AL3" s="444"/>
      <c r="AM3" s="444"/>
      <c r="AN3" s="444"/>
      <c r="AO3" s="444"/>
      <c r="AP3" s="444"/>
      <c r="AQ3" s="444"/>
      <c r="AR3" s="444"/>
      <c r="AS3" s="444"/>
      <c r="AT3" s="444"/>
      <c r="AU3" s="444"/>
      <c r="AV3" s="444"/>
      <c r="AW3" s="444"/>
      <c r="AX3" s="444"/>
      <c r="AY3" s="444"/>
      <c r="AZ3" s="444"/>
      <c r="BA3" s="444"/>
      <c r="BB3" s="444"/>
      <c r="BC3" s="444"/>
      <c r="BD3" s="444"/>
      <c r="BE3" s="444"/>
      <c r="BF3" s="444"/>
      <c r="BG3" s="444"/>
      <c r="BH3" s="444"/>
      <c r="BI3" s="444"/>
      <c r="BJ3" s="444"/>
      <c r="BK3" s="444"/>
      <c r="BL3" s="444"/>
      <c r="BM3" s="444"/>
      <c r="BN3" s="444"/>
      <c r="BO3" s="444"/>
      <c r="BP3" s="444"/>
      <c r="BQ3" s="444"/>
      <c r="BR3" s="444"/>
      <c r="BS3" s="444"/>
      <c r="BT3" s="444"/>
      <c r="BU3" s="444"/>
      <c r="BV3" s="444"/>
      <c r="BW3" s="444"/>
      <c r="BX3" s="444"/>
      <c r="BY3" s="444"/>
      <c r="BZ3" s="444"/>
      <c r="CA3" s="444"/>
      <c r="CB3" s="444"/>
      <c r="CC3" s="444"/>
      <c r="CD3" s="444"/>
      <c r="CE3" s="444"/>
      <c r="CF3" s="444"/>
      <c r="CG3" s="340"/>
      <c r="CH3" s="340"/>
      <c r="CI3" s="340"/>
      <c r="CJ3" s="340"/>
      <c r="CK3" s="340"/>
      <c r="CL3" s="340"/>
      <c r="CM3" s="340"/>
      <c r="CN3" s="340"/>
      <c r="CO3" s="340"/>
      <c r="CP3" s="340"/>
      <c r="CQ3" s="340"/>
      <c r="CR3" s="340"/>
      <c r="CS3" s="340"/>
      <c r="CT3" s="340"/>
      <c r="CU3" s="340"/>
      <c r="CV3" s="340"/>
      <c r="CW3" s="340"/>
      <c r="CX3" s="340"/>
      <c r="CY3" s="340"/>
      <c r="CZ3" s="340"/>
      <c r="DA3" s="340"/>
      <c r="DB3" s="340"/>
      <c r="DC3" s="340"/>
      <c r="DD3" s="340"/>
      <c r="DE3" s="340"/>
      <c r="DF3" s="340"/>
      <c r="DG3" s="340"/>
      <c r="DH3" s="340"/>
      <c r="DI3" s="340"/>
      <c r="DJ3" s="340"/>
      <c r="DK3" s="340"/>
      <c r="DL3" s="340"/>
      <c r="DM3" s="340"/>
      <c r="DN3" s="340"/>
    </row>
    <row r="4" spans="1:118" s="470" customFormat="1" ht="57" customHeight="1" x14ac:dyDescent="0.25">
      <c r="A4" s="596" t="s">
        <v>501</v>
      </c>
      <c r="B4" s="597" t="s">
        <v>402</v>
      </c>
      <c r="C4" s="598" t="s">
        <v>1280</v>
      </c>
      <c r="D4" s="597" t="s">
        <v>395</v>
      </c>
      <c r="E4" s="597" t="s">
        <v>0</v>
      </c>
      <c r="F4" s="597" t="s">
        <v>510</v>
      </c>
      <c r="G4" s="597" t="s">
        <v>1281</v>
      </c>
      <c r="H4" s="599" t="s">
        <v>1290</v>
      </c>
      <c r="I4" s="599" t="s">
        <v>1282</v>
      </c>
      <c r="J4" s="600" t="s">
        <v>1283</v>
      </c>
      <c r="K4" s="600" t="s">
        <v>1284</v>
      </c>
      <c r="L4" s="600" t="s">
        <v>1285</v>
      </c>
      <c r="M4" s="601" t="s">
        <v>1286</v>
      </c>
      <c r="N4" s="601" t="s">
        <v>1287</v>
      </c>
      <c r="O4" s="601" t="s">
        <v>1288</v>
      </c>
      <c r="P4" s="602" t="s">
        <v>1289</v>
      </c>
      <c r="Q4" s="603" t="s">
        <v>1005</v>
      </c>
      <c r="R4" s="603" t="s">
        <v>1004</v>
      </c>
      <c r="S4" s="574" t="s">
        <v>558</v>
      </c>
      <c r="T4" s="604" t="s">
        <v>498</v>
      </c>
      <c r="U4" s="601" t="s">
        <v>441</v>
      </c>
      <c r="V4" s="605" t="s">
        <v>1303</v>
      </c>
      <c r="W4" s="606" t="s">
        <v>1045</v>
      </c>
      <c r="X4" s="479"/>
      <c r="Y4" s="479"/>
      <c r="Z4" s="479"/>
      <c r="AA4" s="479"/>
      <c r="AB4" s="479"/>
      <c r="AC4" s="479"/>
      <c r="AD4" s="479"/>
      <c r="AE4" s="479"/>
      <c r="AF4" s="479"/>
      <c r="AG4" s="479"/>
      <c r="AH4" s="479"/>
      <c r="AI4" s="479"/>
      <c r="AJ4" s="479"/>
      <c r="AK4" s="479"/>
      <c r="AL4" s="479"/>
      <c r="AM4" s="479"/>
      <c r="AN4" s="479"/>
      <c r="AO4" s="479"/>
      <c r="AP4" s="479"/>
      <c r="AQ4" s="479"/>
      <c r="AR4" s="479"/>
      <c r="AS4" s="479"/>
      <c r="AT4" s="479"/>
      <c r="AU4" s="479"/>
      <c r="AV4" s="479"/>
      <c r="AW4" s="479"/>
      <c r="AX4" s="479"/>
      <c r="AY4" s="479"/>
      <c r="AZ4" s="479"/>
      <c r="BA4" s="479"/>
      <c r="BB4" s="479"/>
      <c r="BC4" s="479"/>
      <c r="BD4" s="479"/>
      <c r="BE4" s="479"/>
      <c r="BF4" s="479"/>
      <c r="BG4" s="479"/>
      <c r="BH4" s="479"/>
      <c r="BI4" s="479"/>
      <c r="BJ4" s="479"/>
      <c r="BK4" s="479"/>
      <c r="BL4" s="479"/>
      <c r="BM4" s="479"/>
      <c r="BN4" s="479"/>
      <c r="BO4" s="479"/>
      <c r="BP4" s="479"/>
      <c r="BQ4" s="479"/>
      <c r="BR4" s="479"/>
      <c r="BS4" s="479"/>
      <c r="BT4" s="479"/>
      <c r="BU4" s="479"/>
      <c r="BV4" s="479"/>
      <c r="BW4" s="479"/>
      <c r="BX4" s="479"/>
      <c r="BY4" s="479"/>
      <c r="BZ4" s="479"/>
      <c r="CA4" s="479"/>
      <c r="CB4" s="479"/>
      <c r="CC4" s="479"/>
      <c r="CD4" s="479"/>
      <c r="CE4" s="479"/>
      <c r="CF4" s="479"/>
    </row>
    <row r="5" spans="1:118" ht="16.149999999999999" customHeight="1" x14ac:dyDescent="0.25">
      <c r="A5" s="589">
        <v>42745</v>
      </c>
      <c r="B5" s="173" t="s">
        <v>452</v>
      </c>
      <c r="C5" s="107" t="s">
        <v>1561</v>
      </c>
      <c r="D5" s="180" t="s">
        <v>380</v>
      </c>
      <c r="E5" s="345" t="s">
        <v>310</v>
      </c>
      <c r="F5" s="173" t="s">
        <v>334</v>
      </c>
      <c r="G5" s="107">
        <v>1</v>
      </c>
      <c r="H5" s="107"/>
      <c r="I5" s="107"/>
      <c r="J5" s="107">
        <v>130</v>
      </c>
      <c r="K5" s="107"/>
      <c r="L5" s="106">
        <v>70</v>
      </c>
      <c r="M5" s="173"/>
      <c r="N5" s="173"/>
      <c r="O5" s="173"/>
      <c r="P5" s="108">
        <f>IF(Table_Shelter[[#This Row],[Status]]="Open",IF(V5="NO",Table_Shelter[[#This Row],[HH per Shelter]]*(Table_Shelter[[#This Row],['# of Temporary Shelter Units Built]]+Table_Shelter[[#This Row],['# of Temporary Shelter Under  Construction]]+Table_Shelter[[#This Row],['# of Permanent House Under Construction]]),0),0)</f>
        <v>0</v>
      </c>
      <c r="Q5" s="106"/>
      <c r="R5" s="106"/>
      <c r="S5" s="108" t="str">
        <f>IFERROR(VLOOKUP(Table_Shelter[[#This Row],[CampName]],CL,2,0),"")</f>
        <v>MMR001CMP113</v>
      </c>
      <c r="T5" s="108" t="str">
        <f>IFERROR(VLOOKUP(Table_Shelter[[#This Row],[CampName]],CL,3,0),"")</f>
        <v>Open</v>
      </c>
      <c r="U5" s="265">
        <f>IFERROR(Table_Shelter[[#This Row],[HH Covered]]/VLOOKUP(Table_Shelter[[#This Row],[CampName]],CL,4,0),"")</f>
        <v>0</v>
      </c>
      <c r="V5" s="266" t="s">
        <v>1304</v>
      </c>
      <c r="W5" s="108"/>
    </row>
    <row r="6" spans="1:118" ht="16.149999999999999" customHeight="1" x14ac:dyDescent="0.25">
      <c r="A6" s="658">
        <v>42745</v>
      </c>
      <c r="B6" s="173" t="s">
        <v>452</v>
      </c>
      <c r="C6" s="107" t="s">
        <v>1561</v>
      </c>
      <c r="D6" s="176" t="s">
        <v>380</v>
      </c>
      <c r="E6" s="345" t="s">
        <v>27</v>
      </c>
      <c r="F6" s="173" t="s">
        <v>864</v>
      </c>
      <c r="G6" s="107">
        <v>1</v>
      </c>
      <c r="H6" s="109"/>
      <c r="I6" s="109"/>
      <c r="J6" s="109"/>
      <c r="K6" s="109"/>
      <c r="L6" s="175"/>
      <c r="M6" s="175"/>
      <c r="N6" s="175"/>
      <c r="O6" s="175"/>
      <c r="P6" s="108">
        <f>IF(Table_Shelter[[#This Row],[Status]]="Open",IF(V6="NO",Table_Shelter[[#This Row],[HH per Shelter]]*(Table_Shelter[[#This Row],['# of Temporary Shelter Units Built]]+Table_Shelter[[#This Row],['# of Temporary Shelter Under  Construction]]+Table_Shelter[[#This Row],['# of Permanent House Under Construction]]),0),0)</f>
        <v>0</v>
      </c>
      <c r="Q6" s="108">
        <v>31</v>
      </c>
      <c r="R6" s="175"/>
      <c r="S6" s="175" t="str">
        <f>IFERROR(VLOOKUP(Table_Shelter[[#This Row],[CampName]],CL,2,0),"")</f>
        <v>MMR001CMP210</v>
      </c>
      <c r="T6" s="175" t="str">
        <f>IFERROR(VLOOKUP(Table_Shelter[[#This Row],[CampName]],CL,3,0),"")</f>
        <v>Open</v>
      </c>
      <c r="U6" s="265">
        <f>IFERROR(Table_Shelter[[#This Row],[HH Covered]]/VLOOKUP(Table_Shelter[[#This Row],[CampName]],CL,4,0),"")</f>
        <v>0</v>
      </c>
      <c r="V6" s="265" t="s">
        <v>1305</v>
      </c>
      <c r="W6" s="175"/>
    </row>
    <row r="7" spans="1:118" ht="16.149999999999999" customHeight="1" x14ac:dyDescent="0.25">
      <c r="A7" s="658">
        <v>42745</v>
      </c>
      <c r="B7" s="107" t="s">
        <v>452</v>
      </c>
      <c r="C7" s="107" t="s">
        <v>1561</v>
      </c>
      <c r="D7" s="176" t="s">
        <v>380</v>
      </c>
      <c r="E7" s="181" t="s">
        <v>237</v>
      </c>
      <c r="F7" s="173" t="s">
        <v>271</v>
      </c>
      <c r="G7" s="107">
        <v>1</v>
      </c>
      <c r="H7" s="109"/>
      <c r="I7" s="109"/>
      <c r="J7" s="109"/>
      <c r="K7" s="109"/>
      <c r="L7" s="109"/>
      <c r="M7" s="109"/>
      <c r="N7" s="109"/>
      <c r="O7" s="109"/>
      <c r="P7" s="108">
        <f>IF(Table_Shelter[[#This Row],[Status]]="Open",IF(V7="NO",Table_Shelter[[#This Row],[HH per Shelter]]*(Table_Shelter[[#This Row],['# of Temporary Shelter Units Built]]+Table_Shelter[[#This Row],['# of Temporary Shelter Under  Construction]]+Table_Shelter[[#This Row],['# of Permanent House Under Construction]]),0),0)</f>
        <v>0</v>
      </c>
      <c r="Q7" s="108">
        <v>30</v>
      </c>
      <c r="R7" s="108"/>
      <c r="S7" s="108" t="str">
        <f>IFERROR(VLOOKUP(Table_Shelter[[#This Row],[CampName]],CL,2,0),"")</f>
        <v>MMR001CMP024</v>
      </c>
      <c r="T7" s="108" t="str">
        <f>IFERROR(VLOOKUP(Table_Shelter[[#This Row],[CampName]],CL,3,0),"")</f>
        <v>Open</v>
      </c>
      <c r="U7" s="266">
        <f>IFERROR(Table_Shelter[[#This Row],[HH Covered]]/VLOOKUP(Table_Shelter[[#This Row],[CampName]],CL,4,0),"")</f>
        <v>0</v>
      </c>
      <c r="V7" s="266" t="s">
        <v>1305</v>
      </c>
      <c r="W7" s="108"/>
    </row>
    <row r="8" spans="1:118" ht="16.149999999999999" customHeight="1" x14ac:dyDescent="0.25">
      <c r="A8" s="658">
        <v>42745</v>
      </c>
      <c r="B8" s="107" t="s">
        <v>452</v>
      </c>
      <c r="C8" s="107" t="s">
        <v>1561</v>
      </c>
      <c r="D8" s="176" t="s">
        <v>380</v>
      </c>
      <c r="E8" s="181" t="s">
        <v>27</v>
      </c>
      <c r="F8" s="173" t="s">
        <v>1019</v>
      </c>
      <c r="G8" s="107">
        <v>1</v>
      </c>
      <c r="H8" s="109"/>
      <c r="I8" s="109"/>
      <c r="J8" s="109"/>
      <c r="K8" s="109"/>
      <c r="L8" s="109"/>
      <c r="M8" s="109"/>
      <c r="N8" s="109"/>
      <c r="O8" s="109"/>
      <c r="P8" s="108">
        <f>IF(Table_Shelter[[#This Row],[Status]]="Open",IF(V8="NO",Table_Shelter[[#This Row],[HH per Shelter]]*(Table_Shelter[[#This Row],['# of Temporary Shelter Units Built]]+Table_Shelter[[#This Row],['# of Temporary Shelter Under  Construction]]+Table_Shelter[[#This Row],['# of Permanent House Under Construction]]),0),0)</f>
        <v>0</v>
      </c>
      <c r="Q8" s="108">
        <v>10</v>
      </c>
      <c r="R8" s="108"/>
      <c r="S8" s="108" t="str">
        <f>IFERROR(VLOOKUP(Table_Shelter[[#This Row],[CampName]],CL,2,0),"")</f>
        <v>MMR001CMP225</v>
      </c>
      <c r="T8" s="108" t="str">
        <f>IFERROR(VLOOKUP(Table_Shelter[[#This Row],[CampName]],CL,3,0),"")</f>
        <v>Open</v>
      </c>
      <c r="U8" s="266">
        <f>IFERROR(Table_Shelter[[#This Row],[HH Covered]]/VLOOKUP(Table_Shelter[[#This Row],[CampName]],CL,4,0),"")</f>
        <v>0</v>
      </c>
      <c r="V8" s="266" t="s">
        <v>1305</v>
      </c>
      <c r="W8" s="108"/>
    </row>
    <row r="9" spans="1:118" ht="16.149999999999999" customHeight="1" x14ac:dyDescent="0.25">
      <c r="A9" s="658">
        <v>42745</v>
      </c>
      <c r="B9" s="107" t="s">
        <v>938</v>
      </c>
      <c r="C9" s="107" t="s">
        <v>505</v>
      </c>
      <c r="D9" s="180" t="s">
        <v>380</v>
      </c>
      <c r="E9" s="181" t="s">
        <v>237</v>
      </c>
      <c r="F9" s="107" t="s">
        <v>265</v>
      </c>
      <c r="G9" s="107">
        <v>1</v>
      </c>
      <c r="H9" s="109"/>
      <c r="I9" s="109"/>
      <c r="J9" s="109"/>
      <c r="K9" s="109"/>
      <c r="L9" s="109"/>
      <c r="M9" s="109"/>
      <c r="N9" s="109"/>
      <c r="O9" s="109"/>
      <c r="P9" s="108">
        <f>IF(Table_Shelter[[#This Row],[Status]]="Open",IF(V9="NO",Table_Shelter[[#This Row],[HH per Shelter]]*(Table_Shelter[[#This Row],['# of Temporary Shelter Units Built]]+Table_Shelter[[#This Row],['# of Temporary Shelter Under  Construction]]+Table_Shelter[[#This Row],['# of Permanent House Under Construction]]),0),0)</f>
        <v>0</v>
      </c>
      <c r="Q9" s="108">
        <v>10</v>
      </c>
      <c r="R9" s="108"/>
      <c r="S9" s="108" t="str">
        <f>IFERROR(VLOOKUP(Table_Shelter[[#This Row],[CampName]],CL,2,0),"")</f>
        <v>MMR001CMP021</v>
      </c>
      <c r="T9" s="108" t="str">
        <f>IFERROR(VLOOKUP(Table_Shelter[[#This Row],[CampName]],CL,3,0),"")</f>
        <v>Open</v>
      </c>
      <c r="U9" s="266">
        <f>IFERROR(Table_Shelter[[#This Row],[HH Covered]]/VLOOKUP(Table_Shelter[[#This Row],[CampName]],CL,4,0),"")</f>
        <v>0</v>
      </c>
      <c r="V9" s="266" t="s">
        <v>1092</v>
      </c>
      <c r="W9" s="108"/>
    </row>
    <row r="10" spans="1:118" ht="16.149999999999999" customHeight="1" x14ac:dyDescent="0.25">
      <c r="A10" s="658">
        <v>42745</v>
      </c>
      <c r="B10" s="107" t="s">
        <v>938</v>
      </c>
      <c r="C10" s="107" t="s">
        <v>505</v>
      </c>
      <c r="D10" s="180" t="s">
        <v>380</v>
      </c>
      <c r="E10" s="181" t="s">
        <v>310</v>
      </c>
      <c r="F10" s="107" t="s">
        <v>318</v>
      </c>
      <c r="G10" s="107">
        <v>1</v>
      </c>
      <c r="H10" s="109"/>
      <c r="I10" s="109"/>
      <c r="J10" s="109">
        <v>10</v>
      </c>
      <c r="K10" s="109"/>
      <c r="L10" s="109"/>
      <c r="M10" s="109"/>
      <c r="N10" s="109"/>
      <c r="O10" s="109"/>
      <c r="P10" s="108">
        <f>IF(Table_Shelter[[#This Row],[Status]]="Open",IF(V10="NO",Table_Shelter[[#This Row],[HH per Shelter]]*(Table_Shelter[[#This Row],['# of Temporary Shelter Units Built]]+Table_Shelter[[#This Row],['# of Temporary Shelter Under  Construction]]+Table_Shelter[[#This Row],['# of Permanent House Under Construction]]),0),0)</f>
        <v>0</v>
      </c>
      <c r="Q10" s="108">
        <v>20</v>
      </c>
      <c r="R10" s="108"/>
      <c r="S10" s="108" t="str">
        <f>IFERROR(VLOOKUP(Table_Shelter[[#This Row],[CampName]],CL,2,0),"")</f>
        <v>MMR001CMP032</v>
      </c>
      <c r="T10" s="108" t="str">
        <f>IFERROR(VLOOKUP(Table_Shelter[[#This Row],[CampName]],CL,3,0),"")</f>
        <v>Open</v>
      </c>
      <c r="U10" s="266">
        <f>IFERROR(Table_Shelter[[#This Row],[HH Covered]]/VLOOKUP(Table_Shelter[[#This Row],[CampName]],CL,4,0),"")</f>
        <v>0</v>
      </c>
      <c r="V10" s="266" t="s">
        <v>1445</v>
      </c>
      <c r="W10" s="108"/>
    </row>
    <row r="11" spans="1:118" ht="16.149999999999999" customHeight="1" x14ac:dyDescent="0.25">
      <c r="A11" s="658">
        <v>42745</v>
      </c>
      <c r="B11" s="107" t="s">
        <v>938</v>
      </c>
      <c r="C11" s="107" t="s">
        <v>505</v>
      </c>
      <c r="D11" s="180" t="s">
        <v>380</v>
      </c>
      <c r="E11" s="181" t="s">
        <v>27</v>
      </c>
      <c r="F11" s="107" t="s">
        <v>365</v>
      </c>
      <c r="G11" s="107">
        <v>1</v>
      </c>
      <c r="H11" s="109"/>
      <c r="I11" s="109"/>
      <c r="J11" s="109">
        <v>20</v>
      </c>
      <c r="K11" s="109"/>
      <c r="L11" s="109"/>
      <c r="M11" s="109"/>
      <c r="N11" s="109"/>
      <c r="O11" s="109"/>
      <c r="P11" s="108">
        <f>IF(Table_Shelter[[#This Row],[Status]]="Open",IF(V11="NO",Table_Shelter[[#This Row],[HH per Shelter]]*(Table_Shelter[[#This Row],['# of Temporary Shelter Units Built]]+Table_Shelter[[#This Row],['# of Temporary Shelter Under  Construction]]+Table_Shelter[[#This Row],['# of Permanent House Under Construction]]),0),0)</f>
        <v>0</v>
      </c>
      <c r="Q11" s="108">
        <v>20</v>
      </c>
      <c r="R11" s="108"/>
      <c r="S11" s="108" t="str">
        <f>IFERROR(VLOOKUP(Table_Shelter[[#This Row],[CampName]],CL,2,0),"")</f>
        <v>MMR001CMP195</v>
      </c>
      <c r="T11" s="108" t="str">
        <f>IFERROR(VLOOKUP(Table_Shelter[[#This Row],[CampName]],CL,3,0),"")</f>
        <v>Open</v>
      </c>
      <c r="U11" s="266">
        <f>IFERROR(Table_Shelter[[#This Row],[HH Covered]]/VLOOKUP(Table_Shelter[[#This Row],[CampName]],CL,4,0),"")</f>
        <v>0</v>
      </c>
      <c r="V11" s="266" t="s">
        <v>1445</v>
      </c>
      <c r="W11" s="108"/>
    </row>
    <row r="12" spans="1:118" ht="16.149999999999999" customHeight="1" x14ac:dyDescent="0.25">
      <c r="A12" s="658">
        <v>42745</v>
      </c>
      <c r="B12" s="107" t="s">
        <v>938</v>
      </c>
      <c r="C12" s="107" t="s">
        <v>505</v>
      </c>
      <c r="D12" s="180" t="s">
        <v>380</v>
      </c>
      <c r="E12" s="181" t="s">
        <v>27</v>
      </c>
      <c r="F12" s="107" t="s">
        <v>28</v>
      </c>
      <c r="G12" s="107">
        <v>1</v>
      </c>
      <c r="H12" s="109"/>
      <c r="I12" s="109"/>
      <c r="J12" s="109">
        <v>5</v>
      </c>
      <c r="K12" s="109"/>
      <c r="L12" s="109"/>
      <c r="M12" s="109"/>
      <c r="N12" s="109"/>
      <c r="O12" s="109"/>
      <c r="P12" s="108">
        <f>IF(Table_Shelter[[#This Row],[Status]]="Open",IF(V12="NO",Table_Shelter[[#This Row],[HH per Shelter]]*(Table_Shelter[[#This Row],['# of Temporary Shelter Units Built]]+Table_Shelter[[#This Row],['# of Temporary Shelter Under  Construction]]+Table_Shelter[[#This Row],['# of Permanent House Under Construction]]),0),0)</f>
        <v>0</v>
      </c>
      <c r="Q12" s="108">
        <v>30</v>
      </c>
      <c r="R12" s="108"/>
      <c r="S12" s="108" t="str">
        <f>IFERROR(VLOOKUP(Table_Shelter[[#This Row],[CampName]],CL,2,0),"")</f>
        <v>MMR001CMP042</v>
      </c>
      <c r="T12" s="108" t="str">
        <f>IFERROR(VLOOKUP(Table_Shelter[[#This Row],[CampName]],CL,3,0),"")</f>
        <v>Open</v>
      </c>
      <c r="U12" s="266">
        <f>IFERROR(Table_Shelter[[#This Row],[HH Covered]]/VLOOKUP(Table_Shelter[[#This Row],[CampName]],CL,4,0),"")</f>
        <v>0</v>
      </c>
      <c r="V12" s="266" t="s">
        <v>1445</v>
      </c>
      <c r="W12" s="108"/>
    </row>
    <row r="13" spans="1:118" ht="16.149999999999999" customHeight="1" x14ac:dyDescent="0.25">
      <c r="A13" s="658">
        <v>42745</v>
      </c>
      <c r="B13" s="107" t="s">
        <v>938</v>
      </c>
      <c r="C13" s="107" t="s">
        <v>505</v>
      </c>
      <c r="D13" s="180" t="s">
        <v>380</v>
      </c>
      <c r="E13" s="181" t="s">
        <v>527</v>
      </c>
      <c r="F13" s="107" t="s">
        <v>41</v>
      </c>
      <c r="G13" s="107">
        <v>1</v>
      </c>
      <c r="H13" s="109"/>
      <c r="I13" s="109"/>
      <c r="J13" s="109"/>
      <c r="K13" s="109"/>
      <c r="L13" s="109"/>
      <c r="M13" s="109"/>
      <c r="N13" s="109"/>
      <c r="O13" s="109"/>
      <c r="P13" s="108">
        <f>IF(Table_Shelter[[#This Row],[Status]]="Open",IF(V13="NO",Table_Shelter[[#This Row],[HH per Shelter]]*(Table_Shelter[[#This Row],['# of Temporary Shelter Units Built]]+Table_Shelter[[#This Row],['# of Temporary Shelter Under  Construction]]+Table_Shelter[[#This Row],['# of Permanent House Under Construction]]),0),0)</f>
        <v>0</v>
      </c>
      <c r="Q13" s="108">
        <v>20</v>
      </c>
      <c r="R13" s="108"/>
      <c r="S13" s="108" t="str">
        <f>IFERROR(VLOOKUP(Table_Shelter[[#This Row],[CampName]],CL,2,0),"")</f>
        <v>MMR001CMP176</v>
      </c>
      <c r="T13" s="108" t="str">
        <f>IFERROR(VLOOKUP(Table_Shelter[[#This Row],[CampName]],CL,3,0),"")</f>
        <v>Open</v>
      </c>
      <c r="U13" s="266">
        <f>IFERROR(Table_Shelter[[#This Row],[HH Covered]]/VLOOKUP(Table_Shelter[[#This Row],[CampName]],CL,4,0),"")</f>
        <v>0</v>
      </c>
      <c r="V13" s="266" t="s">
        <v>1445</v>
      </c>
      <c r="W13" s="108"/>
    </row>
    <row r="14" spans="1:118" ht="16.149999999999999" customHeight="1" x14ac:dyDescent="0.25">
      <c r="A14" s="658">
        <v>42745</v>
      </c>
      <c r="B14" s="107" t="s">
        <v>938</v>
      </c>
      <c r="C14" s="107" t="s">
        <v>505</v>
      </c>
      <c r="D14" s="180" t="s">
        <v>380</v>
      </c>
      <c r="E14" s="181" t="s">
        <v>527</v>
      </c>
      <c r="F14" s="107" t="s">
        <v>43</v>
      </c>
      <c r="G14" s="107">
        <v>1</v>
      </c>
      <c r="H14" s="109"/>
      <c r="I14" s="109"/>
      <c r="J14" s="109">
        <v>4</v>
      </c>
      <c r="K14" s="109"/>
      <c r="L14" s="109"/>
      <c r="M14" s="109"/>
      <c r="N14" s="109"/>
      <c r="O14" s="109"/>
      <c r="P14" s="108">
        <f>IF(Table_Shelter[[#This Row],[Status]]="Open",IF(V14="NO",Table_Shelter[[#This Row],[HH per Shelter]]*(Table_Shelter[[#This Row],['# of Temporary Shelter Units Built]]+Table_Shelter[[#This Row],['# of Temporary Shelter Under  Construction]]+Table_Shelter[[#This Row],['# of Permanent House Under Construction]]),0),0)</f>
        <v>0</v>
      </c>
      <c r="Q14" s="108"/>
      <c r="R14" s="108"/>
      <c r="S14" s="108" t="str">
        <f>IFERROR(VLOOKUP(Table_Shelter[[#This Row],[CampName]],CL,2,0),"")</f>
        <v>MMR001CMP190</v>
      </c>
      <c r="T14" s="108" t="str">
        <f>IFERROR(VLOOKUP(Table_Shelter[[#This Row],[CampName]],CL,3,0),"")</f>
        <v>Open</v>
      </c>
      <c r="U14" s="266">
        <f>IFERROR(Table_Shelter[[#This Row],[HH Covered]]/VLOOKUP(Table_Shelter[[#This Row],[CampName]],CL,4,0),"")</f>
        <v>0</v>
      </c>
      <c r="V14" s="266" t="s">
        <v>1305</v>
      </c>
      <c r="W14" s="108"/>
    </row>
    <row r="15" spans="1:118" ht="16.149999999999999" customHeight="1" x14ac:dyDescent="0.25">
      <c r="A15" s="658">
        <v>42745</v>
      </c>
      <c r="B15" s="107" t="s">
        <v>938</v>
      </c>
      <c r="C15" s="107" t="s">
        <v>505</v>
      </c>
      <c r="D15" s="180" t="s">
        <v>380</v>
      </c>
      <c r="E15" s="181" t="s">
        <v>527</v>
      </c>
      <c r="F15" s="107" t="s">
        <v>72</v>
      </c>
      <c r="G15" s="107">
        <v>1</v>
      </c>
      <c r="H15" s="109"/>
      <c r="I15" s="109"/>
      <c r="J15" s="109"/>
      <c r="K15" s="109"/>
      <c r="L15" s="109"/>
      <c r="M15" s="109"/>
      <c r="N15" s="109"/>
      <c r="O15" s="109"/>
      <c r="P15" s="108">
        <f>IF(Table_Shelter[[#This Row],[Status]]="Open",IF(V15="NO",Table_Shelter[[#This Row],[HH per Shelter]]*(Table_Shelter[[#This Row],['# of Temporary Shelter Units Built]]+Table_Shelter[[#This Row],['# of Temporary Shelter Under  Construction]]+Table_Shelter[[#This Row],['# of Permanent House Under Construction]]),0),0)</f>
        <v>0</v>
      </c>
      <c r="Q15" s="108">
        <v>5</v>
      </c>
      <c r="R15" s="108"/>
      <c r="S15" s="108" t="str">
        <f>IFERROR(VLOOKUP(Table_Shelter[[#This Row],[CampName]],CL,2,0),"")</f>
        <v>MMR001CMP109</v>
      </c>
      <c r="T15" s="108" t="str">
        <f>IFERROR(VLOOKUP(Table_Shelter[[#This Row],[CampName]],CL,3,0),"")</f>
        <v>Open</v>
      </c>
      <c r="U15" s="266">
        <f>IFERROR(Table_Shelter[[#This Row],[HH Covered]]/VLOOKUP(Table_Shelter[[#This Row],[CampName]],CL,4,0),"")</f>
        <v>0</v>
      </c>
      <c r="V15" s="266" t="s">
        <v>1445</v>
      </c>
      <c r="W15" s="108"/>
    </row>
    <row r="16" spans="1:118" ht="16.149999999999999" customHeight="1" x14ac:dyDescent="0.25">
      <c r="A16" s="658">
        <v>42745</v>
      </c>
      <c r="B16" s="107" t="s">
        <v>938</v>
      </c>
      <c r="C16" s="107" t="s">
        <v>505</v>
      </c>
      <c r="D16" s="180" t="s">
        <v>380</v>
      </c>
      <c r="E16" s="181" t="s">
        <v>527</v>
      </c>
      <c r="F16" s="107" t="s">
        <v>76</v>
      </c>
      <c r="G16" s="107">
        <v>1</v>
      </c>
      <c r="H16" s="109"/>
      <c r="I16" s="109"/>
      <c r="J16" s="109"/>
      <c r="K16" s="109"/>
      <c r="L16" s="109"/>
      <c r="M16" s="109"/>
      <c r="N16" s="109"/>
      <c r="O16" s="109"/>
      <c r="P16" s="108">
        <f>IF(Table_Shelter[[#This Row],[Status]]="Open",IF(V16="NO",Table_Shelter[[#This Row],[HH per Shelter]]*(Table_Shelter[[#This Row],['# of Temporary Shelter Units Built]]+Table_Shelter[[#This Row],['# of Temporary Shelter Under  Construction]]+Table_Shelter[[#This Row],['# of Permanent House Under Construction]]),0),0)</f>
        <v>0</v>
      </c>
      <c r="Q16" s="108">
        <v>20</v>
      </c>
      <c r="R16" s="108"/>
      <c r="S16" s="108" t="str">
        <f>IFERROR(VLOOKUP(Table_Shelter[[#This Row],[CampName]],CL,2,0),"")</f>
        <v>MMR001CMP174</v>
      </c>
      <c r="T16" s="108" t="str">
        <f>IFERROR(VLOOKUP(Table_Shelter[[#This Row],[CampName]],CL,3,0),"")</f>
        <v>Open</v>
      </c>
      <c r="U16" s="266">
        <f>IFERROR(Table_Shelter[[#This Row],[HH Covered]]/VLOOKUP(Table_Shelter[[#This Row],[CampName]],CL,4,0),"")</f>
        <v>0</v>
      </c>
      <c r="V16" s="266" t="s">
        <v>1445</v>
      </c>
      <c r="W16" s="108"/>
    </row>
    <row r="17" spans="1:23" ht="15" customHeight="1" x14ac:dyDescent="0.25">
      <c r="A17" s="658">
        <v>42745</v>
      </c>
      <c r="B17" s="107" t="s">
        <v>938</v>
      </c>
      <c r="C17" s="107" t="s">
        <v>505</v>
      </c>
      <c r="D17" s="180" t="s">
        <v>380</v>
      </c>
      <c r="E17" s="181" t="s">
        <v>527</v>
      </c>
      <c r="F17" s="107" t="s">
        <v>90</v>
      </c>
      <c r="G17" s="107">
        <v>1</v>
      </c>
      <c r="H17" s="109"/>
      <c r="I17" s="109"/>
      <c r="J17" s="109">
        <v>5</v>
      </c>
      <c r="K17" s="109"/>
      <c r="L17" s="109"/>
      <c r="M17" s="109"/>
      <c r="N17" s="109"/>
      <c r="O17" s="109"/>
      <c r="P17" s="108">
        <f>IF(Table_Shelter[[#This Row],[Status]]="Open",IF(V17="NO",Table_Shelter[[#This Row],[HH per Shelter]]*(Table_Shelter[[#This Row],['# of Temporary Shelter Units Built]]+Table_Shelter[[#This Row],['# of Temporary Shelter Under  Construction]]+Table_Shelter[[#This Row],['# of Permanent House Under Construction]]),0),0)</f>
        <v>0</v>
      </c>
      <c r="Q17" s="108"/>
      <c r="R17" s="108"/>
      <c r="S17" s="108" t="str">
        <f>IFERROR(VLOOKUP(Table_Shelter[[#This Row],[CampName]],CL,2,0),"")</f>
        <v>MMR001CMP181</v>
      </c>
      <c r="T17" s="108" t="str">
        <f>IFERROR(VLOOKUP(Table_Shelter[[#This Row],[CampName]],CL,3,0),"")</f>
        <v>Open</v>
      </c>
      <c r="U17" s="266">
        <f>IFERROR(Table_Shelter[[#This Row],[HH Covered]]/VLOOKUP(Table_Shelter[[#This Row],[CampName]],CL,4,0),"")</f>
        <v>0</v>
      </c>
      <c r="V17" s="266" t="s">
        <v>1092</v>
      </c>
      <c r="W17" s="108"/>
    </row>
    <row r="18" spans="1:23" ht="13.9" customHeight="1" x14ac:dyDescent="0.25">
      <c r="A18" s="658">
        <v>42745</v>
      </c>
      <c r="B18" s="107" t="s">
        <v>938</v>
      </c>
      <c r="C18" s="107" t="s">
        <v>505</v>
      </c>
      <c r="D18" s="180" t="s">
        <v>380</v>
      </c>
      <c r="E18" s="181" t="s">
        <v>5</v>
      </c>
      <c r="F18" s="107" t="s">
        <v>18</v>
      </c>
      <c r="G18" s="107">
        <v>1</v>
      </c>
      <c r="H18" s="109"/>
      <c r="I18" s="109"/>
      <c r="J18" s="109">
        <v>5</v>
      </c>
      <c r="K18" s="109"/>
      <c r="L18" s="109"/>
      <c r="M18" s="109"/>
      <c r="N18" s="109"/>
      <c r="O18" s="109"/>
      <c r="P18" s="108">
        <f>IF(Table_Shelter[[#This Row],[Status]]="Open",IF(V18="NO",Table_Shelter[[#This Row],[HH per Shelter]]*(Table_Shelter[[#This Row],['# of Temporary Shelter Units Built]]+Table_Shelter[[#This Row],['# of Temporary Shelter Under  Construction]]+Table_Shelter[[#This Row],['# of Permanent House Under Construction]]),0),0)</f>
        <v>0</v>
      </c>
      <c r="Q18" s="108"/>
      <c r="R18" s="108"/>
      <c r="S18" s="108" t="str">
        <f>IFERROR(VLOOKUP(Table_Shelter[[#This Row],[CampName]],CL,2,0),"")</f>
        <v>MMR001CMP049</v>
      </c>
      <c r="T18" s="108" t="str">
        <f>IFERROR(VLOOKUP(Table_Shelter[[#This Row],[CampName]],CL,3,0),"")</f>
        <v>Open</v>
      </c>
      <c r="U18" s="266">
        <f>IFERROR(Table_Shelter[[#This Row],[HH Covered]]/VLOOKUP(Table_Shelter[[#This Row],[CampName]],CL,4,0),"")</f>
        <v>0</v>
      </c>
      <c r="V18" s="266" t="s">
        <v>1445</v>
      </c>
      <c r="W18" s="108"/>
    </row>
    <row r="19" spans="1:23" ht="14.25" customHeight="1" x14ac:dyDescent="0.25">
      <c r="A19" s="658">
        <v>42664</v>
      </c>
      <c r="B19" s="107" t="s">
        <v>452</v>
      </c>
      <c r="C19" s="107" t="s">
        <v>1451</v>
      </c>
      <c r="D19" s="180" t="s">
        <v>380</v>
      </c>
      <c r="E19" s="181" t="s">
        <v>151</v>
      </c>
      <c r="F19" s="107" t="s">
        <v>198</v>
      </c>
      <c r="G19" s="107">
        <v>1</v>
      </c>
      <c r="H19" s="109"/>
      <c r="I19" s="109"/>
      <c r="J19" s="109">
        <v>40</v>
      </c>
      <c r="K19" s="109"/>
      <c r="L19" s="109">
        <v>40</v>
      </c>
      <c r="M19" s="109"/>
      <c r="N19" s="109"/>
      <c r="O19" s="109"/>
      <c r="P19" s="108">
        <f>IF(Table_Shelter[[#This Row],[Status]]="Open",IF(V19="NO",Table_Shelter[[#This Row],[HH per Shelter]]*(Table_Shelter[[#This Row],['# of Temporary Shelter Units Built]]+Table_Shelter[[#This Row],['# of Temporary Shelter Under  Construction]]+Table_Shelter[[#This Row],['# of Permanent House Under Construction]]),0),0)</f>
        <v>40</v>
      </c>
      <c r="Q19" s="108"/>
      <c r="R19" s="108"/>
      <c r="S19" s="108" t="str">
        <f>IFERROR(VLOOKUP(Table_Shelter[[#This Row],[CampName]],CL,2,0),"")</f>
        <v>MMR001CMP128</v>
      </c>
      <c r="T19" s="175" t="str">
        <f>IFERROR(VLOOKUP(Table_Shelter[[#This Row],[CampName]],CL,3,0),"")</f>
        <v>Open</v>
      </c>
      <c r="U19" s="266">
        <f>IFERROR(Table_Shelter[[#This Row],[HH Covered]]/VLOOKUP(Table_Shelter[[#This Row],[CampName]],CL,4,0),"")</f>
        <v>7.3260073260073263E-2</v>
      </c>
      <c r="V19" s="266" t="s">
        <v>1305</v>
      </c>
      <c r="W19" s="108"/>
    </row>
    <row r="20" spans="1:23" ht="14.25" customHeight="1" x14ac:dyDescent="0.25">
      <c r="A20" s="658">
        <v>42664</v>
      </c>
      <c r="B20" s="107" t="s">
        <v>452</v>
      </c>
      <c r="C20" s="107" t="s">
        <v>1451</v>
      </c>
      <c r="D20" s="180" t="s">
        <v>380</v>
      </c>
      <c r="E20" s="181" t="s">
        <v>151</v>
      </c>
      <c r="F20" s="107" t="s">
        <v>154</v>
      </c>
      <c r="G20" s="107">
        <v>1</v>
      </c>
      <c r="H20" s="109"/>
      <c r="I20" s="109"/>
      <c r="J20" s="109"/>
      <c r="K20" s="109"/>
      <c r="L20" s="109"/>
      <c r="M20" s="109"/>
      <c r="N20" s="109"/>
      <c r="O20" s="109"/>
      <c r="P20" s="108">
        <f>IF(Table_Shelter[[#This Row],[Status]]="Open",IF(V20="NO",Table_Shelter[[#This Row],[HH per Shelter]]*(Table_Shelter[[#This Row],['# of Temporary Shelter Units Built]]+Table_Shelter[[#This Row],['# of Temporary Shelter Under  Construction]]+Table_Shelter[[#This Row],['# of Permanent House Under Construction]]),0),0)</f>
        <v>0</v>
      </c>
      <c r="Q20" s="108">
        <v>30</v>
      </c>
      <c r="R20" s="108"/>
      <c r="S20" s="108" t="str">
        <f>IFERROR(VLOOKUP(Table_Shelter[[#This Row],[CampName]],CL,2,0),"")</f>
        <v>MMR001CMP132</v>
      </c>
      <c r="T20" s="175" t="str">
        <f>IFERROR(VLOOKUP(Table_Shelter[[#This Row],[CampName]],CL,3,0),"")</f>
        <v>Open</v>
      </c>
      <c r="U20" s="266">
        <f>IFERROR(Table_Shelter[[#This Row],[HH Covered]]/VLOOKUP(Table_Shelter[[#This Row],[CampName]],CL,4,0),"")</f>
        <v>0</v>
      </c>
      <c r="V20" s="266" t="s">
        <v>1305</v>
      </c>
      <c r="W20" s="108"/>
    </row>
    <row r="21" spans="1:23" ht="15" customHeight="1" x14ac:dyDescent="0.25">
      <c r="A21" s="658">
        <v>42664</v>
      </c>
      <c r="B21" s="175" t="s">
        <v>452</v>
      </c>
      <c r="C21" s="175" t="s">
        <v>505</v>
      </c>
      <c r="D21" s="175" t="s">
        <v>380</v>
      </c>
      <c r="E21" s="179" t="s">
        <v>27</v>
      </c>
      <c r="F21" s="175" t="s">
        <v>365</v>
      </c>
      <c r="G21" s="107"/>
      <c r="H21" s="109"/>
      <c r="I21" s="109"/>
      <c r="J21" s="109"/>
      <c r="K21" s="109"/>
      <c r="L21" s="175"/>
      <c r="M21" s="175"/>
      <c r="N21" s="175"/>
      <c r="O21" s="175"/>
      <c r="P21" s="108">
        <f>IF(Table_Shelter[[#This Row],[Status]]="Open",IF(V21="NO",Table_Shelter[[#This Row],[HH per Shelter]]*(Table_Shelter[[#This Row],['# of Temporary Shelter Units Built]]+Table_Shelter[[#This Row],['# of Temporary Shelter Under  Construction]]+Table_Shelter[[#This Row],['# of Permanent House Under Construction]]),0),0)</f>
        <v>0</v>
      </c>
      <c r="Q21" s="108">
        <v>30</v>
      </c>
      <c r="R21" s="108"/>
      <c r="S21" s="108" t="str">
        <f>IFERROR(VLOOKUP(Table_Shelter[[#This Row],[CampName]],CL,2,0),"")</f>
        <v>MMR001CMP195</v>
      </c>
      <c r="T21" s="108" t="str">
        <f>IFERROR(VLOOKUP(Table_Shelter[[#This Row],[CampName]],CL,3,0),"")</f>
        <v>Open</v>
      </c>
      <c r="U21" s="266">
        <f>IFERROR(Table_Shelter[[#This Row],[HH Covered]]/VLOOKUP(Table_Shelter[[#This Row],[CampName]],CL,4,0),"")</f>
        <v>0</v>
      </c>
      <c r="V21" s="266" t="s">
        <v>1305</v>
      </c>
      <c r="W21" s="108"/>
    </row>
    <row r="22" spans="1:23" ht="15" customHeight="1" x14ac:dyDescent="0.25">
      <c r="A22" s="658">
        <v>42664</v>
      </c>
      <c r="B22" s="107" t="s">
        <v>452</v>
      </c>
      <c r="C22" s="107" t="s">
        <v>505</v>
      </c>
      <c r="D22" s="180" t="s">
        <v>380</v>
      </c>
      <c r="E22" s="181" t="s">
        <v>237</v>
      </c>
      <c r="F22" s="107" t="s">
        <v>263</v>
      </c>
      <c r="G22" s="107"/>
      <c r="H22" s="109"/>
      <c r="I22" s="109"/>
      <c r="J22" s="109"/>
      <c r="K22" s="109"/>
      <c r="L22" s="109"/>
      <c r="M22" s="109"/>
      <c r="N22" s="109"/>
      <c r="O22" s="109"/>
      <c r="P22" s="108">
        <f>IF(Table_Shelter[[#This Row],[Status]]="Open",IF(V22="NO",Table_Shelter[[#This Row],[HH per Shelter]]*(Table_Shelter[[#This Row],['# of Temporary Shelter Units Built]]+Table_Shelter[[#This Row],['# of Temporary Shelter Under  Construction]]+Table_Shelter[[#This Row],['# of Permanent House Under Construction]]),0),0)</f>
        <v>0</v>
      </c>
      <c r="Q22" s="108">
        <v>10</v>
      </c>
      <c r="R22" s="108"/>
      <c r="S22" s="108" t="str">
        <f>IFERROR(VLOOKUP(Table_Shelter[[#This Row],[CampName]],CL,2,0),"")</f>
        <v>MMR001CMP020</v>
      </c>
      <c r="T22" s="108" t="str">
        <f>IFERROR(VLOOKUP(Table_Shelter[[#This Row],[CampName]],CL,3,0),"")</f>
        <v>Open</v>
      </c>
      <c r="U22" s="266">
        <f>IFERROR(Table_Shelter[[#This Row],[HH Covered]]/VLOOKUP(Table_Shelter[[#This Row],[CampName]],CL,4,0),"")</f>
        <v>0</v>
      </c>
      <c r="V22" s="266" t="s">
        <v>1305</v>
      </c>
      <c r="W22" s="108"/>
    </row>
    <row r="23" spans="1:23" ht="15" customHeight="1" x14ac:dyDescent="0.25">
      <c r="A23" s="589">
        <v>42664</v>
      </c>
      <c r="B23" s="173" t="s">
        <v>452</v>
      </c>
      <c r="C23" s="665" t="s">
        <v>505</v>
      </c>
      <c r="D23" s="180" t="s">
        <v>380</v>
      </c>
      <c r="E23" s="345" t="s">
        <v>27</v>
      </c>
      <c r="F23" s="173" t="s">
        <v>1103</v>
      </c>
      <c r="G23" s="107">
        <v>1</v>
      </c>
      <c r="H23" s="109"/>
      <c r="I23" s="109"/>
      <c r="J23" s="109"/>
      <c r="K23" s="109"/>
      <c r="L23" s="109"/>
      <c r="M23" s="109"/>
      <c r="N23" s="109"/>
      <c r="O23" s="109"/>
      <c r="P23" s="108">
        <f>IF(Table_Shelter[[#This Row],[Status]]="Open",IF(V23="NO",Table_Shelter[[#This Row],[HH per Shelter]]*(Table_Shelter[[#This Row],['# of Temporary Shelter Units Built]]+Table_Shelter[[#This Row],['# of Temporary Shelter Under  Construction]]+Table_Shelter[[#This Row],['# of Permanent House Under Construction]]),0),0)</f>
        <v>0</v>
      </c>
      <c r="Q23" s="108">
        <v>10</v>
      </c>
      <c r="R23" s="108"/>
      <c r="S23" s="108" t="str">
        <f>IFERROR(VLOOKUP(Table_Shelter[[#This Row],[CampName]],CL,2,0),"")</f>
        <v>MMR001CMP042</v>
      </c>
      <c r="T23" s="108" t="str">
        <f>IFERROR(VLOOKUP(Table_Shelter[[#This Row],[CampName]],CL,3,0),"")</f>
        <v>Open</v>
      </c>
      <c r="U23" s="266">
        <f>IFERROR(Table_Shelter[[#This Row],[HH Covered]]/VLOOKUP(Table_Shelter[[#This Row],[CampName]],CL,4,0),"")</f>
        <v>0</v>
      </c>
      <c r="V23" s="266" t="s">
        <v>1092</v>
      </c>
      <c r="W23" s="108"/>
    </row>
    <row r="24" spans="1:23" ht="15" customHeight="1" x14ac:dyDescent="0.25">
      <c r="A24" s="658">
        <v>42622</v>
      </c>
      <c r="B24" s="107" t="s">
        <v>452</v>
      </c>
      <c r="C24" s="107" t="s">
        <v>460</v>
      </c>
      <c r="D24" s="180" t="s">
        <v>380</v>
      </c>
      <c r="E24" s="181" t="s">
        <v>5</v>
      </c>
      <c r="F24" s="107" t="s">
        <v>22</v>
      </c>
      <c r="G24" s="107">
        <v>1</v>
      </c>
      <c r="H24" s="109"/>
      <c r="I24" s="109"/>
      <c r="J24" s="109">
        <v>5</v>
      </c>
      <c r="K24" s="109">
        <v>0</v>
      </c>
      <c r="L24" s="109"/>
      <c r="M24" s="109"/>
      <c r="N24" s="109"/>
      <c r="O24" s="109"/>
      <c r="P24" s="108">
        <f>IF(Table_Shelter[[#This Row],[Status]]="Open",IF(V24="NO",Table_Shelter[[#This Row],[HH per Shelter]]*(Table_Shelter[[#This Row],['# of Temporary Shelter Units Built]]+Table_Shelter[[#This Row],['# of Temporary Shelter Under  Construction]]+Table_Shelter[[#This Row],['# of Permanent House Under Construction]]),0),0)</f>
        <v>0</v>
      </c>
      <c r="Q24" s="108"/>
      <c r="R24" s="108"/>
      <c r="S24" s="108" t="str">
        <f>IFERROR(VLOOKUP(Table_Shelter[[#This Row],[CampName]],CL,2,0),"")</f>
        <v>MMR001CMP047</v>
      </c>
      <c r="T24" s="175" t="str">
        <f>IFERROR(VLOOKUP(Table_Shelter[[#This Row],[CampName]],CL,3,0),"")</f>
        <v>Open</v>
      </c>
      <c r="U24" s="266">
        <f>IFERROR(Table_Shelter[[#This Row],[HH Covered]]/VLOOKUP(Table_Shelter[[#This Row],[CampName]],CL,4,0),"")</f>
        <v>0</v>
      </c>
      <c r="V24" s="266" t="s">
        <v>1445</v>
      </c>
      <c r="W24" s="108"/>
    </row>
    <row r="25" spans="1:23" ht="15" customHeight="1" x14ac:dyDescent="0.25">
      <c r="A25" s="658">
        <v>42622</v>
      </c>
      <c r="B25" s="107" t="s">
        <v>452</v>
      </c>
      <c r="C25" s="107" t="s">
        <v>460</v>
      </c>
      <c r="D25" s="180" t="s">
        <v>380</v>
      </c>
      <c r="E25" s="181" t="s">
        <v>185</v>
      </c>
      <c r="F25" s="107" t="s">
        <v>190</v>
      </c>
      <c r="G25" s="107">
        <v>1</v>
      </c>
      <c r="H25" s="109"/>
      <c r="I25" s="109"/>
      <c r="J25" s="109">
        <v>10</v>
      </c>
      <c r="K25" s="109"/>
      <c r="L25" s="109"/>
      <c r="M25" s="109"/>
      <c r="N25" s="109"/>
      <c r="O25" s="109"/>
      <c r="P25" s="108">
        <f>IF(Table_Shelter[[#This Row],[Status]]="Open",IF(V25="NO",Table_Shelter[[#This Row],[HH per Shelter]]*(Table_Shelter[[#This Row],['# of Temporary Shelter Units Built]]+Table_Shelter[[#This Row],['# of Temporary Shelter Under  Construction]]+Table_Shelter[[#This Row],['# of Permanent House Under Construction]]),0),0)</f>
        <v>0</v>
      </c>
      <c r="Q25" s="108"/>
      <c r="R25" s="108"/>
      <c r="S25" s="108" t="str">
        <f>IFERROR(VLOOKUP(Table_Shelter[[#This Row],[CampName]],CL,2,0),"")</f>
        <v>MMR001CMP070</v>
      </c>
      <c r="T25" s="175" t="str">
        <f>IFERROR(VLOOKUP(Table_Shelter[[#This Row],[CampName]],CL,3,0),"")</f>
        <v>Open</v>
      </c>
      <c r="U25" s="266">
        <f>IFERROR(Table_Shelter[[#This Row],[HH Covered]]/VLOOKUP(Table_Shelter[[#This Row],[CampName]],CL,4,0),"")</f>
        <v>0</v>
      </c>
      <c r="V25" s="266" t="s">
        <v>1445</v>
      </c>
      <c r="W25" s="108"/>
    </row>
    <row r="26" spans="1:23" ht="15" customHeight="1" x14ac:dyDescent="0.25">
      <c r="A26" s="658">
        <v>42622</v>
      </c>
      <c r="B26" s="107" t="s">
        <v>452</v>
      </c>
      <c r="C26" s="107" t="s">
        <v>460</v>
      </c>
      <c r="D26" s="180" t="s">
        <v>380</v>
      </c>
      <c r="E26" s="181" t="s">
        <v>185</v>
      </c>
      <c r="F26" s="107" t="s">
        <v>229</v>
      </c>
      <c r="G26" s="107">
        <v>1</v>
      </c>
      <c r="H26" s="109"/>
      <c r="I26" s="109"/>
      <c r="J26" s="109"/>
      <c r="K26" s="109"/>
      <c r="L26" s="109"/>
      <c r="M26" s="109"/>
      <c r="N26" s="109"/>
      <c r="O26" s="109"/>
      <c r="P26" s="108">
        <f>IF(Table_Shelter[[#This Row],[Status]]="Open",IF(V26="NO",Table_Shelter[[#This Row],[HH per Shelter]]*(Table_Shelter[[#This Row],['# of Temporary Shelter Units Built]]+Table_Shelter[[#This Row],['# of Temporary Shelter Under  Construction]]+Table_Shelter[[#This Row],['# of Permanent House Under Construction]]),0),0)</f>
        <v>0</v>
      </c>
      <c r="Q26" s="108">
        <v>45</v>
      </c>
      <c r="R26" s="108">
        <v>0</v>
      </c>
      <c r="S26" s="108" t="str">
        <f>IFERROR(VLOOKUP(Table_Shelter[[#This Row],[CampName]],CL,2,0),"")</f>
        <v>MMR001CMP072</v>
      </c>
      <c r="T26" s="175" t="str">
        <f>IFERROR(VLOOKUP(Table_Shelter[[#This Row],[CampName]],CL,3,0),"")</f>
        <v>Open</v>
      </c>
      <c r="U26" s="266">
        <f>IFERROR(Table_Shelter[[#This Row],[HH Covered]]/VLOOKUP(Table_Shelter[[#This Row],[CampName]],CL,4,0),"")</f>
        <v>0</v>
      </c>
      <c r="V26" s="266" t="s">
        <v>1445</v>
      </c>
      <c r="W26" s="108"/>
    </row>
    <row r="27" spans="1:23" ht="15" customHeight="1" x14ac:dyDescent="0.25">
      <c r="A27" s="658">
        <v>42622</v>
      </c>
      <c r="B27" s="107" t="s">
        <v>453</v>
      </c>
      <c r="C27" s="107" t="s">
        <v>460</v>
      </c>
      <c r="D27" s="180" t="s">
        <v>380</v>
      </c>
      <c r="E27" s="181" t="s">
        <v>185</v>
      </c>
      <c r="F27" s="107" t="s">
        <v>225</v>
      </c>
      <c r="G27" s="107">
        <v>1</v>
      </c>
      <c r="H27" s="109"/>
      <c r="I27" s="109"/>
      <c r="J27" s="109">
        <v>41</v>
      </c>
      <c r="K27" s="109"/>
      <c r="L27" s="109"/>
      <c r="M27" s="109"/>
      <c r="N27" s="109"/>
      <c r="O27" s="109"/>
      <c r="P27" s="108">
        <f>IF(Table_Shelter[[#This Row],[Status]]="Open",IF(V27="NO",Table_Shelter[[#This Row],[HH per Shelter]]*(Table_Shelter[[#This Row],['# of Temporary Shelter Units Built]]+Table_Shelter[[#This Row],['# of Temporary Shelter Under  Construction]]+Table_Shelter[[#This Row],['# of Permanent House Under Construction]]),0),0)</f>
        <v>0</v>
      </c>
      <c r="Q27" s="108"/>
      <c r="R27" s="108"/>
      <c r="S27" s="108" t="str">
        <f>IFERROR(VLOOKUP(Table_Shelter[[#This Row],[CampName]],CL,2,0),"")</f>
        <v>MMR001CMP073</v>
      </c>
      <c r="T27" s="175" t="str">
        <f>IFERROR(VLOOKUP(Table_Shelter[[#This Row],[CampName]],CL,3,0),"")</f>
        <v>Open</v>
      </c>
      <c r="U27" s="266">
        <f>IFERROR(Table_Shelter[[#This Row],[HH Covered]]/VLOOKUP(Table_Shelter[[#This Row],[CampName]],CL,4,0),"")</f>
        <v>0</v>
      </c>
      <c r="V27" s="266" t="s">
        <v>1445</v>
      </c>
      <c r="W27" s="108" t="s">
        <v>1446</v>
      </c>
    </row>
    <row r="28" spans="1:23" ht="15" customHeight="1" x14ac:dyDescent="0.25">
      <c r="A28" s="658">
        <v>42614</v>
      </c>
      <c r="B28" s="107" t="s">
        <v>452</v>
      </c>
      <c r="C28" s="107" t="s">
        <v>1262</v>
      </c>
      <c r="D28" s="180" t="s">
        <v>553</v>
      </c>
      <c r="E28" s="181" t="s">
        <v>146</v>
      </c>
      <c r="F28" s="107" t="s">
        <v>1102</v>
      </c>
      <c r="G28" s="107">
        <v>1</v>
      </c>
      <c r="H28" s="109">
        <v>30</v>
      </c>
      <c r="I28" s="109"/>
      <c r="J28" s="109"/>
      <c r="K28" s="109"/>
      <c r="L28" s="109"/>
      <c r="M28" s="109"/>
      <c r="N28" s="109"/>
      <c r="O28" s="109"/>
      <c r="P28" s="108">
        <f>IF(Table_Shelter[[#This Row],[Status]]="Open",IF(V28="NO",Table_Shelter[[#This Row],[HH per Shelter]]*(Table_Shelter[[#This Row],['# of Temporary Shelter Units Built]]+Table_Shelter[[#This Row],['# of Temporary Shelter Under  Construction]]+Table_Shelter[[#This Row],['# of Permanent House Under Construction]]),0),0)</f>
        <v>0</v>
      </c>
      <c r="Q28" s="108"/>
      <c r="R28" s="108"/>
      <c r="S28" s="108" t="str">
        <f>IFERROR(VLOOKUP(Table_Shelter[[#This Row],[CampName]],CL,2,0),"")</f>
        <v>MMR015CMP217</v>
      </c>
      <c r="T28" s="175" t="str">
        <f>IFERROR(VLOOKUP(Table_Shelter[[#This Row],[CampName]],CL,3,0),"")</f>
        <v>Open</v>
      </c>
      <c r="U28" s="266">
        <f>IFERROR(Table_Shelter[[#This Row],[HH Covered]]/VLOOKUP(Table_Shelter[[#This Row],[CampName]],CL,4,0),"")</f>
        <v>0</v>
      </c>
      <c r="V28" s="266" t="s">
        <v>1305</v>
      </c>
      <c r="W28" s="108"/>
    </row>
    <row r="29" spans="1:23" ht="15" customHeight="1" x14ac:dyDescent="0.25">
      <c r="A29" s="658">
        <v>42614</v>
      </c>
      <c r="B29" s="107" t="s">
        <v>452</v>
      </c>
      <c r="C29" s="107" t="s">
        <v>1262</v>
      </c>
      <c r="D29" s="180" t="s">
        <v>553</v>
      </c>
      <c r="E29" s="181" t="s">
        <v>289</v>
      </c>
      <c r="F29" s="107" t="s">
        <v>374</v>
      </c>
      <c r="G29" s="107">
        <v>1</v>
      </c>
      <c r="H29" s="109">
        <v>20</v>
      </c>
      <c r="I29" s="109"/>
      <c r="J29" s="109"/>
      <c r="K29" s="109"/>
      <c r="L29" s="109"/>
      <c r="M29" s="109"/>
      <c r="N29" s="109"/>
      <c r="O29" s="109"/>
      <c r="P29" s="108">
        <f>IF(Table_Shelter[[#This Row],[Status]]="Open",IF(V29="NO",Table_Shelter[[#This Row],[HH per Shelter]]*(Table_Shelter[[#This Row],['# of Temporary Shelter Units Built]]+Table_Shelter[[#This Row],['# of Temporary Shelter Under  Construction]]+Table_Shelter[[#This Row],['# of Permanent House Under Construction]]),0),0)</f>
        <v>0</v>
      </c>
      <c r="Q29" s="108"/>
      <c r="R29" s="108"/>
      <c r="S29" s="108" t="str">
        <f>IFERROR(VLOOKUP(Table_Shelter[[#This Row],[CampName]],CL,2,0),"")</f>
        <v>MMR015CMP003</v>
      </c>
      <c r="T29" s="175" t="str">
        <f>IFERROR(VLOOKUP(Table_Shelter[[#This Row],[CampName]],CL,3,0),"")</f>
        <v>Open</v>
      </c>
      <c r="U29" s="266">
        <f>IFERROR(Table_Shelter[[#This Row],[HH Covered]]/VLOOKUP(Table_Shelter[[#This Row],[CampName]],CL,4,0),"")</f>
        <v>0</v>
      </c>
      <c r="V29" s="266" t="s">
        <v>1305</v>
      </c>
      <c r="W29" s="108"/>
    </row>
    <row r="30" spans="1:23" ht="15" customHeight="1" x14ac:dyDescent="0.25">
      <c r="A30" s="589">
        <v>42571</v>
      </c>
      <c r="B30" s="173" t="s">
        <v>452</v>
      </c>
      <c r="C30" s="173" t="s">
        <v>505</v>
      </c>
      <c r="D30" s="173" t="s">
        <v>380</v>
      </c>
      <c r="E30" s="345" t="s">
        <v>27</v>
      </c>
      <c r="F30" s="173" t="s">
        <v>1103</v>
      </c>
      <c r="G30" s="107"/>
      <c r="H30" s="107"/>
      <c r="I30" s="107"/>
      <c r="J30" s="107"/>
      <c r="K30" s="107"/>
      <c r="L30" s="173"/>
      <c r="M30" s="173"/>
      <c r="N30" s="173"/>
      <c r="O30" s="173"/>
      <c r="P30" s="108">
        <f>IF(Table_Shelter[[#This Row],[Status]]="Open",IF(V30="NO",Table_Shelter[[#This Row],[HH per Shelter]]*(Table_Shelter[[#This Row],['# of Temporary Shelter Units Built]]+Table_Shelter[[#This Row],['# of Temporary Shelter Under  Construction]]+Table_Shelter[[#This Row],['# of Permanent House Under Construction]]),0),0)</f>
        <v>0</v>
      </c>
      <c r="Q30" s="106">
        <v>10</v>
      </c>
      <c r="R30" s="106"/>
      <c r="S30" s="108" t="str">
        <f>IFERROR(VLOOKUP(Table_Shelter[[#This Row],[CampName]],CL,2,0),"")</f>
        <v>MMR001CMP042</v>
      </c>
      <c r="T30" s="108" t="str">
        <f>IFERROR(VLOOKUP(Table_Shelter[[#This Row],[CampName]],CL,3,0),"")</f>
        <v>Open</v>
      </c>
      <c r="U30" s="265">
        <f>IFERROR(Table_Shelter[[#This Row],[HH Covered]]/VLOOKUP(Table_Shelter[[#This Row],[CampName]],CL,4,0),"")</f>
        <v>0</v>
      </c>
      <c r="V30" s="266" t="s">
        <v>1305</v>
      </c>
      <c r="W30" s="108"/>
    </row>
    <row r="31" spans="1:23" ht="15" customHeight="1" x14ac:dyDescent="0.25">
      <c r="A31" s="590">
        <v>42569</v>
      </c>
      <c r="B31" s="583" t="s">
        <v>569</v>
      </c>
      <c r="C31" s="492" t="s">
        <v>460</v>
      </c>
      <c r="D31" s="493" t="s">
        <v>380</v>
      </c>
      <c r="E31" s="345" t="s">
        <v>310</v>
      </c>
      <c r="F31" s="491" t="s">
        <v>336</v>
      </c>
      <c r="G31" s="491">
        <v>1</v>
      </c>
      <c r="H31" s="492"/>
      <c r="I31" s="492"/>
      <c r="J31" s="492"/>
      <c r="K31" s="492"/>
      <c r="L31" s="492"/>
      <c r="M31" s="492"/>
      <c r="N31" s="492"/>
      <c r="O31" s="492"/>
      <c r="P31" s="494">
        <f>IF(Table_Shelter[[#This Row],[Status]]="Open",IF(V31="NO",Table_Shelter[[#This Row],[HH per Shelter]]*(Table_Shelter[[#This Row],['# of Temporary Shelter Units Built]]+Table_Shelter[[#This Row],['# of Temporary Shelter Under  Construction]]+Table_Shelter[[#This Row],['# of Permanent House Under Construction]]),0),0)</f>
        <v>0</v>
      </c>
      <c r="Q31" s="494">
        <v>18</v>
      </c>
      <c r="R31" s="494">
        <v>18</v>
      </c>
      <c r="S31" s="495" t="str">
        <f>IFERROR(VLOOKUP(Table_Shelter[[#This Row],[CampName]],CL,2,0),"")</f>
        <v>MMR001CMP115</v>
      </c>
      <c r="T31" s="496" t="str">
        <f>IFERROR(VLOOKUP(Table_Shelter[[#This Row],[CampName]],CL,3,0),"")</f>
        <v>Open</v>
      </c>
      <c r="U31" s="497">
        <f>IFERROR(Table_Shelter[[#This Row],[HH Covered]]/VLOOKUP(Table_Shelter[[#This Row],[CampName]],CL,4,0),"")</f>
        <v>0</v>
      </c>
      <c r="V31" s="266" t="s">
        <v>1305</v>
      </c>
      <c r="W31" s="494"/>
    </row>
    <row r="32" spans="1:23" ht="15" customHeight="1" x14ac:dyDescent="0.25">
      <c r="A32" s="591">
        <v>42569</v>
      </c>
      <c r="B32" s="583" t="s">
        <v>569</v>
      </c>
      <c r="C32" s="492" t="s">
        <v>460</v>
      </c>
      <c r="D32" s="493" t="s">
        <v>380</v>
      </c>
      <c r="E32" s="345" t="s">
        <v>27</v>
      </c>
      <c r="F32" s="491" t="s">
        <v>364</v>
      </c>
      <c r="G32" s="491">
        <v>1</v>
      </c>
      <c r="H32" s="492"/>
      <c r="I32" s="492"/>
      <c r="J32" s="492"/>
      <c r="K32" s="492"/>
      <c r="L32" s="492"/>
      <c r="M32" s="492"/>
      <c r="N32" s="492"/>
      <c r="O32" s="492"/>
      <c r="P32" s="494">
        <f>IF(Table_Shelter[[#This Row],[Status]]="Open",IF(V32="NO",Table_Shelter[[#This Row],[HH per Shelter]]*(Table_Shelter[[#This Row],['# of Temporary Shelter Units Built]]+Table_Shelter[[#This Row],['# of Temporary Shelter Under  Construction]]+Table_Shelter[[#This Row],['# of Permanent House Under Construction]]),0),0)</f>
        <v>0</v>
      </c>
      <c r="Q32" s="494">
        <v>51</v>
      </c>
      <c r="R32" s="494">
        <v>51</v>
      </c>
      <c r="S32" s="495" t="str">
        <f>IFERROR(VLOOKUP(Table_Shelter[[#This Row],[CampName]],CL,2,0),"")</f>
        <v>MMR001CMP043</v>
      </c>
      <c r="T32" s="496" t="str">
        <f>IFERROR(VLOOKUP(Table_Shelter[[#This Row],[CampName]],CL,3,0),"")</f>
        <v>Open</v>
      </c>
      <c r="U32" s="497">
        <f>IFERROR(Table_Shelter[[#This Row],[HH Covered]]/VLOOKUP(Table_Shelter[[#This Row],[CampName]],CL,4,0),"")</f>
        <v>0</v>
      </c>
      <c r="V32" s="266" t="s">
        <v>1305</v>
      </c>
      <c r="W32" s="494"/>
    </row>
    <row r="33" spans="1:118" ht="15" customHeight="1" x14ac:dyDescent="0.25">
      <c r="A33" s="595">
        <v>42569</v>
      </c>
      <c r="B33" s="575" t="s">
        <v>569</v>
      </c>
      <c r="C33" s="575" t="s">
        <v>460</v>
      </c>
      <c r="D33" s="576" t="s">
        <v>380</v>
      </c>
      <c r="E33" s="577" t="s">
        <v>310</v>
      </c>
      <c r="F33" s="575" t="s">
        <v>1243</v>
      </c>
      <c r="G33" s="578">
        <v>1</v>
      </c>
      <c r="H33" s="579"/>
      <c r="I33" s="579"/>
      <c r="J33" s="579"/>
      <c r="K33" s="579"/>
      <c r="L33" s="580"/>
      <c r="M33" s="580"/>
      <c r="N33" s="580"/>
      <c r="O33" s="580"/>
      <c r="P33" s="581">
        <f>IF(Table_Shelter[[#This Row],[Status]]="Open",IF(V33="NO",Table_Shelter[[#This Row],[HH per Shelter]]*(Table_Shelter[[#This Row],['# of Temporary Shelter Units Built]]+Table_Shelter[[#This Row],['# of Temporary Shelter Under  Construction]]+Table_Shelter[[#This Row],['# of Permanent House Under Construction]]),0),0)</f>
        <v>0</v>
      </c>
      <c r="Q33" s="581">
        <v>32</v>
      </c>
      <c r="R33" s="581">
        <v>32</v>
      </c>
      <c r="S33" s="581" t="str">
        <f>IFERROR(VLOOKUP(Table_Shelter[[#This Row],[CampName]],CL,2,0),"")</f>
        <v>MMR001CMP120</v>
      </c>
      <c r="T33" s="581" t="str">
        <f>IFERROR(VLOOKUP(Table_Shelter[[#This Row],[CampName]],CL,3,0),"")</f>
        <v>Open</v>
      </c>
      <c r="U33" s="582">
        <f>IFERROR(Table_Shelter[[#This Row],[HH Covered]]/VLOOKUP(Table_Shelter[[#This Row],[CampName]],CL,4,0),"")</f>
        <v>0</v>
      </c>
      <c r="V33" s="265" t="s">
        <v>1305</v>
      </c>
      <c r="W33" s="581"/>
    </row>
    <row r="34" spans="1:118" ht="15" customHeight="1" x14ac:dyDescent="0.25">
      <c r="A34" s="658">
        <v>42569</v>
      </c>
      <c r="B34" s="173" t="s">
        <v>452</v>
      </c>
      <c r="C34" s="173" t="s">
        <v>460</v>
      </c>
      <c r="D34" s="176" t="s">
        <v>380</v>
      </c>
      <c r="E34" s="345" t="s">
        <v>5</v>
      </c>
      <c r="F34" s="173" t="s">
        <v>22</v>
      </c>
      <c r="G34" s="107">
        <v>1</v>
      </c>
      <c r="H34" s="109"/>
      <c r="I34" s="109"/>
      <c r="J34" s="109"/>
      <c r="K34" s="109"/>
      <c r="L34" s="175"/>
      <c r="M34" s="175"/>
      <c r="N34" s="175"/>
      <c r="O34" s="175"/>
      <c r="P34" s="108">
        <f>IF(Table_Shelter[[#This Row],[Status]]="Open",IF(V34="NO",Table_Shelter[[#This Row],[HH per Shelter]]*(Table_Shelter[[#This Row],['# of Temporary Shelter Units Built]]+Table_Shelter[[#This Row],['# of Temporary Shelter Under  Construction]]+Table_Shelter[[#This Row],['# of Permanent House Under Construction]]),0),0)</f>
        <v>0</v>
      </c>
      <c r="Q34" s="108">
        <v>20</v>
      </c>
      <c r="R34" s="108">
        <v>30</v>
      </c>
      <c r="S34" s="175" t="str">
        <f>IFERROR(VLOOKUP(Table_Shelter[[#This Row],[CampName]],CL,2,0),"")</f>
        <v>MMR001CMP047</v>
      </c>
      <c r="T34" s="175" t="str">
        <f>IFERROR(VLOOKUP(Table_Shelter[[#This Row],[CampName]],CL,3,0),"")</f>
        <v>Open</v>
      </c>
      <c r="U34" s="265">
        <f>IFERROR(Table_Shelter[[#This Row],[HH Covered]]/VLOOKUP(Table_Shelter[[#This Row],[CampName]],CL,4,0),"")</f>
        <v>0</v>
      </c>
      <c r="V34" s="265" t="s">
        <v>1305</v>
      </c>
      <c r="W34" s="175"/>
    </row>
    <row r="35" spans="1:118" ht="15" customHeight="1" x14ac:dyDescent="0.25">
      <c r="A35" s="591">
        <v>42569</v>
      </c>
      <c r="B35" s="583" t="s">
        <v>569</v>
      </c>
      <c r="C35" s="492" t="s">
        <v>460</v>
      </c>
      <c r="D35" s="493" t="s">
        <v>380</v>
      </c>
      <c r="E35" s="345" t="s">
        <v>310</v>
      </c>
      <c r="F35" s="491" t="s">
        <v>347</v>
      </c>
      <c r="G35" s="491">
        <v>1</v>
      </c>
      <c r="H35" s="492"/>
      <c r="I35" s="492"/>
      <c r="J35" s="492"/>
      <c r="K35" s="492"/>
      <c r="L35" s="492"/>
      <c r="M35" s="492"/>
      <c r="N35" s="492"/>
      <c r="O35" s="492"/>
      <c r="P35" s="494">
        <f>IF(Table_Shelter[[#This Row],[Status]]="Open",IF(V35="NO",Table_Shelter[[#This Row],[HH per Shelter]]*(Table_Shelter[[#This Row],['# of Temporary Shelter Units Built]]+Table_Shelter[[#This Row],['# of Temporary Shelter Under  Construction]]+Table_Shelter[[#This Row],['# of Permanent House Under Construction]]),0),0)</f>
        <v>0</v>
      </c>
      <c r="Q35" s="494">
        <v>5</v>
      </c>
      <c r="R35" s="494">
        <v>5</v>
      </c>
      <c r="S35" s="495" t="str">
        <f>IFERROR(VLOOKUP(Table_Shelter[[#This Row],[CampName]],CL,2,0),"")</f>
        <v>MMR001CMP041</v>
      </c>
      <c r="T35" s="496" t="str">
        <f>IFERROR(VLOOKUP(Table_Shelter[[#This Row],[CampName]],CL,3,0),"")</f>
        <v>Open</v>
      </c>
      <c r="U35" s="497">
        <f>IFERROR(Table_Shelter[[#This Row],[HH Covered]]/VLOOKUP(Table_Shelter[[#This Row],[CampName]],CL,4,0),"")</f>
        <v>0</v>
      </c>
      <c r="V35" s="266" t="s">
        <v>1305</v>
      </c>
      <c r="W35" s="494"/>
    </row>
    <row r="36" spans="1:118" ht="15" customHeight="1" x14ac:dyDescent="0.25">
      <c r="A36" s="595">
        <v>42569</v>
      </c>
      <c r="B36" s="575" t="s">
        <v>569</v>
      </c>
      <c r="C36" s="575" t="s">
        <v>460</v>
      </c>
      <c r="D36" s="576" t="s">
        <v>380</v>
      </c>
      <c r="E36" s="577" t="s">
        <v>310</v>
      </c>
      <c r="F36" s="575" t="s">
        <v>1245</v>
      </c>
      <c r="G36" s="578">
        <v>1</v>
      </c>
      <c r="H36" s="579"/>
      <c r="I36" s="579"/>
      <c r="J36" s="579"/>
      <c r="K36" s="579"/>
      <c r="L36" s="580"/>
      <c r="M36" s="580"/>
      <c r="N36" s="580"/>
      <c r="O36" s="580"/>
      <c r="P36" s="581">
        <f>IF(Table_Shelter[[#This Row],[Status]]="Open",IF(V36="NO",Table_Shelter[[#This Row],[HH per Shelter]]*(Table_Shelter[[#This Row],['# of Temporary Shelter Units Built]]+Table_Shelter[[#This Row],['# of Temporary Shelter Under  Construction]]+Table_Shelter[[#This Row],['# of Permanent House Under Construction]]),0),0)</f>
        <v>0</v>
      </c>
      <c r="Q36" s="581">
        <v>40</v>
      </c>
      <c r="R36" s="581">
        <v>40</v>
      </c>
      <c r="S36" s="581" t="str">
        <f>IFERROR(VLOOKUP(Table_Shelter[[#This Row],[CampName]],CL,2,0),"")</f>
        <v>MMR001CMP111</v>
      </c>
      <c r="T36" s="581" t="str">
        <f>IFERROR(VLOOKUP(Table_Shelter[[#This Row],[CampName]],CL,3,0),"")</f>
        <v>Open</v>
      </c>
      <c r="U36" s="582">
        <f>IFERROR(Table_Shelter[[#This Row],[HH Covered]]/VLOOKUP(Table_Shelter[[#This Row],[CampName]],CL,4,0),"")</f>
        <v>0</v>
      </c>
      <c r="V36" s="266" t="s">
        <v>1305</v>
      </c>
      <c r="W36" s="581"/>
    </row>
    <row r="37" spans="1:118" ht="15" customHeight="1" x14ac:dyDescent="0.25">
      <c r="A37" s="589">
        <v>42565</v>
      </c>
      <c r="B37" s="173" t="s">
        <v>452</v>
      </c>
      <c r="C37" s="173" t="s">
        <v>506</v>
      </c>
      <c r="D37" s="180" t="s">
        <v>380</v>
      </c>
      <c r="E37" s="345" t="s">
        <v>185</v>
      </c>
      <c r="F37" s="173" t="s">
        <v>192</v>
      </c>
      <c r="G37" s="107">
        <v>1</v>
      </c>
      <c r="H37" s="107"/>
      <c r="I37" s="107"/>
      <c r="J37" s="107">
        <v>42</v>
      </c>
      <c r="K37" s="107">
        <v>42</v>
      </c>
      <c r="L37" s="106"/>
      <c r="M37" s="173"/>
      <c r="N37" s="173"/>
      <c r="O37" s="173"/>
      <c r="P37" s="149">
        <f>IF(Table_Shelter[[#This Row],[Status]]="Open",IF(V37="NO",Table_Shelter[[#This Row],[HH per Shelter]]*(Table_Shelter[[#This Row],['# of Temporary Shelter Units Built]]+Table_Shelter[[#This Row],['# of Temporary Shelter Under  Construction]]+Table_Shelter[[#This Row],['# of Permanent House Under Construction]]),0),0)</f>
        <v>0</v>
      </c>
      <c r="Q37" s="106"/>
      <c r="R37" s="106"/>
      <c r="S37" s="108" t="str">
        <f>IFERROR(VLOOKUP(Table_Shelter[[#This Row],[CampName]],CL,2,0),"")</f>
        <v>MMR001CMP123</v>
      </c>
      <c r="T37" s="108" t="str">
        <f>IFERROR(VLOOKUP(Table_Shelter[[#This Row],[CampName]],CL,3,0),"")</f>
        <v>Open</v>
      </c>
      <c r="U37" s="265">
        <f>IFERROR(Table_Shelter[[#This Row],[HH Covered]]/VLOOKUP(Table_Shelter[[#This Row],[CampName]],CL,4,0),"")</f>
        <v>0</v>
      </c>
      <c r="V37" s="266" t="s">
        <v>1304</v>
      </c>
      <c r="W37" s="108" t="s">
        <v>1397</v>
      </c>
    </row>
    <row r="38" spans="1:118" ht="15" customHeight="1" x14ac:dyDescent="0.25">
      <c r="A38" s="591">
        <v>42502</v>
      </c>
      <c r="B38" s="491" t="s">
        <v>452</v>
      </c>
      <c r="C38" s="492" t="s">
        <v>460</v>
      </c>
      <c r="D38" s="493" t="s">
        <v>380</v>
      </c>
      <c r="E38" s="345" t="s">
        <v>237</v>
      </c>
      <c r="F38" s="491" t="s">
        <v>253</v>
      </c>
      <c r="G38" s="491">
        <v>1</v>
      </c>
      <c r="H38" s="492"/>
      <c r="I38" s="492"/>
      <c r="J38" s="492"/>
      <c r="K38" s="492"/>
      <c r="L38" s="492"/>
      <c r="M38" s="492"/>
      <c r="N38" s="492"/>
      <c r="O38" s="492"/>
      <c r="P38" s="494">
        <f>IF(Table_Shelter[[#This Row],[Status]]="Open",IF(V38="NO",Table_Shelter[[#This Row],[HH per Shelter]]*(Table_Shelter[[#This Row],['# of Temporary Shelter Units Built]]+Table_Shelter[[#This Row],['# of Temporary Shelter Under  Construction]]+Table_Shelter[[#This Row],['# of Permanent House Under Construction]]),0),0)</f>
        <v>0</v>
      </c>
      <c r="Q38" s="494">
        <v>10</v>
      </c>
      <c r="R38" s="494"/>
      <c r="S38" s="495" t="str">
        <f>IFERROR(VLOOKUP(Table_Shelter[[#This Row],[CampName]],CL,2,0),"")</f>
        <v>MMR001CMP018</v>
      </c>
      <c r="T38" s="496" t="str">
        <f>IFERROR(VLOOKUP(Table_Shelter[[#This Row],[CampName]],CL,3,0),"")</f>
        <v>Open</v>
      </c>
      <c r="U38" s="497">
        <f>IFERROR(Table_Shelter[[#This Row],[HH Covered]]/VLOOKUP(Table_Shelter[[#This Row],[CampName]],CL,4,0),"")</f>
        <v>0</v>
      </c>
      <c r="V38" s="266" t="s">
        <v>1305</v>
      </c>
      <c r="W38" s="494"/>
    </row>
    <row r="39" spans="1:118" ht="15" customHeight="1" x14ac:dyDescent="0.25">
      <c r="A39" s="591">
        <v>42502</v>
      </c>
      <c r="B39" s="491" t="s">
        <v>452</v>
      </c>
      <c r="C39" s="492" t="s">
        <v>460</v>
      </c>
      <c r="D39" s="493" t="s">
        <v>380</v>
      </c>
      <c r="E39" s="345" t="s">
        <v>300</v>
      </c>
      <c r="F39" s="491" t="s">
        <v>1260</v>
      </c>
      <c r="G39" s="491">
        <v>1</v>
      </c>
      <c r="H39" s="492"/>
      <c r="I39" s="492"/>
      <c r="J39" s="492"/>
      <c r="K39" s="492"/>
      <c r="L39" s="492"/>
      <c r="M39" s="492"/>
      <c r="N39" s="492"/>
      <c r="O39" s="492"/>
      <c r="P39" s="494">
        <f>IF(Table_Shelter[[#This Row],[Status]]="Open",IF(V39="NO",Table_Shelter[[#This Row],[HH per Shelter]]*(Table_Shelter[[#This Row],['# of Temporary Shelter Units Built]]+Table_Shelter[[#This Row],['# of Temporary Shelter Under  Construction]]+Table_Shelter[[#This Row],['# of Permanent House Under Construction]]),0),0)</f>
        <v>0</v>
      </c>
      <c r="Q39" s="494">
        <v>2</v>
      </c>
      <c r="R39" s="494"/>
      <c r="S39" s="495" t="str">
        <f>IFERROR(VLOOKUP(Table_Shelter[[#This Row],[CampName]],CL,2,0),"")</f>
        <v>MMR001CMP234</v>
      </c>
      <c r="T39" s="496" t="str">
        <f>IFERROR(VLOOKUP(Table_Shelter[[#This Row],[CampName]],CL,3,0),"")</f>
        <v>Open</v>
      </c>
      <c r="U39" s="497">
        <f>IFERROR(Table_Shelter[[#This Row],[HH Covered]]/VLOOKUP(Table_Shelter[[#This Row],[CampName]],CL,4,0),"")</f>
        <v>0</v>
      </c>
      <c r="V39" s="266" t="s">
        <v>1305</v>
      </c>
      <c r="W39" s="494"/>
    </row>
    <row r="40" spans="1:118" ht="15" customHeight="1" x14ac:dyDescent="0.25">
      <c r="A40" s="591">
        <v>42502</v>
      </c>
      <c r="B40" s="491" t="s">
        <v>452</v>
      </c>
      <c r="C40" s="492" t="s">
        <v>460</v>
      </c>
      <c r="D40" s="493" t="s">
        <v>380</v>
      </c>
      <c r="E40" s="345" t="s">
        <v>310</v>
      </c>
      <c r="F40" s="491" t="s">
        <v>326</v>
      </c>
      <c r="G40" s="491">
        <v>1</v>
      </c>
      <c r="H40" s="492"/>
      <c r="I40" s="492"/>
      <c r="J40" s="492"/>
      <c r="K40" s="492"/>
      <c r="L40" s="492"/>
      <c r="M40" s="492"/>
      <c r="N40" s="492"/>
      <c r="O40" s="492"/>
      <c r="P40" s="494">
        <f>IF(Table_Shelter[[#This Row],[Status]]="Open",IF(V40="NO",Table_Shelter[[#This Row],[HH per Shelter]]*(Table_Shelter[[#This Row],['# of Temporary Shelter Units Built]]+Table_Shelter[[#This Row],['# of Temporary Shelter Under  Construction]]+Table_Shelter[[#This Row],['# of Permanent House Under Construction]]),0),0)</f>
        <v>0</v>
      </c>
      <c r="Q40" s="494">
        <v>30</v>
      </c>
      <c r="R40" s="494"/>
      <c r="S40" s="495" t="str">
        <f>IFERROR(VLOOKUP(Table_Shelter[[#This Row],[CampName]],CL,2,0),"")</f>
        <v>MMR001CMP039</v>
      </c>
      <c r="T40" s="496" t="str">
        <f>IFERROR(VLOOKUP(Table_Shelter[[#This Row],[CampName]],CL,3,0),"")</f>
        <v>Open</v>
      </c>
      <c r="U40" s="497">
        <f>IFERROR(Table_Shelter[[#This Row],[HH Covered]]/VLOOKUP(Table_Shelter[[#This Row],[CampName]],CL,4,0),"")</f>
        <v>0</v>
      </c>
      <c r="V40" s="266" t="s">
        <v>1305</v>
      </c>
      <c r="W40" s="494"/>
    </row>
    <row r="41" spans="1:118" ht="15" customHeight="1" x14ac:dyDescent="0.25">
      <c r="A41" s="591">
        <v>42502</v>
      </c>
      <c r="B41" s="491" t="s">
        <v>452</v>
      </c>
      <c r="C41" s="492" t="s">
        <v>460</v>
      </c>
      <c r="D41" s="493" t="s">
        <v>380</v>
      </c>
      <c r="E41" s="498" t="s">
        <v>151</v>
      </c>
      <c r="F41" s="491" t="s">
        <v>885</v>
      </c>
      <c r="G41" s="491">
        <v>1</v>
      </c>
      <c r="H41" s="492"/>
      <c r="I41" s="492"/>
      <c r="J41" s="492">
        <v>85</v>
      </c>
      <c r="K41" s="492">
        <v>85</v>
      </c>
      <c r="L41" s="492"/>
      <c r="M41" s="492"/>
      <c r="N41" s="492"/>
      <c r="O41" s="492"/>
      <c r="P41" s="494">
        <f>IF(Table_Shelter[[#This Row],[Status]]="Open",IF(V41="NO",Table_Shelter[[#This Row],[HH per Shelter]]*(Table_Shelter[[#This Row],['# of Temporary Shelter Units Built]]+Table_Shelter[[#This Row],['# of Temporary Shelter Under  Construction]]+Table_Shelter[[#This Row],['# of Permanent House Under Construction]]),0),0)</f>
        <v>85</v>
      </c>
      <c r="Q41" s="494"/>
      <c r="R41" s="494"/>
      <c r="S41" s="495" t="str">
        <f>IFERROR(VLOOKUP(Table_Shelter[[#This Row],[CampName]],CL,2,0),"")</f>
        <v>MMR001CMP218</v>
      </c>
      <c r="T41" s="496" t="str">
        <f>IFERROR(VLOOKUP(Table_Shelter[[#This Row],[CampName]],CL,3,0),"")</f>
        <v>Open</v>
      </c>
      <c r="U41" s="497">
        <f>IFERROR(Table_Shelter[[#This Row],[HH Covered]]/VLOOKUP(Table_Shelter[[#This Row],[CampName]],CL,4,0),"")</f>
        <v>0.22727272727272727</v>
      </c>
      <c r="V41" s="593" t="s">
        <v>1305</v>
      </c>
      <c r="W41" s="494"/>
    </row>
    <row r="42" spans="1:118" ht="15" customHeight="1" x14ac:dyDescent="0.25">
      <c r="A42" s="591">
        <v>42502</v>
      </c>
      <c r="B42" s="491" t="s">
        <v>452</v>
      </c>
      <c r="C42" s="492" t="s">
        <v>460</v>
      </c>
      <c r="D42" s="493" t="s">
        <v>380</v>
      </c>
      <c r="E42" s="345" t="s">
        <v>310</v>
      </c>
      <c r="F42" s="491" t="s">
        <v>342</v>
      </c>
      <c r="G42" s="491">
        <v>1</v>
      </c>
      <c r="H42" s="492"/>
      <c r="I42" s="492"/>
      <c r="J42" s="492"/>
      <c r="K42" s="492"/>
      <c r="L42" s="492"/>
      <c r="M42" s="492"/>
      <c r="N42" s="492"/>
      <c r="O42" s="492"/>
      <c r="P42" s="494">
        <f>IF(Table_Shelter[[#This Row],[Status]]="Open",IF(V42="NO",Table_Shelter[[#This Row],[HH per Shelter]]*(Table_Shelter[[#This Row],['# of Temporary Shelter Units Built]]+Table_Shelter[[#This Row],['# of Temporary Shelter Under  Construction]]+Table_Shelter[[#This Row],['# of Permanent House Under Construction]]),0),0)</f>
        <v>0</v>
      </c>
      <c r="Q42" s="494">
        <v>20</v>
      </c>
      <c r="R42" s="494"/>
      <c r="S42" s="495" t="str">
        <f>IFERROR(VLOOKUP(Table_Shelter[[#This Row],[CampName]],CL,2,0),"")</f>
        <v>MMR001CMP025</v>
      </c>
      <c r="T42" s="496" t="str">
        <f>IFERROR(VLOOKUP(Table_Shelter[[#This Row],[CampName]],CL,3,0),"")</f>
        <v>Open</v>
      </c>
      <c r="U42" s="497">
        <f>IFERROR(Table_Shelter[[#This Row],[HH Covered]]/VLOOKUP(Table_Shelter[[#This Row],[CampName]],CL,4,0),"")</f>
        <v>0</v>
      </c>
      <c r="V42" s="266" t="s">
        <v>1305</v>
      </c>
      <c r="W42" s="494"/>
    </row>
    <row r="43" spans="1:118" ht="15" customHeight="1" x14ac:dyDescent="0.25">
      <c r="A43" s="591">
        <v>42502</v>
      </c>
      <c r="B43" s="491" t="s">
        <v>452</v>
      </c>
      <c r="C43" s="492" t="s">
        <v>460</v>
      </c>
      <c r="D43" s="493" t="s">
        <v>380</v>
      </c>
      <c r="E43" s="345" t="s">
        <v>237</v>
      </c>
      <c r="F43" s="491" t="s">
        <v>238</v>
      </c>
      <c r="G43" s="491">
        <v>1</v>
      </c>
      <c r="H43" s="492"/>
      <c r="I43" s="492"/>
      <c r="J43" s="492"/>
      <c r="K43" s="492"/>
      <c r="L43" s="492"/>
      <c r="M43" s="492"/>
      <c r="N43" s="492"/>
      <c r="O43" s="492"/>
      <c r="P43" s="494">
        <f>IF(Table_Shelter[[#This Row],[Status]]="Open",IF(V43="NO",Table_Shelter[[#This Row],[HH per Shelter]]*(Table_Shelter[[#This Row],['# of Temporary Shelter Units Built]]+Table_Shelter[[#This Row],['# of Temporary Shelter Under  Construction]]+Table_Shelter[[#This Row],['# of Permanent House Under Construction]]),0),0)</f>
        <v>0</v>
      </c>
      <c r="Q43" s="494">
        <v>10</v>
      </c>
      <c r="R43" s="494"/>
      <c r="S43" s="495" t="str">
        <f>IFERROR(VLOOKUP(Table_Shelter[[#This Row],[CampName]],CL,2,0),"")</f>
        <v>MMR001CMP001</v>
      </c>
      <c r="T43" s="496" t="str">
        <f>IFERROR(VLOOKUP(Table_Shelter[[#This Row],[CampName]],CL,3,0),"")</f>
        <v>Open</v>
      </c>
      <c r="U43" s="497">
        <f>IFERROR(Table_Shelter[[#This Row],[HH Covered]]/VLOOKUP(Table_Shelter[[#This Row],[CampName]],CL,4,0),"")</f>
        <v>0</v>
      </c>
      <c r="V43" s="266" t="s">
        <v>1305</v>
      </c>
      <c r="W43" s="494"/>
    </row>
    <row r="44" spans="1:118" ht="15" customHeight="1" x14ac:dyDescent="0.25">
      <c r="A44" s="591">
        <v>42502</v>
      </c>
      <c r="B44" s="491" t="s">
        <v>452</v>
      </c>
      <c r="C44" s="492" t="s">
        <v>460</v>
      </c>
      <c r="D44" s="493" t="s">
        <v>380</v>
      </c>
      <c r="E44" s="345" t="s">
        <v>237</v>
      </c>
      <c r="F44" s="491" t="s">
        <v>251</v>
      </c>
      <c r="G44" s="491">
        <v>1</v>
      </c>
      <c r="H44" s="492"/>
      <c r="I44" s="492"/>
      <c r="J44" s="492"/>
      <c r="K44" s="492"/>
      <c r="L44" s="492"/>
      <c r="M44" s="492"/>
      <c r="N44" s="492"/>
      <c r="O44" s="492"/>
      <c r="P44" s="494">
        <f>IF(Table_Shelter[[#This Row],[Status]]="Open",IF(V44="NO",Table_Shelter[[#This Row],[HH per Shelter]]*(Table_Shelter[[#This Row],['# of Temporary Shelter Units Built]]+Table_Shelter[[#This Row],['# of Temporary Shelter Under  Construction]]+Table_Shelter[[#This Row],['# of Permanent House Under Construction]]),0),0)</f>
        <v>0</v>
      </c>
      <c r="Q44" s="494">
        <v>5</v>
      </c>
      <c r="R44" s="494"/>
      <c r="S44" s="495" t="str">
        <f>IFERROR(VLOOKUP(Table_Shelter[[#This Row],[CampName]],CL,2,0),"")</f>
        <v>MMR001CMP003</v>
      </c>
      <c r="T44" s="496" t="str">
        <f>IFERROR(VLOOKUP(Table_Shelter[[#This Row],[CampName]],CL,3,0),"")</f>
        <v>Open</v>
      </c>
      <c r="U44" s="497">
        <f>IFERROR(Table_Shelter[[#This Row],[HH Covered]]/VLOOKUP(Table_Shelter[[#This Row],[CampName]],CL,4,0),"")</f>
        <v>0</v>
      </c>
      <c r="V44" s="266" t="s">
        <v>1305</v>
      </c>
      <c r="W44" s="494"/>
    </row>
    <row r="45" spans="1:118" ht="15" customHeight="1" x14ac:dyDescent="0.25">
      <c r="A45" s="591">
        <v>42502</v>
      </c>
      <c r="B45" s="491" t="s">
        <v>452</v>
      </c>
      <c r="C45" s="492" t="s">
        <v>460</v>
      </c>
      <c r="D45" s="493" t="s">
        <v>380</v>
      </c>
      <c r="E45" s="345" t="s">
        <v>237</v>
      </c>
      <c r="F45" s="491" t="s">
        <v>275</v>
      </c>
      <c r="G45" s="491">
        <v>1</v>
      </c>
      <c r="H45" s="492"/>
      <c r="I45" s="492"/>
      <c r="J45" s="492"/>
      <c r="K45" s="492"/>
      <c r="L45" s="492"/>
      <c r="M45" s="492"/>
      <c r="N45" s="492"/>
      <c r="O45" s="492"/>
      <c r="P45" s="494">
        <f>IF(Table_Shelter[[#This Row],[Status]]="Open",IF(V45="NO",Table_Shelter[[#This Row],[HH per Shelter]]*(Table_Shelter[[#This Row],['# of Temporary Shelter Units Built]]+Table_Shelter[[#This Row],['# of Temporary Shelter Under  Construction]]+Table_Shelter[[#This Row],['# of Permanent House Under Construction]]),0),0)</f>
        <v>0</v>
      </c>
      <c r="Q45" s="494">
        <v>3</v>
      </c>
      <c r="R45" s="494"/>
      <c r="S45" s="495" t="str">
        <f>IFERROR(VLOOKUP(Table_Shelter[[#This Row],[CampName]],CL,2,0),"")</f>
        <v>MMR001CMP005</v>
      </c>
      <c r="T45" s="496" t="str">
        <f>IFERROR(VLOOKUP(Table_Shelter[[#This Row],[CampName]],CL,3,0),"")</f>
        <v>Open</v>
      </c>
      <c r="U45" s="497">
        <f>IFERROR(Table_Shelter[[#This Row],[HH Covered]]/VLOOKUP(Table_Shelter[[#This Row],[CampName]],CL,4,0),"")</f>
        <v>0</v>
      </c>
      <c r="V45" s="266" t="s">
        <v>1305</v>
      </c>
      <c r="W45" s="494"/>
    </row>
    <row r="46" spans="1:118" ht="15" customHeight="1" x14ac:dyDescent="0.25">
      <c r="A46" s="591">
        <v>42502</v>
      </c>
      <c r="B46" s="491" t="s">
        <v>452</v>
      </c>
      <c r="C46" s="492" t="s">
        <v>460</v>
      </c>
      <c r="D46" s="493" t="s">
        <v>380</v>
      </c>
      <c r="E46" s="345" t="s">
        <v>310</v>
      </c>
      <c r="F46" s="491" t="s">
        <v>1245</v>
      </c>
      <c r="G46" s="491">
        <v>1</v>
      </c>
      <c r="H46" s="492"/>
      <c r="I46" s="492"/>
      <c r="J46" s="492"/>
      <c r="K46" s="492"/>
      <c r="L46" s="492"/>
      <c r="M46" s="492"/>
      <c r="N46" s="492"/>
      <c r="O46" s="492"/>
      <c r="P46" s="494">
        <f>IF(Table_Shelter[[#This Row],[Status]]="Open",IF(V46="NO",Table_Shelter[[#This Row],[HH per Shelter]]*(Table_Shelter[[#This Row],['# of Temporary Shelter Units Built]]+Table_Shelter[[#This Row],['# of Temporary Shelter Under  Construction]]+Table_Shelter[[#This Row],['# of Permanent House Under Construction]]),0),0)</f>
        <v>0</v>
      </c>
      <c r="Q46" s="494">
        <v>40</v>
      </c>
      <c r="R46" s="494"/>
      <c r="S46" s="495" t="str">
        <f>IFERROR(VLOOKUP(Table_Shelter[[#This Row],[CampName]],CL,2,0),"")</f>
        <v>MMR001CMP111</v>
      </c>
      <c r="T46" s="496" t="str">
        <f>IFERROR(VLOOKUP(Table_Shelter[[#This Row],[CampName]],CL,3,0),"")</f>
        <v>Open</v>
      </c>
      <c r="U46" s="497">
        <f>IFERROR(Table_Shelter[[#This Row],[HH Covered]]/VLOOKUP(Table_Shelter[[#This Row],[CampName]],CL,4,0),"")</f>
        <v>0</v>
      </c>
      <c r="V46" s="266" t="s">
        <v>1305</v>
      </c>
      <c r="W46" s="494"/>
    </row>
    <row r="47" spans="1:118" s="147" customFormat="1" ht="15" customHeight="1" x14ac:dyDescent="0.25">
      <c r="A47" s="658">
        <v>42500</v>
      </c>
      <c r="B47" s="173" t="s">
        <v>453</v>
      </c>
      <c r="C47" s="173" t="s">
        <v>453</v>
      </c>
      <c r="D47" s="180" t="s">
        <v>380</v>
      </c>
      <c r="E47" s="345" t="s">
        <v>185</v>
      </c>
      <c r="F47" s="173" t="s">
        <v>215</v>
      </c>
      <c r="G47" s="107">
        <v>1</v>
      </c>
      <c r="H47" s="109"/>
      <c r="I47" s="109"/>
      <c r="J47" s="109">
        <v>170</v>
      </c>
      <c r="K47" s="109">
        <v>170</v>
      </c>
      <c r="L47" s="175"/>
      <c r="M47" s="175"/>
      <c r="N47" s="175"/>
      <c r="O47" s="175"/>
      <c r="P47" s="108">
        <f>IF(Table_Shelter[[#This Row],[Status]]="Open",IF(V47="NO",Table_Shelter[[#This Row],[HH per Shelter]]*(Table_Shelter[[#This Row],['# of Temporary Shelter Units Built]]+Table_Shelter[[#This Row],['# of Temporary Shelter Under  Construction]]+Table_Shelter[[#This Row],['# of Permanent House Under Construction]]),0),0)</f>
        <v>170</v>
      </c>
      <c r="Q47" s="108"/>
      <c r="R47" s="108"/>
      <c r="S47" s="108" t="str">
        <f>IFERROR(VLOOKUP(Table_Shelter[[#This Row],[CampName]],CL,2,0),"")</f>
        <v>MMR001CMP131</v>
      </c>
      <c r="T47" s="108" t="str">
        <f>IFERROR(VLOOKUP(Table_Shelter[[#This Row],[CampName]],CL,3,0),"")</f>
        <v>Open</v>
      </c>
      <c r="U47" s="265">
        <f>IFERROR(Table_Shelter[[#This Row],[HH Covered]]/VLOOKUP(Table_Shelter[[#This Row],[CampName]],CL,4,0),"")</f>
        <v>0.47887323943661969</v>
      </c>
      <c r="V47" s="266" t="s">
        <v>1305</v>
      </c>
      <c r="W47" s="108"/>
      <c r="X47" s="445"/>
      <c r="Y47" s="445"/>
      <c r="Z47" s="445"/>
      <c r="AA47" s="445"/>
      <c r="AB47" s="445"/>
      <c r="AC47" s="445"/>
      <c r="AD47" s="445"/>
      <c r="AE47" s="445"/>
      <c r="AF47" s="445"/>
      <c r="AG47" s="445"/>
      <c r="AH47" s="445"/>
      <c r="AI47" s="445"/>
      <c r="AJ47" s="445"/>
      <c r="AK47" s="445"/>
      <c r="AL47" s="445"/>
      <c r="AM47" s="445"/>
      <c r="AN47" s="445"/>
      <c r="AO47" s="445"/>
      <c r="AP47" s="445"/>
      <c r="AQ47" s="445"/>
      <c r="AR47" s="445"/>
      <c r="AS47" s="445"/>
      <c r="AT47" s="445"/>
      <c r="AU47" s="445"/>
      <c r="AV47" s="445"/>
      <c r="AW47" s="445"/>
      <c r="AX47" s="445"/>
      <c r="AY47" s="445"/>
      <c r="AZ47" s="445"/>
      <c r="BA47" s="445"/>
      <c r="BB47" s="445"/>
      <c r="BC47" s="445"/>
      <c r="BD47" s="445"/>
      <c r="BE47" s="445"/>
      <c r="BF47" s="445"/>
      <c r="BG47" s="445"/>
      <c r="BH47" s="445"/>
      <c r="BI47" s="445"/>
      <c r="BJ47" s="445"/>
      <c r="BK47" s="445"/>
      <c r="BL47" s="445"/>
      <c r="BM47" s="445"/>
      <c r="BN47" s="445"/>
      <c r="BO47" s="445"/>
      <c r="BP47" s="445"/>
      <c r="BQ47" s="445"/>
      <c r="BR47" s="445"/>
      <c r="BS47" s="445"/>
      <c r="BT47" s="445"/>
      <c r="BU47" s="445"/>
      <c r="BV47" s="445"/>
      <c r="BW47" s="445"/>
      <c r="BX47" s="445"/>
      <c r="BY47" s="445"/>
      <c r="BZ47" s="445"/>
      <c r="CA47" s="445"/>
      <c r="CB47" s="445"/>
      <c r="CC47" s="445"/>
      <c r="CD47" s="445"/>
      <c r="CE47" s="445"/>
      <c r="CF47" s="445"/>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row>
    <row r="48" spans="1:118" ht="15" customHeight="1" x14ac:dyDescent="0.25">
      <c r="A48" s="658">
        <v>42500</v>
      </c>
      <c r="B48" s="173" t="s">
        <v>453</v>
      </c>
      <c r="C48" s="173" t="s">
        <v>506</v>
      </c>
      <c r="D48" s="180" t="s">
        <v>380</v>
      </c>
      <c r="E48" s="345" t="s">
        <v>310</v>
      </c>
      <c r="F48" s="173" t="s">
        <v>355</v>
      </c>
      <c r="G48" s="107">
        <v>1</v>
      </c>
      <c r="H48" s="109"/>
      <c r="I48" s="109"/>
      <c r="J48" s="109">
        <v>60</v>
      </c>
      <c r="K48" s="109">
        <v>65</v>
      </c>
      <c r="L48" s="175"/>
      <c r="M48" s="175"/>
      <c r="N48" s="175"/>
      <c r="O48" s="175"/>
      <c r="P48" s="108">
        <f>IF(Table_Shelter[[#This Row],[Status]]="Open",IF(V48="NO",Table_Shelter[[#This Row],[HH per Shelter]]*(Table_Shelter[[#This Row],['# of Temporary Shelter Units Built]]+Table_Shelter[[#This Row],['# of Temporary Shelter Under  Construction]]+Table_Shelter[[#This Row],['# of Permanent House Under Construction]]),0),0)</f>
        <v>65</v>
      </c>
      <c r="Q48" s="108"/>
      <c r="R48" s="108"/>
      <c r="S48" s="108" t="str">
        <f>IFERROR(VLOOKUP(Table_Shelter[[#This Row],[CampName]],CL,2,0),"")</f>
        <v>MMR001CMP160</v>
      </c>
      <c r="T48" s="108" t="str">
        <f>IFERROR(VLOOKUP(Table_Shelter[[#This Row],[CampName]],CL,3,0),"")</f>
        <v>Open</v>
      </c>
      <c r="U48" s="265">
        <f>IFERROR(Table_Shelter[[#This Row],[HH Covered]]/VLOOKUP(Table_Shelter[[#This Row],[CampName]],CL,4,0),"")</f>
        <v>0.66326530612244894</v>
      </c>
      <c r="V48" s="266" t="s">
        <v>1305</v>
      </c>
      <c r="W48" s="108"/>
    </row>
    <row r="49" spans="1:23" ht="15" customHeight="1" x14ac:dyDescent="0.25">
      <c r="A49" s="589">
        <v>42422</v>
      </c>
      <c r="B49" s="173" t="s">
        <v>453</v>
      </c>
      <c r="C49" s="173"/>
      <c r="D49" s="176" t="s">
        <v>380</v>
      </c>
      <c r="E49" s="345" t="s">
        <v>185</v>
      </c>
      <c r="F49" s="173" t="s">
        <v>196</v>
      </c>
      <c r="G49" s="107">
        <v>1</v>
      </c>
      <c r="H49" s="107"/>
      <c r="I49" s="107"/>
      <c r="J49" s="107">
        <v>118</v>
      </c>
      <c r="K49" s="107">
        <v>118</v>
      </c>
      <c r="L49" s="173"/>
      <c r="M49" s="173"/>
      <c r="N49" s="173"/>
      <c r="O49" s="173"/>
      <c r="P49" s="149">
        <f>IF(Table_Shelter[[#This Row],[Status]]="Open",IF(V49="NO",Table_Shelter[[#This Row],[HH per Shelter]]*(Table_Shelter[[#This Row],['# of Temporary Shelter Units Built]]+Table_Shelter[[#This Row],['# of Temporary Shelter Under  Construction]]+Table_Shelter[[#This Row],['# of Permanent House Under Construction]]),0),0)</f>
        <v>0</v>
      </c>
      <c r="Q49" s="106"/>
      <c r="R49" s="106"/>
      <c r="S49" s="174" t="str">
        <f>IFERROR(VLOOKUP(Table_Shelter[[#This Row],[CampName]],CL,2,0),"")</f>
        <v>MMR001CMP121</v>
      </c>
      <c r="T49" s="174" t="str">
        <f>IFERROR(VLOOKUP(Table_Shelter[[#This Row],[CampName]],CL,3,0),"")</f>
        <v>Open</v>
      </c>
      <c r="U49" s="265">
        <f>IFERROR(Table_Shelter[[#This Row],[HH Covered]]/VLOOKUP(Table_Shelter[[#This Row],[CampName]],CL,4,0),"")</f>
        <v>0</v>
      </c>
      <c r="V49" s="265" t="s">
        <v>1304</v>
      </c>
      <c r="W49" s="175"/>
    </row>
    <row r="50" spans="1:23" ht="15" customHeight="1" x14ac:dyDescent="0.25">
      <c r="A50" s="589">
        <v>42422</v>
      </c>
      <c r="B50" s="173" t="s">
        <v>453</v>
      </c>
      <c r="C50" s="173"/>
      <c r="D50" s="176" t="s">
        <v>380</v>
      </c>
      <c r="E50" s="345" t="s">
        <v>185</v>
      </c>
      <c r="F50" s="173" t="s">
        <v>215</v>
      </c>
      <c r="G50" s="107">
        <v>1</v>
      </c>
      <c r="H50" s="109"/>
      <c r="I50" s="109"/>
      <c r="J50" s="109">
        <v>170</v>
      </c>
      <c r="K50" s="109">
        <v>170</v>
      </c>
      <c r="L50" s="175"/>
      <c r="M50" s="175"/>
      <c r="N50" s="175"/>
      <c r="O50" s="175"/>
      <c r="P50" s="108">
        <f>IF(Table_Shelter[[#This Row],[Status]]="Open",IF(V50="NO",Table_Shelter[[#This Row],[HH per Shelter]]*(Table_Shelter[[#This Row],['# of Temporary Shelter Units Built]]+Table_Shelter[[#This Row],['# of Temporary Shelter Under  Construction]]+Table_Shelter[[#This Row],['# of Permanent House Under Construction]]),0),0)</f>
        <v>0</v>
      </c>
      <c r="Q50" s="108"/>
      <c r="R50" s="175"/>
      <c r="S50" s="175" t="str">
        <f>IFERROR(VLOOKUP(Table_Shelter[[#This Row],[CampName]],CL,2,0),"")</f>
        <v>MMR001CMP131</v>
      </c>
      <c r="T50" s="175" t="str">
        <f>IFERROR(VLOOKUP(Table_Shelter[[#This Row],[CampName]],CL,3,0),"")</f>
        <v>Open</v>
      </c>
      <c r="U50" s="265">
        <f>IFERROR(Table_Shelter[[#This Row],[HH Covered]]/VLOOKUP(Table_Shelter[[#This Row],[CampName]],CL,4,0),"")</f>
        <v>0</v>
      </c>
      <c r="V50" s="265" t="s">
        <v>1304</v>
      </c>
      <c r="W50" s="175"/>
    </row>
    <row r="51" spans="1:23" ht="15" customHeight="1" x14ac:dyDescent="0.25">
      <c r="A51" s="589">
        <v>42422</v>
      </c>
      <c r="B51" s="173" t="s">
        <v>453</v>
      </c>
      <c r="C51" s="173"/>
      <c r="D51" s="176" t="s">
        <v>380</v>
      </c>
      <c r="E51" s="345" t="s">
        <v>185</v>
      </c>
      <c r="F51" s="173" t="s">
        <v>219</v>
      </c>
      <c r="G51" s="107">
        <v>1</v>
      </c>
      <c r="H51" s="109"/>
      <c r="I51" s="109"/>
      <c r="J51" s="109">
        <v>254</v>
      </c>
      <c r="K51" s="109">
        <v>254</v>
      </c>
      <c r="L51" s="175"/>
      <c r="M51" s="175"/>
      <c r="N51" s="175"/>
      <c r="O51" s="175"/>
      <c r="P51" s="108">
        <f>IF(Table_Shelter[[#This Row],[Status]]="Open",IF(V51="NO",Table_Shelter[[#This Row],[HH per Shelter]]*(Table_Shelter[[#This Row],['# of Temporary Shelter Units Built]]+Table_Shelter[[#This Row],['# of Temporary Shelter Under  Construction]]+Table_Shelter[[#This Row],['# of Permanent House Under Construction]]),0),0)</f>
        <v>0</v>
      </c>
      <c r="Q51" s="108"/>
      <c r="R51" s="175"/>
      <c r="S51" s="175" t="str">
        <f>IFERROR(VLOOKUP(Table_Shelter[[#This Row],[CampName]],CL,2,0),"")</f>
        <v>MMR001CMP126</v>
      </c>
      <c r="T51" s="175" t="str">
        <f>IFERROR(VLOOKUP(Table_Shelter[[#This Row],[CampName]],CL,3,0),"")</f>
        <v>Open</v>
      </c>
      <c r="U51" s="265">
        <f>IFERROR(Table_Shelter[[#This Row],[HH Covered]]/VLOOKUP(Table_Shelter[[#This Row],[CampName]],CL,4,0),"")</f>
        <v>0</v>
      </c>
      <c r="V51" s="265" t="s">
        <v>1304</v>
      </c>
      <c r="W51" s="175"/>
    </row>
    <row r="52" spans="1:23" ht="15" customHeight="1" x14ac:dyDescent="0.25">
      <c r="A52" s="589">
        <v>42422</v>
      </c>
      <c r="B52" s="173" t="s">
        <v>453</v>
      </c>
      <c r="C52" s="173"/>
      <c r="D52" s="176" t="s">
        <v>380</v>
      </c>
      <c r="E52" s="345" t="s">
        <v>310</v>
      </c>
      <c r="F52" s="173" t="s">
        <v>355</v>
      </c>
      <c r="G52" s="107">
        <v>1</v>
      </c>
      <c r="H52" s="109"/>
      <c r="I52" s="109"/>
      <c r="J52" s="109">
        <v>66</v>
      </c>
      <c r="K52" s="109">
        <v>66</v>
      </c>
      <c r="L52" s="175"/>
      <c r="M52" s="175"/>
      <c r="N52" s="175"/>
      <c r="O52" s="175"/>
      <c r="P52" s="108">
        <f>IF(Table_Shelter[[#This Row],[Status]]="Open",IF(V52="NO",Table_Shelter[[#This Row],[HH per Shelter]]*(Table_Shelter[[#This Row],['# of Temporary Shelter Units Built]]+Table_Shelter[[#This Row],['# of Temporary Shelter Under  Construction]]+Table_Shelter[[#This Row],['# of Permanent House Under Construction]]),0),0)</f>
        <v>0</v>
      </c>
      <c r="Q52" s="108"/>
      <c r="R52" s="175"/>
      <c r="S52" s="175" t="str">
        <f>IFERROR(VLOOKUP(Table_Shelter[[#This Row],[CampName]],CL,2,0),"")</f>
        <v>MMR001CMP160</v>
      </c>
      <c r="T52" s="175" t="str">
        <f>IFERROR(VLOOKUP(Table_Shelter[[#This Row],[CampName]],CL,3,0),"")</f>
        <v>Open</v>
      </c>
      <c r="U52" s="265">
        <f>IFERROR(Table_Shelter[[#This Row],[HH Covered]]/VLOOKUP(Table_Shelter[[#This Row],[CampName]],CL,4,0),"")</f>
        <v>0</v>
      </c>
      <c r="V52" s="265" t="s">
        <v>1304</v>
      </c>
      <c r="W52" s="175"/>
    </row>
    <row r="53" spans="1:23" ht="15" customHeight="1" x14ac:dyDescent="0.25">
      <c r="A53" s="589">
        <v>42422</v>
      </c>
      <c r="B53" s="173" t="s">
        <v>848</v>
      </c>
      <c r="C53" s="173"/>
      <c r="D53" s="173" t="s">
        <v>380</v>
      </c>
      <c r="E53" s="345" t="s">
        <v>173</v>
      </c>
      <c r="F53" s="173" t="s">
        <v>1277</v>
      </c>
      <c r="G53" s="107">
        <v>1</v>
      </c>
      <c r="H53" s="107"/>
      <c r="I53" s="107"/>
      <c r="J53" s="107">
        <v>40</v>
      </c>
      <c r="K53" s="107">
        <v>40</v>
      </c>
      <c r="L53" s="173"/>
      <c r="M53" s="173"/>
      <c r="N53" s="173"/>
      <c r="O53" s="173"/>
      <c r="P53" s="149">
        <f>IF(Table_Shelter[[#This Row],[Status]]="Open",IF(V53="NO",Table_Shelter[[#This Row],[HH per Shelter]]*(Table_Shelter[[#This Row],['# of Temporary Shelter Units Built]]+Table_Shelter[[#This Row],['# of Temporary Shelter Under  Construction]]+Table_Shelter[[#This Row],['# of Permanent House Under Construction]]),0),0)</f>
        <v>40</v>
      </c>
      <c r="Q53" s="106"/>
      <c r="R53" s="173"/>
      <c r="S53" s="174" t="str">
        <f>IFERROR(VLOOKUP(Table_Shelter[[#This Row],[CampName]],CL,2,0),"")</f>
        <v>MMR001CMP236</v>
      </c>
      <c r="T53" s="174" t="str">
        <f>IFERROR(VLOOKUP(Table_Shelter[[#This Row],[CampName]],CL,3,0),"")</f>
        <v>Open</v>
      </c>
      <c r="U53" s="265">
        <f>IFERROR(Table_Shelter[[#This Row],[HH Covered]]/VLOOKUP(Table_Shelter[[#This Row],[CampName]],CL,4,0),"")</f>
        <v>1.3333333333333333</v>
      </c>
      <c r="V53" s="265" t="s">
        <v>1305</v>
      </c>
      <c r="W53" s="175"/>
    </row>
    <row r="54" spans="1:23" ht="15" customHeight="1" x14ac:dyDescent="0.25">
      <c r="A54" s="589">
        <v>42416</v>
      </c>
      <c r="B54" s="173" t="s">
        <v>452</v>
      </c>
      <c r="C54" s="173" t="s">
        <v>506</v>
      </c>
      <c r="D54" s="173" t="s">
        <v>380</v>
      </c>
      <c r="E54" s="345" t="s">
        <v>527</v>
      </c>
      <c r="F54" s="173" t="s">
        <v>120</v>
      </c>
      <c r="G54" s="148">
        <v>1</v>
      </c>
      <c r="H54" s="148"/>
      <c r="I54" s="148"/>
      <c r="J54" s="148">
        <v>12</v>
      </c>
      <c r="K54" s="148">
        <v>12</v>
      </c>
      <c r="L54" s="174"/>
      <c r="M54" s="174"/>
      <c r="N54" s="174"/>
      <c r="O54" s="174"/>
      <c r="P54" s="149">
        <f>IF(Table_Shelter[[#This Row],[Status]]="Open",IF(V54="NO",Table_Shelter[[#This Row],[HH per Shelter]]*(Table_Shelter[[#This Row],['# of Temporary Shelter Units Built]]+Table_Shelter[[#This Row],['# of Temporary Shelter Under  Construction]]+Table_Shelter[[#This Row],['# of Permanent House Under Construction]]),0),0)</f>
        <v>12</v>
      </c>
      <c r="Q54" s="149"/>
      <c r="R54" s="174"/>
      <c r="S54" s="174" t="str">
        <f>IFERROR(VLOOKUP(Table_Shelter[[#This Row],[CampName]],CL,2,0),"")</f>
        <v>MMR001CMP168</v>
      </c>
      <c r="T54" s="174" t="str">
        <f>IFERROR(VLOOKUP(Table_Shelter[[#This Row],[CampName]],CL,3,0),"")</f>
        <v>Open</v>
      </c>
      <c r="U54" s="265">
        <f>IFERROR(Table_Shelter[[#This Row],[HH Covered]]/VLOOKUP(Table_Shelter[[#This Row],[CampName]],CL,4,0),"")</f>
        <v>0.15584415584415584</v>
      </c>
      <c r="V54" s="265" t="s">
        <v>1305</v>
      </c>
      <c r="W54" s="175"/>
    </row>
    <row r="55" spans="1:23" ht="15" customHeight="1" x14ac:dyDescent="0.25">
      <c r="A55" s="589">
        <v>42416</v>
      </c>
      <c r="B55" s="173" t="s">
        <v>452</v>
      </c>
      <c r="C55" s="173" t="s">
        <v>505</v>
      </c>
      <c r="D55" s="173" t="s">
        <v>380</v>
      </c>
      <c r="E55" s="345" t="s">
        <v>527</v>
      </c>
      <c r="F55" s="173" t="s">
        <v>41</v>
      </c>
      <c r="G55" s="107">
        <v>1</v>
      </c>
      <c r="H55" s="107"/>
      <c r="I55" s="107"/>
      <c r="J55" s="107">
        <v>15</v>
      </c>
      <c r="K55" s="107">
        <v>15</v>
      </c>
      <c r="L55" s="173"/>
      <c r="M55" s="173"/>
      <c r="N55" s="173"/>
      <c r="O55" s="173"/>
      <c r="P55" s="149">
        <f>IF(Table_Shelter[[#This Row],[Status]]="Open",IF(V55="NO",Table_Shelter[[#This Row],[HH per Shelter]]*(Table_Shelter[[#This Row],['# of Temporary Shelter Units Built]]+Table_Shelter[[#This Row],['# of Temporary Shelter Under  Construction]]+Table_Shelter[[#This Row],['# of Permanent House Under Construction]]),0),0)</f>
        <v>15</v>
      </c>
      <c r="Q55" s="106"/>
      <c r="R55" s="173"/>
      <c r="S55" s="174" t="str">
        <f>IFERROR(VLOOKUP(Table_Shelter[[#This Row],[CampName]],CL,2,0),"")</f>
        <v>MMR001CMP176</v>
      </c>
      <c r="T55" s="174" t="str">
        <f>IFERROR(VLOOKUP(Table_Shelter[[#This Row],[CampName]],CL,3,0),"")</f>
        <v>Open</v>
      </c>
      <c r="U55" s="265">
        <f>IFERROR(Table_Shelter[[#This Row],[HH Covered]]/VLOOKUP(Table_Shelter[[#This Row],[CampName]],CL,4,0),"")</f>
        <v>0.22388059701492538</v>
      </c>
      <c r="V55" s="265" t="s">
        <v>1305</v>
      </c>
      <c r="W55" s="175"/>
    </row>
    <row r="56" spans="1:23" ht="16.149999999999999" customHeight="1" x14ac:dyDescent="0.25">
      <c r="A56" s="658">
        <v>42416</v>
      </c>
      <c r="B56" s="173" t="s">
        <v>452</v>
      </c>
      <c r="C56" s="173" t="s">
        <v>460</v>
      </c>
      <c r="D56" s="173" t="s">
        <v>380</v>
      </c>
      <c r="E56" s="345" t="s">
        <v>237</v>
      </c>
      <c r="F56" s="173" t="s">
        <v>243</v>
      </c>
      <c r="G56" s="107">
        <v>1</v>
      </c>
      <c r="H56" s="107"/>
      <c r="I56" s="107"/>
      <c r="J56" s="107"/>
      <c r="K56" s="107"/>
      <c r="L56" s="173"/>
      <c r="M56" s="173"/>
      <c r="N56" s="173"/>
      <c r="O56" s="173"/>
      <c r="P56" s="149">
        <f>IF(Table_Shelter[[#This Row],[Status]]="Open",IF(V56="NO",Table_Shelter[[#This Row],[HH per Shelter]]*(Table_Shelter[[#This Row],['# of Temporary Shelter Units Built]]+Table_Shelter[[#This Row],['# of Temporary Shelter Under  Construction]]+Table_Shelter[[#This Row],['# of Permanent House Under Construction]]),0),0)</f>
        <v>0</v>
      </c>
      <c r="Q56" s="106">
        <v>13</v>
      </c>
      <c r="R56" s="106">
        <v>13</v>
      </c>
      <c r="S56" s="174" t="str">
        <f>IFERROR(VLOOKUP(Table_Shelter[[#This Row],[CampName]],CL,2,0),"")</f>
        <v>MMR001CMP012</v>
      </c>
      <c r="T56" s="174" t="str">
        <f>IFERROR(VLOOKUP(Table_Shelter[[#This Row],[CampName]],CL,3,0),"")</f>
        <v>Open</v>
      </c>
      <c r="U56" s="265">
        <f>IFERROR(Table_Shelter[[#This Row],[HH Covered]]/VLOOKUP(Table_Shelter[[#This Row],[CampName]],CL,4,0),"")</f>
        <v>0</v>
      </c>
      <c r="V56" s="265" t="s">
        <v>1305</v>
      </c>
      <c r="W56" s="175" t="s">
        <v>1325</v>
      </c>
    </row>
    <row r="57" spans="1:23" ht="15" customHeight="1" x14ac:dyDescent="0.25">
      <c r="A57" s="589">
        <v>42416</v>
      </c>
      <c r="B57" s="173" t="s">
        <v>452</v>
      </c>
      <c r="C57" s="173" t="s">
        <v>506</v>
      </c>
      <c r="D57" s="176" t="s">
        <v>380</v>
      </c>
      <c r="E57" s="345" t="s">
        <v>185</v>
      </c>
      <c r="F57" s="173" t="s">
        <v>192</v>
      </c>
      <c r="G57" s="107">
        <v>1</v>
      </c>
      <c r="H57" s="107"/>
      <c r="I57" s="107"/>
      <c r="J57" s="107">
        <v>82</v>
      </c>
      <c r="K57" s="107">
        <v>82</v>
      </c>
      <c r="L57" s="173"/>
      <c r="M57" s="173"/>
      <c r="N57" s="173"/>
      <c r="O57" s="173"/>
      <c r="P57" s="149">
        <f>IF(Table_Shelter[[#This Row],[Status]]="Open",IF(V57="NO",Table_Shelter[[#This Row],[HH per Shelter]]*(Table_Shelter[[#This Row],['# of Temporary Shelter Units Built]]+Table_Shelter[[#This Row],['# of Temporary Shelter Under  Construction]]+Table_Shelter[[#This Row],['# of Permanent House Under Construction]]),0),0)</f>
        <v>82</v>
      </c>
      <c r="Q57" s="106"/>
      <c r="R57" s="173"/>
      <c r="S57" s="174" t="str">
        <f>IFERROR(VLOOKUP(Table_Shelter[[#This Row],[CampName]],CL,2,0),"")</f>
        <v>MMR001CMP123</v>
      </c>
      <c r="T57" s="174" t="str">
        <f>IFERROR(VLOOKUP(Table_Shelter[[#This Row],[CampName]],CL,3,0),"")</f>
        <v>Open</v>
      </c>
      <c r="U57" s="265">
        <f>IFERROR(Table_Shelter[[#This Row],[HH Covered]]/VLOOKUP(Table_Shelter[[#This Row],[CampName]],CL,4,0),"")</f>
        <v>0.75229357798165142</v>
      </c>
      <c r="V57" s="265" t="s">
        <v>1305</v>
      </c>
      <c r="W57" s="175"/>
    </row>
    <row r="58" spans="1:23" ht="15" customHeight="1" x14ac:dyDescent="0.25">
      <c r="A58" s="658">
        <v>42416</v>
      </c>
      <c r="B58" s="174" t="s">
        <v>452</v>
      </c>
      <c r="C58" s="173" t="s">
        <v>506</v>
      </c>
      <c r="D58" s="173" t="s">
        <v>380</v>
      </c>
      <c r="E58" s="345" t="s">
        <v>185</v>
      </c>
      <c r="F58" s="173" t="s">
        <v>194</v>
      </c>
      <c r="G58" s="107">
        <v>1</v>
      </c>
      <c r="H58" s="107"/>
      <c r="I58" s="107"/>
      <c r="J58" s="107"/>
      <c r="K58" s="107"/>
      <c r="L58" s="173"/>
      <c r="M58" s="173"/>
      <c r="N58" s="173"/>
      <c r="O58" s="173"/>
      <c r="P58" s="149">
        <f>IF(Table_Shelter[[#This Row],[Status]]="Open",IF(V58="NO",Table_Shelter[[#This Row],[HH per Shelter]]*(Table_Shelter[[#This Row],['# of Temporary Shelter Units Built]]+Table_Shelter[[#This Row],['# of Temporary Shelter Under  Construction]]+Table_Shelter[[#This Row],['# of Permanent House Under Construction]]),0),0)</f>
        <v>0</v>
      </c>
      <c r="Q58" s="106">
        <v>338</v>
      </c>
      <c r="R58" s="106">
        <v>338</v>
      </c>
      <c r="S58" s="174" t="str">
        <f>IFERROR(VLOOKUP(Table_Shelter[[#This Row],[CampName]],CL,2,0),"")</f>
        <v>MMR001CMP122</v>
      </c>
      <c r="T58" s="174" t="str">
        <f>IFERROR(VLOOKUP(Table_Shelter[[#This Row],[CampName]],CL,3,0),"")</f>
        <v>Open</v>
      </c>
      <c r="U58" s="265">
        <f>IFERROR(Table_Shelter[[#This Row],[HH Covered]]/VLOOKUP(Table_Shelter[[#This Row],[CampName]],CL,4,0),"")</f>
        <v>0</v>
      </c>
      <c r="V58" s="265" t="s">
        <v>1305</v>
      </c>
      <c r="W58" s="175"/>
    </row>
    <row r="59" spans="1:23" ht="15" customHeight="1" x14ac:dyDescent="0.25">
      <c r="A59" s="658">
        <v>42416</v>
      </c>
      <c r="B59" s="174" t="s">
        <v>452</v>
      </c>
      <c r="C59" s="173" t="s">
        <v>506</v>
      </c>
      <c r="D59" s="173" t="s">
        <v>380</v>
      </c>
      <c r="E59" s="345" t="s">
        <v>185</v>
      </c>
      <c r="F59" s="173" t="s">
        <v>196</v>
      </c>
      <c r="G59" s="107">
        <v>1</v>
      </c>
      <c r="H59" s="107"/>
      <c r="I59" s="107"/>
      <c r="J59" s="107"/>
      <c r="K59" s="107"/>
      <c r="L59" s="173"/>
      <c r="M59" s="173"/>
      <c r="N59" s="173"/>
      <c r="O59" s="173"/>
      <c r="P59" s="149">
        <f>IF(Table_Shelter[[#This Row],[Status]]="Open",IF(V59="NO",Table_Shelter[[#This Row],[HH per Shelter]]*(Table_Shelter[[#This Row],['# of Temporary Shelter Units Built]]+Table_Shelter[[#This Row],['# of Temporary Shelter Under  Construction]]+Table_Shelter[[#This Row],['# of Permanent House Under Construction]]),0),0)</f>
        <v>0</v>
      </c>
      <c r="Q59" s="106">
        <v>220</v>
      </c>
      <c r="R59" s="106">
        <v>220</v>
      </c>
      <c r="S59" s="174" t="str">
        <f>IFERROR(VLOOKUP(Table_Shelter[[#This Row],[CampName]],CL,2,0),"")</f>
        <v>MMR001CMP121</v>
      </c>
      <c r="T59" s="174" t="str">
        <f>IFERROR(VLOOKUP(Table_Shelter[[#This Row],[CampName]],CL,3,0),"")</f>
        <v>Open</v>
      </c>
      <c r="U59" s="265">
        <f>IFERROR(Table_Shelter[[#This Row],[HH Covered]]/VLOOKUP(Table_Shelter[[#This Row],[CampName]],CL,4,0),"")</f>
        <v>0</v>
      </c>
      <c r="V59" s="265" t="s">
        <v>1305</v>
      </c>
      <c r="W59" s="175"/>
    </row>
    <row r="60" spans="1:23" ht="15" customHeight="1" x14ac:dyDescent="0.25">
      <c r="A60" s="658">
        <v>42416</v>
      </c>
      <c r="B60" s="173" t="s">
        <v>452</v>
      </c>
      <c r="C60" s="173" t="s">
        <v>460</v>
      </c>
      <c r="D60" s="173" t="s">
        <v>380</v>
      </c>
      <c r="E60" s="345" t="s">
        <v>237</v>
      </c>
      <c r="F60" s="489" t="s">
        <v>285</v>
      </c>
      <c r="G60" s="107">
        <v>1</v>
      </c>
      <c r="H60" s="107"/>
      <c r="I60" s="107"/>
      <c r="J60" s="107"/>
      <c r="K60" s="107"/>
      <c r="L60" s="173"/>
      <c r="M60" s="173"/>
      <c r="N60" s="173"/>
      <c r="O60" s="173"/>
      <c r="P60" s="149">
        <f>IF(Table_Shelter[[#This Row],[Status]]="Open",IF(V60="NO",Table_Shelter[[#This Row],[HH per Shelter]]*(Table_Shelter[[#This Row],['# of Temporary Shelter Units Built]]+Table_Shelter[[#This Row],['# of Temporary Shelter Under  Construction]]+Table_Shelter[[#This Row],['# of Permanent House Under Construction]]),0),0)</f>
        <v>0</v>
      </c>
      <c r="Q60" s="106">
        <v>5</v>
      </c>
      <c r="R60" s="106">
        <v>5</v>
      </c>
      <c r="S60" s="174" t="str">
        <f>IFERROR(VLOOKUP(Table_Shelter[[#This Row],[CampName]],CL,2,0),"")</f>
        <v>MMR001CMP014</v>
      </c>
      <c r="T60" s="174" t="str">
        <f>IFERROR(VLOOKUP(Table_Shelter[[#This Row],[CampName]],CL,3,0),"")</f>
        <v>Open</v>
      </c>
      <c r="U60" s="265">
        <f>IFERROR(Table_Shelter[[#This Row],[HH Covered]]/VLOOKUP(Table_Shelter[[#This Row],[CampName]],CL,4,0),"")</f>
        <v>0</v>
      </c>
      <c r="V60" s="175" t="s">
        <v>1305</v>
      </c>
      <c r="W60" s="16"/>
    </row>
    <row r="61" spans="1:23" ht="15" customHeight="1" x14ac:dyDescent="0.25">
      <c r="A61" s="589">
        <v>42416</v>
      </c>
      <c r="B61" s="173" t="s">
        <v>452</v>
      </c>
      <c r="C61" s="173" t="s">
        <v>505</v>
      </c>
      <c r="D61" s="176" t="s">
        <v>380</v>
      </c>
      <c r="E61" s="345" t="s">
        <v>5</v>
      </c>
      <c r="F61" s="173" t="s">
        <v>18</v>
      </c>
      <c r="G61" s="107">
        <v>1</v>
      </c>
      <c r="H61" s="107"/>
      <c r="I61" s="107"/>
      <c r="J61" s="107">
        <v>15</v>
      </c>
      <c r="K61" s="107">
        <v>15</v>
      </c>
      <c r="L61" s="173"/>
      <c r="M61" s="173"/>
      <c r="N61" s="173"/>
      <c r="O61" s="173"/>
      <c r="P61" s="149">
        <f>IF(Table_Shelter[[#This Row],[Status]]="Open",IF(V61="NO",Table_Shelter[[#This Row],[HH per Shelter]]*(Table_Shelter[[#This Row],['# of Temporary Shelter Units Built]]+Table_Shelter[[#This Row],['# of Temporary Shelter Under  Construction]]+Table_Shelter[[#This Row],['# of Permanent House Under Construction]]),0),0)</f>
        <v>15</v>
      </c>
      <c r="Q61" s="106"/>
      <c r="R61" s="173"/>
      <c r="S61" s="174" t="str">
        <f>IFERROR(VLOOKUP(Table_Shelter[[#This Row],[CampName]],CL,2,0),"")</f>
        <v>MMR001CMP049</v>
      </c>
      <c r="T61" s="174" t="str">
        <f>IFERROR(VLOOKUP(Table_Shelter[[#This Row],[CampName]],CL,3,0),"")</f>
        <v>Open</v>
      </c>
      <c r="U61" s="265">
        <f>IFERROR(Table_Shelter[[#This Row],[HH Covered]]/VLOOKUP(Table_Shelter[[#This Row],[CampName]],CL,4,0),"")</f>
        <v>0.12931034482758622</v>
      </c>
      <c r="V61" s="265" t="s">
        <v>1305</v>
      </c>
      <c r="W61" s="175"/>
    </row>
    <row r="62" spans="1:23" ht="15" customHeight="1" x14ac:dyDescent="0.25">
      <c r="A62" s="589">
        <v>42416</v>
      </c>
      <c r="B62" s="173" t="s">
        <v>848</v>
      </c>
      <c r="C62" s="173"/>
      <c r="D62" s="176" t="s">
        <v>380</v>
      </c>
      <c r="E62" s="345" t="s">
        <v>300</v>
      </c>
      <c r="F62" s="173" t="s">
        <v>1260</v>
      </c>
      <c r="G62" s="107">
        <v>1</v>
      </c>
      <c r="H62" s="109"/>
      <c r="I62" s="109"/>
      <c r="J62" s="109">
        <v>60</v>
      </c>
      <c r="K62" s="109">
        <v>60</v>
      </c>
      <c r="L62" s="175"/>
      <c r="M62" s="175"/>
      <c r="N62" s="175"/>
      <c r="O62" s="175"/>
      <c r="P62" s="108">
        <f>IF(Table_Shelter[[#This Row],[Status]]="Open",IF(V62="NO",Table_Shelter[[#This Row],[HH per Shelter]]*(Table_Shelter[[#This Row],['# of Temporary Shelter Units Built]]+Table_Shelter[[#This Row],['# of Temporary Shelter Under  Construction]]+Table_Shelter[[#This Row],['# of Permanent House Under Construction]]),0),0)</f>
        <v>60</v>
      </c>
      <c r="Q62" s="108"/>
      <c r="R62" s="175"/>
      <c r="S62" s="175" t="str">
        <f>IFERROR(VLOOKUP(Table_Shelter[[#This Row],[CampName]],CL,2,0),"")</f>
        <v>MMR001CMP234</v>
      </c>
      <c r="T62" s="175" t="str">
        <f>IFERROR(VLOOKUP(Table_Shelter[[#This Row],[CampName]],CL,3,0),"")</f>
        <v>Open</v>
      </c>
      <c r="U62" s="265">
        <f>IFERROR(Table_Shelter[[#This Row],[HH Covered]]/VLOOKUP(Table_Shelter[[#This Row],[CampName]],CL,4,0),"")</f>
        <v>1.0169491525423728</v>
      </c>
      <c r="V62" s="265" t="s">
        <v>1305</v>
      </c>
      <c r="W62" s="175"/>
    </row>
    <row r="63" spans="1:23" ht="15" customHeight="1" x14ac:dyDescent="0.25">
      <c r="A63" s="589">
        <v>42416</v>
      </c>
      <c r="B63" s="173" t="s">
        <v>846</v>
      </c>
      <c r="C63" s="173"/>
      <c r="D63" s="176" t="s">
        <v>553</v>
      </c>
      <c r="E63" s="345" t="s">
        <v>289</v>
      </c>
      <c r="F63" s="173" t="s">
        <v>1055</v>
      </c>
      <c r="G63" s="107">
        <v>1</v>
      </c>
      <c r="H63" s="109"/>
      <c r="I63" s="109"/>
      <c r="J63" s="109">
        <v>25</v>
      </c>
      <c r="K63" s="109">
        <v>25</v>
      </c>
      <c r="L63" s="175"/>
      <c r="M63" s="175"/>
      <c r="N63" s="175"/>
      <c r="O63" s="175"/>
      <c r="P63" s="108">
        <f>IF(Table_Shelter[[#This Row],[Status]]="Open",IF(V63="NO",Table_Shelter[[#This Row],[HH per Shelter]]*(Table_Shelter[[#This Row],['# of Temporary Shelter Units Built]]+Table_Shelter[[#This Row],['# of Temporary Shelter Under  Construction]]+Table_Shelter[[#This Row],['# of Permanent House Under Construction]]),0),0)</f>
        <v>25</v>
      </c>
      <c r="Q63" s="108"/>
      <c r="R63" s="175"/>
      <c r="S63" s="175" t="str">
        <f>IFERROR(VLOOKUP(Table_Shelter[[#This Row],[CampName]],CL,2,0),"")</f>
        <v>MMR015CMP214</v>
      </c>
      <c r="T63" s="175" t="str">
        <f>IFERROR(VLOOKUP(Table_Shelter[[#This Row],[CampName]],CL,3,0),"")</f>
        <v>Open</v>
      </c>
      <c r="U63" s="265">
        <f>IFERROR(Table_Shelter[[#This Row],[HH Covered]]/VLOOKUP(Table_Shelter[[#This Row],[CampName]],CL,4,0),"")</f>
        <v>0.69444444444444442</v>
      </c>
      <c r="V63" s="175" t="s">
        <v>1305</v>
      </c>
      <c r="W63" s="16"/>
    </row>
    <row r="64" spans="1:23" ht="15" customHeight="1" x14ac:dyDescent="0.25">
      <c r="A64" s="589">
        <v>42416</v>
      </c>
      <c r="B64" s="173" t="s">
        <v>846</v>
      </c>
      <c r="C64" s="173"/>
      <c r="D64" s="176" t="s">
        <v>553</v>
      </c>
      <c r="E64" s="345" t="s">
        <v>230</v>
      </c>
      <c r="F64" s="173" t="s">
        <v>361</v>
      </c>
      <c r="G64" s="107">
        <v>1</v>
      </c>
      <c r="H64" s="109"/>
      <c r="I64" s="109"/>
      <c r="J64" s="109">
        <v>9</v>
      </c>
      <c r="K64" s="109">
        <v>9</v>
      </c>
      <c r="L64" s="175"/>
      <c r="M64" s="175"/>
      <c r="N64" s="175"/>
      <c r="O64" s="175"/>
      <c r="P64" s="108">
        <f>IF(Table_Shelter[[#This Row],[Status]]="Open",IF(V64="NO",Table_Shelter[[#This Row],[HH per Shelter]]*(Table_Shelter[[#This Row],['# of Temporary Shelter Units Built]]+Table_Shelter[[#This Row],['# of Temporary Shelter Under  Construction]]+Table_Shelter[[#This Row],['# of Permanent House Under Construction]]),0),0)</f>
        <v>0</v>
      </c>
      <c r="Q64" s="108"/>
      <c r="R64" s="175"/>
      <c r="S64" s="175" t="str">
        <f>IFERROR(VLOOKUP(Table_Shelter[[#This Row],[CampName]],CL,2,0),"")</f>
        <v>MMR015CMP139</v>
      </c>
      <c r="T64" s="175" t="str">
        <f>IFERROR(VLOOKUP(Table_Shelter[[#This Row],[CampName]],CL,3,0),"")</f>
        <v>Closed</v>
      </c>
      <c r="U64" s="265" t="str">
        <f>IFERROR(Table_Shelter[[#This Row],[HH Covered]]/VLOOKUP(Table_Shelter[[#This Row],[CampName]],CL,4,0),"")</f>
        <v/>
      </c>
      <c r="V64" s="175" t="s">
        <v>1305</v>
      </c>
      <c r="W64" s="16"/>
    </row>
    <row r="65" spans="1:23" ht="15" customHeight="1" x14ac:dyDescent="0.25">
      <c r="A65" s="589">
        <v>42416</v>
      </c>
      <c r="B65" s="173" t="s">
        <v>846</v>
      </c>
      <c r="C65" s="173"/>
      <c r="D65" s="180" t="s">
        <v>553</v>
      </c>
      <c r="E65" s="181" t="s">
        <v>779</v>
      </c>
      <c r="F65" s="107" t="s">
        <v>1275</v>
      </c>
      <c r="G65" s="107">
        <v>1</v>
      </c>
      <c r="H65" s="109"/>
      <c r="I65" s="109"/>
      <c r="J65" s="109">
        <v>25</v>
      </c>
      <c r="K65" s="109">
        <v>25</v>
      </c>
      <c r="L65" s="109"/>
      <c r="M65" s="109"/>
      <c r="N65" s="109"/>
      <c r="O65" s="109"/>
      <c r="P65" s="108">
        <f>IF(Table_Shelter[[#This Row],[Status]]="Open",IF(V65="NO",Table_Shelter[[#This Row],[HH per Shelter]]*(Table_Shelter[[#This Row],['# of Temporary Shelter Units Built]]+Table_Shelter[[#This Row],['# of Temporary Shelter Under  Construction]]+Table_Shelter[[#This Row],['# of Permanent House Under Construction]]),0),0)</f>
        <v>25</v>
      </c>
      <c r="Q65" s="108"/>
      <c r="R65" s="108"/>
      <c r="S65" s="108" t="str">
        <f>IFERROR(VLOOKUP(Table_Shelter[[#This Row],[CampName]],CL,2,0),"")</f>
        <v>MMR015CMP218</v>
      </c>
      <c r="T65" s="108" t="str">
        <f>IFERROR(VLOOKUP(Table_Shelter[[#This Row],[CampName]],CL,3,0),"")</f>
        <v>Open</v>
      </c>
      <c r="U65" s="266">
        <f>IFERROR(Table_Shelter[[#This Row],[HH Covered]]/VLOOKUP(Table_Shelter[[#This Row],[CampName]],CL,4,0),"")</f>
        <v>0.65789473684210531</v>
      </c>
      <c r="V65" s="594" t="s">
        <v>1305</v>
      </c>
      <c r="W65" s="16"/>
    </row>
    <row r="66" spans="1:23" ht="15" customHeight="1" x14ac:dyDescent="0.25">
      <c r="A66" s="587">
        <v>42416</v>
      </c>
      <c r="B66" s="173" t="s">
        <v>846</v>
      </c>
      <c r="C66" s="173"/>
      <c r="D66" s="176" t="s">
        <v>553</v>
      </c>
      <c r="E66" s="345" t="s">
        <v>289</v>
      </c>
      <c r="F66" s="173" t="s">
        <v>1067</v>
      </c>
      <c r="G66" s="107">
        <v>1</v>
      </c>
      <c r="H66" s="109"/>
      <c r="I66" s="109"/>
      <c r="J66" s="109">
        <v>36</v>
      </c>
      <c r="K66" s="109">
        <v>36</v>
      </c>
      <c r="L66" s="175"/>
      <c r="M66" s="175"/>
      <c r="N66" s="175"/>
      <c r="O66" s="175"/>
      <c r="P66" s="108">
        <f>IF(Table_Shelter[[#This Row],[Status]]="Open",IF(V66="NO",Table_Shelter[[#This Row],[HH per Shelter]]*(Table_Shelter[[#This Row],['# of Temporary Shelter Units Built]]+Table_Shelter[[#This Row],['# of Temporary Shelter Under  Construction]]+Table_Shelter[[#This Row],['# of Permanent House Under Construction]]),0),0)</f>
        <v>36</v>
      </c>
      <c r="Q66" s="108"/>
      <c r="R66" s="175"/>
      <c r="S66" s="175" t="str">
        <f>IFERROR(VLOOKUP(Table_Shelter[[#This Row],[CampName]],CL,2,0),"")</f>
        <v>MMR015CMP215</v>
      </c>
      <c r="T66" s="175" t="str">
        <f>IFERROR(VLOOKUP(Table_Shelter[[#This Row],[CampName]],CL,3,0),"")</f>
        <v>Open</v>
      </c>
      <c r="U66" s="265">
        <f>IFERROR(Table_Shelter[[#This Row],[HH Covered]]/VLOOKUP(Table_Shelter[[#This Row],[CampName]],CL,4,0),"")</f>
        <v>0.2975206611570248</v>
      </c>
      <c r="V66" s="265" t="s">
        <v>1305</v>
      </c>
      <c r="W66" s="175"/>
    </row>
    <row r="67" spans="1:23" ht="15" customHeight="1" x14ac:dyDescent="0.25">
      <c r="A67" s="589">
        <v>42416</v>
      </c>
      <c r="B67" s="173" t="s">
        <v>452</v>
      </c>
      <c r="C67" s="173" t="s">
        <v>506</v>
      </c>
      <c r="D67" s="176" t="s">
        <v>380</v>
      </c>
      <c r="E67" s="345" t="s">
        <v>237</v>
      </c>
      <c r="F67" s="173" t="s">
        <v>273</v>
      </c>
      <c r="G67" s="107">
        <v>1</v>
      </c>
      <c r="H67" s="109"/>
      <c r="I67" s="109"/>
      <c r="J67" s="109">
        <v>14</v>
      </c>
      <c r="K67" s="109">
        <v>14</v>
      </c>
      <c r="L67" s="175"/>
      <c r="M67" s="175"/>
      <c r="N67" s="175"/>
      <c r="O67" s="175"/>
      <c r="P67" s="108">
        <f>IF(Table_Shelter[[#This Row],[Status]]="Open",IF(V67="NO",Table_Shelter[[#This Row],[HH per Shelter]]*(Table_Shelter[[#This Row],['# of Temporary Shelter Units Built]]+Table_Shelter[[#This Row],['# of Temporary Shelter Under  Construction]]+Table_Shelter[[#This Row],['# of Permanent House Under Construction]]),0),0)</f>
        <v>14</v>
      </c>
      <c r="Q67" s="108"/>
      <c r="R67" s="175"/>
      <c r="S67" s="175" t="str">
        <f>IFERROR(VLOOKUP(Table_Shelter[[#This Row],[CampName]],CL,2,0),"")</f>
        <v>MMR001CMP162</v>
      </c>
      <c r="T67" s="175" t="str">
        <f>IFERROR(VLOOKUP(Table_Shelter[[#This Row],[CampName]],CL,3,0),"")</f>
        <v>Open</v>
      </c>
      <c r="U67" s="265">
        <f>IFERROR(Table_Shelter[[#This Row],[HH Covered]]/VLOOKUP(Table_Shelter[[#This Row],[CampName]],CL,4,0),"")</f>
        <v>0.30434782608695654</v>
      </c>
      <c r="V67" s="265" t="s">
        <v>1305</v>
      </c>
      <c r="W67" s="175"/>
    </row>
    <row r="68" spans="1:23" ht="15" customHeight="1" x14ac:dyDescent="0.25">
      <c r="A68" s="658">
        <v>42416</v>
      </c>
      <c r="B68" s="173" t="s">
        <v>452</v>
      </c>
      <c r="C68" s="173" t="s">
        <v>460</v>
      </c>
      <c r="D68" s="176" t="s">
        <v>380</v>
      </c>
      <c r="E68" s="345" t="s">
        <v>237</v>
      </c>
      <c r="F68" s="173" t="s">
        <v>277</v>
      </c>
      <c r="G68" s="107">
        <v>1</v>
      </c>
      <c r="H68" s="109"/>
      <c r="I68" s="109"/>
      <c r="J68" s="109"/>
      <c r="K68" s="109"/>
      <c r="L68" s="175"/>
      <c r="M68" s="175"/>
      <c r="N68" s="175"/>
      <c r="O68" s="175"/>
      <c r="P68" s="108">
        <f>IF(Table_Shelter[[#This Row],[Status]]="Open",IF(V68="NO",Table_Shelter[[#This Row],[HH per Shelter]]*(Table_Shelter[[#This Row],['# of Temporary Shelter Units Built]]+Table_Shelter[[#This Row],['# of Temporary Shelter Under  Construction]]+Table_Shelter[[#This Row],['# of Permanent House Under Construction]]),0),0)</f>
        <v>0</v>
      </c>
      <c r="Q68" s="108">
        <v>30</v>
      </c>
      <c r="R68" s="108">
        <v>30</v>
      </c>
      <c r="S68" s="175" t="str">
        <f>IFERROR(VLOOKUP(Table_Shelter[[#This Row],[CampName]],CL,2,0),"")</f>
        <v>MMR001CMP006</v>
      </c>
      <c r="T68" s="175" t="str">
        <f>IFERROR(VLOOKUP(Table_Shelter[[#This Row],[CampName]],CL,3,0),"")</f>
        <v>Open</v>
      </c>
      <c r="U68" s="265">
        <f>IFERROR(Table_Shelter[[#This Row],[HH Covered]]/VLOOKUP(Table_Shelter[[#This Row],[CampName]],CL,4,0),"")</f>
        <v>0</v>
      </c>
      <c r="V68" s="175" t="s">
        <v>1305</v>
      </c>
      <c r="W68" s="16"/>
    </row>
    <row r="69" spans="1:23" ht="15" customHeight="1" x14ac:dyDescent="0.25">
      <c r="A69" s="589">
        <v>42416</v>
      </c>
      <c r="B69" s="173" t="s">
        <v>848</v>
      </c>
      <c r="C69" s="173"/>
      <c r="D69" s="176" t="s">
        <v>380</v>
      </c>
      <c r="E69" s="345" t="s">
        <v>310</v>
      </c>
      <c r="F69" s="173" t="s">
        <v>347</v>
      </c>
      <c r="G69" s="107">
        <v>1</v>
      </c>
      <c r="H69" s="109"/>
      <c r="I69" s="109"/>
      <c r="J69" s="109">
        <v>73</v>
      </c>
      <c r="K69" s="109">
        <v>73</v>
      </c>
      <c r="L69" s="175"/>
      <c r="M69" s="175"/>
      <c r="N69" s="175"/>
      <c r="O69" s="175"/>
      <c r="P69" s="108">
        <f>IF(Table_Shelter[[#This Row],[Status]]="Open",IF(V69="NO",Table_Shelter[[#This Row],[HH per Shelter]]*(Table_Shelter[[#This Row],['# of Temporary Shelter Units Built]]+Table_Shelter[[#This Row],['# of Temporary Shelter Under  Construction]]+Table_Shelter[[#This Row],['# of Permanent House Under Construction]]),0),0)</f>
        <v>73</v>
      </c>
      <c r="Q69" s="108"/>
      <c r="R69" s="108"/>
      <c r="S69" s="108" t="str">
        <f>IFERROR(VLOOKUP(Table_Shelter[[#This Row],[CampName]],CL,2,0),"")</f>
        <v>MMR001CMP041</v>
      </c>
      <c r="T69" s="108" t="str">
        <f>IFERROR(VLOOKUP(Table_Shelter[[#This Row],[CampName]],CL,3,0),"")</f>
        <v>Open</v>
      </c>
      <c r="U69" s="265">
        <f>IFERROR(Table_Shelter[[#This Row],[HH Covered]]/VLOOKUP(Table_Shelter[[#This Row],[CampName]],CL,4,0),"")</f>
        <v>0.40782122905027934</v>
      </c>
      <c r="V69" s="108" t="s">
        <v>1305</v>
      </c>
      <c r="W69" s="16"/>
    </row>
    <row r="70" spans="1:23" ht="15" customHeight="1" x14ac:dyDescent="0.25">
      <c r="A70" s="592">
        <v>42416</v>
      </c>
      <c r="B70" s="173" t="s">
        <v>452</v>
      </c>
      <c r="C70" s="173" t="s">
        <v>460</v>
      </c>
      <c r="D70" s="176" t="s">
        <v>380</v>
      </c>
      <c r="E70" s="345" t="s">
        <v>237</v>
      </c>
      <c r="F70" s="173" t="s">
        <v>281</v>
      </c>
      <c r="G70" s="107">
        <v>1</v>
      </c>
      <c r="H70" s="109"/>
      <c r="I70" s="109"/>
      <c r="J70" s="109"/>
      <c r="K70" s="109"/>
      <c r="L70" s="175"/>
      <c r="M70" s="175"/>
      <c r="N70" s="175"/>
      <c r="O70" s="175"/>
      <c r="P70" s="108">
        <f>IF(Table_Shelter[[#This Row],[Status]]="Open",IF(V70="NO",Table_Shelter[[#This Row],[HH per Shelter]]*(Table_Shelter[[#This Row],['# of Temporary Shelter Units Built]]+Table_Shelter[[#This Row],['# of Temporary Shelter Under  Construction]]+Table_Shelter[[#This Row],['# of Permanent House Under Construction]]),0),0)</f>
        <v>0</v>
      </c>
      <c r="Q70" s="108">
        <v>46</v>
      </c>
      <c r="R70" s="108">
        <v>46</v>
      </c>
      <c r="S70" s="175" t="str">
        <f>IFERROR(VLOOKUP(Table_Shelter[[#This Row],[CampName]],CL,2,0),"")</f>
        <v>MMR001CMP009</v>
      </c>
      <c r="T70" s="175" t="str">
        <f>IFERROR(VLOOKUP(Table_Shelter[[#This Row],[CampName]],CL,3,0),"")</f>
        <v>Open</v>
      </c>
      <c r="U70" s="265">
        <f>IFERROR(Table_Shelter[[#This Row],[HH Covered]]/VLOOKUP(Table_Shelter[[#This Row],[CampName]],CL,4,0),"")</f>
        <v>0</v>
      </c>
      <c r="V70" s="265" t="s">
        <v>1305</v>
      </c>
      <c r="W70" s="175"/>
    </row>
    <row r="71" spans="1:23" ht="15" customHeight="1" x14ac:dyDescent="0.25">
      <c r="A71" s="658">
        <v>42416</v>
      </c>
      <c r="B71" s="173" t="s">
        <v>452</v>
      </c>
      <c r="C71" s="173" t="s">
        <v>460</v>
      </c>
      <c r="D71" s="176" t="s">
        <v>380</v>
      </c>
      <c r="E71" s="345" t="s">
        <v>237</v>
      </c>
      <c r="F71" s="173" t="s">
        <v>238</v>
      </c>
      <c r="G71" s="107">
        <v>1</v>
      </c>
      <c r="H71" s="109"/>
      <c r="I71" s="109"/>
      <c r="J71" s="109"/>
      <c r="K71" s="109"/>
      <c r="L71" s="175"/>
      <c r="M71" s="175"/>
      <c r="N71" s="175"/>
      <c r="O71" s="175"/>
      <c r="P71" s="108">
        <f>IF(Table_Shelter[[#This Row],[Status]]="Open",IF(V71="NO",Table_Shelter[[#This Row],[HH per Shelter]]*(Table_Shelter[[#This Row],['# of Temporary Shelter Units Built]]+Table_Shelter[[#This Row],['# of Temporary Shelter Under  Construction]]+Table_Shelter[[#This Row],['# of Permanent House Under Construction]]),0),0)</f>
        <v>0</v>
      </c>
      <c r="Q71" s="108">
        <v>37</v>
      </c>
      <c r="R71" s="108">
        <v>37</v>
      </c>
      <c r="S71" s="175" t="str">
        <f>IFERROR(VLOOKUP(Table_Shelter[[#This Row],[CampName]],CL,2,0),"")</f>
        <v>MMR001CMP001</v>
      </c>
      <c r="T71" s="175" t="str">
        <f>IFERROR(VLOOKUP(Table_Shelter[[#This Row],[CampName]],CL,3,0),"")</f>
        <v>Open</v>
      </c>
      <c r="U71" s="265">
        <f>IFERROR(Table_Shelter[[#This Row],[HH Covered]]/VLOOKUP(Table_Shelter[[#This Row],[CampName]],CL,4,0),"")</f>
        <v>0</v>
      </c>
      <c r="V71" s="175" t="s">
        <v>1305</v>
      </c>
      <c r="W71" s="16"/>
    </row>
    <row r="72" spans="1:23" ht="15" customHeight="1" x14ac:dyDescent="0.25">
      <c r="A72" s="589">
        <v>42416</v>
      </c>
      <c r="B72" s="173" t="s">
        <v>452</v>
      </c>
      <c r="C72" s="173" t="s">
        <v>505</v>
      </c>
      <c r="D72" s="176" t="s">
        <v>380</v>
      </c>
      <c r="E72" s="345" t="s">
        <v>237</v>
      </c>
      <c r="F72" s="173" t="s">
        <v>1244</v>
      </c>
      <c r="G72" s="107">
        <v>1</v>
      </c>
      <c r="H72" s="109"/>
      <c r="I72" s="109"/>
      <c r="J72" s="109">
        <v>10</v>
      </c>
      <c r="K72" s="109">
        <v>10</v>
      </c>
      <c r="L72" s="175"/>
      <c r="M72" s="175"/>
      <c r="N72" s="175"/>
      <c r="O72" s="175"/>
      <c r="P72" s="108">
        <f>IF(Table_Shelter[[#This Row],[Status]]="Open",IF(V72="NO",Table_Shelter[[#This Row],[HH per Shelter]]*(Table_Shelter[[#This Row],['# of Temporary Shelter Units Built]]+Table_Shelter[[#This Row],['# of Temporary Shelter Under  Construction]]+Table_Shelter[[#This Row],['# of Permanent House Under Construction]]),0),0)</f>
        <v>10</v>
      </c>
      <c r="Q72" s="108"/>
      <c r="R72" s="175"/>
      <c r="S72" s="175" t="str">
        <f>IFERROR(VLOOKUP(Table_Shelter[[#This Row],[CampName]],CL,2,0),"")</f>
        <v>MMR001CMP023</v>
      </c>
      <c r="T72" s="175" t="str">
        <f>IFERROR(VLOOKUP(Table_Shelter[[#This Row],[CampName]],CL,3,0),"")</f>
        <v>Open</v>
      </c>
      <c r="U72" s="265">
        <f>IFERROR(Table_Shelter[[#This Row],[HH Covered]]/VLOOKUP(Table_Shelter[[#This Row],[CampName]],CL,4,0),"")</f>
        <v>0.18518518518518517</v>
      </c>
      <c r="V72" s="265" t="s">
        <v>1305</v>
      </c>
      <c r="W72" s="175"/>
    </row>
    <row r="73" spans="1:23" ht="15" customHeight="1" x14ac:dyDescent="0.25">
      <c r="A73" s="658">
        <v>42416</v>
      </c>
      <c r="B73" s="173" t="s">
        <v>452</v>
      </c>
      <c r="C73" s="173" t="s">
        <v>460</v>
      </c>
      <c r="D73" s="176" t="s">
        <v>380</v>
      </c>
      <c r="E73" s="345" t="s">
        <v>310</v>
      </c>
      <c r="F73" s="173" t="s">
        <v>1245</v>
      </c>
      <c r="G73" s="107">
        <v>1</v>
      </c>
      <c r="H73" s="109"/>
      <c r="I73" s="109"/>
      <c r="J73" s="109"/>
      <c r="K73" s="109"/>
      <c r="L73" s="175"/>
      <c r="M73" s="175"/>
      <c r="N73" s="175"/>
      <c r="O73" s="175"/>
      <c r="P73" s="108">
        <f>IF(Table_Shelter[[#This Row],[Status]]="Open",IF(V73="NO",Table_Shelter[[#This Row],[HH per Shelter]]*(Table_Shelter[[#This Row],['# of Temporary Shelter Units Built]]+Table_Shelter[[#This Row],['# of Temporary Shelter Under  Construction]]+Table_Shelter[[#This Row],['# of Permanent House Under Construction]]),0),0)</f>
        <v>0</v>
      </c>
      <c r="Q73" s="108">
        <v>8</v>
      </c>
      <c r="R73" s="108">
        <v>8</v>
      </c>
      <c r="S73" s="175" t="str">
        <f>IFERROR(VLOOKUP(Table_Shelter[[#This Row],[CampName]],CL,2,0),"")</f>
        <v>MMR001CMP111</v>
      </c>
      <c r="T73" s="175" t="str">
        <f>IFERROR(VLOOKUP(Table_Shelter[[#This Row],[CampName]],CL,3,0),"")</f>
        <v>Open</v>
      </c>
      <c r="U73" s="265">
        <f>IFERROR(Table_Shelter[[#This Row],[HH Covered]]/VLOOKUP(Table_Shelter[[#This Row],[CampName]],CL,4,0),"")</f>
        <v>0</v>
      </c>
      <c r="V73" s="175" t="s">
        <v>1305</v>
      </c>
      <c r="W73" s="16"/>
    </row>
    <row r="74" spans="1:23" ht="15" customHeight="1" x14ac:dyDescent="0.25">
      <c r="A74" s="589">
        <v>42416</v>
      </c>
      <c r="B74" s="173" t="s">
        <v>846</v>
      </c>
      <c r="C74" s="173"/>
      <c r="D74" s="176" t="s">
        <v>553</v>
      </c>
      <c r="E74" s="345" t="s">
        <v>146</v>
      </c>
      <c r="F74" s="173" t="s">
        <v>373</v>
      </c>
      <c r="G74" s="107">
        <v>1</v>
      </c>
      <c r="H74" s="109"/>
      <c r="I74" s="109"/>
      <c r="J74" s="109">
        <v>16</v>
      </c>
      <c r="K74" s="109">
        <v>16</v>
      </c>
      <c r="L74" s="175"/>
      <c r="M74" s="175"/>
      <c r="N74" s="175"/>
      <c r="O74" s="175"/>
      <c r="P74" s="108">
        <f>IF(Table_Shelter[[#This Row],[Status]]="Open",IF(V74="NO",Table_Shelter[[#This Row],[HH per Shelter]]*(Table_Shelter[[#This Row],['# of Temporary Shelter Units Built]]+Table_Shelter[[#This Row],['# of Temporary Shelter Under  Construction]]+Table_Shelter[[#This Row],['# of Permanent House Under Construction]]),0),0)</f>
        <v>16</v>
      </c>
      <c r="Q74" s="108"/>
      <c r="R74" s="175"/>
      <c r="S74" s="175" t="str">
        <f>IFERROR(VLOOKUP(Table_Shelter[[#This Row],[CampName]],CL,2,0),"")</f>
        <v>MMR015CMP020</v>
      </c>
      <c r="T74" s="175" t="str">
        <f>IFERROR(VLOOKUP(Table_Shelter[[#This Row],[CampName]],CL,3,0),"")</f>
        <v>Open</v>
      </c>
      <c r="U74" s="265">
        <f>IFERROR(Table_Shelter[[#This Row],[HH Covered]]/VLOOKUP(Table_Shelter[[#This Row],[CampName]],CL,4,0),"")</f>
        <v>8.4210526315789472E-2</v>
      </c>
      <c r="V74" s="175" t="s">
        <v>1305</v>
      </c>
      <c r="W74" s="16"/>
    </row>
    <row r="75" spans="1:23" ht="15" customHeight="1" x14ac:dyDescent="0.25">
      <c r="A75" s="658">
        <v>42003</v>
      </c>
      <c r="B75" s="173" t="s">
        <v>452</v>
      </c>
      <c r="C75" s="173" t="s">
        <v>460</v>
      </c>
      <c r="D75" s="176" t="s">
        <v>380</v>
      </c>
      <c r="E75" s="345" t="s">
        <v>310</v>
      </c>
      <c r="F75" s="173" t="s">
        <v>347</v>
      </c>
      <c r="G75" s="107">
        <v>1</v>
      </c>
      <c r="H75" s="109">
        <v>90</v>
      </c>
      <c r="I75" s="109"/>
      <c r="J75" s="109"/>
      <c r="K75" s="109"/>
      <c r="L75" s="175"/>
      <c r="M75" s="175"/>
      <c r="N75" s="175"/>
      <c r="O75" s="175"/>
      <c r="P75" s="108">
        <f>IF(Table_Shelter[[#This Row],[Status]]="Open",IF(V75="NO",Table_Shelter[[#This Row],[HH per Shelter]]*(Table_Shelter[[#This Row],['# of Temporary Shelter Units Built]]+Table_Shelter[[#This Row],['# of Temporary Shelter Under  Construction]]+Table_Shelter[[#This Row],['# of Permanent House Under Construction]]),0),0)</f>
        <v>0</v>
      </c>
      <c r="Q75" s="108"/>
      <c r="R75" s="175"/>
      <c r="S75" s="175" t="str">
        <f>IFERROR(VLOOKUP(Table_Shelter[[#This Row],[CampName]],CL,2,0),"")</f>
        <v>MMR001CMP041</v>
      </c>
      <c r="T75" s="175" t="str">
        <f>IFERROR(VLOOKUP(Table_Shelter[[#This Row],[CampName]],CL,3,0),"")</f>
        <v>Open</v>
      </c>
      <c r="U75" s="265">
        <f>IFERROR(Table_Shelter[[#This Row],[HH Covered]]/VLOOKUP(Table_Shelter[[#This Row],[CampName]],CL,4,0),"")</f>
        <v>0</v>
      </c>
      <c r="V75" s="265" t="s">
        <v>1305</v>
      </c>
      <c r="W75" s="175"/>
    </row>
    <row r="76" spans="1:23" ht="15" customHeight="1" x14ac:dyDescent="0.25">
      <c r="A76" s="589">
        <v>41974</v>
      </c>
      <c r="B76" s="173" t="s">
        <v>452</v>
      </c>
      <c r="C76" s="173" t="s">
        <v>505</v>
      </c>
      <c r="D76" s="180" t="s">
        <v>380</v>
      </c>
      <c r="E76" s="345" t="s">
        <v>527</v>
      </c>
      <c r="F76" s="173" t="s">
        <v>41</v>
      </c>
      <c r="G76" s="107">
        <v>1</v>
      </c>
      <c r="H76" s="107"/>
      <c r="I76" s="107"/>
      <c r="J76" s="107">
        <v>15</v>
      </c>
      <c r="K76" s="107">
        <v>15</v>
      </c>
      <c r="L76" s="173"/>
      <c r="M76" s="173"/>
      <c r="N76" s="173"/>
      <c r="O76" s="173"/>
      <c r="P76" s="108">
        <f>IF(Table_Shelter[[#This Row],[Status]]="Open",IF(V76="NO",Table_Shelter[[#This Row],[HH per Shelter]]*(Table_Shelter[[#This Row],['# of Temporary Shelter Units Built]]+Table_Shelter[[#This Row],['# of Temporary Shelter Under  Construction]]+Table_Shelter[[#This Row],['# of Permanent House Under Construction]]),0),0)</f>
        <v>15</v>
      </c>
      <c r="Q76" s="106"/>
      <c r="R76" s="106"/>
      <c r="S76" s="108" t="str">
        <f>IFERROR(VLOOKUP(Table_Shelter[[#This Row],[CampName]],CL,2,0),"")</f>
        <v>MMR001CMP176</v>
      </c>
      <c r="T76" s="108" t="str">
        <f>IFERROR(VLOOKUP(Table_Shelter[[#This Row],[CampName]],CL,3,0),"")</f>
        <v>Open</v>
      </c>
      <c r="U76" s="265">
        <f>IFERROR(Table_Shelter[[#This Row],[HH Covered]]/VLOOKUP(Table_Shelter[[#This Row],[CampName]],CL,4,0),"")</f>
        <v>0.22388059701492538</v>
      </c>
      <c r="V76" s="265" t="s">
        <v>1305</v>
      </c>
      <c r="W76" s="108"/>
    </row>
    <row r="77" spans="1:23" ht="15" customHeight="1" x14ac:dyDescent="0.25">
      <c r="A77" s="589">
        <v>41974</v>
      </c>
      <c r="B77" s="173" t="s">
        <v>452</v>
      </c>
      <c r="C77" s="173" t="s">
        <v>505</v>
      </c>
      <c r="D77" s="173" t="s">
        <v>380</v>
      </c>
      <c r="E77" s="345" t="s">
        <v>527</v>
      </c>
      <c r="F77" s="173" t="s">
        <v>43</v>
      </c>
      <c r="G77" s="107">
        <v>1</v>
      </c>
      <c r="H77" s="107"/>
      <c r="I77" s="107"/>
      <c r="J77" s="107">
        <v>5</v>
      </c>
      <c r="K77" s="107">
        <v>5</v>
      </c>
      <c r="L77" s="173"/>
      <c r="M77" s="173"/>
      <c r="N77" s="173"/>
      <c r="O77" s="173"/>
      <c r="P77" s="108">
        <f>IF(Table_Shelter[[#This Row],[Status]]="Open",IF(V77="NO",Table_Shelter[[#This Row],[HH per Shelter]]*(Table_Shelter[[#This Row],['# of Temporary Shelter Units Built]]+Table_Shelter[[#This Row],['# of Temporary Shelter Under  Construction]]+Table_Shelter[[#This Row],['# of Permanent House Under Construction]]),0),0)</f>
        <v>5</v>
      </c>
      <c r="Q77" s="106"/>
      <c r="R77" s="106"/>
      <c r="S77" s="108" t="str">
        <f>IFERROR(VLOOKUP(Table_Shelter[[#This Row],[CampName]],CL,2,0),"")</f>
        <v>MMR001CMP190</v>
      </c>
      <c r="T77" s="108" t="str">
        <f>IFERROR(VLOOKUP(Table_Shelter[[#This Row],[CampName]],CL,3,0),"")</f>
        <v>Open</v>
      </c>
      <c r="U77" s="265">
        <f>IFERROR(Table_Shelter[[#This Row],[HH Covered]]/VLOOKUP(Table_Shelter[[#This Row],[CampName]],CL,4,0),"")</f>
        <v>0.35714285714285715</v>
      </c>
      <c r="V77" s="265" t="s">
        <v>1305</v>
      </c>
      <c r="W77" s="108"/>
    </row>
    <row r="78" spans="1:23" ht="15" customHeight="1" x14ac:dyDescent="0.25">
      <c r="A78" s="589">
        <v>41974</v>
      </c>
      <c r="B78" s="173" t="s">
        <v>452</v>
      </c>
      <c r="C78" s="173" t="s">
        <v>505</v>
      </c>
      <c r="D78" s="176" t="s">
        <v>380</v>
      </c>
      <c r="E78" s="345" t="s">
        <v>527</v>
      </c>
      <c r="F78" s="173" t="s">
        <v>58</v>
      </c>
      <c r="G78" s="107">
        <v>1</v>
      </c>
      <c r="H78" s="107"/>
      <c r="I78" s="107"/>
      <c r="J78" s="107">
        <v>5</v>
      </c>
      <c r="K78" s="107">
        <v>5</v>
      </c>
      <c r="L78" s="173"/>
      <c r="M78" s="173"/>
      <c r="N78" s="173"/>
      <c r="O78" s="173"/>
      <c r="P78" s="108">
        <f>IF(Table_Shelter[[#This Row],[Status]]="Open",IF(V78="NO",Table_Shelter[[#This Row],[HH per Shelter]]*(Table_Shelter[[#This Row],['# of Temporary Shelter Units Built]]+Table_Shelter[[#This Row],['# of Temporary Shelter Under  Construction]]+Table_Shelter[[#This Row],['# of Permanent House Under Construction]]),0),0)</f>
        <v>0</v>
      </c>
      <c r="Q78" s="106"/>
      <c r="R78" s="106"/>
      <c r="S78" s="108" t="str">
        <f>IFERROR(VLOOKUP(Table_Shelter[[#This Row],[CampName]],CL,2,0),"")</f>
        <v>MMR001CMP188</v>
      </c>
      <c r="T78" s="108" t="str">
        <f>IFERROR(VLOOKUP(Table_Shelter[[#This Row],[CampName]],CL,3,0),"")</f>
        <v>Closed</v>
      </c>
      <c r="U78" s="265" t="str">
        <f>IFERROR(Table_Shelter[[#This Row],[HH Covered]]/VLOOKUP(Table_Shelter[[#This Row],[CampName]],CL,4,0),"")</f>
        <v/>
      </c>
      <c r="V78" s="265" t="s">
        <v>1305</v>
      </c>
      <c r="W78" s="108"/>
    </row>
    <row r="79" spans="1:23" ht="15" customHeight="1" x14ac:dyDescent="0.25">
      <c r="A79" s="589">
        <v>41974</v>
      </c>
      <c r="B79" s="173" t="s">
        <v>452</v>
      </c>
      <c r="C79" s="173" t="s">
        <v>460</v>
      </c>
      <c r="D79" s="173" t="s">
        <v>380</v>
      </c>
      <c r="E79" s="345" t="s">
        <v>151</v>
      </c>
      <c r="F79" s="173" t="s">
        <v>188</v>
      </c>
      <c r="G79" s="107">
        <v>1</v>
      </c>
      <c r="H79" s="107"/>
      <c r="I79" s="107"/>
      <c r="J79" s="107">
        <v>90</v>
      </c>
      <c r="K79" s="107">
        <v>90</v>
      </c>
      <c r="L79" s="173"/>
      <c r="M79" s="173"/>
      <c r="N79" s="173"/>
      <c r="O79" s="173"/>
      <c r="P79" s="149">
        <f>IF(Table_Shelter[[#This Row],[Status]]="Open",IF(V79="NO",Table_Shelter[[#This Row],[HH per Shelter]]*(Table_Shelter[[#This Row],['# of Temporary Shelter Units Built]]+Table_Shelter[[#This Row],['# of Temporary Shelter Under  Construction]]+Table_Shelter[[#This Row],['# of Permanent House Under Construction]]),0),0)</f>
        <v>90</v>
      </c>
      <c r="Q79" s="106"/>
      <c r="R79" s="173"/>
      <c r="S79" s="174" t="str">
        <f>IFERROR(VLOOKUP(Table_Shelter[[#This Row],[CampName]],CL,2,0),"")</f>
        <v>MMR001CMP129</v>
      </c>
      <c r="T79" s="174" t="str">
        <f>IFERROR(VLOOKUP(Table_Shelter[[#This Row],[CampName]],CL,3,0),"")</f>
        <v>Open</v>
      </c>
      <c r="U79" s="265">
        <f>IFERROR(Table_Shelter[[#This Row],[HH Covered]]/VLOOKUP(Table_Shelter[[#This Row],[CampName]],CL,4,0),"")</f>
        <v>0.20454545454545456</v>
      </c>
      <c r="V79" s="265" t="s">
        <v>1305</v>
      </c>
      <c r="W79" s="175"/>
    </row>
    <row r="80" spans="1:23" ht="15" customHeight="1" x14ac:dyDescent="0.25">
      <c r="A80" s="589">
        <v>41974</v>
      </c>
      <c r="B80" s="173" t="s">
        <v>452</v>
      </c>
      <c r="C80" s="173" t="s">
        <v>460</v>
      </c>
      <c r="D80" s="173" t="s">
        <v>380</v>
      </c>
      <c r="E80" s="345" t="s">
        <v>151</v>
      </c>
      <c r="F80" s="173" t="s">
        <v>1034</v>
      </c>
      <c r="G80" s="107">
        <v>1</v>
      </c>
      <c r="H80" s="107"/>
      <c r="I80" s="107"/>
      <c r="J80" s="107">
        <v>120</v>
      </c>
      <c r="K80" s="107">
        <v>120</v>
      </c>
      <c r="L80" s="173"/>
      <c r="M80" s="173"/>
      <c r="N80" s="173"/>
      <c r="O80" s="173"/>
      <c r="P80" s="149">
        <f>IF(Table_Shelter[[#This Row],[Status]]="Open",IF(V80="NO",Table_Shelter[[#This Row],[HH per Shelter]]*(Table_Shelter[[#This Row],['# of Temporary Shelter Units Built]]+Table_Shelter[[#This Row],['# of Temporary Shelter Under  Construction]]+Table_Shelter[[#This Row],['# of Permanent House Under Construction]]),0),0)</f>
        <v>0</v>
      </c>
      <c r="Q80" s="106"/>
      <c r="R80" s="173"/>
      <c r="S80" s="174" t="str">
        <f>IFERROR(VLOOKUP(Table_Shelter[[#This Row],[CampName]],CL,2,0),"")</f>
        <v>MMR001CMP226</v>
      </c>
      <c r="T80" s="174" t="str">
        <f>IFERROR(VLOOKUP(Table_Shelter[[#This Row],[CampName]],CL,3,0),"")</f>
        <v>Closed</v>
      </c>
      <c r="U80" s="265" t="str">
        <f>IFERROR(Table_Shelter[[#This Row],[HH Covered]]/VLOOKUP(Table_Shelter[[#This Row],[CampName]],CL,4,0),"")</f>
        <v/>
      </c>
      <c r="V80" s="265" t="s">
        <v>1305</v>
      </c>
      <c r="W80" s="175"/>
    </row>
    <row r="81" spans="1:23" ht="15" customHeight="1" x14ac:dyDescent="0.25">
      <c r="A81" s="592">
        <v>41974</v>
      </c>
      <c r="B81" s="175" t="s">
        <v>452</v>
      </c>
      <c r="C81" s="175" t="s">
        <v>505</v>
      </c>
      <c r="D81" s="175" t="s">
        <v>380</v>
      </c>
      <c r="E81" s="179" t="s">
        <v>527</v>
      </c>
      <c r="F81" s="175" t="s">
        <v>72</v>
      </c>
      <c r="G81" s="109">
        <v>1</v>
      </c>
      <c r="H81" s="109"/>
      <c r="I81" s="109"/>
      <c r="J81" s="109">
        <v>2</v>
      </c>
      <c r="K81" s="109">
        <v>2</v>
      </c>
      <c r="L81" s="175"/>
      <c r="M81" s="175"/>
      <c r="N81" s="175"/>
      <c r="O81" s="175"/>
      <c r="P81" s="108">
        <f>IF(Table_Shelter[[#This Row],[Status]]="Open",IF(V81="NO",Table_Shelter[[#This Row],[HH per Shelter]]*(Table_Shelter[[#This Row],['# of Temporary Shelter Units Built]]+Table_Shelter[[#This Row],['# of Temporary Shelter Under  Construction]]+Table_Shelter[[#This Row],['# of Permanent House Under Construction]]),0),0)</f>
        <v>2</v>
      </c>
      <c r="Q81" s="108"/>
      <c r="R81" s="108"/>
      <c r="S81" s="108" t="str">
        <f>IFERROR(VLOOKUP(Table_Shelter[[#This Row],[CampName]],CL,2,0),"")</f>
        <v>MMR001CMP109</v>
      </c>
      <c r="T81" s="108" t="str">
        <f>IFERROR(VLOOKUP(Table_Shelter[[#This Row],[CampName]],CL,3,0),"")</f>
        <v>Open</v>
      </c>
      <c r="U81" s="265">
        <f>IFERROR(Table_Shelter[[#This Row],[HH Covered]]/VLOOKUP(Table_Shelter[[#This Row],[CampName]],CL,4,0),"")</f>
        <v>0.33333333333333331</v>
      </c>
      <c r="V81" s="265" t="s">
        <v>1305</v>
      </c>
      <c r="W81" s="108"/>
    </row>
    <row r="82" spans="1:23" ht="15" customHeight="1" x14ac:dyDescent="0.25">
      <c r="A82" s="589">
        <v>41974</v>
      </c>
      <c r="B82" s="173" t="s">
        <v>452</v>
      </c>
      <c r="C82" s="173" t="s">
        <v>505</v>
      </c>
      <c r="D82" s="173" t="s">
        <v>380</v>
      </c>
      <c r="E82" s="345" t="s">
        <v>27</v>
      </c>
      <c r="F82" s="173" t="s">
        <v>1103</v>
      </c>
      <c r="G82" s="107">
        <v>1</v>
      </c>
      <c r="H82" s="107"/>
      <c r="I82" s="107"/>
      <c r="J82" s="107">
        <v>5</v>
      </c>
      <c r="K82" s="107">
        <v>5</v>
      </c>
      <c r="L82" s="173"/>
      <c r="M82" s="173"/>
      <c r="N82" s="173"/>
      <c r="O82" s="173"/>
      <c r="P82" s="149">
        <f>IF(Table_Shelter[[#This Row],[Status]]="Open",IF(V82="NO",Table_Shelter[[#This Row],[HH per Shelter]]*(Table_Shelter[[#This Row],['# of Temporary Shelter Units Built]]+Table_Shelter[[#This Row],['# of Temporary Shelter Under  Construction]]+Table_Shelter[[#This Row],['# of Permanent House Under Construction]]),0),0)</f>
        <v>5</v>
      </c>
      <c r="Q82" s="106"/>
      <c r="R82" s="173"/>
      <c r="S82" s="174" t="str">
        <f>IFERROR(VLOOKUP(Table_Shelter[[#This Row],[CampName]],CL,2,0),"")</f>
        <v>MMR001CMP042</v>
      </c>
      <c r="T82" s="174" t="str">
        <f>IFERROR(VLOOKUP(Table_Shelter[[#This Row],[CampName]],CL,3,0),"")</f>
        <v>Open</v>
      </c>
      <c r="U82" s="265">
        <f>IFERROR(Table_Shelter[[#This Row],[HH Covered]]/VLOOKUP(Table_Shelter[[#This Row],[CampName]],CL,4,0),"")</f>
        <v>4.5454545454545456E-2</v>
      </c>
      <c r="V82" s="265" t="s">
        <v>1305</v>
      </c>
      <c r="W82" s="175"/>
    </row>
    <row r="83" spans="1:23" ht="15" customHeight="1" x14ac:dyDescent="0.25">
      <c r="A83" s="588">
        <v>41974</v>
      </c>
      <c r="B83" s="175" t="s">
        <v>452</v>
      </c>
      <c r="C83" s="175" t="s">
        <v>505</v>
      </c>
      <c r="D83" s="175" t="s">
        <v>380</v>
      </c>
      <c r="E83" s="179" t="s">
        <v>527</v>
      </c>
      <c r="F83" s="175" t="s">
        <v>76</v>
      </c>
      <c r="G83" s="109">
        <v>1</v>
      </c>
      <c r="H83" s="109"/>
      <c r="I83" s="109"/>
      <c r="J83" s="109">
        <v>45</v>
      </c>
      <c r="K83" s="109">
        <v>45</v>
      </c>
      <c r="L83" s="175"/>
      <c r="M83" s="175"/>
      <c r="N83" s="175"/>
      <c r="O83" s="175"/>
      <c r="P83" s="149">
        <f>IF(Table_Shelter[[#This Row],[Status]]="Open",IF(V83="NO",Table_Shelter[[#This Row],[HH per Shelter]]*(Table_Shelter[[#This Row],['# of Temporary Shelter Units Built]]+Table_Shelter[[#This Row],['# of Temporary Shelter Under  Construction]]+Table_Shelter[[#This Row],['# of Permanent House Under Construction]]),0),0)</f>
        <v>45</v>
      </c>
      <c r="Q83" s="108"/>
      <c r="R83" s="175"/>
      <c r="S83" s="174" t="str">
        <f>IFERROR(VLOOKUP(Table_Shelter[[#This Row],[CampName]],CL,2,0),"")</f>
        <v>MMR001CMP174</v>
      </c>
      <c r="T83" s="174" t="str">
        <f>IFERROR(VLOOKUP(Table_Shelter[[#This Row],[CampName]],CL,3,0),"")</f>
        <v>Open</v>
      </c>
      <c r="U83" s="265">
        <f>IFERROR(Table_Shelter[[#This Row],[HH Covered]]/VLOOKUP(Table_Shelter[[#This Row],[CampName]],CL,4,0),"")</f>
        <v>0.68181818181818177</v>
      </c>
      <c r="V83" s="265" t="s">
        <v>1305</v>
      </c>
      <c r="W83" s="175"/>
    </row>
    <row r="84" spans="1:23" ht="15" customHeight="1" x14ac:dyDescent="0.25">
      <c r="A84" s="588">
        <v>41974</v>
      </c>
      <c r="B84" s="175" t="s">
        <v>452</v>
      </c>
      <c r="C84" s="175" t="s">
        <v>506</v>
      </c>
      <c r="D84" s="175" t="s">
        <v>380</v>
      </c>
      <c r="E84" s="179" t="s">
        <v>185</v>
      </c>
      <c r="F84" s="175" t="s">
        <v>194</v>
      </c>
      <c r="G84" s="109">
        <v>1</v>
      </c>
      <c r="H84" s="109"/>
      <c r="I84" s="109"/>
      <c r="J84" s="109">
        <v>280</v>
      </c>
      <c r="K84" s="109">
        <v>280</v>
      </c>
      <c r="L84" s="175"/>
      <c r="M84" s="175"/>
      <c r="N84" s="175"/>
      <c r="O84" s="175"/>
      <c r="P84" s="149">
        <f>IF(Table_Shelter[[#This Row],[Status]]="Open",IF(V84="NO",Table_Shelter[[#This Row],[HH per Shelter]]*(Table_Shelter[[#This Row],['# of Temporary Shelter Units Built]]+Table_Shelter[[#This Row],['# of Temporary Shelter Under  Construction]]+Table_Shelter[[#This Row],['# of Permanent House Under Construction]]),0),0)</f>
        <v>280</v>
      </c>
      <c r="Q84" s="108"/>
      <c r="R84" s="175"/>
      <c r="S84" s="174" t="str">
        <f>IFERROR(VLOOKUP(Table_Shelter[[#This Row],[CampName]],CL,2,0),"")</f>
        <v>MMR001CMP122</v>
      </c>
      <c r="T84" s="174" t="str">
        <f>IFERROR(VLOOKUP(Table_Shelter[[#This Row],[CampName]],CL,3,0),"")</f>
        <v>Open</v>
      </c>
      <c r="U84" s="265">
        <f>IFERROR(Table_Shelter[[#This Row],[HH Covered]]/VLOOKUP(Table_Shelter[[#This Row],[CampName]],CL,4,0),"")</f>
        <v>0.43681747269890797</v>
      </c>
      <c r="V84" s="265" t="s">
        <v>1305</v>
      </c>
      <c r="W84" s="175"/>
    </row>
    <row r="85" spans="1:23" ht="15" customHeight="1" x14ac:dyDescent="0.25">
      <c r="A85" s="589">
        <v>41974</v>
      </c>
      <c r="B85" s="173" t="s">
        <v>452</v>
      </c>
      <c r="C85" s="173" t="s">
        <v>506</v>
      </c>
      <c r="D85" s="173" t="s">
        <v>380</v>
      </c>
      <c r="E85" s="345" t="s">
        <v>185</v>
      </c>
      <c r="F85" s="173" t="s">
        <v>196</v>
      </c>
      <c r="G85" s="107">
        <v>1</v>
      </c>
      <c r="H85" s="107"/>
      <c r="I85" s="107"/>
      <c r="J85" s="107">
        <v>278</v>
      </c>
      <c r="K85" s="107">
        <v>278</v>
      </c>
      <c r="L85" s="173"/>
      <c r="M85" s="173"/>
      <c r="N85" s="173"/>
      <c r="O85" s="173"/>
      <c r="P85" s="149">
        <f>IF(Table_Shelter[[#This Row],[Status]]="Open",IF(V85="NO",Table_Shelter[[#This Row],[HH per Shelter]]*(Table_Shelter[[#This Row],['# of Temporary Shelter Units Built]]+Table_Shelter[[#This Row],['# of Temporary Shelter Under  Construction]]+Table_Shelter[[#This Row],['# of Permanent House Under Construction]]),0),0)</f>
        <v>278</v>
      </c>
      <c r="Q85" s="106"/>
      <c r="R85" s="173"/>
      <c r="S85" s="174" t="str">
        <f>IFERROR(VLOOKUP(Table_Shelter[[#This Row],[CampName]],CL,2,0),"")</f>
        <v>MMR001CMP121</v>
      </c>
      <c r="T85" s="174" t="str">
        <f>IFERROR(VLOOKUP(Table_Shelter[[#This Row],[CampName]],CL,3,0),"")</f>
        <v>Open</v>
      </c>
      <c r="U85" s="265">
        <f>IFERROR(Table_Shelter[[#This Row],[HH Covered]]/VLOOKUP(Table_Shelter[[#This Row],[CampName]],CL,4,0),"")</f>
        <v>0.16858702243784113</v>
      </c>
      <c r="V85" s="265" t="s">
        <v>1305</v>
      </c>
      <c r="W85" s="175"/>
    </row>
    <row r="86" spans="1:23" ht="15" customHeight="1" x14ac:dyDescent="0.25">
      <c r="A86" s="589">
        <v>41974</v>
      </c>
      <c r="B86" s="173" t="s">
        <v>452</v>
      </c>
      <c r="C86" s="173" t="s">
        <v>460</v>
      </c>
      <c r="D86" s="173" t="s">
        <v>380</v>
      </c>
      <c r="E86" s="345" t="s">
        <v>151</v>
      </c>
      <c r="F86" s="173" t="s">
        <v>198</v>
      </c>
      <c r="G86" s="107">
        <v>1</v>
      </c>
      <c r="H86" s="107"/>
      <c r="I86" s="107"/>
      <c r="J86" s="107">
        <v>118</v>
      </c>
      <c r="K86" s="107">
        <v>118</v>
      </c>
      <c r="L86" s="173"/>
      <c r="M86" s="173"/>
      <c r="N86" s="173"/>
      <c r="O86" s="173"/>
      <c r="P86" s="149">
        <f>IF(Table_Shelter[[#This Row],[Status]]="Open",IF(V86="NO",Table_Shelter[[#This Row],[HH per Shelter]]*(Table_Shelter[[#This Row],['# of Temporary Shelter Units Built]]+Table_Shelter[[#This Row],['# of Temporary Shelter Under  Construction]]+Table_Shelter[[#This Row],['# of Permanent House Under Construction]]),0),0)</f>
        <v>118</v>
      </c>
      <c r="Q86" s="106"/>
      <c r="R86" s="173"/>
      <c r="S86" s="174" t="str">
        <f>IFERROR(VLOOKUP(Table_Shelter[[#This Row],[CampName]],CL,2,0),"")</f>
        <v>MMR001CMP128</v>
      </c>
      <c r="T86" s="174" t="str">
        <f>IFERROR(VLOOKUP(Table_Shelter[[#This Row],[CampName]],CL,3,0),"")</f>
        <v>Open</v>
      </c>
      <c r="U86" s="265">
        <f>IFERROR(Table_Shelter[[#This Row],[HH Covered]]/VLOOKUP(Table_Shelter[[#This Row],[CampName]],CL,4,0),"")</f>
        <v>0.21611721611721613</v>
      </c>
      <c r="V86" s="265" t="s">
        <v>1305</v>
      </c>
      <c r="W86" s="175"/>
    </row>
    <row r="87" spans="1:23" ht="15" customHeight="1" x14ac:dyDescent="0.25">
      <c r="A87" s="658">
        <v>41974</v>
      </c>
      <c r="B87" s="175" t="s">
        <v>452</v>
      </c>
      <c r="C87" s="175" t="s">
        <v>505</v>
      </c>
      <c r="D87" s="175" t="s">
        <v>380</v>
      </c>
      <c r="E87" s="179" t="s">
        <v>27</v>
      </c>
      <c r="F87" s="175" t="s">
        <v>365</v>
      </c>
      <c r="G87" s="109">
        <v>1</v>
      </c>
      <c r="H87" s="109"/>
      <c r="I87" s="109"/>
      <c r="J87" s="109">
        <v>35</v>
      </c>
      <c r="K87" s="109">
        <v>35</v>
      </c>
      <c r="L87" s="175"/>
      <c r="M87" s="175"/>
      <c r="N87" s="175"/>
      <c r="O87" s="175"/>
      <c r="P87" s="108">
        <f>IF(Table_Shelter[[#This Row],[Status]]="Open",IF(V87="NO",Table_Shelter[[#This Row],[HH per Shelter]]*(Table_Shelter[[#This Row],['# of Temporary Shelter Units Built]]+Table_Shelter[[#This Row],['# of Temporary Shelter Under  Construction]]+Table_Shelter[[#This Row],['# of Permanent House Under Construction]]),0),0)</f>
        <v>35</v>
      </c>
      <c r="Q87" s="108"/>
      <c r="R87" s="108"/>
      <c r="S87" s="108" t="str">
        <f>IFERROR(VLOOKUP(Table_Shelter[[#This Row],[CampName]],CL,2,0),"")</f>
        <v>MMR001CMP195</v>
      </c>
      <c r="T87" s="108" t="str">
        <f>IFERROR(VLOOKUP(Table_Shelter[[#This Row],[CampName]],CL,3,0),"")</f>
        <v>Open</v>
      </c>
      <c r="U87" s="265">
        <f>IFERROR(Table_Shelter[[#This Row],[HH Covered]]/VLOOKUP(Table_Shelter[[#This Row],[CampName]],CL,4,0),"")</f>
        <v>0.24475524475524477</v>
      </c>
      <c r="V87" s="265" t="s">
        <v>1305</v>
      </c>
      <c r="W87" s="108"/>
    </row>
    <row r="88" spans="1:23" ht="15" customHeight="1" x14ac:dyDescent="0.25">
      <c r="A88" s="589">
        <v>41974</v>
      </c>
      <c r="B88" s="173" t="s">
        <v>452</v>
      </c>
      <c r="C88" s="173" t="s">
        <v>505</v>
      </c>
      <c r="D88" s="173" t="s">
        <v>380</v>
      </c>
      <c r="E88" s="345" t="s">
        <v>527</v>
      </c>
      <c r="F88" s="173" t="s">
        <v>90</v>
      </c>
      <c r="G88" s="107">
        <v>1</v>
      </c>
      <c r="H88" s="107"/>
      <c r="I88" s="107"/>
      <c r="J88" s="107">
        <v>5</v>
      </c>
      <c r="K88" s="107">
        <v>5</v>
      </c>
      <c r="L88" s="173"/>
      <c r="M88" s="173"/>
      <c r="N88" s="173"/>
      <c r="O88" s="173"/>
      <c r="P88" s="108">
        <f>IF(Table_Shelter[[#This Row],[Status]]="Open",IF(V88="NO",Table_Shelter[[#This Row],[HH per Shelter]]*(Table_Shelter[[#This Row],['# of Temporary Shelter Units Built]]+Table_Shelter[[#This Row],['# of Temporary Shelter Under  Construction]]+Table_Shelter[[#This Row],['# of Permanent House Under Construction]]),0),0)</f>
        <v>5</v>
      </c>
      <c r="Q88" s="106"/>
      <c r="R88" s="106"/>
      <c r="S88" s="108" t="str">
        <f>IFERROR(VLOOKUP(Table_Shelter[[#This Row],[CampName]],CL,2,0),"")</f>
        <v>MMR001CMP181</v>
      </c>
      <c r="T88" s="108" t="str">
        <f>IFERROR(VLOOKUP(Table_Shelter[[#This Row],[CampName]],CL,3,0),"")</f>
        <v>Open</v>
      </c>
      <c r="U88" s="265">
        <f>IFERROR(Table_Shelter[[#This Row],[HH Covered]]/VLOOKUP(Table_Shelter[[#This Row],[CampName]],CL,4,0),"")</f>
        <v>0.2</v>
      </c>
      <c r="V88" s="265" t="s">
        <v>1305</v>
      </c>
      <c r="W88" s="108"/>
    </row>
    <row r="89" spans="1:23" ht="15" customHeight="1" x14ac:dyDescent="0.25">
      <c r="A89" s="589">
        <v>41974</v>
      </c>
      <c r="B89" s="173" t="s">
        <v>452</v>
      </c>
      <c r="C89" s="173" t="s">
        <v>505</v>
      </c>
      <c r="D89" s="173" t="s">
        <v>380</v>
      </c>
      <c r="E89" s="345" t="s">
        <v>527</v>
      </c>
      <c r="F89" s="173" t="s">
        <v>92</v>
      </c>
      <c r="G89" s="107">
        <v>1</v>
      </c>
      <c r="H89" s="107"/>
      <c r="I89" s="107"/>
      <c r="J89" s="107">
        <v>15</v>
      </c>
      <c r="K89" s="107">
        <v>15</v>
      </c>
      <c r="L89" s="173"/>
      <c r="M89" s="173"/>
      <c r="N89" s="173"/>
      <c r="O89" s="173"/>
      <c r="P89" s="149">
        <f>IF(Table_Shelter[[#This Row],[Status]]="Open",IF(V89="NO",Table_Shelter[[#This Row],[HH per Shelter]]*(Table_Shelter[[#This Row],['# of Temporary Shelter Units Built]]+Table_Shelter[[#This Row],['# of Temporary Shelter Under  Construction]]+Table_Shelter[[#This Row],['# of Permanent House Under Construction]]),0),0)</f>
        <v>15</v>
      </c>
      <c r="Q89" s="106"/>
      <c r="R89" s="173"/>
      <c r="S89" s="174" t="str">
        <f>IFERROR(VLOOKUP(Table_Shelter[[#This Row],[CampName]],CL,2,0),"")</f>
        <v>MMR001CMP167</v>
      </c>
      <c r="T89" s="174" t="str">
        <f>IFERROR(VLOOKUP(Table_Shelter[[#This Row],[CampName]],CL,3,0),"")</f>
        <v>Open</v>
      </c>
      <c r="U89" s="265">
        <f>IFERROR(Table_Shelter[[#This Row],[HH Covered]]/VLOOKUP(Table_Shelter[[#This Row],[CampName]],CL,4,0),"")</f>
        <v>1</v>
      </c>
      <c r="V89" s="265" t="s">
        <v>1305</v>
      </c>
      <c r="W89" s="175"/>
    </row>
    <row r="90" spans="1:23" ht="15" customHeight="1" x14ac:dyDescent="0.25">
      <c r="A90" s="592">
        <v>41974</v>
      </c>
      <c r="B90" s="175" t="s">
        <v>452</v>
      </c>
      <c r="C90" s="175" t="s">
        <v>505</v>
      </c>
      <c r="D90" s="175" t="s">
        <v>380</v>
      </c>
      <c r="E90" s="179" t="s">
        <v>5</v>
      </c>
      <c r="F90" s="175" t="s">
        <v>18</v>
      </c>
      <c r="G90" s="109">
        <v>1</v>
      </c>
      <c r="H90" s="109"/>
      <c r="I90" s="109"/>
      <c r="J90" s="109">
        <v>15</v>
      </c>
      <c r="K90" s="109">
        <v>15</v>
      </c>
      <c r="L90" s="175"/>
      <c r="M90" s="175"/>
      <c r="N90" s="175"/>
      <c r="O90" s="175"/>
      <c r="P90" s="149">
        <f>IF(Table_Shelter[[#This Row],[Status]]="Open",IF(V90="NO",Table_Shelter[[#This Row],[HH per Shelter]]*(Table_Shelter[[#This Row],['# of Temporary Shelter Units Built]]+Table_Shelter[[#This Row],['# of Temporary Shelter Under  Construction]]+Table_Shelter[[#This Row],['# of Permanent House Under Construction]]),0),0)</f>
        <v>15</v>
      </c>
      <c r="Q90" s="108">
        <v>8</v>
      </c>
      <c r="R90" s="175"/>
      <c r="S90" s="174" t="str">
        <f>IFERROR(VLOOKUP(Table_Shelter[[#This Row],[CampName]],CL,2,0),"")</f>
        <v>MMR001CMP049</v>
      </c>
      <c r="T90" s="174" t="str">
        <f>IFERROR(VLOOKUP(Table_Shelter[[#This Row],[CampName]],CL,3,0),"")</f>
        <v>Open</v>
      </c>
      <c r="U90" s="265">
        <f>IFERROR(Table_Shelter[[#This Row],[HH Covered]]/VLOOKUP(Table_Shelter[[#This Row],[CampName]],CL,4,0),"")</f>
        <v>0.12931034482758622</v>
      </c>
      <c r="V90" s="265" t="s">
        <v>1305</v>
      </c>
      <c r="W90" s="175"/>
    </row>
    <row r="91" spans="1:23" ht="15" customHeight="1" x14ac:dyDescent="0.25">
      <c r="A91" s="589">
        <v>41974</v>
      </c>
      <c r="B91" s="173" t="s">
        <v>452</v>
      </c>
      <c r="C91" s="173" t="s">
        <v>460</v>
      </c>
      <c r="D91" s="173" t="s">
        <v>380</v>
      </c>
      <c r="E91" s="345" t="s">
        <v>185</v>
      </c>
      <c r="F91" s="173" t="s">
        <v>223</v>
      </c>
      <c r="G91" s="107">
        <v>1</v>
      </c>
      <c r="H91" s="107"/>
      <c r="I91" s="107"/>
      <c r="J91" s="107">
        <v>21</v>
      </c>
      <c r="K91" s="107">
        <v>21</v>
      </c>
      <c r="L91" s="173"/>
      <c r="M91" s="173"/>
      <c r="N91" s="173"/>
      <c r="O91" s="173"/>
      <c r="P91" s="149">
        <f>IF(Table_Shelter[[#This Row],[Status]]="Open",IF(V91="NO",Table_Shelter[[#This Row],[HH per Shelter]]*(Table_Shelter[[#This Row],['# of Temporary Shelter Units Built]]+Table_Shelter[[#This Row],['# of Temporary Shelter Under  Construction]]+Table_Shelter[[#This Row],['# of Permanent House Under Construction]]),0),0)</f>
        <v>21</v>
      </c>
      <c r="Q91" s="106"/>
      <c r="R91" s="173"/>
      <c r="S91" s="174" t="str">
        <f>IFERROR(VLOOKUP(Table_Shelter[[#This Row],[CampName]],CL,2,0),"")</f>
        <v>MMR001CMP069</v>
      </c>
      <c r="T91" s="174" t="str">
        <f>IFERROR(VLOOKUP(Table_Shelter[[#This Row],[CampName]],CL,3,0),"")</f>
        <v>Open</v>
      </c>
      <c r="U91" s="265">
        <f>IFERROR(Table_Shelter[[#This Row],[HH Covered]]/VLOOKUP(Table_Shelter[[#This Row],[CampName]],CL,4,0),"")</f>
        <v>0.16935483870967741</v>
      </c>
      <c r="V91" s="265" t="s">
        <v>1305</v>
      </c>
      <c r="W91" s="175"/>
    </row>
    <row r="92" spans="1:23" ht="15" customHeight="1" x14ac:dyDescent="0.25">
      <c r="A92" s="658">
        <v>41974</v>
      </c>
      <c r="B92" s="173" t="s">
        <v>846</v>
      </c>
      <c r="C92" s="173"/>
      <c r="D92" s="176" t="s">
        <v>553</v>
      </c>
      <c r="E92" s="345" t="s">
        <v>230</v>
      </c>
      <c r="F92" s="173" t="s">
        <v>1053</v>
      </c>
      <c r="G92" s="107">
        <v>1</v>
      </c>
      <c r="H92" s="109"/>
      <c r="I92" s="109"/>
      <c r="J92" s="109">
        <v>44</v>
      </c>
      <c r="K92" s="109">
        <v>44</v>
      </c>
      <c r="L92" s="175"/>
      <c r="M92" s="175"/>
      <c r="N92" s="175"/>
      <c r="O92" s="175"/>
      <c r="P92" s="108">
        <f>IF(Table_Shelter[[#This Row],[Status]]="Open",IF(V92="NO",Table_Shelter[[#This Row],[HH per Shelter]]*(Table_Shelter[[#This Row],['# of Temporary Shelter Units Built]]+Table_Shelter[[#This Row],['# of Temporary Shelter Under  Construction]]+Table_Shelter[[#This Row],['# of Permanent House Under Construction]]),0),0)</f>
        <v>44</v>
      </c>
      <c r="Q92" s="108"/>
      <c r="R92" s="175"/>
      <c r="S92" s="175" t="str">
        <f>IFERROR(VLOOKUP(Table_Shelter[[#This Row],[CampName]],CL,2,0),"")</f>
        <v>MMR015CMP213</v>
      </c>
      <c r="T92" s="175" t="str">
        <f>IFERROR(VLOOKUP(Table_Shelter[[#This Row],[CampName]],CL,3,0),"")</f>
        <v>Open</v>
      </c>
      <c r="U92" s="265">
        <f>IFERROR(Table_Shelter[[#This Row],[HH Covered]]/VLOOKUP(Table_Shelter[[#This Row],[CampName]],CL,4,0),"")</f>
        <v>0.86274509803921573</v>
      </c>
      <c r="V92" s="265" t="s">
        <v>1305</v>
      </c>
      <c r="W92" s="175"/>
    </row>
    <row r="93" spans="1:23" ht="15" customHeight="1" x14ac:dyDescent="0.25">
      <c r="A93" s="658">
        <v>41974</v>
      </c>
      <c r="B93" s="173" t="s">
        <v>452</v>
      </c>
      <c r="C93" s="173" t="s">
        <v>505</v>
      </c>
      <c r="D93" s="176" t="s">
        <v>380</v>
      </c>
      <c r="E93" s="345" t="s">
        <v>527</v>
      </c>
      <c r="F93" s="173" t="s">
        <v>611</v>
      </c>
      <c r="G93" s="107">
        <v>1</v>
      </c>
      <c r="H93" s="109"/>
      <c r="I93" s="109"/>
      <c r="J93" s="109">
        <v>5</v>
      </c>
      <c r="K93" s="109">
        <v>5</v>
      </c>
      <c r="L93" s="175"/>
      <c r="M93" s="175"/>
      <c r="N93" s="175"/>
      <c r="O93" s="175"/>
      <c r="P93" s="108">
        <f>IF(Table_Shelter[[#This Row],[Status]]="Open",IF(V93="NO",Table_Shelter[[#This Row],[HH per Shelter]]*(Table_Shelter[[#This Row],['# of Temporary Shelter Units Built]]+Table_Shelter[[#This Row],['# of Temporary Shelter Under  Construction]]+Table_Shelter[[#This Row],['# of Permanent House Under Construction]]),0),0)</f>
        <v>5</v>
      </c>
      <c r="Q93" s="108"/>
      <c r="R93" s="108"/>
      <c r="S93" s="108" t="str">
        <f>IFERROR(VLOOKUP(Table_Shelter[[#This Row],[CampName]],CL,2,0),"")</f>
        <v>MMR001CMP192</v>
      </c>
      <c r="T93" s="108" t="str">
        <f>IFERROR(VLOOKUP(Table_Shelter[[#This Row],[CampName]],CL,3,0),"")</f>
        <v>Open</v>
      </c>
      <c r="U93" s="265">
        <f>IFERROR(Table_Shelter[[#This Row],[HH Covered]]/VLOOKUP(Table_Shelter[[#This Row],[CampName]],CL,4,0),"")</f>
        <v>0.41666666666666669</v>
      </c>
      <c r="V93" s="265" t="s">
        <v>1305</v>
      </c>
      <c r="W93" s="108"/>
    </row>
    <row r="94" spans="1:23" ht="15" customHeight="1" x14ac:dyDescent="0.25">
      <c r="A94" s="658">
        <v>41974</v>
      </c>
      <c r="B94" s="173" t="s">
        <v>452</v>
      </c>
      <c r="C94" s="173" t="s">
        <v>505</v>
      </c>
      <c r="D94" s="176" t="s">
        <v>380</v>
      </c>
      <c r="E94" s="345" t="s">
        <v>310</v>
      </c>
      <c r="F94" s="173" t="s">
        <v>344</v>
      </c>
      <c r="G94" s="107">
        <v>1</v>
      </c>
      <c r="H94" s="109"/>
      <c r="I94" s="109"/>
      <c r="J94" s="109">
        <v>9</v>
      </c>
      <c r="K94" s="109">
        <v>9</v>
      </c>
      <c r="L94" s="175"/>
      <c r="M94" s="175"/>
      <c r="N94" s="175"/>
      <c r="O94" s="175"/>
      <c r="P94" s="108">
        <f>IF(Table_Shelter[[#This Row],[Status]]="Open",IF(V94="NO",Table_Shelter[[#This Row],[HH per Shelter]]*(Table_Shelter[[#This Row],['# of Temporary Shelter Units Built]]+Table_Shelter[[#This Row],['# of Temporary Shelter Under  Construction]]+Table_Shelter[[#This Row],['# of Permanent House Under Construction]]),0),0)</f>
        <v>9</v>
      </c>
      <c r="Q94" s="108"/>
      <c r="R94" s="108"/>
      <c r="S94" s="108" t="str">
        <f>IFERROR(VLOOKUP(Table_Shelter[[#This Row],[CampName]],CL,2,0),"")</f>
        <v>MMR001CMP033</v>
      </c>
      <c r="T94" s="108" t="str">
        <f>IFERROR(VLOOKUP(Table_Shelter[[#This Row],[CampName]],CL,3,0),"")</f>
        <v>Open</v>
      </c>
      <c r="U94" s="265">
        <f>IFERROR(Table_Shelter[[#This Row],[HH Covered]]/VLOOKUP(Table_Shelter[[#This Row],[CampName]],CL,4,0),"")</f>
        <v>0.5</v>
      </c>
      <c r="V94" s="265" t="s">
        <v>1305</v>
      </c>
      <c r="W94" s="108"/>
    </row>
    <row r="95" spans="1:23" ht="15" customHeight="1" x14ac:dyDescent="0.25">
      <c r="A95" s="658">
        <v>41974</v>
      </c>
      <c r="B95" s="173" t="s">
        <v>453</v>
      </c>
      <c r="C95" s="173"/>
      <c r="D95" s="176" t="s">
        <v>380</v>
      </c>
      <c r="E95" s="345" t="s">
        <v>185</v>
      </c>
      <c r="F95" s="173" t="s">
        <v>219</v>
      </c>
      <c r="G95" s="107">
        <v>1</v>
      </c>
      <c r="H95" s="109"/>
      <c r="I95" s="109"/>
      <c r="J95" s="109">
        <v>394</v>
      </c>
      <c r="K95" s="109">
        <v>140</v>
      </c>
      <c r="L95" s="175"/>
      <c r="M95" s="175"/>
      <c r="N95" s="175"/>
      <c r="O95" s="175"/>
      <c r="P95" s="108">
        <f>IF(Table_Shelter[[#This Row],[Status]]="Open",IF(V95="NO",Table_Shelter[[#This Row],[HH per Shelter]]*(Table_Shelter[[#This Row],['# of Temporary Shelter Units Built]]+Table_Shelter[[#This Row],['# of Temporary Shelter Under  Construction]]+Table_Shelter[[#This Row],['# of Permanent House Under Construction]]),0),0)</f>
        <v>140</v>
      </c>
      <c r="Q95" s="108"/>
      <c r="R95" s="175"/>
      <c r="S95" s="175" t="str">
        <f>IFERROR(VLOOKUP(Table_Shelter[[#This Row],[CampName]],CL,2,0),"")</f>
        <v>MMR001CMP126</v>
      </c>
      <c r="T95" s="175" t="str">
        <f>IFERROR(VLOOKUP(Table_Shelter[[#This Row],[CampName]],CL,3,0),"")</f>
        <v>Open</v>
      </c>
      <c r="U95" s="265">
        <f>IFERROR(Table_Shelter[[#This Row],[HH Covered]]/VLOOKUP(Table_Shelter[[#This Row],[CampName]],CL,4,0),"")</f>
        <v>0.20926756352765322</v>
      </c>
      <c r="V95" s="265" t="s">
        <v>1305</v>
      </c>
      <c r="W95" s="175"/>
    </row>
    <row r="96" spans="1:23" ht="15" customHeight="1" x14ac:dyDescent="0.25">
      <c r="A96" s="658">
        <v>41974</v>
      </c>
      <c r="B96" s="173" t="s">
        <v>452</v>
      </c>
      <c r="C96" s="173" t="s">
        <v>505</v>
      </c>
      <c r="D96" s="176" t="s">
        <v>380</v>
      </c>
      <c r="E96" s="345" t="s">
        <v>310</v>
      </c>
      <c r="F96" s="173" t="s">
        <v>318</v>
      </c>
      <c r="G96" s="107">
        <v>1</v>
      </c>
      <c r="H96" s="109"/>
      <c r="I96" s="109"/>
      <c r="J96" s="109">
        <v>21</v>
      </c>
      <c r="K96" s="109">
        <v>21</v>
      </c>
      <c r="L96" s="175"/>
      <c r="M96" s="175"/>
      <c r="N96" s="175"/>
      <c r="O96" s="175"/>
      <c r="P96" s="108">
        <f>IF(Table_Shelter[[#This Row],[Status]]="Open",IF(V96="NO",Table_Shelter[[#This Row],[HH per Shelter]]*(Table_Shelter[[#This Row],['# of Temporary Shelter Units Built]]+Table_Shelter[[#This Row],['# of Temporary Shelter Under  Construction]]+Table_Shelter[[#This Row],['# of Permanent House Under Construction]]),0),0)</f>
        <v>21</v>
      </c>
      <c r="Q96" s="108"/>
      <c r="R96" s="108"/>
      <c r="S96" s="108" t="str">
        <f>IFERROR(VLOOKUP(Table_Shelter[[#This Row],[CampName]],CL,2,0),"")</f>
        <v>MMR001CMP032</v>
      </c>
      <c r="T96" s="108" t="str">
        <f>IFERROR(VLOOKUP(Table_Shelter[[#This Row],[CampName]],CL,3,0),"")</f>
        <v>Open</v>
      </c>
      <c r="U96" s="265">
        <f>IFERROR(Table_Shelter[[#This Row],[HH Covered]]/VLOOKUP(Table_Shelter[[#This Row],[CampName]],CL,4,0),"")</f>
        <v>0.23076923076923078</v>
      </c>
      <c r="V96" s="265" t="s">
        <v>1305</v>
      </c>
      <c r="W96" s="108"/>
    </row>
    <row r="97" spans="1:118" s="147" customFormat="1" ht="15" customHeight="1" x14ac:dyDescent="0.25">
      <c r="A97" s="592">
        <v>41974</v>
      </c>
      <c r="B97" s="173" t="s">
        <v>452</v>
      </c>
      <c r="C97" s="173" t="s">
        <v>505</v>
      </c>
      <c r="D97" s="176" t="s">
        <v>380</v>
      </c>
      <c r="E97" s="345" t="s">
        <v>237</v>
      </c>
      <c r="F97" s="173" t="s">
        <v>1244</v>
      </c>
      <c r="G97" s="107">
        <v>1</v>
      </c>
      <c r="H97" s="109"/>
      <c r="I97" s="109"/>
      <c r="J97" s="109">
        <v>5</v>
      </c>
      <c r="K97" s="109">
        <v>5</v>
      </c>
      <c r="L97" s="175"/>
      <c r="M97" s="175"/>
      <c r="N97" s="175"/>
      <c r="O97" s="175"/>
      <c r="P97" s="108">
        <f>IF(Table_Shelter[[#This Row],[Status]]="Open",IF(V97="NO",Table_Shelter[[#This Row],[HH per Shelter]]*(Table_Shelter[[#This Row],['# of Temporary Shelter Units Built]]+Table_Shelter[[#This Row],['# of Temporary Shelter Under  Construction]]+Table_Shelter[[#This Row],['# of Permanent House Under Construction]]),0),0)</f>
        <v>5</v>
      </c>
      <c r="Q97" s="108"/>
      <c r="R97" s="108"/>
      <c r="S97" s="108" t="str">
        <f>IFERROR(VLOOKUP(Table_Shelter[[#This Row],[CampName]],CL,2,0),"")</f>
        <v>MMR001CMP023</v>
      </c>
      <c r="T97" s="108" t="str">
        <f>IFERROR(VLOOKUP(Table_Shelter[[#This Row],[CampName]],CL,3,0),"")</f>
        <v>Open</v>
      </c>
      <c r="U97" s="265">
        <f>IFERROR(Table_Shelter[[#This Row],[HH Covered]]/VLOOKUP(Table_Shelter[[#This Row],[CampName]],CL,4,0),"")</f>
        <v>9.2592592592592587E-2</v>
      </c>
      <c r="V97" s="265" t="s">
        <v>1305</v>
      </c>
      <c r="W97" s="108"/>
      <c r="X97" s="445"/>
      <c r="Y97" s="445"/>
      <c r="Z97" s="445"/>
      <c r="AA97" s="445"/>
      <c r="AB97" s="445"/>
      <c r="AC97" s="445"/>
      <c r="AD97" s="445"/>
      <c r="AE97" s="445"/>
      <c r="AF97" s="445"/>
      <c r="AG97" s="445"/>
      <c r="AH97" s="445"/>
      <c r="AI97" s="445"/>
      <c r="AJ97" s="445"/>
      <c r="AK97" s="445"/>
      <c r="AL97" s="445"/>
      <c r="AM97" s="445"/>
      <c r="AN97" s="445"/>
      <c r="AO97" s="445"/>
      <c r="AP97" s="445"/>
      <c r="AQ97" s="445"/>
      <c r="AR97" s="445"/>
      <c r="AS97" s="445"/>
      <c r="AT97" s="445"/>
      <c r="AU97" s="445"/>
      <c r="AV97" s="445"/>
      <c r="AW97" s="445"/>
      <c r="AX97" s="445"/>
      <c r="AY97" s="445"/>
      <c r="AZ97" s="445"/>
      <c r="BA97" s="445"/>
      <c r="BB97" s="445"/>
      <c r="BC97" s="445"/>
      <c r="BD97" s="445"/>
      <c r="BE97" s="445"/>
      <c r="BF97" s="445"/>
      <c r="BG97" s="445"/>
      <c r="BH97" s="445"/>
      <c r="BI97" s="445"/>
      <c r="BJ97" s="445"/>
      <c r="BK97" s="445"/>
      <c r="BL97" s="445"/>
      <c r="BM97" s="445"/>
      <c r="BN97" s="445"/>
      <c r="BO97" s="445"/>
      <c r="BP97" s="445"/>
      <c r="BQ97" s="445"/>
      <c r="BR97" s="445"/>
      <c r="BS97" s="445"/>
      <c r="BT97" s="445"/>
      <c r="BU97" s="445"/>
      <c r="BV97" s="445"/>
      <c r="BW97" s="445"/>
      <c r="BX97" s="445"/>
      <c r="BY97" s="445"/>
      <c r="BZ97" s="445"/>
      <c r="CA97" s="445"/>
      <c r="CB97" s="445"/>
      <c r="CC97" s="445"/>
      <c r="CD97" s="445"/>
      <c r="CE97" s="445"/>
      <c r="CF97" s="445"/>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row>
    <row r="98" spans="1:118" s="147" customFormat="1" ht="15" customHeight="1" x14ac:dyDescent="0.25">
      <c r="A98" s="658">
        <v>41974</v>
      </c>
      <c r="B98" s="173" t="s">
        <v>452</v>
      </c>
      <c r="C98" s="173" t="s">
        <v>505</v>
      </c>
      <c r="D98" s="176" t="s">
        <v>380</v>
      </c>
      <c r="E98" s="345" t="s">
        <v>310</v>
      </c>
      <c r="F98" s="173" t="s">
        <v>349</v>
      </c>
      <c r="G98" s="107">
        <v>1</v>
      </c>
      <c r="H98" s="109"/>
      <c r="I98" s="109"/>
      <c r="J98" s="109">
        <v>5</v>
      </c>
      <c r="K98" s="109">
        <v>5</v>
      </c>
      <c r="L98" s="175"/>
      <c r="M98" s="175"/>
      <c r="N98" s="175"/>
      <c r="O98" s="175"/>
      <c r="P98" s="108">
        <f>IF(Table_Shelter[[#This Row],[Status]]="Open",IF(V98="NO",Table_Shelter[[#This Row],[HH per Shelter]]*(Table_Shelter[[#This Row],['# of Temporary Shelter Units Built]]+Table_Shelter[[#This Row],['# of Temporary Shelter Under  Construction]]+Table_Shelter[[#This Row],['# of Permanent House Under Construction]]),0),0)</f>
        <v>5</v>
      </c>
      <c r="Q98" s="108"/>
      <c r="R98" s="108"/>
      <c r="S98" s="108" t="str">
        <f>IFERROR(VLOOKUP(Table_Shelter[[#This Row],[CampName]],CL,2,0),"")</f>
        <v>MMR001CMP037</v>
      </c>
      <c r="T98" s="108" t="str">
        <f>IFERROR(VLOOKUP(Table_Shelter[[#This Row],[CampName]],CL,3,0),"")</f>
        <v>Open</v>
      </c>
      <c r="U98" s="265">
        <f>IFERROR(Table_Shelter[[#This Row],[HH Covered]]/VLOOKUP(Table_Shelter[[#This Row],[CampName]],CL,4,0),"")</f>
        <v>0.11363636363636363</v>
      </c>
      <c r="V98" s="265" t="s">
        <v>1305</v>
      </c>
      <c r="W98" s="108"/>
      <c r="X98" s="445"/>
      <c r="Y98" s="445"/>
      <c r="Z98" s="445"/>
      <c r="AA98" s="445"/>
      <c r="AB98" s="445"/>
      <c r="AC98" s="445"/>
      <c r="AD98" s="445"/>
      <c r="AE98" s="445"/>
      <c r="AF98" s="445"/>
      <c r="AG98" s="445"/>
      <c r="AH98" s="445"/>
      <c r="AI98" s="445"/>
      <c r="AJ98" s="445"/>
      <c r="AK98" s="445"/>
      <c r="AL98" s="445"/>
      <c r="AM98" s="445"/>
      <c r="AN98" s="445"/>
      <c r="AO98" s="445"/>
      <c r="AP98" s="445"/>
      <c r="AQ98" s="445"/>
      <c r="AR98" s="445"/>
      <c r="AS98" s="445"/>
      <c r="AT98" s="445"/>
      <c r="AU98" s="445"/>
      <c r="AV98" s="445"/>
      <c r="AW98" s="445"/>
      <c r="AX98" s="445"/>
      <c r="AY98" s="445"/>
      <c r="AZ98" s="445"/>
      <c r="BA98" s="445"/>
      <c r="BB98" s="445"/>
      <c r="BC98" s="445"/>
      <c r="BD98" s="445"/>
      <c r="BE98" s="445"/>
      <c r="BF98" s="445"/>
      <c r="BG98" s="445"/>
      <c r="BH98" s="445"/>
      <c r="BI98" s="445"/>
      <c r="BJ98" s="445"/>
      <c r="BK98" s="445"/>
      <c r="BL98" s="445"/>
      <c r="BM98" s="445"/>
      <c r="BN98" s="445"/>
      <c r="BO98" s="445"/>
      <c r="BP98" s="445"/>
      <c r="BQ98" s="445"/>
      <c r="BR98" s="445"/>
      <c r="BS98" s="445"/>
      <c r="BT98" s="445"/>
      <c r="BU98" s="445"/>
      <c r="BV98" s="445"/>
      <c r="BW98" s="445"/>
      <c r="BX98" s="445"/>
      <c r="BY98" s="445"/>
      <c r="BZ98" s="445"/>
      <c r="CA98" s="445"/>
      <c r="CB98" s="445"/>
      <c r="CC98" s="445"/>
      <c r="CD98" s="445"/>
      <c r="CE98" s="445"/>
      <c r="CF98" s="445"/>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row>
    <row r="99" spans="1:118" s="147" customFormat="1" ht="15" customHeight="1" x14ac:dyDescent="0.25">
      <c r="A99" s="589">
        <v>41809</v>
      </c>
      <c r="B99" s="173" t="s">
        <v>453</v>
      </c>
      <c r="C99" s="173" t="s">
        <v>505</v>
      </c>
      <c r="D99" s="173" t="s">
        <v>380</v>
      </c>
      <c r="E99" s="345" t="s">
        <v>310</v>
      </c>
      <c r="F99" s="173" t="s">
        <v>313</v>
      </c>
      <c r="G99" s="107">
        <v>1</v>
      </c>
      <c r="H99" s="107"/>
      <c r="I99" s="107"/>
      <c r="J99" s="107">
        <v>50</v>
      </c>
      <c r="K99" s="107">
        <v>55</v>
      </c>
      <c r="L99" s="173"/>
      <c r="M99" s="173"/>
      <c r="N99" s="173"/>
      <c r="O99" s="173"/>
      <c r="P99" s="149">
        <f>IF(Table_Shelter[[#This Row],[Status]]="Open",IF(V99="NO",Table_Shelter[[#This Row],[HH per Shelter]]*(Table_Shelter[[#This Row],['# of Temporary Shelter Units Built]]+Table_Shelter[[#This Row],['# of Temporary Shelter Under  Construction]]+Table_Shelter[[#This Row],['# of Permanent House Under Construction]]),0),0)</f>
        <v>55</v>
      </c>
      <c r="Q99" s="106"/>
      <c r="R99" s="173"/>
      <c r="S99" s="174" t="str">
        <f>IFERROR(VLOOKUP(Table_Shelter[[#This Row],[CampName]],CL,2,0),"")</f>
        <v>MMR001CMP028</v>
      </c>
      <c r="T99" s="174" t="str">
        <f>IFERROR(VLOOKUP(Table_Shelter[[#This Row],[CampName]],CL,3,0),"")</f>
        <v>Open</v>
      </c>
      <c r="U99" s="265">
        <f>IFERROR(Table_Shelter[[#This Row],[HH Covered]]/VLOOKUP(Table_Shelter[[#This Row],[CampName]],CL,4,0),"")</f>
        <v>0.55555555555555558</v>
      </c>
      <c r="V99" s="265" t="s">
        <v>1305</v>
      </c>
      <c r="W99" s="175"/>
      <c r="X99" s="445"/>
      <c r="Y99" s="445"/>
      <c r="Z99" s="445"/>
      <c r="AA99" s="445"/>
      <c r="AB99" s="445"/>
      <c r="AC99" s="445"/>
      <c r="AD99" s="445"/>
      <c r="AE99" s="445"/>
      <c r="AF99" s="445"/>
      <c r="AG99" s="445"/>
      <c r="AH99" s="445"/>
      <c r="AI99" s="445"/>
      <c r="AJ99" s="445"/>
      <c r="AK99" s="445"/>
      <c r="AL99" s="445"/>
      <c r="AM99" s="445"/>
      <c r="AN99" s="445"/>
      <c r="AO99" s="445"/>
      <c r="AP99" s="445"/>
      <c r="AQ99" s="445"/>
      <c r="AR99" s="445"/>
      <c r="AS99" s="445"/>
      <c r="AT99" s="445"/>
      <c r="AU99" s="445"/>
      <c r="AV99" s="445"/>
      <c r="AW99" s="445"/>
      <c r="AX99" s="445"/>
      <c r="AY99" s="445"/>
      <c r="AZ99" s="445"/>
      <c r="BA99" s="445"/>
      <c r="BB99" s="445"/>
      <c r="BC99" s="445"/>
      <c r="BD99" s="445"/>
      <c r="BE99" s="445"/>
      <c r="BF99" s="445"/>
      <c r="BG99" s="445"/>
      <c r="BH99" s="445"/>
      <c r="BI99" s="445"/>
      <c r="BJ99" s="445"/>
      <c r="BK99" s="445"/>
      <c r="BL99" s="445"/>
      <c r="BM99" s="445"/>
      <c r="BN99" s="445"/>
      <c r="BO99" s="445"/>
      <c r="BP99" s="445"/>
      <c r="BQ99" s="445"/>
      <c r="BR99" s="445"/>
      <c r="BS99" s="445"/>
      <c r="BT99" s="445"/>
      <c r="BU99" s="445"/>
      <c r="BV99" s="445"/>
      <c r="BW99" s="445"/>
      <c r="BX99" s="445"/>
      <c r="BY99" s="445"/>
      <c r="BZ99" s="445"/>
      <c r="CA99" s="445"/>
      <c r="CB99" s="445"/>
      <c r="CC99" s="445"/>
      <c r="CD99" s="445"/>
      <c r="CE99" s="445"/>
      <c r="CF99" s="445"/>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row>
    <row r="100" spans="1:118" ht="15" customHeight="1" x14ac:dyDescent="0.25">
      <c r="A100" s="589">
        <v>41809</v>
      </c>
      <c r="B100" s="173" t="s">
        <v>452</v>
      </c>
      <c r="C100" s="173" t="s">
        <v>459</v>
      </c>
      <c r="D100" s="173" t="s">
        <v>380</v>
      </c>
      <c r="E100" s="345" t="s">
        <v>185</v>
      </c>
      <c r="F100" s="173" t="s">
        <v>202</v>
      </c>
      <c r="G100" s="107">
        <v>1</v>
      </c>
      <c r="H100" s="107"/>
      <c r="I100" s="107"/>
      <c r="J100" s="107">
        <v>80</v>
      </c>
      <c r="K100" s="107">
        <v>80</v>
      </c>
      <c r="L100" s="173"/>
      <c r="M100" s="173"/>
      <c r="N100" s="173"/>
      <c r="O100" s="173"/>
      <c r="P100" s="149">
        <f>IF(Table_Shelter[[#This Row],[Status]]="Open",IF(V100="NO",Table_Shelter[[#This Row],[HH per Shelter]]*(Table_Shelter[[#This Row],['# of Temporary Shelter Units Built]]+Table_Shelter[[#This Row],['# of Temporary Shelter Under  Construction]]+Table_Shelter[[#This Row],['# of Permanent House Under Construction]]),0),0)</f>
        <v>80</v>
      </c>
      <c r="Q100" s="106"/>
      <c r="R100" s="173"/>
      <c r="S100" s="174" t="str">
        <f>IFERROR(VLOOKUP(Table_Shelter[[#This Row],[CampName]],CL,2,0),"")</f>
        <v>MMR001CMP062</v>
      </c>
      <c r="T100" s="174" t="str">
        <f>IFERROR(VLOOKUP(Table_Shelter[[#This Row],[CampName]],CL,3,0),"")</f>
        <v>Open</v>
      </c>
      <c r="U100" s="265">
        <f>IFERROR(Table_Shelter[[#This Row],[HH Covered]]/VLOOKUP(Table_Shelter[[#This Row],[CampName]],CL,4,0),"")</f>
        <v>0.30418250950570341</v>
      </c>
      <c r="V100" s="265" t="s">
        <v>1305</v>
      </c>
      <c r="W100" s="175"/>
    </row>
    <row r="101" spans="1:118" ht="15" customHeight="1" x14ac:dyDescent="0.25">
      <c r="A101" s="658">
        <v>41809</v>
      </c>
      <c r="B101" s="175" t="s">
        <v>846</v>
      </c>
      <c r="C101" s="175"/>
      <c r="D101" s="175" t="s">
        <v>380</v>
      </c>
      <c r="E101" s="179" t="s">
        <v>151</v>
      </c>
      <c r="F101" s="175" t="s">
        <v>152</v>
      </c>
      <c r="G101" s="109">
        <v>1</v>
      </c>
      <c r="H101" s="109"/>
      <c r="I101" s="109"/>
      <c r="J101" s="109">
        <v>56</v>
      </c>
      <c r="K101" s="109">
        <v>60</v>
      </c>
      <c r="L101" s="175"/>
      <c r="M101" s="175"/>
      <c r="N101" s="175"/>
      <c r="O101" s="175"/>
      <c r="P101" s="149">
        <f>IF(Table_Shelter[[#This Row],[Status]]="Open",IF(V101="NO",Table_Shelter[[#This Row],[HH per Shelter]]*(Table_Shelter[[#This Row],['# of Temporary Shelter Units Built]]+Table_Shelter[[#This Row],['# of Temporary Shelter Under  Construction]]+Table_Shelter[[#This Row],['# of Permanent House Under Construction]]),0),0)</f>
        <v>60</v>
      </c>
      <c r="Q101" s="108"/>
      <c r="R101" s="175"/>
      <c r="S101" s="174" t="str">
        <f>IFERROR(VLOOKUP(Table_Shelter[[#This Row],[CampName]],CL,2,0),"")</f>
        <v>MMR001CMP066</v>
      </c>
      <c r="T101" s="174" t="str">
        <f>IFERROR(VLOOKUP(Table_Shelter[[#This Row],[CampName]],CL,3,0),"")</f>
        <v>Open</v>
      </c>
      <c r="U101" s="265">
        <f>IFERROR(Table_Shelter[[#This Row],[HH Covered]]/VLOOKUP(Table_Shelter[[#This Row],[CampName]],CL,4,0),"")</f>
        <v>0.30456852791878175</v>
      </c>
      <c r="V101" s="265" t="s">
        <v>1305</v>
      </c>
      <c r="W101" s="175"/>
    </row>
    <row r="102" spans="1:118" ht="15" customHeight="1" x14ac:dyDescent="0.25">
      <c r="A102" s="658">
        <v>41791</v>
      </c>
      <c r="B102" s="175" t="s">
        <v>452</v>
      </c>
      <c r="C102" s="175" t="s">
        <v>506</v>
      </c>
      <c r="D102" s="175" t="s">
        <v>380</v>
      </c>
      <c r="E102" s="179" t="s">
        <v>151</v>
      </c>
      <c r="F102" s="175" t="s">
        <v>188</v>
      </c>
      <c r="G102" s="109">
        <v>1</v>
      </c>
      <c r="H102" s="109"/>
      <c r="I102" s="109"/>
      <c r="J102" s="109">
        <v>100</v>
      </c>
      <c r="K102" s="109">
        <v>100</v>
      </c>
      <c r="L102" s="175"/>
      <c r="M102" s="175"/>
      <c r="N102" s="175"/>
      <c r="O102" s="175"/>
      <c r="P102" s="149">
        <f>IF(Table_Shelter[[#This Row],[Status]]="Open",IF(V102="NO",Table_Shelter[[#This Row],[HH per Shelter]]*(Table_Shelter[[#This Row],['# of Temporary Shelter Units Built]]+Table_Shelter[[#This Row],['# of Temporary Shelter Under  Construction]]+Table_Shelter[[#This Row],['# of Permanent House Under Construction]]),0),0)</f>
        <v>100</v>
      </c>
      <c r="Q102" s="108"/>
      <c r="R102" s="175"/>
      <c r="S102" s="174" t="str">
        <f>IFERROR(VLOOKUP(Table_Shelter[[#This Row],[CampName]],CL,2,0),"")</f>
        <v>MMR001CMP129</v>
      </c>
      <c r="T102" s="174" t="str">
        <f>IFERROR(VLOOKUP(Table_Shelter[[#This Row],[CampName]],CL,3,0),"")</f>
        <v>Open</v>
      </c>
      <c r="U102" s="265">
        <f>IFERROR(Table_Shelter[[#This Row],[HH Covered]]/VLOOKUP(Table_Shelter[[#This Row],[CampName]],CL,4,0),"")</f>
        <v>0.22727272727272727</v>
      </c>
      <c r="V102" s="265" t="s">
        <v>1305</v>
      </c>
      <c r="W102" s="175"/>
    </row>
    <row r="103" spans="1:118" ht="15" customHeight="1" x14ac:dyDescent="0.25">
      <c r="A103" s="658">
        <v>41791</v>
      </c>
      <c r="B103" s="107" t="s">
        <v>452</v>
      </c>
      <c r="C103" s="107" t="s">
        <v>505</v>
      </c>
      <c r="D103" s="180" t="s">
        <v>380</v>
      </c>
      <c r="E103" s="181" t="s">
        <v>527</v>
      </c>
      <c r="F103" s="107" t="s">
        <v>76</v>
      </c>
      <c r="G103" s="107">
        <v>1</v>
      </c>
      <c r="H103" s="109"/>
      <c r="I103" s="109"/>
      <c r="J103" s="109">
        <v>20</v>
      </c>
      <c r="K103" s="109">
        <v>20</v>
      </c>
      <c r="L103" s="109"/>
      <c r="M103" s="109"/>
      <c r="N103" s="109"/>
      <c r="O103" s="109"/>
      <c r="P103" s="108">
        <f>IF(Table_Shelter[[#This Row],[Status]]="Open",IF(V103="NO",Table_Shelter[[#This Row],[HH per Shelter]]*(Table_Shelter[[#This Row],['# of Temporary Shelter Units Built]]+Table_Shelter[[#This Row],['# of Temporary Shelter Under  Construction]]+Table_Shelter[[#This Row],['# of Permanent House Under Construction]]),0),0)</f>
        <v>20</v>
      </c>
      <c r="Q103" s="108"/>
      <c r="R103" s="108"/>
      <c r="S103" s="108" t="str">
        <f>IFERROR(VLOOKUP(Table_Shelter[[#This Row],[CampName]],CL,2,0),"")</f>
        <v>MMR001CMP174</v>
      </c>
      <c r="T103" s="108" t="str">
        <f>IFERROR(VLOOKUP(Table_Shelter[[#This Row],[CampName]],CL,3,0),"")</f>
        <v>Open</v>
      </c>
      <c r="U103" s="266">
        <f>IFERROR(Table_Shelter[[#This Row],[HH Covered]]/VLOOKUP(Table_Shelter[[#This Row],[CampName]],CL,4,0),"")</f>
        <v>0.30303030303030304</v>
      </c>
      <c r="V103" s="265" t="s">
        <v>1305</v>
      </c>
      <c r="W103" s="108"/>
    </row>
    <row r="104" spans="1:118" ht="15" customHeight="1" x14ac:dyDescent="0.25">
      <c r="A104" s="658">
        <v>41791</v>
      </c>
      <c r="B104" s="107" t="s">
        <v>452</v>
      </c>
      <c r="C104" s="107" t="s">
        <v>505</v>
      </c>
      <c r="D104" s="180" t="s">
        <v>380</v>
      </c>
      <c r="E104" s="181" t="s">
        <v>27</v>
      </c>
      <c r="F104" s="107" t="s">
        <v>365</v>
      </c>
      <c r="G104" s="107">
        <v>1</v>
      </c>
      <c r="H104" s="109"/>
      <c r="I104" s="109"/>
      <c r="J104" s="109">
        <v>5</v>
      </c>
      <c r="K104" s="109">
        <v>5</v>
      </c>
      <c r="L104" s="109"/>
      <c r="M104" s="109"/>
      <c r="N104" s="109"/>
      <c r="O104" s="109"/>
      <c r="P104" s="108">
        <f>IF(Table_Shelter[[#This Row],[Status]]="Open",IF(V104="NO",Table_Shelter[[#This Row],[HH per Shelter]]*(Table_Shelter[[#This Row],['# of Temporary Shelter Units Built]]+Table_Shelter[[#This Row],['# of Temporary Shelter Under  Construction]]+Table_Shelter[[#This Row],['# of Permanent House Under Construction]]),0),0)</f>
        <v>5</v>
      </c>
      <c r="Q104" s="108"/>
      <c r="R104" s="108"/>
      <c r="S104" s="108" t="str">
        <f>IFERROR(VLOOKUP(Table_Shelter[[#This Row],[CampName]],CL,2,0),"")</f>
        <v>MMR001CMP195</v>
      </c>
      <c r="T104" s="108" t="str">
        <f>IFERROR(VLOOKUP(Table_Shelter[[#This Row],[CampName]],CL,3,0),"")</f>
        <v>Open</v>
      </c>
      <c r="U104" s="266">
        <f>IFERROR(Table_Shelter[[#This Row],[HH Covered]]/VLOOKUP(Table_Shelter[[#This Row],[CampName]],CL,4,0),"")</f>
        <v>3.4965034965034968E-2</v>
      </c>
      <c r="V104" s="265" t="s">
        <v>1305</v>
      </c>
      <c r="W104" s="108"/>
    </row>
    <row r="105" spans="1:118" ht="15" customHeight="1" x14ac:dyDescent="0.25">
      <c r="A105" s="658">
        <v>41791</v>
      </c>
      <c r="B105" s="107" t="s">
        <v>452</v>
      </c>
      <c r="C105" s="107" t="s">
        <v>505</v>
      </c>
      <c r="D105" s="180" t="s">
        <v>380</v>
      </c>
      <c r="E105" s="181" t="s">
        <v>527</v>
      </c>
      <c r="F105" s="107" t="s">
        <v>90</v>
      </c>
      <c r="G105" s="107">
        <v>1</v>
      </c>
      <c r="H105" s="109"/>
      <c r="I105" s="109"/>
      <c r="J105" s="109">
        <v>2</v>
      </c>
      <c r="K105" s="109">
        <v>2</v>
      </c>
      <c r="L105" s="109"/>
      <c r="M105" s="109"/>
      <c r="N105" s="109"/>
      <c r="O105" s="109"/>
      <c r="P105" s="108">
        <f>IF(Table_Shelter[[#This Row],[Status]]="Open",IF(V105="NO",Table_Shelter[[#This Row],[HH per Shelter]]*(Table_Shelter[[#This Row],['# of Temporary Shelter Units Built]]+Table_Shelter[[#This Row],['# of Temporary Shelter Under  Construction]]+Table_Shelter[[#This Row],['# of Permanent House Under Construction]]),0),0)</f>
        <v>2</v>
      </c>
      <c r="Q105" s="108"/>
      <c r="R105" s="108"/>
      <c r="S105" s="108" t="str">
        <f>IFERROR(VLOOKUP(Table_Shelter[[#This Row],[CampName]],CL,2,0),"")</f>
        <v>MMR001CMP181</v>
      </c>
      <c r="T105" s="108" t="str">
        <f>IFERROR(VLOOKUP(Table_Shelter[[#This Row],[CampName]],CL,3,0),"")</f>
        <v>Open</v>
      </c>
      <c r="U105" s="266">
        <f>IFERROR(Table_Shelter[[#This Row],[HH Covered]]/VLOOKUP(Table_Shelter[[#This Row],[CampName]],CL,4,0),"")</f>
        <v>0.08</v>
      </c>
      <c r="V105" s="265" t="s">
        <v>1305</v>
      </c>
      <c r="W105" s="108"/>
    </row>
    <row r="106" spans="1:118" ht="15" customHeight="1" x14ac:dyDescent="0.25">
      <c r="A106" s="589">
        <v>41791</v>
      </c>
      <c r="B106" s="173" t="s">
        <v>452</v>
      </c>
      <c r="C106" s="173" t="s">
        <v>460</v>
      </c>
      <c r="D106" s="176" t="s">
        <v>380</v>
      </c>
      <c r="E106" s="345" t="s">
        <v>185</v>
      </c>
      <c r="F106" s="173" t="s">
        <v>190</v>
      </c>
      <c r="G106" s="107">
        <v>1</v>
      </c>
      <c r="H106" s="107"/>
      <c r="I106" s="107"/>
      <c r="J106" s="107">
        <v>25</v>
      </c>
      <c r="K106" s="107">
        <v>25</v>
      </c>
      <c r="L106" s="173"/>
      <c r="M106" s="173"/>
      <c r="N106" s="173"/>
      <c r="O106" s="173"/>
      <c r="P106" s="149">
        <f>IF(Table_Shelter[[#This Row],[Status]]="Open",IF(V106="NO",Table_Shelter[[#This Row],[HH per Shelter]]*(Table_Shelter[[#This Row],['# of Temporary Shelter Units Built]]+Table_Shelter[[#This Row],['# of Temporary Shelter Under  Construction]]+Table_Shelter[[#This Row],['# of Permanent House Under Construction]]),0),0)</f>
        <v>25</v>
      </c>
      <c r="Q106" s="106"/>
      <c r="R106" s="173"/>
      <c r="S106" s="174" t="str">
        <f>IFERROR(VLOOKUP(Table_Shelter[[#This Row],[CampName]],CL,2,0),"")</f>
        <v>MMR001CMP070</v>
      </c>
      <c r="T106" s="174" t="str">
        <f>IFERROR(VLOOKUP(Table_Shelter[[#This Row],[CampName]],CL,3,0),"")</f>
        <v>Open</v>
      </c>
      <c r="U106" s="265">
        <f>IFERROR(Table_Shelter[[#This Row],[HH Covered]]/VLOOKUP(Table_Shelter[[#This Row],[CampName]],CL,4,0),"")</f>
        <v>0.13020833333333334</v>
      </c>
      <c r="V106" s="265" t="s">
        <v>1305</v>
      </c>
      <c r="W106" s="175"/>
    </row>
    <row r="107" spans="1:118" ht="15" customHeight="1" x14ac:dyDescent="0.25">
      <c r="A107" s="658">
        <v>41791</v>
      </c>
      <c r="B107" s="175" t="s">
        <v>452</v>
      </c>
      <c r="C107" s="175" t="s">
        <v>460</v>
      </c>
      <c r="D107" s="175" t="s">
        <v>380</v>
      </c>
      <c r="E107" s="179" t="s">
        <v>151</v>
      </c>
      <c r="F107" s="175" t="s">
        <v>885</v>
      </c>
      <c r="G107" s="109">
        <v>1</v>
      </c>
      <c r="H107" s="109"/>
      <c r="I107" s="109"/>
      <c r="J107" s="109">
        <v>60</v>
      </c>
      <c r="K107" s="109">
        <v>60</v>
      </c>
      <c r="L107" s="175"/>
      <c r="M107" s="175"/>
      <c r="N107" s="175"/>
      <c r="O107" s="175"/>
      <c r="P107" s="149">
        <f>IF(Table_Shelter[[#This Row],[Status]]="Open",IF(V107="NO",Table_Shelter[[#This Row],[HH per Shelter]]*(Table_Shelter[[#This Row],['# of Temporary Shelter Units Built]]+Table_Shelter[[#This Row],['# of Temporary Shelter Under  Construction]]+Table_Shelter[[#This Row],['# of Permanent House Under Construction]]),0),0)</f>
        <v>60</v>
      </c>
      <c r="Q107" s="108"/>
      <c r="R107" s="175"/>
      <c r="S107" s="174" t="str">
        <f>IFERROR(VLOOKUP(Table_Shelter[[#This Row],[CampName]],CL,2,0),"")</f>
        <v>MMR001CMP218</v>
      </c>
      <c r="T107" s="174" t="str">
        <f>IFERROR(VLOOKUP(Table_Shelter[[#This Row],[CampName]],CL,3,0),"")</f>
        <v>Open</v>
      </c>
      <c r="U107" s="265">
        <f>IFERROR(Table_Shelter[[#This Row],[HH Covered]]/VLOOKUP(Table_Shelter[[#This Row],[CampName]],CL,4,0),"")</f>
        <v>0.16042780748663102</v>
      </c>
      <c r="V107" s="265" t="s">
        <v>1305</v>
      </c>
      <c r="W107" s="175"/>
    </row>
    <row r="108" spans="1:118" ht="15" customHeight="1" x14ac:dyDescent="0.25">
      <c r="A108" s="587">
        <v>41791</v>
      </c>
      <c r="B108" s="173" t="s">
        <v>452</v>
      </c>
      <c r="C108" s="173" t="s">
        <v>460</v>
      </c>
      <c r="D108" s="173" t="s">
        <v>380</v>
      </c>
      <c r="E108" s="345" t="s">
        <v>151</v>
      </c>
      <c r="F108" s="173" t="s">
        <v>152</v>
      </c>
      <c r="G108" s="107">
        <v>1</v>
      </c>
      <c r="H108" s="107"/>
      <c r="I108" s="107"/>
      <c r="J108" s="107">
        <v>15</v>
      </c>
      <c r="K108" s="107">
        <v>15</v>
      </c>
      <c r="L108" s="173"/>
      <c r="M108" s="173"/>
      <c r="N108" s="173"/>
      <c r="O108" s="173"/>
      <c r="P108" s="108">
        <f>IF(Table_Shelter[[#This Row],[Status]]="Open",IF(V108="NO",Table_Shelter[[#This Row],[HH per Shelter]]*(Table_Shelter[[#This Row],['# of Temporary Shelter Units Built]]+Table_Shelter[[#This Row],['# of Temporary Shelter Under  Construction]]+Table_Shelter[[#This Row],['# of Permanent House Under Construction]]),0),0)</f>
        <v>15</v>
      </c>
      <c r="Q108" s="106"/>
      <c r="R108" s="106"/>
      <c r="S108" s="108" t="str">
        <f>IFERROR(VLOOKUP(Table_Shelter[[#This Row],[CampName]],CL,2,0),"")</f>
        <v>MMR001CMP066</v>
      </c>
      <c r="T108" s="108" t="str">
        <f>IFERROR(VLOOKUP(Table_Shelter[[#This Row],[CampName]],CL,3,0),"")</f>
        <v>Open</v>
      </c>
      <c r="U108" s="265">
        <f>IFERROR(Table_Shelter[[#This Row],[HH Covered]]/VLOOKUP(Table_Shelter[[#This Row],[CampName]],CL,4,0),"")</f>
        <v>7.6142131979695438E-2</v>
      </c>
      <c r="V108" s="265" t="s">
        <v>1305</v>
      </c>
      <c r="W108" s="108"/>
    </row>
    <row r="109" spans="1:118" ht="15" customHeight="1" x14ac:dyDescent="0.25">
      <c r="A109" s="658">
        <v>41791</v>
      </c>
      <c r="B109" s="107" t="s">
        <v>452</v>
      </c>
      <c r="C109" s="107" t="s">
        <v>505</v>
      </c>
      <c r="D109" s="180" t="s">
        <v>380</v>
      </c>
      <c r="E109" s="181" t="s">
        <v>237</v>
      </c>
      <c r="F109" s="107" t="s">
        <v>263</v>
      </c>
      <c r="G109" s="107">
        <v>1</v>
      </c>
      <c r="H109" s="109"/>
      <c r="I109" s="109"/>
      <c r="J109" s="109">
        <v>5</v>
      </c>
      <c r="K109" s="109">
        <v>5</v>
      </c>
      <c r="L109" s="109"/>
      <c r="M109" s="109"/>
      <c r="N109" s="109"/>
      <c r="O109" s="109"/>
      <c r="P109" s="108">
        <f>IF(Table_Shelter[[#This Row],[Status]]="Open",IF(V109="NO",Table_Shelter[[#This Row],[HH per Shelter]]*(Table_Shelter[[#This Row],['# of Temporary Shelter Units Built]]+Table_Shelter[[#This Row],['# of Temporary Shelter Under  Construction]]+Table_Shelter[[#This Row],['# of Permanent House Under Construction]]),0),0)</f>
        <v>5</v>
      </c>
      <c r="Q109" s="108"/>
      <c r="R109" s="108"/>
      <c r="S109" s="108" t="str">
        <f>IFERROR(VLOOKUP(Table_Shelter[[#This Row],[CampName]],CL,2,0),"")</f>
        <v>MMR001CMP020</v>
      </c>
      <c r="T109" s="108" t="str">
        <f>IFERROR(VLOOKUP(Table_Shelter[[#This Row],[CampName]],CL,3,0),"")</f>
        <v>Open</v>
      </c>
      <c r="U109" s="266">
        <f>IFERROR(Table_Shelter[[#This Row],[HH Covered]]/VLOOKUP(Table_Shelter[[#This Row],[CampName]],CL,4,0),"")</f>
        <v>0.23809523809523808</v>
      </c>
      <c r="V109" s="265" t="s">
        <v>1305</v>
      </c>
      <c r="W109" s="108"/>
    </row>
    <row r="110" spans="1:118" ht="15" customHeight="1" x14ac:dyDescent="0.25">
      <c r="A110" s="658">
        <v>41791</v>
      </c>
      <c r="B110" s="173" t="s">
        <v>452</v>
      </c>
      <c r="C110" s="173" t="s">
        <v>460</v>
      </c>
      <c r="D110" s="176" t="s">
        <v>380</v>
      </c>
      <c r="E110" s="345" t="s">
        <v>185</v>
      </c>
      <c r="F110" s="173" t="s">
        <v>209</v>
      </c>
      <c r="G110" s="107">
        <v>1</v>
      </c>
      <c r="H110" s="109"/>
      <c r="I110" s="109"/>
      <c r="J110" s="109">
        <v>10</v>
      </c>
      <c r="K110" s="109">
        <v>10</v>
      </c>
      <c r="L110" s="175"/>
      <c r="M110" s="175"/>
      <c r="N110" s="175"/>
      <c r="O110" s="175"/>
      <c r="P110" s="108">
        <f>IF(Table_Shelter[[#This Row],[Status]]="Open",IF(V110="NO",Table_Shelter[[#This Row],[HH per Shelter]]*(Table_Shelter[[#This Row],['# of Temporary Shelter Units Built]]+Table_Shelter[[#This Row],['# of Temporary Shelter Under  Construction]]+Table_Shelter[[#This Row],['# of Permanent House Under Construction]]),0),0)</f>
        <v>10</v>
      </c>
      <c r="Q110" s="108"/>
      <c r="R110" s="108"/>
      <c r="S110" s="108" t="str">
        <f>IFERROR(VLOOKUP(Table_Shelter[[#This Row],[CampName]],CL,2,0),"")</f>
        <v>MMR001CMP056</v>
      </c>
      <c r="T110" s="108" t="str">
        <f>IFERROR(VLOOKUP(Table_Shelter[[#This Row],[CampName]],CL,3,0),"")</f>
        <v>Open</v>
      </c>
      <c r="U110" s="265">
        <f>IFERROR(Table_Shelter[[#This Row],[HH Covered]]/VLOOKUP(Table_Shelter[[#This Row],[CampName]],CL,4,0),"")</f>
        <v>4.4247787610619468E-2</v>
      </c>
      <c r="V110" s="265" t="s">
        <v>1305</v>
      </c>
      <c r="W110" s="108"/>
    </row>
    <row r="111" spans="1:118" ht="15" customHeight="1" x14ac:dyDescent="0.25">
      <c r="A111" s="658">
        <v>41791</v>
      </c>
      <c r="B111" s="107" t="s">
        <v>452</v>
      </c>
      <c r="C111" s="107" t="s">
        <v>505</v>
      </c>
      <c r="D111" s="180" t="s">
        <v>380</v>
      </c>
      <c r="E111" s="181" t="s">
        <v>5</v>
      </c>
      <c r="F111" s="107" t="s">
        <v>8</v>
      </c>
      <c r="G111" s="107">
        <v>1</v>
      </c>
      <c r="H111" s="109"/>
      <c r="I111" s="109"/>
      <c r="J111" s="109">
        <v>5</v>
      </c>
      <c r="K111" s="109">
        <v>5</v>
      </c>
      <c r="L111" s="109"/>
      <c r="M111" s="109"/>
      <c r="N111" s="109"/>
      <c r="O111" s="109"/>
      <c r="P111" s="108">
        <f>IF(Table_Shelter[[#This Row],[Status]]="Open",IF(V111="NO",Table_Shelter[[#This Row],[HH per Shelter]]*(Table_Shelter[[#This Row],['# of Temporary Shelter Units Built]]+Table_Shelter[[#This Row],['# of Temporary Shelter Under  Construction]]+Table_Shelter[[#This Row],['# of Permanent House Under Construction]]),0),0)</f>
        <v>5</v>
      </c>
      <c r="Q111" s="108"/>
      <c r="R111" s="108"/>
      <c r="S111" s="108" t="str">
        <f>IFERROR(VLOOKUP(Table_Shelter[[#This Row],[CampName]],CL,2,0),"")</f>
        <v>MMR001CMP051</v>
      </c>
      <c r="T111" s="108" t="str">
        <f>IFERROR(VLOOKUP(Table_Shelter[[#This Row],[CampName]],CL,3,0),"")</f>
        <v>Open</v>
      </c>
      <c r="U111" s="266">
        <f>IFERROR(Table_Shelter[[#This Row],[HH Covered]]/VLOOKUP(Table_Shelter[[#This Row],[CampName]],CL,4,0),"")</f>
        <v>0.35714285714285715</v>
      </c>
      <c r="V111" s="265" t="s">
        <v>1305</v>
      </c>
      <c r="W111" s="108"/>
    </row>
    <row r="112" spans="1:118" ht="15" customHeight="1" x14ac:dyDescent="0.25">
      <c r="A112" s="658">
        <v>41791</v>
      </c>
      <c r="B112" s="173" t="s">
        <v>452</v>
      </c>
      <c r="C112" s="173" t="s">
        <v>460</v>
      </c>
      <c r="D112" s="176" t="s">
        <v>380</v>
      </c>
      <c r="E112" s="345" t="s">
        <v>5</v>
      </c>
      <c r="F112" s="173" t="s">
        <v>366</v>
      </c>
      <c r="G112" s="107">
        <v>1</v>
      </c>
      <c r="H112" s="109"/>
      <c r="I112" s="109"/>
      <c r="J112" s="109">
        <v>10</v>
      </c>
      <c r="K112" s="109">
        <v>10</v>
      </c>
      <c r="L112" s="175"/>
      <c r="M112" s="175"/>
      <c r="N112" s="175"/>
      <c r="O112" s="175"/>
      <c r="P112" s="108">
        <f>IF(Table_Shelter[[#This Row],[Status]]="Open",IF(V112="NO",Table_Shelter[[#This Row],[HH per Shelter]]*(Table_Shelter[[#This Row],['# of Temporary Shelter Units Built]]+Table_Shelter[[#This Row],['# of Temporary Shelter Under  Construction]]+Table_Shelter[[#This Row],['# of Permanent House Under Construction]]),0),0)</f>
        <v>10</v>
      </c>
      <c r="Q112" s="108"/>
      <c r="R112" s="108"/>
      <c r="S112" s="108" t="str">
        <f>IFERROR(VLOOKUP(Table_Shelter[[#This Row],[CampName]],CL,2,0),"")</f>
        <v>MMR001CMP193</v>
      </c>
      <c r="T112" s="108" t="str">
        <f>IFERROR(VLOOKUP(Table_Shelter[[#This Row],[CampName]],CL,3,0),"")</f>
        <v>Open</v>
      </c>
      <c r="U112" s="265">
        <f>IFERROR(Table_Shelter[[#This Row],[HH Covered]]/VLOOKUP(Table_Shelter[[#This Row],[CampName]],CL,4,0),"")</f>
        <v>6.6666666666666666E-2</v>
      </c>
      <c r="V112" s="265" t="s">
        <v>1305</v>
      </c>
      <c r="W112" s="108"/>
    </row>
    <row r="113" spans="1:118" ht="15" customHeight="1" x14ac:dyDescent="0.25">
      <c r="A113" s="658">
        <v>41791</v>
      </c>
      <c r="B113" s="107" t="s">
        <v>452</v>
      </c>
      <c r="C113" s="107" t="s">
        <v>505</v>
      </c>
      <c r="D113" s="180" t="s">
        <v>380</v>
      </c>
      <c r="E113" s="181" t="s">
        <v>310</v>
      </c>
      <c r="F113" s="107" t="s">
        <v>338</v>
      </c>
      <c r="G113" s="107">
        <v>1</v>
      </c>
      <c r="H113" s="109"/>
      <c r="I113" s="109"/>
      <c r="J113" s="109">
        <v>3</v>
      </c>
      <c r="K113" s="109">
        <v>3</v>
      </c>
      <c r="L113" s="109"/>
      <c r="M113" s="109"/>
      <c r="N113" s="109"/>
      <c r="O113" s="109"/>
      <c r="P113" s="108">
        <f>IF(Table_Shelter[[#This Row],[Status]]="Open",IF(V113="NO",Table_Shelter[[#This Row],[HH per Shelter]]*(Table_Shelter[[#This Row],['# of Temporary Shelter Units Built]]+Table_Shelter[[#This Row],['# of Temporary Shelter Under  Construction]]+Table_Shelter[[#This Row],['# of Permanent House Under Construction]]),0),0)</f>
        <v>3</v>
      </c>
      <c r="Q113" s="108"/>
      <c r="R113" s="108"/>
      <c r="S113" s="108" t="str">
        <f>IFERROR(VLOOKUP(Table_Shelter[[#This Row],[CampName]],CL,2,0),"")</f>
        <v>MMR001CMP030</v>
      </c>
      <c r="T113" s="108" t="str">
        <f>IFERROR(VLOOKUP(Table_Shelter[[#This Row],[CampName]],CL,3,0),"")</f>
        <v>Open</v>
      </c>
      <c r="U113" s="266">
        <f>IFERROR(Table_Shelter[[#This Row],[HH Covered]]/VLOOKUP(Table_Shelter[[#This Row],[CampName]],CL,4,0),"")</f>
        <v>9.6774193548387094E-2</v>
      </c>
      <c r="V113" s="265" t="s">
        <v>1305</v>
      </c>
      <c r="W113" s="108"/>
    </row>
    <row r="114" spans="1:118" ht="15" customHeight="1" x14ac:dyDescent="0.25">
      <c r="A114" s="658">
        <v>41791</v>
      </c>
      <c r="B114" s="107" t="s">
        <v>452</v>
      </c>
      <c r="C114" s="107" t="s">
        <v>505</v>
      </c>
      <c r="D114" s="180" t="s">
        <v>380</v>
      </c>
      <c r="E114" s="181" t="s">
        <v>237</v>
      </c>
      <c r="F114" s="107" t="s">
        <v>1244</v>
      </c>
      <c r="G114" s="107">
        <v>1</v>
      </c>
      <c r="H114" s="109"/>
      <c r="I114" s="109"/>
      <c r="J114" s="109">
        <v>10</v>
      </c>
      <c r="K114" s="109">
        <v>10</v>
      </c>
      <c r="L114" s="109"/>
      <c r="M114" s="109"/>
      <c r="N114" s="109"/>
      <c r="O114" s="109"/>
      <c r="P114" s="108">
        <f>IF(Table_Shelter[[#This Row],[Status]]="Open",IF(V114="NO",Table_Shelter[[#This Row],[HH per Shelter]]*(Table_Shelter[[#This Row],['# of Temporary Shelter Units Built]]+Table_Shelter[[#This Row],['# of Temporary Shelter Under  Construction]]+Table_Shelter[[#This Row],['# of Permanent House Under Construction]]),0),0)</f>
        <v>10</v>
      </c>
      <c r="Q114" s="108"/>
      <c r="R114" s="108"/>
      <c r="S114" s="108" t="str">
        <f>IFERROR(VLOOKUP(Table_Shelter[[#This Row],[CampName]],CL,2,0),"")</f>
        <v>MMR001CMP023</v>
      </c>
      <c r="T114" s="108" t="str">
        <f>IFERROR(VLOOKUP(Table_Shelter[[#This Row],[CampName]],CL,3,0),"")</f>
        <v>Open</v>
      </c>
      <c r="U114" s="266">
        <f>IFERROR(Table_Shelter[[#This Row],[HH Covered]]/VLOOKUP(Table_Shelter[[#This Row],[CampName]],CL,4,0),"")</f>
        <v>0.18518518518518517</v>
      </c>
      <c r="V114" s="265" t="s">
        <v>1305</v>
      </c>
      <c r="W114" s="108"/>
    </row>
    <row r="115" spans="1:118" ht="15" customHeight="1" x14ac:dyDescent="0.25">
      <c r="A115" s="658">
        <v>41770</v>
      </c>
      <c r="B115" s="173" t="s">
        <v>452</v>
      </c>
      <c r="C115" s="173"/>
      <c r="D115" s="176" t="s">
        <v>553</v>
      </c>
      <c r="E115" s="345" t="s">
        <v>230</v>
      </c>
      <c r="F115" s="173" t="s">
        <v>1053</v>
      </c>
      <c r="G115" s="107">
        <v>1</v>
      </c>
      <c r="H115" s="109">
        <v>110</v>
      </c>
      <c r="I115" s="109">
        <v>110</v>
      </c>
      <c r="J115" s="109"/>
      <c r="K115" s="109"/>
      <c r="L115" s="175"/>
      <c r="M115" s="175"/>
      <c r="N115" s="175"/>
      <c r="O115" s="175"/>
      <c r="P115" s="108">
        <f>IF(Table_Shelter[[#This Row],[Status]]="Open",IF(V115="NO",Table_Shelter[[#This Row],[HH per Shelter]]*(Table_Shelter[[#This Row],['# of Temporary Shelter Units Built]]+Table_Shelter[[#This Row],['# of Temporary Shelter Under  Construction]]+Table_Shelter[[#This Row],['# of Permanent House Under Construction]]),0),0)</f>
        <v>0</v>
      </c>
      <c r="Q115" s="108"/>
      <c r="R115" s="175"/>
      <c r="S115" s="175" t="str">
        <f>IFERROR(VLOOKUP(Table_Shelter[[#This Row],[CampName]],CL,2,0),"")</f>
        <v>MMR015CMP213</v>
      </c>
      <c r="T115" s="175" t="str">
        <f>IFERROR(VLOOKUP(Table_Shelter[[#This Row],[CampName]],CL,3,0),"")</f>
        <v>Open</v>
      </c>
      <c r="U115" s="265">
        <f>IFERROR(Table_Shelter[[#This Row],[HH Covered]]/VLOOKUP(Table_Shelter[[#This Row],[CampName]],CL,4,0),"")</f>
        <v>0</v>
      </c>
      <c r="V115" s="265" t="s">
        <v>1305</v>
      </c>
      <c r="W115" s="175"/>
    </row>
    <row r="116" spans="1:118" ht="15" customHeight="1" x14ac:dyDescent="0.25">
      <c r="A116" s="589">
        <v>41749</v>
      </c>
      <c r="B116" s="173" t="s">
        <v>452</v>
      </c>
      <c r="C116" s="173"/>
      <c r="D116" s="173" t="s">
        <v>380</v>
      </c>
      <c r="E116" s="345" t="s">
        <v>151</v>
      </c>
      <c r="F116" s="173" t="s">
        <v>876</v>
      </c>
      <c r="G116" s="107">
        <v>1</v>
      </c>
      <c r="H116" s="107">
        <v>200</v>
      </c>
      <c r="I116" s="107">
        <v>200</v>
      </c>
      <c r="J116" s="107"/>
      <c r="K116" s="107"/>
      <c r="L116" s="173"/>
      <c r="M116" s="173"/>
      <c r="N116" s="173"/>
      <c r="O116" s="173"/>
      <c r="P116" s="149">
        <f>IF(Table_Shelter[[#This Row],[Status]]="Open",IF(V116="NO",Table_Shelter[[#This Row],[HH per Shelter]]*(Table_Shelter[[#This Row],['# of Temporary Shelter Units Built]]+Table_Shelter[[#This Row],['# of Temporary Shelter Under  Construction]]+Table_Shelter[[#This Row],['# of Permanent House Under Construction]]),0),0)</f>
        <v>0</v>
      </c>
      <c r="Q116" s="106"/>
      <c r="R116" s="173"/>
      <c r="S116" s="174" t="str">
        <f>IFERROR(VLOOKUP(Table_Shelter[[#This Row],[CampName]],CL,2,0),"")</f>
        <v>MMR001CMP212</v>
      </c>
      <c r="T116" s="174" t="str">
        <f>IFERROR(VLOOKUP(Table_Shelter[[#This Row],[CampName]],CL,3,0),"")</f>
        <v>Closed</v>
      </c>
      <c r="U116" s="265" t="str">
        <f>IFERROR(Table_Shelter[[#This Row],[HH Covered]]/VLOOKUP(Table_Shelter[[#This Row],[CampName]],CL,4,0),"")</f>
        <v/>
      </c>
      <c r="V116" s="265" t="s">
        <v>1305</v>
      </c>
      <c r="W116" s="175"/>
    </row>
    <row r="117" spans="1:118" ht="15" customHeight="1" x14ac:dyDescent="0.25">
      <c r="A117" s="658">
        <v>41748</v>
      </c>
      <c r="B117" s="175" t="s">
        <v>452</v>
      </c>
      <c r="C117" s="175"/>
      <c r="D117" s="175" t="s">
        <v>380</v>
      </c>
      <c r="E117" s="179" t="s">
        <v>151</v>
      </c>
      <c r="F117" s="175" t="s">
        <v>154</v>
      </c>
      <c r="G117" s="109">
        <v>1</v>
      </c>
      <c r="H117" s="109">
        <v>200</v>
      </c>
      <c r="I117" s="109">
        <v>200</v>
      </c>
      <c r="J117" s="109"/>
      <c r="K117" s="109"/>
      <c r="L117" s="175"/>
      <c r="M117" s="175"/>
      <c r="N117" s="175"/>
      <c r="O117" s="175"/>
      <c r="P117" s="149">
        <f>IF(Table_Shelter[[#This Row],[Status]]="Open",IF(V117="NO",Table_Shelter[[#This Row],[HH per Shelter]]*(Table_Shelter[[#This Row],['# of Temporary Shelter Units Built]]+Table_Shelter[[#This Row],['# of Temporary Shelter Under  Construction]]+Table_Shelter[[#This Row],['# of Permanent House Under Construction]]),0),0)</f>
        <v>0</v>
      </c>
      <c r="Q117" s="108"/>
      <c r="R117" s="175"/>
      <c r="S117" s="174" t="str">
        <f>IFERROR(VLOOKUP(Table_Shelter[[#This Row],[CampName]],CL,2,0),"")</f>
        <v>MMR001CMP132</v>
      </c>
      <c r="T117" s="174" t="str">
        <f>IFERROR(VLOOKUP(Table_Shelter[[#This Row],[CampName]],CL,3,0),"")</f>
        <v>Open</v>
      </c>
      <c r="U117" s="265">
        <f>IFERROR(Table_Shelter[[#This Row],[HH Covered]]/VLOOKUP(Table_Shelter[[#This Row],[CampName]],CL,4,0),"")</f>
        <v>0</v>
      </c>
      <c r="V117" s="265" t="s">
        <v>1305</v>
      </c>
      <c r="W117" s="175"/>
    </row>
    <row r="118" spans="1:118" ht="15" customHeight="1" x14ac:dyDescent="0.25">
      <c r="A118" s="586">
        <v>41609</v>
      </c>
      <c r="B118" s="174" t="s">
        <v>452</v>
      </c>
      <c r="C118" s="174" t="s">
        <v>460</v>
      </c>
      <c r="D118" s="174" t="s">
        <v>380</v>
      </c>
      <c r="E118" s="178" t="s">
        <v>527</v>
      </c>
      <c r="F118" s="174" t="s">
        <v>62</v>
      </c>
      <c r="G118" s="148">
        <v>1</v>
      </c>
      <c r="H118" s="148"/>
      <c r="I118" s="148"/>
      <c r="J118" s="148">
        <v>20</v>
      </c>
      <c r="K118" s="148">
        <v>20</v>
      </c>
      <c r="L118" s="174"/>
      <c r="M118" s="174"/>
      <c r="N118" s="174"/>
      <c r="O118" s="174"/>
      <c r="P118" s="149">
        <f>IF(Table_Shelter[[#This Row],[Status]]="Open",IF(V118="NO",Table_Shelter[[#This Row],[HH per Shelter]]*(Table_Shelter[[#This Row],['# of Temporary Shelter Units Built]]+Table_Shelter[[#This Row],['# of Temporary Shelter Under  Construction]]+Table_Shelter[[#This Row],['# of Permanent House Under Construction]]),0),0)</f>
        <v>20</v>
      </c>
      <c r="Q118" s="149"/>
      <c r="R118" s="174"/>
      <c r="S118" s="174" t="str">
        <f>IFERROR(VLOOKUP(Table_Shelter[[#This Row],[CampName]],CL,2,0),"")</f>
        <v>MMR001CMP179</v>
      </c>
      <c r="T118" s="174" t="str">
        <f>IFERROR(VLOOKUP(Table_Shelter[[#This Row],[CampName]],CL,3,0),"")</f>
        <v>Open</v>
      </c>
      <c r="U118" s="265">
        <f>IFERROR(Table_Shelter[[#This Row],[HH Covered]]/VLOOKUP(Table_Shelter[[#This Row],[CampName]],CL,4,0),"")</f>
        <v>0.29850746268656714</v>
      </c>
      <c r="V118" s="265" t="s">
        <v>1305</v>
      </c>
      <c r="W118" s="175"/>
    </row>
    <row r="119" spans="1:118" ht="15" customHeight="1" x14ac:dyDescent="0.25">
      <c r="A119" s="589">
        <v>41609</v>
      </c>
      <c r="B119" s="173" t="s">
        <v>452</v>
      </c>
      <c r="C119" s="173" t="s">
        <v>505</v>
      </c>
      <c r="D119" s="173" t="s">
        <v>380</v>
      </c>
      <c r="E119" s="345" t="s">
        <v>527</v>
      </c>
      <c r="F119" s="173" t="s">
        <v>41</v>
      </c>
      <c r="G119" s="107">
        <v>1</v>
      </c>
      <c r="H119" s="107"/>
      <c r="I119" s="107"/>
      <c r="J119" s="107">
        <v>25</v>
      </c>
      <c r="K119" s="107">
        <v>25</v>
      </c>
      <c r="L119" s="173"/>
      <c r="M119" s="173"/>
      <c r="N119" s="173"/>
      <c r="O119" s="173"/>
      <c r="P119" s="149">
        <f>IF(Table_Shelter[[#This Row],[Status]]="Open",IF(V119="NO",Table_Shelter[[#This Row],[HH per Shelter]]*(Table_Shelter[[#This Row],['# of Temporary Shelter Units Built]]+Table_Shelter[[#This Row],['# of Temporary Shelter Under  Construction]]+Table_Shelter[[#This Row],['# of Permanent House Under Construction]]),0),0)</f>
        <v>25</v>
      </c>
      <c r="Q119" s="106"/>
      <c r="R119" s="173"/>
      <c r="S119" s="174" t="str">
        <f>IFERROR(VLOOKUP(Table_Shelter[[#This Row],[CampName]],CL,2,0),"")</f>
        <v>MMR001CMP176</v>
      </c>
      <c r="T119" s="174" t="str">
        <f>IFERROR(VLOOKUP(Table_Shelter[[#This Row],[CampName]],CL,3,0),"")</f>
        <v>Open</v>
      </c>
      <c r="U119" s="265">
        <f>IFERROR(Table_Shelter[[#This Row],[HH Covered]]/VLOOKUP(Table_Shelter[[#This Row],[CampName]],CL,4,0),"")</f>
        <v>0.37313432835820898</v>
      </c>
      <c r="V119" s="265" t="s">
        <v>1305</v>
      </c>
      <c r="W119" s="175"/>
    </row>
    <row r="120" spans="1:118" ht="15" customHeight="1" x14ac:dyDescent="0.25">
      <c r="A120" s="589">
        <v>41609</v>
      </c>
      <c r="B120" s="173" t="s">
        <v>452</v>
      </c>
      <c r="C120" s="173" t="s">
        <v>505</v>
      </c>
      <c r="D120" s="173" t="s">
        <v>380</v>
      </c>
      <c r="E120" s="345" t="s">
        <v>527</v>
      </c>
      <c r="F120" s="173" t="s">
        <v>43</v>
      </c>
      <c r="G120" s="107">
        <v>1</v>
      </c>
      <c r="H120" s="107"/>
      <c r="I120" s="107"/>
      <c r="J120" s="107">
        <v>5</v>
      </c>
      <c r="K120" s="107">
        <v>5</v>
      </c>
      <c r="L120" s="173"/>
      <c r="M120" s="173"/>
      <c r="N120" s="173"/>
      <c r="O120" s="173"/>
      <c r="P120" s="149">
        <f>IF(Table_Shelter[[#This Row],[Status]]="Open",IF(V120="NO",Table_Shelter[[#This Row],[HH per Shelter]]*(Table_Shelter[[#This Row],['# of Temporary Shelter Units Built]]+Table_Shelter[[#This Row],['# of Temporary Shelter Under  Construction]]+Table_Shelter[[#This Row],['# of Permanent House Under Construction]]),0),0)</f>
        <v>5</v>
      </c>
      <c r="Q120" s="106"/>
      <c r="R120" s="173"/>
      <c r="S120" s="174" t="str">
        <f>IFERROR(VLOOKUP(Table_Shelter[[#This Row],[CampName]],CL,2,0),"")</f>
        <v>MMR001CMP190</v>
      </c>
      <c r="T120" s="174" t="str">
        <f>IFERROR(VLOOKUP(Table_Shelter[[#This Row],[CampName]],CL,3,0),"")</f>
        <v>Open</v>
      </c>
      <c r="U120" s="265">
        <f>IFERROR(Table_Shelter[[#This Row],[HH Covered]]/VLOOKUP(Table_Shelter[[#This Row],[CampName]],CL,4,0),"")</f>
        <v>0.35714285714285715</v>
      </c>
      <c r="V120" s="265" t="s">
        <v>1305</v>
      </c>
      <c r="W120" s="175"/>
    </row>
    <row r="121" spans="1:118" ht="15" customHeight="1" x14ac:dyDescent="0.25">
      <c r="A121" s="589">
        <v>41609</v>
      </c>
      <c r="B121" s="173" t="s">
        <v>452</v>
      </c>
      <c r="C121" s="173" t="s">
        <v>460</v>
      </c>
      <c r="D121" s="173" t="s">
        <v>380</v>
      </c>
      <c r="E121" s="345" t="s">
        <v>527</v>
      </c>
      <c r="F121" s="173" t="s">
        <v>52</v>
      </c>
      <c r="G121" s="107">
        <v>1</v>
      </c>
      <c r="H121" s="107"/>
      <c r="I121" s="107"/>
      <c r="J121" s="107">
        <v>20</v>
      </c>
      <c r="K121" s="107">
        <v>20</v>
      </c>
      <c r="L121" s="173"/>
      <c r="M121" s="173"/>
      <c r="N121" s="173"/>
      <c r="O121" s="173"/>
      <c r="P121" s="149">
        <f>IF(Table_Shelter[[#This Row],[Status]]="Open",IF(V121="NO",Table_Shelter[[#This Row],[HH per Shelter]]*(Table_Shelter[[#This Row],['# of Temporary Shelter Units Built]]+Table_Shelter[[#This Row],['# of Temporary Shelter Under  Construction]]+Table_Shelter[[#This Row],['# of Permanent House Under Construction]]),0),0)</f>
        <v>20</v>
      </c>
      <c r="Q121" s="106"/>
      <c r="R121" s="173"/>
      <c r="S121" s="174" t="str">
        <f>IFERROR(VLOOKUP(Table_Shelter[[#This Row],[CampName]],CL,2,0),"")</f>
        <v>MMR001CMP169</v>
      </c>
      <c r="T121" s="174" t="str">
        <f>IFERROR(VLOOKUP(Table_Shelter[[#This Row],[CampName]],CL,3,0),"")</f>
        <v>Open</v>
      </c>
      <c r="U121" s="265">
        <f>IFERROR(Table_Shelter[[#This Row],[HH Covered]]/VLOOKUP(Table_Shelter[[#This Row],[CampName]],CL,4,0),"")</f>
        <v>0.52631578947368418</v>
      </c>
      <c r="V121" s="265" t="s">
        <v>1305</v>
      </c>
      <c r="W121" s="175"/>
    </row>
    <row r="122" spans="1:118" ht="15" customHeight="1" x14ac:dyDescent="0.25">
      <c r="A122" s="589">
        <v>41609</v>
      </c>
      <c r="B122" s="173" t="s">
        <v>452</v>
      </c>
      <c r="C122" s="173" t="s">
        <v>505</v>
      </c>
      <c r="D122" s="173" t="s">
        <v>380</v>
      </c>
      <c r="E122" s="345" t="s">
        <v>527</v>
      </c>
      <c r="F122" s="173" t="s">
        <v>58</v>
      </c>
      <c r="G122" s="107">
        <v>1</v>
      </c>
      <c r="H122" s="107"/>
      <c r="I122" s="107"/>
      <c r="J122" s="107">
        <v>10</v>
      </c>
      <c r="K122" s="107">
        <v>10</v>
      </c>
      <c r="L122" s="173"/>
      <c r="M122" s="173"/>
      <c r="N122" s="173"/>
      <c r="O122" s="173"/>
      <c r="P122" s="149">
        <f>IF(Table_Shelter[[#This Row],[Status]]="Open",IF(V122="NO",Table_Shelter[[#This Row],[HH per Shelter]]*(Table_Shelter[[#This Row],['# of Temporary Shelter Units Built]]+Table_Shelter[[#This Row],['# of Temporary Shelter Under  Construction]]+Table_Shelter[[#This Row],['# of Permanent House Under Construction]]),0),0)</f>
        <v>0</v>
      </c>
      <c r="Q122" s="106"/>
      <c r="R122" s="173"/>
      <c r="S122" s="174" t="str">
        <f>IFERROR(VLOOKUP(Table_Shelter[[#This Row],[CampName]],CL,2,0),"")</f>
        <v>MMR001CMP188</v>
      </c>
      <c r="T122" s="174" t="str">
        <f>IFERROR(VLOOKUP(Table_Shelter[[#This Row],[CampName]],CL,3,0),"")</f>
        <v>Closed</v>
      </c>
      <c r="U122" s="265" t="str">
        <f>IFERROR(Table_Shelter[[#This Row],[HH Covered]]/VLOOKUP(Table_Shelter[[#This Row],[CampName]],CL,4,0),"")</f>
        <v/>
      </c>
      <c r="V122" s="265" t="s">
        <v>1305</v>
      </c>
      <c r="W122" s="175"/>
    </row>
    <row r="123" spans="1:118" ht="15" customHeight="1" x14ac:dyDescent="0.25">
      <c r="A123" s="589">
        <v>41609</v>
      </c>
      <c r="B123" s="175" t="s">
        <v>452</v>
      </c>
      <c r="C123" s="175" t="s">
        <v>506</v>
      </c>
      <c r="D123" s="177" t="s">
        <v>380</v>
      </c>
      <c r="E123" s="179" t="s">
        <v>310</v>
      </c>
      <c r="F123" s="175" t="s">
        <v>334</v>
      </c>
      <c r="G123" s="109">
        <v>1</v>
      </c>
      <c r="H123" s="109"/>
      <c r="I123" s="109"/>
      <c r="J123" s="109">
        <v>35</v>
      </c>
      <c r="K123" s="109">
        <v>35</v>
      </c>
      <c r="L123" s="175"/>
      <c r="M123" s="175"/>
      <c r="N123" s="175"/>
      <c r="O123" s="175"/>
      <c r="P123" s="108">
        <f>IF(Table_Shelter[[#This Row],[Status]]="Open",IF(V123="NO",Table_Shelter[[#This Row],[HH per Shelter]]*(Table_Shelter[[#This Row],['# of Temporary Shelter Units Built]]+Table_Shelter[[#This Row],['# of Temporary Shelter Under  Construction]]+Table_Shelter[[#This Row],['# of Permanent House Under Construction]]),0),0)</f>
        <v>35</v>
      </c>
      <c r="Q123" s="108"/>
      <c r="R123" s="108"/>
      <c r="S123" s="108" t="str">
        <f>IFERROR(VLOOKUP(Table_Shelter[[#This Row],[CampName]],CL,2,0),"")</f>
        <v>MMR001CMP113</v>
      </c>
      <c r="T123" s="108" t="str">
        <f>IFERROR(VLOOKUP(Table_Shelter[[#This Row],[CampName]],CL,3,0),"")</f>
        <v>Open</v>
      </c>
      <c r="U123" s="265">
        <f>IFERROR(Table_Shelter[[#This Row],[HH Covered]]/VLOOKUP(Table_Shelter[[#This Row],[CampName]],CL,4,0),"")</f>
        <v>0.21739130434782608</v>
      </c>
      <c r="V123" s="265" t="s">
        <v>1305</v>
      </c>
      <c r="W123" s="108"/>
    </row>
    <row r="124" spans="1:118" s="147" customFormat="1" ht="15" customHeight="1" x14ac:dyDescent="0.25">
      <c r="A124" s="592">
        <v>41609</v>
      </c>
      <c r="B124" s="175" t="s">
        <v>452</v>
      </c>
      <c r="C124" s="175" t="s">
        <v>505</v>
      </c>
      <c r="D124" s="175" t="s">
        <v>380</v>
      </c>
      <c r="E124" s="179" t="s">
        <v>527</v>
      </c>
      <c r="F124" s="175" t="s">
        <v>72</v>
      </c>
      <c r="G124" s="109">
        <v>1</v>
      </c>
      <c r="H124" s="109"/>
      <c r="I124" s="109"/>
      <c r="J124" s="109">
        <v>4</v>
      </c>
      <c r="K124" s="109">
        <v>4</v>
      </c>
      <c r="L124" s="175"/>
      <c r="M124" s="175"/>
      <c r="N124" s="175"/>
      <c r="O124" s="175"/>
      <c r="P124" s="149">
        <f>IF(Table_Shelter[[#This Row],[Status]]="Open",IF(V124="NO",Table_Shelter[[#This Row],[HH per Shelter]]*(Table_Shelter[[#This Row],['# of Temporary Shelter Units Built]]+Table_Shelter[[#This Row],['# of Temporary Shelter Under  Construction]]+Table_Shelter[[#This Row],['# of Permanent House Under Construction]]),0),0)</f>
        <v>4</v>
      </c>
      <c r="Q124" s="108"/>
      <c r="R124" s="175"/>
      <c r="S124" s="174" t="str">
        <f>IFERROR(VLOOKUP(Table_Shelter[[#This Row],[CampName]],CL,2,0),"")</f>
        <v>MMR001CMP109</v>
      </c>
      <c r="T124" s="174" t="str">
        <f>IFERROR(VLOOKUP(Table_Shelter[[#This Row],[CampName]],CL,3,0),"")</f>
        <v>Open</v>
      </c>
      <c r="U124" s="265">
        <f>IFERROR(Table_Shelter[[#This Row],[HH Covered]]/VLOOKUP(Table_Shelter[[#This Row],[CampName]],CL,4,0),"")</f>
        <v>0.66666666666666663</v>
      </c>
      <c r="V124" s="265" t="s">
        <v>1305</v>
      </c>
      <c r="W124" s="175"/>
      <c r="X124" s="445"/>
      <c r="Y124" s="445"/>
      <c r="Z124" s="445"/>
      <c r="AA124" s="445"/>
      <c r="AB124" s="445"/>
      <c r="AC124" s="445"/>
      <c r="AD124" s="445"/>
      <c r="AE124" s="445"/>
      <c r="AF124" s="445"/>
      <c r="AG124" s="445"/>
      <c r="AH124" s="445"/>
      <c r="AI124" s="445"/>
      <c r="AJ124" s="445"/>
      <c r="AK124" s="445"/>
      <c r="AL124" s="445"/>
      <c r="AM124" s="445"/>
      <c r="AN124" s="445"/>
      <c r="AO124" s="445"/>
      <c r="AP124" s="445"/>
      <c r="AQ124" s="445"/>
      <c r="AR124" s="445"/>
      <c r="AS124" s="445"/>
      <c r="AT124" s="445"/>
      <c r="AU124" s="445"/>
      <c r="AV124" s="445"/>
      <c r="AW124" s="445"/>
      <c r="AX124" s="445"/>
      <c r="AY124" s="445"/>
      <c r="AZ124" s="445"/>
      <c r="BA124" s="445"/>
      <c r="BB124" s="445"/>
      <c r="BC124" s="445"/>
      <c r="BD124" s="445"/>
      <c r="BE124" s="445"/>
      <c r="BF124" s="445"/>
      <c r="BG124" s="445"/>
      <c r="BH124" s="445"/>
      <c r="BI124" s="445"/>
      <c r="BJ124" s="445"/>
      <c r="BK124" s="445"/>
      <c r="BL124" s="445"/>
      <c r="BM124" s="445"/>
      <c r="BN124" s="445"/>
      <c r="BO124" s="445"/>
      <c r="BP124" s="445"/>
      <c r="BQ124" s="445"/>
      <c r="BR124" s="445"/>
      <c r="BS124" s="445"/>
      <c r="BT124" s="445"/>
      <c r="BU124" s="445"/>
      <c r="BV124" s="445"/>
      <c r="BW124" s="445"/>
      <c r="BX124" s="445"/>
      <c r="BY124" s="445"/>
      <c r="BZ124" s="445"/>
      <c r="CA124" s="445"/>
      <c r="CB124" s="445"/>
      <c r="CC124" s="445"/>
      <c r="CD124" s="445"/>
      <c r="CE124" s="445"/>
      <c r="CF124" s="445"/>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row>
    <row r="125" spans="1:118" ht="15" customHeight="1" x14ac:dyDescent="0.25">
      <c r="A125" s="589">
        <v>41609</v>
      </c>
      <c r="B125" s="173" t="s">
        <v>452</v>
      </c>
      <c r="C125" s="173" t="s">
        <v>505</v>
      </c>
      <c r="D125" s="173" t="s">
        <v>380</v>
      </c>
      <c r="E125" s="345" t="s">
        <v>310</v>
      </c>
      <c r="F125" s="173" t="s">
        <v>313</v>
      </c>
      <c r="G125" s="107">
        <v>1</v>
      </c>
      <c r="H125" s="107"/>
      <c r="I125" s="107"/>
      <c r="J125" s="107">
        <v>5</v>
      </c>
      <c r="K125" s="107">
        <v>5</v>
      </c>
      <c r="L125" s="173"/>
      <c r="M125" s="173"/>
      <c r="N125" s="173"/>
      <c r="O125" s="173"/>
      <c r="P125" s="108">
        <f>IF(Table_Shelter[[#This Row],[Status]]="Open",IF(V125="NO",Table_Shelter[[#This Row],[HH per Shelter]]*(Table_Shelter[[#This Row],['# of Temporary Shelter Units Built]]+Table_Shelter[[#This Row],['# of Temporary Shelter Under  Construction]]+Table_Shelter[[#This Row],['# of Permanent House Under Construction]]),0),0)</f>
        <v>5</v>
      </c>
      <c r="Q125" s="106"/>
      <c r="R125" s="106"/>
      <c r="S125" s="108" t="str">
        <f>IFERROR(VLOOKUP(Table_Shelter[[#This Row],[CampName]],CL,2,0),"")</f>
        <v>MMR001CMP028</v>
      </c>
      <c r="T125" s="108" t="str">
        <f>IFERROR(VLOOKUP(Table_Shelter[[#This Row],[CampName]],CL,3,0),"")</f>
        <v>Open</v>
      </c>
      <c r="U125" s="265">
        <f>IFERROR(Table_Shelter[[#This Row],[HH Covered]]/VLOOKUP(Table_Shelter[[#This Row],[CampName]],CL,4,0),"")</f>
        <v>5.0505050505050504E-2</v>
      </c>
      <c r="V125" s="265" t="s">
        <v>1305</v>
      </c>
      <c r="W125" s="108"/>
    </row>
    <row r="126" spans="1:118" ht="15" customHeight="1" x14ac:dyDescent="0.25">
      <c r="A126" s="592">
        <v>41609</v>
      </c>
      <c r="B126" s="107" t="s">
        <v>452</v>
      </c>
      <c r="C126" s="107" t="s">
        <v>505</v>
      </c>
      <c r="D126" s="180" t="s">
        <v>380</v>
      </c>
      <c r="E126" s="181" t="s">
        <v>527</v>
      </c>
      <c r="F126" s="107" t="s">
        <v>44</v>
      </c>
      <c r="G126" s="107">
        <v>1</v>
      </c>
      <c r="H126" s="109"/>
      <c r="I126" s="109"/>
      <c r="J126" s="109">
        <v>10</v>
      </c>
      <c r="K126" s="109">
        <v>10</v>
      </c>
      <c r="L126" s="109"/>
      <c r="M126" s="109"/>
      <c r="N126" s="109"/>
      <c r="O126" s="109"/>
      <c r="P126" s="108">
        <f>IF(Table_Shelter[[#This Row],[Status]]="Open",IF(V126="NO",Table_Shelter[[#This Row],[HH per Shelter]]*(Table_Shelter[[#This Row],['# of Temporary Shelter Units Built]]+Table_Shelter[[#This Row],['# of Temporary Shelter Under  Construction]]+Table_Shelter[[#This Row],['# of Permanent House Under Construction]]),0),0)</f>
        <v>10</v>
      </c>
      <c r="Q126" s="108"/>
      <c r="R126" s="108"/>
      <c r="S126" s="108" t="str">
        <f>IFERROR(VLOOKUP(Table_Shelter[[#This Row],[CampName]],CL,2,0),"")</f>
        <v>MMR001CMP191</v>
      </c>
      <c r="T126" s="108" t="str">
        <f>IFERROR(VLOOKUP(Table_Shelter[[#This Row],[CampName]],CL,3,0),"")</f>
        <v>Open</v>
      </c>
      <c r="U126" s="266">
        <f>IFERROR(Table_Shelter[[#This Row],[HH Covered]]/VLOOKUP(Table_Shelter[[#This Row],[CampName]],CL,4,0),"")</f>
        <v>2</v>
      </c>
      <c r="V126" s="265" t="s">
        <v>1305</v>
      </c>
      <c r="W126" s="108"/>
    </row>
    <row r="127" spans="1:118" ht="15" customHeight="1" x14ac:dyDescent="0.25">
      <c r="A127" s="589">
        <v>41609</v>
      </c>
      <c r="B127" s="173" t="s">
        <v>452</v>
      </c>
      <c r="C127" s="173" t="s">
        <v>460</v>
      </c>
      <c r="D127" s="173" t="s">
        <v>380</v>
      </c>
      <c r="E127" s="345" t="s">
        <v>237</v>
      </c>
      <c r="F127" s="173" t="s">
        <v>253</v>
      </c>
      <c r="G127" s="107">
        <v>1</v>
      </c>
      <c r="H127" s="107"/>
      <c r="I127" s="107"/>
      <c r="J127" s="107">
        <v>30</v>
      </c>
      <c r="K127" s="107">
        <v>30</v>
      </c>
      <c r="L127" s="173"/>
      <c r="M127" s="173"/>
      <c r="N127" s="173"/>
      <c r="O127" s="173"/>
      <c r="P127" s="149">
        <f>IF(Table_Shelter[[#This Row],[Status]]="Open",IF(V127="NO",Table_Shelter[[#This Row],[HH per Shelter]]*(Table_Shelter[[#This Row],['# of Temporary Shelter Units Built]]+Table_Shelter[[#This Row],['# of Temporary Shelter Under  Construction]]+Table_Shelter[[#This Row],['# of Permanent House Under Construction]]),0),0)</f>
        <v>30</v>
      </c>
      <c r="Q127" s="106"/>
      <c r="R127" s="173"/>
      <c r="S127" s="174" t="str">
        <f>IFERROR(VLOOKUP(Table_Shelter[[#This Row],[CampName]],CL,2,0),"")</f>
        <v>MMR001CMP018</v>
      </c>
      <c r="T127" s="174" t="str">
        <f>IFERROR(VLOOKUP(Table_Shelter[[#This Row],[CampName]],CL,3,0),"")</f>
        <v>Open</v>
      </c>
      <c r="U127" s="265">
        <f>IFERROR(Table_Shelter[[#This Row],[HH Covered]]/VLOOKUP(Table_Shelter[[#This Row],[CampName]],CL,4,0),"")</f>
        <v>0.15151515151515152</v>
      </c>
      <c r="V127" s="265" t="s">
        <v>1305</v>
      </c>
      <c r="W127" s="175"/>
    </row>
    <row r="128" spans="1:118" ht="15" customHeight="1" x14ac:dyDescent="0.25">
      <c r="A128" s="589">
        <v>41609</v>
      </c>
      <c r="B128" s="173" t="s">
        <v>452</v>
      </c>
      <c r="C128" s="173" t="s">
        <v>459</v>
      </c>
      <c r="D128" s="173" t="s">
        <v>380</v>
      </c>
      <c r="E128" s="345" t="s">
        <v>151</v>
      </c>
      <c r="F128" s="173" t="s">
        <v>516</v>
      </c>
      <c r="G128" s="107">
        <v>1</v>
      </c>
      <c r="H128" s="107"/>
      <c r="I128" s="107"/>
      <c r="J128" s="107">
        <v>60</v>
      </c>
      <c r="K128" s="107">
        <v>60</v>
      </c>
      <c r="L128" s="173"/>
      <c r="M128" s="173"/>
      <c r="N128" s="173"/>
      <c r="O128" s="173"/>
      <c r="P128" s="149">
        <f>IF(Table_Shelter[[#This Row],[Status]]="Open",IF(V128="NO",Table_Shelter[[#This Row],[HH per Shelter]]*(Table_Shelter[[#This Row],['# of Temporary Shelter Units Built]]+Table_Shelter[[#This Row],['# of Temporary Shelter Under  Construction]]+Table_Shelter[[#This Row],['# of Permanent House Under Construction]]),0),0)</f>
        <v>0</v>
      </c>
      <c r="Q128" s="106"/>
      <c r="R128" s="173"/>
      <c r="S128" s="174" t="str">
        <f>IFERROR(VLOOKUP(Table_Shelter[[#This Row],[CampName]],CL,2,0),"")</f>
        <v>MMR001CMP202</v>
      </c>
      <c r="T128" s="174" t="str">
        <f>IFERROR(VLOOKUP(Table_Shelter[[#This Row],[CampName]],CL,3,0),"")</f>
        <v>Closed</v>
      </c>
      <c r="U128" s="265" t="str">
        <f>IFERROR(Table_Shelter[[#This Row],[HH Covered]]/VLOOKUP(Table_Shelter[[#This Row],[CampName]],CL,4,0),"")</f>
        <v/>
      </c>
      <c r="V128" s="265" t="s">
        <v>1305</v>
      </c>
      <c r="W128" s="175"/>
    </row>
    <row r="129" spans="1:23" ht="15" customHeight="1" x14ac:dyDescent="0.25">
      <c r="A129" s="589">
        <v>41609</v>
      </c>
      <c r="B129" s="173" t="s">
        <v>452</v>
      </c>
      <c r="C129" s="173" t="s">
        <v>505</v>
      </c>
      <c r="D129" s="173" t="s">
        <v>380</v>
      </c>
      <c r="E129" s="345" t="s">
        <v>527</v>
      </c>
      <c r="F129" s="173" t="s">
        <v>90</v>
      </c>
      <c r="G129" s="107">
        <v>1</v>
      </c>
      <c r="H129" s="107"/>
      <c r="I129" s="107"/>
      <c r="J129" s="107">
        <v>18</v>
      </c>
      <c r="K129" s="107">
        <v>18</v>
      </c>
      <c r="L129" s="173"/>
      <c r="M129" s="173"/>
      <c r="N129" s="173"/>
      <c r="O129" s="173"/>
      <c r="P129" s="149">
        <f>IF(Table_Shelter[[#This Row],[Status]]="Open",IF(V129="NO",Table_Shelter[[#This Row],[HH per Shelter]]*(Table_Shelter[[#This Row],['# of Temporary Shelter Units Built]]+Table_Shelter[[#This Row],['# of Temporary Shelter Under  Construction]]+Table_Shelter[[#This Row],['# of Permanent House Under Construction]]),0),0)</f>
        <v>18</v>
      </c>
      <c r="Q129" s="106"/>
      <c r="R129" s="173"/>
      <c r="S129" s="174" t="str">
        <f>IFERROR(VLOOKUP(Table_Shelter[[#This Row],[CampName]],CL,2,0),"")</f>
        <v>MMR001CMP181</v>
      </c>
      <c r="T129" s="174" t="str">
        <f>IFERROR(VLOOKUP(Table_Shelter[[#This Row],[CampName]],CL,3,0),"")</f>
        <v>Open</v>
      </c>
      <c r="U129" s="265">
        <f>IFERROR(Table_Shelter[[#This Row],[HH Covered]]/VLOOKUP(Table_Shelter[[#This Row],[CampName]],CL,4,0),"")</f>
        <v>0.72</v>
      </c>
      <c r="V129" s="265" t="s">
        <v>1305</v>
      </c>
      <c r="W129" s="175"/>
    </row>
    <row r="130" spans="1:23" ht="15" customHeight="1" x14ac:dyDescent="0.25">
      <c r="A130" s="589">
        <v>41609</v>
      </c>
      <c r="B130" s="175" t="s">
        <v>452</v>
      </c>
      <c r="C130" s="175" t="s">
        <v>505</v>
      </c>
      <c r="D130" s="175" t="s">
        <v>380</v>
      </c>
      <c r="E130" s="179" t="s">
        <v>5</v>
      </c>
      <c r="F130" s="175" t="s">
        <v>18</v>
      </c>
      <c r="G130" s="109">
        <v>1</v>
      </c>
      <c r="H130" s="107"/>
      <c r="I130" s="107"/>
      <c r="J130" s="107">
        <v>10</v>
      </c>
      <c r="K130" s="107">
        <v>10</v>
      </c>
      <c r="L130" s="173"/>
      <c r="M130" s="173"/>
      <c r="N130" s="173"/>
      <c r="O130" s="173"/>
      <c r="P130" s="108">
        <f>IF(Table_Shelter[[#This Row],[Status]]="Open",IF(V130="NO",Table_Shelter[[#This Row],[HH per Shelter]]*(Table_Shelter[[#This Row],['# of Temporary Shelter Units Built]]+Table_Shelter[[#This Row],['# of Temporary Shelter Under  Construction]]+Table_Shelter[[#This Row],['# of Permanent House Under Construction]]),0),0)</f>
        <v>10</v>
      </c>
      <c r="Q130" s="106"/>
      <c r="R130" s="106"/>
      <c r="S130" s="108" t="str">
        <f>IFERROR(VLOOKUP(Table_Shelter[[#This Row],[CampName]],CL,2,0),"")</f>
        <v>MMR001CMP049</v>
      </c>
      <c r="T130" s="108" t="str">
        <f>IFERROR(VLOOKUP(Table_Shelter[[#This Row],[CampName]],CL,3,0),"")</f>
        <v>Open</v>
      </c>
      <c r="U130" s="265">
        <f>IFERROR(Table_Shelter[[#This Row],[HH Covered]]/VLOOKUP(Table_Shelter[[#This Row],[CampName]],CL,4,0),"")</f>
        <v>8.6206896551724144E-2</v>
      </c>
      <c r="V130" s="265" t="s">
        <v>1305</v>
      </c>
      <c r="W130" s="108"/>
    </row>
    <row r="131" spans="1:23" ht="15" customHeight="1" x14ac:dyDescent="0.25">
      <c r="A131" s="589">
        <v>41609</v>
      </c>
      <c r="B131" s="173" t="s">
        <v>452</v>
      </c>
      <c r="C131" s="173" t="s">
        <v>505</v>
      </c>
      <c r="D131" s="173" t="s">
        <v>380</v>
      </c>
      <c r="E131" s="345" t="s">
        <v>310</v>
      </c>
      <c r="F131" s="173" t="s">
        <v>328</v>
      </c>
      <c r="G131" s="107">
        <v>1</v>
      </c>
      <c r="H131" s="107"/>
      <c r="I131" s="107"/>
      <c r="J131" s="107">
        <v>35</v>
      </c>
      <c r="K131" s="107">
        <v>35</v>
      </c>
      <c r="L131" s="173"/>
      <c r="M131" s="173"/>
      <c r="N131" s="173"/>
      <c r="O131" s="173"/>
      <c r="P131" s="108">
        <f>IF(Table_Shelter[[#This Row],[Status]]="Open",IF(V131="NO",Table_Shelter[[#This Row],[HH per Shelter]]*(Table_Shelter[[#This Row],['# of Temporary Shelter Units Built]]+Table_Shelter[[#This Row],['# of Temporary Shelter Under  Construction]]+Table_Shelter[[#This Row],['# of Permanent House Under Construction]]),0),0)</f>
        <v>35</v>
      </c>
      <c r="Q131" s="106"/>
      <c r="R131" s="106"/>
      <c r="S131" s="108" t="str">
        <f>IFERROR(VLOOKUP(Table_Shelter[[#This Row],[CampName]],CL,2,0),"")</f>
        <v>MMR001CMP031</v>
      </c>
      <c r="T131" s="108" t="str">
        <f>IFERROR(VLOOKUP(Table_Shelter[[#This Row],[CampName]],CL,3,0),"")</f>
        <v>Open</v>
      </c>
      <c r="U131" s="265">
        <f>IFERROR(Table_Shelter[[#This Row],[HH Covered]]/VLOOKUP(Table_Shelter[[#This Row],[CampName]],CL,4,0),"")</f>
        <v>0.2348993288590604</v>
      </c>
      <c r="V131" s="265" t="s">
        <v>1305</v>
      </c>
      <c r="W131" s="108"/>
    </row>
    <row r="132" spans="1:23" ht="15" customHeight="1" x14ac:dyDescent="0.25">
      <c r="A132" s="589">
        <v>41609</v>
      </c>
      <c r="B132" s="173" t="s">
        <v>452</v>
      </c>
      <c r="C132" s="173" t="s">
        <v>460</v>
      </c>
      <c r="D132" s="173" t="s">
        <v>553</v>
      </c>
      <c r="E132" s="345" t="s">
        <v>166</v>
      </c>
      <c r="F132" s="173" t="s">
        <v>167</v>
      </c>
      <c r="G132" s="107">
        <v>1</v>
      </c>
      <c r="H132" s="107"/>
      <c r="I132" s="107"/>
      <c r="J132" s="107">
        <v>10</v>
      </c>
      <c r="K132" s="107">
        <v>10</v>
      </c>
      <c r="L132" s="173"/>
      <c r="M132" s="173"/>
      <c r="N132" s="173"/>
      <c r="O132" s="173"/>
      <c r="P132" s="108">
        <f>IF(Table_Shelter[[#This Row],[Status]]="Open",IF(V132="NO",Table_Shelter[[#This Row],[HH per Shelter]]*(Table_Shelter[[#This Row],['# of Temporary Shelter Units Built]]+Table_Shelter[[#This Row],['# of Temporary Shelter Under  Construction]]+Table_Shelter[[#This Row],['# of Permanent House Under Construction]]),0),0)</f>
        <v>10</v>
      </c>
      <c r="Q132" s="106"/>
      <c r="R132" s="106"/>
      <c r="S132" s="108" t="str">
        <f>IFERROR(VLOOKUP(Table_Shelter[[#This Row],[CampName]],CL,2,0),"")</f>
        <v>MMR015CMP009</v>
      </c>
      <c r="T132" s="108" t="str">
        <f>IFERROR(VLOOKUP(Table_Shelter[[#This Row],[CampName]],CL,3,0),"")</f>
        <v>Open</v>
      </c>
      <c r="U132" s="265">
        <f>IFERROR(Table_Shelter[[#This Row],[HH Covered]]/VLOOKUP(Table_Shelter[[#This Row],[CampName]],CL,4,0),"")</f>
        <v>0.27777777777777779</v>
      </c>
      <c r="V132" s="265" t="s">
        <v>1305</v>
      </c>
      <c r="W132" s="108"/>
    </row>
    <row r="133" spans="1:23" ht="15" customHeight="1" x14ac:dyDescent="0.25">
      <c r="A133" s="592">
        <v>41609</v>
      </c>
      <c r="B133" s="107" t="s">
        <v>452</v>
      </c>
      <c r="C133" s="107" t="s">
        <v>506</v>
      </c>
      <c r="D133" s="180" t="s">
        <v>553</v>
      </c>
      <c r="E133" s="181" t="s">
        <v>166</v>
      </c>
      <c r="F133" s="107" t="s">
        <v>822</v>
      </c>
      <c r="G133" s="107">
        <v>1</v>
      </c>
      <c r="H133" s="109"/>
      <c r="I133" s="109"/>
      <c r="J133" s="109">
        <v>30</v>
      </c>
      <c r="K133" s="109">
        <v>30</v>
      </c>
      <c r="L133" s="109"/>
      <c r="M133" s="109"/>
      <c r="N133" s="109"/>
      <c r="O133" s="109"/>
      <c r="P133" s="108">
        <f>IF(Table_Shelter[[#This Row],[Status]]="Open",IF(V133="NO",Table_Shelter[[#This Row],[HH per Shelter]]*(Table_Shelter[[#This Row],['# of Temporary Shelter Units Built]]+Table_Shelter[[#This Row],['# of Temporary Shelter Under  Construction]]+Table_Shelter[[#This Row],['# of Permanent House Under Construction]]),0),0)</f>
        <v>30</v>
      </c>
      <c r="Q133" s="108"/>
      <c r="R133" s="108"/>
      <c r="S133" s="108" t="str">
        <f>IFERROR(VLOOKUP(Table_Shelter[[#This Row],[CampName]],CL,2,0),"")</f>
        <v>MMR015CMP209</v>
      </c>
      <c r="T133" s="108" t="str">
        <f>IFERROR(VLOOKUP(Table_Shelter[[#This Row],[CampName]],CL,3,0),"")</f>
        <v>Open</v>
      </c>
      <c r="U133" s="266">
        <f>IFERROR(Table_Shelter[[#This Row],[HH Covered]]/VLOOKUP(Table_Shelter[[#This Row],[CampName]],CL,4,0),"")</f>
        <v>1.0344827586206897</v>
      </c>
      <c r="V133" s="265" t="s">
        <v>1305</v>
      </c>
      <c r="W133" s="108"/>
    </row>
    <row r="134" spans="1:23" ht="15" customHeight="1" x14ac:dyDescent="0.25">
      <c r="A134" s="589">
        <v>41609</v>
      </c>
      <c r="B134" s="173" t="s">
        <v>452</v>
      </c>
      <c r="C134" s="173" t="s">
        <v>460</v>
      </c>
      <c r="D134" s="173" t="s">
        <v>380</v>
      </c>
      <c r="E134" s="345" t="s">
        <v>151</v>
      </c>
      <c r="F134" s="173" t="s">
        <v>152</v>
      </c>
      <c r="G134" s="107">
        <v>1</v>
      </c>
      <c r="H134" s="107"/>
      <c r="I134" s="107"/>
      <c r="J134" s="107">
        <v>20</v>
      </c>
      <c r="K134" s="107">
        <v>20</v>
      </c>
      <c r="L134" s="173"/>
      <c r="M134" s="173"/>
      <c r="N134" s="173"/>
      <c r="O134" s="173"/>
      <c r="P134" s="149">
        <f>IF(Table_Shelter[[#This Row],[Status]]="Open",IF(V134="NO",Table_Shelter[[#This Row],[HH per Shelter]]*(Table_Shelter[[#This Row],['# of Temporary Shelter Units Built]]+Table_Shelter[[#This Row],['# of Temporary Shelter Under  Construction]]+Table_Shelter[[#This Row],['# of Permanent House Under Construction]]),0),0)</f>
        <v>20</v>
      </c>
      <c r="Q134" s="106"/>
      <c r="R134" s="173"/>
      <c r="S134" s="174" t="str">
        <f>IFERROR(VLOOKUP(Table_Shelter[[#This Row],[CampName]],CL,2,0),"")</f>
        <v>MMR001CMP066</v>
      </c>
      <c r="T134" s="174" t="str">
        <f>IFERROR(VLOOKUP(Table_Shelter[[#This Row],[CampName]],CL,3,0),"")</f>
        <v>Open</v>
      </c>
      <c r="U134" s="265">
        <f>IFERROR(Table_Shelter[[#This Row],[HH Covered]]/VLOOKUP(Table_Shelter[[#This Row],[CampName]],CL,4,0),"")</f>
        <v>0.10152284263959391</v>
      </c>
      <c r="V134" s="265" t="s">
        <v>1305</v>
      </c>
      <c r="W134" s="175"/>
    </row>
    <row r="135" spans="1:23" ht="15" customHeight="1" x14ac:dyDescent="0.25">
      <c r="A135" s="589">
        <v>41609</v>
      </c>
      <c r="B135" s="173" t="s">
        <v>452</v>
      </c>
      <c r="C135" s="173" t="s">
        <v>505</v>
      </c>
      <c r="D135" s="173" t="s">
        <v>380</v>
      </c>
      <c r="E135" s="345" t="s">
        <v>237</v>
      </c>
      <c r="F135" s="173" t="s">
        <v>265</v>
      </c>
      <c r="G135" s="107">
        <v>1</v>
      </c>
      <c r="H135" s="107"/>
      <c r="I135" s="107"/>
      <c r="J135" s="107">
        <v>15</v>
      </c>
      <c r="K135" s="107">
        <v>15</v>
      </c>
      <c r="L135" s="173"/>
      <c r="M135" s="173"/>
      <c r="N135" s="173"/>
      <c r="O135" s="173"/>
      <c r="P135" s="108">
        <f>IF(Table_Shelter[[#This Row],[Status]]="Open",IF(V135="NO",Table_Shelter[[#This Row],[HH per Shelter]]*(Table_Shelter[[#This Row],['# of Temporary Shelter Units Built]]+Table_Shelter[[#This Row],['# of Temporary Shelter Under  Construction]]+Table_Shelter[[#This Row],['# of Permanent House Under Construction]]),0),0)</f>
        <v>15</v>
      </c>
      <c r="Q135" s="106"/>
      <c r="R135" s="106"/>
      <c r="S135" s="108" t="str">
        <f>IFERROR(VLOOKUP(Table_Shelter[[#This Row],[CampName]],CL,2,0),"")</f>
        <v>MMR001CMP021</v>
      </c>
      <c r="T135" s="108" t="str">
        <f>IFERROR(VLOOKUP(Table_Shelter[[#This Row],[CampName]],CL,3,0),"")</f>
        <v>Open</v>
      </c>
      <c r="U135" s="265">
        <f>IFERROR(Table_Shelter[[#This Row],[HH Covered]]/VLOOKUP(Table_Shelter[[#This Row],[CampName]],CL,4,0),"")</f>
        <v>1.0714285714285714</v>
      </c>
      <c r="V135" s="265" t="s">
        <v>1305</v>
      </c>
      <c r="W135" s="108"/>
    </row>
    <row r="136" spans="1:23" ht="15" customHeight="1" x14ac:dyDescent="0.25">
      <c r="A136" s="592">
        <v>41609</v>
      </c>
      <c r="B136" s="174" t="s">
        <v>452</v>
      </c>
      <c r="C136" s="174" t="s">
        <v>505</v>
      </c>
      <c r="D136" s="174" t="s">
        <v>380</v>
      </c>
      <c r="E136" s="178" t="s">
        <v>527</v>
      </c>
      <c r="F136" s="174" t="s">
        <v>100</v>
      </c>
      <c r="G136" s="148">
        <v>1</v>
      </c>
      <c r="H136" s="109"/>
      <c r="I136" s="109"/>
      <c r="J136" s="109">
        <v>5</v>
      </c>
      <c r="K136" s="109">
        <v>5</v>
      </c>
      <c r="L136" s="175"/>
      <c r="M136" s="175"/>
      <c r="N136" s="175"/>
      <c r="O136" s="175"/>
      <c r="P136" s="108">
        <f>IF(Table_Shelter[[#This Row],[Status]]="Open",IF(V136="NO",Table_Shelter[[#This Row],[HH per Shelter]]*(Table_Shelter[[#This Row],['# of Temporary Shelter Units Built]]+Table_Shelter[[#This Row],['# of Temporary Shelter Under  Construction]]+Table_Shelter[[#This Row],['# of Permanent House Under Construction]]),0),0)</f>
        <v>5</v>
      </c>
      <c r="Q136" s="108"/>
      <c r="R136" s="108"/>
      <c r="S136" s="108" t="str">
        <f>IFERROR(VLOOKUP(Table_Shelter[[#This Row],[CampName]],CL,2,0),"")</f>
        <v>MMR001CMP091</v>
      </c>
      <c r="T136" s="108" t="str">
        <f>IFERROR(VLOOKUP(Table_Shelter[[#This Row],[CampName]],CL,3,0),"")</f>
        <v>Open</v>
      </c>
      <c r="U136" s="265">
        <f>IFERROR(Table_Shelter[[#This Row],[HH Covered]]/VLOOKUP(Table_Shelter[[#This Row],[CampName]],CL,4,0),"")</f>
        <v>1.25</v>
      </c>
      <c r="V136" s="265" t="s">
        <v>1305</v>
      </c>
      <c r="W136" s="108"/>
    </row>
    <row r="137" spans="1:23" ht="15" customHeight="1" x14ac:dyDescent="0.25">
      <c r="A137" s="592">
        <v>41609</v>
      </c>
      <c r="B137" s="173" t="s">
        <v>452</v>
      </c>
      <c r="C137" s="173"/>
      <c r="D137" s="176" t="s">
        <v>380</v>
      </c>
      <c r="E137" s="345" t="s">
        <v>185</v>
      </c>
      <c r="F137" s="173" t="s">
        <v>209</v>
      </c>
      <c r="G137" s="107">
        <v>1</v>
      </c>
      <c r="H137" s="109"/>
      <c r="I137" s="109"/>
      <c r="J137" s="109">
        <v>50</v>
      </c>
      <c r="K137" s="109">
        <v>50</v>
      </c>
      <c r="L137" s="175"/>
      <c r="M137" s="175"/>
      <c r="N137" s="175"/>
      <c r="O137" s="175"/>
      <c r="P137" s="108">
        <f>IF(Table_Shelter[[#This Row],[Status]]="Open",IF(V137="NO",Table_Shelter[[#This Row],[HH per Shelter]]*(Table_Shelter[[#This Row],['# of Temporary Shelter Units Built]]+Table_Shelter[[#This Row],['# of Temporary Shelter Under  Construction]]+Table_Shelter[[#This Row],['# of Permanent House Under Construction]]),0),0)</f>
        <v>50</v>
      </c>
      <c r="Q137" s="108"/>
      <c r="R137" s="175"/>
      <c r="S137" s="175" t="str">
        <f>IFERROR(VLOOKUP(Table_Shelter[[#This Row],[CampName]],CL,2,0),"")</f>
        <v>MMR001CMP056</v>
      </c>
      <c r="T137" s="175" t="str">
        <f>IFERROR(VLOOKUP(Table_Shelter[[#This Row],[CampName]],CL,3,0),"")</f>
        <v>Open</v>
      </c>
      <c r="U137" s="265">
        <f>IFERROR(Table_Shelter[[#This Row],[HH Covered]]/VLOOKUP(Table_Shelter[[#This Row],[CampName]],CL,4,0),"")</f>
        <v>0.22123893805309736</v>
      </c>
      <c r="V137" s="265" t="s">
        <v>1305</v>
      </c>
      <c r="W137" s="175"/>
    </row>
    <row r="138" spans="1:23" ht="15" customHeight="1" x14ac:dyDescent="0.25">
      <c r="A138" s="592">
        <v>41609</v>
      </c>
      <c r="B138" s="107" t="s">
        <v>452</v>
      </c>
      <c r="C138" s="107" t="s">
        <v>460</v>
      </c>
      <c r="D138" s="180" t="s">
        <v>553</v>
      </c>
      <c r="E138" s="181" t="s">
        <v>146</v>
      </c>
      <c r="F138" s="107" t="s">
        <v>371</v>
      </c>
      <c r="G138" s="107">
        <v>1</v>
      </c>
      <c r="H138" s="109"/>
      <c r="I138" s="109"/>
      <c r="J138" s="109">
        <v>5</v>
      </c>
      <c r="K138" s="109">
        <v>5</v>
      </c>
      <c r="L138" s="109"/>
      <c r="M138" s="109"/>
      <c r="N138" s="109"/>
      <c r="O138" s="109"/>
      <c r="P138" s="108">
        <f>IF(Table_Shelter[[#This Row],[Status]]="Open",IF(V138="NO",Table_Shelter[[#This Row],[HH per Shelter]]*(Table_Shelter[[#This Row],['# of Temporary Shelter Units Built]]+Table_Shelter[[#This Row],['# of Temporary Shelter Under  Construction]]+Table_Shelter[[#This Row],['# of Permanent House Under Construction]]),0),0)</f>
        <v>5</v>
      </c>
      <c r="Q138" s="108"/>
      <c r="R138" s="108"/>
      <c r="S138" s="108" t="str">
        <f>IFERROR(VLOOKUP(Table_Shelter[[#This Row],[CampName]],CL,2,0),"")</f>
        <v>MMR015CMP006</v>
      </c>
      <c r="T138" s="108" t="str">
        <f>IFERROR(VLOOKUP(Table_Shelter[[#This Row],[CampName]],CL,3,0),"")</f>
        <v>Open</v>
      </c>
      <c r="U138" s="266">
        <f>IFERROR(Table_Shelter[[#This Row],[HH Covered]]/VLOOKUP(Table_Shelter[[#This Row],[CampName]],CL,4,0),"")</f>
        <v>0.10204081632653061</v>
      </c>
      <c r="V138" s="265" t="s">
        <v>1305</v>
      </c>
      <c r="W138" s="108"/>
    </row>
    <row r="139" spans="1:23" ht="15" customHeight="1" x14ac:dyDescent="0.25">
      <c r="A139" s="592">
        <v>41609</v>
      </c>
      <c r="B139" s="173" t="s">
        <v>452</v>
      </c>
      <c r="C139" s="173" t="s">
        <v>505</v>
      </c>
      <c r="D139" s="176" t="s">
        <v>380</v>
      </c>
      <c r="E139" s="345" t="s">
        <v>5</v>
      </c>
      <c r="F139" s="173" t="s">
        <v>8</v>
      </c>
      <c r="G139" s="107">
        <v>1</v>
      </c>
      <c r="H139" s="109"/>
      <c r="I139" s="109"/>
      <c r="J139" s="109">
        <v>13</v>
      </c>
      <c r="K139" s="109">
        <v>13</v>
      </c>
      <c r="L139" s="175"/>
      <c r="M139" s="175"/>
      <c r="N139" s="175"/>
      <c r="O139" s="175"/>
      <c r="P139" s="108">
        <f>IF(Table_Shelter[[#This Row],[Status]]="Open",IF(V139="NO",Table_Shelter[[#This Row],[HH per Shelter]]*(Table_Shelter[[#This Row],['# of Temporary Shelter Units Built]]+Table_Shelter[[#This Row],['# of Temporary Shelter Under  Construction]]+Table_Shelter[[#This Row],['# of Permanent House Under Construction]]),0),0)</f>
        <v>13</v>
      </c>
      <c r="Q139" s="108"/>
      <c r="R139" s="175"/>
      <c r="S139" s="175" t="str">
        <f>IFERROR(VLOOKUP(Table_Shelter[[#This Row],[CampName]],CL,2,0),"")</f>
        <v>MMR001CMP051</v>
      </c>
      <c r="T139" s="175" t="str">
        <f>IFERROR(VLOOKUP(Table_Shelter[[#This Row],[CampName]],CL,3,0),"")</f>
        <v>Open</v>
      </c>
      <c r="U139" s="265">
        <f>IFERROR(Table_Shelter[[#This Row],[HH Covered]]/VLOOKUP(Table_Shelter[[#This Row],[CampName]],CL,4,0),"")</f>
        <v>0.9285714285714286</v>
      </c>
      <c r="V139" s="265" t="s">
        <v>1305</v>
      </c>
      <c r="W139" s="175"/>
    </row>
    <row r="140" spans="1:23" ht="15" customHeight="1" x14ac:dyDescent="0.25">
      <c r="A140" s="658">
        <v>41609</v>
      </c>
      <c r="B140" s="173" t="s">
        <v>452</v>
      </c>
      <c r="C140" s="173" t="s">
        <v>505</v>
      </c>
      <c r="D140" s="176" t="s">
        <v>380</v>
      </c>
      <c r="E140" s="345" t="s">
        <v>527</v>
      </c>
      <c r="F140" s="173" t="s">
        <v>611</v>
      </c>
      <c r="G140" s="107">
        <v>1</v>
      </c>
      <c r="H140" s="109"/>
      <c r="I140" s="109"/>
      <c r="J140" s="109">
        <v>10</v>
      </c>
      <c r="K140" s="109">
        <v>10</v>
      </c>
      <c r="L140" s="175"/>
      <c r="M140" s="175"/>
      <c r="N140" s="175"/>
      <c r="O140" s="175"/>
      <c r="P140" s="108">
        <f>IF(Table_Shelter[[#This Row],[Status]]="Open",IF(V140="NO",Table_Shelter[[#This Row],[HH per Shelter]]*(Table_Shelter[[#This Row],['# of Temporary Shelter Units Built]]+Table_Shelter[[#This Row],['# of Temporary Shelter Under  Construction]]+Table_Shelter[[#This Row],['# of Permanent House Under Construction]]),0),0)</f>
        <v>10</v>
      </c>
      <c r="Q140" s="108"/>
      <c r="R140" s="175"/>
      <c r="S140" s="175" t="str">
        <f>IFERROR(VLOOKUP(Table_Shelter[[#This Row],[CampName]],CL,2,0),"")</f>
        <v>MMR001CMP192</v>
      </c>
      <c r="T140" s="175" t="str">
        <f>IFERROR(VLOOKUP(Table_Shelter[[#This Row],[CampName]],CL,3,0),"")</f>
        <v>Open</v>
      </c>
      <c r="U140" s="265">
        <f>IFERROR(Table_Shelter[[#This Row],[HH Covered]]/VLOOKUP(Table_Shelter[[#This Row],[CampName]],CL,4,0),"")</f>
        <v>0.83333333333333337</v>
      </c>
      <c r="V140" s="265" t="s">
        <v>1305</v>
      </c>
      <c r="W140" s="175"/>
    </row>
    <row r="141" spans="1:23" ht="15" customHeight="1" x14ac:dyDescent="0.25">
      <c r="A141" s="658">
        <v>41609</v>
      </c>
      <c r="B141" s="173" t="s">
        <v>452</v>
      </c>
      <c r="C141" s="173" t="s">
        <v>505</v>
      </c>
      <c r="D141" s="176" t="s">
        <v>380</v>
      </c>
      <c r="E141" s="345" t="s">
        <v>310</v>
      </c>
      <c r="F141" s="173" t="s">
        <v>344</v>
      </c>
      <c r="G141" s="107">
        <v>1</v>
      </c>
      <c r="H141" s="109"/>
      <c r="I141" s="109"/>
      <c r="J141" s="109">
        <v>10</v>
      </c>
      <c r="K141" s="109">
        <v>10</v>
      </c>
      <c r="L141" s="175"/>
      <c r="M141" s="175"/>
      <c r="N141" s="175"/>
      <c r="O141" s="175"/>
      <c r="P141" s="108">
        <f>IF(Table_Shelter[[#This Row],[Status]]="Open",IF(V141="NO",Table_Shelter[[#This Row],[HH per Shelter]]*(Table_Shelter[[#This Row],['# of Temporary Shelter Units Built]]+Table_Shelter[[#This Row],['# of Temporary Shelter Under  Construction]]+Table_Shelter[[#This Row],['# of Permanent House Under Construction]]),0),0)</f>
        <v>10</v>
      </c>
      <c r="Q141" s="108"/>
      <c r="R141" s="175"/>
      <c r="S141" s="175" t="str">
        <f>IFERROR(VLOOKUP(Table_Shelter[[#This Row],[CampName]],CL,2,0),"")</f>
        <v>MMR001CMP033</v>
      </c>
      <c r="T141" s="175" t="str">
        <f>IFERROR(VLOOKUP(Table_Shelter[[#This Row],[CampName]],CL,3,0),"")</f>
        <v>Open</v>
      </c>
      <c r="U141" s="265">
        <f>IFERROR(Table_Shelter[[#This Row],[HH Covered]]/VLOOKUP(Table_Shelter[[#This Row],[CampName]],CL,4,0),"")</f>
        <v>0.55555555555555558</v>
      </c>
      <c r="V141" s="265" t="s">
        <v>1305</v>
      </c>
      <c r="W141" s="175"/>
    </row>
    <row r="142" spans="1:23" ht="15" customHeight="1" x14ac:dyDescent="0.25">
      <c r="A142" s="658">
        <v>41609</v>
      </c>
      <c r="B142" s="173" t="s">
        <v>452</v>
      </c>
      <c r="C142" s="173" t="s">
        <v>505</v>
      </c>
      <c r="D142" s="176" t="s">
        <v>380</v>
      </c>
      <c r="E142" s="345" t="s">
        <v>527</v>
      </c>
      <c r="F142" s="173" t="s">
        <v>110</v>
      </c>
      <c r="G142" s="107">
        <v>1</v>
      </c>
      <c r="H142" s="109"/>
      <c r="I142" s="109"/>
      <c r="J142" s="109">
        <v>40</v>
      </c>
      <c r="K142" s="109">
        <v>40</v>
      </c>
      <c r="L142" s="175"/>
      <c r="M142" s="175"/>
      <c r="N142" s="175"/>
      <c r="O142" s="175"/>
      <c r="P142" s="108">
        <f>IF(Table_Shelter[[#This Row],[Status]]="Open",IF(V142="NO",Table_Shelter[[#This Row],[HH per Shelter]]*(Table_Shelter[[#This Row],['# of Temporary Shelter Units Built]]+Table_Shelter[[#This Row],['# of Temporary Shelter Under  Construction]]+Table_Shelter[[#This Row],['# of Permanent House Under Construction]]),0),0)</f>
        <v>0</v>
      </c>
      <c r="Q142" s="108"/>
      <c r="R142" s="108"/>
      <c r="S142" s="108" t="str">
        <f>IFERROR(VLOOKUP(Table_Shelter[[#This Row],[CampName]],CL,2,0),"")</f>
        <v>MMR001CMP082</v>
      </c>
      <c r="T142" s="108" t="str">
        <f>IFERROR(VLOOKUP(Table_Shelter[[#This Row],[CampName]],CL,3,0),"")</f>
        <v>Closed</v>
      </c>
      <c r="U142" s="265" t="str">
        <f>IFERROR(Table_Shelter[[#This Row],[HH Covered]]/VLOOKUP(Table_Shelter[[#This Row],[CampName]],CL,4,0),"")</f>
        <v/>
      </c>
      <c r="V142" s="265" t="s">
        <v>1305</v>
      </c>
      <c r="W142" s="108"/>
    </row>
    <row r="143" spans="1:23" ht="15" customHeight="1" x14ac:dyDescent="0.25">
      <c r="A143" s="588">
        <v>41609</v>
      </c>
      <c r="B143" s="173" t="s">
        <v>452</v>
      </c>
      <c r="C143" s="173" t="s">
        <v>505</v>
      </c>
      <c r="D143" s="176" t="s">
        <v>380</v>
      </c>
      <c r="E143" s="345" t="s">
        <v>185</v>
      </c>
      <c r="F143" s="173" t="s">
        <v>217</v>
      </c>
      <c r="G143" s="107">
        <v>1</v>
      </c>
      <c r="H143" s="109"/>
      <c r="I143" s="109"/>
      <c r="J143" s="109">
        <v>4</v>
      </c>
      <c r="K143" s="109">
        <v>4</v>
      </c>
      <c r="L143" s="175"/>
      <c r="M143" s="175"/>
      <c r="N143" s="175"/>
      <c r="O143" s="175"/>
      <c r="P143" s="108">
        <f>IF(Table_Shelter[[#This Row],[Status]]="Open",IF(V143="NO",Table_Shelter[[#This Row],[HH per Shelter]]*(Table_Shelter[[#This Row],['# of Temporary Shelter Units Built]]+Table_Shelter[[#This Row],['# of Temporary Shelter Under  Construction]]+Table_Shelter[[#This Row],['# of Permanent House Under Construction]]),0),0)</f>
        <v>0</v>
      </c>
      <c r="Q143" s="108">
        <v>5</v>
      </c>
      <c r="R143" s="175"/>
      <c r="S143" s="175" t="str">
        <f>IFERROR(VLOOKUP(Table_Shelter[[#This Row],[CampName]],CL,2,0),"")</f>
        <v>MMR001CMP059</v>
      </c>
      <c r="T143" s="175" t="str">
        <f>IFERROR(VLOOKUP(Table_Shelter[[#This Row],[CampName]],CL,3,0),"")</f>
        <v>Closed</v>
      </c>
      <c r="U143" s="265" t="str">
        <f>IFERROR(Table_Shelter[[#This Row],[HH Covered]]/VLOOKUP(Table_Shelter[[#This Row],[CampName]],CL,4,0),"")</f>
        <v/>
      </c>
      <c r="V143" s="265" t="s">
        <v>1305</v>
      </c>
      <c r="W143" s="175"/>
    </row>
    <row r="144" spans="1:23" ht="15" customHeight="1" x14ac:dyDescent="0.25">
      <c r="A144" s="658">
        <v>41609</v>
      </c>
      <c r="B144" s="173" t="s">
        <v>452</v>
      </c>
      <c r="C144" s="173" t="s">
        <v>460</v>
      </c>
      <c r="D144" s="176" t="s">
        <v>380</v>
      </c>
      <c r="E144" s="345" t="s">
        <v>310</v>
      </c>
      <c r="F144" s="173" t="s">
        <v>1243</v>
      </c>
      <c r="G144" s="107">
        <v>1</v>
      </c>
      <c r="H144" s="109"/>
      <c r="I144" s="109"/>
      <c r="J144" s="109">
        <v>11</v>
      </c>
      <c r="K144" s="109">
        <v>11</v>
      </c>
      <c r="L144" s="175"/>
      <c r="M144" s="175"/>
      <c r="N144" s="175"/>
      <c r="O144" s="175"/>
      <c r="P144" s="108">
        <f>IF(Table_Shelter[[#This Row],[Status]]="Open",IF(V144="NO",Table_Shelter[[#This Row],[HH per Shelter]]*(Table_Shelter[[#This Row],['# of Temporary Shelter Units Built]]+Table_Shelter[[#This Row],['# of Temporary Shelter Under  Construction]]+Table_Shelter[[#This Row],['# of Permanent House Under Construction]]),0),0)</f>
        <v>11</v>
      </c>
      <c r="Q144" s="108"/>
      <c r="R144" s="108"/>
      <c r="S144" s="108" t="str">
        <f>IFERROR(VLOOKUP(Table_Shelter[[#This Row],[CampName]],CL,2,0),"")</f>
        <v>MMR001CMP120</v>
      </c>
      <c r="T144" s="108" t="str">
        <f>IFERROR(VLOOKUP(Table_Shelter[[#This Row],[CampName]],CL,3,0),"")</f>
        <v>Open</v>
      </c>
      <c r="U144" s="265">
        <f>IFERROR(Table_Shelter[[#This Row],[HH Covered]]/VLOOKUP(Table_Shelter[[#This Row],[CampName]],CL,4,0),"")</f>
        <v>6.1111111111111109E-2</v>
      </c>
      <c r="V144" s="265" t="s">
        <v>1305</v>
      </c>
      <c r="W144" s="108"/>
    </row>
    <row r="145" spans="1:23" ht="15" customHeight="1" x14ac:dyDescent="0.25">
      <c r="A145" s="658">
        <v>41609</v>
      </c>
      <c r="B145" s="173" t="s">
        <v>452</v>
      </c>
      <c r="C145" s="173" t="s">
        <v>460</v>
      </c>
      <c r="D145" s="176" t="s">
        <v>380</v>
      </c>
      <c r="E145" s="345" t="s">
        <v>5</v>
      </c>
      <c r="F145" s="173" t="s">
        <v>366</v>
      </c>
      <c r="G145" s="107">
        <v>1</v>
      </c>
      <c r="H145" s="109"/>
      <c r="I145" s="109"/>
      <c r="J145" s="109">
        <v>50</v>
      </c>
      <c r="K145" s="109">
        <v>50</v>
      </c>
      <c r="L145" s="175"/>
      <c r="M145" s="175"/>
      <c r="N145" s="175"/>
      <c r="O145" s="175"/>
      <c r="P145" s="108">
        <f>IF(Table_Shelter[[#This Row],[Status]]="Open",IF(V145="NO",Table_Shelter[[#This Row],[HH per Shelter]]*(Table_Shelter[[#This Row],['# of Temporary Shelter Units Built]]+Table_Shelter[[#This Row],['# of Temporary Shelter Under  Construction]]+Table_Shelter[[#This Row],['# of Permanent House Under Construction]]),0),0)</f>
        <v>50</v>
      </c>
      <c r="Q145" s="108"/>
      <c r="R145" s="175"/>
      <c r="S145" s="175" t="str">
        <f>IFERROR(VLOOKUP(Table_Shelter[[#This Row],[CampName]],CL,2,0),"")</f>
        <v>MMR001CMP193</v>
      </c>
      <c r="T145" s="175" t="str">
        <f>IFERROR(VLOOKUP(Table_Shelter[[#This Row],[CampName]],CL,3,0),"")</f>
        <v>Open</v>
      </c>
      <c r="U145" s="265">
        <f>IFERROR(Table_Shelter[[#This Row],[HH Covered]]/VLOOKUP(Table_Shelter[[#This Row],[CampName]],CL,4,0),"")</f>
        <v>0.33333333333333331</v>
      </c>
      <c r="V145" s="265" t="s">
        <v>1305</v>
      </c>
      <c r="W145" s="175"/>
    </row>
    <row r="146" spans="1:23" ht="15" customHeight="1" x14ac:dyDescent="0.25">
      <c r="A146" s="658">
        <v>41609</v>
      </c>
      <c r="B146" s="173" t="s">
        <v>452</v>
      </c>
      <c r="C146" s="173" t="s">
        <v>505</v>
      </c>
      <c r="D146" s="176" t="s">
        <v>380</v>
      </c>
      <c r="E146" s="345" t="s">
        <v>310</v>
      </c>
      <c r="F146" s="173" t="s">
        <v>318</v>
      </c>
      <c r="G146" s="107">
        <v>1</v>
      </c>
      <c r="H146" s="109"/>
      <c r="I146" s="109"/>
      <c r="J146" s="109">
        <v>10</v>
      </c>
      <c r="K146" s="109">
        <v>10</v>
      </c>
      <c r="L146" s="175"/>
      <c r="M146" s="175"/>
      <c r="N146" s="175"/>
      <c r="O146" s="175"/>
      <c r="P146" s="108">
        <f>IF(Table_Shelter[[#This Row],[Status]]="Open",IF(V146="NO",Table_Shelter[[#This Row],[HH per Shelter]]*(Table_Shelter[[#This Row],['# of Temporary Shelter Units Built]]+Table_Shelter[[#This Row],['# of Temporary Shelter Under  Construction]]+Table_Shelter[[#This Row],['# of Permanent House Under Construction]]),0),0)</f>
        <v>10</v>
      </c>
      <c r="Q146" s="108"/>
      <c r="R146" s="108"/>
      <c r="S146" s="108" t="str">
        <f>IFERROR(VLOOKUP(Table_Shelter[[#This Row],[CampName]],CL,2,0),"")</f>
        <v>MMR001CMP032</v>
      </c>
      <c r="T146" s="108" t="str">
        <f>IFERROR(VLOOKUP(Table_Shelter[[#This Row],[CampName]],CL,3,0),"")</f>
        <v>Open</v>
      </c>
      <c r="U146" s="265">
        <f>IFERROR(Table_Shelter[[#This Row],[HH Covered]]/VLOOKUP(Table_Shelter[[#This Row],[CampName]],CL,4,0),"")</f>
        <v>0.10989010989010989</v>
      </c>
      <c r="V146" s="265" t="s">
        <v>1305</v>
      </c>
      <c r="W146" s="108"/>
    </row>
    <row r="147" spans="1:23" ht="15" customHeight="1" x14ac:dyDescent="0.25">
      <c r="A147" s="658">
        <v>41609</v>
      </c>
      <c r="B147" s="173" t="s">
        <v>452</v>
      </c>
      <c r="C147" s="173" t="s">
        <v>505</v>
      </c>
      <c r="D147" s="176" t="s">
        <v>380</v>
      </c>
      <c r="E147" s="345" t="s">
        <v>310</v>
      </c>
      <c r="F147" s="173" t="s">
        <v>338</v>
      </c>
      <c r="G147" s="107">
        <v>1</v>
      </c>
      <c r="H147" s="109"/>
      <c r="I147" s="109"/>
      <c r="J147" s="109">
        <v>10</v>
      </c>
      <c r="K147" s="109">
        <v>10</v>
      </c>
      <c r="L147" s="175"/>
      <c r="M147" s="175"/>
      <c r="N147" s="175"/>
      <c r="O147" s="175"/>
      <c r="P147" s="108">
        <f>IF(Table_Shelter[[#This Row],[Status]]="Open",IF(V147="NO",Table_Shelter[[#This Row],[HH per Shelter]]*(Table_Shelter[[#This Row],['# of Temporary Shelter Units Built]]+Table_Shelter[[#This Row],['# of Temporary Shelter Under  Construction]]+Table_Shelter[[#This Row],['# of Permanent House Under Construction]]),0),0)</f>
        <v>10</v>
      </c>
      <c r="Q147" s="108"/>
      <c r="R147" s="108"/>
      <c r="S147" s="108" t="str">
        <f>IFERROR(VLOOKUP(Table_Shelter[[#This Row],[CampName]],CL,2,0),"")</f>
        <v>MMR001CMP030</v>
      </c>
      <c r="T147" s="108" t="str">
        <f>IFERROR(VLOOKUP(Table_Shelter[[#This Row],[CampName]],CL,3,0),"")</f>
        <v>Open</v>
      </c>
      <c r="U147" s="265">
        <f>IFERROR(Table_Shelter[[#This Row],[HH Covered]]/VLOOKUP(Table_Shelter[[#This Row],[CampName]],CL,4,0),"")</f>
        <v>0.32258064516129031</v>
      </c>
      <c r="V147" s="265" t="s">
        <v>1305</v>
      </c>
      <c r="W147" s="108"/>
    </row>
    <row r="148" spans="1:23" ht="15" customHeight="1" x14ac:dyDescent="0.25">
      <c r="A148" s="658">
        <v>41609</v>
      </c>
      <c r="B148" s="173" t="s">
        <v>452</v>
      </c>
      <c r="C148" s="173" t="s">
        <v>505</v>
      </c>
      <c r="D148" s="176" t="s">
        <v>380</v>
      </c>
      <c r="E148" s="345" t="s">
        <v>527</v>
      </c>
      <c r="F148" s="173" t="s">
        <v>118</v>
      </c>
      <c r="G148" s="107">
        <v>1</v>
      </c>
      <c r="H148" s="109"/>
      <c r="I148" s="109"/>
      <c r="J148" s="109">
        <v>10</v>
      </c>
      <c r="K148" s="109">
        <v>10</v>
      </c>
      <c r="L148" s="175"/>
      <c r="M148" s="175"/>
      <c r="N148" s="175"/>
      <c r="O148" s="175"/>
      <c r="P148" s="108">
        <f>IF(Table_Shelter[[#This Row],[Status]]="Open",IF(V148="NO",Table_Shelter[[#This Row],[HH per Shelter]]*(Table_Shelter[[#This Row],['# of Temporary Shelter Units Built]]+Table_Shelter[[#This Row],['# of Temporary Shelter Under  Construction]]+Table_Shelter[[#This Row],['# of Permanent House Under Construction]]),0),0)</f>
        <v>10</v>
      </c>
      <c r="Q148" s="108"/>
      <c r="R148" s="175"/>
      <c r="S148" s="175" t="str">
        <f>IFERROR(VLOOKUP(Table_Shelter[[#This Row],[CampName]],CL,2,0),"")</f>
        <v>MMR001CMP182</v>
      </c>
      <c r="T148" s="175" t="str">
        <f>IFERROR(VLOOKUP(Table_Shelter[[#This Row],[CampName]],CL,3,0),"")</f>
        <v>Open</v>
      </c>
      <c r="U148" s="265">
        <f>IFERROR(Table_Shelter[[#This Row],[HH Covered]]/VLOOKUP(Table_Shelter[[#This Row],[CampName]],CL,4,0),"")</f>
        <v>1</v>
      </c>
      <c r="V148" s="265" t="s">
        <v>1305</v>
      </c>
      <c r="W148" s="175"/>
    </row>
    <row r="149" spans="1:23" ht="15" customHeight="1" x14ac:dyDescent="0.25">
      <c r="A149" s="658">
        <v>41609</v>
      </c>
      <c r="B149" s="173" t="s">
        <v>452</v>
      </c>
      <c r="C149" s="173" t="s">
        <v>460</v>
      </c>
      <c r="D149" s="176" t="s">
        <v>380</v>
      </c>
      <c r="E149" s="345" t="s">
        <v>5</v>
      </c>
      <c r="F149" s="173" t="s">
        <v>22</v>
      </c>
      <c r="G149" s="107">
        <v>1</v>
      </c>
      <c r="H149" s="109"/>
      <c r="I149" s="109"/>
      <c r="J149" s="109">
        <v>30</v>
      </c>
      <c r="K149" s="109">
        <v>30</v>
      </c>
      <c r="L149" s="175"/>
      <c r="M149" s="175"/>
      <c r="N149" s="175"/>
      <c r="O149" s="175"/>
      <c r="P149" s="108">
        <f>IF(Table_Shelter[[#This Row],[Status]]="Open",IF(V149="NO",Table_Shelter[[#This Row],[HH per Shelter]]*(Table_Shelter[[#This Row],['# of Temporary Shelter Units Built]]+Table_Shelter[[#This Row],['# of Temporary Shelter Under  Construction]]+Table_Shelter[[#This Row],['# of Permanent House Under Construction]]),0),0)</f>
        <v>30</v>
      </c>
      <c r="Q149" s="108"/>
      <c r="R149" s="175"/>
      <c r="S149" s="175" t="str">
        <f>IFERROR(VLOOKUP(Table_Shelter[[#This Row],[CampName]],CL,2,0),"")</f>
        <v>MMR001CMP047</v>
      </c>
      <c r="T149" s="175" t="str">
        <f>IFERROR(VLOOKUP(Table_Shelter[[#This Row],[CampName]],CL,3,0),"")</f>
        <v>Open</v>
      </c>
      <c r="U149" s="265">
        <f>IFERROR(Table_Shelter[[#This Row],[HH Covered]]/VLOOKUP(Table_Shelter[[#This Row],[CampName]],CL,4,0),"")</f>
        <v>4.7923322683706068E-2</v>
      </c>
      <c r="V149" s="265" t="s">
        <v>1305</v>
      </c>
      <c r="W149" s="175"/>
    </row>
    <row r="150" spans="1:23" ht="15" customHeight="1" x14ac:dyDescent="0.25">
      <c r="A150" s="658">
        <v>41609</v>
      </c>
      <c r="B150" s="173" t="s">
        <v>452</v>
      </c>
      <c r="C150" s="173" t="s">
        <v>460</v>
      </c>
      <c r="D150" s="176" t="s">
        <v>380</v>
      </c>
      <c r="E150" s="345" t="s">
        <v>527</v>
      </c>
      <c r="F150" s="173" t="s">
        <v>124</v>
      </c>
      <c r="G150" s="107">
        <v>1</v>
      </c>
      <c r="H150" s="109"/>
      <c r="I150" s="109"/>
      <c r="J150" s="109">
        <v>5</v>
      </c>
      <c r="K150" s="109">
        <v>5</v>
      </c>
      <c r="L150" s="175"/>
      <c r="M150" s="175"/>
      <c r="N150" s="175"/>
      <c r="O150" s="175"/>
      <c r="P150" s="108">
        <f>IF(Table_Shelter[[#This Row],[Status]]="Open",IF(V150="NO",Table_Shelter[[#This Row],[HH per Shelter]]*(Table_Shelter[[#This Row],['# of Temporary Shelter Units Built]]+Table_Shelter[[#This Row],['# of Temporary Shelter Under  Construction]]+Table_Shelter[[#This Row],['# of Permanent House Under Construction]]),0),0)</f>
        <v>5</v>
      </c>
      <c r="Q150" s="108"/>
      <c r="R150" s="175"/>
      <c r="S150" s="175" t="str">
        <f>IFERROR(VLOOKUP(Table_Shelter[[#This Row],[CampName]],CL,2,0),"")</f>
        <v>MMR001CMP183</v>
      </c>
      <c r="T150" s="175" t="str">
        <f>IFERROR(VLOOKUP(Table_Shelter[[#This Row],[CampName]],CL,3,0),"")</f>
        <v>Open</v>
      </c>
      <c r="U150" s="265">
        <f>IFERROR(Table_Shelter[[#This Row],[HH Covered]]/VLOOKUP(Table_Shelter[[#This Row],[CampName]],CL,4,0),"")</f>
        <v>0.625</v>
      </c>
      <c r="V150" s="265" t="s">
        <v>1305</v>
      </c>
      <c r="W150" s="175"/>
    </row>
    <row r="151" spans="1:23" ht="15" customHeight="1" x14ac:dyDescent="0.25">
      <c r="A151" s="658">
        <v>41609</v>
      </c>
      <c r="B151" s="173" t="s">
        <v>452</v>
      </c>
      <c r="C151" s="173" t="s">
        <v>460</v>
      </c>
      <c r="D151" s="176" t="s">
        <v>380</v>
      </c>
      <c r="E151" s="345" t="s">
        <v>310</v>
      </c>
      <c r="F151" s="173" t="s">
        <v>347</v>
      </c>
      <c r="G151" s="107">
        <v>1</v>
      </c>
      <c r="H151" s="109"/>
      <c r="I151" s="109"/>
      <c r="J151" s="109">
        <v>18</v>
      </c>
      <c r="K151" s="109">
        <v>18</v>
      </c>
      <c r="L151" s="175"/>
      <c r="M151" s="175"/>
      <c r="N151" s="175"/>
      <c r="O151" s="175"/>
      <c r="P151" s="108">
        <f>IF(Table_Shelter[[#This Row],[Status]]="Open",IF(V151="NO",Table_Shelter[[#This Row],[HH per Shelter]]*(Table_Shelter[[#This Row],['# of Temporary Shelter Units Built]]+Table_Shelter[[#This Row],['# of Temporary Shelter Under  Construction]]+Table_Shelter[[#This Row],['# of Permanent House Under Construction]]),0),0)</f>
        <v>18</v>
      </c>
      <c r="Q151" s="108"/>
      <c r="R151" s="108"/>
      <c r="S151" s="108" t="str">
        <f>IFERROR(VLOOKUP(Table_Shelter[[#This Row],[CampName]],CL,2,0),"")</f>
        <v>MMR001CMP041</v>
      </c>
      <c r="T151" s="108" t="str">
        <f>IFERROR(VLOOKUP(Table_Shelter[[#This Row],[CampName]],CL,3,0),"")</f>
        <v>Open</v>
      </c>
      <c r="U151" s="265">
        <f>IFERROR(Table_Shelter[[#This Row],[HH Covered]]/VLOOKUP(Table_Shelter[[#This Row],[CampName]],CL,4,0),"")</f>
        <v>0.1005586592178771</v>
      </c>
      <c r="V151" s="265" t="s">
        <v>1305</v>
      </c>
      <c r="W151" s="108"/>
    </row>
    <row r="152" spans="1:23" ht="15" customHeight="1" x14ac:dyDescent="0.25">
      <c r="A152" s="658">
        <v>41609</v>
      </c>
      <c r="B152" s="173" t="s">
        <v>452</v>
      </c>
      <c r="C152" s="173" t="s">
        <v>505</v>
      </c>
      <c r="D152" s="176" t="s">
        <v>380</v>
      </c>
      <c r="E152" s="345" t="s">
        <v>5</v>
      </c>
      <c r="F152" s="173" t="s">
        <v>24</v>
      </c>
      <c r="G152" s="107">
        <v>1</v>
      </c>
      <c r="H152" s="109"/>
      <c r="I152" s="109"/>
      <c r="J152" s="109">
        <v>15</v>
      </c>
      <c r="K152" s="109">
        <v>15</v>
      </c>
      <c r="L152" s="175"/>
      <c r="M152" s="175"/>
      <c r="N152" s="175"/>
      <c r="O152" s="175"/>
      <c r="P152" s="108">
        <f>IF(Table_Shelter[[#This Row],[Status]]="Open",IF(V152="NO",Table_Shelter[[#This Row],[HH per Shelter]]*(Table_Shelter[[#This Row],['# of Temporary Shelter Units Built]]+Table_Shelter[[#This Row],['# of Temporary Shelter Under  Construction]]+Table_Shelter[[#This Row],['# of Permanent House Under Construction]]),0),0)</f>
        <v>15</v>
      </c>
      <c r="Q152" s="108">
        <v>10</v>
      </c>
      <c r="R152" s="175"/>
      <c r="S152" s="175" t="str">
        <f>IFERROR(VLOOKUP(Table_Shelter[[#This Row],[CampName]],CL,2,0),"")</f>
        <v>MMR001CMP055</v>
      </c>
      <c r="T152" s="175" t="str">
        <f>IFERROR(VLOOKUP(Table_Shelter[[#This Row],[CampName]],CL,3,0),"")</f>
        <v>Open</v>
      </c>
      <c r="U152" s="265">
        <f>IFERROR(Table_Shelter[[#This Row],[HH Covered]]/VLOOKUP(Table_Shelter[[#This Row],[CampName]],CL,4,0),"")</f>
        <v>0.7142857142857143</v>
      </c>
      <c r="V152" s="265" t="s">
        <v>1305</v>
      </c>
      <c r="W152" s="175"/>
    </row>
    <row r="153" spans="1:23" ht="15" customHeight="1" x14ac:dyDescent="0.25">
      <c r="A153" s="658">
        <v>41609</v>
      </c>
      <c r="B153" s="173" t="s">
        <v>452</v>
      </c>
      <c r="C153" s="173" t="s">
        <v>505</v>
      </c>
      <c r="D153" s="176" t="s">
        <v>380</v>
      </c>
      <c r="E153" s="345" t="s">
        <v>237</v>
      </c>
      <c r="F153" s="173" t="s">
        <v>1244</v>
      </c>
      <c r="G153" s="107">
        <v>1</v>
      </c>
      <c r="H153" s="109"/>
      <c r="I153" s="109"/>
      <c r="J153" s="109">
        <v>30</v>
      </c>
      <c r="K153" s="109">
        <v>30</v>
      </c>
      <c r="L153" s="175"/>
      <c r="M153" s="175"/>
      <c r="N153" s="175"/>
      <c r="O153" s="175"/>
      <c r="P153" s="108">
        <f>IF(Table_Shelter[[#This Row],[Status]]="Open",IF(V153="NO",Table_Shelter[[#This Row],[HH per Shelter]]*(Table_Shelter[[#This Row],['# of Temporary Shelter Units Built]]+Table_Shelter[[#This Row],['# of Temporary Shelter Under  Construction]]+Table_Shelter[[#This Row],['# of Permanent House Under Construction]]),0),0)</f>
        <v>30</v>
      </c>
      <c r="Q153" s="108"/>
      <c r="R153" s="108"/>
      <c r="S153" s="108" t="str">
        <f>IFERROR(VLOOKUP(Table_Shelter[[#This Row],[CampName]],CL,2,0),"")</f>
        <v>MMR001CMP023</v>
      </c>
      <c r="T153" s="108" t="str">
        <f>IFERROR(VLOOKUP(Table_Shelter[[#This Row],[CampName]],CL,3,0),"")</f>
        <v>Open</v>
      </c>
      <c r="U153" s="265">
        <f>IFERROR(Table_Shelter[[#This Row],[HH Covered]]/VLOOKUP(Table_Shelter[[#This Row],[CampName]],CL,4,0),"")</f>
        <v>0.55555555555555558</v>
      </c>
      <c r="V153" s="265" t="s">
        <v>1305</v>
      </c>
      <c r="W153" s="108"/>
    </row>
    <row r="154" spans="1:23" ht="15" customHeight="1" x14ac:dyDescent="0.25">
      <c r="A154" s="658">
        <v>41609</v>
      </c>
      <c r="B154" s="173" t="s">
        <v>452</v>
      </c>
      <c r="C154" s="173" t="s">
        <v>505</v>
      </c>
      <c r="D154" s="176" t="s">
        <v>380</v>
      </c>
      <c r="E154" s="345" t="s">
        <v>310</v>
      </c>
      <c r="F154" s="173" t="s">
        <v>349</v>
      </c>
      <c r="G154" s="107">
        <v>1</v>
      </c>
      <c r="H154" s="109"/>
      <c r="I154" s="109"/>
      <c r="J154" s="109">
        <v>5</v>
      </c>
      <c r="K154" s="109">
        <v>5</v>
      </c>
      <c r="L154" s="175"/>
      <c r="M154" s="175"/>
      <c r="N154" s="175"/>
      <c r="O154" s="175"/>
      <c r="P154" s="108">
        <f>IF(Table_Shelter[[#This Row],[Status]]="Open",IF(V154="NO",Table_Shelter[[#This Row],[HH per Shelter]]*(Table_Shelter[[#This Row],['# of Temporary Shelter Units Built]]+Table_Shelter[[#This Row],['# of Temporary Shelter Under  Construction]]+Table_Shelter[[#This Row],['# of Permanent House Under Construction]]),0),0)</f>
        <v>5</v>
      </c>
      <c r="Q154" s="108"/>
      <c r="R154" s="108"/>
      <c r="S154" s="108" t="str">
        <f>IFERROR(VLOOKUP(Table_Shelter[[#This Row],[CampName]],CL,2,0),"")</f>
        <v>MMR001CMP037</v>
      </c>
      <c r="T154" s="108" t="str">
        <f>IFERROR(VLOOKUP(Table_Shelter[[#This Row],[CampName]],CL,3,0),"")</f>
        <v>Open</v>
      </c>
      <c r="U154" s="265">
        <f>IFERROR(Table_Shelter[[#This Row],[HH Covered]]/VLOOKUP(Table_Shelter[[#This Row],[CampName]],CL,4,0),"")</f>
        <v>0.11363636363636363</v>
      </c>
      <c r="V154" s="265" t="s">
        <v>1305</v>
      </c>
      <c r="W154" s="108"/>
    </row>
    <row r="155" spans="1:23" ht="15" customHeight="1" x14ac:dyDescent="0.25">
      <c r="A155" s="658">
        <v>41609</v>
      </c>
      <c r="B155" s="173" t="s">
        <v>452</v>
      </c>
      <c r="C155" s="173" t="s">
        <v>505</v>
      </c>
      <c r="D155" s="176" t="s">
        <v>380</v>
      </c>
      <c r="E155" s="345" t="s">
        <v>310</v>
      </c>
      <c r="F155" s="173" t="s">
        <v>316</v>
      </c>
      <c r="G155" s="107">
        <v>1</v>
      </c>
      <c r="H155" s="109"/>
      <c r="I155" s="109"/>
      <c r="J155" s="109">
        <v>6</v>
      </c>
      <c r="K155" s="109">
        <v>6</v>
      </c>
      <c r="L155" s="175"/>
      <c r="M155" s="175"/>
      <c r="N155" s="175"/>
      <c r="O155" s="175"/>
      <c r="P155" s="108">
        <f>IF(Table_Shelter[[#This Row],[Status]]="Open",IF(V155="NO",Table_Shelter[[#This Row],[HH per Shelter]]*(Table_Shelter[[#This Row],['# of Temporary Shelter Units Built]]+Table_Shelter[[#This Row],['# of Temporary Shelter Under  Construction]]+Table_Shelter[[#This Row],['# of Permanent House Under Construction]]),0),0)</f>
        <v>6</v>
      </c>
      <c r="Q155" s="108"/>
      <c r="R155" s="108"/>
      <c r="S155" s="108" t="str">
        <f>IFERROR(VLOOKUP(Table_Shelter[[#This Row],[CampName]],CL,2,0),"")</f>
        <v>MMR001CMP038</v>
      </c>
      <c r="T155" s="108" t="str">
        <f>IFERROR(VLOOKUP(Table_Shelter[[#This Row],[CampName]],CL,3,0),"")</f>
        <v>Open</v>
      </c>
      <c r="U155" s="265">
        <f>IFERROR(Table_Shelter[[#This Row],[HH Covered]]/VLOOKUP(Table_Shelter[[#This Row],[CampName]],CL,4,0),"")</f>
        <v>8.5714285714285715E-2</v>
      </c>
      <c r="V155" s="265" t="s">
        <v>1305</v>
      </c>
      <c r="W155" s="108"/>
    </row>
    <row r="156" spans="1:23" ht="15" customHeight="1" x14ac:dyDescent="0.25">
      <c r="A156" s="658">
        <v>41609</v>
      </c>
      <c r="B156" s="173" t="s">
        <v>452</v>
      </c>
      <c r="C156" s="173" t="s">
        <v>460</v>
      </c>
      <c r="D156" s="176" t="s">
        <v>380</v>
      </c>
      <c r="E156" s="345" t="s">
        <v>527</v>
      </c>
      <c r="F156" s="173" t="s">
        <v>126</v>
      </c>
      <c r="G156" s="107">
        <v>1</v>
      </c>
      <c r="H156" s="109"/>
      <c r="I156" s="109"/>
      <c r="J156" s="109">
        <v>15</v>
      </c>
      <c r="K156" s="109">
        <v>15</v>
      </c>
      <c r="L156" s="175"/>
      <c r="M156" s="175"/>
      <c r="N156" s="175"/>
      <c r="O156" s="175"/>
      <c r="P156" s="108">
        <f>IF(Table_Shelter[[#This Row],[Status]]="Open",IF(V156="NO",Table_Shelter[[#This Row],[HH per Shelter]]*(Table_Shelter[[#This Row],['# of Temporary Shelter Units Built]]+Table_Shelter[[#This Row],['# of Temporary Shelter Under  Construction]]+Table_Shelter[[#This Row],['# of Permanent House Under Construction]]),0),0)</f>
        <v>15</v>
      </c>
      <c r="Q156" s="108"/>
      <c r="R156" s="175"/>
      <c r="S156" s="175" t="str">
        <f>IFERROR(VLOOKUP(Table_Shelter[[#This Row],[CampName]],CL,2,0),"")</f>
        <v>MMR001CMP184</v>
      </c>
      <c r="T156" s="175" t="str">
        <f>IFERROR(VLOOKUP(Table_Shelter[[#This Row],[CampName]],CL,3,0),"")</f>
        <v>Open</v>
      </c>
      <c r="U156" s="265">
        <f>IFERROR(Table_Shelter[[#This Row],[HH Covered]]/VLOOKUP(Table_Shelter[[#This Row],[CampName]],CL,4,0),"")</f>
        <v>0.42857142857142855</v>
      </c>
      <c r="V156" s="265" t="s">
        <v>1305</v>
      </c>
      <c r="W156" s="175"/>
    </row>
    <row r="157" spans="1:23" ht="15" customHeight="1" x14ac:dyDescent="0.25">
      <c r="A157" s="658">
        <v>41609</v>
      </c>
      <c r="B157" s="173" t="s">
        <v>452</v>
      </c>
      <c r="C157" s="173" t="s">
        <v>506</v>
      </c>
      <c r="D157" s="176" t="s">
        <v>380</v>
      </c>
      <c r="E157" s="345" t="s">
        <v>310</v>
      </c>
      <c r="F157" s="173" t="s">
        <v>353</v>
      </c>
      <c r="G157" s="107">
        <v>1</v>
      </c>
      <c r="H157" s="109"/>
      <c r="I157" s="109"/>
      <c r="J157" s="109">
        <v>160</v>
      </c>
      <c r="K157" s="109">
        <v>160</v>
      </c>
      <c r="L157" s="175"/>
      <c r="M157" s="175"/>
      <c r="N157" s="175"/>
      <c r="O157" s="175"/>
      <c r="P157" s="108">
        <f>IF(Table_Shelter[[#This Row],[Status]]="Open",IF(V157="NO",Table_Shelter[[#This Row],[HH per Shelter]]*(Table_Shelter[[#This Row],['# of Temporary Shelter Units Built]]+Table_Shelter[[#This Row],['# of Temporary Shelter Under  Construction]]+Table_Shelter[[#This Row],['# of Permanent House Under Construction]]),0),0)</f>
        <v>160</v>
      </c>
      <c r="Q157" s="108"/>
      <c r="R157" s="175"/>
      <c r="S157" s="175" t="str">
        <f>IFERROR(VLOOKUP(Table_Shelter[[#This Row],[CampName]],CL,2,0),"")</f>
        <v>MMR001CMP116</v>
      </c>
      <c r="T157" s="175" t="str">
        <f>IFERROR(VLOOKUP(Table_Shelter[[#This Row],[CampName]],CL,3,0),"")</f>
        <v>Open</v>
      </c>
      <c r="U157" s="265">
        <f>IFERROR(Table_Shelter[[#This Row],[HH Covered]]/VLOOKUP(Table_Shelter[[#This Row],[CampName]],CL,4,0),"")</f>
        <v>0.11670313639679067</v>
      </c>
      <c r="V157" s="265" t="s">
        <v>1305</v>
      </c>
      <c r="W157" s="175"/>
    </row>
    <row r="158" spans="1:23" ht="15" customHeight="1" x14ac:dyDescent="0.25">
      <c r="A158" s="658">
        <v>41609</v>
      </c>
      <c r="B158" s="173" t="s">
        <v>452</v>
      </c>
      <c r="C158" s="173"/>
      <c r="D158" s="176" t="s">
        <v>380</v>
      </c>
      <c r="E158" s="345" t="s">
        <v>5</v>
      </c>
      <c r="F158" s="173" t="s">
        <v>26</v>
      </c>
      <c r="G158" s="107">
        <v>1</v>
      </c>
      <c r="H158" s="109"/>
      <c r="I158" s="109"/>
      <c r="J158" s="109">
        <v>5</v>
      </c>
      <c r="K158" s="109">
        <v>5</v>
      </c>
      <c r="L158" s="175"/>
      <c r="M158" s="175"/>
      <c r="N158" s="175"/>
      <c r="O158" s="175"/>
      <c r="P158" s="108">
        <f>IF(Table_Shelter[[#This Row],[Status]]="Open",IF(V158="NO",Table_Shelter[[#This Row],[HH per Shelter]]*(Table_Shelter[[#This Row],['# of Temporary Shelter Units Built]]+Table_Shelter[[#This Row],['# of Temporary Shelter Under  Construction]]+Table_Shelter[[#This Row],['# of Permanent House Under Construction]]),0),0)</f>
        <v>5</v>
      </c>
      <c r="Q158" s="108"/>
      <c r="R158" s="108"/>
      <c r="S158" s="108" t="str">
        <f>IFERROR(VLOOKUP(Table_Shelter[[#This Row],[CampName]],CL,2,0),"")</f>
        <v>MMR001CMP053</v>
      </c>
      <c r="T158" s="108" t="str">
        <f>IFERROR(VLOOKUP(Table_Shelter[[#This Row],[CampName]],CL,3,0),"")</f>
        <v>Open</v>
      </c>
      <c r="U158" s="265">
        <f>IFERROR(Table_Shelter[[#This Row],[HH Covered]]/VLOOKUP(Table_Shelter[[#This Row],[CampName]],CL,4,0),"")</f>
        <v>0.33333333333333331</v>
      </c>
      <c r="V158" s="265" t="s">
        <v>1305</v>
      </c>
      <c r="W158" s="108"/>
    </row>
    <row r="159" spans="1:23" ht="15" customHeight="1" x14ac:dyDescent="0.25">
      <c r="A159" s="658">
        <v>41609</v>
      </c>
      <c r="B159" s="173" t="s">
        <v>452</v>
      </c>
      <c r="C159" s="173" t="s">
        <v>460</v>
      </c>
      <c r="D159" s="176" t="s">
        <v>380</v>
      </c>
      <c r="E159" s="345" t="s">
        <v>310</v>
      </c>
      <c r="F159" s="173" t="s">
        <v>1245</v>
      </c>
      <c r="G159" s="107">
        <v>1</v>
      </c>
      <c r="H159" s="109"/>
      <c r="I159" s="109"/>
      <c r="J159" s="109">
        <v>76</v>
      </c>
      <c r="K159" s="109">
        <v>76</v>
      </c>
      <c r="L159" s="175"/>
      <c r="M159" s="175"/>
      <c r="N159" s="175"/>
      <c r="O159" s="175"/>
      <c r="P159" s="108">
        <f>IF(Table_Shelter[[#This Row],[Status]]="Open",IF(V159="NO",Table_Shelter[[#This Row],[HH per Shelter]]*(Table_Shelter[[#This Row],['# of Temporary Shelter Units Built]]+Table_Shelter[[#This Row],['# of Temporary Shelter Under  Construction]]+Table_Shelter[[#This Row],['# of Permanent House Under Construction]]),0),0)</f>
        <v>76</v>
      </c>
      <c r="Q159" s="108"/>
      <c r="R159" s="108"/>
      <c r="S159" s="108" t="str">
        <f>IFERROR(VLOOKUP(Table_Shelter[[#This Row],[CampName]],CL,2,0),"")</f>
        <v>MMR001CMP111</v>
      </c>
      <c r="T159" s="108" t="str">
        <f>IFERROR(VLOOKUP(Table_Shelter[[#This Row],[CampName]],CL,3,0),"")</f>
        <v>Open</v>
      </c>
      <c r="U159" s="265">
        <f>IFERROR(Table_Shelter[[#This Row],[HH Covered]]/VLOOKUP(Table_Shelter[[#This Row],[CampName]],CL,4,0),"")</f>
        <v>0.12582781456953643</v>
      </c>
      <c r="V159" s="265" t="s">
        <v>1305</v>
      </c>
      <c r="W159" s="108"/>
    </row>
    <row r="160" spans="1:23" ht="15" customHeight="1" x14ac:dyDescent="0.25">
      <c r="A160" s="586"/>
      <c r="B160" s="173" t="s">
        <v>862</v>
      </c>
      <c r="C160" s="173"/>
      <c r="D160" s="176" t="s">
        <v>380</v>
      </c>
      <c r="E160" s="345" t="s">
        <v>527</v>
      </c>
      <c r="F160" s="173" t="s">
        <v>62</v>
      </c>
      <c r="G160" s="107">
        <v>1</v>
      </c>
      <c r="H160" s="148">
        <v>25</v>
      </c>
      <c r="I160" s="148">
        <v>25</v>
      </c>
      <c r="J160" s="148"/>
      <c r="K160" s="148"/>
      <c r="L160" s="174"/>
      <c r="M160" s="174"/>
      <c r="N160" s="174"/>
      <c r="O160" s="174"/>
      <c r="P160" s="149">
        <f>IF(Table_Shelter[[#This Row],[Status]]="Open",IF(V160="NO",Table_Shelter[[#This Row],[HH per Shelter]]*(Table_Shelter[[#This Row],['# of Temporary Shelter Units Built]]+Table_Shelter[[#This Row],['# of Temporary Shelter Under  Construction]]+Table_Shelter[[#This Row],['# of Permanent House Under Construction]]),0),0)</f>
        <v>0</v>
      </c>
      <c r="Q160" s="149"/>
      <c r="R160" s="174"/>
      <c r="S160" s="174" t="str">
        <f>IFERROR(VLOOKUP(Table_Shelter[[#This Row],[CampName]],CL,2,0),"")</f>
        <v>MMR001CMP179</v>
      </c>
      <c r="T160" s="174" t="str">
        <f>IFERROR(VLOOKUP(Table_Shelter[[#This Row],[CampName]],CL,3,0),"")</f>
        <v>Open</v>
      </c>
      <c r="U160" s="265">
        <f>IFERROR(Table_Shelter[[#This Row],[HH Covered]]/VLOOKUP(Table_Shelter[[#This Row],[CampName]],CL,4,0),"")</f>
        <v>0</v>
      </c>
      <c r="V160" s="265" t="s">
        <v>1305</v>
      </c>
      <c r="W160" s="175"/>
    </row>
    <row r="161" spans="1:23" ht="15" customHeight="1" x14ac:dyDescent="0.25">
      <c r="A161" s="587"/>
      <c r="B161" s="173" t="s">
        <v>452</v>
      </c>
      <c r="C161" s="173" t="s">
        <v>506</v>
      </c>
      <c r="D161" s="173" t="s">
        <v>380</v>
      </c>
      <c r="E161" s="345" t="s">
        <v>527</v>
      </c>
      <c r="F161" s="173" t="s">
        <v>62</v>
      </c>
      <c r="G161" s="107">
        <v>1</v>
      </c>
      <c r="H161" s="107"/>
      <c r="I161" s="107"/>
      <c r="J161" s="107"/>
      <c r="K161" s="107"/>
      <c r="L161" s="173"/>
      <c r="M161" s="173"/>
      <c r="N161" s="173"/>
      <c r="O161" s="173"/>
      <c r="P161" s="149">
        <f>IF(Table_Shelter[[#This Row],[Status]]="Open",IF(V161="NO",Table_Shelter[[#This Row],[HH per Shelter]]*(Table_Shelter[[#This Row],['# of Temporary Shelter Units Built]]+Table_Shelter[[#This Row],['# of Temporary Shelter Under  Construction]]+Table_Shelter[[#This Row],['# of Permanent House Under Construction]]),0),0)</f>
        <v>0</v>
      </c>
      <c r="Q161" s="106">
        <v>44</v>
      </c>
      <c r="R161" s="173"/>
      <c r="S161" s="174" t="str">
        <f>IFERROR(VLOOKUP(Table_Shelter[[#This Row],[CampName]],CL,2,0),"")</f>
        <v>MMR001CMP179</v>
      </c>
      <c r="T161" s="174" t="str">
        <f>IFERROR(VLOOKUP(Table_Shelter[[#This Row],[CampName]],CL,3,0),"")</f>
        <v>Open</v>
      </c>
      <c r="U161" s="265">
        <f>IFERROR(Table_Shelter[[#This Row],[HH Covered]]/VLOOKUP(Table_Shelter[[#This Row],[CampName]],CL,4,0),"")</f>
        <v>0</v>
      </c>
      <c r="V161" s="265" t="s">
        <v>1305</v>
      </c>
      <c r="W161" s="175"/>
    </row>
    <row r="162" spans="1:23" ht="15" customHeight="1" x14ac:dyDescent="0.25">
      <c r="A162" s="587"/>
      <c r="B162" s="173" t="s">
        <v>572</v>
      </c>
      <c r="C162" s="173" t="s">
        <v>459</v>
      </c>
      <c r="D162" s="173" t="s">
        <v>380</v>
      </c>
      <c r="E162" s="345" t="s">
        <v>5</v>
      </c>
      <c r="F162" s="173" t="s">
        <v>6</v>
      </c>
      <c r="G162" s="107">
        <v>1</v>
      </c>
      <c r="H162" s="107"/>
      <c r="I162" s="107"/>
      <c r="J162" s="107">
        <v>6</v>
      </c>
      <c r="K162" s="107">
        <v>6</v>
      </c>
      <c r="L162" s="173"/>
      <c r="M162" s="173"/>
      <c r="N162" s="173"/>
      <c r="O162" s="173"/>
      <c r="P162" s="149">
        <f>IF(Table_Shelter[[#This Row],[Status]]="Open",IF(V162="NO",Table_Shelter[[#This Row],[HH per Shelter]]*(Table_Shelter[[#This Row],['# of Temporary Shelter Units Built]]+Table_Shelter[[#This Row],['# of Temporary Shelter Under  Construction]]+Table_Shelter[[#This Row],['# of Permanent House Under Construction]]),0),0)</f>
        <v>6</v>
      </c>
      <c r="Q162" s="106"/>
      <c r="R162" s="173"/>
      <c r="S162" s="174" t="str">
        <f>IFERROR(VLOOKUP(Table_Shelter[[#This Row],[CampName]],CL,2,0),"")</f>
        <v>MMR001CMP050</v>
      </c>
      <c r="T162" s="174" t="str">
        <f>IFERROR(VLOOKUP(Table_Shelter[[#This Row],[CampName]],CL,3,0),"")</f>
        <v>Open</v>
      </c>
      <c r="U162" s="265">
        <f>IFERROR(Table_Shelter[[#This Row],[HH Covered]]/VLOOKUP(Table_Shelter[[#This Row],[CampName]],CL,4,0),"")</f>
        <v>2.3076923076923078E-2</v>
      </c>
      <c r="V162" s="265" t="s">
        <v>1305</v>
      </c>
      <c r="W162" s="175"/>
    </row>
    <row r="163" spans="1:23" ht="15" customHeight="1" x14ac:dyDescent="0.25">
      <c r="A163" s="658"/>
      <c r="B163" s="175" t="s">
        <v>452</v>
      </c>
      <c r="C163" s="175" t="s">
        <v>459</v>
      </c>
      <c r="D163" s="175" t="s">
        <v>380</v>
      </c>
      <c r="E163" s="179" t="s">
        <v>5</v>
      </c>
      <c r="F163" s="175" t="s">
        <v>6</v>
      </c>
      <c r="G163" s="109">
        <v>1</v>
      </c>
      <c r="H163" s="109"/>
      <c r="I163" s="109"/>
      <c r="J163" s="109">
        <v>144</v>
      </c>
      <c r="K163" s="109">
        <v>144</v>
      </c>
      <c r="L163" s="175"/>
      <c r="M163" s="175"/>
      <c r="N163" s="175"/>
      <c r="O163" s="175"/>
      <c r="P163" s="149">
        <f>IF(Table_Shelter[[#This Row],[Status]]="Open",IF(V163="NO",Table_Shelter[[#This Row],[HH per Shelter]]*(Table_Shelter[[#This Row],['# of Temporary Shelter Units Built]]+Table_Shelter[[#This Row],['# of Temporary Shelter Under  Construction]]+Table_Shelter[[#This Row],['# of Permanent House Under Construction]]),0),0)</f>
        <v>144</v>
      </c>
      <c r="Q163" s="108"/>
      <c r="R163" s="175"/>
      <c r="S163" s="174" t="str">
        <f>IFERROR(VLOOKUP(Table_Shelter[[#This Row],[CampName]],CL,2,0),"")</f>
        <v>MMR001CMP050</v>
      </c>
      <c r="T163" s="174" t="str">
        <f>IFERROR(VLOOKUP(Table_Shelter[[#This Row],[CampName]],CL,3,0),"")</f>
        <v>Open</v>
      </c>
      <c r="U163" s="265">
        <f>IFERROR(Table_Shelter[[#This Row],[HH Covered]]/VLOOKUP(Table_Shelter[[#This Row],[CampName]],CL,4,0),"")</f>
        <v>0.55384615384615388</v>
      </c>
      <c r="V163" s="265" t="s">
        <v>1305</v>
      </c>
      <c r="W163" s="175"/>
    </row>
    <row r="164" spans="1:23" ht="15" customHeight="1" x14ac:dyDescent="0.25">
      <c r="A164" s="589"/>
      <c r="B164" s="173" t="s">
        <v>452</v>
      </c>
      <c r="C164" s="173"/>
      <c r="D164" s="173" t="s">
        <v>380</v>
      </c>
      <c r="E164" s="345" t="s">
        <v>5</v>
      </c>
      <c r="F164" s="173" t="s">
        <v>6</v>
      </c>
      <c r="G164" s="107">
        <v>1</v>
      </c>
      <c r="H164" s="107"/>
      <c r="I164" s="107"/>
      <c r="J164" s="107">
        <v>20</v>
      </c>
      <c r="K164" s="107">
        <v>20</v>
      </c>
      <c r="L164" s="173"/>
      <c r="M164" s="173"/>
      <c r="N164" s="173"/>
      <c r="O164" s="173"/>
      <c r="P164" s="149">
        <f>IF(Table_Shelter[[#This Row],[Status]]="Open",IF(V164="NO",Table_Shelter[[#This Row],[HH per Shelter]]*(Table_Shelter[[#This Row],['# of Temporary Shelter Units Built]]+Table_Shelter[[#This Row],['# of Temporary Shelter Under  Construction]]+Table_Shelter[[#This Row],['# of Permanent House Under Construction]]),0),0)</f>
        <v>20</v>
      </c>
      <c r="Q164" s="106"/>
      <c r="R164" s="173"/>
      <c r="S164" s="174" t="str">
        <f>IFERROR(VLOOKUP(Table_Shelter[[#This Row],[CampName]],CL,2,0),"")</f>
        <v>MMR001CMP050</v>
      </c>
      <c r="T164" s="174" t="str">
        <f>IFERROR(VLOOKUP(Table_Shelter[[#This Row],[CampName]],CL,3,0),"")</f>
        <v>Open</v>
      </c>
      <c r="U164" s="265">
        <f>IFERROR(Table_Shelter[[#This Row],[HH Covered]]/VLOOKUP(Table_Shelter[[#This Row],[CampName]],CL,4,0),"")</f>
        <v>7.6923076923076927E-2</v>
      </c>
      <c r="V164" s="265" t="s">
        <v>1305</v>
      </c>
      <c r="W164" s="175"/>
    </row>
    <row r="165" spans="1:23" ht="15" customHeight="1" x14ac:dyDescent="0.25">
      <c r="A165" s="587"/>
      <c r="B165" s="173" t="s">
        <v>862</v>
      </c>
      <c r="C165" s="173"/>
      <c r="D165" s="176" t="s">
        <v>380</v>
      </c>
      <c r="E165" s="345" t="s">
        <v>527</v>
      </c>
      <c r="F165" s="173" t="s">
        <v>41</v>
      </c>
      <c r="G165" s="107">
        <v>1</v>
      </c>
      <c r="H165" s="107">
        <v>10</v>
      </c>
      <c r="I165" s="107">
        <v>10</v>
      </c>
      <c r="J165" s="107"/>
      <c r="K165" s="107"/>
      <c r="L165" s="173"/>
      <c r="M165" s="173"/>
      <c r="N165" s="173"/>
      <c r="O165" s="173"/>
      <c r="P165" s="149">
        <f>IF(Table_Shelter[[#This Row],[Status]]="Open",IF(V165="NO",Table_Shelter[[#This Row],[HH per Shelter]]*(Table_Shelter[[#This Row],['# of Temporary Shelter Units Built]]+Table_Shelter[[#This Row],['# of Temporary Shelter Under  Construction]]+Table_Shelter[[#This Row],['# of Permanent House Under Construction]]),0),0)</f>
        <v>0</v>
      </c>
      <c r="Q165" s="106"/>
      <c r="R165" s="173"/>
      <c r="S165" s="174" t="str">
        <f>IFERROR(VLOOKUP(Table_Shelter[[#This Row],[CampName]],CL,2,0),"")</f>
        <v>MMR001CMP176</v>
      </c>
      <c r="T165" s="174" t="str">
        <f>IFERROR(VLOOKUP(Table_Shelter[[#This Row],[CampName]],CL,3,0),"")</f>
        <v>Open</v>
      </c>
      <c r="U165" s="265">
        <f>IFERROR(Table_Shelter[[#This Row],[HH Covered]]/VLOOKUP(Table_Shelter[[#This Row],[CampName]],CL,4,0),"")</f>
        <v>0</v>
      </c>
      <c r="V165" s="265" t="s">
        <v>1305</v>
      </c>
      <c r="W165" s="175"/>
    </row>
    <row r="166" spans="1:23" ht="15" customHeight="1" x14ac:dyDescent="0.25">
      <c r="A166" s="589"/>
      <c r="B166" s="173" t="s">
        <v>452</v>
      </c>
      <c r="C166" s="173" t="s">
        <v>505</v>
      </c>
      <c r="D166" s="180" t="s">
        <v>380</v>
      </c>
      <c r="E166" s="345" t="s">
        <v>527</v>
      </c>
      <c r="F166" s="173" t="s">
        <v>41</v>
      </c>
      <c r="G166" s="107">
        <v>1</v>
      </c>
      <c r="H166" s="107"/>
      <c r="I166" s="107"/>
      <c r="J166" s="107">
        <v>5</v>
      </c>
      <c r="K166" s="107">
        <v>5</v>
      </c>
      <c r="L166" s="173"/>
      <c r="M166" s="173"/>
      <c r="N166" s="173"/>
      <c r="O166" s="173"/>
      <c r="P166" s="108">
        <f>IF(Table_Shelter[[#This Row],[Status]]="Open",IF(V166="NO",Table_Shelter[[#This Row],[HH per Shelter]]*(Table_Shelter[[#This Row],['# of Temporary Shelter Units Built]]+Table_Shelter[[#This Row],['# of Temporary Shelter Under  Construction]]+Table_Shelter[[#This Row],['# of Permanent House Under Construction]]),0),0)</f>
        <v>5</v>
      </c>
      <c r="Q166" s="106"/>
      <c r="R166" s="106"/>
      <c r="S166" s="108" t="str">
        <f>IFERROR(VLOOKUP(Table_Shelter[[#This Row],[CampName]],CL,2,0),"")</f>
        <v>MMR001CMP176</v>
      </c>
      <c r="T166" s="108" t="str">
        <f>IFERROR(VLOOKUP(Table_Shelter[[#This Row],[CampName]],CL,3,0),"")</f>
        <v>Open</v>
      </c>
      <c r="U166" s="265">
        <f>IFERROR(Table_Shelter[[#This Row],[HH Covered]]/VLOOKUP(Table_Shelter[[#This Row],[CampName]],CL,4,0),"")</f>
        <v>7.4626865671641784E-2</v>
      </c>
      <c r="V166" s="265" t="s">
        <v>1305</v>
      </c>
      <c r="W166" s="108"/>
    </row>
    <row r="167" spans="1:23" ht="15" customHeight="1" x14ac:dyDescent="0.25">
      <c r="A167" s="587"/>
      <c r="B167" s="173" t="s">
        <v>452</v>
      </c>
      <c r="C167" s="173" t="s">
        <v>459</v>
      </c>
      <c r="D167" s="173" t="s">
        <v>380</v>
      </c>
      <c r="E167" s="345" t="s">
        <v>5</v>
      </c>
      <c r="F167" s="173" t="s">
        <v>512</v>
      </c>
      <c r="G167" s="107">
        <v>1</v>
      </c>
      <c r="H167" s="107"/>
      <c r="I167" s="107"/>
      <c r="J167" s="107">
        <v>32</v>
      </c>
      <c r="K167" s="107">
        <v>32</v>
      </c>
      <c r="L167" s="173"/>
      <c r="M167" s="173"/>
      <c r="N167" s="173"/>
      <c r="O167" s="173"/>
      <c r="P167" s="149">
        <f>IF(Table_Shelter[[#This Row],[Status]]="Open",IF(V167="NO",Table_Shelter[[#This Row],[HH per Shelter]]*(Table_Shelter[[#This Row],['# of Temporary Shelter Units Built]]+Table_Shelter[[#This Row],['# of Temporary Shelter Under  Construction]]+Table_Shelter[[#This Row],['# of Permanent House Under Construction]]),0),0)</f>
        <v>32</v>
      </c>
      <c r="Q167" s="106"/>
      <c r="R167" s="173"/>
      <c r="S167" s="174" t="str">
        <f>IFERROR(VLOOKUP(Table_Shelter[[#This Row],[CampName]],CL,2,0),"")</f>
        <v>MMR001CMP194</v>
      </c>
      <c r="T167" s="174" t="str">
        <f>IFERROR(VLOOKUP(Table_Shelter[[#This Row],[CampName]],CL,3,0),"")</f>
        <v>Open</v>
      </c>
      <c r="U167" s="265">
        <f>IFERROR(Table_Shelter[[#This Row],[HH Covered]]/VLOOKUP(Table_Shelter[[#This Row],[CampName]],CL,4,0),"")</f>
        <v>2.6666666666666665</v>
      </c>
      <c r="V167" s="265" t="s">
        <v>1305</v>
      </c>
      <c r="W167" s="175"/>
    </row>
    <row r="168" spans="1:23" ht="15" customHeight="1" x14ac:dyDescent="0.25">
      <c r="A168" s="587"/>
      <c r="B168" s="173" t="s">
        <v>452</v>
      </c>
      <c r="C168" s="173"/>
      <c r="D168" s="173" t="s">
        <v>380</v>
      </c>
      <c r="E168" s="345" t="s">
        <v>5</v>
      </c>
      <c r="F168" s="173" t="s">
        <v>512</v>
      </c>
      <c r="G168" s="107">
        <v>1</v>
      </c>
      <c r="H168" s="107"/>
      <c r="I168" s="107"/>
      <c r="J168" s="107">
        <v>10</v>
      </c>
      <c r="K168" s="107">
        <v>10</v>
      </c>
      <c r="L168" s="173"/>
      <c r="M168" s="173"/>
      <c r="N168" s="173"/>
      <c r="O168" s="173"/>
      <c r="P168" s="149">
        <f>IF(Table_Shelter[[#This Row],[Status]]="Open",IF(V168="NO",Table_Shelter[[#This Row],[HH per Shelter]]*(Table_Shelter[[#This Row],['# of Temporary Shelter Units Built]]+Table_Shelter[[#This Row],['# of Temporary Shelter Under  Construction]]+Table_Shelter[[#This Row],['# of Permanent House Under Construction]]),0),0)</f>
        <v>10</v>
      </c>
      <c r="Q168" s="106"/>
      <c r="R168" s="173"/>
      <c r="S168" s="174" t="str">
        <f>IFERROR(VLOOKUP(Table_Shelter[[#This Row],[CampName]],CL,2,0),"")</f>
        <v>MMR001CMP194</v>
      </c>
      <c r="T168" s="174" t="str">
        <f>IFERROR(VLOOKUP(Table_Shelter[[#This Row],[CampName]],CL,3,0),"")</f>
        <v>Open</v>
      </c>
      <c r="U168" s="265">
        <f>IFERROR(Table_Shelter[[#This Row],[HH Covered]]/VLOOKUP(Table_Shelter[[#This Row],[CampName]],CL,4,0),"")</f>
        <v>0.83333333333333337</v>
      </c>
      <c r="V168" s="265" t="s">
        <v>1305</v>
      </c>
      <c r="W168" s="175"/>
    </row>
    <row r="169" spans="1:23" ht="15" customHeight="1" x14ac:dyDescent="0.25">
      <c r="A169" s="587"/>
      <c r="B169" s="173" t="s">
        <v>862</v>
      </c>
      <c r="C169" s="173"/>
      <c r="D169" s="173" t="s">
        <v>380</v>
      </c>
      <c r="E169" s="345" t="s">
        <v>527</v>
      </c>
      <c r="F169" s="173" t="s">
        <v>52</v>
      </c>
      <c r="G169" s="107">
        <v>1</v>
      </c>
      <c r="H169" s="107">
        <v>10</v>
      </c>
      <c r="I169" s="107">
        <v>10</v>
      </c>
      <c r="J169" s="107"/>
      <c r="K169" s="107"/>
      <c r="L169" s="173"/>
      <c r="M169" s="173"/>
      <c r="N169" s="173"/>
      <c r="O169" s="173"/>
      <c r="P169" s="149">
        <f>IF(Table_Shelter[[#This Row],[Status]]="Open",IF(V169="NO",Table_Shelter[[#This Row],[HH per Shelter]]*(Table_Shelter[[#This Row],['# of Temporary Shelter Units Built]]+Table_Shelter[[#This Row],['# of Temporary Shelter Under  Construction]]+Table_Shelter[[#This Row],['# of Permanent House Under Construction]]),0),0)</f>
        <v>0</v>
      </c>
      <c r="Q169" s="106"/>
      <c r="R169" s="173"/>
      <c r="S169" s="174" t="str">
        <f>IFERROR(VLOOKUP(Table_Shelter[[#This Row],[CampName]],CL,2,0),"")</f>
        <v>MMR001CMP169</v>
      </c>
      <c r="T169" s="174" t="str">
        <f>IFERROR(VLOOKUP(Table_Shelter[[#This Row],[CampName]],CL,3,0),"")</f>
        <v>Open</v>
      </c>
      <c r="U169" s="265">
        <f>IFERROR(Table_Shelter[[#This Row],[HH Covered]]/VLOOKUP(Table_Shelter[[#This Row],[CampName]],CL,4,0),"")</f>
        <v>0</v>
      </c>
      <c r="V169" s="265" t="s">
        <v>1305</v>
      </c>
      <c r="W169" s="175"/>
    </row>
    <row r="170" spans="1:23" ht="15" customHeight="1" x14ac:dyDescent="0.25">
      <c r="A170" s="587"/>
      <c r="B170" s="173"/>
      <c r="C170" s="173"/>
      <c r="D170" s="176" t="s">
        <v>380</v>
      </c>
      <c r="E170" s="345" t="s">
        <v>527</v>
      </c>
      <c r="F170" s="173" t="s">
        <v>58</v>
      </c>
      <c r="G170" s="107">
        <v>1</v>
      </c>
      <c r="H170" s="107"/>
      <c r="I170" s="107"/>
      <c r="J170" s="107">
        <v>10</v>
      </c>
      <c r="K170" s="107">
        <v>10</v>
      </c>
      <c r="L170" s="173"/>
      <c r="M170" s="173"/>
      <c r="N170" s="173"/>
      <c r="O170" s="173"/>
      <c r="P170" s="149">
        <f>IF(Table_Shelter[[#This Row],[Status]]="Open",IF(V170="NO",Table_Shelter[[#This Row],[HH per Shelter]]*(Table_Shelter[[#This Row],['# of Temporary Shelter Units Built]]+Table_Shelter[[#This Row],['# of Temporary Shelter Under  Construction]]+Table_Shelter[[#This Row],['# of Permanent House Under Construction]]),0),0)</f>
        <v>0</v>
      </c>
      <c r="Q170" s="106"/>
      <c r="R170" s="173"/>
      <c r="S170" s="174" t="str">
        <f>IFERROR(VLOOKUP(Table_Shelter[[#This Row],[CampName]],CL,2,0),"")</f>
        <v>MMR001CMP188</v>
      </c>
      <c r="T170" s="174" t="str">
        <f>IFERROR(VLOOKUP(Table_Shelter[[#This Row],[CampName]],CL,3,0),"")</f>
        <v>Closed</v>
      </c>
      <c r="U170" s="265" t="str">
        <f>IFERROR(Table_Shelter[[#This Row],[HH Covered]]/VLOOKUP(Table_Shelter[[#This Row],[CampName]],CL,4,0),"")</f>
        <v/>
      </c>
      <c r="V170" s="265" t="s">
        <v>1305</v>
      </c>
      <c r="W170" s="175"/>
    </row>
    <row r="171" spans="1:23" ht="15" customHeight="1" x14ac:dyDescent="0.25">
      <c r="A171" s="587"/>
      <c r="B171" s="173" t="s">
        <v>862</v>
      </c>
      <c r="C171" s="173"/>
      <c r="D171" s="173" t="s">
        <v>380</v>
      </c>
      <c r="E171" s="345" t="s">
        <v>310</v>
      </c>
      <c r="F171" s="173" t="s">
        <v>334</v>
      </c>
      <c r="G171" s="107">
        <v>1</v>
      </c>
      <c r="H171" s="107">
        <v>41</v>
      </c>
      <c r="I171" s="107">
        <v>41</v>
      </c>
      <c r="J171" s="107"/>
      <c r="K171" s="107"/>
      <c r="L171" s="173"/>
      <c r="M171" s="173"/>
      <c r="N171" s="173"/>
      <c r="O171" s="173"/>
      <c r="P171" s="149">
        <f>IF(Table_Shelter[[#This Row],[Status]]="Open",IF(V171="NO",Table_Shelter[[#This Row],[HH per Shelter]]*(Table_Shelter[[#This Row],['# of Temporary Shelter Units Built]]+Table_Shelter[[#This Row],['# of Temporary Shelter Under  Construction]]+Table_Shelter[[#This Row],['# of Permanent House Under Construction]]),0),0)</f>
        <v>0</v>
      </c>
      <c r="Q171" s="106"/>
      <c r="R171" s="173"/>
      <c r="S171" s="174" t="str">
        <f>IFERROR(VLOOKUP(Table_Shelter[[#This Row],[CampName]],CL,2,0),"")</f>
        <v>MMR001CMP113</v>
      </c>
      <c r="T171" s="174" t="str">
        <f>IFERROR(VLOOKUP(Table_Shelter[[#This Row],[CampName]],CL,3,0),"")</f>
        <v>Open</v>
      </c>
      <c r="U171" s="265">
        <f>IFERROR(Table_Shelter[[#This Row],[HH Covered]]/VLOOKUP(Table_Shelter[[#This Row],[CampName]],CL,4,0),"")</f>
        <v>0</v>
      </c>
      <c r="V171" s="265" t="s">
        <v>1305</v>
      </c>
      <c r="W171" s="175"/>
    </row>
    <row r="172" spans="1:23" ht="15" customHeight="1" x14ac:dyDescent="0.25">
      <c r="A172" s="589"/>
      <c r="B172" s="175" t="s">
        <v>452</v>
      </c>
      <c r="C172" s="175" t="s">
        <v>506</v>
      </c>
      <c r="D172" s="177" t="s">
        <v>380</v>
      </c>
      <c r="E172" s="179" t="s">
        <v>310</v>
      </c>
      <c r="F172" s="175" t="s">
        <v>334</v>
      </c>
      <c r="G172" s="109">
        <v>1</v>
      </c>
      <c r="H172" s="109"/>
      <c r="I172" s="109"/>
      <c r="J172" s="109">
        <v>202</v>
      </c>
      <c r="K172" s="109">
        <v>202</v>
      </c>
      <c r="L172" s="175"/>
      <c r="M172" s="175"/>
      <c r="N172" s="175"/>
      <c r="O172" s="175"/>
      <c r="P172" s="149">
        <f>IF(Table_Shelter[[#This Row],[Status]]="Open",IF(V172="NO",Table_Shelter[[#This Row],[HH per Shelter]]*(Table_Shelter[[#This Row],['# of Temporary Shelter Units Built]]+Table_Shelter[[#This Row],['# of Temporary Shelter Under  Construction]]+Table_Shelter[[#This Row],['# of Permanent House Under Construction]]),0),0)</f>
        <v>202</v>
      </c>
      <c r="Q172" s="108"/>
      <c r="R172" s="175"/>
      <c r="S172" s="174" t="str">
        <f>IFERROR(VLOOKUP(Table_Shelter[[#This Row],[CampName]],CL,2,0),"")</f>
        <v>MMR001CMP113</v>
      </c>
      <c r="T172" s="174" t="str">
        <f>IFERROR(VLOOKUP(Table_Shelter[[#This Row],[CampName]],CL,3,0),"")</f>
        <v>Open</v>
      </c>
      <c r="U172" s="265">
        <f>IFERROR(Table_Shelter[[#This Row],[HH Covered]]/VLOOKUP(Table_Shelter[[#This Row],[CampName]],CL,4,0),"")</f>
        <v>1.2546583850931676</v>
      </c>
      <c r="V172" s="265" t="s">
        <v>1305</v>
      </c>
      <c r="W172" s="175"/>
    </row>
    <row r="173" spans="1:23" ht="15" customHeight="1" x14ac:dyDescent="0.25">
      <c r="A173" s="589"/>
      <c r="B173" s="173" t="s">
        <v>452</v>
      </c>
      <c r="C173" s="173"/>
      <c r="D173" s="173" t="s">
        <v>380</v>
      </c>
      <c r="E173" s="345" t="s">
        <v>151</v>
      </c>
      <c r="F173" s="173" t="s">
        <v>188</v>
      </c>
      <c r="G173" s="107">
        <v>1</v>
      </c>
      <c r="H173" s="107"/>
      <c r="I173" s="107"/>
      <c r="J173" s="109">
        <v>150</v>
      </c>
      <c r="K173" s="107"/>
      <c r="L173" s="173"/>
      <c r="M173" s="173"/>
      <c r="N173" s="173"/>
      <c r="O173" s="173"/>
      <c r="P173" s="149">
        <f>IF(Table_Shelter[[#This Row],[Status]]="Open",IF(V173="NO",Table_Shelter[[#This Row],[HH per Shelter]]*(Table_Shelter[[#This Row],['# of Temporary Shelter Units Built]]+Table_Shelter[[#This Row],['# of Temporary Shelter Under  Construction]]+Table_Shelter[[#This Row],['# of Permanent House Under Construction]]),0),0)</f>
        <v>0</v>
      </c>
      <c r="Q173" s="106"/>
      <c r="R173" s="173"/>
      <c r="S173" s="174" t="str">
        <f>IFERROR(VLOOKUP(Table_Shelter[[#This Row],[CampName]],CL,2,0),"")</f>
        <v>MMR001CMP129</v>
      </c>
      <c r="T173" s="174" t="str">
        <f>IFERROR(VLOOKUP(Table_Shelter[[#This Row],[CampName]],CL,3,0),"")</f>
        <v>Open</v>
      </c>
      <c r="U173" s="265">
        <f>IFERROR(Table_Shelter[[#This Row],[HH Covered]]/VLOOKUP(Table_Shelter[[#This Row],[CampName]],CL,4,0),"")</f>
        <v>0</v>
      </c>
      <c r="V173" s="265" t="s">
        <v>1305</v>
      </c>
      <c r="W173" s="175"/>
    </row>
    <row r="174" spans="1:23" ht="15" customHeight="1" x14ac:dyDescent="0.25">
      <c r="A174" s="587"/>
      <c r="B174" s="173" t="s">
        <v>453</v>
      </c>
      <c r="C174" s="173" t="s">
        <v>505</v>
      </c>
      <c r="D174" s="173" t="s">
        <v>380</v>
      </c>
      <c r="E174" s="345" t="s">
        <v>27</v>
      </c>
      <c r="F174" s="173" t="s">
        <v>28</v>
      </c>
      <c r="G174" s="107">
        <v>1</v>
      </c>
      <c r="H174" s="107"/>
      <c r="I174" s="107"/>
      <c r="J174" s="107">
        <v>82</v>
      </c>
      <c r="K174" s="107">
        <v>82</v>
      </c>
      <c r="L174" s="173"/>
      <c r="M174" s="173"/>
      <c r="N174" s="173"/>
      <c r="O174" s="173"/>
      <c r="P174" s="149">
        <f>IF(Table_Shelter[[#This Row],[Status]]="Open",IF(V174="NO",Table_Shelter[[#This Row],[HH per Shelter]]*(Table_Shelter[[#This Row],['# of Temporary Shelter Units Built]]+Table_Shelter[[#This Row],['# of Temporary Shelter Under  Construction]]+Table_Shelter[[#This Row],['# of Permanent House Under Construction]]),0),0)</f>
        <v>82</v>
      </c>
      <c r="Q174" s="106"/>
      <c r="R174" s="173"/>
      <c r="S174" s="174" t="str">
        <f>IFERROR(VLOOKUP(Table_Shelter[[#This Row],[CampName]],CL,2,0),"")</f>
        <v>MMR001CMP042</v>
      </c>
      <c r="T174" s="174" t="str">
        <f>IFERROR(VLOOKUP(Table_Shelter[[#This Row],[CampName]],CL,3,0),"")</f>
        <v>Open</v>
      </c>
      <c r="U174" s="265">
        <f>IFERROR(Table_Shelter[[#This Row],[HH Covered]]/VLOOKUP(Table_Shelter[[#This Row],[CampName]],CL,4,0),"")</f>
        <v>0.74545454545454548</v>
      </c>
      <c r="V174" s="265" t="s">
        <v>1305</v>
      </c>
      <c r="W174" s="175"/>
    </row>
    <row r="175" spans="1:23" ht="15" customHeight="1" x14ac:dyDescent="0.25">
      <c r="A175" s="587"/>
      <c r="B175" s="173" t="s">
        <v>452</v>
      </c>
      <c r="C175" s="173" t="s">
        <v>505</v>
      </c>
      <c r="D175" s="180" t="s">
        <v>380</v>
      </c>
      <c r="E175" s="345" t="s">
        <v>27</v>
      </c>
      <c r="F175" s="173" t="s">
        <v>1103</v>
      </c>
      <c r="G175" s="107">
        <v>1</v>
      </c>
      <c r="H175" s="107"/>
      <c r="I175" s="107"/>
      <c r="J175" s="107">
        <v>20</v>
      </c>
      <c r="K175" s="107">
        <v>20</v>
      </c>
      <c r="L175" s="173"/>
      <c r="M175" s="173"/>
      <c r="N175" s="173"/>
      <c r="O175" s="173"/>
      <c r="P175" s="108">
        <f>IF(Table_Shelter[[#This Row],[Status]]="Open",IF(V175="NO",Table_Shelter[[#This Row],[HH per Shelter]]*(Table_Shelter[[#This Row],['# of Temporary Shelter Units Built]]+Table_Shelter[[#This Row],['# of Temporary Shelter Under  Construction]]+Table_Shelter[[#This Row],['# of Permanent House Under Construction]]),0),0)</f>
        <v>20</v>
      </c>
      <c r="Q175" s="106"/>
      <c r="R175" s="106"/>
      <c r="S175" s="108" t="str">
        <f>IFERROR(VLOOKUP(Table_Shelter[[#This Row],[CampName]],CL,2,0),"")</f>
        <v>MMR001CMP042</v>
      </c>
      <c r="T175" s="108" t="str">
        <f>IFERROR(VLOOKUP(Table_Shelter[[#This Row],[CampName]],CL,3,0),"")</f>
        <v>Open</v>
      </c>
      <c r="U175" s="265">
        <f>IFERROR(Table_Shelter[[#This Row],[HH Covered]]/VLOOKUP(Table_Shelter[[#This Row],[CampName]],CL,4,0),"")</f>
        <v>0.18181818181818182</v>
      </c>
      <c r="V175" s="265" t="s">
        <v>1305</v>
      </c>
      <c r="W175" s="108"/>
    </row>
    <row r="176" spans="1:23" ht="15" customHeight="1" x14ac:dyDescent="0.25">
      <c r="A176" s="587"/>
      <c r="B176" s="173" t="s">
        <v>862</v>
      </c>
      <c r="C176" s="173"/>
      <c r="D176" s="173" t="s">
        <v>380</v>
      </c>
      <c r="E176" s="345" t="s">
        <v>527</v>
      </c>
      <c r="F176" s="173" t="s">
        <v>76</v>
      </c>
      <c r="G176" s="107">
        <v>1</v>
      </c>
      <c r="H176" s="107">
        <v>5</v>
      </c>
      <c r="I176" s="107">
        <v>5</v>
      </c>
      <c r="J176" s="107"/>
      <c r="K176" s="107"/>
      <c r="L176" s="173"/>
      <c r="M176" s="173"/>
      <c r="N176" s="173"/>
      <c r="O176" s="173"/>
      <c r="P176" s="149">
        <f>IF(Table_Shelter[[#This Row],[Status]]="Open",IF(V176="NO",Table_Shelter[[#This Row],[HH per Shelter]]*(Table_Shelter[[#This Row],['# of Temporary Shelter Units Built]]+Table_Shelter[[#This Row],['# of Temporary Shelter Under  Construction]]+Table_Shelter[[#This Row],['# of Permanent House Under Construction]]),0),0)</f>
        <v>0</v>
      </c>
      <c r="Q176" s="106"/>
      <c r="R176" s="173"/>
      <c r="S176" s="174" t="str">
        <f>IFERROR(VLOOKUP(Table_Shelter[[#This Row],[CampName]],CL,2,0),"")</f>
        <v>MMR001CMP174</v>
      </c>
      <c r="T176" s="174" t="str">
        <f>IFERROR(VLOOKUP(Table_Shelter[[#This Row],[CampName]],CL,3,0),"")</f>
        <v>Open</v>
      </c>
      <c r="U176" s="265">
        <f>IFERROR(Table_Shelter[[#This Row],[HH Covered]]/VLOOKUP(Table_Shelter[[#This Row],[CampName]],CL,4,0),"")</f>
        <v>0</v>
      </c>
      <c r="V176" s="265" t="s">
        <v>1305</v>
      </c>
      <c r="W176" s="175"/>
    </row>
    <row r="177" spans="1:23" ht="15" customHeight="1" x14ac:dyDescent="0.25">
      <c r="A177" s="658"/>
      <c r="B177" s="107" t="s">
        <v>452</v>
      </c>
      <c r="C177" s="107" t="s">
        <v>505</v>
      </c>
      <c r="D177" s="180" t="s">
        <v>380</v>
      </c>
      <c r="E177" s="181" t="s">
        <v>527</v>
      </c>
      <c r="F177" s="107" t="s">
        <v>76</v>
      </c>
      <c r="G177" s="107">
        <v>1</v>
      </c>
      <c r="H177" s="109"/>
      <c r="I177" s="109"/>
      <c r="J177" s="109">
        <v>10</v>
      </c>
      <c r="K177" s="109">
        <v>10</v>
      </c>
      <c r="L177" s="109"/>
      <c r="M177" s="109"/>
      <c r="N177" s="109"/>
      <c r="O177" s="109"/>
      <c r="P177" s="108">
        <f>IF(Table_Shelter[[#This Row],[Status]]="Open",IF(V177="NO",Table_Shelter[[#This Row],[HH per Shelter]]*(Table_Shelter[[#This Row],['# of Temporary Shelter Units Built]]+Table_Shelter[[#This Row],['# of Temporary Shelter Under  Construction]]+Table_Shelter[[#This Row],['# of Permanent House Under Construction]]),0),0)</f>
        <v>10</v>
      </c>
      <c r="Q177" s="108"/>
      <c r="R177" s="108"/>
      <c r="S177" s="108" t="str">
        <f>IFERROR(VLOOKUP(Table_Shelter[[#This Row],[CampName]],CL,2,0),"")</f>
        <v>MMR001CMP174</v>
      </c>
      <c r="T177" s="108" t="str">
        <f>IFERROR(VLOOKUP(Table_Shelter[[#This Row],[CampName]],CL,3,0),"")</f>
        <v>Open</v>
      </c>
      <c r="U177" s="266">
        <f>IFERROR(Table_Shelter[[#This Row],[HH Covered]]/VLOOKUP(Table_Shelter[[#This Row],[CampName]],CL,4,0),"")</f>
        <v>0.15151515151515152</v>
      </c>
      <c r="V177" s="265" t="s">
        <v>1305</v>
      </c>
      <c r="W177" s="108"/>
    </row>
    <row r="178" spans="1:23" ht="15" customHeight="1" x14ac:dyDescent="0.25">
      <c r="A178" s="589"/>
      <c r="B178" s="173" t="s">
        <v>452</v>
      </c>
      <c r="C178" s="173"/>
      <c r="D178" s="173" t="s">
        <v>380</v>
      </c>
      <c r="E178" s="345" t="s">
        <v>237</v>
      </c>
      <c r="F178" s="173" t="s">
        <v>243</v>
      </c>
      <c r="G178" s="107">
        <v>1</v>
      </c>
      <c r="H178" s="107"/>
      <c r="I178" s="107"/>
      <c r="J178" s="107">
        <v>3</v>
      </c>
      <c r="K178" s="107">
        <v>3</v>
      </c>
      <c r="L178" s="173"/>
      <c r="M178" s="173"/>
      <c r="N178" s="173"/>
      <c r="O178" s="173"/>
      <c r="P178" s="149">
        <f>IF(Table_Shelter[[#This Row],[Status]]="Open",IF(V178="NO",Table_Shelter[[#This Row],[HH per Shelter]]*(Table_Shelter[[#This Row],['# of Temporary Shelter Units Built]]+Table_Shelter[[#This Row],['# of Temporary Shelter Under  Construction]]+Table_Shelter[[#This Row],['# of Permanent House Under Construction]]),0),0)</f>
        <v>3</v>
      </c>
      <c r="Q178" s="106"/>
      <c r="R178" s="173"/>
      <c r="S178" s="174" t="str">
        <f>IFERROR(VLOOKUP(Table_Shelter[[#This Row],[CampName]],CL,2,0),"")</f>
        <v>MMR001CMP012</v>
      </c>
      <c r="T178" s="174" t="str">
        <f>IFERROR(VLOOKUP(Table_Shelter[[#This Row],[CampName]],CL,3,0),"")</f>
        <v>Open</v>
      </c>
      <c r="U178" s="265">
        <f>IFERROR(Table_Shelter[[#This Row],[HH Covered]]/VLOOKUP(Table_Shelter[[#This Row],[CampName]],CL,4,0),"")</f>
        <v>0.5</v>
      </c>
      <c r="V178" s="265" t="s">
        <v>1305</v>
      </c>
      <c r="W178" s="175"/>
    </row>
    <row r="179" spans="1:23" ht="15" customHeight="1" x14ac:dyDescent="0.25">
      <c r="A179" s="587"/>
      <c r="B179" s="173" t="s">
        <v>452</v>
      </c>
      <c r="C179" s="173"/>
      <c r="D179" s="173" t="s">
        <v>380</v>
      </c>
      <c r="E179" s="345" t="s">
        <v>237</v>
      </c>
      <c r="F179" s="173" t="s">
        <v>245</v>
      </c>
      <c r="G179" s="107">
        <v>1</v>
      </c>
      <c r="H179" s="107"/>
      <c r="I179" s="107"/>
      <c r="J179" s="107">
        <v>6</v>
      </c>
      <c r="K179" s="107">
        <v>6</v>
      </c>
      <c r="L179" s="173"/>
      <c r="M179" s="173"/>
      <c r="N179" s="173"/>
      <c r="O179" s="173"/>
      <c r="P179" s="149">
        <f>IF(Table_Shelter[[#This Row],[Status]]="Open",IF(V179="NO",Table_Shelter[[#This Row],[HH per Shelter]]*(Table_Shelter[[#This Row],['# of Temporary Shelter Units Built]]+Table_Shelter[[#This Row],['# of Temporary Shelter Under  Construction]]+Table_Shelter[[#This Row],['# of Permanent House Under Construction]]),0),0)</f>
        <v>6</v>
      </c>
      <c r="Q179" s="106"/>
      <c r="R179" s="173"/>
      <c r="S179" s="174" t="str">
        <f>IFERROR(VLOOKUP(Table_Shelter[[#This Row],[CampName]],CL,2,0),"")</f>
        <v>MMR001CMP010</v>
      </c>
      <c r="T179" s="174" t="str">
        <f>IFERROR(VLOOKUP(Table_Shelter[[#This Row],[CampName]],CL,3,0),"")</f>
        <v>Open</v>
      </c>
      <c r="U179" s="265">
        <f>IFERROR(Table_Shelter[[#This Row],[HH Covered]]/VLOOKUP(Table_Shelter[[#This Row],[CampName]],CL,4,0),"")</f>
        <v>1</v>
      </c>
      <c r="V179" s="265" t="s">
        <v>1305</v>
      </c>
      <c r="W179" s="175"/>
    </row>
    <row r="180" spans="1:23" ht="15" customHeight="1" x14ac:dyDescent="0.25">
      <c r="A180" s="589"/>
      <c r="B180" s="173" t="s">
        <v>452</v>
      </c>
      <c r="C180" s="173"/>
      <c r="D180" s="173" t="s">
        <v>380</v>
      </c>
      <c r="E180" s="345" t="s">
        <v>237</v>
      </c>
      <c r="F180" s="173" t="s">
        <v>247</v>
      </c>
      <c r="G180" s="107">
        <v>1</v>
      </c>
      <c r="H180" s="107"/>
      <c r="I180" s="107"/>
      <c r="J180" s="109">
        <v>3</v>
      </c>
      <c r="K180" s="107">
        <v>3</v>
      </c>
      <c r="L180" s="173"/>
      <c r="M180" s="173"/>
      <c r="N180" s="173"/>
      <c r="O180" s="173"/>
      <c r="P180" s="149">
        <f>IF(Table_Shelter[[#This Row],[Status]]="Open",IF(V180="NO",Table_Shelter[[#This Row],[HH per Shelter]]*(Table_Shelter[[#This Row],['# of Temporary Shelter Units Built]]+Table_Shelter[[#This Row],['# of Temporary Shelter Under  Construction]]+Table_Shelter[[#This Row],['# of Permanent House Under Construction]]),0),0)</f>
        <v>3</v>
      </c>
      <c r="Q180" s="106"/>
      <c r="R180" s="173"/>
      <c r="S180" s="174" t="str">
        <f>IFERROR(VLOOKUP(Table_Shelter[[#This Row],[CampName]],CL,2,0),"")</f>
        <v>MMR001CMP011</v>
      </c>
      <c r="T180" s="174" t="str">
        <f>IFERROR(VLOOKUP(Table_Shelter[[#This Row],[CampName]],CL,3,0),"")</f>
        <v>Open</v>
      </c>
      <c r="U180" s="265">
        <f>IFERROR(Table_Shelter[[#This Row],[HH Covered]]/VLOOKUP(Table_Shelter[[#This Row],[CampName]],CL,4,0),"")</f>
        <v>0.15</v>
      </c>
      <c r="V180" s="265" t="s">
        <v>1305</v>
      </c>
      <c r="W180" s="175"/>
    </row>
    <row r="181" spans="1:23" ht="15" customHeight="1" x14ac:dyDescent="0.25">
      <c r="A181" s="587"/>
      <c r="B181" s="173" t="s">
        <v>452</v>
      </c>
      <c r="C181" s="173" t="s">
        <v>506</v>
      </c>
      <c r="D181" s="176" t="s">
        <v>380</v>
      </c>
      <c r="E181" s="345" t="s">
        <v>185</v>
      </c>
      <c r="F181" s="173" t="s">
        <v>192</v>
      </c>
      <c r="G181" s="107">
        <v>1</v>
      </c>
      <c r="H181" s="107"/>
      <c r="I181" s="107"/>
      <c r="J181" s="107">
        <v>123</v>
      </c>
      <c r="K181" s="107">
        <v>123</v>
      </c>
      <c r="L181" s="173"/>
      <c r="M181" s="173"/>
      <c r="N181" s="173"/>
      <c r="O181" s="173"/>
      <c r="P181" s="149">
        <f>IF(Table_Shelter[[#This Row],[Status]]="Open",IF(V181="NO",Table_Shelter[[#This Row],[HH per Shelter]]*(Table_Shelter[[#This Row],['# of Temporary Shelter Units Built]]+Table_Shelter[[#This Row],['# of Temporary Shelter Under  Construction]]+Table_Shelter[[#This Row],['# of Permanent House Under Construction]]),0),0)</f>
        <v>123</v>
      </c>
      <c r="Q181" s="106"/>
      <c r="R181" s="173"/>
      <c r="S181" s="174" t="str">
        <f>IFERROR(VLOOKUP(Table_Shelter[[#This Row],[CampName]],CL,2,0),"")</f>
        <v>MMR001CMP123</v>
      </c>
      <c r="T181" s="174" t="str">
        <f>IFERROR(VLOOKUP(Table_Shelter[[#This Row],[CampName]],CL,3,0),"")</f>
        <v>Open</v>
      </c>
      <c r="U181" s="265">
        <f>IFERROR(Table_Shelter[[#This Row],[HH Covered]]/VLOOKUP(Table_Shelter[[#This Row],[CampName]],CL,4,0),"")</f>
        <v>1.128440366972477</v>
      </c>
      <c r="V181" s="265" t="s">
        <v>1305</v>
      </c>
      <c r="W181" s="175"/>
    </row>
    <row r="182" spans="1:23" ht="15" customHeight="1" x14ac:dyDescent="0.25">
      <c r="A182" s="587"/>
      <c r="B182" s="173" t="s">
        <v>452</v>
      </c>
      <c r="C182" s="173" t="s">
        <v>505</v>
      </c>
      <c r="D182" s="173" t="s">
        <v>380</v>
      </c>
      <c r="E182" s="345" t="s">
        <v>310</v>
      </c>
      <c r="F182" s="173" t="s">
        <v>313</v>
      </c>
      <c r="G182" s="107">
        <v>1</v>
      </c>
      <c r="H182" s="107"/>
      <c r="I182" s="107"/>
      <c r="J182" s="107">
        <v>45</v>
      </c>
      <c r="K182" s="107">
        <v>45</v>
      </c>
      <c r="L182" s="173"/>
      <c r="M182" s="173"/>
      <c r="N182" s="173"/>
      <c r="O182" s="173"/>
      <c r="P182" s="149">
        <f>IF(Table_Shelter[[#This Row],[Status]]="Open",IF(V182="NO",Table_Shelter[[#This Row],[HH per Shelter]]*(Table_Shelter[[#This Row],['# of Temporary Shelter Units Built]]+Table_Shelter[[#This Row],['# of Temporary Shelter Under  Construction]]+Table_Shelter[[#This Row],['# of Permanent House Under Construction]]),0),0)</f>
        <v>45</v>
      </c>
      <c r="Q182" s="106"/>
      <c r="R182" s="173"/>
      <c r="S182" s="174" t="str">
        <f>IFERROR(VLOOKUP(Table_Shelter[[#This Row],[CampName]],CL,2,0),"")</f>
        <v>MMR001CMP028</v>
      </c>
      <c r="T182" s="174" t="str">
        <f>IFERROR(VLOOKUP(Table_Shelter[[#This Row],[CampName]],CL,3,0),"")</f>
        <v>Open</v>
      </c>
      <c r="U182" s="265">
        <f>IFERROR(Table_Shelter[[#This Row],[HH Covered]]/VLOOKUP(Table_Shelter[[#This Row],[CampName]],CL,4,0),"")</f>
        <v>0.45454545454545453</v>
      </c>
      <c r="V182" s="265" t="s">
        <v>1305</v>
      </c>
      <c r="W182" s="175"/>
    </row>
    <row r="183" spans="1:23" ht="15" customHeight="1" x14ac:dyDescent="0.25">
      <c r="A183" s="587"/>
      <c r="B183" s="173" t="s">
        <v>453</v>
      </c>
      <c r="C183" s="173" t="s">
        <v>505</v>
      </c>
      <c r="D183" s="173" t="s">
        <v>380</v>
      </c>
      <c r="E183" s="345" t="s">
        <v>310</v>
      </c>
      <c r="F183" s="173" t="s">
        <v>336</v>
      </c>
      <c r="G183" s="107">
        <v>1</v>
      </c>
      <c r="H183" s="107"/>
      <c r="I183" s="107"/>
      <c r="J183" s="107">
        <v>100</v>
      </c>
      <c r="K183" s="107">
        <v>100</v>
      </c>
      <c r="L183" s="173"/>
      <c r="M183" s="173"/>
      <c r="N183" s="173"/>
      <c r="O183" s="173"/>
      <c r="P183" s="149">
        <f>IF(Table_Shelter[[#This Row],[Status]]="Open",IF(V183="NO",Table_Shelter[[#This Row],[HH per Shelter]]*(Table_Shelter[[#This Row],['# of Temporary Shelter Units Built]]+Table_Shelter[[#This Row],['# of Temporary Shelter Under  Construction]]+Table_Shelter[[#This Row],['# of Permanent House Under Construction]]),0),0)</f>
        <v>100</v>
      </c>
      <c r="Q183" s="106"/>
      <c r="R183" s="173"/>
      <c r="S183" s="174" t="str">
        <f>IFERROR(VLOOKUP(Table_Shelter[[#This Row],[CampName]],CL,2,0),"")</f>
        <v>MMR001CMP115</v>
      </c>
      <c r="T183" s="174" t="str">
        <f>IFERROR(VLOOKUP(Table_Shelter[[#This Row],[CampName]],CL,3,0),"")</f>
        <v>Open</v>
      </c>
      <c r="U183" s="265">
        <f>IFERROR(Table_Shelter[[#This Row],[HH Covered]]/VLOOKUP(Table_Shelter[[#This Row],[CampName]],CL,4,0),"")</f>
        <v>0.67567567567567566</v>
      </c>
      <c r="V183" s="265" t="s">
        <v>1305</v>
      </c>
      <c r="W183" s="175"/>
    </row>
    <row r="184" spans="1:23" ht="15" customHeight="1" x14ac:dyDescent="0.25">
      <c r="A184" s="589"/>
      <c r="B184" s="173" t="s">
        <v>862</v>
      </c>
      <c r="C184" s="173"/>
      <c r="D184" s="173" t="s">
        <v>380</v>
      </c>
      <c r="E184" s="345" t="s">
        <v>527</v>
      </c>
      <c r="F184" s="173" t="s">
        <v>44</v>
      </c>
      <c r="G184" s="107">
        <v>1</v>
      </c>
      <c r="H184" s="107">
        <v>20</v>
      </c>
      <c r="I184" s="107">
        <v>20</v>
      </c>
      <c r="J184" s="107"/>
      <c r="K184" s="107"/>
      <c r="L184" s="173"/>
      <c r="M184" s="173"/>
      <c r="N184" s="173"/>
      <c r="O184" s="173"/>
      <c r="P184" s="149">
        <f>IF(Table_Shelter[[#This Row],[Status]]="Open",IF(V184="NO",Table_Shelter[[#This Row],[HH per Shelter]]*(Table_Shelter[[#This Row],['# of Temporary Shelter Units Built]]+Table_Shelter[[#This Row],['# of Temporary Shelter Under  Construction]]+Table_Shelter[[#This Row],['# of Permanent House Under Construction]]),0),0)</f>
        <v>0</v>
      </c>
      <c r="Q184" s="106"/>
      <c r="R184" s="173"/>
      <c r="S184" s="174" t="str">
        <f>IFERROR(VLOOKUP(Table_Shelter[[#This Row],[CampName]],CL,2,0),"")</f>
        <v>MMR001CMP191</v>
      </c>
      <c r="T184" s="174" t="str">
        <f>IFERROR(VLOOKUP(Table_Shelter[[#This Row],[CampName]],CL,3,0),"")</f>
        <v>Open</v>
      </c>
      <c r="U184" s="265">
        <f>IFERROR(Table_Shelter[[#This Row],[HH Covered]]/VLOOKUP(Table_Shelter[[#This Row],[CampName]],CL,4,0),"")</f>
        <v>0</v>
      </c>
      <c r="V184" s="265" t="s">
        <v>1305</v>
      </c>
      <c r="W184" s="175"/>
    </row>
    <row r="185" spans="1:23" ht="15" customHeight="1" x14ac:dyDescent="0.25">
      <c r="A185" s="589"/>
      <c r="B185" s="173" t="s">
        <v>452</v>
      </c>
      <c r="C185" s="173" t="s">
        <v>505</v>
      </c>
      <c r="D185" s="176" t="s">
        <v>380</v>
      </c>
      <c r="E185" s="345" t="s">
        <v>527</v>
      </c>
      <c r="F185" s="173" t="s">
        <v>44</v>
      </c>
      <c r="G185" s="107">
        <v>1</v>
      </c>
      <c r="H185" s="107"/>
      <c r="I185" s="107"/>
      <c r="J185" s="107">
        <v>5</v>
      </c>
      <c r="K185" s="107">
        <v>5</v>
      </c>
      <c r="L185" s="173"/>
      <c r="M185" s="173"/>
      <c r="N185" s="173"/>
      <c r="O185" s="173"/>
      <c r="P185" s="149">
        <f>IF(Table_Shelter[[#This Row],[Status]]="Open",IF(V185="NO",Table_Shelter[[#This Row],[HH per Shelter]]*(Table_Shelter[[#This Row],['# of Temporary Shelter Units Built]]+Table_Shelter[[#This Row],['# of Temporary Shelter Under  Construction]]+Table_Shelter[[#This Row],['# of Permanent House Under Construction]]),0),0)</f>
        <v>5</v>
      </c>
      <c r="Q185" s="106"/>
      <c r="R185" s="173"/>
      <c r="S185" s="174" t="str">
        <f>IFERROR(VLOOKUP(Table_Shelter[[#This Row],[CampName]],CL,2,0),"")</f>
        <v>MMR001CMP191</v>
      </c>
      <c r="T185" s="174" t="str">
        <f>IFERROR(VLOOKUP(Table_Shelter[[#This Row],[CampName]],CL,3,0),"")</f>
        <v>Open</v>
      </c>
      <c r="U185" s="265">
        <f>IFERROR(Table_Shelter[[#This Row],[HH Covered]]/VLOOKUP(Table_Shelter[[#This Row],[CampName]],CL,4,0),"")</f>
        <v>1</v>
      </c>
      <c r="V185" s="265" t="s">
        <v>1305</v>
      </c>
      <c r="W185" s="175"/>
    </row>
    <row r="186" spans="1:23" ht="15" customHeight="1" x14ac:dyDescent="0.25">
      <c r="A186" s="658"/>
      <c r="B186" s="175" t="s">
        <v>452</v>
      </c>
      <c r="C186" s="175" t="s">
        <v>460</v>
      </c>
      <c r="D186" s="175" t="s">
        <v>553</v>
      </c>
      <c r="E186" s="179" t="s">
        <v>166</v>
      </c>
      <c r="F186" s="175" t="s">
        <v>169</v>
      </c>
      <c r="G186" s="109">
        <v>1</v>
      </c>
      <c r="H186" s="109"/>
      <c r="I186" s="109"/>
      <c r="J186" s="109">
        <v>10</v>
      </c>
      <c r="K186" s="109">
        <v>10</v>
      </c>
      <c r="L186" s="175"/>
      <c r="M186" s="175"/>
      <c r="N186" s="175"/>
      <c r="O186" s="175"/>
      <c r="P186" s="149">
        <f>IF(Table_Shelter[[#This Row],[Status]]="Open",IF(V186="NO",Table_Shelter[[#This Row],[HH per Shelter]]*(Table_Shelter[[#This Row],['# of Temporary Shelter Units Built]]+Table_Shelter[[#This Row],['# of Temporary Shelter Under  Construction]]+Table_Shelter[[#This Row],['# of Permanent House Under Construction]]),0),0)</f>
        <v>10</v>
      </c>
      <c r="Q186" s="108"/>
      <c r="R186" s="175"/>
      <c r="S186" s="174" t="str">
        <f>IFERROR(VLOOKUP(Table_Shelter[[#This Row],[CampName]],CL,2,0),"")</f>
        <v>MMR015CMP010</v>
      </c>
      <c r="T186" s="174" t="str">
        <f>IFERROR(VLOOKUP(Table_Shelter[[#This Row],[CampName]],CL,3,0),"")</f>
        <v>Open</v>
      </c>
      <c r="U186" s="265">
        <f>IFERROR(Table_Shelter[[#This Row],[HH Covered]]/VLOOKUP(Table_Shelter[[#This Row],[CampName]],CL,4,0),"")</f>
        <v>0.3125</v>
      </c>
      <c r="V186" s="265" t="s">
        <v>1305</v>
      </c>
      <c r="W186" s="175"/>
    </row>
    <row r="187" spans="1:23" ht="15" customHeight="1" x14ac:dyDescent="0.25">
      <c r="A187" s="589"/>
      <c r="B187" s="173" t="s">
        <v>453</v>
      </c>
      <c r="C187" s="173" t="s">
        <v>506</v>
      </c>
      <c r="D187" s="176" t="s">
        <v>380</v>
      </c>
      <c r="E187" s="345" t="s">
        <v>185</v>
      </c>
      <c r="F187" s="173" t="s">
        <v>194</v>
      </c>
      <c r="G187" s="107">
        <v>1</v>
      </c>
      <c r="H187" s="107"/>
      <c r="I187" s="107"/>
      <c r="J187" s="107">
        <v>338</v>
      </c>
      <c r="K187" s="107">
        <v>338</v>
      </c>
      <c r="L187" s="173"/>
      <c r="M187" s="173"/>
      <c r="N187" s="173"/>
      <c r="O187" s="173"/>
      <c r="P187" s="149">
        <f>IF(Table_Shelter[[#This Row],[Status]]="Open",IF(V187="NO",Table_Shelter[[#This Row],[HH per Shelter]]*(Table_Shelter[[#This Row],['# of Temporary Shelter Units Built]]+Table_Shelter[[#This Row],['# of Temporary Shelter Under  Construction]]+Table_Shelter[[#This Row],['# of Permanent House Under Construction]]),0),0)</f>
        <v>338</v>
      </c>
      <c r="Q187" s="106"/>
      <c r="R187" s="173"/>
      <c r="S187" s="174" t="str">
        <f>IFERROR(VLOOKUP(Table_Shelter[[#This Row],[CampName]],CL,2,0),"")</f>
        <v>MMR001CMP122</v>
      </c>
      <c r="T187" s="174" t="str">
        <f>IFERROR(VLOOKUP(Table_Shelter[[#This Row],[CampName]],CL,3,0),"")</f>
        <v>Open</v>
      </c>
      <c r="U187" s="265">
        <f>IFERROR(Table_Shelter[[#This Row],[HH Covered]]/VLOOKUP(Table_Shelter[[#This Row],[CampName]],CL,4,0),"")</f>
        <v>0.5273010920436817</v>
      </c>
      <c r="V187" s="265" t="s">
        <v>1305</v>
      </c>
      <c r="W187" s="175"/>
    </row>
    <row r="188" spans="1:23" ht="15" customHeight="1" x14ac:dyDescent="0.25">
      <c r="A188" s="587"/>
      <c r="B188" s="173" t="s">
        <v>846</v>
      </c>
      <c r="C188" s="173"/>
      <c r="D188" s="173" t="s">
        <v>380</v>
      </c>
      <c r="E188" s="345" t="s">
        <v>5</v>
      </c>
      <c r="F188" s="173" t="s">
        <v>14</v>
      </c>
      <c r="G188" s="107">
        <v>1</v>
      </c>
      <c r="H188" s="107"/>
      <c r="I188" s="107"/>
      <c r="J188" s="107">
        <v>38</v>
      </c>
      <c r="K188" s="107">
        <v>38</v>
      </c>
      <c r="L188" s="173"/>
      <c r="M188" s="173"/>
      <c r="N188" s="173"/>
      <c r="O188" s="173"/>
      <c r="P188" s="149">
        <f>IF(Table_Shelter[[#This Row],[Status]]="Open",IF(V188="NO",Table_Shelter[[#This Row],[HH per Shelter]]*(Table_Shelter[[#This Row],['# of Temporary Shelter Units Built]]+Table_Shelter[[#This Row],['# of Temporary Shelter Under  Construction]]+Table_Shelter[[#This Row],['# of Permanent House Under Construction]]),0),0)</f>
        <v>38</v>
      </c>
      <c r="Q188" s="106"/>
      <c r="R188" s="173"/>
      <c r="S188" s="174" t="str">
        <f>IFERROR(VLOOKUP(Table_Shelter[[#This Row],[CampName]],CL,2,0),"")</f>
        <v>MMR001CMP052</v>
      </c>
      <c r="T188" s="174" t="str">
        <f>IFERROR(VLOOKUP(Table_Shelter[[#This Row],[CampName]],CL,3,0),"")</f>
        <v>Open</v>
      </c>
      <c r="U188" s="265">
        <f>IFERROR(Table_Shelter[[#This Row],[HH Covered]]/VLOOKUP(Table_Shelter[[#This Row],[CampName]],CL,4,0),"")</f>
        <v>1</v>
      </c>
      <c r="V188" s="265" t="s">
        <v>1305</v>
      </c>
      <c r="W188" s="175"/>
    </row>
    <row r="189" spans="1:23" ht="15" customHeight="1" x14ac:dyDescent="0.25">
      <c r="A189" s="587"/>
      <c r="B189" s="173" t="s">
        <v>452</v>
      </c>
      <c r="C189" s="173"/>
      <c r="D189" s="173" t="s">
        <v>380</v>
      </c>
      <c r="E189" s="345" t="s">
        <v>5</v>
      </c>
      <c r="F189" s="173" t="s">
        <v>14</v>
      </c>
      <c r="G189" s="107">
        <v>1</v>
      </c>
      <c r="H189" s="107"/>
      <c r="I189" s="107"/>
      <c r="J189" s="107">
        <v>5</v>
      </c>
      <c r="K189" s="107"/>
      <c r="L189" s="173"/>
      <c r="M189" s="173"/>
      <c r="N189" s="173"/>
      <c r="O189" s="173"/>
      <c r="P189" s="149">
        <f>IF(Table_Shelter[[#This Row],[Status]]="Open",IF(V189="NO",Table_Shelter[[#This Row],[HH per Shelter]]*(Table_Shelter[[#This Row],['# of Temporary Shelter Units Built]]+Table_Shelter[[#This Row],['# of Temporary Shelter Under  Construction]]+Table_Shelter[[#This Row],['# of Permanent House Under Construction]]),0),0)</f>
        <v>0</v>
      </c>
      <c r="Q189" s="106"/>
      <c r="R189" s="173"/>
      <c r="S189" s="174" t="str">
        <f>IFERROR(VLOOKUP(Table_Shelter[[#This Row],[CampName]],CL,2,0),"")</f>
        <v>MMR001CMP052</v>
      </c>
      <c r="T189" s="174" t="str">
        <f>IFERROR(VLOOKUP(Table_Shelter[[#This Row],[CampName]],CL,3,0),"")</f>
        <v>Open</v>
      </c>
      <c r="U189" s="265">
        <f>IFERROR(Table_Shelter[[#This Row],[HH Covered]]/VLOOKUP(Table_Shelter[[#This Row],[CampName]],CL,4,0),"")</f>
        <v>0</v>
      </c>
      <c r="V189" s="265" t="s">
        <v>1305</v>
      </c>
      <c r="W189" s="175"/>
    </row>
    <row r="190" spans="1:23" ht="15" customHeight="1" x14ac:dyDescent="0.25">
      <c r="A190" s="587"/>
      <c r="B190" s="173" t="s">
        <v>847</v>
      </c>
      <c r="C190" s="173" t="s">
        <v>506</v>
      </c>
      <c r="D190" s="173" t="s">
        <v>380</v>
      </c>
      <c r="E190" s="345" t="s">
        <v>237</v>
      </c>
      <c r="F190" s="173" t="s">
        <v>253</v>
      </c>
      <c r="G190" s="107">
        <v>1</v>
      </c>
      <c r="H190" s="107"/>
      <c r="I190" s="107"/>
      <c r="J190" s="107">
        <v>20</v>
      </c>
      <c r="K190" s="107">
        <v>20</v>
      </c>
      <c r="L190" s="173"/>
      <c r="M190" s="173"/>
      <c r="N190" s="173"/>
      <c r="O190" s="173"/>
      <c r="P190" s="149">
        <f>IF(Table_Shelter[[#This Row],[Status]]="Open",IF(V190="NO",Table_Shelter[[#This Row],[HH per Shelter]]*(Table_Shelter[[#This Row],['# of Temporary Shelter Units Built]]+Table_Shelter[[#This Row],['# of Temporary Shelter Under  Construction]]+Table_Shelter[[#This Row],['# of Permanent House Under Construction]]),0),0)</f>
        <v>20</v>
      </c>
      <c r="Q190" s="106"/>
      <c r="R190" s="173"/>
      <c r="S190" s="174" t="str">
        <f>IFERROR(VLOOKUP(Table_Shelter[[#This Row],[CampName]],CL,2,0),"")</f>
        <v>MMR001CMP018</v>
      </c>
      <c r="T190" s="174" t="str">
        <f>IFERROR(VLOOKUP(Table_Shelter[[#This Row],[CampName]],CL,3,0),"")</f>
        <v>Open</v>
      </c>
      <c r="U190" s="265">
        <f>IFERROR(Table_Shelter[[#This Row],[HH Covered]]/VLOOKUP(Table_Shelter[[#This Row],[CampName]],CL,4,0),"")</f>
        <v>0.10101010101010101</v>
      </c>
      <c r="V190" s="265" t="s">
        <v>1305</v>
      </c>
      <c r="W190" s="175"/>
    </row>
    <row r="191" spans="1:23" ht="15" customHeight="1" x14ac:dyDescent="0.25">
      <c r="A191" s="587"/>
      <c r="B191" s="173" t="s">
        <v>570</v>
      </c>
      <c r="C191" s="173" t="s">
        <v>460</v>
      </c>
      <c r="D191" s="176" t="s">
        <v>380</v>
      </c>
      <c r="E191" s="345" t="s">
        <v>237</v>
      </c>
      <c r="F191" s="173" t="s">
        <v>253</v>
      </c>
      <c r="G191" s="107">
        <v>1</v>
      </c>
      <c r="H191" s="107"/>
      <c r="I191" s="107"/>
      <c r="J191" s="107">
        <v>60</v>
      </c>
      <c r="K191" s="107">
        <v>60</v>
      </c>
      <c r="L191" s="173"/>
      <c r="M191" s="173"/>
      <c r="N191" s="173"/>
      <c r="O191" s="173"/>
      <c r="P191" s="149">
        <f>IF(Table_Shelter[[#This Row],[Status]]="Open",IF(V191="NO",Table_Shelter[[#This Row],[HH per Shelter]]*(Table_Shelter[[#This Row],['# of Temporary Shelter Units Built]]+Table_Shelter[[#This Row],['# of Temporary Shelter Under  Construction]]+Table_Shelter[[#This Row],['# of Permanent House Under Construction]]),0),0)</f>
        <v>60</v>
      </c>
      <c r="Q191" s="106"/>
      <c r="R191" s="173"/>
      <c r="S191" s="174" t="str">
        <f>IFERROR(VLOOKUP(Table_Shelter[[#This Row],[CampName]],CL,2,0),"")</f>
        <v>MMR001CMP018</v>
      </c>
      <c r="T191" s="174" t="str">
        <f>IFERROR(VLOOKUP(Table_Shelter[[#This Row],[CampName]],CL,3,0),"")</f>
        <v>Open</v>
      </c>
      <c r="U191" s="265">
        <f>IFERROR(Table_Shelter[[#This Row],[HH Covered]]/VLOOKUP(Table_Shelter[[#This Row],[CampName]],CL,4,0),"")</f>
        <v>0.30303030303030304</v>
      </c>
      <c r="V191" s="265" t="s">
        <v>1305</v>
      </c>
      <c r="W191" s="175"/>
    </row>
    <row r="192" spans="1:23" ht="15" customHeight="1" x14ac:dyDescent="0.25">
      <c r="A192" s="587"/>
      <c r="B192" s="173" t="s">
        <v>452</v>
      </c>
      <c r="C192" s="173"/>
      <c r="D192" s="173" t="s">
        <v>380</v>
      </c>
      <c r="E192" s="345" t="s">
        <v>237</v>
      </c>
      <c r="F192" s="173" t="s">
        <v>253</v>
      </c>
      <c r="G192" s="107">
        <v>1</v>
      </c>
      <c r="H192" s="107"/>
      <c r="I192" s="107"/>
      <c r="J192" s="107">
        <v>50</v>
      </c>
      <c r="K192" s="107">
        <v>50</v>
      </c>
      <c r="L192" s="173"/>
      <c r="M192" s="173"/>
      <c r="N192" s="173"/>
      <c r="O192" s="173"/>
      <c r="P192" s="149">
        <f>IF(Table_Shelter[[#This Row],[Status]]="Open",IF(V192="NO",Table_Shelter[[#This Row],[HH per Shelter]]*(Table_Shelter[[#This Row],['# of Temporary Shelter Units Built]]+Table_Shelter[[#This Row],['# of Temporary Shelter Under  Construction]]+Table_Shelter[[#This Row],['# of Permanent House Under Construction]]),0),0)</f>
        <v>50</v>
      </c>
      <c r="Q192" s="106"/>
      <c r="R192" s="173"/>
      <c r="S192" s="174" t="str">
        <f>IFERROR(VLOOKUP(Table_Shelter[[#This Row],[CampName]],CL,2,0),"")</f>
        <v>MMR001CMP018</v>
      </c>
      <c r="T192" s="174" t="str">
        <f>IFERROR(VLOOKUP(Table_Shelter[[#This Row],[CampName]],CL,3,0),"")</f>
        <v>Open</v>
      </c>
      <c r="U192" s="265">
        <f>IFERROR(Table_Shelter[[#This Row],[HH Covered]]/VLOOKUP(Table_Shelter[[#This Row],[CampName]],CL,4,0),"")</f>
        <v>0.25252525252525254</v>
      </c>
      <c r="V192" s="265" t="s">
        <v>1305</v>
      </c>
      <c r="W192" s="175"/>
    </row>
    <row r="193" spans="1:23" ht="15" customHeight="1" x14ac:dyDescent="0.25">
      <c r="A193" s="589"/>
      <c r="B193" s="173" t="s">
        <v>592</v>
      </c>
      <c r="C193" s="173" t="s">
        <v>506</v>
      </c>
      <c r="D193" s="173" t="s">
        <v>380</v>
      </c>
      <c r="E193" s="345" t="s">
        <v>237</v>
      </c>
      <c r="F193" s="173" t="s">
        <v>255</v>
      </c>
      <c r="G193" s="107">
        <v>1</v>
      </c>
      <c r="H193" s="107"/>
      <c r="I193" s="107"/>
      <c r="J193" s="107">
        <v>60</v>
      </c>
      <c r="K193" s="107">
        <v>60</v>
      </c>
      <c r="L193" s="173"/>
      <c r="M193" s="173"/>
      <c r="N193" s="173"/>
      <c r="O193" s="173"/>
      <c r="P193" s="149">
        <f>IF(Table_Shelter[[#This Row],[Status]]="Open",IF(V193="NO",Table_Shelter[[#This Row],[HH per Shelter]]*(Table_Shelter[[#This Row],['# of Temporary Shelter Units Built]]+Table_Shelter[[#This Row],['# of Temporary Shelter Under  Construction]]+Table_Shelter[[#This Row],['# of Permanent House Under Construction]]),0),0)</f>
        <v>60</v>
      </c>
      <c r="Q193" s="106"/>
      <c r="R193" s="173"/>
      <c r="S193" s="174" t="str">
        <f>IFERROR(VLOOKUP(Table_Shelter[[#This Row],[CampName]],CL,2,0),"")</f>
        <v>MMR001CMP019</v>
      </c>
      <c r="T193" s="174" t="str">
        <f>IFERROR(VLOOKUP(Table_Shelter[[#This Row],[CampName]],CL,3,0),"")</f>
        <v>Open</v>
      </c>
      <c r="U193" s="265">
        <f>IFERROR(Table_Shelter[[#This Row],[HH Covered]]/VLOOKUP(Table_Shelter[[#This Row],[CampName]],CL,4,0),"")</f>
        <v>0.60606060606060608</v>
      </c>
      <c r="V193" s="265" t="s">
        <v>1305</v>
      </c>
      <c r="W193" s="175"/>
    </row>
    <row r="194" spans="1:23" ht="15" customHeight="1" x14ac:dyDescent="0.25">
      <c r="A194" s="587"/>
      <c r="B194" s="173" t="s">
        <v>452</v>
      </c>
      <c r="C194" s="173" t="s">
        <v>506</v>
      </c>
      <c r="D194" s="173" t="s">
        <v>380</v>
      </c>
      <c r="E194" s="345" t="s">
        <v>237</v>
      </c>
      <c r="F194" s="173" t="s">
        <v>255</v>
      </c>
      <c r="G194" s="107">
        <v>1</v>
      </c>
      <c r="H194" s="107"/>
      <c r="I194" s="107"/>
      <c r="J194" s="107">
        <v>20</v>
      </c>
      <c r="K194" s="107">
        <v>20</v>
      </c>
      <c r="L194" s="173"/>
      <c r="M194" s="173"/>
      <c r="N194" s="173"/>
      <c r="O194" s="173"/>
      <c r="P194" s="149">
        <f>IF(Table_Shelter[[#This Row],[Status]]="Open",IF(V194="NO",Table_Shelter[[#This Row],[HH per Shelter]]*(Table_Shelter[[#This Row],['# of Temporary Shelter Units Built]]+Table_Shelter[[#This Row],['# of Temporary Shelter Under  Construction]]+Table_Shelter[[#This Row],['# of Permanent House Under Construction]]),0),0)</f>
        <v>20</v>
      </c>
      <c r="Q194" s="106"/>
      <c r="R194" s="173"/>
      <c r="S194" s="174" t="str">
        <f>IFERROR(VLOOKUP(Table_Shelter[[#This Row],[CampName]],CL,2,0),"")</f>
        <v>MMR001CMP019</v>
      </c>
      <c r="T194" s="174" t="str">
        <f>IFERROR(VLOOKUP(Table_Shelter[[#This Row],[CampName]],CL,3,0),"")</f>
        <v>Open</v>
      </c>
      <c r="U194" s="265">
        <f>IFERROR(Table_Shelter[[#This Row],[HH Covered]]/VLOOKUP(Table_Shelter[[#This Row],[CampName]],CL,4,0),"")</f>
        <v>0.20202020202020202</v>
      </c>
      <c r="V194" s="265" t="s">
        <v>1305</v>
      </c>
      <c r="W194" s="175"/>
    </row>
    <row r="195" spans="1:23" ht="15" customHeight="1" x14ac:dyDescent="0.25">
      <c r="A195" s="587"/>
      <c r="B195" s="173" t="s">
        <v>453</v>
      </c>
      <c r="C195" s="173" t="s">
        <v>506</v>
      </c>
      <c r="D195" s="176" t="s">
        <v>380</v>
      </c>
      <c r="E195" s="345" t="s">
        <v>185</v>
      </c>
      <c r="F195" s="173" t="s">
        <v>196</v>
      </c>
      <c r="G195" s="107">
        <v>1</v>
      </c>
      <c r="H195" s="107"/>
      <c r="I195" s="107"/>
      <c r="J195" s="107">
        <v>700</v>
      </c>
      <c r="K195" s="107">
        <v>700</v>
      </c>
      <c r="L195" s="173"/>
      <c r="M195" s="173"/>
      <c r="N195" s="173"/>
      <c r="O195" s="173"/>
      <c r="P195" s="149">
        <f>IF(Table_Shelter[[#This Row],[Status]]="Open",IF(V195="NO",Table_Shelter[[#This Row],[HH per Shelter]]*(Table_Shelter[[#This Row],['# of Temporary Shelter Units Built]]+Table_Shelter[[#This Row],['# of Temporary Shelter Under  Construction]]+Table_Shelter[[#This Row],['# of Permanent House Under Construction]]),0),0)</f>
        <v>700</v>
      </c>
      <c r="Q195" s="106"/>
      <c r="R195" s="173"/>
      <c r="S195" s="174" t="str">
        <f>IFERROR(VLOOKUP(Table_Shelter[[#This Row],[CampName]],CL,2,0),"")</f>
        <v>MMR001CMP121</v>
      </c>
      <c r="T195" s="174" t="str">
        <f>IFERROR(VLOOKUP(Table_Shelter[[#This Row],[CampName]],CL,3,0),"")</f>
        <v>Open</v>
      </c>
      <c r="U195" s="265">
        <f>IFERROR(Table_Shelter[[#This Row],[HH Covered]]/VLOOKUP(Table_Shelter[[#This Row],[CampName]],CL,4,0),"")</f>
        <v>0.42449969678593086</v>
      </c>
      <c r="V195" s="265" t="s">
        <v>1305</v>
      </c>
      <c r="W195" s="175"/>
    </row>
    <row r="196" spans="1:23" ht="15" customHeight="1" x14ac:dyDescent="0.25">
      <c r="A196" s="589"/>
      <c r="B196" s="173" t="s">
        <v>452</v>
      </c>
      <c r="C196" s="173" t="s">
        <v>459</v>
      </c>
      <c r="D196" s="176" t="s">
        <v>380</v>
      </c>
      <c r="E196" s="345" t="s">
        <v>185</v>
      </c>
      <c r="F196" s="173" t="s">
        <v>196</v>
      </c>
      <c r="G196" s="107">
        <v>1</v>
      </c>
      <c r="H196" s="107"/>
      <c r="I196" s="107"/>
      <c r="J196" s="107">
        <v>217</v>
      </c>
      <c r="K196" s="107">
        <v>217</v>
      </c>
      <c r="L196" s="173"/>
      <c r="M196" s="173"/>
      <c r="N196" s="173"/>
      <c r="O196" s="173"/>
      <c r="P196" s="149">
        <f>IF(Table_Shelter[[#This Row],[Status]]="Open",IF(V196="NO",Table_Shelter[[#This Row],[HH per Shelter]]*(Table_Shelter[[#This Row],['# of Temporary Shelter Units Built]]+Table_Shelter[[#This Row],['# of Temporary Shelter Under  Construction]]+Table_Shelter[[#This Row],['# of Permanent House Under Construction]]),0),0)</f>
        <v>217</v>
      </c>
      <c r="Q196" s="106"/>
      <c r="R196" s="173"/>
      <c r="S196" s="174" t="str">
        <f>IFERROR(VLOOKUP(Table_Shelter[[#This Row],[CampName]],CL,2,0),"")</f>
        <v>MMR001CMP121</v>
      </c>
      <c r="T196" s="174" t="str">
        <f>IFERROR(VLOOKUP(Table_Shelter[[#This Row],[CampName]],CL,3,0),"")</f>
        <v>Open</v>
      </c>
      <c r="U196" s="265">
        <f>IFERROR(Table_Shelter[[#This Row],[HH Covered]]/VLOOKUP(Table_Shelter[[#This Row],[CampName]],CL,4,0),"")</f>
        <v>0.13159490600363857</v>
      </c>
      <c r="V196" s="265" t="s">
        <v>1305</v>
      </c>
      <c r="W196" s="175"/>
    </row>
    <row r="197" spans="1:23" ht="15" customHeight="1" x14ac:dyDescent="0.25">
      <c r="A197" s="589"/>
      <c r="B197" s="173" t="s">
        <v>1097</v>
      </c>
      <c r="C197" s="173" t="s">
        <v>944</v>
      </c>
      <c r="D197" s="176" t="s">
        <v>553</v>
      </c>
      <c r="E197" s="345" t="s">
        <v>146</v>
      </c>
      <c r="F197" s="173" t="s">
        <v>372</v>
      </c>
      <c r="G197" s="107">
        <v>1</v>
      </c>
      <c r="H197" s="107"/>
      <c r="I197" s="107"/>
      <c r="J197" s="107">
        <v>121</v>
      </c>
      <c r="K197" s="107">
        <v>121</v>
      </c>
      <c r="L197" s="173"/>
      <c r="M197" s="173"/>
      <c r="N197" s="173"/>
      <c r="O197" s="173"/>
      <c r="P197" s="149">
        <f>IF(Table_Shelter[[#This Row],[Status]]="Open",IF(V197="NO",Table_Shelter[[#This Row],[HH per Shelter]]*(Table_Shelter[[#This Row],['# of Temporary Shelter Units Built]]+Table_Shelter[[#This Row],['# of Temporary Shelter Under  Construction]]+Table_Shelter[[#This Row],['# of Permanent House Under Construction]]),0),0)</f>
        <v>121</v>
      </c>
      <c r="Q197" s="106"/>
      <c r="R197" s="173"/>
      <c r="S197" s="174" t="str">
        <f>IFERROR(VLOOKUP(Table_Shelter[[#This Row],[CampName]],CL,2,0),"")</f>
        <v>MMR015CMP015</v>
      </c>
      <c r="T197" s="174" t="str">
        <f>IFERROR(VLOOKUP(Table_Shelter[[#This Row],[CampName]],CL,3,0),"")</f>
        <v>Open</v>
      </c>
      <c r="U197" s="265">
        <f>IFERROR(Table_Shelter[[#This Row],[HH Covered]]/VLOOKUP(Table_Shelter[[#This Row],[CampName]],CL,4,0),"")</f>
        <v>1.375</v>
      </c>
      <c r="V197" s="265" t="s">
        <v>1305</v>
      </c>
      <c r="W197" s="175"/>
    </row>
    <row r="198" spans="1:23" ht="15" customHeight="1" x14ac:dyDescent="0.25">
      <c r="A198" s="658"/>
      <c r="B198" s="107" t="s">
        <v>452</v>
      </c>
      <c r="C198" s="107" t="s">
        <v>460</v>
      </c>
      <c r="D198" s="180" t="s">
        <v>380</v>
      </c>
      <c r="E198" s="181" t="s">
        <v>527</v>
      </c>
      <c r="F198" s="107" t="s">
        <v>1120</v>
      </c>
      <c r="G198" s="107">
        <v>1</v>
      </c>
      <c r="H198" s="109"/>
      <c r="I198" s="109"/>
      <c r="J198" s="109">
        <v>50</v>
      </c>
      <c r="K198" s="109">
        <v>50</v>
      </c>
      <c r="L198" s="109"/>
      <c r="M198" s="109"/>
      <c r="N198" s="109"/>
      <c r="O198" s="109"/>
      <c r="P198" s="108">
        <f>IF(Table_Shelter[[#This Row],[Status]]="Open",IF(V198="NO",Table_Shelter[[#This Row],[HH per Shelter]]*(Table_Shelter[[#This Row],['# of Temporary Shelter Units Built]]+Table_Shelter[[#This Row],['# of Temporary Shelter Under  Construction]]+Table_Shelter[[#This Row],['# of Permanent House Under Construction]]),0),0)</f>
        <v>50</v>
      </c>
      <c r="Q198" s="108"/>
      <c r="R198" s="108"/>
      <c r="S198" s="108" t="str">
        <f>IFERROR(VLOOKUP(Table_Shelter[[#This Row],[CampName]],CL,2,0),"")</f>
        <v>MMR001CMP231</v>
      </c>
      <c r="T198" s="108" t="str">
        <f>IFERROR(VLOOKUP(Table_Shelter[[#This Row],[CampName]],CL,3,0),"")</f>
        <v>Open</v>
      </c>
      <c r="U198" s="266">
        <f>IFERROR(Table_Shelter[[#This Row],[HH Covered]]/VLOOKUP(Table_Shelter[[#This Row],[CampName]],CL,4,0),"")</f>
        <v>0.96153846153846156</v>
      </c>
      <c r="V198" s="265" t="s">
        <v>1305</v>
      </c>
      <c r="W198" s="108"/>
    </row>
    <row r="199" spans="1:23" ht="15" customHeight="1" x14ac:dyDescent="0.25">
      <c r="A199" s="589"/>
      <c r="B199" s="173" t="s">
        <v>846</v>
      </c>
      <c r="C199" s="173"/>
      <c r="D199" s="173" t="s">
        <v>553</v>
      </c>
      <c r="E199" s="345" t="s">
        <v>146</v>
      </c>
      <c r="F199" s="173" t="s">
        <v>369</v>
      </c>
      <c r="G199" s="107">
        <v>1</v>
      </c>
      <c r="H199" s="107"/>
      <c r="I199" s="107"/>
      <c r="J199" s="107">
        <v>80</v>
      </c>
      <c r="K199" s="107">
        <v>80</v>
      </c>
      <c r="L199" s="173"/>
      <c r="M199" s="173"/>
      <c r="N199" s="173"/>
      <c r="O199" s="173"/>
      <c r="P199" s="149">
        <f>IF(Table_Shelter[[#This Row],[Status]]="Open",IF(V199="NO",Table_Shelter[[#This Row],[HH per Shelter]]*(Table_Shelter[[#This Row],['# of Temporary Shelter Units Built]]+Table_Shelter[[#This Row],['# of Temporary Shelter Under  Construction]]+Table_Shelter[[#This Row],['# of Permanent House Under Construction]]),0),0)</f>
        <v>80</v>
      </c>
      <c r="Q199" s="106"/>
      <c r="R199" s="173"/>
      <c r="S199" s="174" t="str">
        <f>IFERROR(VLOOKUP(Table_Shelter[[#This Row],[CampName]],CL,2,0),"")</f>
        <v>MMR015CMP016</v>
      </c>
      <c r="T199" s="174" t="str">
        <f>IFERROR(VLOOKUP(Table_Shelter[[#This Row],[CampName]],CL,3,0),"")</f>
        <v>Open</v>
      </c>
      <c r="U199" s="265">
        <f>IFERROR(Table_Shelter[[#This Row],[HH Covered]]/VLOOKUP(Table_Shelter[[#This Row],[CampName]],CL,4,0),"")</f>
        <v>1.3114754098360655</v>
      </c>
      <c r="V199" s="265" t="s">
        <v>1305</v>
      </c>
      <c r="W199" s="175"/>
    </row>
    <row r="200" spans="1:23" ht="15" customHeight="1" x14ac:dyDescent="0.25">
      <c r="A200" s="658"/>
      <c r="B200" s="175" t="s">
        <v>846</v>
      </c>
      <c r="C200" s="175"/>
      <c r="D200" s="175" t="s">
        <v>553</v>
      </c>
      <c r="E200" s="179" t="s">
        <v>146</v>
      </c>
      <c r="F200" s="175" t="s">
        <v>370</v>
      </c>
      <c r="G200" s="109">
        <v>1</v>
      </c>
      <c r="H200" s="109"/>
      <c r="I200" s="109"/>
      <c r="J200" s="109">
        <v>48</v>
      </c>
      <c r="K200" s="109">
        <v>48</v>
      </c>
      <c r="L200" s="175"/>
      <c r="M200" s="175"/>
      <c r="N200" s="175"/>
      <c r="O200" s="175"/>
      <c r="P200" s="149">
        <f>IF(Table_Shelter[[#This Row],[Status]]="Open",IF(V200="NO",Table_Shelter[[#This Row],[HH per Shelter]]*(Table_Shelter[[#This Row],['# of Temporary Shelter Units Built]]+Table_Shelter[[#This Row],['# of Temporary Shelter Under  Construction]]+Table_Shelter[[#This Row],['# of Permanent House Under Construction]]),0),0)</f>
        <v>48</v>
      </c>
      <c r="Q200" s="108"/>
      <c r="R200" s="175"/>
      <c r="S200" s="174" t="str">
        <f>IFERROR(VLOOKUP(Table_Shelter[[#This Row],[CampName]],CL,2,0),"")</f>
        <v>MMR015CMP017</v>
      </c>
      <c r="T200" s="174" t="str">
        <f>IFERROR(VLOOKUP(Table_Shelter[[#This Row],[CampName]],CL,3,0),"")</f>
        <v>Open</v>
      </c>
      <c r="U200" s="265">
        <f>IFERROR(Table_Shelter[[#This Row],[HH Covered]]/VLOOKUP(Table_Shelter[[#This Row],[CampName]],CL,4,0),"")</f>
        <v>1.6</v>
      </c>
      <c r="V200" s="265" t="s">
        <v>1305</v>
      </c>
      <c r="W200" s="175"/>
    </row>
    <row r="201" spans="1:23" ht="15" customHeight="1" x14ac:dyDescent="0.25">
      <c r="A201" s="587"/>
      <c r="B201" s="173" t="s">
        <v>452</v>
      </c>
      <c r="C201" s="173" t="s">
        <v>460</v>
      </c>
      <c r="D201" s="173" t="s">
        <v>380</v>
      </c>
      <c r="E201" s="345" t="s">
        <v>237</v>
      </c>
      <c r="F201" s="173" t="s">
        <v>257</v>
      </c>
      <c r="G201" s="107">
        <v>1</v>
      </c>
      <c r="H201" s="107"/>
      <c r="I201" s="107"/>
      <c r="J201" s="107">
        <v>5</v>
      </c>
      <c r="K201" s="107">
        <v>5</v>
      </c>
      <c r="L201" s="173"/>
      <c r="M201" s="173"/>
      <c r="N201" s="173"/>
      <c r="O201" s="173"/>
      <c r="P201" s="149">
        <f>IF(Table_Shelter[[#This Row],[Status]]="Open",IF(V201="NO",Table_Shelter[[#This Row],[HH per Shelter]]*(Table_Shelter[[#This Row],['# of Temporary Shelter Units Built]]+Table_Shelter[[#This Row],['# of Temporary Shelter Under  Construction]]+Table_Shelter[[#This Row],['# of Permanent House Under Construction]]),0),0)</f>
        <v>5</v>
      </c>
      <c r="Q201" s="106"/>
      <c r="R201" s="173"/>
      <c r="S201" s="174" t="str">
        <f>IFERROR(VLOOKUP(Table_Shelter[[#This Row],[CampName]],CL,2,0),"")</f>
        <v>MMR001CMP013</v>
      </c>
      <c r="T201" s="174" t="str">
        <f>IFERROR(VLOOKUP(Table_Shelter[[#This Row],[CampName]],CL,3,0),"")</f>
        <v>Open</v>
      </c>
      <c r="U201" s="265">
        <f>IFERROR(Table_Shelter[[#This Row],[HH Covered]]/VLOOKUP(Table_Shelter[[#This Row],[CampName]],CL,4,0),"")</f>
        <v>0.29411764705882354</v>
      </c>
      <c r="V201" s="265" t="s">
        <v>1305</v>
      </c>
      <c r="W201" s="175"/>
    </row>
    <row r="202" spans="1:23" ht="15" customHeight="1" x14ac:dyDescent="0.25">
      <c r="A202" s="589"/>
      <c r="B202" s="173" t="s">
        <v>452</v>
      </c>
      <c r="C202" s="173" t="s">
        <v>460</v>
      </c>
      <c r="D202" s="173" t="s">
        <v>380</v>
      </c>
      <c r="E202" s="345" t="s">
        <v>173</v>
      </c>
      <c r="F202" s="173" t="s">
        <v>174</v>
      </c>
      <c r="G202" s="107">
        <v>1</v>
      </c>
      <c r="H202" s="107"/>
      <c r="I202" s="107"/>
      <c r="J202" s="107">
        <v>15</v>
      </c>
      <c r="K202" s="107">
        <v>15</v>
      </c>
      <c r="L202" s="173"/>
      <c r="M202" s="173"/>
      <c r="N202" s="173"/>
      <c r="O202" s="173"/>
      <c r="P202" s="149">
        <f>IF(Table_Shelter[[#This Row],[Status]]="Open",IF(V202="NO",Table_Shelter[[#This Row],[HH per Shelter]]*(Table_Shelter[[#This Row],['# of Temporary Shelter Units Built]]+Table_Shelter[[#This Row],['# of Temporary Shelter Under  Construction]]+Table_Shelter[[#This Row],['# of Permanent House Under Construction]]),0),0)</f>
        <v>15</v>
      </c>
      <c r="Q202" s="106"/>
      <c r="R202" s="173"/>
      <c r="S202" s="174" t="str">
        <f>IFERROR(VLOOKUP(Table_Shelter[[#This Row],[CampName]],CL,2,0),"")</f>
        <v>MMR001CMP078</v>
      </c>
      <c r="T202" s="174" t="str">
        <f>IFERROR(VLOOKUP(Table_Shelter[[#This Row],[CampName]],CL,3,0),"")</f>
        <v>Open</v>
      </c>
      <c r="U202" s="265">
        <f>IFERROR(Table_Shelter[[#This Row],[HH Covered]]/VLOOKUP(Table_Shelter[[#This Row],[CampName]],CL,4,0),"")</f>
        <v>1.1538461538461537</v>
      </c>
      <c r="V202" s="265" t="s">
        <v>1305</v>
      </c>
      <c r="W202" s="175"/>
    </row>
    <row r="203" spans="1:23" ht="15" customHeight="1" x14ac:dyDescent="0.25">
      <c r="A203" s="589"/>
      <c r="B203" s="173" t="s">
        <v>592</v>
      </c>
      <c r="C203" s="173" t="s">
        <v>459</v>
      </c>
      <c r="D203" s="173" t="s">
        <v>380</v>
      </c>
      <c r="E203" s="345" t="s">
        <v>151</v>
      </c>
      <c r="F203" s="173" t="s">
        <v>516</v>
      </c>
      <c r="G203" s="107">
        <v>1</v>
      </c>
      <c r="H203" s="107"/>
      <c r="I203" s="107"/>
      <c r="J203" s="107">
        <v>100</v>
      </c>
      <c r="K203" s="107">
        <v>100</v>
      </c>
      <c r="L203" s="173"/>
      <c r="M203" s="173"/>
      <c r="N203" s="173"/>
      <c r="O203" s="173"/>
      <c r="P203" s="149">
        <f>IF(Table_Shelter[[#This Row],[Status]]="Open",IF(V203="NO",Table_Shelter[[#This Row],[HH per Shelter]]*(Table_Shelter[[#This Row],['# of Temporary Shelter Units Built]]+Table_Shelter[[#This Row],['# of Temporary Shelter Under  Construction]]+Table_Shelter[[#This Row],['# of Permanent House Under Construction]]),0),0)</f>
        <v>0</v>
      </c>
      <c r="Q203" s="106"/>
      <c r="R203" s="173"/>
      <c r="S203" s="174" t="str">
        <f>IFERROR(VLOOKUP(Table_Shelter[[#This Row],[CampName]],CL,2,0),"")</f>
        <v>MMR001CMP202</v>
      </c>
      <c r="T203" s="174" t="str">
        <f>IFERROR(VLOOKUP(Table_Shelter[[#This Row],[CampName]],CL,3,0),"")</f>
        <v>Closed</v>
      </c>
      <c r="U203" s="265" t="str">
        <f>IFERROR(Table_Shelter[[#This Row],[HH Covered]]/VLOOKUP(Table_Shelter[[#This Row],[CampName]],CL,4,0),"")</f>
        <v/>
      </c>
      <c r="V203" s="265" t="s">
        <v>1305</v>
      </c>
      <c r="W203" s="175"/>
    </row>
    <row r="204" spans="1:23" ht="15" customHeight="1" x14ac:dyDescent="0.25">
      <c r="A204" s="589"/>
      <c r="B204" s="173" t="s">
        <v>572</v>
      </c>
      <c r="C204" s="173"/>
      <c r="D204" s="173" t="s">
        <v>380</v>
      </c>
      <c r="E204" s="345" t="s">
        <v>151</v>
      </c>
      <c r="F204" s="173" t="s">
        <v>198</v>
      </c>
      <c r="G204" s="107">
        <v>1</v>
      </c>
      <c r="H204" s="107"/>
      <c r="I204" s="107"/>
      <c r="J204" s="107">
        <v>26</v>
      </c>
      <c r="K204" s="107">
        <v>26</v>
      </c>
      <c r="L204" s="173"/>
      <c r="M204" s="173"/>
      <c r="N204" s="173"/>
      <c r="O204" s="173"/>
      <c r="P204" s="149">
        <f>IF(Table_Shelter[[#This Row],[Status]]="Open",IF(V204="NO",Table_Shelter[[#This Row],[HH per Shelter]]*(Table_Shelter[[#This Row],['# of Temporary Shelter Units Built]]+Table_Shelter[[#This Row],['# of Temporary Shelter Under  Construction]]+Table_Shelter[[#This Row],['# of Permanent House Under Construction]]),0),0)</f>
        <v>26</v>
      </c>
      <c r="Q204" s="106"/>
      <c r="R204" s="173"/>
      <c r="S204" s="174" t="str">
        <f>IFERROR(VLOOKUP(Table_Shelter[[#This Row],[CampName]],CL,2,0),"")</f>
        <v>MMR001CMP128</v>
      </c>
      <c r="T204" s="174" t="str">
        <f>IFERROR(VLOOKUP(Table_Shelter[[#This Row],[CampName]],CL,3,0),"")</f>
        <v>Open</v>
      </c>
      <c r="U204" s="265">
        <f>IFERROR(Table_Shelter[[#This Row],[HH Covered]]/VLOOKUP(Table_Shelter[[#This Row],[CampName]],CL,4,0),"")</f>
        <v>4.7619047619047616E-2</v>
      </c>
      <c r="V204" s="265" t="s">
        <v>1305</v>
      </c>
      <c r="W204" s="175"/>
    </row>
    <row r="205" spans="1:23" ht="15" customHeight="1" x14ac:dyDescent="0.25">
      <c r="A205" s="589"/>
      <c r="B205" s="173" t="s">
        <v>452</v>
      </c>
      <c r="C205" s="173" t="s">
        <v>459</v>
      </c>
      <c r="D205" s="173" t="s">
        <v>380</v>
      </c>
      <c r="E205" s="345" t="s">
        <v>151</v>
      </c>
      <c r="F205" s="173" t="s">
        <v>198</v>
      </c>
      <c r="G205" s="107">
        <v>1</v>
      </c>
      <c r="H205" s="107"/>
      <c r="I205" s="107"/>
      <c r="J205" s="107">
        <v>350</v>
      </c>
      <c r="K205" s="107">
        <v>350</v>
      </c>
      <c r="L205" s="173"/>
      <c r="M205" s="173"/>
      <c r="N205" s="173"/>
      <c r="O205" s="173"/>
      <c r="P205" s="149">
        <f>IF(Table_Shelter[[#This Row],[Status]]="Open",IF(V205="NO",Table_Shelter[[#This Row],[HH per Shelter]]*(Table_Shelter[[#This Row],['# of Temporary Shelter Units Built]]+Table_Shelter[[#This Row],['# of Temporary Shelter Under  Construction]]+Table_Shelter[[#This Row],['# of Permanent House Under Construction]]),0),0)</f>
        <v>350</v>
      </c>
      <c r="Q205" s="106"/>
      <c r="R205" s="173"/>
      <c r="S205" s="174" t="str">
        <f>IFERROR(VLOOKUP(Table_Shelter[[#This Row],[CampName]],CL,2,0),"")</f>
        <v>MMR001CMP128</v>
      </c>
      <c r="T205" s="174" t="str">
        <f>IFERROR(VLOOKUP(Table_Shelter[[#This Row],[CampName]],CL,3,0),"")</f>
        <v>Open</v>
      </c>
      <c r="U205" s="265">
        <f>IFERROR(Table_Shelter[[#This Row],[HH Covered]]/VLOOKUP(Table_Shelter[[#This Row],[CampName]],CL,4,0),"")</f>
        <v>0.64102564102564108</v>
      </c>
      <c r="V205" s="265" t="s">
        <v>1305</v>
      </c>
      <c r="W205" s="175"/>
    </row>
    <row r="206" spans="1:23" ht="15" customHeight="1" x14ac:dyDescent="0.25">
      <c r="A206" s="589"/>
      <c r="B206" s="173" t="s">
        <v>452</v>
      </c>
      <c r="C206" s="173"/>
      <c r="D206" s="173" t="s">
        <v>380</v>
      </c>
      <c r="E206" s="345" t="s">
        <v>151</v>
      </c>
      <c r="F206" s="173" t="s">
        <v>198</v>
      </c>
      <c r="G206" s="107">
        <v>1</v>
      </c>
      <c r="H206" s="107"/>
      <c r="I206" s="107"/>
      <c r="J206" s="107">
        <v>150</v>
      </c>
      <c r="K206" s="107"/>
      <c r="L206" s="173"/>
      <c r="M206" s="173"/>
      <c r="N206" s="173"/>
      <c r="O206" s="173"/>
      <c r="P206" s="149">
        <f>IF(Table_Shelter[[#This Row],[Status]]="Open",IF(V206="NO",Table_Shelter[[#This Row],[HH per Shelter]]*(Table_Shelter[[#This Row],['# of Temporary Shelter Units Built]]+Table_Shelter[[#This Row],['# of Temporary Shelter Under  Construction]]+Table_Shelter[[#This Row],['# of Permanent House Under Construction]]),0),0)</f>
        <v>0</v>
      </c>
      <c r="Q206" s="106"/>
      <c r="R206" s="173"/>
      <c r="S206" s="174" t="str">
        <f>IFERROR(VLOOKUP(Table_Shelter[[#This Row],[CampName]],CL,2,0),"")</f>
        <v>MMR001CMP128</v>
      </c>
      <c r="T206" s="174" t="str">
        <f>IFERROR(VLOOKUP(Table_Shelter[[#This Row],[CampName]],CL,3,0),"")</f>
        <v>Open</v>
      </c>
      <c r="U206" s="265">
        <f>IFERROR(Table_Shelter[[#This Row],[HH Covered]]/VLOOKUP(Table_Shelter[[#This Row],[CampName]],CL,4,0),"")</f>
        <v>0</v>
      </c>
      <c r="V206" s="265" t="s">
        <v>1305</v>
      </c>
      <c r="W206" s="175"/>
    </row>
    <row r="207" spans="1:23" ht="15" customHeight="1" x14ac:dyDescent="0.25">
      <c r="A207" s="587"/>
      <c r="B207" s="173" t="s">
        <v>847</v>
      </c>
      <c r="C207" s="173" t="s">
        <v>460</v>
      </c>
      <c r="D207" s="176" t="s">
        <v>380</v>
      </c>
      <c r="E207" s="345" t="s">
        <v>237</v>
      </c>
      <c r="F207" s="173" t="s">
        <v>240</v>
      </c>
      <c r="G207" s="107">
        <v>1</v>
      </c>
      <c r="H207" s="107"/>
      <c r="I207" s="107"/>
      <c r="J207" s="107">
        <v>9</v>
      </c>
      <c r="K207" s="107">
        <v>9</v>
      </c>
      <c r="L207" s="173"/>
      <c r="M207" s="173"/>
      <c r="N207" s="173"/>
      <c r="O207" s="173"/>
      <c r="P207" s="149">
        <f>IF(Table_Shelter[[#This Row],[Status]]="Open",IF(V207="NO",Table_Shelter[[#This Row],[HH per Shelter]]*(Table_Shelter[[#This Row],['# of Temporary Shelter Units Built]]+Table_Shelter[[#This Row],['# of Temporary Shelter Under  Construction]]+Table_Shelter[[#This Row],['# of Permanent House Under Construction]]),0),0)</f>
        <v>9</v>
      </c>
      <c r="Q207" s="106"/>
      <c r="R207" s="173"/>
      <c r="S207" s="174" t="str">
        <f>IFERROR(VLOOKUP(Table_Shelter[[#This Row],[CampName]],CL,2,0),"")</f>
        <v>MMR001CMP015</v>
      </c>
      <c r="T207" s="174" t="str">
        <f>IFERROR(VLOOKUP(Table_Shelter[[#This Row],[CampName]],CL,3,0),"")</f>
        <v>Open</v>
      </c>
      <c r="U207" s="265">
        <f>IFERROR(Table_Shelter[[#This Row],[HH Covered]]/VLOOKUP(Table_Shelter[[#This Row],[CampName]],CL,4,0),"")</f>
        <v>0.3</v>
      </c>
      <c r="V207" s="265" t="s">
        <v>1305</v>
      </c>
      <c r="W207" s="175"/>
    </row>
    <row r="208" spans="1:23" ht="15" customHeight="1" x14ac:dyDescent="0.25">
      <c r="A208" s="587"/>
      <c r="B208" s="173" t="s">
        <v>570</v>
      </c>
      <c r="C208" s="173" t="s">
        <v>460</v>
      </c>
      <c r="D208" s="173" t="s">
        <v>380</v>
      </c>
      <c r="E208" s="345" t="s">
        <v>237</v>
      </c>
      <c r="F208" s="173" t="s">
        <v>240</v>
      </c>
      <c r="G208" s="107">
        <v>1</v>
      </c>
      <c r="H208" s="107"/>
      <c r="I208" s="107"/>
      <c r="J208" s="107">
        <v>5</v>
      </c>
      <c r="K208" s="107">
        <v>5</v>
      </c>
      <c r="L208" s="173"/>
      <c r="M208" s="173"/>
      <c r="N208" s="173"/>
      <c r="O208" s="173"/>
      <c r="P208" s="149">
        <f>IF(Table_Shelter[[#This Row],[Status]]="Open",IF(V208="NO",Table_Shelter[[#This Row],[HH per Shelter]]*(Table_Shelter[[#This Row],['# of Temporary Shelter Units Built]]+Table_Shelter[[#This Row],['# of Temporary Shelter Under  Construction]]+Table_Shelter[[#This Row],['# of Permanent House Under Construction]]),0),0)</f>
        <v>5</v>
      </c>
      <c r="Q208" s="106"/>
      <c r="R208" s="173"/>
      <c r="S208" s="174" t="str">
        <f>IFERROR(VLOOKUP(Table_Shelter[[#This Row],[CampName]],CL,2,0),"")</f>
        <v>MMR001CMP015</v>
      </c>
      <c r="T208" s="174" t="str">
        <f>IFERROR(VLOOKUP(Table_Shelter[[#This Row],[CampName]],CL,3,0),"")</f>
        <v>Open</v>
      </c>
      <c r="U208" s="265">
        <f>IFERROR(Table_Shelter[[#This Row],[HH Covered]]/VLOOKUP(Table_Shelter[[#This Row],[CampName]],CL,4,0),"")</f>
        <v>0.16666666666666666</v>
      </c>
      <c r="V208" s="265" t="s">
        <v>1305</v>
      </c>
      <c r="W208" s="175"/>
    </row>
    <row r="209" spans="1:23" ht="15" customHeight="1" x14ac:dyDescent="0.25">
      <c r="A209" s="589"/>
      <c r="B209" s="173" t="s">
        <v>452</v>
      </c>
      <c r="C209" s="173" t="s">
        <v>460</v>
      </c>
      <c r="D209" s="173" t="s">
        <v>380</v>
      </c>
      <c r="E209" s="345" t="s">
        <v>237</v>
      </c>
      <c r="F209" s="173" t="s">
        <v>240</v>
      </c>
      <c r="G209" s="107">
        <v>1</v>
      </c>
      <c r="H209" s="107"/>
      <c r="I209" s="107"/>
      <c r="J209" s="107">
        <v>10</v>
      </c>
      <c r="K209" s="107">
        <v>10</v>
      </c>
      <c r="L209" s="173"/>
      <c r="M209" s="173"/>
      <c r="N209" s="173"/>
      <c r="O209" s="173"/>
      <c r="P209" s="149">
        <f>IF(Table_Shelter[[#This Row],[Status]]="Open",IF(V209="NO",Table_Shelter[[#This Row],[HH per Shelter]]*(Table_Shelter[[#This Row],['# of Temporary Shelter Units Built]]+Table_Shelter[[#This Row],['# of Temporary Shelter Under  Construction]]+Table_Shelter[[#This Row],['# of Permanent House Under Construction]]),0),0)</f>
        <v>10</v>
      </c>
      <c r="Q209" s="106"/>
      <c r="R209" s="173"/>
      <c r="S209" s="174" t="str">
        <f>IFERROR(VLOOKUP(Table_Shelter[[#This Row],[CampName]],CL,2,0),"")</f>
        <v>MMR001CMP015</v>
      </c>
      <c r="T209" s="174" t="str">
        <f>IFERROR(VLOOKUP(Table_Shelter[[#This Row],[CampName]],CL,3,0),"")</f>
        <v>Open</v>
      </c>
      <c r="U209" s="265">
        <f>IFERROR(Table_Shelter[[#This Row],[HH Covered]]/VLOOKUP(Table_Shelter[[#This Row],[CampName]],CL,4,0),"")</f>
        <v>0.33333333333333331</v>
      </c>
      <c r="V209" s="265" t="s">
        <v>1305</v>
      </c>
      <c r="W209" s="175"/>
    </row>
    <row r="210" spans="1:23" ht="15" customHeight="1" x14ac:dyDescent="0.25">
      <c r="A210" s="589"/>
      <c r="B210" s="173" t="s">
        <v>570</v>
      </c>
      <c r="C210" s="173" t="s">
        <v>460</v>
      </c>
      <c r="D210" s="173" t="s">
        <v>380</v>
      </c>
      <c r="E210" s="345" t="s">
        <v>237</v>
      </c>
      <c r="F210" s="173" t="s">
        <v>285</v>
      </c>
      <c r="G210" s="107">
        <v>1</v>
      </c>
      <c r="H210" s="107"/>
      <c r="I210" s="107"/>
      <c r="J210" s="107">
        <v>60</v>
      </c>
      <c r="K210" s="107">
        <v>60</v>
      </c>
      <c r="L210" s="173"/>
      <c r="M210" s="173"/>
      <c r="N210" s="173"/>
      <c r="O210" s="173"/>
      <c r="P210" s="149">
        <f>IF(Table_Shelter[[#This Row],[Status]]="Open",IF(V210="NO",Table_Shelter[[#This Row],[HH per Shelter]]*(Table_Shelter[[#This Row],['# of Temporary Shelter Units Built]]+Table_Shelter[[#This Row],['# of Temporary Shelter Under  Construction]]+Table_Shelter[[#This Row],['# of Permanent House Under Construction]]),0),0)</f>
        <v>60</v>
      </c>
      <c r="Q210" s="106"/>
      <c r="R210" s="173"/>
      <c r="S210" s="174" t="str">
        <f>IFERROR(VLOOKUP(Table_Shelter[[#This Row],[CampName]],CL,2,0),"")</f>
        <v>MMR001CMP014</v>
      </c>
      <c r="T210" s="174" t="str">
        <f>IFERROR(VLOOKUP(Table_Shelter[[#This Row],[CampName]],CL,3,0),"")</f>
        <v>Open</v>
      </c>
      <c r="U210" s="265">
        <f>IFERROR(Table_Shelter[[#This Row],[HH Covered]]/VLOOKUP(Table_Shelter[[#This Row],[CampName]],CL,4,0),"")</f>
        <v>0.70588235294117652</v>
      </c>
      <c r="V210" s="265" t="s">
        <v>1305</v>
      </c>
      <c r="W210" s="175"/>
    </row>
    <row r="211" spans="1:23" ht="15" customHeight="1" x14ac:dyDescent="0.25">
      <c r="A211" s="587"/>
      <c r="B211" s="173" t="s">
        <v>452</v>
      </c>
      <c r="C211" s="173" t="s">
        <v>460</v>
      </c>
      <c r="D211" s="173" t="s">
        <v>380</v>
      </c>
      <c r="E211" s="345" t="s">
        <v>237</v>
      </c>
      <c r="F211" s="173" t="s">
        <v>285</v>
      </c>
      <c r="G211" s="107">
        <v>1</v>
      </c>
      <c r="H211" s="107"/>
      <c r="I211" s="107"/>
      <c r="J211" s="107">
        <v>60</v>
      </c>
      <c r="K211" s="107">
        <v>60</v>
      </c>
      <c r="L211" s="173"/>
      <c r="M211" s="173"/>
      <c r="N211" s="173"/>
      <c r="O211" s="173"/>
      <c r="P211" s="149">
        <f>IF(Table_Shelter[[#This Row],[Status]]="Open",IF(V211="NO",Table_Shelter[[#This Row],[HH per Shelter]]*(Table_Shelter[[#This Row],['# of Temporary Shelter Units Built]]+Table_Shelter[[#This Row],['# of Temporary Shelter Under  Construction]]+Table_Shelter[[#This Row],['# of Permanent House Under Construction]]),0),0)</f>
        <v>60</v>
      </c>
      <c r="Q211" s="106"/>
      <c r="R211" s="173"/>
      <c r="S211" s="174" t="str">
        <f>IFERROR(VLOOKUP(Table_Shelter[[#This Row],[CampName]],CL,2,0),"")</f>
        <v>MMR001CMP014</v>
      </c>
      <c r="T211" s="174" t="str">
        <f>IFERROR(VLOOKUP(Table_Shelter[[#This Row],[CampName]],CL,3,0),"")</f>
        <v>Open</v>
      </c>
      <c r="U211" s="265">
        <f>IFERROR(Table_Shelter[[#This Row],[HH Covered]]/VLOOKUP(Table_Shelter[[#This Row],[CampName]],CL,4,0),"")</f>
        <v>0.70588235294117652</v>
      </c>
      <c r="V211" s="265" t="s">
        <v>1305</v>
      </c>
      <c r="W211" s="175"/>
    </row>
    <row r="212" spans="1:23" ht="15" customHeight="1" x14ac:dyDescent="0.25">
      <c r="A212" s="589"/>
      <c r="B212" s="173" t="s">
        <v>452</v>
      </c>
      <c r="C212" s="173"/>
      <c r="D212" s="173" t="s">
        <v>380</v>
      </c>
      <c r="E212" s="345" t="s">
        <v>237</v>
      </c>
      <c r="F212" s="173" t="s">
        <v>285</v>
      </c>
      <c r="G212" s="107">
        <v>1</v>
      </c>
      <c r="H212" s="107"/>
      <c r="I212" s="107"/>
      <c r="J212" s="107">
        <v>5</v>
      </c>
      <c r="K212" s="107">
        <v>5</v>
      </c>
      <c r="L212" s="173"/>
      <c r="M212" s="173"/>
      <c r="N212" s="173"/>
      <c r="O212" s="173"/>
      <c r="P212" s="149">
        <f>IF(Table_Shelter[[#This Row],[Status]]="Open",IF(V212="NO",Table_Shelter[[#This Row],[HH per Shelter]]*(Table_Shelter[[#This Row],['# of Temporary Shelter Units Built]]+Table_Shelter[[#This Row],['# of Temporary Shelter Under  Construction]]+Table_Shelter[[#This Row],['# of Permanent House Under Construction]]),0),0)</f>
        <v>5</v>
      </c>
      <c r="Q212" s="106"/>
      <c r="R212" s="173"/>
      <c r="S212" s="174" t="str">
        <f>IFERROR(VLOOKUP(Table_Shelter[[#This Row],[CampName]],CL,2,0),"")</f>
        <v>MMR001CMP014</v>
      </c>
      <c r="T212" s="174" t="str">
        <f>IFERROR(VLOOKUP(Table_Shelter[[#This Row],[CampName]],CL,3,0),"")</f>
        <v>Open</v>
      </c>
      <c r="U212" s="265">
        <f>IFERROR(Table_Shelter[[#This Row],[HH Covered]]/VLOOKUP(Table_Shelter[[#This Row],[CampName]],CL,4,0),"")</f>
        <v>5.8823529411764705E-2</v>
      </c>
      <c r="V212" s="265" t="s">
        <v>1305</v>
      </c>
      <c r="W212" s="175"/>
    </row>
    <row r="213" spans="1:23" ht="15" customHeight="1" x14ac:dyDescent="0.25">
      <c r="A213" s="658"/>
      <c r="B213" s="175" t="s">
        <v>452</v>
      </c>
      <c r="C213" s="175" t="s">
        <v>505</v>
      </c>
      <c r="D213" s="175" t="s">
        <v>380</v>
      </c>
      <c r="E213" s="179" t="s">
        <v>27</v>
      </c>
      <c r="F213" s="175" t="s">
        <v>365</v>
      </c>
      <c r="G213" s="109">
        <v>1</v>
      </c>
      <c r="H213" s="109"/>
      <c r="I213" s="109"/>
      <c r="J213" s="109">
        <v>33</v>
      </c>
      <c r="K213" s="109">
        <v>33</v>
      </c>
      <c r="L213" s="175"/>
      <c r="M213" s="175"/>
      <c r="N213" s="175"/>
      <c r="O213" s="175"/>
      <c r="P213" s="149">
        <f>IF(Table_Shelter[[#This Row],[Status]]="Open",IF(V213="NO",Table_Shelter[[#This Row],[HH per Shelter]]*(Table_Shelter[[#This Row],['# of Temporary Shelter Units Built]]+Table_Shelter[[#This Row],['# of Temporary Shelter Under  Construction]]+Table_Shelter[[#This Row],['# of Permanent House Under Construction]]),0),0)</f>
        <v>33</v>
      </c>
      <c r="Q213" s="108"/>
      <c r="R213" s="175"/>
      <c r="S213" s="174" t="str">
        <f>IFERROR(VLOOKUP(Table_Shelter[[#This Row],[CampName]],CL,2,0),"")</f>
        <v>MMR001CMP195</v>
      </c>
      <c r="T213" s="174" t="str">
        <f>IFERROR(VLOOKUP(Table_Shelter[[#This Row],[CampName]],CL,3,0),"")</f>
        <v>Open</v>
      </c>
      <c r="U213" s="265">
        <f>IFERROR(Table_Shelter[[#This Row],[HH Covered]]/VLOOKUP(Table_Shelter[[#This Row],[CampName]],CL,4,0),"")</f>
        <v>0.23076923076923078</v>
      </c>
      <c r="V213" s="265" t="s">
        <v>1305</v>
      </c>
      <c r="W213" s="175"/>
    </row>
    <row r="214" spans="1:23" ht="15" customHeight="1" x14ac:dyDescent="0.25">
      <c r="A214" s="589"/>
      <c r="B214" s="173" t="s">
        <v>846</v>
      </c>
      <c r="C214" s="173"/>
      <c r="D214" s="176" t="s">
        <v>380</v>
      </c>
      <c r="E214" s="345" t="s">
        <v>5</v>
      </c>
      <c r="F214" s="173" t="s">
        <v>18</v>
      </c>
      <c r="G214" s="107">
        <v>1</v>
      </c>
      <c r="H214" s="107"/>
      <c r="I214" s="107"/>
      <c r="J214" s="107">
        <v>12</v>
      </c>
      <c r="K214" s="107">
        <v>12</v>
      </c>
      <c r="L214" s="173"/>
      <c r="M214" s="173"/>
      <c r="N214" s="173"/>
      <c r="O214" s="173"/>
      <c r="P214" s="149">
        <f>IF(Table_Shelter[[#This Row],[Status]]="Open",IF(V214="NO",Table_Shelter[[#This Row],[HH per Shelter]]*(Table_Shelter[[#This Row],['# of Temporary Shelter Units Built]]+Table_Shelter[[#This Row],['# of Temporary Shelter Under  Construction]]+Table_Shelter[[#This Row],['# of Permanent House Under Construction]]),0),0)</f>
        <v>12</v>
      </c>
      <c r="Q214" s="106"/>
      <c r="R214" s="173"/>
      <c r="S214" s="174" t="str">
        <f>IFERROR(VLOOKUP(Table_Shelter[[#This Row],[CampName]],CL,2,0),"")</f>
        <v>MMR001CMP049</v>
      </c>
      <c r="T214" s="174" t="str">
        <f>IFERROR(VLOOKUP(Table_Shelter[[#This Row],[CampName]],CL,3,0),"")</f>
        <v>Open</v>
      </c>
      <c r="U214" s="265">
        <f>IFERROR(Table_Shelter[[#This Row],[HH Covered]]/VLOOKUP(Table_Shelter[[#This Row],[CampName]],CL,4,0),"")</f>
        <v>0.10344827586206896</v>
      </c>
      <c r="V214" s="265" t="s">
        <v>1305</v>
      </c>
      <c r="W214" s="175"/>
    </row>
    <row r="215" spans="1:23" ht="15" customHeight="1" x14ac:dyDescent="0.25">
      <c r="A215" s="589"/>
      <c r="B215" s="173" t="s">
        <v>452</v>
      </c>
      <c r="C215" s="173" t="s">
        <v>846</v>
      </c>
      <c r="D215" s="176" t="s">
        <v>380</v>
      </c>
      <c r="E215" s="345" t="s">
        <v>5</v>
      </c>
      <c r="F215" s="173" t="s">
        <v>18</v>
      </c>
      <c r="G215" s="107">
        <v>1</v>
      </c>
      <c r="H215" s="107"/>
      <c r="I215" s="107"/>
      <c r="J215" s="107">
        <v>30</v>
      </c>
      <c r="K215" s="107">
        <v>30</v>
      </c>
      <c r="L215" s="173"/>
      <c r="M215" s="173"/>
      <c r="N215" s="173"/>
      <c r="O215" s="173"/>
      <c r="P215" s="149">
        <f>IF(Table_Shelter[[#This Row],[Status]]="Open",IF(V215="NO",Table_Shelter[[#This Row],[HH per Shelter]]*(Table_Shelter[[#This Row],['# of Temporary Shelter Units Built]]+Table_Shelter[[#This Row],['# of Temporary Shelter Under  Construction]]+Table_Shelter[[#This Row],['# of Permanent House Under Construction]]),0),0)</f>
        <v>30</v>
      </c>
      <c r="Q215" s="106"/>
      <c r="R215" s="173"/>
      <c r="S215" s="174" t="str">
        <f>IFERROR(VLOOKUP(Table_Shelter[[#This Row],[CampName]],CL,2,0),"")</f>
        <v>MMR001CMP049</v>
      </c>
      <c r="T215" s="174" t="str">
        <f>IFERROR(VLOOKUP(Table_Shelter[[#This Row],[CampName]],CL,3,0),"")</f>
        <v>Open</v>
      </c>
      <c r="U215" s="265">
        <f>IFERROR(Table_Shelter[[#This Row],[HH Covered]]/VLOOKUP(Table_Shelter[[#This Row],[CampName]],CL,4,0),"")</f>
        <v>0.25862068965517243</v>
      </c>
      <c r="V215" s="265" t="s">
        <v>1305</v>
      </c>
      <c r="W215" s="175"/>
    </row>
    <row r="216" spans="1:23" ht="15" customHeight="1" x14ac:dyDescent="0.25">
      <c r="A216" s="588"/>
      <c r="B216" s="175" t="s">
        <v>452</v>
      </c>
      <c r="C216" s="175"/>
      <c r="D216" s="175" t="s">
        <v>380</v>
      </c>
      <c r="E216" s="179" t="s">
        <v>5</v>
      </c>
      <c r="F216" s="175" t="s">
        <v>18</v>
      </c>
      <c r="G216" s="109">
        <v>1</v>
      </c>
      <c r="H216" s="109"/>
      <c r="I216" s="109"/>
      <c r="J216" s="109">
        <v>15</v>
      </c>
      <c r="K216" s="109">
        <v>15</v>
      </c>
      <c r="L216" s="175"/>
      <c r="M216" s="175"/>
      <c r="N216" s="175"/>
      <c r="O216" s="175"/>
      <c r="P216" s="149">
        <f>IF(Table_Shelter[[#This Row],[Status]]="Open",IF(V216="NO",Table_Shelter[[#This Row],[HH per Shelter]]*(Table_Shelter[[#This Row],['# of Temporary Shelter Units Built]]+Table_Shelter[[#This Row],['# of Temporary Shelter Under  Construction]]+Table_Shelter[[#This Row],['# of Permanent House Under Construction]]),0),0)</f>
        <v>15</v>
      </c>
      <c r="Q216" s="108"/>
      <c r="R216" s="175"/>
      <c r="S216" s="174" t="str">
        <f>IFERROR(VLOOKUP(Table_Shelter[[#This Row],[CampName]],CL,2,0),"")</f>
        <v>MMR001CMP049</v>
      </c>
      <c r="T216" s="174" t="str">
        <f>IFERROR(VLOOKUP(Table_Shelter[[#This Row],[CampName]],CL,3,0),"")</f>
        <v>Open</v>
      </c>
      <c r="U216" s="265">
        <f>IFERROR(Table_Shelter[[#This Row],[HH Covered]]/VLOOKUP(Table_Shelter[[#This Row],[CampName]],CL,4,0),"")</f>
        <v>0.12931034482758622</v>
      </c>
      <c r="V216" s="265" t="s">
        <v>1305</v>
      </c>
      <c r="W216" s="175"/>
    </row>
    <row r="217" spans="1:23" ht="15" customHeight="1" x14ac:dyDescent="0.25">
      <c r="A217" s="658"/>
      <c r="B217" s="173" t="s">
        <v>452</v>
      </c>
      <c r="C217" s="173" t="s">
        <v>505</v>
      </c>
      <c r="D217" s="180" t="s">
        <v>380</v>
      </c>
      <c r="E217" s="345" t="s">
        <v>5</v>
      </c>
      <c r="F217" s="173" t="s">
        <v>18</v>
      </c>
      <c r="G217" s="107">
        <v>1</v>
      </c>
      <c r="H217" s="109"/>
      <c r="I217" s="109"/>
      <c r="J217" s="109">
        <v>5</v>
      </c>
      <c r="K217" s="109">
        <v>5</v>
      </c>
      <c r="L217" s="175"/>
      <c r="M217" s="175"/>
      <c r="N217" s="175"/>
      <c r="O217" s="175"/>
      <c r="P217" s="108">
        <f>IF(Table_Shelter[[#This Row],[Status]]="Open",IF(V217="NO",Table_Shelter[[#This Row],[HH per Shelter]]*(Table_Shelter[[#This Row],['# of Temporary Shelter Units Built]]+Table_Shelter[[#This Row],['# of Temporary Shelter Under  Construction]]+Table_Shelter[[#This Row],['# of Permanent House Under Construction]]),0),0)</f>
        <v>5</v>
      </c>
      <c r="Q217" s="108"/>
      <c r="R217" s="108"/>
      <c r="S217" s="108" t="str">
        <f>IFERROR(VLOOKUP(Table_Shelter[[#This Row],[CampName]],CL,2,0),"")</f>
        <v>MMR001CMP049</v>
      </c>
      <c r="T217" s="108" t="str">
        <f>IFERROR(VLOOKUP(Table_Shelter[[#This Row],[CampName]],CL,3,0),"")</f>
        <v>Open</v>
      </c>
      <c r="U217" s="265">
        <f>IFERROR(Table_Shelter[[#This Row],[HH Covered]]/VLOOKUP(Table_Shelter[[#This Row],[CampName]],CL,4,0),"")</f>
        <v>4.3103448275862072E-2</v>
      </c>
      <c r="V217" s="265" t="s">
        <v>1305</v>
      </c>
      <c r="W217" s="108"/>
    </row>
    <row r="218" spans="1:23" ht="15" customHeight="1" x14ac:dyDescent="0.25">
      <c r="A218" s="658"/>
      <c r="B218" s="175" t="s">
        <v>452</v>
      </c>
      <c r="C218" s="175"/>
      <c r="D218" s="175" t="s">
        <v>380</v>
      </c>
      <c r="E218" s="179" t="s">
        <v>185</v>
      </c>
      <c r="F218" s="175" t="s">
        <v>186</v>
      </c>
      <c r="G218" s="109">
        <v>1</v>
      </c>
      <c r="H218" s="109"/>
      <c r="I218" s="109"/>
      <c r="J218" s="109">
        <v>12</v>
      </c>
      <c r="K218" s="109">
        <v>12</v>
      </c>
      <c r="L218" s="175"/>
      <c r="M218" s="175"/>
      <c r="N218" s="175"/>
      <c r="O218" s="175"/>
      <c r="P218" s="149">
        <f>IF(Table_Shelter[[#This Row],[Status]]="Open",IF(V218="NO",Table_Shelter[[#This Row],[HH per Shelter]]*(Table_Shelter[[#This Row],['# of Temporary Shelter Units Built]]+Table_Shelter[[#This Row],['# of Temporary Shelter Under  Construction]]+Table_Shelter[[#This Row],['# of Permanent House Under Construction]]),0),0)</f>
        <v>12</v>
      </c>
      <c r="Q218" s="108"/>
      <c r="R218" s="175"/>
      <c r="S218" s="174" t="str">
        <f>IFERROR(VLOOKUP(Table_Shelter[[#This Row],[CampName]],CL,2,0),"")</f>
        <v>MMR001CMP071</v>
      </c>
      <c r="T218" s="174" t="str">
        <f>IFERROR(VLOOKUP(Table_Shelter[[#This Row],[CampName]],CL,3,0),"")</f>
        <v>Open</v>
      </c>
      <c r="U218" s="265">
        <f>IFERROR(Table_Shelter[[#This Row],[HH Covered]]/VLOOKUP(Table_Shelter[[#This Row],[CampName]],CL,4,0),"")</f>
        <v>0.30769230769230771</v>
      </c>
      <c r="V218" s="265" t="s">
        <v>1305</v>
      </c>
      <c r="W218" s="175"/>
    </row>
    <row r="219" spans="1:23" ht="15" customHeight="1" x14ac:dyDescent="0.25">
      <c r="A219" s="658"/>
      <c r="B219" s="173" t="s">
        <v>452</v>
      </c>
      <c r="C219" s="173" t="s">
        <v>460</v>
      </c>
      <c r="D219" s="180" t="s">
        <v>380</v>
      </c>
      <c r="E219" s="345" t="s">
        <v>185</v>
      </c>
      <c r="F219" s="173" t="s">
        <v>186</v>
      </c>
      <c r="G219" s="107">
        <v>1</v>
      </c>
      <c r="H219" s="109"/>
      <c r="I219" s="109"/>
      <c r="J219" s="109">
        <v>27</v>
      </c>
      <c r="K219" s="109">
        <v>27</v>
      </c>
      <c r="L219" s="175"/>
      <c r="M219" s="175"/>
      <c r="N219" s="175"/>
      <c r="O219" s="175"/>
      <c r="P219" s="108">
        <f>IF(Table_Shelter[[#This Row],[Status]]="Open",IF(V219="NO",Table_Shelter[[#This Row],[HH per Shelter]]*(Table_Shelter[[#This Row],['# of Temporary Shelter Units Built]]+Table_Shelter[[#This Row],['# of Temporary Shelter Under  Construction]]+Table_Shelter[[#This Row],['# of Permanent House Under Construction]]),0),0)</f>
        <v>27</v>
      </c>
      <c r="Q219" s="108"/>
      <c r="R219" s="108"/>
      <c r="S219" s="108" t="str">
        <f>IFERROR(VLOOKUP(Table_Shelter[[#This Row],[CampName]],CL,2,0),"")</f>
        <v>MMR001CMP071</v>
      </c>
      <c r="T219" s="108" t="str">
        <f>IFERROR(VLOOKUP(Table_Shelter[[#This Row],[CampName]],CL,3,0),"")</f>
        <v>Open</v>
      </c>
      <c r="U219" s="265">
        <f>IFERROR(Table_Shelter[[#This Row],[HH Covered]]/VLOOKUP(Table_Shelter[[#This Row],[CampName]],CL,4,0),"")</f>
        <v>0.69230769230769229</v>
      </c>
      <c r="V219" s="265" t="s">
        <v>1305</v>
      </c>
      <c r="W219" s="108"/>
    </row>
    <row r="220" spans="1:23" ht="15" customHeight="1" x14ac:dyDescent="0.25">
      <c r="A220" s="589"/>
      <c r="B220" s="173" t="s">
        <v>592</v>
      </c>
      <c r="C220" s="173"/>
      <c r="D220" s="176" t="s">
        <v>380</v>
      </c>
      <c r="E220" s="345" t="s">
        <v>185</v>
      </c>
      <c r="F220" s="173" t="s">
        <v>223</v>
      </c>
      <c r="G220" s="107">
        <v>1</v>
      </c>
      <c r="H220" s="107"/>
      <c r="I220" s="107"/>
      <c r="J220" s="107">
        <v>40</v>
      </c>
      <c r="K220" s="107">
        <v>40</v>
      </c>
      <c r="L220" s="173"/>
      <c r="M220" s="173"/>
      <c r="N220" s="173"/>
      <c r="O220" s="173"/>
      <c r="P220" s="149">
        <f>IF(Table_Shelter[[#This Row],[Status]]="Open",IF(V220="NO",Table_Shelter[[#This Row],[HH per Shelter]]*(Table_Shelter[[#This Row],['# of Temporary Shelter Units Built]]+Table_Shelter[[#This Row],['# of Temporary Shelter Under  Construction]]+Table_Shelter[[#This Row],['# of Permanent House Under Construction]]),0),0)</f>
        <v>40</v>
      </c>
      <c r="Q220" s="106"/>
      <c r="R220" s="173"/>
      <c r="S220" s="174" t="str">
        <f>IFERROR(VLOOKUP(Table_Shelter[[#This Row],[CampName]],CL,2,0),"")</f>
        <v>MMR001CMP069</v>
      </c>
      <c r="T220" s="174" t="str">
        <f>IFERROR(VLOOKUP(Table_Shelter[[#This Row],[CampName]],CL,3,0),"")</f>
        <v>Open</v>
      </c>
      <c r="U220" s="265">
        <f>IFERROR(Table_Shelter[[#This Row],[HH Covered]]/VLOOKUP(Table_Shelter[[#This Row],[CampName]],CL,4,0),"")</f>
        <v>0.32258064516129031</v>
      </c>
      <c r="V220" s="265" t="s">
        <v>1305</v>
      </c>
      <c r="W220" s="175"/>
    </row>
    <row r="221" spans="1:23" ht="15" customHeight="1" x14ac:dyDescent="0.25">
      <c r="A221" s="589"/>
      <c r="B221" s="173" t="s">
        <v>452</v>
      </c>
      <c r="C221" s="173"/>
      <c r="D221" s="173" t="s">
        <v>380</v>
      </c>
      <c r="E221" s="345" t="s">
        <v>185</v>
      </c>
      <c r="F221" s="173" t="s">
        <v>223</v>
      </c>
      <c r="G221" s="107">
        <v>1</v>
      </c>
      <c r="H221" s="107"/>
      <c r="I221" s="107"/>
      <c r="J221" s="107">
        <v>6</v>
      </c>
      <c r="K221" s="107">
        <v>6</v>
      </c>
      <c r="L221" s="173"/>
      <c r="M221" s="173"/>
      <c r="N221" s="173"/>
      <c r="O221" s="173"/>
      <c r="P221" s="149">
        <f>IF(Table_Shelter[[#This Row],[Status]]="Open",IF(V221="NO",Table_Shelter[[#This Row],[HH per Shelter]]*(Table_Shelter[[#This Row],['# of Temporary Shelter Units Built]]+Table_Shelter[[#This Row],['# of Temporary Shelter Under  Construction]]+Table_Shelter[[#This Row],['# of Permanent House Under Construction]]),0),0)</f>
        <v>6</v>
      </c>
      <c r="Q221" s="106"/>
      <c r="R221" s="173"/>
      <c r="S221" s="174" t="str">
        <f>IFERROR(VLOOKUP(Table_Shelter[[#This Row],[CampName]],CL,2,0),"")</f>
        <v>MMR001CMP069</v>
      </c>
      <c r="T221" s="174" t="str">
        <f>IFERROR(VLOOKUP(Table_Shelter[[#This Row],[CampName]],CL,3,0),"")</f>
        <v>Open</v>
      </c>
      <c r="U221" s="265">
        <f>IFERROR(Table_Shelter[[#This Row],[HH Covered]]/VLOOKUP(Table_Shelter[[#This Row],[CampName]],CL,4,0),"")</f>
        <v>4.8387096774193547E-2</v>
      </c>
      <c r="V221" s="265" t="s">
        <v>1305</v>
      </c>
      <c r="W221" s="175"/>
    </row>
    <row r="222" spans="1:23" ht="15" customHeight="1" x14ac:dyDescent="0.25">
      <c r="A222" s="589"/>
      <c r="B222" s="173" t="s">
        <v>452</v>
      </c>
      <c r="C222" s="173"/>
      <c r="D222" s="173" t="s">
        <v>380</v>
      </c>
      <c r="E222" s="345" t="s">
        <v>185</v>
      </c>
      <c r="F222" s="173" t="s">
        <v>190</v>
      </c>
      <c r="G222" s="107">
        <v>1</v>
      </c>
      <c r="H222" s="107"/>
      <c r="I222" s="107"/>
      <c r="J222" s="107">
        <v>5</v>
      </c>
      <c r="K222" s="107">
        <v>57</v>
      </c>
      <c r="L222" s="173"/>
      <c r="M222" s="173"/>
      <c r="N222" s="173"/>
      <c r="O222" s="173"/>
      <c r="P222" s="149">
        <f>IF(Table_Shelter[[#This Row],[Status]]="Open",IF(V222="NO",Table_Shelter[[#This Row],[HH per Shelter]]*(Table_Shelter[[#This Row],['# of Temporary Shelter Units Built]]+Table_Shelter[[#This Row],['# of Temporary Shelter Under  Construction]]+Table_Shelter[[#This Row],['# of Permanent House Under Construction]]),0),0)</f>
        <v>57</v>
      </c>
      <c r="Q222" s="106"/>
      <c r="R222" s="173"/>
      <c r="S222" s="174" t="str">
        <f>IFERROR(VLOOKUP(Table_Shelter[[#This Row],[CampName]],CL,2,0),"")</f>
        <v>MMR001CMP070</v>
      </c>
      <c r="T222" s="174" t="str">
        <f>IFERROR(VLOOKUP(Table_Shelter[[#This Row],[CampName]],CL,3,0),"")</f>
        <v>Open</v>
      </c>
      <c r="U222" s="265">
        <f>IFERROR(Table_Shelter[[#This Row],[HH Covered]]/VLOOKUP(Table_Shelter[[#This Row],[CampName]],CL,4,0),"")</f>
        <v>0.296875</v>
      </c>
      <c r="V222" s="265" t="s">
        <v>1305</v>
      </c>
      <c r="W222" s="175"/>
    </row>
    <row r="223" spans="1:23" ht="15" customHeight="1" x14ac:dyDescent="0.25">
      <c r="A223" s="658"/>
      <c r="B223" s="175" t="s">
        <v>592</v>
      </c>
      <c r="C223" s="175" t="s">
        <v>459</v>
      </c>
      <c r="D223" s="175" t="s">
        <v>380</v>
      </c>
      <c r="E223" s="179" t="s">
        <v>151</v>
      </c>
      <c r="F223" s="175" t="s">
        <v>158</v>
      </c>
      <c r="G223" s="109">
        <v>1</v>
      </c>
      <c r="H223" s="109"/>
      <c r="I223" s="109"/>
      <c r="J223" s="109">
        <v>100</v>
      </c>
      <c r="K223" s="109">
        <v>100</v>
      </c>
      <c r="L223" s="175"/>
      <c r="M223" s="175"/>
      <c r="N223" s="175"/>
      <c r="O223" s="175"/>
      <c r="P223" s="149">
        <f>IF(Table_Shelter[[#This Row],[Status]]="Open",IF(V223="NO",Table_Shelter[[#This Row],[HH per Shelter]]*(Table_Shelter[[#This Row],['# of Temporary Shelter Units Built]]+Table_Shelter[[#This Row],['# of Temporary Shelter Under  Construction]]+Table_Shelter[[#This Row],['# of Permanent House Under Construction]]),0),0)</f>
        <v>0</v>
      </c>
      <c r="Q223" s="108"/>
      <c r="R223" s="175"/>
      <c r="S223" s="174" t="str">
        <f>IFERROR(VLOOKUP(Table_Shelter[[#This Row],[CampName]],CL,2,0),"")</f>
        <v>MMR001CMP135</v>
      </c>
      <c r="T223" s="174" t="str">
        <f>IFERROR(VLOOKUP(Table_Shelter[[#This Row],[CampName]],CL,3,0),"")</f>
        <v>Closed</v>
      </c>
      <c r="U223" s="265" t="str">
        <f>IFERROR(Table_Shelter[[#This Row],[HH Covered]]/VLOOKUP(Table_Shelter[[#This Row],[CampName]],CL,4,0),"")</f>
        <v/>
      </c>
      <c r="V223" s="265" t="s">
        <v>1305</v>
      </c>
      <c r="W223" s="175"/>
    </row>
    <row r="224" spans="1:23" ht="15" customHeight="1" x14ac:dyDescent="0.25">
      <c r="A224" s="589"/>
      <c r="B224" s="173" t="s">
        <v>452</v>
      </c>
      <c r="C224" s="173" t="s">
        <v>505</v>
      </c>
      <c r="D224" s="173" t="s">
        <v>380</v>
      </c>
      <c r="E224" s="345" t="s">
        <v>310</v>
      </c>
      <c r="F224" s="173" t="s">
        <v>320</v>
      </c>
      <c r="G224" s="107">
        <v>1</v>
      </c>
      <c r="H224" s="107"/>
      <c r="I224" s="107"/>
      <c r="J224" s="107">
        <v>25</v>
      </c>
      <c r="K224" s="107">
        <v>25</v>
      </c>
      <c r="L224" s="173"/>
      <c r="M224" s="173"/>
      <c r="N224" s="173"/>
      <c r="O224" s="173"/>
      <c r="P224" s="149">
        <f>IF(Table_Shelter[[#This Row],[Status]]="Open",IF(V224="NO",Table_Shelter[[#This Row],[HH per Shelter]]*(Table_Shelter[[#This Row],['# of Temporary Shelter Units Built]]+Table_Shelter[[#This Row],['# of Temporary Shelter Under  Construction]]+Table_Shelter[[#This Row],['# of Permanent House Under Construction]]),0),0)</f>
        <v>25</v>
      </c>
      <c r="Q224" s="106"/>
      <c r="R224" s="173"/>
      <c r="S224" s="174" t="str">
        <f>IFERROR(VLOOKUP(Table_Shelter[[#This Row],[CampName]],CL,2,0),"")</f>
        <v>MMR001CMP027</v>
      </c>
      <c r="T224" s="174" t="str">
        <f>IFERROR(VLOOKUP(Table_Shelter[[#This Row],[CampName]],CL,3,0),"")</f>
        <v>Open</v>
      </c>
      <c r="U224" s="265">
        <f>IFERROR(Table_Shelter[[#This Row],[HH Covered]]/VLOOKUP(Table_Shelter[[#This Row],[CampName]],CL,4,0),"")</f>
        <v>0.83333333333333337</v>
      </c>
      <c r="V224" s="265" t="s">
        <v>1305</v>
      </c>
      <c r="W224" s="175"/>
    </row>
    <row r="225" spans="1:23" ht="15" customHeight="1" x14ac:dyDescent="0.25">
      <c r="A225" s="589"/>
      <c r="B225" s="173" t="s">
        <v>453</v>
      </c>
      <c r="C225" s="173" t="s">
        <v>506</v>
      </c>
      <c r="D225" s="176" t="s">
        <v>380</v>
      </c>
      <c r="E225" s="345" t="s">
        <v>310</v>
      </c>
      <c r="F225" s="173" t="s">
        <v>322</v>
      </c>
      <c r="G225" s="107">
        <v>1</v>
      </c>
      <c r="H225" s="107"/>
      <c r="I225" s="107"/>
      <c r="J225" s="109">
        <v>604</v>
      </c>
      <c r="K225" s="107">
        <v>604</v>
      </c>
      <c r="L225" s="173"/>
      <c r="M225" s="173"/>
      <c r="N225" s="173"/>
      <c r="O225" s="173"/>
      <c r="P225" s="149">
        <f>IF(Table_Shelter[[#This Row],[Status]]="Open",IF(V225="NO",Table_Shelter[[#This Row],[HH per Shelter]]*(Table_Shelter[[#This Row],['# of Temporary Shelter Units Built]]+Table_Shelter[[#This Row],['# of Temporary Shelter Under  Construction]]+Table_Shelter[[#This Row],['# of Permanent House Under Construction]]),0),0)</f>
        <v>604</v>
      </c>
      <c r="Q225" s="106"/>
      <c r="R225" s="173"/>
      <c r="S225" s="174" t="str">
        <f>IFERROR(VLOOKUP(Table_Shelter[[#This Row],[CampName]],CL,2,0),"")</f>
        <v>MMR001CMP119</v>
      </c>
      <c r="T225" s="174" t="str">
        <f>IFERROR(VLOOKUP(Table_Shelter[[#This Row],[CampName]],CL,3,0),"")</f>
        <v>Open</v>
      </c>
      <c r="U225" s="265">
        <f>IFERROR(Table_Shelter[[#This Row],[HH Covered]]/VLOOKUP(Table_Shelter[[#This Row],[CampName]],CL,4,0),"")</f>
        <v>1.0324786324786326</v>
      </c>
      <c r="V225" s="265" t="s">
        <v>1305</v>
      </c>
      <c r="W225" s="175"/>
    </row>
    <row r="226" spans="1:23" ht="15" customHeight="1" x14ac:dyDescent="0.25">
      <c r="A226" s="589"/>
      <c r="B226" s="173"/>
      <c r="C226" s="173"/>
      <c r="D226" s="173" t="s">
        <v>380</v>
      </c>
      <c r="E226" s="345" t="s">
        <v>185</v>
      </c>
      <c r="F226" s="173" t="s">
        <v>200</v>
      </c>
      <c r="G226" s="107">
        <v>1</v>
      </c>
      <c r="H226" s="107"/>
      <c r="I226" s="107"/>
      <c r="J226" s="107">
        <v>92</v>
      </c>
      <c r="K226" s="107">
        <v>92</v>
      </c>
      <c r="L226" s="173"/>
      <c r="M226" s="173"/>
      <c r="N226" s="173"/>
      <c r="O226" s="173"/>
      <c r="P226" s="149">
        <f>IF(Table_Shelter[[#This Row],[Status]]="Open",IF(V226="NO",Table_Shelter[[#This Row],[HH per Shelter]]*(Table_Shelter[[#This Row],['# of Temporary Shelter Units Built]]+Table_Shelter[[#This Row],['# of Temporary Shelter Under  Construction]]+Table_Shelter[[#This Row],['# of Permanent House Under Construction]]),0),0)</f>
        <v>92</v>
      </c>
      <c r="Q226" s="106"/>
      <c r="R226" s="173"/>
      <c r="S226" s="174" t="str">
        <f>IFERROR(VLOOKUP(Table_Shelter[[#This Row],[CampName]],CL,2,0),"")</f>
        <v>MMR001CMP064</v>
      </c>
      <c r="T226" s="174" t="str">
        <f>IFERROR(VLOOKUP(Table_Shelter[[#This Row],[CampName]],CL,3,0),"")</f>
        <v>Open</v>
      </c>
      <c r="U226" s="265">
        <f>IFERROR(Table_Shelter[[#This Row],[HH Covered]]/VLOOKUP(Table_Shelter[[#This Row],[CampName]],CL,4,0),"")</f>
        <v>46</v>
      </c>
      <c r="V226" s="265" t="s">
        <v>1305</v>
      </c>
      <c r="W226" s="175"/>
    </row>
    <row r="227" spans="1:23" ht="15" customHeight="1" x14ac:dyDescent="0.25">
      <c r="A227" s="589"/>
      <c r="B227" s="173" t="s">
        <v>452</v>
      </c>
      <c r="C227" s="173" t="s">
        <v>505</v>
      </c>
      <c r="D227" s="173" t="s">
        <v>380</v>
      </c>
      <c r="E227" s="345" t="s">
        <v>310</v>
      </c>
      <c r="F227" s="173" t="s">
        <v>328</v>
      </c>
      <c r="G227" s="107">
        <v>1</v>
      </c>
      <c r="H227" s="107"/>
      <c r="I227" s="107"/>
      <c r="J227" s="107">
        <v>54</v>
      </c>
      <c r="K227" s="107">
        <v>54</v>
      </c>
      <c r="L227" s="173"/>
      <c r="M227" s="173"/>
      <c r="N227" s="173"/>
      <c r="O227" s="173"/>
      <c r="P227" s="149">
        <f>IF(Table_Shelter[[#This Row],[Status]]="Open",IF(V227="NO",Table_Shelter[[#This Row],[HH per Shelter]]*(Table_Shelter[[#This Row],['# of Temporary Shelter Units Built]]+Table_Shelter[[#This Row],['# of Temporary Shelter Under  Construction]]+Table_Shelter[[#This Row],['# of Permanent House Under Construction]]),0),0)</f>
        <v>54</v>
      </c>
      <c r="Q227" s="106"/>
      <c r="R227" s="173"/>
      <c r="S227" s="174" t="str">
        <f>IFERROR(VLOOKUP(Table_Shelter[[#This Row],[CampName]],CL,2,0),"")</f>
        <v>MMR001CMP031</v>
      </c>
      <c r="T227" s="174" t="str">
        <f>IFERROR(VLOOKUP(Table_Shelter[[#This Row],[CampName]],CL,3,0),"")</f>
        <v>Open</v>
      </c>
      <c r="U227" s="265">
        <f>IFERROR(Table_Shelter[[#This Row],[HH Covered]]/VLOOKUP(Table_Shelter[[#This Row],[CampName]],CL,4,0),"")</f>
        <v>0.36241610738255031</v>
      </c>
      <c r="V227" s="265" t="s">
        <v>1305</v>
      </c>
      <c r="W227" s="175"/>
    </row>
    <row r="228" spans="1:23" ht="15" customHeight="1" x14ac:dyDescent="0.25">
      <c r="A228" s="589"/>
      <c r="B228" s="173" t="s">
        <v>569</v>
      </c>
      <c r="C228" s="173"/>
      <c r="D228" s="173" t="s">
        <v>380</v>
      </c>
      <c r="E228" s="345" t="s">
        <v>310</v>
      </c>
      <c r="F228" s="173" t="s">
        <v>328</v>
      </c>
      <c r="G228" s="107">
        <v>1</v>
      </c>
      <c r="H228" s="107"/>
      <c r="I228" s="107"/>
      <c r="J228" s="107">
        <v>18</v>
      </c>
      <c r="K228" s="107">
        <v>18</v>
      </c>
      <c r="L228" s="173"/>
      <c r="M228" s="173"/>
      <c r="N228" s="173"/>
      <c r="O228" s="173"/>
      <c r="P228" s="149">
        <f>IF(Table_Shelter[[#This Row],[Status]]="Open",IF(V228="NO",Table_Shelter[[#This Row],[HH per Shelter]]*(Table_Shelter[[#This Row],['# of Temporary Shelter Units Built]]+Table_Shelter[[#This Row],['# of Temporary Shelter Under  Construction]]+Table_Shelter[[#This Row],['# of Permanent House Under Construction]]),0),0)</f>
        <v>18</v>
      </c>
      <c r="Q228" s="106"/>
      <c r="R228" s="173"/>
      <c r="S228" s="174" t="str">
        <f>IFERROR(VLOOKUP(Table_Shelter[[#This Row],[CampName]],CL,2,0),"")</f>
        <v>MMR001CMP031</v>
      </c>
      <c r="T228" s="174" t="str">
        <f>IFERROR(VLOOKUP(Table_Shelter[[#This Row],[CampName]],CL,3,0),"")</f>
        <v>Open</v>
      </c>
      <c r="U228" s="265">
        <f>IFERROR(Table_Shelter[[#This Row],[HH Covered]]/VLOOKUP(Table_Shelter[[#This Row],[CampName]],CL,4,0),"")</f>
        <v>0.12080536912751678</v>
      </c>
      <c r="V228" s="265" t="s">
        <v>1305</v>
      </c>
      <c r="W228" s="175"/>
    </row>
    <row r="229" spans="1:23" ht="15" customHeight="1" x14ac:dyDescent="0.25">
      <c r="A229" s="658"/>
      <c r="B229" s="175" t="s">
        <v>453</v>
      </c>
      <c r="C229" s="175" t="s">
        <v>506</v>
      </c>
      <c r="D229" s="177" t="s">
        <v>380</v>
      </c>
      <c r="E229" s="179" t="s">
        <v>310</v>
      </c>
      <c r="F229" s="175" t="s">
        <v>330</v>
      </c>
      <c r="G229" s="109">
        <v>1</v>
      </c>
      <c r="H229" s="109"/>
      <c r="I229" s="109"/>
      <c r="J229" s="109">
        <v>12</v>
      </c>
      <c r="K229" s="107">
        <v>12</v>
      </c>
      <c r="L229" s="175"/>
      <c r="M229" s="175"/>
      <c r="N229" s="175"/>
      <c r="O229" s="175"/>
      <c r="P229" s="149">
        <f>IF(Table_Shelter[[#This Row],[Status]]="Open",IF(V229="NO",Table_Shelter[[#This Row],[HH per Shelter]]*(Table_Shelter[[#This Row],['# of Temporary Shelter Units Built]]+Table_Shelter[[#This Row],['# of Temporary Shelter Under  Construction]]+Table_Shelter[[#This Row],['# of Permanent House Under Construction]]),0),0)</f>
        <v>12</v>
      </c>
      <c r="Q229" s="108"/>
      <c r="R229" s="175"/>
      <c r="S229" s="174" t="str">
        <f>IFERROR(VLOOKUP(Table_Shelter[[#This Row],[CampName]],CL,2,0),"")</f>
        <v>MMR001CMP029</v>
      </c>
      <c r="T229" s="174" t="str">
        <f>IFERROR(VLOOKUP(Table_Shelter[[#This Row],[CampName]],CL,3,0),"")</f>
        <v>Open</v>
      </c>
      <c r="U229" s="265">
        <f>IFERROR(Table_Shelter[[#This Row],[HH Covered]]/VLOOKUP(Table_Shelter[[#This Row],[CampName]],CL,4,0),"")</f>
        <v>5.3811659192825115E-2</v>
      </c>
      <c r="V229" s="265" t="s">
        <v>1305</v>
      </c>
      <c r="W229" s="175"/>
    </row>
    <row r="230" spans="1:23" ht="15" customHeight="1" x14ac:dyDescent="0.25">
      <c r="A230" s="658"/>
      <c r="B230" s="175" t="s">
        <v>452</v>
      </c>
      <c r="C230" s="175" t="s">
        <v>506</v>
      </c>
      <c r="D230" s="175" t="s">
        <v>380</v>
      </c>
      <c r="E230" s="179" t="s">
        <v>310</v>
      </c>
      <c r="F230" s="175" t="s">
        <v>330</v>
      </c>
      <c r="G230" s="109">
        <v>1</v>
      </c>
      <c r="H230" s="109"/>
      <c r="I230" s="109"/>
      <c r="J230" s="109">
        <v>78</v>
      </c>
      <c r="K230" s="109">
        <v>78</v>
      </c>
      <c r="L230" s="175"/>
      <c r="M230" s="175"/>
      <c r="N230" s="175"/>
      <c r="O230" s="175"/>
      <c r="P230" s="149">
        <f>IF(Table_Shelter[[#This Row],[Status]]="Open",IF(V230="NO",Table_Shelter[[#This Row],[HH per Shelter]]*(Table_Shelter[[#This Row],['# of Temporary Shelter Units Built]]+Table_Shelter[[#This Row],['# of Temporary Shelter Under  Construction]]+Table_Shelter[[#This Row],['# of Permanent House Under Construction]]),0),0)</f>
        <v>78</v>
      </c>
      <c r="Q230" s="108">
        <v>138</v>
      </c>
      <c r="R230" s="175"/>
      <c r="S230" s="174" t="str">
        <f>IFERROR(VLOOKUP(Table_Shelter[[#This Row],[CampName]],CL,2,0),"")</f>
        <v>MMR001CMP029</v>
      </c>
      <c r="T230" s="174" t="str">
        <f>IFERROR(VLOOKUP(Table_Shelter[[#This Row],[CampName]],CL,3,0),"")</f>
        <v>Open</v>
      </c>
      <c r="U230" s="265">
        <f>IFERROR(Table_Shelter[[#This Row],[HH Covered]]/VLOOKUP(Table_Shelter[[#This Row],[CampName]],CL,4,0),"")</f>
        <v>0.34977578475336324</v>
      </c>
      <c r="V230" s="265" t="s">
        <v>1305</v>
      </c>
      <c r="W230" s="175"/>
    </row>
    <row r="231" spans="1:23" ht="15" customHeight="1" x14ac:dyDescent="0.25">
      <c r="A231" s="587"/>
      <c r="B231" s="173" t="s">
        <v>452</v>
      </c>
      <c r="C231" s="173"/>
      <c r="D231" s="173" t="s">
        <v>380</v>
      </c>
      <c r="E231" s="345" t="s">
        <v>310</v>
      </c>
      <c r="F231" s="173" t="s">
        <v>330</v>
      </c>
      <c r="G231" s="107">
        <v>1</v>
      </c>
      <c r="H231" s="107"/>
      <c r="I231" s="107"/>
      <c r="J231" s="107">
        <v>120</v>
      </c>
      <c r="K231" s="107">
        <v>120</v>
      </c>
      <c r="L231" s="173"/>
      <c r="M231" s="173"/>
      <c r="N231" s="173"/>
      <c r="O231" s="173"/>
      <c r="P231" s="149">
        <f>IF(Table_Shelter[[#This Row],[Status]]="Open",IF(V231="NO",Table_Shelter[[#This Row],[HH per Shelter]]*(Table_Shelter[[#This Row],['# of Temporary Shelter Units Built]]+Table_Shelter[[#This Row],['# of Temporary Shelter Under  Construction]]+Table_Shelter[[#This Row],['# of Permanent House Under Construction]]),0),0)</f>
        <v>120</v>
      </c>
      <c r="Q231" s="106"/>
      <c r="R231" s="173"/>
      <c r="S231" s="174" t="str">
        <f>IFERROR(VLOOKUP(Table_Shelter[[#This Row],[CampName]],CL,2,0),"")</f>
        <v>MMR001CMP029</v>
      </c>
      <c r="T231" s="174" t="str">
        <f>IFERROR(VLOOKUP(Table_Shelter[[#This Row],[CampName]],CL,3,0),"")</f>
        <v>Open</v>
      </c>
      <c r="U231" s="265">
        <f>IFERROR(Table_Shelter[[#This Row],[HH Covered]]/VLOOKUP(Table_Shelter[[#This Row],[CampName]],CL,4,0),"")</f>
        <v>0.53811659192825112</v>
      </c>
      <c r="V231" s="265" t="s">
        <v>1305</v>
      </c>
      <c r="W231" s="175"/>
    </row>
    <row r="232" spans="1:23" ht="15" customHeight="1" x14ac:dyDescent="0.25">
      <c r="A232" s="586"/>
      <c r="B232" s="174" t="s">
        <v>570</v>
      </c>
      <c r="C232" s="174" t="s">
        <v>460</v>
      </c>
      <c r="D232" s="174" t="s">
        <v>380</v>
      </c>
      <c r="E232" s="178" t="s">
        <v>310</v>
      </c>
      <c r="F232" s="174" t="s">
        <v>324</v>
      </c>
      <c r="G232" s="148">
        <v>1</v>
      </c>
      <c r="H232" s="148"/>
      <c r="I232" s="148"/>
      <c r="J232" s="148">
        <v>50</v>
      </c>
      <c r="K232" s="148">
        <v>50</v>
      </c>
      <c r="L232" s="174"/>
      <c r="M232" s="174"/>
      <c r="N232" s="174"/>
      <c r="O232" s="174"/>
      <c r="P232" s="149">
        <f>IF(Table_Shelter[[#This Row],[Status]]="Open",IF(V232="NO",Table_Shelter[[#This Row],[HH per Shelter]]*(Table_Shelter[[#This Row],['# of Temporary Shelter Units Built]]+Table_Shelter[[#This Row],['# of Temporary Shelter Under  Construction]]+Table_Shelter[[#This Row],['# of Permanent House Under Construction]]),0),0)</f>
        <v>50</v>
      </c>
      <c r="Q232" s="149"/>
      <c r="R232" s="174"/>
      <c r="S232" s="174" t="str">
        <f>IFERROR(VLOOKUP(Table_Shelter[[#This Row],[CampName]],CL,2,0),"")</f>
        <v>MMR001CMP040</v>
      </c>
      <c r="T232" s="174" t="str">
        <f>IFERROR(VLOOKUP(Table_Shelter[[#This Row],[CampName]],CL,3,0),"")</f>
        <v>Open</v>
      </c>
      <c r="U232" s="265">
        <f>IFERROR(Table_Shelter[[#This Row],[HH Covered]]/VLOOKUP(Table_Shelter[[#This Row],[CampName]],CL,4,0),"")</f>
        <v>0.12195121951219512</v>
      </c>
      <c r="V232" s="265" t="s">
        <v>1305</v>
      </c>
      <c r="W232" s="175"/>
    </row>
    <row r="233" spans="1:23" ht="15" customHeight="1" x14ac:dyDescent="0.25">
      <c r="A233" s="586"/>
      <c r="B233" s="174" t="s">
        <v>452</v>
      </c>
      <c r="C233" s="174" t="s">
        <v>460</v>
      </c>
      <c r="D233" s="174" t="s">
        <v>380</v>
      </c>
      <c r="E233" s="178" t="s">
        <v>310</v>
      </c>
      <c r="F233" s="174" t="s">
        <v>324</v>
      </c>
      <c r="G233" s="148">
        <v>1</v>
      </c>
      <c r="H233" s="148"/>
      <c r="I233" s="148"/>
      <c r="J233" s="148">
        <v>400</v>
      </c>
      <c r="K233" s="148">
        <v>400</v>
      </c>
      <c r="L233" s="174"/>
      <c r="M233" s="174"/>
      <c r="N233" s="174"/>
      <c r="O233" s="174"/>
      <c r="P233" s="149">
        <f>IF(Table_Shelter[[#This Row],[Status]]="Open",IF(V233="NO",Table_Shelter[[#This Row],[HH per Shelter]]*(Table_Shelter[[#This Row],['# of Temporary Shelter Units Built]]+Table_Shelter[[#This Row],['# of Temporary Shelter Under  Construction]]+Table_Shelter[[#This Row],['# of Permanent House Under Construction]]),0),0)</f>
        <v>400</v>
      </c>
      <c r="Q233" s="149"/>
      <c r="R233" s="174"/>
      <c r="S233" s="174" t="str">
        <f>IFERROR(VLOOKUP(Table_Shelter[[#This Row],[CampName]],CL,2,0),"")</f>
        <v>MMR001CMP040</v>
      </c>
      <c r="T233" s="174" t="str">
        <f>IFERROR(VLOOKUP(Table_Shelter[[#This Row],[CampName]],CL,3,0),"")</f>
        <v>Open</v>
      </c>
      <c r="U233" s="265">
        <f>IFERROR(Table_Shelter[[#This Row],[HH Covered]]/VLOOKUP(Table_Shelter[[#This Row],[CampName]],CL,4,0),"")</f>
        <v>0.97560975609756095</v>
      </c>
      <c r="V233" s="265" t="s">
        <v>1305</v>
      </c>
      <c r="W233" s="175"/>
    </row>
    <row r="234" spans="1:23" ht="15" customHeight="1" x14ac:dyDescent="0.25">
      <c r="A234" s="586"/>
      <c r="B234" s="174" t="s">
        <v>850</v>
      </c>
      <c r="C234" s="174" t="s">
        <v>460</v>
      </c>
      <c r="D234" s="174" t="s">
        <v>380</v>
      </c>
      <c r="E234" s="178" t="s">
        <v>310</v>
      </c>
      <c r="F234" s="174" t="s">
        <v>324</v>
      </c>
      <c r="G234" s="148">
        <v>1</v>
      </c>
      <c r="H234" s="148"/>
      <c r="I234" s="148"/>
      <c r="J234" s="148">
        <v>10</v>
      </c>
      <c r="K234" s="148">
        <v>10</v>
      </c>
      <c r="L234" s="174"/>
      <c r="M234" s="174"/>
      <c r="N234" s="174"/>
      <c r="O234" s="174"/>
      <c r="P234" s="149">
        <f>IF(Table_Shelter[[#This Row],[Status]]="Open",IF(V234="NO",Table_Shelter[[#This Row],[HH per Shelter]]*(Table_Shelter[[#This Row],['# of Temporary Shelter Units Built]]+Table_Shelter[[#This Row],['# of Temporary Shelter Under  Construction]]+Table_Shelter[[#This Row],['# of Permanent House Under Construction]]),0),0)</f>
        <v>10</v>
      </c>
      <c r="Q234" s="149"/>
      <c r="R234" s="174"/>
      <c r="S234" s="174" t="str">
        <f>IFERROR(VLOOKUP(Table_Shelter[[#This Row],[CampName]],CL,2,0),"")</f>
        <v>MMR001CMP040</v>
      </c>
      <c r="T234" s="174" t="str">
        <f>IFERROR(VLOOKUP(Table_Shelter[[#This Row],[CampName]],CL,3,0),"")</f>
        <v>Open</v>
      </c>
      <c r="U234" s="265">
        <f>IFERROR(Table_Shelter[[#This Row],[HH Covered]]/VLOOKUP(Table_Shelter[[#This Row],[CampName]],CL,4,0),"")</f>
        <v>2.4390243902439025E-2</v>
      </c>
      <c r="V234" s="265" t="s">
        <v>1305</v>
      </c>
      <c r="W234" s="175"/>
    </row>
    <row r="235" spans="1:23" ht="15" customHeight="1" x14ac:dyDescent="0.25">
      <c r="A235" s="658"/>
      <c r="B235" s="175" t="s">
        <v>452</v>
      </c>
      <c r="C235" s="175" t="s">
        <v>460</v>
      </c>
      <c r="D235" s="175" t="s">
        <v>380</v>
      </c>
      <c r="E235" s="179" t="s">
        <v>310</v>
      </c>
      <c r="F235" s="175" t="s">
        <v>326</v>
      </c>
      <c r="G235" s="109">
        <v>1</v>
      </c>
      <c r="H235" s="109"/>
      <c r="I235" s="109"/>
      <c r="J235" s="109">
        <v>30</v>
      </c>
      <c r="K235" s="109">
        <v>30</v>
      </c>
      <c r="L235" s="175"/>
      <c r="M235" s="175"/>
      <c r="N235" s="175"/>
      <c r="O235" s="175"/>
      <c r="P235" s="149">
        <f>IF(Table_Shelter[[#This Row],[Status]]="Open",IF(V235="NO",Table_Shelter[[#This Row],[HH per Shelter]]*(Table_Shelter[[#This Row],['# of Temporary Shelter Units Built]]+Table_Shelter[[#This Row],['# of Temporary Shelter Under  Construction]]+Table_Shelter[[#This Row],['# of Permanent House Under Construction]]),0),0)</f>
        <v>30</v>
      </c>
      <c r="Q235" s="108"/>
      <c r="R235" s="175"/>
      <c r="S235" s="174" t="str">
        <f>IFERROR(VLOOKUP(Table_Shelter[[#This Row],[CampName]],CL,2,0),"")</f>
        <v>MMR001CMP039</v>
      </c>
      <c r="T235" s="174" t="str">
        <f>IFERROR(VLOOKUP(Table_Shelter[[#This Row],[CampName]],CL,3,0),"")</f>
        <v>Open</v>
      </c>
      <c r="U235" s="265">
        <f>IFERROR(Table_Shelter[[#This Row],[HH Covered]]/VLOOKUP(Table_Shelter[[#This Row],[CampName]],CL,4,0),"")</f>
        <v>0.78947368421052633</v>
      </c>
      <c r="V235" s="265" t="s">
        <v>1305</v>
      </c>
      <c r="W235" s="175"/>
    </row>
    <row r="236" spans="1:23" ht="15" customHeight="1" x14ac:dyDescent="0.25">
      <c r="A236" s="658"/>
      <c r="B236" s="175" t="s">
        <v>569</v>
      </c>
      <c r="C236" s="175"/>
      <c r="D236" s="175" t="s">
        <v>380</v>
      </c>
      <c r="E236" s="179" t="s">
        <v>310</v>
      </c>
      <c r="F236" s="175" t="s">
        <v>326</v>
      </c>
      <c r="G236" s="109">
        <v>1</v>
      </c>
      <c r="H236" s="109"/>
      <c r="I236" s="109"/>
      <c r="J236" s="109">
        <v>10</v>
      </c>
      <c r="K236" s="109">
        <v>10</v>
      </c>
      <c r="L236" s="175"/>
      <c r="M236" s="175"/>
      <c r="N236" s="175"/>
      <c r="O236" s="175"/>
      <c r="P236" s="149">
        <f>IF(Table_Shelter[[#This Row],[Status]]="Open",IF(V236="NO",Table_Shelter[[#This Row],[HH per Shelter]]*(Table_Shelter[[#This Row],['# of Temporary Shelter Units Built]]+Table_Shelter[[#This Row],['# of Temporary Shelter Under  Construction]]+Table_Shelter[[#This Row],['# of Permanent House Under Construction]]),0),0)</f>
        <v>10</v>
      </c>
      <c r="Q236" s="108"/>
      <c r="R236" s="175"/>
      <c r="S236" s="174" t="str">
        <f>IFERROR(VLOOKUP(Table_Shelter[[#This Row],[CampName]],CL,2,0),"")</f>
        <v>MMR001CMP039</v>
      </c>
      <c r="T236" s="174" t="str">
        <f>IFERROR(VLOOKUP(Table_Shelter[[#This Row],[CampName]],CL,3,0),"")</f>
        <v>Open</v>
      </c>
      <c r="U236" s="265">
        <f>IFERROR(Table_Shelter[[#This Row],[HH Covered]]/VLOOKUP(Table_Shelter[[#This Row],[CampName]],CL,4,0),"")</f>
        <v>0.26315789473684209</v>
      </c>
      <c r="V236" s="265" t="s">
        <v>1305</v>
      </c>
      <c r="W236" s="175"/>
    </row>
    <row r="237" spans="1:23" ht="15" customHeight="1" x14ac:dyDescent="0.25">
      <c r="A237" s="658"/>
      <c r="B237" s="175" t="s">
        <v>847</v>
      </c>
      <c r="C237" s="175" t="s">
        <v>460</v>
      </c>
      <c r="D237" s="175" t="s">
        <v>380</v>
      </c>
      <c r="E237" s="179" t="s">
        <v>151</v>
      </c>
      <c r="F237" s="175" t="s">
        <v>885</v>
      </c>
      <c r="G237" s="109">
        <v>1</v>
      </c>
      <c r="H237" s="109"/>
      <c r="I237" s="109"/>
      <c r="J237" s="109">
        <v>20</v>
      </c>
      <c r="K237" s="109">
        <v>20</v>
      </c>
      <c r="L237" s="175"/>
      <c r="M237" s="175"/>
      <c r="N237" s="175"/>
      <c r="O237" s="175"/>
      <c r="P237" s="149">
        <f>IF(Table_Shelter[[#This Row],[Status]]="Open",IF(V237="NO",Table_Shelter[[#This Row],[HH per Shelter]]*(Table_Shelter[[#This Row],['# of Temporary Shelter Units Built]]+Table_Shelter[[#This Row],['# of Temporary Shelter Under  Construction]]+Table_Shelter[[#This Row],['# of Permanent House Under Construction]]),0),0)</f>
        <v>20</v>
      </c>
      <c r="Q237" s="108"/>
      <c r="R237" s="175"/>
      <c r="S237" s="174" t="str">
        <f>IFERROR(VLOOKUP(Table_Shelter[[#This Row],[CampName]],CL,2,0),"")</f>
        <v>MMR001CMP218</v>
      </c>
      <c r="T237" s="174" t="str">
        <f>IFERROR(VLOOKUP(Table_Shelter[[#This Row],[CampName]],CL,3,0),"")</f>
        <v>Open</v>
      </c>
      <c r="U237" s="265">
        <f>IFERROR(Table_Shelter[[#This Row],[HH Covered]]/VLOOKUP(Table_Shelter[[#This Row],[CampName]],CL,4,0),"")</f>
        <v>5.3475935828877004E-2</v>
      </c>
      <c r="V237" s="265" t="s">
        <v>1305</v>
      </c>
      <c r="W237" s="175"/>
    </row>
    <row r="238" spans="1:23" ht="15" customHeight="1" x14ac:dyDescent="0.25">
      <c r="A238" s="658"/>
      <c r="B238" s="175" t="s">
        <v>453</v>
      </c>
      <c r="C238" s="175"/>
      <c r="D238" s="175" t="s">
        <v>380</v>
      </c>
      <c r="E238" s="179" t="s">
        <v>151</v>
      </c>
      <c r="F238" s="175" t="s">
        <v>885</v>
      </c>
      <c r="G238" s="109">
        <v>1</v>
      </c>
      <c r="H238" s="109"/>
      <c r="I238" s="109"/>
      <c r="J238" s="109">
        <v>144</v>
      </c>
      <c r="K238" s="109">
        <v>144</v>
      </c>
      <c r="L238" s="175"/>
      <c r="M238" s="175"/>
      <c r="N238" s="175"/>
      <c r="O238" s="175"/>
      <c r="P238" s="149">
        <f>IF(Table_Shelter[[#This Row],[Status]]="Open",IF(V238="NO",Table_Shelter[[#This Row],[HH per Shelter]]*(Table_Shelter[[#This Row],['# of Temporary Shelter Units Built]]+Table_Shelter[[#This Row],['# of Temporary Shelter Under  Construction]]+Table_Shelter[[#This Row],['# of Permanent House Under Construction]]),0),0)</f>
        <v>144</v>
      </c>
      <c r="Q238" s="108"/>
      <c r="R238" s="175"/>
      <c r="S238" s="174" t="str">
        <f>IFERROR(VLOOKUP(Table_Shelter[[#This Row],[CampName]],CL,2,0),"")</f>
        <v>MMR001CMP218</v>
      </c>
      <c r="T238" s="174" t="str">
        <f>IFERROR(VLOOKUP(Table_Shelter[[#This Row],[CampName]],CL,3,0),"")</f>
        <v>Open</v>
      </c>
      <c r="U238" s="265">
        <f>IFERROR(Table_Shelter[[#This Row],[HH Covered]]/VLOOKUP(Table_Shelter[[#This Row],[CampName]],CL,4,0),"")</f>
        <v>0.38502673796791442</v>
      </c>
      <c r="V238" s="265" t="s">
        <v>1305</v>
      </c>
      <c r="W238" s="175"/>
    </row>
    <row r="239" spans="1:23" ht="15" customHeight="1" x14ac:dyDescent="0.25">
      <c r="A239" s="658"/>
      <c r="B239" s="175" t="s">
        <v>1099</v>
      </c>
      <c r="C239" s="175"/>
      <c r="D239" s="175" t="s">
        <v>380</v>
      </c>
      <c r="E239" s="179" t="s">
        <v>151</v>
      </c>
      <c r="F239" s="175" t="s">
        <v>942</v>
      </c>
      <c r="G239" s="109">
        <v>1</v>
      </c>
      <c r="H239" s="109"/>
      <c r="I239" s="109"/>
      <c r="J239" s="109">
        <v>20</v>
      </c>
      <c r="K239" s="109">
        <v>20</v>
      </c>
      <c r="L239" s="175"/>
      <c r="M239" s="175"/>
      <c r="N239" s="175"/>
      <c r="O239" s="175"/>
      <c r="P239" s="149">
        <f>IF(Table_Shelter[[#This Row],[Status]]="Open",IF(V239="NO",Table_Shelter[[#This Row],[HH per Shelter]]*(Table_Shelter[[#This Row],['# of Temporary Shelter Units Built]]+Table_Shelter[[#This Row],['# of Temporary Shelter Under  Construction]]+Table_Shelter[[#This Row],['# of Permanent House Under Construction]]),0),0)</f>
        <v>20</v>
      </c>
      <c r="Q239" s="108"/>
      <c r="R239" s="175"/>
      <c r="S239" s="174" t="str">
        <f>IFERROR(VLOOKUP(Table_Shelter[[#This Row],[CampName]],CL,2,0),"")</f>
        <v>MMR001CMP223</v>
      </c>
      <c r="T239" s="174" t="str">
        <f>IFERROR(VLOOKUP(Table_Shelter[[#This Row],[CampName]],CL,3,0),"")</f>
        <v>Open</v>
      </c>
      <c r="U239" s="265">
        <f>IFERROR(Table_Shelter[[#This Row],[HH Covered]]/VLOOKUP(Table_Shelter[[#This Row],[CampName]],CL,4,0),"")</f>
        <v>0.14285714285714285</v>
      </c>
      <c r="V239" s="265" t="s">
        <v>1305</v>
      </c>
      <c r="W239" s="175"/>
    </row>
    <row r="240" spans="1:23" ht="15" customHeight="1" x14ac:dyDescent="0.25">
      <c r="A240" s="658"/>
      <c r="B240" s="175"/>
      <c r="C240" s="175"/>
      <c r="D240" s="175" t="s">
        <v>380</v>
      </c>
      <c r="E240" s="179" t="s">
        <v>151</v>
      </c>
      <c r="F240" s="175" t="s">
        <v>942</v>
      </c>
      <c r="G240" s="109">
        <v>1</v>
      </c>
      <c r="H240" s="109"/>
      <c r="I240" s="109"/>
      <c r="J240" s="109">
        <v>30</v>
      </c>
      <c r="K240" s="109">
        <v>30</v>
      </c>
      <c r="L240" s="175"/>
      <c r="M240" s="175"/>
      <c r="N240" s="175"/>
      <c r="O240" s="175"/>
      <c r="P240" s="149">
        <f>IF(Table_Shelter[[#This Row],[Status]]="Open",IF(V240="NO",Table_Shelter[[#This Row],[HH per Shelter]]*(Table_Shelter[[#This Row],['# of Temporary Shelter Units Built]]+Table_Shelter[[#This Row],['# of Temporary Shelter Under  Construction]]+Table_Shelter[[#This Row],['# of Permanent House Under Construction]]),0),0)</f>
        <v>30</v>
      </c>
      <c r="Q240" s="108"/>
      <c r="R240" s="175"/>
      <c r="S240" s="174" t="str">
        <f>IFERROR(VLOOKUP(Table_Shelter[[#This Row],[CampName]],CL,2,0),"")</f>
        <v>MMR001CMP223</v>
      </c>
      <c r="T240" s="174" t="str">
        <f>IFERROR(VLOOKUP(Table_Shelter[[#This Row],[CampName]],CL,3,0),"")</f>
        <v>Open</v>
      </c>
      <c r="U240" s="265">
        <f>IFERROR(Table_Shelter[[#This Row],[HH Covered]]/VLOOKUP(Table_Shelter[[#This Row],[CampName]],CL,4,0),"")</f>
        <v>0.21428571428571427</v>
      </c>
      <c r="V240" s="265" t="s">
        <v>1305</v>
      </c>
      <c r="W240" s="175"/>
    </row>
    <row r="241" spans="1:23" ht="15" customHeight="1" x14ac:dyDescent="0.25">
      <c r="A241" s="658"/>
      <c r="B241" s="175" t="s">
        <v>452</v>
      </c>
      <c r="C241" s="175" t="s">
        <v>460</v>
      </c>
      <c r="D241" s="175" t="s">
        <v>380</v>
      </c>
      <c r="E241" s="179" t="s">
        <v>237</v>
      </c>
      <c r="F241" s="175" t="s">
        <v>259</v>
      </c>
      <c r="G241" s="109">
        <v>1</v>
      </c>
      <c r="H241" s="109"/>
      <c r="I241" s="109"/>
      <c r="J241" s="109">
        <v>20</v>
      </c>
      <c r="K241" s="109">
        <v>20</v>
      </c>
      <c r="L241" s="175"/>
      <c r="M241" s="175"/>
      <c r="N241" s="175"/>
      <c r="O241" s="175"/>
      <c r="P241" s="149">
        <f>IF(Table_Shelter[[#This Row],[Status]]="Open",IF(V241="NO",Table_Shelter[[#This Row],[HH per Shelter]]*(Table_Shelter[[#This Row],['# of Temporary Shelter Units Built]]+Table_Shelter[[#This Row],['# of Temporary Shelter Under  Construction]]+Table_Shelter[[#This Row],['# of Permanent House Under Construction]]),0),0)</f>
        <v>20</v>
      </c>
      <c r="Q241" s="108"/>
      <c r="R241" s="175"/>
      <c r="S241" s="174" t="str">
        <f>IFERROR(VLOOKUP(Table_Shelter[[#This Row],[CampName]],CL,2,0),"")</f>
        <v>MMR001CMP016</v>
      </c>
      <c r="T241" s="174" t="str">
        <f>IFERROR(VLOOKUP(Table_Shelter[[#This Row],[CampName]],CL,3,0),"")</f>
        <v>Open</v>
      </c>
      <c r="U241" s="265">
        <f>IFERROR(Table_Shelter[[#This Row],[HH Covered]]/VLOOKUP(Table_Shelter[[#This Row],[CampName]],CL,4,0),"")</f>
        <v>0.33333333333333331</v>
      </c>
      <c r="V241" s="265" t="s">
        <v>1305</v>
      </c>
      <c r="W241" s="175"/>
    </row>
    <row r="242" spans="1:23" ht="15" customHeight="1" x14ac:dyDescent="0.25">
      <c r="A242" s="589"/>
      <c r="B242" s="173" t="s">
        <v>846</v>
      </c>
      <c r="C242" s="173"/>
      <c r="D242" s="173" t="s">
        <v>380</v>
      </c>
      <c r="E242" s="345" t="s">
        <v>185</v>
      </c>
      <c r="F242" s="173" t="s">
        <v>202</v>
      </c>
      <c r="G242" s="107">
        <v>1</v>
      </c>
      <c r="H242" s="107"/>
      <c r="I242" s="107"/>
      <c r="J242" s="107">
        <v>18</v>
      </c>
      <c r="K242" s="107">
        <v>18</v>
      </c>
      <c r="L242" s="173"/>
      <c r="M242" s="173"/>
      <c r="N242" s="173"/>
      <c r="O242" s="173"/>
      <c r="P242" s="149">
        <f>IF(Table_Shelter[[#This Row],[Status]]="Open",IF(V242="NO",Table_Shelter[[#This Row],[HH per Shelter]]*(Table_Shelter[[#This Row],['# of Temporary Shelter Units Built]]+Table_Shelter[[#This Row],['# of Temporary Shelter Under  Construction]]+Table_Shelter[[#This Row],['# of Permanent House Under Construction]]),0),0)</f>
        <v>18</v>
      </c>
      <c r="Q242" s="106"/>
      <c r="R242" s="173"/>
      <c r="S242" s="174" t="str">
        <f>IFERROR(VLOOKUP(Table_Shelter[[#This Row],[CampName]],CL,2,0),"")</f>
        <v>MMR001CMP062</v>
      </c>
      <c r="T242" s="174" t="str">
        <f>IFERROR(VLOOKUP(Table_Shelter[[#This Row],[CampName]],CL,3,0),"")</f>
        <v>Open</v>
      </c>
      <c r="U242" s="265">
        <f>IFERROR(Table_Shelter[[#This Row],[HH Covered]]/VLOOKUP(Table_Shelter[[#This Row],[CampName]],CL,4,0),"")</f>
        <v>6.8441064638783272E-2</v>
      </c>
      <c r="V242" s="265" t="s">
        <v>1305</v>
      </c>
      <c r="W242" s="175"/>
    </row>
    <row r="243" spans="1:23" ht="15" customHeight="1" x14ac:dyDescent="0.25">
      <c r="A243" s="589"/>
      <c r="B243" s="173" t="s">
        <v>452</v>
      </c>
      <c r="C243" s="173"/>
      <c r="D243" s="173" t="s">
        <v>380</v>
      </c>
      <c r="E243" s="345" t="s">
        <v>185</v>
      </c>
      <c r="F243" s="173" t="s">
        <v>202</v>
      </c>
      <c r="G243" s="107">
        <v>1</v>
      </c>
      <c r="H243" s="107"/>
      <c r="I243" s="107"/>
      <c r="J243" s="107">
        <v>55</v>
      </c>
      <c r="K243" s="107">
        <v>55</v>
      </c>
      <c r="L243" s="173"/>
      <c r="M243" s="173"/>
      <c r="N243" s="173"/>
      <c r="O243" s="173"/>
      <c r="P243" s="149">
        <f>IF(Table_Shelter[[#This Row],[Status]]="Open",IF(V243="NO",Table_Shelter[[#This Row],[HH per Shelter]]*(Table_Shelter[[#This Row],['# of Temporary Shelter Units Built]]+Table_Shelter[[#This Row],['# of Temporary Shelter Under  Construction]]+Table_Shelter[[#This Row],['# of Permanent House Under Construction]]),0),0)</f>
        <v>55</v>
      </c>
      <c r="Q243" s="106"/>
      <c r="R243" s="173"/>
      <c r="S243" s="174" t="str">
        <f>IFERROR(VLOOKUP(Table_Shelter[[#This Row],[CampName]],CL,2,0),"")</f>
        <v>MMR001CMP062</v>
      </c>
      <c r="T243" s="174" t="str">
        <f>IFERROR(VLOOKUP(Table_Shelter[[#This Row],[CampName]],CL,3,0),"")</f>
        <v>Open</v>
      </c>
      <c r="U243" s="265">
        <f>IFERROR(Table_Shelter[[#This Row],[HH Covered]]/VLOOKUP(Table_Shelter[[#This Row],[CampName]],CL,4,0),"")</f>
        <v>0.20912547528517111</v>
      </c>
      <c r="V243" s="265" t="s">
        <v>1305</v>
      </c>
      <c r="W243" s="175"/>
    </row>
    <row r="244" spans="1:23" ht="15" customHeight="1" x14ac:dyDescent="0.25">
      <c r="A244" s="589"/>
      <c r="B244" s="173" t="s">
        <v>452</v>
      </c>
      <c r="C244" s="173" t="s">
        <v>460</v>
      </c>
      <c r="D244" s="173" t="s">
        <v>380</v>
      </c>
      <c r="E244" s="345" t="s">
        <v>237</v>
      </c>
      <c r="F244" s="173" t="s">
        <v>261</v>
      </c>
      <c r="G244" s="107">
        <v>1</v>
      </c>
      <c r="H244" s="107"/>
      <c r="I244" s="107"/>
      <c r="J244" s="107">
        <v>60</v>
      </c>
      <c r="K244" s="107">
        <v>60</v>
      </c>
      <c r="L244" s="173"/>
      <c r="M244" s="173"/>
      <c r="N244" s="173"/>
      <c r="O244" s="173"/>
      <c r="P244" s="149">
        <f>IF(Table_Shelter[[#This Row],[Status]]="Open",IF(V244="NO",Table_Shelter[[#This Row],[HH per Shelter]]*(Table_Shelter[[#This Row],['# of Temporary Shelter Units Built]]+Table_Shelter[[#This Row],['# of Temporary Shelter Under  Construction]]+Table_Shelter[[#This Row],['# of Permanent House Under Construction]]),0),0)</f>
        <v>60</v>
      </c>
      <c r="Q244" s="106"/>
      <c r="R244" s="173"/>
      <c r="S244" s="174" t="str">
        <f>IFERROR(VLOOKUP(Table_Shelter[[#This Row],[CampName]],CL,2,0),"")</f>
        <v>MMR001CMP008</v>
      </c>
      <c r="T244" s="174" t="str">
        <f>IFERROR(VLOOKUP(Table_Shelter[[#This Row],[CampName]],CL,3,0),"")</f>
        <v>Open</v>
      </c>
      <c r="U244" s="265">
        <f>IFERROR(Table_Shelter[[#This Row],[HH Covered]]/VLOOKUP(Table_Shelter[[#This Row],[CampName]],CL,4,0),"")</f>
        <v>0.65217391304347827</v>
      </c>
      <c r="V244" s="265" t="s">
        <v>1305</v>
      </c>
      <c r="W244" s="175"/>
    </row>
    <row r="245" spans="1:23" ht="15" customHeight="1" x14ac:dyDescent="0.25">
      <c r="A245" s="589"/>
      <c r="B245" s="173" t="s">
        <v>452</v>
      </c>
      <c r="C245" s="173"/>
      <c r="D245" s="173" t="s">
        <v>380</v>
      </c>
      <c r="E245" s="345" t="s">
        <v>237</v>
      </c>
      <c r="F245" s="173" t="s">
        <v>261</v>
      </c>
      <c r="G245" s="107">
        <v>1</v>
      </c>
      <c r="H245" s="107"/>
      <c r="I245" s="107"/>
      <c r="J245" s="107">
        <v>20</v>
      </c>
      <c r="K245" s="107">
        <v>20</v>
      </c>
      <c r="L245" s="173"/>
      <c r="M245" s="173"/>
      <c r="N245" s="173"/>
      <c r="O245" s="173"/>
      <c r="P245" s="149">
        <f>IF(Table_Shelter[[#This Row],[Status]]="Open",IF(V245="NO",Table_Shelter[[#This Row],[HH per Shelter]]*(Table_Shelter[[#This Row],['# of Temporary Shelter Units Built]]+Table_Shelter[[#This Row],['# of Temporary Shelter Under  Construction]]+Table_Shelter[[#This Row],['# of Permanent House Under Construction]]),0),0)</f>
        <v>20</v>
      </c>
      <c r="Q245" s="106"/>
      <c r="R245" s="173"/>
      <c r="S245" s="174" t="str">
        <f>IFERROR(VLOOKUP(Table_Shelter[[#This Row],[CampName]],CL,2,0),"")</f>
        <v>MMR001CMP008</v>
      </c>
      <c r="T245" s="174" t="str">
        <f>IFERROR(VLOOKUP(Table_Shelter[[#This Row],[CampName]],CL,3,0),"")</f>
        <v>Open</v>
      </c>
      <c r="U245" s="265">
        <f>IFERROR(Table_Shelter[[#This Row],[HH Covered]]/VLOOKUP(Table_Shelter[[#This Row],[CampName]],CL,4,0),"")</f>
        <v>0.21739130434782608</v>
      </c>
      <c r="V245" s="265" t="s">
        <v>1305</v>
      </c>
      <c r="W245" s="175"/>
    </row>
    <row r="246" spans="1:23" ht="15" customHeight="1" x14ac:dyDescent="0.25">
      <c r="A246" s="589"/>
      <c r="B246" s="173" t="s">
        <v>453</v>
      </c>
      <c r="C246" s="173" t="s">
        <v>460</v>
      </c>
      <c r="D246" s="173" t="s">
        <v>380</v>
      </c>
      <c r="E246" s="345" t="s">
        <v>151</v>
      </c>
      <c r="F246" s="173" t="s">
        <v>160</v>
      </c>
      <c r="G246" s="107">
        <v>1</v>
      </c>
      <c r="H246" s="107"/>
      <c r="I246" s="107"/>
      <c r="J246" s="107">
        <v>39</v>
      </c>
      <c r="K246" s="107">
        <v>39</v>
      </c>
      <c r="L246" s="173"/>
      <c r="M246" s="173"/>
      <c r="N246" s="173"/>
      <c r="O246" s="173"/>
      <c r="P246" s="149">
        <f>IF(Table_Shelter[[#This Row],[Status]]="Open",IF(V246="NO",Table_Shelter[[#This Row],[HH per Shelter]]*(Table_Shelter[[#This Row],['# of Temporary Shelter Units Built]]+Table_Shelter[[#This Row],['# of Temporary Shelter Under  Construction]]+Table_Shelter[[#This Row],['# of Permanent House Under Construction]]),0),0)</f>
        <v>39</v>
      </c>
      <c r="Q246" s="106"/>
      <c r="R246" s="173"/>
      <c r="S246" s="174" t="str">
        <f>IFERROR(VLOOKUP(Table_Shelter[[#This Row],[CampName]],CL,2,0),"")</f>
        <v>MMR001CMP133</v>
      </c>
      <c r="T246" s="174" t="str">
        <f>IFERROR(VLOOKUP(Table_Shelter[[#This Row],[CampName]],CL,3,0),"")</f>
        <v>Open</v>
      </c>
      <c r="U246" s="265">
        <f>IFERROR(Table_Shelter[[#This Row],[HH Covered]]/VLOOKUP(Table_Shelter[[#This Row],[CampName]],CL,4,0),"")</f>
        <v>0.3644859813084112</v>
      </c>
      <c r="V246" s="265" t="s">
        <v>1305</v>
      </c>
      <c r="W246" s="175"/>
    </row>
    <row r="247" spans="1:23" ht="15" customHeight="1" x14ac:dyDescent="0.25">
      <c r="A247" s="589"/>
      <c r="B247" s="173" t="s">
        <v>846</v>
      </c>
      <c r="C247" s="173"/>
      <c r="D247" s="173" t="s">
        <v>380</v>
      </c>
      <c r="E247" s="345" t="s">
        <v>151</v>
      </c>
      <c r="F247" s="173" t="s">
        <v>160</v>
      </c>
      <c r="G247" s="107">
        <v>1</v>
      </c>
      <c r="H247" s="107"/>
      <c r="I247" s="107"/>
      <c r="J247" s="107">
        <v>15</v>
      </c>
      <c r="K247" s="107">
        <v>15</v>
      </c>
      <c r="L247" s="173"/>
      <c r="M247" s="173"/>
      <c r="N247" s="173"/>
      <c r="O247" s="173"/>
      <c r="P247" s="149">
        <f>IF(Table_Shelter[[#This Row],[Status]]="Open",IF(V247="NO",Table_Shelter[[#This Row],[HH per Shelter]]*(Table_Shelter[[#This Row],['# of Temporary Shelter Units Built]]+Table_Shelter[[#This Row],['# of Temporary Shelter Under  Construction]]+Table_Shelter[[#This Row],['# of Permanent House Under Construction]]),0),0)</f>
        <v>15</v>
      </c>
      <c r="Q247" s="106"/>
      <c r="R247" s="173"/>
      <c r="S247" s="174" t="str">
        <f>IFERROR(VLOOKUP(Table_Shelter[[#This Row],[CampName]],CL,2,0),"")</f>
        <v>MMR001CMP133</v>
      </c>
      <c r="T247" s="174" t="str">
        <f>IFERROR(VLOOKUP(Table_Shelter[[#This Row],[CampName]],CL,3,0),"")</f>
        <v>Open</v>
      </c>
      <c r="U247" s="265">
        <f>IFERROR(Table_Shelter[[#This Row],[HH Covered]]/VLOOKUP(Table_Shelter[[#This Row],[CampName]],CL,4,0),"")</f>
        <v>0.14018691588785046</v>
      </c>
      <c r="V247" s="265" t="s">
        <v>1305</v>
      </c>
      <c r="W247" s="175"/>
    </row>
    <row r="248" spans="1:23" ht="15" customHeight="1" x14ac:dyDescent="0.25">
      <c r="A248" s="589"/>
      <c r="B248" s="173" t="s">
        <v>452</v>
      </c>
      <c r="C248" s="173" t="s">
        <v>460</v>
      </c>
      <c r="D248" s="180" t="s">
        <v>380</v>
      </c>
      <c r="E248" s="345" t="s">
        <v>151</v>
      </c>
      <c r="F248" s="173" t="s">
        <v>160</v>
      </c>
      <c r="G248" s="107">
        <v>1</v>
      </c>
      <c r="H248" s="107"/>
      <c r="I248" s="107"/>
      <c r="J248" s="107">
        <v>20</v>
      </c>
      <c r="K248" s="107">
        <v>20</v>
      </c>
      <c r="L248" s="173"/>
      <c r="M248" s="173"/>
      <c r="N248" s="173"/>
      <c r="O248" s="173"/>
      <c r="P248" s="108">
        <f>IF(Table_Shelter[[#This Row],[Status]]="Open",IF(V248="NO",Table_Shelter[[#This Row],[HH per Shelter]]*(Table_Shelter[[#This Row],['# of Temporary Shelter Units Built]]+Table_Shelter[[#This Row],['# of Temporary Shelter Under  Construction]]+Table_Shelter[[#This Row],['# of Permanent House Under Construction]]),0),0)</f>
        <v>20</v>
      </c>
      <c r="Q248" s="106"/>
      <c r="R248" s="106"/>
      <c r="S248" s="108" t="str">
        <f>IFERROR(VLOOKUP(Table_Shelter[[#This Row],[CampName]],CL,2,0),"")</f>
        <v>MMR001CMP133</v>
      </c>
      <c r="T248" s="108" t="str">
        <f>IFERROR(VLOOKUP(Table_Shelter[[#This Row],[CampName]],CL,3,0),"")</f>
        <v>Open</v>
      </c>
      <c r="U248" s="265">
        <f>IFERROR(Table_Shelter[[#This Row],[HH Covered]]/VLOOKUP(Table_Shelter[[#This Row],[CampName]],CL,4,0),"")</f>
        <v>0.18691588785046728</v>
      </c>
      <c r="V248" s="265" t="s">
        <v>1305</v>
      </c>
      <c r="W248" s="108"/>
    </row>
    <row r="249" spans="1:23" ht="15" customHeight="1" x14ac:dyDescent="0.25">
      <c r="A249" s="589"/>
      <c r="B249" s="173" t="s">
        <v>452</v>
      </c>
      <c r="C249" s="173" t="s">
        <v>459</v>
      </c>
      <c r="D249" s="173" t="s">
        <v>380</v>
      </c>
      <c r="E249" s="345" t="s">
        <v>151</v>
      </c>
      <c r="F249" s="173" t="s">
        <v>154</v>
      </c>
      <c r="G249" s="107">
        <v>1</v>
      </c>
      <c r="H249" s="107"/>
      <c r="I249" s="107"/>
      <c r="J249" s="107">
        <v>200</v>
      </c>
      <c r="K249" s="107">
        <v>200</v>
      </c>
      <c r="L249" s="173"/>
      <c r="M249" s="173"/>
      <c r="N249" s="173"/>
      <c r="O249" s="173"/>
      <c r="P249" s="149">
        <f>IF(Table_Shelter[[#This Row],[Status]]="Open",IF(V249="NO",Table_Shelter[[#This Row],[HH per Shelter]]*(Table_Shelter[[#This Row],['# of Temporary Shelter Units Built]]+Table_Shelter[[#This Row],['# of Temporary Shelter Under  Construction]]+Table_Shelter[[#This Row],['# of Permanent House Under Construction]]),0),0)</f>
        <v>200</v>
      </c>
      <c r="Q249" s="106"/>
      <c r="R249" s="173"/>
      <c r="S249" s="174" t="str">
        <f>IFERROR(VLOOKUP(Table_Shelter[[#This Row],[CampName]],CL,2,0),"")</f>
        <v>MMR001CMP132</v>
      </c>
      <c r="T249" s="174" t="str">
        <f>IFERROR(VLOOKUP(Table_Shelter[[#This Row],[CampName]],CL,3,0),"")</f>
        <v>Open</v>
      </c>
      <c r="U249" s="265">
        <f>IFERROR(Table_Shelter[[#This Row],[HH Covered]]/VLOOKUP(Table_Shelter[[#This Row],[CampName]],CL,4,0),"")</f>
        <v>0.45454545454545453</v>
      </c>
      <c r="V249" s="265" t="s">
        <v>1305</v>
      </c>
      <c r="W249" s="175"/>
    </row>
    <row r="250" spans="1:23" ht="15" customHeight="1" x14ac:dyDescent="0.25">
      <c r="A250" s="589"/>
      <c r="B250" s="173" t="s">
        <v>846</v>
      </c>
      <c r="C250" s="173"/>
      <c r="D250" s="173" t="s">
        <v>380</v>
      </c>
      <c r="E250" s="345" t="s">
        <v>185</v>
      </c>
      <c r="F250" s="173" t="s">
        <v>207</v>
      </c>
      <c r="G250" s="107">
        <v>1</v>
      </c>
      <c r="H250" s="107"/>
      <c r="I250" s="107"/>
      <c r="J250" s="107">
        <v>6</v>
      </c>
      <c r="K250" s="107">
        <v>6</v>
      </c>
      <c r="L250" s="173"/>
      <c r="M250" s="173"/>
      <c r="N250" s="173"/>
      <c r="O250" s="173"/>
      <c r="P250" s="149">
        <f>IF(Table_Shelter[[#This Row],[Status]]="Open",IF(V250="NO",Table_Shelter[[#This Row],[HH per Shelter]]*(Table_Shelter[[#This Row],['# of Temporary Shelter Units Built]]+Table_Shelter[[#This Row],['# of Temporary Shelter Under  Construction]]+Table_Shelter[[#This Row],['# of Permanent House Under Construction]]),0),0)</f>
        <v>0</v>
      </c>
      <c r="Q250" s="106"/>
      <c r="R250" s="173"/>
      <c r="S250" s="174" t="str">
        <f>IFERROR(VLOOKUP(Table_Shelter[[#This Row],[CampName]],CL,2,0),"")</f>
        <v>MMR001CMP058</v>
      </c>
      <c r="T250" s="174" t="str">
        <f>IFERROR(VLOOKUP(Table_Shelter[[#This Row],[CampName]],CL,3,0),"")</f>
        <v>Closed</v>
      </c>
      <c r="U250" s="265" t="str">
        <f>IFERROR(Table_Shelter[[#This Row],[HH Covered]]/VLOOKUP(Table_Shelter[[#This Row],[CampName]],CL,4,0),"")</f>
        <v/>
      </c>
      <c r="V250" s="265" t="s">
        <v>1305</v>
      </c>
      <c r="W250" s="175"/>
    </row>
    <row r="251" spans="1:23" ht="15" customHeight="1" x14ac:dyDescent="0.25">
      <c r="A251" s="589"/>
      <c r="B251" s="173" t="s">
        <v>452</v>
      </c>
      <c r="C251" s="173" t="s">
        <v>505</v>
      </c>
      <c r="D251" s="173" t="s">
        <v>380</v>
      </c>
      <c r="E251" s="345" t="s">
        <v>185</v>
      </c>
      <c r="F251" s="173" t="s">
        <v>207</v>
      </c>
      <c r="G251" s="107">
        <v>1</v>
      </c>
      <c r="H251" s="107"/>
      <c r="I251" s="107"/>
      <c r="J251" s="107"/>
      <c r="K251" s="107"/>
      <c r="L251" s="173"/>
      <c r="M251" s="173"/>
      <c r="N251" s="173"/>
      <c r="O251" s="173"/>
      <c r="P251" s="149">
        <f>IF(Table_Shelter[[#This Row],[Status]]="Open",IF(V251="NO",Table_Shelter[[#This Row],[HH per Shelter]]*(Table_Shelter[[#This Row],['# of Temporary Shelter Units Built]]+Table_Shelter[[#This Row],['# of Temporary Shelter Under  Construction]]+Table_Shelter[[#This Row],['# of Permanent House Under Construction]]),0),0)</f>
        <v>0</v>
      </c>
      <c r="Q251" s="106">
        <v>5</v>
      </c>
      <c r="R251" s="173"/>
      <c r="S251" s="174" t="str">
        <f>IFERROR(VLOOKUP(Table_Shelter[[#This Row],[CampName]],CL,2,0),"")</f>
        <v>MMR001CMP058</v>
      </c>
      <c r="T251" s="174" t="str">
        <f>IFERROR(VLOOKUP(Table_Shelter[[#This Row],[CampName]],CL,3,0),"")</f>
        <v>Closed</v>
      </c>
      <c r="U251" s="265" t="str">
        <f>IFERROR(Table_Shelter[[#This Row],[HH Covered]]/VLOOKUP(Table_Shelter[[#This Row],[CampName]],CL,4,0),"")</f>
        <v/>
      </c>
      <c r="V251" s="265" t="s">
        <v>1305</v>
      </c>
      <c r="W251" s="175"/>
    </row>
    <row r="252" spans="1:23" ht="15" customHeight="1" x14ac:dyDescent="0.25">
      <c r="A252" s="589"/>
      <c r="B252" s="173" t="s">
        <v>452</v>
      </c>
      <c r="C252" s="173" t="s">
        <v>460</v>
      </c>
      <c r="D252" s="173" t="s">
        <v>553</v>
      </c>
      <c r="E252" s="345" t="s">
        <v>166</v>
      </c>
      <c r="F252" s="173" t="s">
        <v>167</v>
      </c>
      <c r="G252" s="107">
        <v>1</v>
      </c>
      <c r="H252" s="107"/>
      <c r="I252" s="107"/>
      <c r="J252" s="107">
        <v>30</v>
      </c>
      <c r="K252" s="107">
        <v>30</v>
      </c>
      <c r="L252" s="173"/>
      <c r="M252" s="173"/>
      <c r="N252" s="173"/>
      <c r="O252" s="173"/>
      <c r="P252" s="149">
        <f>IF(Table_Shelter[[#This Row],[Status]]="Open",IF(V252="NO",Table_Shelter[[#This Row],[HH per Shelter]]*(Table_Shelter[[#This Row],['# of Temporary Shelter Units Built]]+Table_Shelter[[#This Row],['# of Temporary Shelter Under  Construction]]+Table_Shelter[[#This Row],['# of Permanent House Under Construction]]),0),0)</f>
        <v>30</v>
      </c>
      <c r="Q252" s="106"/>
      <c r="R252" s="173"/>
      <c r="S252" s="174" t="str">
        <f>IFERROR(VLOOKUP(Table_Shelter[[#This Row],[CampName]],CL,2,0),"")</f>
        <v>MMR015CMP009</v>
      </c>
      <c r="T252" s="174" t="str">
        <f>IFERROR(VLOOKUP(Table_Shelter[[#This Row],[CampName]],CL,3,0),"")</f>
        <v>Open</v>
      </c>
      <c r="U252" s="265">
        <f>IFERROR(Table_Shelter[[#This Row],[HH Covered]]/VLOOKUP(Table_Shelter[[#This Row],[CampName]],CL,4,0),"")</f>
        <v>0.83333333333333337</v>
      </c>
      <c r="V252" s="265" t="s">
        <v>1305</v>
      </c>
      <c r="W252" s="175"/>
    </row>
    <row r="253" spans="1:23" ht="15" customHeight="1" x14ac:dyDescent="0.25">
      <c r="A253" s="589"/>
      <c r="B253" s="173" t="s">
        <v>452</v>
      </c>
      <c r="C253" s="173" t="s">
        <v>460</v>
      </c>
      <c r="D253" s="173" t="s">
        <v>380</v>
      </c>
      <c r="E253" s="345" t="s">
        <v>173</v>
      </c>
      <c r="F253" s="173" t="s">
        <v>176</v>
      </c>
      <c r="G253" s="107">
        <v>1</v>
      </c>
      <c r="H253" s="107"/>
      <c r="I253" s="107"/>
      <c r="J253" s="107">
        <v>10</v>
      </c>
      <c r="K253" s="107">
        <v>10</v>
      </c>
      <c r="L253" s="173"/>
      <c r="M253" s="173"/>
      <c r="N253" s="173"/>
      <c r="O253" s="173"/>
      <c r="P253" s="149">
        <f>IF(Table_Shelter[[#This Row],[Status]]="Open",IF(V253="NO",Table_Shelter[[#This Row],[HH per Shelter]]*(Table_Shelter[[#This Row],['# of Temporary Shelter Units Built]]+Table_Shelter[[#This Row],['# of Temporary Shelter Under  Construction]]+Table_Shelter[[#This Row],['# of Permanent House Under Construction]]),0),0)</f>
        <v>10</v>
      </c>
      <c r="Q253" s="106"/>
      <c r="R253" s="173"/>
      <c r="S253" s="174" t="str">
        <f>IFERROR(VLOOKUP(Table_Shelter[[#This Row],[CampName]],CL,2,0),"")</f>
        <v>MMR001CMP077</v>
      </c>
      <c r="T253" s="174" t="str">
        <f>IFERROR(VLOOKUP(Table_Shelter[[#This Row],[CampName]],CL,3,0),"")</f>
        <v>Open</v>
      </c>
      <c r="U253" s="265">
        <f>IFERROR(Table_Shelter[[#This Row],[HH Covered]]/VLOOKUP(Table_Shelter[[#This Row],[CampName]],CL,4,0),"")</f>
        <v>0.66666666666666663</v>
      </c>
      <c r="V253" s="265" t="s">
        <v>1305</v>
      </c>
      <c r="W253" s="175"/>
    </row>
    <row r="254" spans="1:23" ht="15" customHeight="1" x14ac:dyDescent="0.25">
      <c r="A254" s="589"/>
      <c r="B254" s="173" t="s">
        <v>452</v>
      </c>
      <c r="C254" s="173"/>
      <c r="D254" s="173" t="s">
        <v>380</v>
      </c>
      <c r="E254" s="345" t="s">
        <v>151</v>
      </c>
      <c r="F254" s="173" t="s">
        <v>152</v>
      </c>
      <c r="G254" s="107">
        <v>1</v>
      </c>
      <c r="H254" s="107"/>
      <c r="I254" s="107"/>
      <c r="J254" s="107">
        <v>41</v>
      </c>
      <c r="K254" s="107">
        <v>10</v>
      </c>
      <c r="L254" s="173"/>
      <c r="M254" s="173"/>
      <c r="N254" s="173"/>
      <c r="O254" s="173"/>
      <c r="P254" s="149">
        <f>IF(Table_Shelter[[#This Row],[Status]]="Open",IF(V254="NO",Table_Shelter[[#This Row],[HH per Shelter]]*(Table_Shelter[[#This Row],['# of Temporary Shelter Units Built]]+Table_Shelter[[#This Row],['# of Temporary Shelter Under  Construction]]+Table_Shelter[[#This Row],['# of Permanent House Under Construction]]),0),0)</f>
        <v>10</v>
      </c>
      <c r="Q254" s="106"/>
      <c r="R254" s="173"/>
      <c r="S254" s="174" t="str">
        <f>IFERROR(VLOOKUP(Table_Shelter[[#This Row],[CampName]],CL,2,0),"")</f>
        <v>MMR001CMP066</v>
      </c>
      <c r="T254" s="174" t="str">
        <f>IFERROR(VLOOKUP(Table_Shelter[[#This Row],[CampName]],CL,3,0),"")</f>
        <v>Open</v>
      </c>
      <c r="U254" s="265">
        <f>IFERROR(Table_Shelter[[#This Row],[HH Covered]]/VLOOKUP(Table_Shelter[[#This Row],[CampName]],CL,4,0),"")</f>
        <v>5.0761421319796954E-2</v>
      </c>
      <c r="V254" s="265" t="s">
        <v>1305</v>
      </c>
      <c r="W254" s="175"/>
    </row>
    <row r="255" spans="1:23" ht="15" customHeight="1" x14ac:dyDescent="0.25">
      <c r="A255" s="589"/>
      <c r="B255" s="173" t="s">
        <v>847</v>
      </c>
      <c r="C255" s="173" t="s">
        <v>847</v>
      </c>
      <c r="D255" s="173" t="s">
        <v>380</v>
      </c>
      <c r="E255" s="345" t="s">
        <v>527</v>
      </c>
      <c r="F255" s="173" t="s">
        <v>54</v>
      </c>
      <c r="G255" s="107">
        <v>1</v>
      </c>
      <c r="H255" s="107"/>
      <c r="I255" s="107"/>
      <c r="J255" s="107">
        <v>10</v>
      </c>
      <c r="K255" s="107">
        <v>10</v>
      </c>
      <c r="L255" s="173"/>
      <c r="M255" s="173"/>
      <c r="N255" s="173"/>
      <c r="O255" s="173"/>
      <c r="P255" s="149">
        <f>IF(Table_Shelter[[#This Row],[Status]]="Open",IF(V255="NO",Table_Shelter[[#This Row],[HH per Shelter]]*(Table_Shelter[[#This Row],['# of Temporary Shelter Units Built]]+Table_Shelter[[#This Row],['# of Temporary Shelter Under  Construction]]+Table_Shelter[[#This Row],['# of Permanent House Under Construction]]),0),0)</f>
        <v>0</v>
      </c>
      <c r="Q255" s="106"/>
      <c r="R255" s="173"/>
      <c r="S255" s="174" t="str">
        <f>IFERROR(VLOOKUP(Table_Shelter[[#This Row],[CampName]],CL,2,0),"")</f>
        <v>MMR001CMP094</v>
      </c>
      <c r="T255" s="174" t="str">
        <f>IFERROR(VLOOKUP(Table_Shelter[[#This Row],[CampName]],CL,3,0),"")</f>
        <v>Closed</v>
      </c>
      <c r="U255" s="265" t="str">
        <f>IFERROR(Table_Shelter[[#This Row],[HH Covered]]/VLOOKUP(Table_Shelter[[#This Row],[CampName]],CL,4,0),"")</f>
        <v/>
      </c>
      <c r="V255" s="265" t="s">
        <v>1305</v>
      </c>
      <c r="W255" s="175"/>
    </row>
    <row r="256" spans="1:23" ht="15" customHeight="1" x14ac:dyDescent="0.25">
      <c r="A256" s="589"/>
      <c r="B256" s="173" t="s">
        <v>452</v>
      </c>
      <c r="C256" s="173" t="s">
        <v>505</v>
      </c>
      <c r="D256" s="173" t="s">
        <v>380</v>
      </c>
      <c r="E256" s="345" t="s">
        <v>527</v>
      </c>
      <c r="F256" s="173" t="s">
        <v>54</v>
      </c>
      <c r="G256" s="107">
        <v>1</v>
      </c>
      <c r="H256" s="107"/>
      <c r="I256" s="107"/>
      <c r="J256" s="107">
        <v>10</v>
      </c>
      <c r="K256" s="107">
        <v>10</v>
      </c>
      <c r="L256" s="173"/>
      <c r="M256" s="173"/>
      <c r="N256" s="173"/>
      <c r="O256" s="173"/>
      <c r="P256" s="149">
        <f>IF(Table_Shelter[[#This Row],[Status]]="Open",IF(V256="NO",Table_Shelter[[#This Row],[HH per Shelter]]*(Table_Shelter[[#This Row],['# of Temporary Shelter Units Built]]+Table_Shelter[[#This Row],['# of Temporary Shelter Under  Construction]]+Table_Shelter[[#This Row],['# of Permanent House Under Construction]]),0),0)</f>
        <v>0</v>
      </c>
      <c r="Q256" s="106"/>
      <c r="R256" s="173"/>
      <c r="S256" s="174" t="str">
        <f>IFERROR(VLOOKUP(Table_Shelter[[#This Row],[CampName]],CL,2,0),"")</f>
        <v>MMR001CMP094</v>
      </c>
      <c r="T256" s="174" t="str">
        <f>IFERROR(VLOOKUP(Table_Shelter[[#This Row],[CampName]],CL,3,0),"")</f>
        <v>Closed</v>
      </c>
      <c r="U256" s="265" t="str">
        <f>IFERROR(Table_Shelter[[#This Row],[HH Covered]]/VLOOKUP(Table_Shelter[[#This Row],[CampName]],CL,4,0),"")</f>
        <v/>
      </c>
      <c r="V256" s="265" t="s">
        <v>1305</v>
      </c>
      <c r="W256" s="175"/>
    </row>
    <row r="257" spans="1:23" ht="15" customHeight="1" x14ac:dyDescent="0.25">
      <c r="A257" s="588"/>
      <c r="B257" s="175" t="s">
        <v>452</v>
      </c>
      <c r="C257" s="175" t="s">
        <v>505</v>
      </c>
      <c r="D257" s="175" t="s">
        <v>380</v>
      </c>
      <c r="E257" s="179" t="s">
        <v>237</v>
      </c>
      <c r="F257" s="175" t="s">
        <v>263</v>
      </c>
      <c r="G257" s="109">
        <v>1</v>
      </c>
      <c r="H257" s="109"/>
      <c r="I257" s="109"/>
      <c r="J257" s="109">
        <v>27</v>
      </c>
      <c r="K257" s="109">
        <v>27</v>
      </c>
      <c r="L257" s="175"/>
      <c r="M257" s="175"/>
      <c r="N257" s="175"/>
      <c r="O257" s="175"/>
      <c r="P257" s="149">
        <f>IF(Table_Shelter[[#This Row],[Status]]="Open",IF(V257="NO",Table_Shelter[[#This Row],[HH per Shelter]]*(Table_Shelter[[#This Row],['# of Temporary Shelter Units Built]]+Table_Shelter[[#This Row],['# of Temporary Shelter Under  Construction]]+Table_Shelter[[#This Row],['# of Permanent House Under Construction]]),0),0)</f>
        <v>27</v>
      </c>
      <c r="Q257" s="108"/>
      <c r="R257" s="175"/>
      <c r="S257" s="174" t="str">
        <f>IFERROR(VLOOKUP(Table_Shelter[[#This Row],[CampName]],CL,2,0),"")</f>
        <v>MMR001CMP020</v>
      </c>
      <c r="T257" s="174" t="str">
        <f>IFERROR(VLOOKUP(Table_Shelter[[#This Row],[CampName]],CL,3,0),"")</f>
        <v>Open</v>
      </c>
      <c r="U257" s="265">
        <f>IFERROR(Table_Shelter[[#This Row],[HH Covered]]/VLOOKUP(Table_Shelter[[#This Row],[CampName]],CL,4,0),"")</f>
        <v>1.2857142857142858</v>
      </c>
      <c r="V257" s="265" t="s">
        <v>1305</v>
      </c>
      <c r="W257" s="175"/>
    </row>
    <row r="258" spans="1:23" ht="15" customHeight="1" x14ac:dyDescent="0.25">
      <c r="A258" s="589"/>
      <c r="B258" s="173" t="s">
        <v>452</v>
      </c>
      <c r="C258" s="173" t="s">
        <v>505</v>
      </c>
      <c r="D258" s="173" t="s">
        <v>380</v>
      </c>
      <c r="E258" s="345" t="s">
        <v>237</v>
      </c>
      <c r="F258" s="173" t="s">
        <v>265</v>
      </c>
      <c r="G258" s="107">
        <v>1</v>
      </c>
      <c r="H258" s="107"/>
      <c r="I258" s="107"/>
      <c r="J258" s="107">
        <v>4</v>
      </c>
      <c r="K258" s="107">
        <v>4</v>
      </c>
      <c r="L258" s="173"/>
      <c r="M258" s="173"/>
      <c r="N258" s="173"/>
      <c r="O258" s="173"/>
      <c r="P258" s="149">
        <f>IF(Table_Shelter[[#This Row],[Status]]="Open",IF(V258="NO",Table_Shelter[[#This Row],[HH per Shelter]]*(Table_Shelter[[#This Row],['# of Temporary Shelter Units Built]]+Table_Shelter[[#This Row],['# of Temporary Shelter Under  Construction]]+Table_Shelter[[#This Row],['# of Permanent House Under Construction]]),0),0)</f>
        <v>4</v>
      </c>
      <c r="Q258" s="106"/>
      <c r="R258" s="173"/>
      <c r="S258" s="174" t="str">
        <f>IFERROR(VLOOKUP(Table_Shelter[[#This Row],[CampName]],CL,2,0),"")</f>
        <v>MMR001CMP021</v>
      </c>
      <c r="T258" s="174" t="str">
        <f>IFERROR(VLOOKUP(Table_Shelter[[#This Row],[CampName]],CL,3,0),"")</f>
        <v>Open</v>
      </c>
      <c r="U258" s="265">
        <f>IFERROR(Table_Shelter[[#This Row],[HH Covered]]/VLOOKUP(Table_Shelter[[#This Row],[CampName]],CL,4,0),"")</f>
        <v>0.2857142857142857</v>
      </c>
      <c r="V258" s="265" t="s">
        <v>1305</v>
      </c>
      <c r="W258" s="175"/>
    </row>
    <row r="259" spans="1:23" ht="15" customHeight="1" x14ac:dyDescent="0.25">
      <c r="A259" s="586"/>
      <c r="B259" s="174" t="s">
        <v>452</v>
      </c>
      <c r="C259" s="174" t="s">
        <v>505</v>
      </c>
      <c r="D259" s="174" t="s">
        <v>380</v>
      </c>
      <c r="E259" s="178" t="s">
        <v>527</v>
      </c>
      <c r="F259" s="174" t="s">
        <v>100</v>
      </c>
      <c r="G259" s="148">
        <v>1</v>
      </c>
      <c r="H259" s="148"/>
      <c r="I259" s="148"/>
      <c r="J259" s="148">
        <v>5</v>
      </c>
      <c r="K259" s="148">
        <v>5</v>
      </c>
      <c r="L259" s="174"/>
      <c r="M259" s="174"/>
      <c r="N259" s="174"/>
      <c r="O259" s="174"/>
      <c r="P259" s="149">
        <f>IF(Table_Shelter[[#This Row],[Status]]="Open",IF(V259="NO",Table_Shelter[[#This Row],[HH per Shelter]]*(Table_Shelter[[#This Row],['# of Temporary Shelter Units Built]]+Table_Shelter[[#This Row],['# of Temporary Shelter Under  Construction]]+Table_Shelter[[#This Row],['# of Permanent House Under Construction]]),0),0)</f>
        <v>5</v>
      </c>
      <c r="Q259" s="149"/>
      <c r="R259" s="174"/>
      <c r="S259" s="174" t="str">
        <f>IFERROR(VLOOKUP(Table_Shelter[[#This Row],[CampName]],CL,2,0),"")</f>
        <v>MMR001CMP091</v>
      </c>
      <c r="T259" s="174" t="str">
        <f>IFERROR(VLOOKUP(Table_Shelter[[#This Row],[CampName]],CL,3,0),"")</f>
        <v>Open</v>
      </c>
      <c r="U259" s="265">
        <f>IFERROR(Table_Shelter[[#This Row],[HH Covered]]/VLOOKUP(Table_Shelter[[#This Row],[CampName]],CL,4,0),"")</f>
        <v>1.25</v>
      </c>
      <c r="V259" s="265" t="s">
        <v>1305</v>
      </c>
      <c r="W259" s="175"/>
    </row>
    <row r="260" spans="1:23" ht="15" customHeight="1" x14ac:dyDescent="0.25">
      <c r="A260" s="586"/>
      <c r="B260" s="174" t="s">
        <v>1097</v>
      </c>
      <c r="C260" s="174" t="s">
        <v>944</v>
      </c>
      <c r="D260" s="174" t="s">
        <v>553</v>
      </c>
      <c r="E260" s="178" t="s">
        <v>146</v>
      </c>
      <c r="F260" s="174" t="s">
        <v>368</v>
      </c>
      <c r="G260" s="148">
        <v>1</v>
      </c>
      <c r="H260" s="148"/>
      <c r="I260" s="148"/>
      <c r="J260" s="148">
        <v>63</v>
      </c>
      <c r="K260" s="148">
        <v>63</v>
      </c>
      <c r="L260" s="174"/>
      <c r="M260" s="174"/>
      <c r="N260" s="174"/>
      <c r="O260" s="174"/>
      <c r="P260" s="149">
        <f>IF(Table_Shelter[[#This Row],[Status]]="Open",IF(V260="NO",Table_Shelter[[#This Row],[HH per Shelter]]*(Table_Shelter[[#This Row],['# of Temporary Shelter Units Built]]+Table_Shelter[[#This Row],['# of Temporary Shelter Under  Construction]]+Table_Shelter[[#This Row],['# of Permanent House Under Construction]]),0),0)</f>
        <v>63</v>
      </c>
      <c r="Q260" s="149"/>
      <c r="R260" s="174"/>
      <c r="S260" s="174" t="str">
        <f>IFERROR(VLOOKUP(Table_Shelter[[#This Row],[CampName]],CL,2,0),"")</f>
        <v>MMR015CMP018</v>
      </c>
      <c r="T260" s="174" t="str">
        <f>IFERROR(VLOOKUP(Table_Shelter[[#This Row],[CampName]],CL,3,0),"")</f>
        <v>Open</v>
      </c>
      <c r="U260" s="265">
        <f>IFERROR(Table_Shelter[[#This Row],[HH Covered]]/VLOOKUP(Table_Shelter[[#This Row],[CampName]],CL,4,0),"")</f>
        <v>0.91304347826086951</v>
      </c>
      <c r="V260" s="265" t="s">
        <v>1305</v>
      </c>
      <c r="W260" s="175"/>
    </row>
    <row r="261" spans="1:23" ht="15" customHeight="1" x14ac:dyDescent="0.25">
      <c r="A261" s="588"/>
      <c r="B261" s="173" t="s">
        <v>847</v>
      </c>
      <c r="C261" s="173" t="s">
        <v>846</v>
      </c>
      <c r="D261" s="176" t="s">
        <v>380</v>
      </c>
      <c r="E261" s="345" t="s">
        <v>185</v>
      </c>
      <c r="F261" s="173" t="s">
        <v>209</v>
      </c>
      <c r="G261" s="107">
        <v>1</v>
      </c>
      <c r="H261" s="109"/>
      <c r="I261" s="109"/>
      <c r="J261" s="109">
        <v>32</v>
      </c>
      <c r="K261" s="109">
        <v>32</v>
      </c>
      <c r="L261" s="175"/>
      <c r="M261" s="175"/>
      <c r="N261" s="175"/>
      <c r="O261" s="175"/>
      <c r="P261" s="108">
        <f>IF(Table_Shelter[[#This Row],[Status]]="Open",IF(V261="NO",Table_Shelter[[#This Row],[HH per Shelter]]*(Table_Shelter[[#This Row],['# of Temporary Shelter Units Built]]+Table_Shelter[[#This Row],['# of Temporary Shelter Under  Construction]]+Table_Shelter[[#This Row],['# of Permanent House Under Construction]]),0),0)</f>
        <v>32</v>
      </c>
      <c r="Q261" s="108"/>
      <c r="R261" s="175"/>
      <c r="S261" s="175" t="str">
        <f>IFERROR(VLOOKUP(Table_Shelter[[#This Row],[CampName]],CL,2,0),"")</f>
        <v>MMR001CMP056</v>
      </c>
      <c r="T261" s="175" t="str">
        <f>IFERROR(VLOOKUP(Table_Shelter[[#This Row],[CampName]],CL,3,0),"")</f>
        <v>Open</v>
      </c>
      <c r="U261" s="265">
        <f>IFERROR(Table_Shelter[[#This Row],[HH Covered]]/VLOOKUP(Table_Shelter[[#This Row],[CampName]],CL,4,0),"")</f>
        <v>0.1415929203539823</v>
      </c>
      <c r="V261" s="265" t="s">
        <v>1305</v>
      </c>
      <c r="W261" s="175"/>
    </row>
    <row r="262" spans="1:23" ht="15" customHeight="1" x14ac:dyDescent="0.25">
      <c r="A262" s="588"/>
      <c r="B262" s="173" t="s">
        <v>846</v>
      </c>
      <c r="C262" s="173"/>
      <c r="D262" s="176" t="s">
        <v>380</v>
      </c>
      <c r="E262" s="345" t="s">
        <v>185</v>
      </c>
      <c r="F262" s="173" t="s">
        <v>209</v>
      </c>
      <c r="G262" s="107">
        <v>1</v>
      </c>
      <c r="H262" s="109"/>
      <c r="I262" s="109"/>
      <c r="J262" s="109">
        <v>144</v>
      </c>
      <c r="K262" s="109">
        <v>144</v>
      </c>
      <c r="L262" s="175"/>
      <c r="M262" s="175"/>
      <c r="N262" s="175"/>
      <c r="O262" s="175"/>
      <c r="P262" s="108">
        <f>IF(Table_Shelter[[#This Row],[Status]]="Open",IF(V262="NO",Table_Shelter[[#This Row],[HH per Shelter]]*(Table_Shelter[[#This Row],['# of Temporary Shelter Units Built]]+Table_Shelter[[#This Row],['# of Temporary Shelter Under  Construction]]+Table_Shelter[[#This Row],['# of Permanent House Under Construction]]),0),0)</f>
        <v>144</v>
      </c>
      <c r="Q262" s="108"/>
      <c r="R262" s="175"/>
      <c r="S262" s="175" t="str">
        <f>IFERROR(VLOOKUP(Table_Shelter[[#This Row],[CampName]],CL,2,0),"")</f>
        <v>MMR001CMP056</v>
      </c>
      <c r="T262" s="175" t="str">
        <f>IFERROR(VLOOKUP(Table_Shelter[[#This Row],[CampName]],CL,3,0),"")</f>
        <v>Open</v>
      </c>
      <c r="U262" s="265">
        <f>IFERROR(Table_Shelter[[#This Row],[HH Covered]]/VLOOKUP(Table_Shelter[[#This Row],[CampName]],CL,4,0),"")</f>
        <v>0.63716814159292035</v>
      </c>
      <c r="V262" s="265" t="s">
        <v>1305</v>
      </c>
      <c r="W262" s="175"/>
    </row>
    <row r="263" spans="1:23" ht="15" customHeight="1" x14ac:dyDescent="0.25">
      <c r="A263" s="588"/>
      <c r="B263" s="173" t="s">
        <v>452</v>
      </c>
      <c r="C263" s="173" t="s">
        <v>460</v>
      </c>
      <c r="D263" s="176" t="s">
        <v>380</v>
      </c>
      <c r="E263" s="345" t="s">
        <v>185</v>
      </c>
      <c r="F263" s="173" t="s">
        <v>209</v>
      </c>
      <c r="G263" s="107">
        <v>1</v>
      </c>
      <c r="H263" s="109"/>
      <c r="I263" s="109"/>
      <c r="J263" s="109">
        <v>40</v>
      </c>
      <c r="K263" s="109">
        <v>40</v>
      </c>
      <c r="L263" s="175"/>
      <c r="M263" s="175"/>
      <c r="N263" s="175"/>
      <c r="O263" s="175"/>
      <c r="P263" s="108">
        <f>IF(Table_Shelter[[#This Row],[Status]]="Open",IF(V263="NO",Table_Shelter[[#This Row],[HH per Shelter]]*(Table_Shelter[[#This Row],['# of Temporary Shelter Units Built]]+Table_Shelter[[#This Row],['# of Temporary Shelter Under  Construction]]+Table_Shelter[[#This Row],['# of Permanent House Under Construction]]),0),0)</f>
        <v>40</v>
      </c>
      <c r="Q263" s="108"/>
      <c r="R263" s="175"/>
      <c r="S263" s="175" t="str">
        <f>IFERROR(VLOOKUP(Table_Shelter[[#This Row],[CampName]],CL,2,0),"")</f>
        <v>MMR001CMP056</v>
      </c>
      <c r="T263" s="175" t="str">
        <f>IFERROR(VLOOKUP(Table_Shelter[[#This Row],[CampName]],CL,3,0),"")</f>
        <v>Open</v>
      </c>
      <c r="U263" s="265">
        <f>IFERROR(Table_Shelter[[#This Row],[HH Covered]]/VLOOKUP(Table_Shelter[[#This Row],[CampName]],CL,4,0),"")</f>
        <v>0.17699115044247787</v>
      </c>
      <c r="V263" s="265" t="s">
        <v>1305</v>
      </c>
      <c r="W263" s="175"/>
    </row>
    <row r="264" spans="1:23" ht="15" customHeight="1" x14ac:dyDescent="0.25">
      <c r="A264" s="588"/>
      <c r="B264" s="173" t="s">
        <v>592</v>
      </c>
      <c r="C264" s="173" t="s">
        <v>459</v>
      </c>
      <c r="D264" s="176" t="s">
        <v>380</v>
      </c>
      <c r="E264" s="345" t="s">
        <v>185</v>
      </c>
      <c r="F264" s="173" t="s">
        <v>211</v>
      </c>
      <c r="G264" s="107">
        <v>1</v>
      </c>
      <c r="H264" s="109"/>
      <c r="I264" s="109"/>
      <c r="J264" s="109">
        <v>92</v>
      </c>
      <c r="K264" s="109">
        <v>92</v>
      </c>
      <c r="L264" s="175"/>
      <c r="M264" s="175"/>
      <c r="N264" s="175"/>
      <c r="O264" s="175"/>
      <c r="P264" s="108">
        <f>IF(Table_Shelter[[#This Row],[Status]]="Open",IF(V264="NO",Table_Shelter[[#This Row],[HH per Shelter]]*(Table_Shelter[[#This Row],['# of Temporary Shelter Units Built]]+Table_Shelter[[#This Row],['# of Temporary Shelter Under  Construction]]+Table_Shelter[[#This Row],['# of Permanent House Under Construction]]),0),0)</f>
        <v>0</v>
      </c>
      <c r="Q264" s="108"/>
      <c r="R264" s="175"/>
      <c r="S264" s="175" t="str">
        <f>IFERROR(VLOOKUP(Table_Shelter[[#This Row],[CampName]],CL,2,0),"")</f>
        <v>MMR001CMP057</v>
      </c>
      <c r="T264" s="175" t="str">
        <f>IFERROR(VLOOKUP(Table_Shelter[[#This Row],[CampName]],CL,3,0),"")</f>
        <v>Closed</v>
      </c>
      <c r="U264" s="265" t="str">
        <f>IFERROR(Table_Shelter[[#This Row],[HH Covered]]/VLOOKUP(Table_Shelter[[#This Row],[CampName]],CL,4,0),"")</f>
        <v/>
      </c>
      <c r="V264" s="265" t="s">
        <v>1305</v>
      </c>
      <c r="W264" s="175"/>
    </row>
    <row r="265" spans="1:23" ht="15" customHeight="1" x14ac:dyDescent="0.25">
      <c r="A265" s="588"/>
      <c r="B265" s="173" t="s">
        <v>452</v>
      </c>
      <c r="C265" s="173" t="s">
        <v>460</v>
      </c>
      <c r="D265" s="176" t="s">
        <v>553</v>
      </c>
      <c r="E265" s="345" t="s">
        <v>230</v>
      </c>
      <c r="F265" s="173" t="s">
        <v>235</v>
      </c>
      <c r="G265" s="107">
        <v>1</v>
      </c>
      <c r="H265" s="109"/>
      <c r="I265" s="109"/>
      <c r="J265" s="109">
        <v>10</v>
      </c>
      <c r="K265" s="109">
        <v>10</v>
      </c>
      <c r="L265" s="175"/>
      <c r="M265" s="175"/>
      <c r="N265" s="175"/>
      <c r="O265" s="175"/>
      <c r="P265" s="108">
        <f>IF(Table_Shelter[[#This Row],[Status]]="Open",IF(V265="NO",Table_Shelter[[#This Row],[HH per Shelter]]*(Table_Shelter[[#This Row],['# of Temporary Shelter Units Built]]+Table_Shelter[[#This Row],['# of Temporary Shelter Under  Construction]]+Table_Shelter[[#This Row],['# of Permanent House Under Construction]]),0),0)</f>
        <v>10</v>
      </c>
      <c r="Q265" s="108"/>
      <c r="R265" s="175"/>
      <c r="S265" s="175" t="str">
        <f>IFERROR(VLOOKUP(Table_Shelter[[#This Row],[CampName]],CL,2,0),"")</f>
        <v>MMR015CMP005</v>
      </c>
      <c r="T265" s="175" t="str">
        <f>IFERROR(VLOOKUP(Table_Shelter[[#This Row],[CampName]],CL,3,0),"")</f>
        <v>Open</v>
      </c>
      <c r="U265" s="265">
        <f>IFERROR(Table_Shelter[[#This Row],[HH Covered]]/VLOOKUP(Table_Shelter[[#This Row],[CampName]],CL,4,0),"")</f>
        <v>8.1300813008130079E-2</v>
      </c>
      <c r="V265" s="265" t="s">
        <v>1305</v>
      </c>
      <c r="W265" s="175"/>
    </row>
    <row r="266" spans="1:23" ht="15" customHeight="1" x14ac:dyDescent="0.25">
      <c r="A266" s="588"/>
      <c r="B266" s="173" t="s">
        <v>592</v>
      </c>
      <c r="C266" s="173" t="s">
        <v>459</v>
      </c>
      <c r="D266" s="176" t="s">
        <v>380</v>
      </c>
      <c r="E266" s="345" t="s">
        <v>151</v>
      </c>
      <c r="F266" s="173" t="s">
        <v>518</v>
      </c>
      <c r="G266" s="107">
        <v>1</v>
      </c>
      <c r="H266" s="109"/>
      <c r="I266" s="109"/>
      <c r="J266" s="109">
        <v>24</v>
      </c>
      <c r="K266" s="109">
        <v>24</v>
      </c>
      <c r="L266" s="175"/>
      <c r="M266" s="175"/>
      <c r="N266" s="175"/>
      <c r="O266" s="175"/>
      <c r="P266" s="108">
        <f>IF(Table_Shelter[[#This Row],[Status]]="Open",IF(V266="NO",Table_Shelter[[#This Row],[HH per Shelter]]*(Table_Shelter[[#This Row],['# of Temporary Shelter Units Built]]+Table_Shelter[[#This Row],['# of Temporary Shelter Under  Construction]]+Table_Shelter[[#This Row],['# of Permanent House Under Construction]]),0),0)</f>
        <v>0</v>
      </c>
      <c r="Q266" s="108"/>
      <c r="R266" s="175"/>
      <c r="S266" s="175" t="str">
        <f>IFERROR(VLOOKUP(Table_Shelter[[#This Row],[CampName]],CL,2,0),"")</f>
        <v>MMR001CMP203</v>
      </c>
      <c r="T266" s="175" t="str">
        <f>IFERROR(VLOOKUP(Table_Shelter[[#This Row],[CampName]],CL,3,0),"")</f>
        <v>Closed</v>
      </c>
      <c r="U266" s="265" t="str">
        <f>IFERROR(Table_Shelter[[#This Row],[HH Covered]]/VLOOKUP(Table_Shelter[[#This Row],[CampName]],CL,4,0),"")</f>
        <v/>
      </c>
      <c r="V266" s="265" t="s">
        <v>1305</v>
      </c>
      <c r="W266" s="175"/>
    </row>
    <row r="267" spans="1:23" ht="15" customHeight="1" x14ac:dyDescent="0.25">
      <c r="A267" s="588"/>
      <c r="B267" s="173" t="s">
        <v>846</v>
      </c>
      <c r="C267" s="173"/>
      <c r="D267" s="176" t="s">
        <v>553</v>
      </c>
      <c r="E267" s="345" t="s">
        <v>230</v>
      </c>
      <c r="F267" s="173" t="s">
        <v>1063</v>
      </c>
      <c r="G267" s="107">
        <v>1</v>
      </c>
      <c r="H267" s="109"/>
      <c r="I267" s="109"/>
      <c r="J267" s="109">
        <v>20</v>
      </c>
      <c r="K267" s="109">
        <v>20</v>
      </c>
      <c r="L267" s="175"/>
      <c r="M267" s="175"/>
      <c r="N267" s="175"/>
      <c r="O267" s="175"/>
      <c r="P267" s="108">
        <f>IF(Table_Shelter[[#This Row],[Status]]="Open",IF(V267="NO",Table_Shelter[[#This Row],[HH per Shelter]]*(Table_Shelter[[#This Row],['# of Temporary Shelter Units Built]]+Table_Shelter[[#This Row],['# of Temporary Shelter Under  Construction]]+Table_Shelter[[#This Row],['# of Permanent House Under Construction]]),0),0)</f>
        <v>20</v>
      </c>
      <c r="Q267" s="108"/>
      <c r="R267" s="175"/>
      <c r="S267" s="175" t="str">
        <f>IFERROR(VLOOKUP(Table_Shelter[[#This Row],[CampName]],CL,2,0),"")</f>
        <v>MMR015CMP216</v>
      </c>
      <c r="T267" s="175" t="str">
        <f>IFERROR(VLOOKUP(Table_Shelter[[#This Row],[CampName]],CL,3,0),"")</f>
        <v>Open</v>
      </c>
      <c r="U267" s="265">
        <f>IFERROR(Table_Shelter[[#This Row],[HH Covered]]/VLOOKUP(Table_Shelter[[#This Row],[CampName]],CL,4,0),"")</f>
        <v>0.8</v>
      </c>
      <c r="V267" s="265" t="s">
        <v>1305</v>
      </c>
      <c r="W267" s="175"/>
    </row>
    <row r="268" spans="1:23" ht="15" customHeight="1" x14ac:dyDescent="0.25">
      <c r="A268" s="588"/>
      <c r="B268" s="173" t="s">
        <v>452</v>
      </c>
      <c r="C268" s="173" t="s">
        <v>1262</v>
      </c>
      <c r="D268" s="180" t="s">
        <v>553</v>
      </c>
      <c r="E268" s="345" t="s">
        <v>230</v>
      </c>
      <c r="F268" s="173" t="s">
        <v>1063</v>
      </c>
      <c r="G268" s="107">
        <v>1</v>
      </c>
      <c r="H268" s="109"/>
      <c r="I268" s="109"/>
      <c r="J268" s="109">
        <v>10</v>
      </c>
      <c r="K268" s="109">
        <v>10</v>
      </c>
      <c r="L268" s="175"/>
      <c r="M268" s="175"/>
      <c r="N268" s="175"/>
      <c r="O268" s="175"/>
      <c r="P268" s="108">
        <f>IF(Table_Shelter[[#This Row],[Status]]="Open",IF(V268="NO",Table_Shelter[[#This Row],[HH per Shelter]]*(Table_Shelter[[#This Row],['# of Temporary Shelter Units Built]]+Table_Shelter[[#This Row],['# of Temporary Shelter Under  Construction]]+Table_Shelter[[#This Row],['# of Permanent House Under Construction]]),0),0)</f>
        <v>10</v>
      </c>
      <c r="Q268" s="108"/>
      <c r="R268" s="108"/>
      <c r="S268" s="108" t="str">
        <f>IFERROR(VLOOKUP(Table_Shelter[[#This Row],[CampName]],CL,2,0),"")</f>
        <v>MMR015CMP216</v>
      </c>
      <c r="T268" s="108" t="str">
        <f>IFERROR(VLOOKUP(Table_Shelter[[#This Row],[CampName]],CL,3,0),"")</f>
        <v>Open</v>
      </c>
      <c r="U268" s="265">
        <f>IFERROR(Table_Shelter[[#This Row],[HH Covered]]/VLOOKUP(Table_Shelter[[#This Row],[CampName]],CL,4,0),"")</f>
        <v>0.4</v>
      </c>
      <c r="V268" s="265" t="s">
        <v>1305</v>
      </c>
      <c r="W268" s="108"/>
    </row>
    <row r="269" spans="1:23" ht="15" customHeight="1" x14ac:dyDescent="0.25">
      <c r="A269" s="588"/>
      <c r="B269" s="173" t="s">
        <v>453</v>
      </c>
      <c r="C269" s="173" t="s">
        <v>460</v>
      </c>
      <c r="D269" s="176" t="s">
        <v>553</v>
      </c>
      <c r="E269" s="345" t="s">
        <v>289</v>
      </c>
      <c r="F269" s="173" t="s">
        <v>292</v>
      </c>
      <c r="G269" s="107">
        <v>1</v>
      </c>
      <c r="H269" s="109"/>
      <c r="I269" s="109"/>
      <c r="J269" s="109">
        <v>78</v>
      </c>
      <c r="K269" s="109">
        <v>78</v>
      </c>
      <c r="L269" s="175"/>
      <c r="M269" s="175"/>
      <c r="N269" s="175"/>
      <c r="O269" s="175"/>
      <c r="P269" s="108">
        <f>IF(Table_Shelter[[#This Row],[Status]]="Open",IF(V269="NO",Table_Shelter[[#This Row],[HH per Shelter]]*(Table_Shelter[[#This Row],['# of Temporary Shelter Units Built]]+Table_Shelter[[#This Row],['# of Temporary Shelter Under  Construction]]+Table_Shelter[[#This Row],['# of Permanent House Under Construction]]),0),0)</f>
        <v>78</v>
      </c>
      <c r="Q269" s="108"/>
      <c r="R269" s="175"/>
      <c r="S269" s="175" t="str">
        <f>IFERROR(VLOOKUP(Table_Shelter[[#This Row],[CampName]],CL,2,0),"")</f>
        <v>MMR015CMP004</v>
      </c>
      <c r="T269" s="175" t="str">
        <f>IFERROR(VLOOKUP(Table_Shelter[[#This Row],[CampName]],CL,3,0),"")</f>
        <v>Open</v>
      </c>
      <c r="U269" s="265">
        <f>IFERROR(Table_Shelter[[#This Row],[HH Covered]]/VLOOKUP(Table_Shelter[[#This Row],[CampName]],CL,4,0),"")</f>
        <v>1.04</v>
      </c>
      <c r="V269" s="265" t="s">
        <v>1305</v>
      </c>
      <c r="W269" s="175"/>
    </row>
    <row r="270" spans="1:23" ht="15" customHeight="1" x14ac:dyDescent="0.25">
      <c r="A270" s="588"/>
      <c r="B270" s="173" t="s">
        <v>452</v>
      </c>
      <c r="C270" s="173" t="s">
        <v>460</v>
      </c>
      <c r="D270" s="176" t="s">
        <v>553</v>
      </c>
      <c r="E270" s="345" t="s">
        <v>289</v>
      </c>
      <c r="F270" s="173" t="s">
        <v>292</v>
      </c>
      <c r="G270" s="107">
        <v>1</v>
      </c>
      <c r="H270" s="109"/>
      <c r="I270" s="109"/>
      <c r="J270" s="109">
        <v>20</v>
      </c>
      <c r="K270" s="109">
        <v>20</v>
      </c>
      <c r="L270" s="175"/>
      <c r="M270" s="175"/>
      <c r="N270" s="175"/>
      <c r="O270" s="175"/>
      <c r="P270" s="108">
        <f>IF(Table_Shelter[[#This Row],[Status]]="Open",IF(V270="NO",Table_Shelter[[#This Row],[HH per Shelter]]*(Table_Shelter[[#This Row],['# of Temporary Shelter Units Built]]+Table_Shelter[[#This Row],['# of Temporary Shelter Under  Construction]]+Table_Shelter[[#This Row],['# of Permanent House Under Construction]]),0),0)</f>
        <v>20</v>
      </c>
      <c r="Q270" s="108"/>
      <c r="R270" s="175"/>
      <c r="S270" s="175" t="str">
        <f>IFERROR(VLOOKUP(Table_Shelter[[#This Row],[CampName]],CL,2,0),"")</f>
        <v>MMR015CMP004</v>
      </c>
      <c r="T270" s="175" t="str">
        <f>IFERROR(VLOOKUP(Table_Shelter[[#This Row],[CampName]],CL,3,0),"")</f>
        <v>Open</v>
      </c>
      <c r="U270" s="265">
        <f>IFERROR(Table_Shelter[[#This Row],[HH Covered]]/VLOOKUP(Table_Shelter[[#This Row],[CampName]],CL,4,0),"")</f>
        <v>0.26666666666666666</v>
      </c>
      <c r="V270" s="265" t="s">
        <v>1305</v>
      </c>
      <c r="W270" s="175"/>
    </row>
    <row r="271" spans="1:23" ht="15" customHeight="1" x14ac:dyDescent="0.25">
      <c r="A271" s="588"/>
      <c r="B271" s="173" t="s">
        <v>453</v>
      </c>
      <c r="C271" s="173" t="s">
        <v>460</v>
      </c>
      <c r="D271" s="176" t="s">
        <v>553</v>
      </c>
      <c r="E271" s="345" t="s">
        <v>289</v>
      </c>
      <c r="F271" s="173" t="s">
        <v>290</v>
      </c>
      <c r="G271" s="107">
        <v>1</v>
      </c>
      <c r="H271" s="109"/>
      <c r="I271" s="109"/>
      <c r="J271" s="109">
        <v>30</v>
      </c>
      <c r="K271" s="109">
        <v>30</v>
      </c>
      <c r="L271" s="175"/>
      <c r="M271" s="175"/>
      <c r="N271" s="175"/>
      <c r="O271" s="175"/>
      <c r="P271" s="108">
        <f>IF(Table_Shelter[[#This Row],[Status]]="Open",IF(V271="NO",Table_Shelter[[#This Row],[HH per Shelter]]*(Table_Shelter[[#This Row],['# of Temporary Shelter Units Built]]+Table_Shelter[[#This Row],['# of Temporary Shelter Under  Construction]]+Table_Shelter[[#This Row],['# of Permanent House Under Construction]]),0),0)</f>
        <v>30</v>
      </c>
      <c r="Q271" s="108"/>
      <c r="R271" s="175"/>
      <c r="S271" s="175" t="str">
        <f>IFERROR(VLOOKUP(Table_Shelter[[#This Row],[CampName]],CL,2,0),"")</f>
        <v>MMR015CMP001</v>
      </c>
      <c r="T271" s="175" t="str">
        <f>IFERROR(VLOOKUP(Table_Shelter[[#This Row],[CampName]],CL,3,0),"")</f>
        <v>Open</v>
      </c>
      <c r="U271" s="265">
        <f>IFERROR(Table_Shelter[[#This Row],[HH Covered]]/VLOOKUP(Table_Shelter[[#This Row],[CampName]],CL,4,0),"")</f>
        <v>0.43478260869565216</v>
      </c>
      <c r="V271" s="265" t="s">
        <v>1305</v>
      </c>
      <c r="W271" s="175"/>
    </row>
    <row r="272" spans="1:23" ht="15" customHeight="1" x14ac:dyDescent="0.25">
      <c r="A272" s="588"/>
      <c r="B272" s="173" t="s">
        <v>846</v>
      </c>
      <c r="C272" s="173"/>
      <c r="D272" s="176" t="s">
        <v>553</v>
      </c>
      <c r="E272" s="345" t="s">
        <v>289</v>
      </c>
      <c r="F272" s="173" t="s">
        <v>1055</v>
      </c>
      <c r="G272" s="107">
        <v>1</v>
      </c>
      <c r="H272" s="109"/>
      <c r="I272" s="109"/>
      <c r="J272" s="109">
        <v>24</v>
      </c>
      <c r="K272" s="109">
        <v>12</v>
      </c>
      <c r="L272" s="175"/>
      <c r="M272" s="175"/>
      <c r="N272" s="175"/>
      <c r="O272" s="175"/>
      <c r="P272" s="108">
        <f>IF(Table_Shelter[[#This Row],[Status]]="Open",IF(V272="NO",Table_Shelter[[#This Row],[HH per Shelter]]*(Table_Shelter[[#This Row],['# of Temporary Shelter Units Built]]+Table_Shelter[[#This Row],['# of Temporary Shelter Under  Construction]]+Table_Shelter[[#This Row],['# of Permanent House Under Construction]]),0),0)</f>
        <v>12</v>
      </c>
      <c r="Q272" s="108"/>
      <c r="R272" s="175"/>
      <c r="S272" s="175" t="str">
        <f>IFERROR(VLOOKUP(Table_Shelter[[#This Row],[CampName]],CL,2,0),"")</f>
        <v>MMR015CMP214</v>
      </c>
      <c r="T272" s="175" t="str">
        <f>IFERROR(VLOOKUP(Table_Shelter[[#This Row],[CampName]],CL,3,0),"")</f>
        <v>Open</v>
      </c>
      <c r="U272" s="265">
        <f>IFERROR(Table_Shelter[[#This Row],[HH Covered]]/VLOOKUP(Table_Shelter[[#This Row],[CampName]],CL,4,0),"")</f>
        <v>0.33333333333333331</v>
      </c>
      <c r="V272" s="265" t="s">
        <v>1305</v>
      </c>
      <c r="W272" s="175"/>
    </row>
    <row r="273" spans="1:23" ht="15" customHeight="1" x14ac:dyDescent="0.25">
      <c r="A273" s="588"/>
      <c r="B273" s="173" t="s">
        <v>452</v>
      </c>
      <c r="C273" s="173" t="s">
        <v>460</v>
      </c>
      <c r="D273" s="176" t="s">
        <v>553</v>
      </c>
      <c r="E273" s="345" t="s">
        <v>146</v>
      </c>
      <c r="F273" s="173" t="s">
        <v>149</v>
      </c>
      <c r="G273" s="107">
        <v>1</v>
      </c>
      <c r="H273" s="109"/>
      <c r="I273" s="109"/>
      <c r="J273" s="109">
        <v>20</v>
      </c>
      <c r="K273" s="109">
        <v>20</v>
      </c>
      <c r="L273" s="175"/>
      <c r="M273" s="175"/>
      <c r="N273" s="175"/>
      <c r="O273" s="175"/>
      <c r="P273" s="108">
        <f>IF(Table_Shelter[[#This Row],[Status]]="Open",IF(V273="NO",Table_Shelter[[#This Row],[HH per Shelter]]*(Table_Shelter[[#This Row],['# of Temporary Shelter Units Built]]+Table_Shelter[[#This Row],['# of Temporary Shelter Under  Construction]]+Table_Shelter[[#This Row],['# of Permanent House Under Construction]]),0),0)</f>
        <v>20</v>
      </c>
      <c r="Q273" s="108"/>
      <c r="R273" s="175"/>
      <c r="S273" s="175" t="str">
        <f>IFERROR(VLOOKUP(Table_Shelter[[#This Row],[CampName]],CL,2,0),"")</f>
        <v>MMR015CMP007</v>
      </c>
      <c r="T273" s="175" t="str">
        <f>IFERROR(VLOOKUP(Table_Shelter[[#This Row],[CampName]],CL,3,0),"")</f>
        <v>Open</v>
      </c>
      <c r="U273" s="265">
        <f>IFERROR(Table_Shelter[[#This Row],[HH Covered]]/VLOOKUP(Table_Shelter[[#This Row],[CampName]],CL,4,0),"")</f>
        <v>0.3125</v>
      </c>
      <c r="V273" s="265" t="s">
        <v>1305</v>
      </c>
      <c r="W273" s="175"/>
    </row>
    <row r="274" spans="1:23" ht="15" customHeight="1" x14ac:dyDescent="0.25">
      <c r="A274" s="588"/>
      <c r="B274" s="173" t="s">
        <v>452</v>
      </c>
      <c r="C274" s="173" t="s">
        <v>846</v>
      </c>
      <c r="D274" s="176" t="s">
        <v>553</v>
      </c>
      <c r="E274" s="345" t="s">
        <v>146</v>
      </c>
      <c r="F274" s="173" t="s">
        <v>149</v>
      </c>
      <c r="G274" s="107">
        <v>1</v>
      </c>
      <c r="H274" s="109"/>
      <c r="I274" s="109"/>
      <c r="J274" s="109">
        <v>6</v>
      </c>
      <c r="K274" s="109">
        <v>6</v>
      </c>
      <c r="L274" s="175"/>
      <c r="M274" s="175"/>
      <c r="N274" s="175"/>
      <c r="O274" s="175"/>
      <c r="P274" s="108">
        <f>IF(Table_Shelter[[#This Row],[Status]]="Open",IF(V274="NO",Table_Shelter[[#This Row],[HH per Shelter]]*(Table_Shelter[[#This Row],['# of Temporary Shelter Units Built]]+Table_Shelter[[#This Row],['# of Temporary Shelter Under  Construction]]+Table_Shelter[[#This Row],['# of Permanent House Under Construction]]),0),0)</f>
        <v>6</v>
      </c>
      <c r="Q274" s="108"/>
      <c r="R274" s="175"/>
      <c r="S274" s="175" t="str">
        <f>IFERROR(VLOOKUP(Table_Shelter[[#This Row],[CampName]],CL,2,0),"")</f>
        <v>MMR015CMP007</v>
      </c>
      <c r="T274" s="175" t="str">
        <f>IFERROR(VLOOKUP(Table_Shelter[[#This Row],[CampName]],CL,3,0),"")</f>
        <v>Open</v>
      </c>
      <c r="U274" s="265">
        <f>IFERROR(Table_Shelter[[#This Row],[HH Covered]]/VLOOKUP(Table_Shelter[[#This Row],[CampName]],CL,4,0),"")</f>
        <v>9.375E-2</v>
      </c>
      <c r="V274" s="265" t="s">
        <v>1305</v>
      </c>
      <c r="W274" s="175"/>
    </row>
    <row r="275" spans="1:23" ht="15" customHeight="1" x14ac:dyDescent="0.25">
      <c r="A275" s="588"/>
      <c r="B275" s="173" t="s">
        <v>452</v>
      </c>
      <c r="C275" s="173" t="s">
        <v>459</v>
      </c>
      <c r="D275" s="176" t="s">
        <v>380</v>
      </c>
      <c r="E275" s="345" t="s">
        <v>151</v>
      </c>
      <c r="F275" s="173" t="s">
        <v>865</v>
      </c>
      <c r="G275" s="107">
        <v>1</v>
      </c>
      <c r="H275" s="109"/>
      <c r="I275" s="109"/>
      <c r="J275" s="109">
        <v>36</v>
      </c>
      <c r="K275" s="109">
        <v>36</v>
      </c>
      <c r="L275" s="175"/>
      <c r="M275" s="175"/>
      <c r="N275" s="175"/>
      <c r="O275" s="175"/>
      <c r="P275" s="108">
        <f>IF(Table_Shelter[[#This Row],[Status]]="Open",IF(V275="NO",Table_Shelter[[#This Row],[HH per Shelter]]*(Table_Shelter[[#This Row],['# of Temporary Shelter Units Built]]+Table_Shelter[[#This Row],['# of Temporary Shelter Under  Construction]]+Table_Shelter[[#This Row],['# of Permanent House Under Construction]]),0),0)</f>
        <v>0</v>
      </c>
      <c r="Q275" s="108"/>
      <c r="R275" s="175"/>
      <c r="S275" s="175" t="str">
        <f>IFERROR(VLOOKUP(Table_Shelter[[#This Row],[CampName]],CL,2,0),"")</f>
        <v>MMR001CMP204</v>
      </c>
      <c r="T275" s="175" t="str">
        <f>IFERROR(VLOOKUP(Table_Shelter[[#This Row],[CampName]],CL,3,0),"")</f>
        <v>Closed</v>
      </c>
      <c r="U275" s="265" t="str">
        <f>IFERROR(Table_Shelter[[#This Row],[HH Covered]]/VLOOKUP(Table_Shelter[[#This Row],[CampName]],CL,4,0),"")</f>
        <v/>
      </c>
      <c r="V275" s="265" t="s">
        <v>1305</v>
      </c>
      <c r="W275" s="175"/>
    </row>
    <row r="276" spans="1:23" ht="15" customHeight="1" x14ac:dyDescent="0.25">
      <c r="A276" s="588"/>
      <c r="B276" s="173" t="s">
        <v>862</v>
      </c>
      <c r="C276" s="173"/>
      <c r="D276" s="176" t="s">
        <v>380</v>
      </c>
      <c r="E276" s="345" t="s">
        <v>527</v>
      </c>
      <c r="F276" s="173" t="s">
        <v>611</v>
      </c>
      <c r="G276" s="107">
        <v>1</v>
      </c>
      <c r="H276" s="109">
        <v>8</v>
      </c>
      <c r="I276" s="109">
        <v>8</v>
      </c>
      <c r="J276" s="109"/>
      <c r="K276" s="109"/>
      <c r="L276" s="175"/>
      <c r="M276" s="175"/>
      <c r="N276" s="175"/>
      <c r="O276" s="175"/>
      <c r="P276" s="108">
        <f>IF(Table_Shelter[[#This Row],[Status]]="Open",IF(V276="NO",Table_Shelter[[#This Row],[HH per Shelter]]*(Table_Shelter[[#This Row],['# of Temporary Shelter Units Built]]+Table_Shelter[[#This Row],['# of Temporary Shelter Under  Construction]]+Table_Shelter[[#This Row],['# of Permanent House Under Construction]]),0),0)</f>
        <v>0</v>
      </c>
      <c r="Q276" s="108"/>
      <c r="R276" s="175"/>
      <c r="S276" s="175" t="str">
        <f>IFERROR(VLOOKUP(Table_Shelter[[#This Row],[CampName]],CL,2,0),"")</f>
        <v>MMR001CMP192</v>
      </c>
      <c r="T276" s="175" t="str">
        <f>IFERROR(VLOOKUP(Table_Shelter[[#This Row],[CampName]],CL,3,0),"")</f>
        <v>Open</v>
      </c>
      <c r="U276" s="265">
        <f>IFERROR(Table_Shelter[[#This Row],[HH Covered]]/VLOOKUP(Table_Shelter[[#This Row],[CampName]],CL,4,0),"")</f>
        <v>0</v>
      </c>
      <c r="V276" s="265" t="s">
        <v>1305</v>
      </c>
      <c r="W276" s="175"/>
    </row>
    <row r="277" spans="1:23" ht="15" customHeight="1" x14ac:dyDescent="0.25">
      <c r="A277" s="588"/>
      <c r="B277" s="107" t="s">
        <v>452</v>
      </c>
      <c r="C277" s="107" t="s">
        <v>460</v>
      </c>
      <c r="D277" s="180" t="s">
        <v>553</v>
      </c>
      <c r="E277" s="181" t="s">
        <v>779</v>
      </c>
      <c r="F277" s="107" t="s">
        <v>1275</v>
      </c>
      <c r="G277" s="107">
        <v>1</v>
      </c>
      <c r="H277" s="109"/>
      <c r="I277" s="109"/>
      <c r="J277" s="109">
        <v>10</v>
      </c>
      <c r="K277" s="109">
        <v>10</v>
      </c>
      <c r="L277" s="109"/>
      <c r="M277" s="109"/>
      <c r="N277" s="109"/>
      <c r="O277" s="109"/>
      <c r="P277" s="108">
        <f>IF(Table_Shelter[[#This Row],[Status]]="Open",IF(V277="NO",Table_Shelter[[#This Row],[HH per Shelter]]*(Table_Shelter[[#This Row],['# of Temporary Shelter Units Built]]+Table_Shelter[[#This Row],['# of Temporary Shelter Under  Construction]]+Table_Shelter[[#This Row],['# of Permanent House Under Construction]]),0),0)</f>
        <v>10</v>
      </c>
      <c r="Q277" s="108"/>
      <c r="R277" s="108"/>
      <c r="S277" s="108" t="str">
        <f>IFERROR(VLOOKUP(Table_Shelter[[#This Row],[CampName]],CL,2,0),"")</f>
        <v>MMR015CMP218</v>
      </c>
      <c r="T277" s="108" t="str">
        <f>IFERROR(VLOOKUP(Table_Shelter[[#This Row],[CampName]],CL,3,0),"")</f>
        <v>Open</v>
      </c>
      <c r="U277" s="266">
        <f>IFERROR(Table_Shelter[[#This Row],[HH Covered]]/VLOOKUP(Table_Shelter[[#This Row],[CampName]],CL,4,0),"")</f>
        <v>0.26315789473684209</v>
      </c>
      <c r="V277" s="265" t="s">
        <v>1305</v>
      </c>
      <c r="W277" s="108"/>
    </row>
    <row r="278" spans="1:23" ht="15" customHeight="1" x14ac:dyDescent="0.25">
      <c r="A278" s="588"/>
      <c r="B278" s="173" t="s">
        <v>452</v>
      </c>
      <c r="C278" s="173" t="s">
        <v>460</v>
      </c>
      <c r="D278" s="176" t="s">
        <v>553</v>
      </c>
      <c r="E278" s="345" t="s">
        <v>298</v>
      </c>
      <c r="F278" s="173" t="s">
        <v>821</v>
      </c>
      <c r="G278" s="107">
        <v>1</v>
      </c>
      <c r="H278" s="109"/>
      <c r="I278" s="109"/>
      <c r="J278" s="109">
        <v>10</v>
      </c>
      <c r="K278" s="109">
        <v>10</v>
      </c>
      <c r="L278" s="175"/>
      <c r="M278" s="175"/>
      <c r="N278" s="175"/>
      <c r="O278" s="175"/>
      <c r="P278" s="108">
        <f>IF(Table_Shelter[[#This Row],[Status]]="Open",IF(V278="NO",Table_Shelter[[#This Row],[HH per Shelter]]*(Table_Shelter[[#This Row],['# of Temporary Shelter Units Built]]+Table_Shelter[[#This Row],['# of Temporary Shelter Under  Construction]]+Table_Shelter[[#This Row],['# of Permanent House Under Construction]]),0),0)</f>
        <v>10</v>
      </c>
      <c r="Q278" s="108"/>
      <c r="R278" s="175"/>
      <c r="S278" s="175" t="str">
        <f>IFERROR(VLOOKUP(Table_Shelter[[#This Row],[CampName]],CL,2,0),"")</f>
        <v>MMR015CMP014</v>
      </c>
      <c r="T278" s="175" t="str">
        <f>IFERROR(VLOOKUP(Table_Shelter[[#This Row],[CampName]],CL,3,0),"")</f>
        <v>Open</v>
      </c>
      <c r="U278" s="265">
        <f>IFERROR(Table_Shelter[[#This Row],[HH Covered]]/VLOOKUP(Table_Shelter[[#This Row],[CampName]],CL,4,0),"")</f>
        <v>1.25</v>
      </c>
      <c r="V278" s="265" t="s">
        <v>1305</v>
      </c>
      <c r="W278" s="175"/>
    </row>
    <row r="279" spans="1:23" ht="15" customHeight="1" x14ac:dyDescent="0.25">
      <c r="A279" s="588"/>
      <c r="B279" s="173" t="s">
        <v>846</v>
      </c>
      <c r="C279" s="173"/>
      <c r="D279" s="176" t="s">
        <v>553</v>
      </c>
      <c r="E279" s="345" t="s">
        <v>289</v>
      </c>
      <c r="F279" s="173" t="s">
        <v>1067</v>
      </c>
      <c r="G279" s="107">
        <v>1</v>
      </c>
      <c r="H279" s="109"/>
      <c r="I279" s="109"/>
      <c r="J279" s="109">
        <v>50</v>
      </c>
      <c r="K279" s="109">
        <v>36</v>
      </c>
      <c r="L279" s="175"/>
      <c r="M279" s="175"/>
      <c r="N279" s="175"/>
      <c r="O279" s="175"/>
      <c r="P279" s="108">
        <f>IF(Table_Shelter[[#This Row],[Status]]="Open",IF(V279="NO",Table_Shelter[[#This Row],[HH per Shelter]]*(Table_Shelter[[#This Row],['# of Temporary Shelter Units Built]]+Table_Shelter[[#This Row],['# of Temporary Shelter Under  Construction]]+Table_Shelter[[#This Row],['# of Permanent House Under Construction]]),0),0)</f>
        <v>36</v>
      </c>
      <c r="Q279" s="108"/>
      <c r="R279" s="175"/>
      <c r="S279" s="175" t="str">
        <f>IFERROR(VLOOKUP(Table_Shelter[[#This Row],[CampName]],CL,2,0),"")</f>
        <v>MMR015CMP215</v>
      </c>
      <c r="T279" s="175" t="str">
        <f>IFERROR(VLOOKUP(Table_Shelter[[#This Row],[CampName]],CL,3,0),"")</f>
        <v>Open</v>
      </c>
      <c r="U279" s="265">
        <f>IFERROR(Table_Shelter[[#This Row],[HH Covered]]/VLOOKUP(Table_Shelter[[#This Row],[CampName]],CL,4,0),"")</f>
        <v>0.2975206611570248</v>
      </c>
      <c r="V279" s="265" t="s">
        <v>1305</v>
      </c>
      <c r="W279" s="175"/>
    </row>
    <row r="280" spans="1:23" ht="15" customHeight="1" x14ac:dyDescent="0.25">
      <c r="A280" s="588"/>
      <c r="B280" s="173" t="s">
        <v>862</v>
      </c>
      <c r="C280" s="173"/>
      <c r="D280" s="176" t="s">
        <v>380</v>
      </c>
      <c r="E280" s="345" t="s">
        <v>237</v>
      </c>
      <c r="F280" s="173" t="s">
        <v>271</v>
      </c>
      <c r="G280" s="107">
        <v>1</v>
      </c>
      <c r="H280" s="109">
        <v>1</v>
      </c>
      <c r="I280" s="109">
        <v>1</v>
      </c>
      <c r="J280" s="109"/>
      <c r="K280" s="109"/>
      <c r="L280" s="175"/>
      <c r="M280" s="175"/>
      <c r="N280" s="175"/>
      <c r="O280" s="175"/>
      <c r="P280" s="108">
        <f>IF(Table_Shelter[[#This Row],[Status]]="Open",IF(V280="NO",Table_Shelter[[#This Row],[HH per Shelter]]*(Table_Shelter[[#This Row],['# of Temporary Shelter Units Built]]+Table_Shelter[[#This Row],['# of Temporary Shelter Under  Construction]]+Table_Shelter[[#This Row],['# of Permanent House Under Construction]]),0),0)</f>
        <v>0</v>
      </c>
      <c r="Q280" s="108"/>
      <c r="R280" s="175"/>
      <c r="S280" s="175" t="str">
        <f>IFERROR(VLOOKUP(Table_Shelter[[#This Row],[CampName]],CL,2,0),"")</f>
        <v>MMR001CMP024</v>
      </c>
      <c r="T280" s="175" t="str">
        <f>IFERROR(VLOOKUP(Table_Shelter[[#This Row],[CampName]],CL,3,0),"")</f>
        <v>Open</v>
      </c>
      <c r="U280" s="265">
        <f>IFERROR(Table_Shelter[[#This Row],[HH Covered]]/VLOOKUP(Table_Shelter[[#This Row],[CampName]],CL,4,0),"")</f>
        <v>0</v>
      </c>
      <c r="V280" s="265" t="s">
        <v>1305</v>
      </c>
      <c r="W280" s="175"/>
    </row>
    <row r="281" spans="1:23" ht="15" customHeight="1" x14ac:dyDescent="0.25">
      <c r="A281" s="588"/>
      <c r="B281" s="173" t="s">
        <v>453</v>
      </c>
      <c r="C281" s="173" t="s">
        <v>506</v>
      </c>
      <c r="D281" s="176" t="s">
        <v>380</v>
      </c>
      <c r="E281" s="345" t="s">
        <v>237</v>
      </c>
      <c r="F281" s="173" t="s">
        <v>271</v>
      </c>
      <c r="G281" s="107">
        <v>1</v>
      </c>
      <c r="H281" s="109"/>
      <c r="I281" s="109"/>
      <c r="J281" s="109">
        <v>46</v>
      </c>
      <c r="K281" s="109">
        <v>46</v>
      </c>
      <c r="L281" s="175"/>
      <c r="M281" s="175"/>
      <c r="N281" s="175"/>
      <c r="O281" s="175"/>
      <c r="P281" s="108">
        <f>IF(Table_Shelter[[#This Row],[Status]]="Open",IF(V281="NO",Table_Shelter[[#This Row],[HH per Shelter]]*(Table_Shelter[[#This Row],['# of Temporary Shelter Units Built]]+Table_Shelter[[#This Row],['# of Temporary Shelter Under  Construction]]+Table_Shelter[[#This Row],['# of Permanent House Under Construction]]),0),0)</f>
        <v>46</v>
      </c>
      <c r="Q281" s="108"/>
      <c r="R281" s="175"/>
      <c r="S281" s="175" t="str">
        <f>IFERROR(VLOOKUP(Table_Shelter[[#This Row],[CampName]],CL,2,0),"")</f>
        <v>MMR001CMP024</v>
      </c>
      <c r="T281" s="175" t="str">
        <f>IFERROR(VLOOKUP(Table_Shelter[[#This Row],[CampName]],CL,3,0),"")</f>
        <v>Open</v>
      </c>
      <c r="U281" s="265">
        <f>IFERROR(Table_Shelter[[#This Row],[HH Covered]]/VLOOKUP(Table_Shelter[[#This Row],[CampName]],CL,4,0),"")</f>
        <v>0.67647058823529416</v>
      </c>
      <c r="V281" s="265" t="s">
        <v>1305</v>
      </c>
      <c r="W281" s="175"/>
    </row>
    <row r="282" spans="1:23" ht="15" customHeight="1" x14ac:dyDescent="0.25">
      <c r="A282" s="588"/>
      <c r="B282" s="173" t="s">
        <v>452</v>
      </c>
      <c r="C282" s="173" t="s">
        <v>506</v>
      </c>
      <c r="D282" s="176" t="s">
        <v>380</v>
      </c>
      <c r="E282" s="345" t="s">
        <v>237</v>
      </c>
      <c r="F282" s="173" t="s">
        <v>271</v>
      </c>
      <c r="G282" s="107">
        <v>1</v>
      </c>
      <c r="H282" s="109"/>
      <c r="I282" s="109"/>
      <c r="J282" s="109">
        <v>21</v>
      </c>
      <c r="K282" s="109">
        <v>21</v>
      </c>
      <c r="L282" s="175"/>
      <c r="M282" s="175"/>
      <c r="N282" s="175"/>
      <c r="O282" s="175"/>
      <c r="P282" s="108">
        <f>IF(Table_Shelter[[#This Row],[Status]]="Open",IF(V282="NO",Table_Shelter[[#This Row],[HH per Shelter]]*(Table_Shelter[[#This Row],['# of Temporary Shelter Units Built]]+Table_Shelter[[#This Row],['# of Temporary Shelter Under  Construction]]+Table_Shelter[[#This Row],['# of Permanent House Under Construction]]),0),0)</f>
        <v>21</v>
      </c>
      <c r="Q282" s="108">
        <v>21</v>
      </c>
      <c r="R282" s="175"/>
      <c r="S282" s="175" t="str">
        <f>IFERROR(VLOOKUP(Table_Shelter[[#This Row],[CampName]],CL,2,0),"")</f>
        <v>MMR001CMP024</v>
      </c>
      <c r="T282" s="175" t="str">
        <f>IFERROR(VLOOKUP(Table_Shelter[[#This Row],[CampName]],CL,3,0),"")</f>
        <v>Open</v>
      </c>
      <c r="U282" s="265">
        <f>IFERROR(Table_Shelter[[#This Row],[HH Covered]]/VLOOKUP(Table_Shelter[[#This Row],[CampName]],CL,4,0),"")</f>
        <v>0.30882352941176472</v>
      </c>
      <c r="V282" s="265" t="s">
        <v>1305</v>
      </c>
      <c r="W282" s="175"/>
    </row>
    <row r="283" spans="1:23" ht="15" customHeight="1" x14ac:dyDescent="0.25">
      <c r="A283" s="588"/>
      <c r="B283" s="173" t="s">
        <v>452</v>
      </c>
      <c r="C283" s="173"/>
      <c r="D283" s="176" t="s">
        <v>380</v>
      </c>
      <c r="E283" s="345" t="s">
        <v>5</v>
      </c>
      <c r="F283" s="173" t="s">
        <v>20</v>
      </c>
      <c r="G283" s="107">
        <v>1</v>
      </c>
      <c r="H283" s="109"/>
      <c r="I283" s="109"/>
      <c r="J283" s="109">
        <v>10</v>
      </c>
      <c r="K283" s="109">
        <v>10</v>
      </c>
      <c r="L283" s="175"/>
      <c r="M283" s="175"/>
      <c r="N283" s="175"/>
      <c r="O283" s="175"/>
      <c r="P283" s="108">
        <f>IF(Table_Shelter[[#This Row],[Status]]="Open",IF(V283="NO",Table_Shelter[[#This Row],[HH per Shelter]]*(Table_Shelter[[#This Row],['# of Temporary Shelter Units Built]]+Table_Shelter[[#This Row],['# of Temporary Shelter Under  Construction]]+Table_Shelter[[#This Row],['# of Permanent House Under Construction]]),0),0)</f>
        <v>10</v>
      </c>
      <c r="Q283" s="108"/>
      <c r="R283" s="175"/>
      <c r="S283" s="175" t="str">
        <f>IFERROR(VLOOKUP(Table_Shelter[[#This Row],[CampName]],CL,2,0),"")</f>
        <v>MMR001CMP054</v>
      </c>
      <c r="T283" s="175" t="str">
        <f>IFERROR(VLOOKUP(Table_Shelter[[#This Row],[CampName]],CL,3,0),"")</f>
        <v>Open</v>
      </c>
      <c r="U283" s="265">
        <f>IFERROR(Table_Shelter[[#This Row],[HH Covered]]/VLOOKUP(Table_Shelter[[#This Row],[CampName]],CL,4,0),"")</f>
        <v>0.47619047619047616</v>
      </c>
      <c r="V283" s="265" t="s">
        <v>1305</v>
      </c>
      <c r="W283" s="175"/>
    </row>
    <row r="284" spans="1:23" ht="15" customHeight="1" x14ac:dyDescent="0.25">
      <c r="A284" s="588"/>
      <c r="B284" s="173" t="s">
        <v>452</v>
      </c>
      <c r="C284" s="173" t="s">
        <v>460</v>
      </c>
      <c r="D284" s="176" t="s">
        <v>380</v>
      </c>
      <c r="E284" s="345" t="s">
        <v>527</v>
      </c>
      <c r="F284" s="173" t="s">
        <v>108</v>
      </c>
      <c r="G284" s="107">
        <v>1</v>
      </c>
      <c r="H284" s="109"/>
      <c r="I284" s="109"/>
      <c r="J284" s="109">
        <v>40</v>
      </c>
      <c r="K284" s="109">
        <v>40</v>
      </c>
      <c r="L284" s="175"/>
      <c r="M284" s="175"/>
      <c r="N284" s="175"/>
      <c r="O284" s="175"/>
      <c r="P284" s="108">
        <f>IF(Table_Shelter[[#This Row],[Status]]="Open",IF(V284="NO",Table_Shelter[[#This Row],[HH per Shelter]]*(Table_Shelter[[#This Row],['# of Temporary Shelter Units Built]]+Table_Shelter[[#This Row],['# of Temporary Shelter Under  Construction]]+Table_Shelter[[#This Row],['# of Permanent House Under Construction]]),0),0)</f>
        <v>40</v>
      </c>
      <c r="Q284" s="108"/>
      <c r="R284" s="175"/>
      <c r="S284" s="175" t="str">
        <f>IFERROR(VLOOKUP(Table_Shelter[[#This Row],[CampName]],CL,2,0),"")</f>
        <v>MMR001CMP103</v>
      </c>
      <c r="T284" s="175" t="str">
        <f>IFERROR(VLOOKUP(Table_Shelter[[#This Row],[CampName]],CL,3,0),"")</f>
        <v>Open</v>
      </c>
      <c r="U284" s="265">
        <f>IFERROR(Table_Shelter[[#This Row],[HH Covered]]/VLOOKUP(Table_Shelter[[#This Row],[CampName]],CL,4,0),"")</f>
        <v>0.78431372549019607</v>
      </c>
      <c r="V284" s="265" t="s">
        <v>1305</v>
      </c>
      <c r="W284" s="175"/>
    </row>
    <row r="285" spans="1:23" ht="15" customHeight="1" x14ac:dyDescent="0.25">
      <c r="A285" s="588"/>
      <c r="B285" s="173" t="s">
        <v>452</v>
      </c>
      <c r="C285" s="173" t="s">
        <v>505</v>
      </c>
      <c r="D285" s="180" t="s">
        <v>380</v>
      </c>
      <c r="E285" s="345" t="s">
        <v>527</v>
      </c>
      <c r="F285" s="173" t="s">
        <v>108</v>
      </c>
      <c r="G285" s="107">
        <v>1</v>
      </c>
      <c r="H285" s="109"/>
      <c r="I285" s="109"/>
      <c r="J285" s="109">
        <v>15</v>
      </c>
      <c r="K285" s="109">
        <v>15</v>
      </c>
      <c r="L285" s="175"/>
      <c r="M285" s="175"/>
      <c r="N285" s="175"/>
      <c r="O285" s="175"/>
      <c r="P285" s="108">
        <f>IF(Table_Shelter[[#This Row],[Status]]="Open",IF(V285="NO",Table_Shelter[[#This Row],[HH per Shelter]]*(Table_Shelter[[#This Row],['# of Temporary Shelter Units Built]]+Table_Shelter[[#This Row],['# of Temporary Shelter Under  Construction]]+Table_Shelter[[#This Row],['# of Permanent House Under Construction]]),0),0)</f>
        <v>15</v>
      </c>
      <c r="Q285" s="108"/>
      <c r="R285" s="108"/>
      <c r="S285" s="108" t="str">
        <f>IFERROR(VLOOKUP(Table_Shelter[[#This Row],[CampName]],CL,2,0),"")</f>
        <v>MMR001CMP103</v>
      </c>
      <c r="T285" s="108" t="str">
        <f>IFERROR(VLOOKUP(Table_Shelter[[#This Row],[CampName]],CL,3,0),"")</f>
        <v>Open</v>
      </c>
      <c r="U285" s="265">
        <f>IFERROR(Table_Shelter[[#This Row],[HH Covered]]/VLOOKUP(Table_Shelter[[#This Row],[CampName]],CL,4,0),"")</f>
        <v>0.29411764705882354</v>
      </c>
      <c r="V285" s="265" t="s">
        <v>1305</v>
      </c>
      <c r="W285" s="108"/>
    </row>
    <row r="286" spans="1:23" ht="15" customHeight="1" x14ac:dyDescent="0.25">
      <c r="A286" s="588"/>
      <c r="B286" s="173" t="s">
        <v>452</v>
      </c>
      <c r="C286" s="173" t="s">
        <v>460</v>
      </c>
      <c r="D286" s="176" t="s">
        <v>380</v>
      </c>
      <c r="E286" s="345" t="s">
        <v>173</v>
      </c>
      <c r="F286" s="173" t="s">
        <v>178</v>
      </c>
      <c r="G286" s="107">
        <v>1</v>
      </c>
      <c r="H286" s="109"/>
      <c r="I286" s="109"/>
      <c r="J286" s="109">
        <v>15</v>
      </c>
      <c r="K286" s="109">
        <v>15</v>
      </c>
      <c r="L286" s="175"/>
      <c r="M286" s="175"/>
      <c r="N286" s="175"/>
      <c r="O286" s="175"/>
      <c r="P286" s="108">
        <f>IF(Table_Shelter[[#This Row],[Status]]="Open",IF(V286="NO",Table_Shelter[[#This Row],[HH per Shelter]]*(Table_Shelter[[#This Row],['# of Temporary Shelter Units Built]]+Table_Shelter[[#This Row],['# of Temporary Shelter Under  Construction]]+Table_Shelter[[#This Row],['# of Permanent House Under Construction]]),0),0)</f>
        <v>15</v>
      </c>
      <c r="Q286" s="108"/>
      <c r="R286" s="175"/>
      <c r="S286" s="175" t="str">
        <f>IFERROR(VLOOKUP(Table_Shelter[[#This Row],[CampName]],CL,2,0),"")</f>
        <v>MMR001CMP079</v>
      </c>
      <c r="T286" s="175" t="str">
        <f>IFERROR(VLOOKUP(Table_Shelter[[#This Row],[CampName]],CL,3,0),"")</f>
        <v>Open</v>
      </c>
      <c r="U286" s="265">
        <f>IFERROR(Table_Shelter[[#This Row],[HH Covered]]/VLOOKUP(Table_Shelter[[#This Row],[CampName]],CL,4,0),"")</f>
        <v>1.25</v>
      </c>
      <c r="V286" s="265" t="s">
        <v>1305</v>
      </c>
      <c r="W286" s="175"/>
    </row>
    <row r="287" spans="1:23" ht="15" customHeight="1" x14ac:dyDescent="0.25">
      <c r="A287" s="588"/>
      <c r="B287" s="173" t="s">
        <v>570</v>
      </c>
      <c r="C287" s="173" t="s">
        <v>460</v>
      </c>
      <c r="D287" s="176" t="s">
        <v>380</v>
      </c>
      <c r="E287" s="345" t="s">
        <v>180</v>
      </c>
      <c r="F287" s="173" t="s">
        <v>287</v>
      </c>
      <c r="G287" s="107">
        <v>1</v>
      </c>
      <c r="H287" s="109"/>
      <c r="I287" s="109"/>
      <c r="J287" s="109">
        <v>10</v>
      </c>
      <c r="K287" s="109">
        <v>10</v>
      </c>
      <c r="L287" s="175"/>
      <c r="M287" s="175"/>
      <c r="N287" s="175"/>
      <c r="O287" s="175"/>
      <c r="P287" s="108">
        <f>IF(Table_Shelter[[#This Row],[Status]]="Open",IF(V287="NO",Table_Shelter[[#This Row],[HH per Shelter]]*(Table_Shelter[[#This Row],['# of Temporary Shelter Units Built]]+Table_Shelter[[#This Row],['# of Temporary Shelter Under  Construction]]+Table_Shelter[[#This Row],['# of Permanent House Under Construction]]),0),0)</f>
        <v>10</v>
      </c>
      <c r="Q287" s="108"/>
      <c r="R287" s="175"/>
      <c r="S287" s="175" t="str">
        <f>IFERROR(VLOOKUP(Table_Shelter[[#This Row],[CampName]],CL,2,0),"")</f>
        <v>MMR001CMP152</v>
      </c>
      <c r="T287" s="175" t="str">
        <f>IFERROR(VLOOKUP(Table_Shelter[[#This Row],[CampName]],CL,3,0),"")</f>
        <v>Open</v>
      </c>
      <c r="U287" s="265">
        <f>IFERROR(Table_Shelter[[#This Row],[HH Covered]]/VLOOKUP(Table_Shelter[[#This Row],[CampName]],CL,4,0),"")</f>
        <v>1</v>
      </c>
      <c r="V287" s="265" t="s">
        <v>1305</v>
      </c>
      <c r="W287" s="175"/>
    </row>
    <row r="288" spans="1:23" ht="15" customHeight="1" x14ac:dyDescent="0.25">
      <c r="A288" s="588"/>
      <c r="B288" s="173" t="s">
        <v>452</v>
      </c>
      <c r="C288" s="173" t="s">
        <v>460</v>
      </c>
      <c r="D288" s="176" t="s">
        <v>380</v>
      </c>
      <c r="E288" s="345" t="s">
        <v>180</v>
      </c>
      <c r="F288" s="173" t="s">
        <v>287</v>
      </c>
      <c r="G288" s="107">
        <v>1</v>
      </c>
      <c r="H288" s="109"/>
      <c r="I288" s="109"/>
      <c r="J288" s="109">
        <v>20</v>
      </c>
      <c r="K288" s="109">
        <v>20</v>
      </c>
      <c r="L288" s="175"/>
      <c r="M288" s="175"/>
      <c r="N288" s="175"/>
      <c r="O288" s="175"/>
      <c r="P288" s="108">
        <f>IF(Table_Shelter[[#This Row],[Status]]="Open",IF(V288="NO",Table_Shelter[[#This Row],[HH per Shelter]]*(Table_Shelter[[#This Row],['# of Temporary Shelter Units Built]]+Table_Shelter[[#This Row],['# of Temporary Shelter Under  Construction]]+Table_Shelter[[#This Row],['# of Permanent House Under Construction]]),0),0)</f>
        <v>20</v>
      </c>
      <c r="Q288" s="108"/>
      <c r="R288" s="175"/>
      <c r="S288" s="175" t="str">
        <f>IFERROR(VLOOKUP(Table_Shelter[[#This Row],[CampName]],CL,2,0),"")</f>
        <v>MMR001CMP152</v>
      </c>
      <c r="T288" s="175" t="str">
        <f>IFERROR(VLOOKUP(Table_Shelter[[#This Row],[CampName]],CL,3,0),"")</f>
        <v>Open</v>
      </c>
      <c r="U288" s="265">
        <f>IFERROR(Table_Shelter[[#This Row],[HH Covered]]/VLOOKUP(Table_Shelter[[#This Row],[CampName]],CL,4,0),"")</f>
        <v>2</v>
      </c>
      <c r="V288" s="265" t="s">
        <v>1305</v>
      </c>
      <c r="W288" s="175"/>
    </row>
    <row r="289" spans="1:23" ht="15" customHeight="1" x14ac:dyDescent="0.25">
      <c r="A289" s="588"/>
      <c r="B289" s="173" t="s">
        <v>862</v>
      </c>
      <c r="C289" s="173"/>
      <c r="D289" s="176" t="s">
        <v>380</v>
      </c>
      <c r="E289" s="345" t="s">
        <v>527</v>
      </c>
      <c r="F289" s="173" t="s">
        <v>110</v>
      </c>
      <c r="G289" s="107">
        <v>1</v>
      </c>
      <c r="H289" s="109">
        <v>50</v>
      </c>
      <c r="I289" s="109">
        <v>50</v>
      </c>
      <c r="J289" s="109"/>
      <c r="K289" s="109"/>
      <c r="L289" s="175"/>
      <c r="M289" s="175"/>
      <c r="N289" s="175"/>
      <c r="O289" s="175"/>
      <c r="P289" s="108">
        <f>IF(Table_Shelter[[#This Row],[Status]]="Open",IF(V289="NO",Table_Shelter[[#This Row],[HH per Shelter]]*(Table_Shelter[[#This Row],['# of Temporary Shelter Units Built]]+Table_Shelter[[#This Row],['# of Temporary Shelter Under  Construction]]+Table_Shelter[[#This Row],['# of Permanent House Under Construction]]),0),0)</f>
        <v>0</v>
      </c>
      <c r="Q289" s="108"/>
      <c r="R289" s="175"/>
      <c r="S289" s="175" t="str">
        <f>IFERROR(VLOOKUP(Table_Shelter[[#This Row],[CampName]],CL,2,0),"")</f>
        <v>MMR001CMP082</v>
      </c>
      <c r="T289" s="175" t="str">
        <f>IFERROR(VLOOKUP(Table_Shelter[[#This Row],[CampName]],CL,3,0),"")</f>
        <v>Closed</v>
      </c>
      <c r="U289" s="265" t="str">
        <f>IFERROR(Table_Shelter[[#This Row],[HH Covered]]/VLOOKUP(Table_Shelter[[#This Row],[CampName]],CL,4,0),"")</f>
        <v/>
      </c>
      <c r="V289" s="265" t="s">
        <v>1305</v>
      </c>
      <c r="W289" s="175"/>
    </row>
    <row r="290" spans="1:23" ht="15" customHeight="1" x14ac:dyDescent="0.25">
      <c r="A290" s="588"/>
      <c r="B290" s="173" t="s">
        <v>452</v>
      </c>
      <c r="C290" s="665" t="s">
        <v>505</v>
      </c>
      <c r="D290" s="176" t="s">
        <v>380</v>
      </c>
      <c r="E290" s="345" t="s">
        <v>527</v>
      </c>
      <c r="F290" s="173" t="s">
        <v>110</v>
      </c>
      <c r="G290" s="107">
        <v>1</v>
      </c>
      <c r="H290" s="109"/>
      <c r="I290" s="109"/>
      <c r="J290" s="109">
        <v>20</v>
      </c>
      <c r="K290" s="109">
        <v>20</v>
      </c>
      <c r="L290" s="175"/>
      <c r="M290" s="175"/>
      <c r="N290" s="175"/>
      <c r="O290" s="175"/>
      <c r="P290" s="108">
        <f>IF(Table_Shelter[[#This Row],[Status]]="Open",IF(V290="NO",Table_Shelter[[#This Row],[HH per Shelter]]*(Table_Shelter[[#This Row],['# of Temporary Shelter Units Built]]+Table_Shelter[[#This Row],['# of Temporary Shelter Under  Construction]]+Table_Shelter[[#This Row],['# of Permanent House Under Construction]]),0),0)</f>
        <v>0</v>
      </c>
      <c r="Q290" s="108"/>
      <c r="R290" s="175"/>
      <c r="S290" s="175" t="str">
        <f>IFERROR(VLOOKUP(Table_Shelter[[#This Row],[CampName]],CL,2,0),"")</f>
        <v>MMR001CMP082</v>
      </c>
      <c r="T290" s="175" t="str">
        <f>IFERROR(VLOOKUP(Table_Shelter[[#This Row],[CampName]],CL,3,0),"")</f>
        <v>Closed</v>
      </c>
      <c r="U290" s="265" t="str">
        <f>IFERROR(Table_Shelter[[#This Row],[HH Covered]]/VLOOKUP(Table_Shelter[[#This Row],[CampName]],CL,4,0),"")</f>
        <v/>
      </c>
      <c r="V290" s="265" t="s">
        <v>1305</v>
      </c>
      <c r="W290" s="175"/>
    </row>
    <row r="291" spans="1:23" ht="15" customHeight="1" x14ac:dyDescent="0.25">
      <c r="A291" s="588"/>
      <c r="B291" s="173" t="s">
        <v>452</v>
      </c>
      <c r="C291" s="173" t="s">
        <v>460</v>
      </c>
      <c r="D291" s="180" t="s">
        <v>380</v>
      </c>
      <c r="E291" s="345" t="s">
        <v>527</v>
      </c>
      <c r="F291" s="173" t="s">
        <v>110</v>
      </c>
      <c r="G291" s="107">
        <v>1</v>
      </c>
      <c r="H291" s="109"/>
      <c r="I291" s="109"/>
      <c r="J291" s="109">
        <v>15</v>
      </c>
      <c r="K291" s="109">
        <v>15</v>
      </c>
      <c r="L291" s="175"/>
      <c r="M291" s="175"/>
      <c r="N291" s="175"/>
      <c r="O291" s="175"/>
      <c r="P291" s="108">
        <f>IF(Table_Shelter[[#This Row],[Status]]="Open",IF(V291="NO",Table_Shelter[[#This Row],[HH per Shelter]]*(Table_Shelter[[#This Row],['# of Temporary Shelter Units Built]]+Table_Shelter[[#This Row],['# of Temporary Shelter Under  Construction]]+Table_Shelter[[#This Row],['# of Permanent House Under Construction]]),0),0)</f>
        <v>0</v>
      </c>
      <c r="Q291" s="108"/>
      <c r="R291" s="108"/>
      <c r="S291" s="108" t="str">
        <f>IFERROR(VLOOKUP(Table_Shelter[[#This Row],[CampName]],CL,2,0),"")</f>
        <v>MMR001CMP082</v>
      </c>
      <c r="T291" s="108" t="str">
        <f>IFERROR(VLOOKUP(Table_Shelter[[#This Row],[CampName]],CL,3,0),"")</f>
        <v>Closed</v>
      </c>
      <c r="U291" s="265" t="str">
        <f>IFERROR(Table_Shelter[[#This Row],[HH Covered]]/VLOOKUP(Table_Shelter[[#This Row],[CampName]],CL,4,0),"")</f>
        <v/>
      </c>
      <c r="V291" s="265" t="s">
        <v>1305</v>
      </c>
      <c r="W291" s="108"/>
    </row>
    <row r="292" spans="1:23" ht="15" customHeight="1" x14ac:dyDescent="0.25">
      <c r="A292" s="588"/>
      <c r="B292" s="173" t="s">
        <v>592</v>
      </c>
      <c r="C292" s="173" t="s">
        <v>459</v>
      </c>
      <c r="D292" s="176" t="s">
        <v>380</v>
      </c>
      <c r="E292" s="345" t="s">
        <v>185</v>
      </c>
      <c r="F292" s="173" t="s">
        <v>215</v>
      </c>
      <c r="G292" s="107">
        <v>1</v>
      </c>
      <c r="H292" s="109"/>
      <c r="I292" s="109"/>
      <c r="J292" s="109">
        <v>100</v>
      </c>
      <c r="K292" s="109">
        <v>100</v>
      </c>
      <c r="L292" s="175"/>
      <c r="M292" s="175"/>
      <c r="N292" s="175"/>
      <c r="O292" s="175"/>
      <c r="P292" s="108">
        <f>IF(Table_Shelter[[#This Row],[Status]]="Open",IF(V292="NO",Table_Shelter[[#This Row],[HH per Shelter]]*(Table_Shelter[[#This Row],['# of Temporary Shelter Units Built]]+Table_Shelter[[#This Row],['# of Temporary Shelter Under  Construction]]+Table_Shelter[[#This Row],['# of Permanent House Under Construction]]),0),0)</f>
        <v>100</v>
      </c>
      <c r="Q292" s="108"/>
      <c r="R292" s="175"/>
      <c r="S292" s="175" t="str">
        <f>IFERROR(VLOOKUP(Table_Shelter[[#This Row],[CampName]],CL,2,0),"")</f>
        <v>MMR001CMP131</v>
      </c>
      <c r="T292" s="175" t="str">
        <f>IFERROR(VLOOKUP(Table_Shelter[[#This Row],[CampName]],CL,3,0),"")</f>
        <v>Open</v>
      </c>
      <c r="U292" s="265">
        <f>IFERROR(Table_Shelter[[#This Row],[HH Covered]]/VLOOKUP(Table_Shelter[[#This Row],[CampName]],CL,4,0),"")</f>
        <v>0.28169014084507044</v>
      </c>
      <c r="V292" s="265" t="s">
        <v>1305</v>
      </c>
      <c r="W292" s="175"/>
    </row>
    <row r="293" spans="1:23" ht="15" customHeight="1" x14ac:dyDescent="0.25">
      <c r="A293" s="588"/>
      <c r="B293" s="173" t="s">
        <v>901</v>
      </c>
      <c r="C293" s="173" t="s">
        <v>459</v>
      </c>
      <c r="D293" s="176" t="s">
        <v>380</v>
      </c>
      <c r="E293" s="345" t="s">
        <v>185</v>
      </c>
      <c r="F293" s="173" t="s">
        <v>215</v>
      </c>
      <c r="G293" s="107">
        <v>1</v>
      </c>
      <c r="H293" s="109"/>
      <c r="I293" s="109"/>
      <c r="J293" s="109">
        <v>350</v>
      </c>
      <c r="K293" s="109">
        <v>350</v>
      </c>
      <c r="L293" s="175"/>
      <c r="M293" s="175"/>
      <c r="N293" s="175"/>
      <c r="O293" s="175"/>
      <c r="P293" s="108">
        <f>IF(Table_Shelter[[#This Row],[Status]]="Open",IF(V293="NO",Table_Shelter[[#This Row],[HH per Shelter]]*(Table_Shelter[[#This Row],['# of Temporary Shelter Units Built]]+Table_Shelter[[#This Row],['# of Temporary Shelter Under  Construction]]+Table_Shelter[[#This Row],['# of Permanent House Under Construction]]),0),0)</f>
        <v>350</v>
      </c>
      <c r="Q293" s="108"/>
      <c r="R293" s="175"/>
      <c r="S293" s="175" t="str">
        <f>IFERROR(VLOOKUP(Table_Shelter[[#This Row],[CampName]],CL,2,0),"")</f>
        <v>MMR001CMP131</v>
      </c>
      <c r="T293" s="175" t="str">
        <f>IFERROR(VLOOKUP(Table_Shelter[[#This Row],[CampName]],CL,3,0),"")</f>
        <v>Open</v>
      </c>
      <c r="U293" s="265">
        <f>IFERROR(Table_Shelter[[#This Row],[HH Covered]]/VLOOKUP(Table_Shelter[[#This Row],[CampName]],CL,4,0),"")</f>
        <v>0.9859154929577465</v>
      </c>
      <c r="V293" s="265" t="s">
        <v>1305</v>
      </c>
      <c r="W293" s="175"/>
    </row>
    <row r="294" spans="1:23" ht="15" customHeight="1" x14ac:dyDescent="0.25">
      <c r="A294" s="588"/>
      <c r="B294" s="173" t="s">
        <v>846</v>
      </c>
      <c r="C294" s="173"/>
      <c r="D294" s="176" t="s">
        <v>380</v>
      </c>
      <c r="E294" s="345" t="s">
        <v>185</v>
      </c>
      <c r="F294" s="173" t="s">
        <v>217</v>
      </c>
      <c r="G294" s="107">
        <v>1</v>
      </c>
      <c r="H294" s="109"/>
      <c r="I294" s="109"/>
      <c r="J294" s="109">
        <v>18</v>
      </c>
      <c r="K294" s="109">
        <v>18</v>
      </c>
      <c r="L294" s="175"/>
      <c r="M294" s="175"/>
      <c r="N294" s="175"/>
      <c r="O294" s="175"/>
      <c r="P294" s="108">
        <f>IF(Table_Shelter[[#This Row],[Status]]="Open",IF(V294="NO",Table_Shelter[[#This Row],[HH per Shelter]]*(Table_Shelter[[#This Row],['# of Temporary Shelter Units Built]]+Table_Shelter[[#This Row],['# of Temporary Shelter Under  Construction]]+Table_Shelter[[#This Row],['# of Permanent House Under Construction]]),0),0)</f>
        <v>0</v>
      </c>
      <c r="Q294" s="108"/>
      <c r="R294" s="175"/>
      <c r="S294" s="175" t="str">
        <f>IFERROR(VLOOKUP(Table_Shelter[[#This Row],[CampName]],CL,2,0),"")</f>
        <v>MMR001CMP059</v>
      </c>
      <c r="T294" s="175" t="str">
        <f>IFERROR(VLOOKUP(Table_Shelter[[#This Row],[CampName]],CL,3,0),"")</f>
        <v>Closed</v>
      </c>
      <c r="U294" s="265" t="str">
        <f>IFERROR(Table_Shelter[[#This Row],[HH Covered]]/VLOOKUP(Table_Shelter[[#This Row],[CampName]],CL,4,0),"")</f>
        <v/>
      </c>
      <c r="V294" s="265" t="s">
        <v>1305</v>
      </c>
      <c r="W294" s="175"/>
    </row>
    <row r="295" spans="1:23" ht="15" customHeight="1" x14ac:dyDescent="0.25">
      <c r="A295" s="588"/>
      <c r="B295" s="173" t="s">
        <v>452</v>
      </c>
      <c r="C295" s="173"/>
      <c r="D295" s="176" t="s">
        <v>380</v>
      </c>
      <c r="E295" s="345" t="s">
        <v>185</v>
      </c>
      <c r="F295" s="173" t="s">
        <v>217</v>
      </c>
      <c r="G295" s="107">
        <v>1</v>
      </c>
      <c r="H295" s="109"/>
      <c r="I295" s="109"/>
      <c r="J295" s="109">
        <v>9</v>
      </c>
      <c r="K295" s="109">
        <v>9</v>
      </c>
      <c r="L295" s="175"/>
      <c r="M295" s="175"/>
      <c r="N295" s="175"/>
      <c r="O295" s="175"/>
      <c r="P295" s="108">
        <f>IF(Table_Shelter[[#This Row],[Status]]="Open",IF(V295="NO",Table_Shelter[[#This Row],[HH per Shelter]]*(Table_Shelter[[#This Row],['# of Temporary Shelter Units Built]]+Table_Shelter[[#This Row],['# of Temporary Shelter Under  Construction]]+Table_Shelter[[#This Row],['# of Permanent House Under Construction]]),0),0)</f>
        <v>0</v>
      </c>
      <c r="Q295" s="108"/>
      <c r="R295" s="175"/>
      <c r="S295" s="175" t="str">
        <f>IFERROR(VLOOKUP(Table_Shelter[[#This Row],[CampName]],CL,2,0),"")</f>
        <v>MMR001CMP059</v>
      </c>
      <c r="T295" s="175" t="str">
        <f>IFERROR(VLOOKUP(Table_Shelter[[#This Row],[CampName]],CL,3,0),"")</f>
        <v>Closed</v>
      </c>
      <c r="U295" s="265" t="str">
        <f>IFERROR(Table_Shelter[[#This Row],[HH Covered]]/VLOOKUP(Table_Shelter[[#This Row],[CampName]],CL,4,0),"")</f>
        <v/>
      </c>
      <c r="V295" s="265" t="s">
        <v>1305</v>
      </c>
      <c r="W295" s="175"/>
    </row>
    <row r="296" spans="1:23" ht="15" customHeight="1" x14ac:dyDescent="0.25">
      <c r="A296" s="588"/>
      <c r="B296" s="173" t="s">
        <v>848</v>
      </c>
      <c r="C296" s="173" t="s">
        <v>460</v>
      </c>
      <c r="D296" s="176" t="s">
        <v>380</v>
      </c>
      <c r="E296" s="345" t="s">
        <v>237</v>
      </c>
      <c r="F296" s="173" t="s">
        <v>269</v>
      </c>
      <c r="G296" s="107">
        <v>1</v>
      </c>
      <c r="H296" s="109"/>
      <c r="I296" s="109"/>
      <c r="J296" s="109">
        <v>32</v>
      </c>
      <c r="K296" s="109">
        <v>32</v>
      </c>
      <c r="L296" s="175"/>
      <c r="M296" s="175"/>
      <c r="N296" s="175"/>
      <c r="O296" s="175"/>
      <c r="P296" s="108">
        <f>IF(Table_Shelter[[#This Row],[Status]]="Open",IF(V296="NO",Table_Shelter[[#This Row],[HH per Shelter]]*(Table_Shelter[[#This Row],['# of Temporary Shelter Units Built]]+Table_Shelter[[#This Row],['# of Temporary Shelter Under  Construction]]+Table_Shelter[[#This Row],['# of Permanent House Under Construction]]),0),0)</f>
        <v>32</v>
      </c>
      <c r="Q296" s="108"/>
      <c r="R296" s="175"/>
      <c r="S296" s="175" t="str">
        <f>IFERROR(VLOOKUP(Table_Shelter[[#This Row],[CampName]],CL,2,0),"")</f>
        <v>MMR001CMP002</v>
      </c>
      <c r="T296" s="175" t="str">
        <f>IFERROR(VLOOKUP(Table_Shelter[[#This Row],[CampName]],CL,3,0),"")</f>
        <v>Open</v>
      </c>
      <c r="U296" s="265">
        <f>IFERROR(Table_Shelter[[#This Row],[HH Covered]]/VLOOKUP(Table_Shelter[[#This Row],[CampName]],CL,4,0),"")</f>
        <v>0.5161290322580645</v>
      </c>
      <c r="V296" s="265" t="s">
        <v>1305</v>
      </c>
      <c r="W296" s="175"/>
    </row>
    <row r="297" spans="1:23" ht="15" customHeight="1" x14ac:dyDescent="0.25">
      <c r="A297" s="588"/>
      <c r="B297" s="173" t="s">
        <v>452</v>
      </c>
      <c r="C297" s="173" t="s">
        <v>460</v>
      </c>
      <c r="D297" s="176" t="s">
        <v>380</v>
      </c>
      <c r="E297" s="345" t="s">
        <v>237</v>
      </c>
      <c r="F297" s="173" t="s">
        <v>269</v>
      </c>
      <c r="G297" s="107">
        <v>1</v>
      </c>
      <c r="H297" s="109"/>
      <c r="I297" s="109"/>
      <c r="J297" s="109">
        <v>20</v>
      </c>
      <c r="K297" s="109">
        <v>20</v>
      </c>
      <c r="L297" s="175"/>
      <c r="M297" s="175"/>
      <c r="N297" s="175"/>
      <c r="O297" s="175"/>
      <c r="P297" s="108">
        <f>IF(Table_Shelter[[#This Row],[Status]]="Open",IF(V297="NO",Table_Shelter[[#This Row],[HH per Shelter]]*(Table_Shelter[[#This Row],['# of Temporary Shelter Units Built]]+Table_Shelter[[#This Row],['# of Temporary Shelter Under  Construction]]+Table_Shelter[[#This Row],['# of Permanent House Under Construction]]),0),0)</f>
        <v>20</v>
      </c>
      <c r="Q297" s="108"/>
      <c r="R297" s="175"/>
      <c r="S297" s="175" t="str">
        <f>IFERROR(VLOOKUP(Table_Shelter[[#This Row],[CampName]],CL,2,0),"")</f>
        <v>MMR001CMP002</v>
      </c>
      <c r="T297" s="175" t="str">
        <f>IFERROR(VLOOKUP(Table_Shelter[[#This Row],[CampName]],CL,3,0),"")</f>
        <v>Open</v>
      </c>
      <c r="U297" s="265">
        <f>IFERROR(Table_Shelter[[#This Row],[HH Covered]]/VLOOKUP(Table_Shelter[[#This Row],[CampName]],CL,4,0),"")</f>
        <v>0.32258064516129031</v>
      </c>
      <c r="V297" s="265" t="s">
        <v>1305</v>
      </c>
      <c r="W297" s="175"/>
    </row>
    <row r="298" spans="1:23" ht="15" customHeight="1" x14ac:dyDescent="0.25">
      <c r="A298" s="588"/>
      <c r="B298" s="173" t="s">
        <v>452</v>
      </c>
      <c r="C298" s="173"/>
      <c r="D298" s="176" t="s">
        <v>380</v>
      </c>
      <c r="E298" s="345" t="s">
        <v>185</v>
      </c>
      <c r="F298" s="173" t="s">
        <v>229</v>
      </c>
      <c r="G298" s="107">
        <v>1</v>
      </c>
      <c r="H298" s="109"/>
      <c r="I298" s="109"/>
      <c r="J298" s="109">
        <v>45</v>
      </c>
      <c r="K298" s="109">
        <v>45</v>
      </c>
      <c r="L298" s="175"/>
      <c r="M298" s="175"/>
      <c r="N298" s="175"/>
      <c r="O298" s="175"/>
      <c r="P298" s="108">
        <f>IF(Table_Shelter[[#This Row],[Status]]="Open",IF(V298="NO",Table_Shelter[[#This Row],[HH per Shelter]]*(Table_Shelter[[#This Row],['# of Temporary Shelter Units Built]]+Table_Shelter[[#This Row],['# of Temporary Shelter Under  Construction]]+Table_Shelter[[#This Row],['# of Permanent House Under Construction]]),0),0)</f>
        <v>45</v>
      </c>
      <c r="Q298" s="108"/>
      <c r="R298" s="175"/>
      <c r="S298" s="175" t="str">
        <f>IFERROR(VLOOKUP(Table_Shelter[[#This Row],[CampName]],CL,2,0),"")</f>
        <v>MMR001CMP072</v>
      </c>
      <c r="T298" s="175" t="str">
        <f>IFERROR(VLOOKUP(Table_Shelter[[#This Row],[CampName]],CL,3,0),"")</f>
        <v>Open</v>
      </c>
      <c r="U298" s="265">
        <f>IFERROR(Table_Shelter[[#This Row],[HH Covered]]/VLOOKUP(Table_Shelter[[#This Row],[CampName]],CL,4,0),"")</f>
        <v>0.91836734693877553</v>
      </c>
      <c r="V298" s="265" t="s">
        <v>1305</v>
      </c>
      <c r="W298" s="175"/>
    </row>
    <row r="299" spans="1:23" ht="15" customHeight="1" x14ac:dyDescent="0.25">
      <c r="A299" s="588"/>
      <c r="B299" s="173" t="s">
        <v>592</v>
      </c>
      <c r="C299" s="173" t="s">
        <v>506</v>
      </c>
      <c r="D299" s="176" t="s">
        <v>380</v>
      </c>
      <c r="E299" s="345" t="s">
        <v>237</v>
      </c>
      <c r="F299" s="173" t="s">
        <v>273</v>
      </c>
      <c r="G299" s="107">
        <v>1</v>
      </c>
      <c r="H299" s="109"/>
      <c r="I299" s="109"/>
      <c r="J299" s="109">
        <v>30</v>
      </c>
      <c r="K299" s="109">
        <v>30</v>
      </c>
      <c r="L299" s="175"/>
      <c r="M299" s="175"/>
      <c r="N299" s="175"/>
      <c r="O299" s="175"/>
      <c r="P299" s="108">
        <f>IF(Table_Shelter[[#This Row],[Status]]="Open",IF(V299="NO",Table_Shelter[[#This Row],[HH per Shelter]]*(Table_Shelter[[#This Row],['# of Temporary Shelter Units Built]]+Table_Shelter[[#This Row],['# of Temporary Shelter Under  Construction]]+Table_Shelter[[#This Row],['# of Permanent House Under Construction]]),0),0)</f>
        <v>30</v>
      </c>
      <c r="Q299" s="108"/>
      <c r="R299" s="175"/>
      <c r="S299" s="175" t="str">
        <f>IFERROR(VLOOKUP(Table_Shelter[[#This Row],[CampName]],CL,2,0),"")</f>
        <v>MMR001CMP162</v>
      </c>
      <c r="T299" s="175" t="str">
        <f>IFERROR(VLOOKUP(Table_Shelter[[#This Row],[CampName]],CL,3,0),"")</f>
        <v>Open</v>
      </c>
      <c r="U299" s="265">
        <f>IFERROR(Table_Shelter[[#This Row],[HH Covered]]/VLOOKUP(Table_Shelter[[#This Row],[CampName]],CL,4,0),"")</f>
        <v>0.65217391304347827</v>
      </c>
      <c r="V299" s="265" t="s">
        <v>1305</v>
      </c>
      <c r="W299" s="175"/>
    </row>
    <row r="300" spans="1:23" ht="15" customHeight="1" x14ac:dyDescent="0.25">
      <c r="A300" s="588"/>
      <c r="B300" s="173" t="s">
        <v>592</v>
      </c>
      <c r="C300" s="173" t="s">
        <v>572</v>
      </c>
      <c r="D300" s="176" t="s">
        <v>380</v>
      </c>
      <c r="E300" s="345" t="s">
        <v>185</v>
      </c>
      <c r="F300" s="173" t="s">
        <v>219</v>
      </c>
      <c r="G300" s="107">
        <v>1</v>
      </c>
      <c r="H300" s="109"/>
      <c r="I300" s="109"/>
      <c r="J300" s="109">
        <v>447</v>
      </c>
      <c r="K300" s="109">
        <v>447</v>
      </c>
      <c r="L300" s="175"/>
      <c r="M300" s="175"/>
      <c r="N300" s="175"/>
      <c r="O300" s="175"/>
      <c r="P300" s="108">
        <f>IF(Table_Shelter[[#This Row],[Status]]="Open",IF(V300="NO",Table_Shelter[[#This Row],[HH per Shelter]]*(Table_Shelter[[#This Row],['# of Temporary Shelter Units Built]]+Table_Shelter[[#This Row],['# of Temporary Shelter Under  Construction]]+Table_Shelter[[#This Row],['# of Permanent House Under Construction]]),0),0)</f>
        <v>447</v>
      </c>
      <c r="Q300" s="108"/>
      <c r="R300" s="175"/>
      <c r="S300" s="175" t="str">
        <f>IFERROR(VLOOKUP(Table_Shelter[[#This Row],[CampName]],CL,2,0),"")</f>
        <v>MMR001CMP126</v>
      </c>
      <c r="T300" s="175" t="str">
        <f>IFERROR(VLOOKUP(Table_Shelter[[#This Row],[CampName]],CL,3,0),"")</f>
        <v>Open</v>
      </c>
      <c r="U300" s="265">
        <f>IFERROR(Table_Shelter[[#This Row],[HH Covered]]/VLOOKUP(Table_Shelter[[#This Row],[CampName]],CL,4,0),"")</f>
        <v>0.66816143497757852</v>
      </c>
      <c r="V300" s="265" t="s">
        <v>1305</v>
      </c>
      <c r="W300" s="175"/>
    </row>
    <row r="301" spans="1:23" ht="15" customHeight="1" x14ac:dyDescent="0.25">
      <c r="A301" s="588"/>
      <c r="B301" s="173" t="s">
        <v>452</v>
      </c>
      <c r="C301" s="173" t="s">
        <v>459</v>
      </c>
      <c r="D301" s="176" t="s">
        <v>380</v>
      </c>
      <c r="E301" s="345" t="s">
        <v>185</v>
      </c>
      <c r="F301" s="173" t="s">
        <v>219</v>
      </c>
      <c r="G301" s="107">
        <v>1</v>
      </c>
      <c r="H301" s="109"/>
      <c r="I301" s="109"/>
      <c r="J301" s="109">
        <v>130</v>
      </c>
      <c r="K301" s="109">
        <v>130</v>
      </c>
      <c r="L301" s="175"/>
      <c r="M301" s="175"/>
      <c r="N301" s="175"/>
      <c r="O301" s="175"/>
      <c r="P301" s="108">
        <f>IF(Table_Shelter[[#This Row],[Status]]="Open",IF(V301="NO",Table_Shelter[[#This Row],[HH per Shelter]]*(Table_Shelter[[#This Row],['# of Temporary Shelter Units Built]]+Table_Shelter[[#This Row],['# of Temporary Shelter Under  Construction]]+Table_Shelter[[#This Row],['# of Permanent House Under Construction]]),0),0)</f>
        <v>130</v>
      </c>
      <c r="Q301" s="108"/>
      <c r="R301" s="175"/>
      <c r="S301" s="175" t="str">
        <f>IFERROR(VLOOKUP(Table_Shelter[[#This Row],[CampName]],CL,2,0),"")</f>
        <v>MMR001CMP126</v>
      </c>
      <c r="T301" s="175" t="str">
        <f>IFERROR(VLOOKUP(Table_Shelter[[#This Row],[CampName]],CL,3,0),"")</f>
        <v>Open</v>
      </c>
      <c r="U301" s="265">
        <f>IFERROR(Table_Shelter[[#This Row],[HH Covered]]/VLOOKUP(Table_Shelter[[#This Row],[CampName]],CL,4,0),"")</f>
        <v>0.19431988041853512</v>
      </c>
      <c r="V301" s="265" t="s">
        <v>1305</v>
      </c>
      <c r="W301" s="175"/>
    </row>
    <row r="302" spans="1:23" ht="15" customHeight="1" x14ac:dyDescent="0.25">
      <c r="A302" s="588"/>
      <c r="B302" s="173" t="s">
        <v>452</v>
      </c>
      <c r="C302" s="173" t="s">
        <v>460</v>
      </c>
      <c r="D302" s="176" t="s">
        <v>380</v>
      </c>
      <c r="E302" s="345" t="s">
        <v>310</v>
      </c>
      <c r="F302" s="173" t="s">
        <v>1243</v>
      </c>
      <c r="G302" s="107">
        <v>1</v>
      </c>
      <c r="H302" s="109"/>
      <c r="I302" s="109"/>
      <c r="J302" s="109">
        <v>24</v>
      </c>
      <c r="K302" s="109">
        <v>24</v>
      </c>
      <c r="L302" s="175"/>
      <c r="M302" s="175"/>
      <c r="N302" s="175"/>
      <c r="O302" s="175"/>
      <c r="P302" s="108">
        <f>IF(Table_Shelter[[#This Row],[Status]]="Open",IF(V302="NO",Table_Shelter[[#This Row],[HH per Shelter]]*(Table_Shelter[[#This Row],['# of Temporary Shelter Units Built]]+Table_Shelter[[#This Row],['# of Temporary Shelter Under  Construction]]+Table_Shelter[[#This Row],['# of Permanent House Under Construction]]),0),0)</f>
        <v>24</v>
      </c>
      <c r="Q302" s="108"/>
      <c r="R302" s="175"/>
      <c r="S302" s="175" t="str">
        <f>IFERROR(VLOOKUP(Table_Shelter[[#This Row],[CampName]],CL,2,0),"")</f>
        <v>MMR001CMP120</v>
      </c>
      <c r="T302" s="175" t="str">
        <f>IFERROR(VLOOKUP(Table_Shelter[[#This Row],[CampName]],CL,3,0),"")</f>
        <v>Open</v>
      </c>
      <c r="U302" s="265">
        <f>IFERROR(Table_Shelter[[#This Row],[HH Covered]]/VLOOKUP(Table_Shelter[[#This Row],[CampName]],CL,4,0),"")</f>
        <v>0.13333333333333333</v>
      </c>
      <c r="V302" s="265" t="s">
        <v>1305</v>
      </c>
      <c r="W302" s="175"/>
    </row>
    <row r="303" spans="1:23" ht="15" customHeight="1" x14ac:dyDescent="0.25">
      <c r="A303" s="588"/>
      <c r="B303" s="173" t="s">
        <v>846</v>
      </c>
      <c r="C303" s="173"/>
      <c r="D303" s="176" t="s">
        <v>380</v>
      </c>
      <c r="E303" s="345" t="s">
        <v>5</v>
      </c>
      <c r="F303" s="173" t="s">
        <v>366</v>
      </c>
      <c r="G303" s="107">
        <v>1</v>
      </c>
      <c r="H303" s="109"/>
      <c r="I303" s="109"/>
      <c r="J303" s="109">
        <v>36</v>
      </c>
      <c r="K303" s="109">
        <v>36</v>
      </c>
      <c r="L303" s="175"/>
      <c r="M303" s="175"/>
      <c r="N303" s="175"/>
      <c r="O303" s="175"/>
      <c r="P303" s="108">
        <f>IF(Table_Shelter[[#This Row],[Status]]="Open",IF(V303="NO",Table_Shelter[[#This Row],[HH per Shelter]]*(Table_Shelter[[#This Row],['# of Temporary Shelter Units Built]]+Table_Shelter[[#This Row],['# of Temporary Shelter Under  Construction]]+Table_Shelter[[#This Row],['# of Permanent House Under Construction]]),0),0)</f>
        <v>36</v>
      </c>
      <c r="Q303" s="108"/>
      <c r="R303" s="175"/>
      <c r="S303" s="175" t="str">
        <f>IFERROR(VLOOKUP(Table_Shelter[[#This Row],[CampName]],CL,2,0),"")</f>
        <v>MMR001CMP193</v>
      </c>
      <c r="T303" s="175" t="str">
        <f>IFERROR(VLOOKUP(Table_Shelter[[#This Row],[CampName]],CL,3,0),"")</f>
        <v>Open</v>
      </c>
      <c r="U303" s="265">
        <f>IFERROR(Table_Shelter[[#This Row],[HH Covered]]/VLOOKUP(Table_Shelter[[#This Row],[CampName]],CL,4,0),"")</f>
        <v>0.24</v>
      </c>
      <c r="V303" s="265" t="s">
        <v>1305</v>
      </c>
      <c r="W303" s="175"/>
    </row>
    <row r="304" spans="1:23" ht="15" customHeight="1" x14ac:dyDescent="0.25">
      <c r="A304" s="588"/>
      <c r="B304" s="173" t="s">
        <v>452</v>
      </c>
      <c r="C304" s="173"/>
      <c r="D304" s="176" t="s">
        <v>380</v>
      </c>
      <c r="E304" s="345" t="s">
        <v>5</v>
      </c>
      <c r="F304" s="173" t="s">
        <v>366</v>
      </c>
      <c r="G304" s="107">
        <v>1</v>
      </c>
      <c r="H304" s="109"/>
      <c r="I304" s="109"/>
      <c r="J304" s="109">
        <v>30</v>
      </c>
      <c r="K304" s="109">
        <v>30</v>
      </c>
      <c r="L304" s="175"/>
      <c r="M304" s="175"/>
      <c r="N304" s="175"/>
      <c r="O304" s="175"/>
      <c r="P304" s="108">
        <f>IF(Table_Shelter[[#This Row],[Status]]="Open",IF(V304="NO",Table_Shelter[[#This Row],[HH per Shelter]]*(Table_Shelter[[#This Row],['# of Temporary Shelter Units Built]]+Table_Shelter[[#This Row],['# of Temporary Shelter Under  Construction]]+Table_Shelter[[#This Row],['# of Permanent House Under Construction]]),0),0)</f>
        <v>30</v>
      </c>
      <c r="Q304" s="108"/>
      <c r="R304" s="175"/>
      <c r="S304" s="175" t="str">
        <f>IFERROR(VLOOKUP(Table_Shelter[[#This Row],[CampName]],CL,2,0),"")</f>
        <v>MMR001CMP193</v>
      </c>
      <c r="T304" s="175" t="str">
        <f>IFERROR(VLOOKUP(Table_Shelter[[#This Row],[CampName]],CL,3,0),"")</f>
        <v>Open</v>
      </c>
      <c r="U304" s="265">
        <f>IFERROR(Table_Shelter[[#This Row],[HH Covered]]/VLOOKUP(Table_Shelter[[#This Row],[CampName]],CL,4,0),"")</f>
        <v>0.2</v>
      </c>
      <c r="V304" s="265" t="s">
        <v>1305</v>
      </c>
      <c r="W304" s="175"/>
    </row>
    <row r="305" spans="1:23" ht="15" customHeight="1" x14ac:dyDescent="0.25">
      <c r="A305" s="588"/>
      <c r="B305" s="173" t="s">
        <v>862</v>
      </c>
      <c r="C305" s="173"/>
      <c r="D305" s="176" t="s">
        <v>380</v>
      </c>
      <c r="E305" s="345" t="s">
        <v>310</v>
      </c>
      <c r="F305" s="173" t="s">
        <v>355</v>
      </c>
      <c r="G305" s="107">
        <v>1</v>
      </c>
      <c r="H305" s="109">
        <v>207</v>
      </c>
      <c r="I305" s="109">
        <v>207</v>
      </c>
      <c r="J305" s="109"/>
      <c r="K305" s="109"/>
      <c r="L305" s="175"/>
      <c r="M305" s="175"/>
      <c r="N305" s="175"/>
      <c r="O305" s="175"/>
      <c r="P305" s="108">
        <f>IF(Table_Shelter[[#This Row],[Status]]="Open",IF(V305="NO",Table_Shelter[[#This Row],[HH per Shelter]]*(Table_Shelter[[#This Row],['# of Temporary Shelter Units Built]]+Table_Shelter[[#This Row],['# of Temporary Shelter Under  Construction]]+Table_Shelter[[#This Row],['# of Permanent House Under Construction]]),0),0)</f>
        <v>0</v>
      </c>
      <c r="Q305" s="108"/>
      <c r="R305" s="175"/>
      <c r="S305" s="175" t="str">
        <f>IFERROR(VLOOKUP(Table_Shelter[[#This Row],[CampName]],CL,2,0),"")</f>
        <v>MMR001CMP160</v>
      </c>
      <c r="T305" s="175" t="str">
        <f>IFERROR(VLOOKUP(Table_Shelter[[#This Row],[CampName]],CL,3,0),"")</f>
        <v>Open</v>
      </c>
      <c r="U305" s="265">
        <f>IFERROR(Table_Shelter[[#This Row],[HH Covered]]/VLOOKUP(Table_Shelter[[#This Row],[CampName]],CL,4,0),"")</f>
        <v>0</v>
      </c>
      <c r="V305" s="265" t="s">
        <v>1305</v>
      </c>
      <c r="W305" s="175"/>
    </row>
    <row r="306" spans="1:23" ht="15" customHeight="1" x14ac:dyDescent="0.25">
      <c r="A306" s="588"/>
      <c r="B306" s="173" t="s">
        <v>452</v>
      </c>
      <c r="C306" s="173" t="s">
        <v>505</v>
      </c>
      <c r="D306" s="176" t="s">
        <v>380</v>
      </c>
      <c r="E306" s="345" t="s">
        <v>310</v>
      </c>
      <c r="F306" s="173" t="s">
        <v>318</v>
      </c>
      <c r="G306" s="107">
        <v>1</v>
      </c>
      <c r="H306" s="109"/>
      <c r="I306" s="109"/>
      <c r="J306" s="109">
        <v>45</v>
      </c>
      <c r="K306" s="109">
        <v>45</v>
      </c>
      <c r="L306" s="175"/>
      <c r="M306" s="175"/>
      <c r="N306" s="175"/>
      <c r="O306" s="175"/>
      <c r="P306" s="108">
        <f>IF(Table_Shelter[[#This Row],[Status]]="Open",IF(V306="NO",Table_Shelter[[#This Row],[HH per Shelter]]*(Table_Shelter[[#This Row],['# of Temporary Shelter Units Built]]+Table_Shelter[[#This Row],['# of Temporary Shelter Under  Construction]]+Table_Shelter[[#This Row],['# of Permanent House Under Construction]]),0),0)</f>
        <v>45</v>
      </c>
      <c r="Q306" s="108">
        <v>10</v>
      </c>
      <c r="R306" s="175"/>
      <c r="S306" s="175" t="str">
        <f>IFERROR(VLOOKUP(Table_Shelter[[#This Row],[CampName]],CL,2,0),"")</f>
        <v>MMR001CMP032</v>
      </c>
      <c r="T306" s="175" t="str">
        <f>IFERROR(VLOOKUP(Table_Shelter[[#This Row],[CampName]],CL,3,0),"")</f>
        <v>Open</v>
      </c>
      <c r="U306" s="265">
        <f>IFERROR(Table_Shelter[[#This Row],[HH Covered]]/VLOOKUP(Table_Shelter[[#This Row],[CampName]],CL,4,0),"")</f>
        <v>0.49450549450549453</v>
      </c>
      <c r="V306" s="265" t="s">
        <v>1305</v>
      </c>
      <c r="W306" s="175"/>
    </row>
    <row r="307" spans="1:23" ht="15" customHeight="1" x14ac:dyDescent="0.25">
      <c r="A307" s="588"/>
      <c r="B307" s="173" t="s">
        <v>452</v>
      </c>
      <c r="C307" s="173"/>
      <c r="D307" s="176" t="s">
        <v>380</v>
      </c>
      <c r="E307" s="345" t="s">
        <v>310</v>
      </c>
      <c r="F307" s="173" t="s">
        <v>318</v>
      </c>
      <c r="G307" s="107">
        <v>1</v>
      </c>
      <c r="H307" s="109"/>
      <c r="I307" s="109"/>
      <c r="J307" s="109">
        <v>5</v>
      </c>
      <c r="K307" s="109">
        <v>5</v>
      </c>
      <c r="L307" s="175"/>
      <c r="M307" s="175"/>
      <c r="N307" s="175"/>
      <c r="O307" s="175"/>
      <c r="P307" s="108">
        <f>IF(Table_Shelter[[#This Row],[Status]]="Open",IF(V307="NO",Table_Shelter[[#This Row],[HH per Shelter]]*(Table_Shelter[[#This Row],['# of Temporary Shelter Units Built]]+Table_Shelter[[#This Row],['# of Temporary Shelter Under  Construction]]+Table_Shelter[[#This Row],['# of Permanent House Under Construction]]),0),0)</f>
        <v>5</v>
      </c>
      <c r="Q307" s="108"/>
      <c r="R307" s="175"/>
      <c r="S307" s="175" t="str">
        <f>IFERROR(VLOOKUP(Table_Shelter[[#This Row],[CampName]],CL,2,0),"")</f>
        <v>MMR001CMP032</v>
      </c>
      <c r="T307" s="175" t="str">
        <f>IFERROR(VLOOKUP(Table_Shelter[[#This Row],[CampName]],CL,3,0),"")</f>
        <v>Open</v>
      </c>
      <c r="U307" s="265">
        <f>IFERROR(Table_Shelter[[#This Row],[HH Covered]]/VLOOKUP(Table_Shelter[[#This Row],[CampName]],CL,4,0),"")</f>
        <v>5.4945054945054944E-2</v>
      </c>
      <c r="V307" s="265" t="s">
        <v>1305</v>
      </c>
      <c r="W307" s="175"/>
    </row>
    <row r="308" spans="1:23" ht="15" customHeight="1" x14ac:dyDescent="0.25">
      <c r="A308" s="588"/>
      <c r="B308" s="173" t="s">
        <v>569</v>
      </c>
      <c r="C308" s="173"/>
      <c r="D308" s="176" t="s">
        <v>380</v>
      </c>
      <c r="E308" s="345" t="s">
        <v>310</v>
      </c>
      <c r="F308" s="173" t="s">
        <v>318</v>
      </c>
      <c r="G308" s="107">
        <v>1</v>
      </c>
      <c r="H308" s="109"/>
      <c r="I308" s="109"/>
      <c r="J308" s="109">
        <v>10</v>
      </c>
      <c r="K308" s="109">
        <v>10</v>
      </c>
      <c r="L308" s="175"/>
      <c r="M308" s="175"/>
      <c r="N308" s="175"/>
      <c r="O308" s="175"/>
      <c r="P308" s="108">
        <f>IF(Table_Shelter[[#This Row],[Status]]="Open",IF(V308="NO",Table_Shelter[[#This Row],[HH per Shelter]]*(Table_Shelter[[#This Row],['# of Temporary Shelter Units Built]]+Table_Shelter[[#This Row],['# of Temporary Shelter Under  Construction]]+Table_Shelter[[#This Row],['# of Permanent House Under Construction]]),0),0)</f>
        <v>10</v>
      </c>
      <c r="Q308" s="108"/>
      <c r="R308" s="175"/>
      <c r="S308" s="175" t="str">
        <f>IFERROR(VLOOKUP(Table_Shelter[[#This Row],[CampName]],CL,2,0),"")</f>
        <v>MMR001CMP032</v>
      </c>
      <c r="T308" s="175" t="str">
        <f>IFERROR(VLOOKUP(Table_Shelter[[#This Row],[CampName]],CL,3,0),"")</f>
        <v>Open</v>
      </c>
      <c r="U308" s="265">
        <f>IFERROR(Table_Shelter[[#This Row],[HH Covered]]/VLOOKUP(Table_Shelter[[#This Row],[CampName]],CL,4,0),"")</f>
        <v>0.10989010989010989</v>
      </c>
      <c r="V308" s="265" t="s">
        <v>1305</v>
      </c>
      <c r="W308" s="175"/>
    </row>
    <row r="309" spans="1:23" ht="15" customHeight="1" x14ac:dyDescent="0.25">
      <c r="A309" s="588"/>
      <c r="B309" s="173" t="s">
        <v>452</v>
      </c>
      <c r="C309" s="173" t="s">
        <v>505</v>
      </c>
      <c r="D309" s="180" t="s">
        <v>380</v>
      </c>
      <c r="E309" s="345" t="s">
        <v>310</v>
      </c>
      <c r="F309" s="173" t="s">
        <v>318</v>
      </c>
      <c r="G309" s="107">
        <v>1</v>
      </c>
      <c r="H309" s="109"/>
      <c r="I309" s="109"/>
      <c r="J309" s="109">
        <v>5</v>
      </c>
      <c r="K309" s="109">
        <v>5</v>
      </c>
      <c r="L309" s="175"/>
      <c r="M309" s="175"/>
      <c r="N309" s="175"/>
      <c r="O309" s="175"/>
      <c r="P309" s="108">
        <f>IF(Table_Shelter[[#This Row],[Status]]="Open",IF(V309="NO",Table_Shelter[[#This Row],[HH per Shelter]]*(Table_Shelter[[#This Row],['# of Temporary Shelter Units Built]]+Table_Shelter[[#This Row],['# of Temporary Shelter Under  Construction]]+Table_Shelter[[#This Row],['# of Permanent House Under Construction]]),0),0)</f>
        <v>5</v>
      </c>
      <c r="Q309" s="108"/>
      <c r="R309" s="108"/>
      <c r="S309" s="108" t="str">
        <f>IFERROR(VLOOKUP(Table_Shelter[[#This Row],[CampName]],CL,2,0),"")</f>
        <v>MMR001CMP032</v>
      </c>
      <c r="T309" s="108" t="str">
        <f>IFERROR(VLOOKUP(Table_Shelter[[#This Row],[CampName]],CL,3,0),"")</f>
        <v>Open</v>
      </c>
      <c r="U309" s="265">
        <f>IFERROR(Table_Shelter[[#This Row],[HH Covered]]/VLOOKUP(Table_Shelter[[#This Row],[CampName]],CL,4,0),"")</f>
        <v>5.4945054945054944E-2</v>
      </c>
      <c r="V309" s="265" t="s">
        <v>1305</v>
      </c>
      <c r="W309" s="108"/>
    </row>
    <row r="310" spans="1:23" ht="15" customHeight="1" x14ac:dyDescent="0.25">
      <c r="A310" s="588"/>
      <c r="B310" s="173" t="s">
        <v>847</v>
      </c>
      <c r="C310" s="173" t="s">
        <v>460</v>
      </c>
      <c r="D310" s="176" t="s">
        <v>380</v>
      </c>
      <c r="E310" s="345" t="s">
        <v>310</v>
      </c>
      <c r="F310" s="173" t="s">
        <v>342</v>
      </c>
      <c r="G310" s="107">
        <v>1</v>
      </c>
      <c r="H310" s="109"/>
      <c r="I310" s="109"/>
      <c r="J310" s="109">
        <v>8</v>
      </c>
      <c r="K310" s="109">
        <v>8</v>
      </c>
      <c r="L310" s="175"/>
      <c r="M310" s="175"/>
      <c r="N310" s="175"/>
      <c r="O310" s="175"/>
      <c r="P310" s="108">
        <f>IF(Table_Shelter[[#This Row],[Status]]="Open",IF(V310="NO",Table_Shelter[[#This Row],[HH per Shelter]]*(Table_Shelter[[#This Row],['# of Temporary Shelter Units Built]]+Table_Shelter[[#This Row],['# of Temporary Shelter Under  Construction]]+Table_Shelter[[#This Row],['# of Permanent House Under Construction]]),0),0)</f>
        <v>8</v>
      </c>
      <c r="Q310" s="108"/>
      <c r="R310" s="175"/>
      <c r="S310" s="175" t="str">
        <f>IFERROR(VLOOKUP(Table_Shelter[[#This Row],[CampName]],CL,2,0),"")</f>
        <v>MMR001CMP025</v>
      </c>
      <c r="T310" s="175" t="str">
        <f>IFERROR(VLOOKUP(Table_Shelter[[#This Row],[CampName]],CL,3,0),"")</f>
        <v>Open</v>
      </c>
      <c r="U310" s="265">
        <f>IFERROR(Table_Shelter[[#This Row],[HH Covered]]/VLOOKUP(Table_Shelter[[#This Row],[CampName]],CL,4,0),"")</f>
        <v>0.25806451612903225</v>
      </c>
      <c r="V310" s="265" t="s">
        <v>1305</v>
      </c>
      <c r="W310" s="175"/>
    </row>
    <row r="311" spans="1:23" ht="15" customHeight="1" x14ac:dyDescent="0.25">
      <c r="A311" s="588"/>
      <c r="B311" s="173" t="s">
        <v>452</v>
      </c>
      <c r="C311" s="173" t="s">
        <v>460</v>
      </c>
      <c r="D311" s="176" t="s">
        <v>380</v>
      </c>
      <c r="E311" s="345" t="s">
        <v>310</v>
      </c>
      <c r="F311" s="173" t="s">
        <v>342</v>
      </c>
      <c r="G311" s="107">
        <v>1</v>
      </c>
      <c r="H311" s="109"/>
      <c r="I311" s="109"/>
      <c r="J311" s="109">
        <v>10</v>
      </c>
      <c r="K311" s="109">
        <v>10</v>
      </c>
      <c r="L311" s="175"/>
      <c r="M311" s="175"/>
      <c r="N311" s="175"/>
      <c r="O311" s="175"/>
      <c r="P311" s="108">
        <f>IF(Table_Shelter[[#This Row],[Status]]="Open",IF(V311="NO",Table_Shelter[[#This Row],[HH per Shelter]]*(Table_Shelter[[#This Row],['# of Temporary Shelter Units Built]]+Table_Shelter[[#This Row],['# of Temporary Shelter Under  Construction]]+Table_Shelter[[#This Row],['# of Permanent House Under Construction]]),0),0)</f>
        <v>10</v>
      </c>
      <c r="Q311" s="108"/>
      <c r="R311" s="175"/>
      <c r="S311" s="175" t="str">
        <f>IFERROR(VLOOKUP(Table_Shelter[[#This Row],[CampName]],CL,2,0),"")</f>
        <v>MMR001CMP025</v>
      </c>
      <c r="T311" s="175" t="str">
        <f>IFERROR(VLOOKUP(Table_Shelter[[#This Row],[CampName]],CL,3,0),"")</f>
        <v>Open</v>
      </c>
      <c r="U311" s="265">
        <f>IFERROR(Table_Shelter[[#This Row],[HH Covered]]/VLOOKUP(Table_Shelter[[#This Row],[CampName]],CL,4,0),"")</f>
        <v>0.32258064516129031</v>
      </c>
      <c r="V311" s="265" t="s">
        <v>1305</v>
      </c>
      <c r="W311" s="175"/>
    </row>
    <row r="312" spans="1:23" ht="15" customHeight="1" x14ac:dyDescent="0.25">
      <c r="A312" s="588"/>
      <c r="B312" s="173" t="s">
        <v>452</v>
      </c>
      <c r="C312" s="173"/>
      <c r="D312" s="176" t="s">
        <v>380</v>
      </c>
      <c r="E312" s="345" t="s">
        <v>310</v>
      </c>
      <c r="F312" s="173" t="s">
        <v>342</v>
      </c>
      <c r="G312" s="107">
        <v>1</v>
      </c>
      <c r="H312" s="109"/>
      <c r="I312" s="109"/>
      <c r="J312" s="109">
        <v>20</v>
      </c>
      <c r="K312" s="109">
        <v>20</v>
      </c>
      <c r="L312" s="175"/>
      <c r="M312" s="175"/>
      <c r="N312" s="175"/>
      <c r="O312" s="175"/>
      <c r="P312" s="108">
        <f>IF(Table_Shelter[[#This Row],[Status]]="Open",IF(V312="NO",Table_Shelter[[#This Row],[HH per Shelter]]*(Table_Shelter[[#This Row],['# of Temporary Shelter Units Built]]+Table_Shelter[[#This Row],['# of Temporary Shelter Under  Construction]]+Table_Shelter[[#This Row],['# of Permanent House Under Construction]]),0),0)</f>
        <v>20</v>
      </c>
      <c r="Q312" s="108"/>
      <c r="R312" s="175"/>
      <c r="S312" s="175" t="str">
        <f>IFERROR(VLOOKUP(Table_Shelter[[#This Row],[CampName]],CL,2,0),"")</f>
        <v>MMR001CMP025</v>
      </c>
      <c r="T312" s="175" t="str">
        <f>IFERROR(VLOOKUP(Table_Shelter[[#This Row],[CampName]],CL,3,0),"")</f>
        <v>Open</v>
      </c>
      <c r="U312" s="265">
        <f>IFERROR(Table_Shelter[[#This Row],[HH Covered]]/VLOOKUP(Table_Shelter[[#This Row],[CampName]],CL,4,0),"")</f>
        <v>0.64516129032258063</v>
      </c>
      <c r="V312" s="265" t="s">
        <v>1305</v>
      </c>
      <c r="W312" s="175"/>
    </row>
    <row r="313" spans="1:23" ht="15" customHeight="1" x14ac:dyDescent="0.25">
      <c r="A313" s="588"/>
      <c r="B313" s="173" t="s">
        <v>452</v>
      </c>
      <c r="C313" s="173" t="s">
        <v>505</v>
      </c>
      <c r="D313" s="176" t="s">
        <v>380</v>
      </c>
      <c r="E313" s="345" t="s">
        <v>310</v>
      </c>
      <c r="F313" s="173" t="s">
        <v>338</v>
      </c>
      <c r="G313" s="107">
        <v>1</v>
      </c>
      <c r="H313" s="109"/>
      <c r="I313" s="109"/>
      <c r="J313" s="109">
        <v>23</v>
      </c>
      <c r="K313" s="109">
        <v>23</v>
      </c>
      <c r="L313" s="175"/>
      <c r="M313" s="175"/>
      <c r="N313" s="175"/>
      <c r="O313" s="175"/>
      <c r="P313" s="108">
        <f>IF(Table_Shelter[[#This Row],[Status]]="Open",IF(V313="NO",Table_Shelter[[#This Row],[HH per Shelter]]*(Table_Shelter[[#This Row],['# of Temporary Shelter Units Built]]+Table_Shelter[[#This Row],['# of Temporary Shelter Under  Construction]]+Table_Shelter[[#This Row],['# of Permanent House Under Construction]]),0),0)</f>
        <v>23</v>
      </c>
      <c r="Q313" s="108"/>
      <c r="R313" s="175"/>
      <c r="S313" s="175" t="str">
        <f>IFERROR(VLOOKUP(Table_Shelter[[#This Row],[CampName]],CL,2,0),"")</f>
        <v>MMR001CMP030</v>
      </c>
      <c r="T313" s="175" t="str">
        <f>IFERROR(VLOOKUP(Table_Shelter[[#This Row],[CampName]],CL,3,0),"")</f>
        <v>Open</v>
      </c>
      <c r="U313" s="265">
        <f>IFERROR(Table_Shelter[[#This Row],[HH Covered]]/VLOOKUP(Table_Shelter[[#This Row],[CampName]],CL,4,0),"")</f>
        <v>0.74193548387096775</v>
      </c>
      <c r="V313" s="265" t="s">
        <v>1305</v>
      </c>
      <c r="W313" s="175"/>
    </row>
    <row r="314" spans="1:23" ht="15" customHeight="1" x14ac:dyDescent="0.25">
      <c r="A314" s="588"/>
      <c r="B314" s="107" t="s">
        <v>452</v>
      </c>
      <c r="C314" s="107" t="s">
        <v>505</v>
      </c>
      <c r="D314" s="180" t="s">
        <v>380</v>
      </c>
      <c r="E314" s="181" t="s">
        <v>310</v>
      </c>
      <c r="F314" s="107" t="s">
        <v>338</v>
      </c>
      <c r="G314" s="107">
        <v>1</v>
      </c>
      <c r="H314" s="109"/>
      <c r="I314" s="109"/>
      <c r="J314" s="109">
        <v>3</v>
      </c>
      <c r="K314" s="109">
        <v>3</v>
      </c>
      <c r="L314" s="109"/>
      <c r="M314" s="109"/>
      <c r="N314" s="109"/>
      <c r="O314" s="109"/>
      <c r="P314" s="108">
        <f>IF(Table_Shelter[[#This Row],[Status]]="Open",IF(V314="NO",Table_Shelter[[#This Row],[HH per Shelter]]*(Table_Shelter[[#This Row],['# of Temporary Shelter Units Built]]+Table_Shelter[[#This Row],['# of Temporary Shelter Under  Construction]]+Table_Shelter[[#This Row],['# of Permanent House Under Construction]]),0),0)</f>
        <v>3</v>
      </c>
      <c r="Q314" s="108"/>
      <c r="R314" s="108"/>
      <c r="S314" s="108" t="str">
        <f>IFERROR(VLOOKUP(Table_Shelter[[#This Row],[CampName]],CL,2,0),"")</f>
        <v>MMR001CMP030</v>
      </c>
      <c r="T314" s="108" t="str">
        <f>IFERROR(VLOOKUP(Table_Shelter[[#This Row],[CampName]],CL,3,0),"")</f>
        <v>Open</v>
      </c>
      <c r="U314" s="266">
        <f>IFERROR(Table_Shelter[[#This Row],[HH Covered]]/VLOOKUP(Table_Shelter[[#This Row],[CampName]],CL,4,0),"")</f>
        <v>9.6774193548387094E-2</v>
      </c>
      <c r="V314" s="265" t="s">
        <v>1305</v>
      </c>
      <c r="W314" s="108"/>
    </row>
    <row r="315" spans="1:23" ht="15" customHeight="1" x14ac:dyDescent="0.25">
      <c r="A315" s="588"/>
      <c r="B315" s="173" t="s">
        <v>452</v>
      </c>
      <c r="C315" s="173" t="s">
        <v>505</v>
      </c>
      <c r="D315" s="176" t="s">
        <v>380</v>
      </c>
      <c r="E315" s="345" t="s">
        <v>310</v>
      </c>
      <c r="F315" s="173" t="s">
        <v>351</v>
      </c>
      <c r="G315" s="107">
        <v>1</v>
      </c>
      <c r="H315" s="109"/>
      <c r="I315" s="109"/>
      <c r="J315" s="109">
        <v>100</v>
      </c>
      <c r="K315" s="109">
        <v>100</v>
      </c>
      <c r="L315" s="175"/>
      <c r="M315" s="175"/>
      <c r="N315" s="175"/>
      <c r="O315" s="175"/>
      <c r="P315" s="108">
        <f>IF(Table_Shelter[[#This Row],[Status]]="Open",IF(V315="NO",Table_Shelter[[#This Row],[HH per Shelter]]*(Table_Shelter[[#This Row],['# of Temporary Shelter Units Built]]+Table_Shelter[[#This Row],['# of Temporary Shelter Under  Construction]]+Table_Shelter[[#This Row],['# of Permanent House Under Construction]]),0),0)</f>
        <v>100</v>
      </c>
      <c r="Q315" s="108">
        <v>15</v>
      </c>
      <c r="R315" s="175"/>
      <c r="S315" s="175" t="str">
        <f>IFERROR(VLOOKUP(Table_Shelter[[#This Row],[CampName]],CL,2,0),"")</f>
        <v>MMR001CMP026</v>
      </c>
      <c r="T315" s="175" t="str">
        <f>IFERROR(VLOOKUP(Table_Shelter[[#This Row],[CampName]],CL,3,0),"")</f>
        <v>Open</v>
      </c>
      <c r="U315" s="265">
        <f>IFERROR(Table_Shelter[[#This Row],[HH Covered]]/VLOOKUP(Table_Shelter[[#This Row],[CampName]],CL,4,0),"")</f>
        <v>1.1494252873563218</v>
      </c>
      <c r="V315" s="265" t="s">
        <v>1305</v>
      </c>
      <c r="W315" s="175"/>
    </row>
    <row r="316" spans="1:23" ht="15" customHeight="1" x14ac:dyDescent="0.25">
      <c r="A316" s="588"/>
      <c r="B316" s="173" t="s">
        <v>862</v>
      </c>
      <c r="C316" s="173"/>
      <c r="D316" s="176" t="s">
        <v>380</v>
      </c>
      <c r="E316" s="345" t="s">
        <v>527</v>
      </c>
      <c r="F316" s="173" t="s">
        <v>118</v>
      </c>
      <c r="G316" s="107">
        <v>1</v>
      </c>
      <c r="H316" s="109">
        <v>9</v>
      </c>
      <c r="I316" s="109">
        <v>9</v>
      </c>
      <c r="J316" s="109"/>
      <c r="K316" s="109"/>
      <c r="L316" s="175"/>
      <c r="M316" s="175"/>
      <c r="N316" s="175"/>
      <c r="O316" s="175"/>
      <c r="P316" s="108">
        <f>IF(Table_Shelter[[#This Row],[Status]]="Open",IF(V316="NO",Table_Shelter[[#This Row],[HH per Shelter]]*(Table_Shelter[[#This Row],['# of Temporary Shelter Units Built]]+Table_Shelter[[#This Row],['# of Temporary Shelter Under  Construction]]+Table_Shelter[[#This Row],['# of Permanent House Under Construction]]),0),0)</f>
        <v>0</v>
      </c>
      <c r="Q316" s="108"/>
      <c r="R316" s="175"/>
      <c r="S316" s="175" t="str">
        <f>IFERROR(VLOOKUP(Table_Shelter[[#This Row],[CampName]],CL,2,0),"")</f>
        <v>MMR001CMP182</v>
      </c>
      <c r="T316" s="175" t="str">
        <f>IFERROR(VLOOKUP(Table_Shelter[[#This Row],[CampName]],CL,3,0),"")</f>
        <v>Open</v>
      </c>
      <c r="U316" s="265">
        <f>IFERROR(Table_Shelter[[#This Row],[HH Covered]]/VLOOKUP(Table_Shelter[[#This Row],[CampName]],CL,4,0),"")</f>
        <v>0</v>
      </c>
      <c r="V316" s="265" t="s">
        <v>1305</v>
      </c>
      <c r="W316" s="175"/>
    </row>
    <row r="317" spans="1:23" ht="15" customHeight="1" x14ac:dyDescent="0.25">
      <c r="A317" s="588"/>
      <c r="B317" s="173" t="s">
        <v>847</v>
      </c>
      <c r="C317" s="173"/>
      <c r="D317" s="176" t="s">
        <v>380</v>
      </c>
      <c r="E317" s="345" t="s">
        <v>5</v>
      </c>
      <c r="F317" s="173" t="s">
        <v>22</v>
      </c>
      <c r="G317" s="107">
        <v>1</v>
      </c>
      <c r="H317" s="109"/>
      <c r="I317" s="109"/>
      <c r="J317" s="109">
        <v>162</v>
      </c>
      <c r="K317" s="109">
        <v>162</v>
      </c>
      <c r="L317" s="175"/>
      <c r="M317" s="175"/>
      <c r="N317" s="175"/>
      <c r="O317" s="175"/>
      <c r="P317" s="108">
        <f>IF(Table_Shelter[[#This Row],[Status]]="Open",IF(V317="NO",Table_Shelter[[#This Row],[HH per Shelter]]*(Table_Shelter[[#This Row],['# of Temporary Shelter Units Built]]+Table_Shelter[[#This Row],['# of Temporary Shelter Under  Construction]]+Table_Shelter[[#This Row],['# of Permanent House Under Construction]]),0),0)</f>
        <v>162</v>
      </c>
      <c r="Q317" s="108"/>
      <c r="R317" s="175"/>
      <c r="S317" s="175" t="str">
        <f>IFERROR(VLOOKUP(Table_Shelter[[#This Row],[CampName]],CL,2,0),"")</f>
        <v>MMR001CMP047</v>
      </c>
      <c r="T317" s="175" t="str">
        <f>IFERROR(VLOOKUP(Table_Shelter[[#This Row],[CampName]],CL,3,0),"")</f>
        <v>Open</v>
      </c>
      <c r="U317" s="265">
        <f>IFERROR(Table_Shelter[[#This Row],[HH Covered]]/VLOOKUP(Table_Shelter[[#This Row],[CampName]],CL,4,0),"")</f>
        <v>0.25878594249201275</v>
      </c>
      <c r="V317" s="265" t="s">
        <v>1305</v>
      </c>
      <c r="W317" s="175"/>
    </row>
    <row r="318" spans="1:23" ht="15" customHeight="1" x14ac:dyDescent="0.25">
      <c r="A318" s="588"/>
      <c r="B318" s="173" t="s">
        <v>846</v>
      </c>
      <c r="C318" s="173"/>
      <c r="D318" s="176" t="s">
        <v>380</v>
      </c>
      <c r="E318" s="345" t="s">
        <v>5</v>
      </c>
      <c r="F318" s="173" t="s">
        <v>22</v>
      </c>
      <c r="G318" s="107">
        <v>1</v>
      </c>
      <c r="H318" s="109"/>
      <c r="I318" s="109"/>
      <c r="J318" s="109">
        <v>163</v>
      </c>
      <c r="K318" s="109">
        <v>163</v>
      </c>
      <c r="L318" s="175"/>
      <c r="M318" s="175"/>
      <c r="N318" s="175"/>
      <c r="O318" s="175"/>
      <c r="P318" s="108">
        <f>IF(Table_Shelter[[#This Row],[Status]]="Open",IF(V318="NO",Table_Shelter[[#This Row],[HH per Shelter]]*(Table_Shelter[[#This Row],['# of Temporary Shelter Units Built]]+Table_Shelter[[#This Row],['# of Temporary Shelter Under  Construction]]+Table_Shelter[[#This Row],['# of Permanent House Under Construction]]),0),0)</f>
        <v>163</v>
      </c>
      <c r="Q318" s="108"/>
      <c r="R318" s="175"/>
      <c r="S318" s="175" t="str">
        <f>IFERROR(VLOOKUP(Table_Shelter[[#This Row],[CampName]],CL,2,0),"")</f>
        <v>MMR001CMP047</v>
      </c>
      <c r="T318" s="175" t="str">
        <f>IFERROR(VLOOKUP(Table_Shelter[[#This Row],[CampName]],CL,3,0),"")</f>
        <v>Open</v>
      </c>
      <c r="U318" s="265">
        <f>IFERROR(Table_Shelter[[#This Row],[HH Covered]]/VLOOKUP(Table_Shelter[[#This Row],[CampName]],CL,4,0),"")</f>
        <v>0.26038338658146964</v>
      </c>
      <c r="V318" s="265" t="s">
        <v>1305</v>
      </c>
      <c r="W318" s="175"/>
    </row>
    <row r="319" spans="1:23" ht="15" customHeight="1" x14ac:dyDescent="0.25">
      <c r="A319" s="588"/>
      <c r="B319" s="173" t="s">
        <v>452</v>
      </c>
      <c r="C319" s="173"/>
      <c r="D319" s="176" t="s">
        <v>380</v>
      </c>
      <c r="E319" s="345" t="s">
        <v>5</v>
      </c>
      <c r="F319" s="173" t="s">
        <v>22</v>
      </c>
      <c r="G319" s="107">
        <v>1</v>
      </c>
      <c r="H319" s="109"/>
      <c r="I319" s="109"/>
      <c r="J319" s="109">
        <v>70</v>
      </c>
      <c r="K319" s="109">
        <v>70</v>
      </c>
      <c r="L319" s="175"/>
      <c r="M319" s="175"/>
      <c r="N319" s="175"/>
      <c r="O319" s="175"/>
      <c r="P319" s="108">
        <f>IF(Table_Shelter[[#This Row],[Status]]="Open",IF(V319="NO",Table_Shelter[[#This Row],[HH per Shelter]]*(Table_Shelter[[#This Row],['# of Temporary Shelter Units Built]]+Table_Shelter[[#This Row],['# of Temporary Shelter Under  Construction]]+Table_Shelter[[#This Row],['# of Permanent House Under Construction]]),0),0)</f>
        <v>70</v>
      </c>
      <c r="Q319" s="108"/>
      <c r="R319" s="175"/>
      <c r="S319" s="175" t="str">
        <f>IFERROR(VLOOKUP(Table_Shelter[[#This Row],[CampName]],CL,2,0),"")</f>
        <v>MMR001CMP047</v>
      </c>
      <c r="T319" s="175" t="str">
        <f>IFERROR(VLOOKUP(Table_Shelter[[#This Row],[CampName]],CL,3,0),"")</f>
        <v>Open</v>
      </c>
      <c r="U319" s="265">
        <f>IFERROR(Table_Shelter[[#This Row],[HH Covered]]/VLOOKUP(Table_Shelter[[#This Row],[CampName]],CL,4,0),"")</f>
        <v>0.11182108626198083</v>
      </c>
      <c r="V319" s="265" t="s">
        <v>1305</v>
      </c>
      <c r="W319" s="175"/>
    </row>
    <row r="320" spans="1:23" ht="15" customHeight="1" x14ac:dyDescent="0.25">
      <c r="A320" s="588"/>
      <c r="B320" s="173" t="s">
        <v>862</v>
      </c>
      <c r="C320" s="173"/>
      <c r="D320" s="176" t="s">
        <v>380</v>
      </c>
      <c r="E320" s="345" t="s">
        <v>237</v>
      </c>
      <c r="F320" s="173" t="s">
        <v>898</v>
      </c>
      <c r="G320" s="107">
        <v>1</v>
      </c>
      <c r="H320" s="109">
        <v>1</v>
      </c>
      <c r="I320" s="109">
        <v>1</v>
      </c>
      <c r="J320" s="109"/>
      <c r="K320" s="109"/>
      <c r="L320" s="175"/>
      <c r="M320" s="175"/>
      <c r="N320" s="175"/>
      <c r="O320" s="175"/>
      <c r="P320" s="108">
        <f>IF(Table_Shelter[[#This Row],[Status]]="Open",IF(V320="NO",Table_Shelter[[#This Row],[HH per Shelter]]*(Table_Shelter[[#This Row],['# of Temporary Shelter Units Built]]+Table_Shelter[[#This Row],['# of Temporary Shelter Under  Construction]]+Table_Shelter[[#This Row],['# of Permanent House Under Construction]]),0),0)</f>
        <v>0</v>
      </c>
      <c r="Q320" s="108"/>
      <c r="R320" s="175"/>
      <c r="S320" s="175" t="str">
        <f>IFERROR(VLOOKUP(Table_Shelter[[#This Row],[CampName]],CL,2,0),"")</f>
        <v/>
      </c>
      <c r="T320" s="175" t="str">
        <f>IFERROR(VLOOKUP(Table_Shelter[[#This Row],[CampName]],CL,3,0),"")</f>
        <v/>
      </c>
      <c r="U320" s="265" t="str">
        <f>IFERROR(Table_Shelter[[#This Row],[HH Covered]]/VLOOKUP(Table_Shelter[[#This Row],[CampName]],CL,4,0),"")</f>
        <v/>
      </c>
      <c r="V320" s="265" t="s">
        <v>1305</v>
      </c>
      <c r="W320" s="175"/>
    </row>
    <row r="321" spans="1:23" ht="15" customHeight="1" x14ac:dyDescent="0.25">
      <c r="A321" s="588"/>
      <c r="B321" s="173" t="s">
        <v>862</v>
      </c>
      <c r="C321" s="173"/>
      <c r="D321" s="176" t="s">
        <v>380</v>
      </c>
      <c r="E321" s="345" t="s">
        <v>527</v>
      </c>
      <c r="F321" s="173" t="s">
        <v>124</v>
      </c>
      <c r="G321" s="107">
        <v>1</v>
      </c>
      <c r="H321" s="109">
        <v>7</v>
      </c>
      <c r="I321" s="109">
        <v>7</v>
      </c>
      <c r="J321" s="109"/>
      <c r="K321" s="109"/>
      <c r="L321" s="175"/>
      <c r="M321" s="175"/>
      <c r="N321" s="175"/>
      <c r="O321" s="175"/>
      <c r="P321" s="108">
        <f>IF(Table_Shelter[[#This Row],[Status]]="Open",IF(V321="NO",Table_Shelter[[#This Row],[HH per Shelter]]*(Table_Shelter[[#This Row],['# of Temporary Shelter Units Built]]+Table_Shelter[[#This Row],['# of Temporary Shelter Under  Construction]]+Table_Shelter[[#This Row],['# of Permanent House Under Construction]]),0),0)</f>
        <v>0</v>
      </c>
      <c r="Q321" s="108"/>
      <c r="R321" s="175"/>
      <c r="S321" s="175" t="str">
        <f>IFERROR(VLOOKUP(Table_Shelter[[#This Row],[CampName]],CL,2,0),"")</f>
        <v>MMR001CMP183</v>
      </c>
      <c r="T321" s="175" t="str">
        <f>IFERROR(VLOOKUP(Table_Shelter[[#This Row],[CampName]],CL,3,0),"")</f>
        <v>Open</v>
      </c>
      <c r="U321" s="265">
        <f>IFERROR(Table_Shelter[[#This Row],[HH Covered]]/VLOOKUP(Table_Shelter[[#This Row],[CampName]],CL,4,0),"")</f>
        <v>0</v>
      </c>
      <c r="V321" s="265" t="s">
        <v>1305</v>
      </c>
      <c r="W321" s="175"/>
    </row>
    <row r="322" spans="1:23" ht="15" customHeight="1" x14ac:dyDescent="0.25">
      <c r="A322" s="588"/>
      <c r="B322" s="173" t="s">
        <v>452</v>
      </c>
      <c r="C322" s="173"/>
      <c r="D322" s="176" t="s">
        <v>380</v>
      </c>
      <c r="E322" s="345" t="s">
        <v>185</v>
      </c>
      <c r="F322" s="173" t="s">
        <v>225</v>
      </c>
      <c r="G322" s="107">
        <v>1</v>
      </c>
      <c r="H322" s="109"/>
      <c r="I322" s="109"/>
      <c r="J322" s="109">
        <v>40</v>
      </c>
      <c r="K322" s="109">
        <v>40</v>
      </c>
      <c r="L322" s="175"/>
      <c r="M322" s="175"/>
      <c r="N322" s="175"/>
      <c r="O322" s="175"/>
      <c r="P322" s="108">
        <f>IF(Table_Shelter[[#This Row],[Status]]="Open",IF(V322="NO",Table_Shelter[[#This Row],[HH per Shelter]]*(Table_Shelter[[#This Row],['# of Temporary Shelter Units Built]]+Table_Shelter[[#This Row],['# of Temporary Shelter Under  Construction]]+Table_Shelter[[#This Row],['# of Permanent House Under Construction]]),0),0)</f>
        <v>40</v>
      </c>
      <c r="Q322" s="108"/>
      <c r="R322" s="175"/>
      <c r="S322" s="175" t="str">
        <f>IFERROR(VLOOKUP(Table_Shelter[[#This Row],[CampName]],CL,2,0),"")</f>
        <v>MMR001CMP073</v>
      </c>
      <c r="T322" s="175" t="str">
        <f>IFERROR(VLOOKUP(Table_Shelter[[#This Row],[CampName]],CL,3,0),"")</f>
        <v>Open</v>
      </c>
      <c r="U322" s="265">
        <f>IFERROR(Table_Shelter[[#This Row],[HH Covered]]/VLOOKUP(Table_Shelter[[#This Row],[CampName]],CL,4,0),"")</f>
        <v>0.97560975609756095</v>
      </c>
      <c r="V322" s="265" t="s">
        <v>1305</v>
      </c>
      <c r="W322" s="175"/>
    </row>
    <row r="323" spans="1:23" ht="15" customHeight="1" x14ac:dyDescent="0.25">
      <c r="A323" s="588"/>
      <c r="B323" s="173" t="s">
        <v>847</v>
      </c>
      <c r="C323" s="173" t="s">
        <v>505</v>
      </c>
      <c r="D323" s="176" t="s">
        <v>380</v>
      </c>
      <c r="E323" s="345" t="s">
        <v>237</v>
      </c>
      <c r="F323" s="173" t="s">
        <v>277</v>
      </c>
      <c r="G323" s="107">
        <v>1</v>
      </c>
      <c r="H323" s="109"/>
      <c r="I323" s="109"/>
      <c r="J323" s="109">
        <v>14</v>
      </c>
      <c r="K323" s="109">
        <v>14</v>
      </c>
      <c r="L323" s="175"/>
      <c r="M323" s="175"/>
      <c r="N323" s="175"/>
      <c r="O323" s="175"/>
      <c r="P323" s="108">
        <f>IF(Table_Shelter[[#This Row],[Status]]="Open",IF(V323="NO",Table_Shelter[[#This Row],[HH per Shelter]]*(Table_Shelter[[#This Row],['# of Temporary Shelter Units Built]]+Table_Shelter[[#This Row],['# of Temporary Shelter Under  Construction]]+Table_Shelter[[#This Row],['# of Permanent House Under Construction]]),0),0)</f>
        <v>14</v>
      </c>
      <c r="Q323" s="108"/>
      <c r="R323" s="175"/>
      <c r="S323" s="175" t="str">
        <f>IFERROR(VLOOKUP(Table_Shelter[[#This Row],[CampName]],CL,2,0),"")</f>
        <v>MMR001CMP006</v>
      </c>
      <c r="T323" s="175" t="str">
        <f>IFERROR(VLOOKUP(Table_Shelter[[#This Row],[CampName]],CL,3,0),"")</f>
        <v>Open</v>
      </c>
      <c r="U323" s="265">
        <f>IFERROR(Table_Shelter[[#This Row],[HH Covered]]/VLOOKUP(Table_Shelter[[#This Row],[CampName]],CL,4,0),"")</f>
        <v>0.15909090909090909</v>
      </c>
      <c r="V323" s="265" t="s">
        <v>1305</v>
      </c>
      <c r="W323" s="175"/>
    </row>
    <row r="324" spans="1:23" ht="15" customHeight="1" x14ac:dyDescent="0.25">
      <c r="A324" s="588"/>
      <c r="B324" s="173" t="s">
        <v>452</v>
      </c>
      <c r="C324" s="173" t="s">
        <v>460</v>
      </c>
      <c r="D324" s="176" t="s">
        <v>380</v>
      </c>
      <c r="E324" s="345" t="s">
        <v>237</v>
      </c>
      <c r="F324" s="173" t="s">
        <v>277</v>
      </c>
      <c r="G324" s="107">
        <v>1</v>
      </c>
      <c r="H324" s="109"/>
      <c r="I324" s="109"/>
      <c r="J324" s="109">
        <v>10</v>
      </c>
      <c r="K324" s="109">
        <v>10</v>
      </c>
      <c r="L324" s="175"/>
      <c r="M324" s="175"/>
      <c r="N324" s="175"/>
      <c r="O324" s="175"/>
      <c r="P324" s="108">
        <f>IF(Table_Shelter[[#This Row],[Status]]="Open",IF(V324="NO",Table_Shelter[[#This Row],[HH per Shelter]]*(Table_Shelter[[#This Row],['# of Temporary Shelter Units Built]]+Table_Shelter[[#This Row],['# of Temporary Shelter Under  Construction]]+Table_Shelter[[#This Row],['# of Permanent House Under Construction]]),0),0)</f>
        <v>10</v>
      </c>
      <c r="Q324" s="108"/>
      <c r="R324" s="175"/>
      <c r="S324" s="175" t="str">
        <f>IFERROR(VLOOKUP(Table_Shelter[[#This Row],[CampName]],CL,2,0),"")</f>
        <v>MMR001CMP006</v>
      </c>
      <c r="T324" s="175" t="str">
        <f>IFERROR(VLOOKUP(Table_Shelter[[#This Row],[CampName]],CL,3,0),"")</f>
        <v>Open</v>
      </c>
      <c r="U324" s="265">
        <f>IFERROR(Table_Shelter[[#This Row],[HH Covered]]/VLOOKUP(Table_Shelter[[#This Row],[CampName]],CL,4,0),"")</f>
        <v>0.11363636363636363</v>
      </c>
      <c r="V324" s="265" t="s">
        <v>1305</v>
      </c>
      <c r="W324" s="175"/>
    </row>
    <row r="325" spans="1:23" ht="15" customHeight="1" x14ac:dyDescent="0.25">
      <c r="A325" s="588"/>
      <c r="B325" s="173" t="s">
        <v>452</v>
      </c>
      <c r="C325" s="173"/>
      <c r="D325" s="176" t="s">
        <v>380</v>
      </c>
      <c r="E325" s="345" t="s">
        <v>237</v>
      </c>
      <c r="F325" s="173" t="s">
        <v>277</v>
      </c>
      <c r="G325" s="107">
        <v>1</v>
      </c>
      <c r="H325" s="109"/>
      <c r="I325" s="109"/>
      <c r="J325" s="109">
        <v>40</v>
      </c>
      <c r="K325" s="109">
        <v>40</v>
      </c>
      <c r="L325" s="175"/>
      <c r="M325" s="175"/>
      <c r="N325" s="175"/>
      <c r="O325" s="175"/>
      <c r="P325" s="108">
        <f>IF(Table_Shelter[[#This Row],[Status]]="Open",IF(V325="NO",Table_Shelter[[#This Row],[HH per Shelter]]*(Table_Shelter[[#This Row],['# of Temporary Shelter Units Built]]+Table_Shelter[[#This Row],['# of Temporary Shelter Under  Construction]]+Table_Shelter[[#This Row],['# of Permanent House Under Construction]]),0),0)</f>
        <v>40</v>
      </c>
      <c r="Q325" s="108"/>
      <c r="R325" s="175"/>
      <c r="S325" s="175" t="str">
        <f>IFERROR(VLOOKUP(Table_Shelter[[#This Row],[CampName]],CL,2,0),"")</f>
        <v>MMR001CMP006</v>
      </c>
      <c r="T325" s="175" t="str">
        <f>IFERROR(VLOOKUP(Table_Shelter[[#This Row],[CampName]],CL,3,0),"")</f>
        <v>Open</v>
      </c>
      <c r="U325" s="265">
        <f>IFERROR(Table_Shelter[[#This Row],[HH Covered]]/VLOOKUP(Table_Shelter[[#This Row],[CampName]],CL,4,0),"")</f>
        <v>0.45454545454545453</v>
      </c>
      <c r="V325" s="265" t="s">
        <v>1305</v>
      </c>
      <c r="W325" s="175"/>
    </row>
    <row r="326" spans="1:23" ht="15" customHeight="1" x14ac:dyDescent="0.25">
      <c r="A326" s="588"/>
      <c r="B326" s="173" t="s">
        <v>452</v>
      </c>
      <c r="C326" s="173" t="s">
        <v>460</v>
      </c>
      <c r="D326" s="176" t="s">
        <v>380</v>
      </c>
      <c r="E326" s="345" t="s">
        <v>310</v>
      </c>
      <c r="F326" s="173" t="s">
        <v>347</v>
      </c>
      <c r="G326" s="107">
        <v>1</v>
      </c>
      <c r="H326" s="109"/>
      <c r="I326" s="109"/>
      <c r="J326" s="109">
        <v>170</v>
      </c>
      <c r="K326" s="109">
        <v>170</v>
      </c>
      <c r="L326" s="175"/>
      <c r="M326" s="175"/>
      <c r="N326" s="175"/>
      <c r="O326" s="175"/>
      <c r="P326" s="108">
        <f>IF(Table_Shelter[[#This Row],[Status]]="Open",IF(V326="NO",Table_Shelter[[#This Row],[HH per Shelter]]*(Table_Shelter[[#This Row],['# of Temporary Shelter Units Built]]+Table_Shelter[[#This Row],['# of Temporary Shelter Under  Construction]]+Table_Shelter[[#This Row],['# of Permanent House Under Construction]]),0),0)</f>
        <v>170</v>
      </c>
      <c r="Q326" s="108"/>
      <c r="R326" s="175"/>
      <c r="S326" s="175" t="str">
        <f>IFERROR(VLOOKUP(Table_Shelter[[#This Row],[CampName]],CL,2,0),"")</f>
        <v>MMR001CMP041</v>
      </c>
      <c r="T326" s="175" t="str">
        <f>IFERROR(VLOOKUP(Table_Shelter[[#This Row],[CampName]],CL,3,0),"")</f>
        <v>Open</v>
      </c>
      <c r="U326" s="265">
        <f>IFERROR(Table_Shelter[[#This Row],[HH Covered]]/VLOOKUP(Table_Shelter[[#This Row],[CampName]],CL,4,0),"")</f>
        <v>0.94972067039106145</v>
      </c>
      <c r="V326" s="265" t="s">
        <v>1305</v>
      </c>
      <c r="W326" s="175"/>
    </row>
    <row r="327" spans="1:23" ht="15" customHeight="1" x14ac:dyDescent="0.25">
      <c r="A327" s="588"/>
      <c r="B327" s="173" t="s">
        <v>846</v>
      </c>
      <c r="C327" s="173"/>
      <c r="D327" s="176" t="s">
        <v>380</v>
      </c>
      <c r="E327" s="345" t="s">
        <v>302</v>
      </c>
      <c r="F327" s="173" t="s">
        <v>306</v>
      </c>
      <c r="G327" s="107">
        <v>1</v>
      </c>
      <c r="H327" s="109"/>
      <c r="I327" s="109"/>
      <c r="J327" s="109">
        <v>42</v>
      </c>
      <c r="K327" s="109">
        <v>42</v>
      </c>
      <c r="L327" s="175"/>
      <c r="M327" s="175"/>
      <c r="N327" s="175"/>
      <c r="O327" s="175"/>
      <c r="P327" s="108">
        <f>IF(Table_Shelter[[#This Row],[Status]]="Open",IF(V327="NO",Table_Shelter[[#This Row],[HH per Shelter]]*(Table_Shelter[[#This Row],['# of Temporary Shelter Units Built]]+Table_Shelter[[#This Row],['# of Temporary Shelter Under  Construction]]+Table_Shelter[[#This Row],['# of Permanent House Under Construction]]),0),0)</f>
        <v>42</v>
      </c>
      <c r="Q327" s="108"/>
      <c r="R327" s="175"/>
      <c r="S327" s="175" t="str">
        <f>IFERROR(VLOOKUP(Table_Shelter[[#This Row],[CampName]],CL,2,0),"")</f>
        <v>MMR001CMP067</v>
      </c>
      <c r="T327" s="175" t="str">
        <f>IFERROR(VLOOKUP(Table_Shelter[[#This Row],[CampName]],CL,3,0),"")</f>
        <v>Open</v>
      </c>
      <c r="U327" s="265">
        <f>IFERROR(Table_Shelter[[#This Row],[HH Covered]]/VLOOKUP(Table_Shelter[[#This Row],[CampName]],CL,4,0),"")</f>
        <v>0.48837209302325579</v>
      </c>
      <c r="V327" s="265" t="s">
        <v>1305</v>
      </c>
      <c r="W327" s="175"/>
    </row>
    <row r="328" spans="1:23" ht="15" customHeight="1" x14ac:dyDescent="0.25">
      <c r="A328" s="588"/>
      <c r="B328" s="173" t="s">
        <v>592</v>
      </c>
      <c r="C328" s="173" t="s">
        <v>459</v>
      </c>
      <c r="D328" s="176" t="s">
        <v>380</v>
      </c>
      <c r="E328" s="345" t="s">
        <v>302</v>
      </c>
      <c r="F328" s="173" t="s">
        <v>308</v>
      </c>
      <c r="G328" s="107">
        <v>1</v>
      </c>
      <c r="H328" s="109"/>
      <c r="I328" s="109"/>
      <c r="J328" s="109">
        <v>36</v>
      </c>
      <c r="K328" s="109">
        <v>36</v>
      </c>
      <c r="L328" s="175"/>
      <c r="M328" s="175"/>
      <c r="N328" s="175"/>
      <c r="O328" s="175"/>
      <c r="P328" s="108">
        <f>IF(Table_Shelter[[#This Row],[Status]]="Open",IF(V328="NO",Table_Shelter[[#This Row],[HH per Shelter]]*(Table_Shelter[[#This Row],['# of Temporary Shelter Units Built]]+Table_Shelter[[#This Row],['# of Temporary Shelter Under  Construction]]+Table_Shelter[[#This Row],['# of Permanent House Under Construction]]),0),0)</f>
        <v>36</v>
      </c>
      <c r="Q328" s="108"/>
      <c r="R328" s="175"/>
      <c r="S328" s="175" t="str">
        <f>IFERROR(VLOOKUP(Table_Shelter[[#This Row],[CampName]],CL,2,0),"")</f>
        <v>MMR001CMP068</v>
      </c>
      <c r="T328" s="175" t="str">
        <f>IFERROR(VLOOKUP(Table_Shelter[[#This Row],[CampName]],CL,3,0),"")</f>
        <v>Open</v>
      </c>
      <c r="U328" s="265">
        <f>IFERROR(Table_Shelter[[#This Row],[HH Covered]]/VLOOKUP(Table_Shelter[[#This Row],[CampName]],CL,4,0),"")</f>
        <v>0.9</v>
      </c>
      <c r="V328" s="265" t="s">
        <v>1305</v>
      </c>
      <c r="W328" s="175"/>
    </row>
    <row r="329" spans="1:23" ht="15" customHeight="1" x14ac:dyDescent="0.25">
      <c r="A329" s="588"/>
      <c r="B329" s="173" t="s">
        <v>452</v>
      </c>
      <c r="C329" s="173" t="s">
        <v>459</v>
      </c>
      <c r="D329" s="176" t="s">
        <v>380</v>
      </c>
      <c r="E329" s="345" t="s">
        <v>302</v>
      </c>
      <c r="F329" s="173" t="s">
        <v>308</v>
      </c>
      <c r="G329" s="107">
        <v>1</v>
      </c>
      <c r="H329" s="109"/>
      <c r="I329" s="109"/>
      <c r="J329" s="109">
        <v>10</v>
      </c>
      <c r="K329" s="109">
        <v>10</v>
      </c>
      <c r="L329" s="175"/>
      <c r="M329" s="175"/>
      <c r="N329" s="175"/>
      <c r="O329" s="175"/>
      <c r="P329" s="108">
        <f>IF(Table_Shelter[[#This Row],[Status]]="Open",IF(V329="NO",Table_Shelter[[#This Row],[HH per Shelter]]*(Table_Shelter[[#This Row],['# of Temporary Shelter Units Built]]+Table_Shelter[[#This Row],['# of Temporary Shelter Under  Construction]]+Table_Shelter[[#This Row],['# of Permanent House Under Construction]]),0),0)</f>
        <v>10</v>
      </c>
      <c r="Q329" s="108"/>
      <c r="R329" s="175"/>
      <c r="S329" s="175" t="str">
        <f>IFERROR(VLOOKUP(Table_Shelter[[#This Row],[CampName]],CL,2,0),"")</f>
        <v>MMR001CMP068</v>
      </c>
      <c r="T329" s="175" t="str">
        <f>IFERROR(VLOOKUP(Table_Shelter[[#This Row],[CampName]],CL,3,0),"")</f>
        <v>Open</v>
      </c>
      <c r="U329" s="265">
        <f>IFERROR(Table_Shelter[[#This Row],[HH Covered]]/VLOOKUP(Table_Shelter[[#This Row],[CampName]],CL,4,0),"")</f>
        <v>0.25</v>
      </c>
      <c r="V329" s="265" t="s">
        <v>1305</v>
      </c>
      <c r="W329" s="175"/>
    </row>
    <row r="330" spans="1:23" ht="15" customHeight="1" x14ac:dyDescent="0.25">
      <c r="A330" s="588"/>
      <c r="B330" s="173" t="s">
        <v>452</v>
      </c>
      <c r="C330" s="173" t="s">
        <v>460</v>
      </c>
      <c r="D330" s="176" t="s">
        <v>380</v>
      </c>
      <c r="E330" s="345" t="s">
        <v>237</v>
      </c>
      <c r="F330" s="173" t="s">
        <v>281</v>
      </c>
      <c r="G330" s="107">
        <v>1</v>
      </c>
      <c r="H330" s="109"/>
      <c r="I330" s="109"/>
      <c r="J330" s="109">
        <v>50</v>
      </c>
      <c r="K330" s="109">
        <v>50</v>
      </c>
      <c r="L330" s="175"/>
      <c r="M330" s="175"/>
      <c r="N330" s="175"/>
      <c r="O330" s="175"/>
      <c r="P330" s="108">
        <f>IF(Table_Shelter[[#This Row],[Status]]="Open",IF(V330="NO",Table_Shelter[[#This Row],[HH per Shelter]]*(Table_Shelter[[#This Row],['# of Temporary Shelter Units Built]]+Table_Shelter[[#This Row],['# of Temporary Shelter Under  Construction]]+Table_Shelter[[#This Row],['# of Permanent House Under Construction]]),0),0)</f>
        <v>50</v>
      </c>
      <c r="Q330" s="108"/>
      <c r="R330" s="175"/>
      <c r="S330" s="175" t="str">
        <f>IFERROR(VLOOKUP(Table_Shelter[[#This Row],[CampName]],CL,2,0),"")</f>
        <v>MMR001CMP009</v>
      </c>
      <c r="T330" s="175" t="str">
        <f>IFERROR(VLOOKUP(Table_Shelter[[#This Row],[CampName]],CL,3,0),"")</f>
        <v>Open</v>
      </c>
      <c r="U330" s="265">
        <f>IFERROR(Table_Shelter[[#This Row],[HH Covered]]/VLOOKUP(Table_Shelter[[#This Row],[CampName]],CL,4,0),"")</f>
        <v>0.68493150684931503</v>
      </c>
      <c r="V330" s="265" t="s">
        <v>1305</v>
      </c>
      <c r="W330" s="175"/>
    </row>
    <row r="331" spans="1:23" ht="15" customHeight="1" x14ac:dyDescent="0.25">
      <c r="A331" s="588"/>
      <c r="B331" s="173" t="s">
        <v>592</v>
      </c>
      <c r="C331" s="173" t="s">
        <v>506</v>
      </c>
      <c r="D331" s="176" t="s">
        <v>380</v>
      </c>
      <c r="E331" s="345" t="s">
        <v>180</v>
      </c>
      <c r="F331" s="173" t="s">
        <v>181</v>
      </c>
      <c r="G331" s="107">
        <v>1</v>
      </c>
      <c r="H331" s="109"/>
      <c r="I331" s="109"/>
      <c r="J331" s="109">
        <v>12</v>
      </c>
      <c r="K331" s="109">
        <v>12</v>
      </c>
      <c r="L331" s="175"/>
      <c r="M331" s="175"/>
      <c r="N331" s="175"/>
      <c r="O331" s="175"/>
      <c r="P331" s="108">
        <f>IF(Table_Shelter[[#This Row],[Status]]="Open",IF(V331="NO",Table_Shelter[[#This Row],[HH per Shelter]]*(Table_Shelter[[#This Row],['# of Temporary Shelter Units Built]]+Table_Shelter[[#This Row],['# of Temporary Shelter Under  Construction]]+Table_Shelter[[#This Row],['# of Permanent House Under Construction]]),0),0)</f>
        <v>12</v>
      </c>
      <c r="Q331" s="108"/>
      <c r="R331" s="175"/>
      <c r="S331" s="175" t="str">
        <f>IFERROR(VLOOKUP(Table_Shelter[[#This Row],[CampName]],CL,2,0),"")</f>
        <v>MMR001CMP080</v>
      </c>
      <c r="T331" s="175" t="str">
        <f>IFERROR(VLOOKUP(Table_Shelter[[#This Row],[CampName]],CL,3,0),"")</f>
        <v>Open</v>
      </c>
      <c r="U331" s="265">
        <f>IFERROR(Table_Shelter[[#This Row],[HH Covered]]/VLOOKUP(Table_Shelter[[#This Row],[CampName]],CL,4,0),"")</f>
        <v>1</v>
      </c>
      <c r="V331" s="265" t="s">
        <v>1305</v>
      </c>
      <c r="W331" s="175"/>
    </row>
    <row r="332" spans="1:23" ht="15" customHeight="1" x14ac:dyDescent="0.25">
      <c r="A332" s="588"/>
      <c r="B332" s="173" t="s">
        <v>452</v>
      </c>
      <c r="C332" s="173"/>
      <c r="D332" s="176" t="s">
        <v>380</v>
      </c>
      <c r="E332" s="345" t="s">
        <v>5</v>
      </c>
      <c r="F332" s="173" t="s">
        <v>24</v>
      </c>
      <c r="G332" s="107">
        <v>1</v>
      </c>
      <c r="H332" s="109"/>
      <c r="I332" s="109"/>
      <c r="J332" s="109">
        <v>40</v>
      </c>
      <c r="K332" s="109">
        <v>40</v>
      </c>
      <c r="L332" s="175"/>
      <c r="M332" s="175"/>
      <c r="N332" s="175"/>
      <c r="O332" s="175"/>
      <c r="P332" s="108">
        <f>IF(Table_Shelter[[#This Row],[Status]]="Open",IF(V332="NO",Table_Shelter[[#This Row],[HH per Shelter]]*(Table_Shelter[[#This Row],['# of Temporary Shelter Units Built]]+Table_Shelter[[#This Row],['# of Temporary Shelter Under  Construction]]+Table_Shelter[[#This Row],['# of Permanent House Under Construction]]),0),0)</f>
        <v>40</v>
      </c>
      <c r="Q332" s="108"/>
      <c r="R332" s="175"/>
      <c r="S332" s="175" t="str">
        <f>IFERROR(VLOOKUP(Table_Shelter[[#This Row],[CampName]],CL,2,0),"")</f>
        <v>MMR001CMP055</v>
      </c>
      <c r="T332" s="175" t="str">
        <f>IFERROR(VLOOKUP(Table_Shelter[[#This Row],[CampName]],CL,3,0),"")</f>
        <v>Open</v>
      </c>
      <c r="U332" s="265">
        <f>IFERROR(Table_Shelter[[#This Row],[HH Covered]]/VLOOKUP(Table_Shelter[[#This Row],[CampName]],CL,4,0),"")</f>
        <v>1.9047619047619047</v>
      </c>
      <c r="V332" s="265" t="s">
        <v>1305</v>
      </c>
      <c r="W332" s="175"/>
    </row>
    <row r="333" spans="1:23" ht="15" customHeight="1" x14ac:dyDescent="0.25">
      <c r="A333" s="588"/>
      <c r="B333" s="173" t="s">
        <v>452</v>
      </c>
      <c r="C333" s="173" t="s">
        <v>460</v>
      </c>
      <c r="D333" s="176" t="s">
        <v>380</v>
      </c>
      <c r="E333" s="345" t="s">
        <v>237</v>
      </c>
      <c r="F333" s="173" t="s">
        <v>238</v>
      </c>
      <c r="G333" s="107">
        <v>1</v>
      </c>
      <c r="H333" s="109"/>
      <c r="I333" s="109"/>
      <c r="J333" s="109">
        <v>60</v>
      </c>
      <c r="K333" s="109">
        <v>60</v>
      </c>
      <c r="L333" s="175"/>
      <c r="M333" s="175"/>
      <c r="N333" s="175"/>
      <c r="O333" s="175"/>
      <c r="P333" s="108">
        <f>IF(Table_Shelter[[#This Row],[Status]]="Open",IF(V333="NO",Table_Shelter[[#This Row],[HH per Shelter]]*(Table_Shelter[[#This Row],['# of Temporary Shelter Units Built]]+Table_Shelter[[#This Row],['# of Temporary Shelter Under  Construction]]+Table_Shelter[[#This Row],['# of Permanent House Under Construction]]),0),0)</f>
        <v>60</v>
      </c>
      <c r="Q333" s="108"/>
      <c r="R333" s="175"/>
      <c r="S333" s="175" t="str">
        <f>IFERROR(VLOOKUP(Table_Shelter[[#This Row],[CampName]],CL,2,0),"")</f>
        <v>MMR001CMP001</v>
      </c>
      <c r="T333" s="175" t="str">
        <f>IFERROR(VLOOKUP(Table_Shelter[[#This Row],[CampName]],CL,3,0),"")</f>
        <v>Open</v>
      </c>
      <c r="U333" s="265">
        <f>IFERROR(Table_Shelter[[#This Row],[HH Covered]]/VLOOKUP(Table_Shelter[[#This Row],[CampName]],CL,4,0),"")</f>
        <v>1.25</v>
      </c>
      <c r="V333" s="265" t="s">
        <v>1305</v>
      </c>
      <c r="W333" s="175"/>
    </row>
    <row r="334" spans="1:23" ht="15" customHeight="1" x14ac:dyDescent="0.25">
      <c r="A334" s="588"/>
      <c r="B334" s="173" t="s">
        <v>849</v>
      </c>
      <c r="C334" s="173" t="s">
        <v>505</v>
      </c>
      <c r="D334" s="176" t="s">
        <v>380</v>
      </c>
      <c r="E334" s="345" t="s">
        <v>237</v>
      </c>
      <c r="F334" s="173" t="s">
        <v>1244</v>
      </c>
      <c r="G334" s="107">
        <v>1</v>
      </c>
      <c r="H334" s="109"/>
      <c r="I334" s="109"/>
      <c r="J334" s="109">
        <v>12</v>
      </c>
      <c r="K334" s="109">
        <v>12</v>
      </c>
      <c r="L334" s="175"/>
      <c r="M334" s="175"/>
      <c r="N334" s="175"/>
      <c r="O334" s="175"/>
      <c r="P334" s="108">
        <f>IF(Table_Shelter[[#This Row],[Status]]="Open",IF(V334="NO",Table_Shelter[[#This Row],[HH per Shelter]]*(Table_Shelter[[#This Row],['# of Temporary Shelter Units Built]]+Table_Shelter[[#This Row],['# of Temporary Shelter Under  Construction]]+Table_Shelter[[#This Row],['# of Permanent House Under Construction]]),0),0)</f>
        <v>12</v>
      </c>
      <c r="Q334" s="108"/>
      <c r="R334" s="175"/>
      <c r="S334" s="175" t="str">
        <f>IFERROR(VLOOKUP(Table_Shelter[[#This Row],[CampName]],CL,2,0),"")</f>
        <v>MMR001CMP023</v>
      </c>
      <c r="T334" s="175" t="str">
        <f>IFERROR(VLOOKUP(Table_Shelter[[#This Row],[CampName]],CL,3,0),"")</f>
        <v>Open</v>
      </c>
      <c r="U334" s="265">
        <f>IFERROR(Table_Shelter[[#This Row],[HH Covered]]/VLOOKUP(Table_Shelter[[#This Row],[CampName]],CL,4,0),"")</f>
        <v>0.22222222222222221</v>
      </c>
      <c r="V334" s="265" t="s">
        <v>1305</v>
      </c>
      <c r="W334" s="175"/>
    </row>
    <row r="335" spans="1:23" ht="15" customHeight="1" x14ac:dyDescent="0.25">
      <c r="A335" s="588"/>
      <c r="B335" s="173" t="s">
        <v>452</v>
      </c>
      <c r="C335" s="173" t="s">
        <v>505</v>
      </c>
      <c r="D335" s="176" t="s">
        <v>380</v>
      </c>
      <c r="E335" s="345" t="s">
        <v>237</v>
      </c>
      <c r="F335" s="173" t="s">
        <v>1244</v>
      </c>
      <c r="G335" s="107">
        <v>1</v>
      </c>
      <c r="H335" s="109"/>
      <c r="I335" s="109"/>
      <c r="J335" s="109">
        <v>40</v>
      </c>
      <c r="K335" s="109">
        <v>40</v>
      </c>
      <c r="L335" s="175"/>
      <c r="M335" s="175"/>
      <c r="N335" s="175"/>
      <c r="O335" s="175"/>
      <c r="P335" s="108">
        <f>IF(Table_Shelter[[#This Row],[Status]]="Open",IF(V335="NO",Table_Shelter[[#This Row],[HH per Shelter]]*(Table_Shelter[[#This Row],['# of Temporary Shelter Units Built]]+Table_Shelter[[#This Row],['# of Temporary Shelter Under  Construction]]+Table_Shelter[[#This Row],['# of Permanent House Under Construction]]),0),0)</f>
        <v>40</v>
      </c>
      <c r="Q335" s="108"/>
      <c r="R335" s="175"/>
      <c r="S335" s="175" t="str">
        <f>IFERROR(VLOOKUP(Table_Shelter[[#This Row],[CampName]],CL,2,0),"")</f>
        <v>MMR001CMP023</v>
      </c>
      <c r="T335" s="175" t="str">
        <f>IFERROR(VLOOKUP(Table_Shelter[[#This Row],[CampName]],CL,3,0),"")</f>
        <v>Open</v>
      </c>
      <c r="U335" s="265">
        <f>IFERROR(Table_Shelter[[#This Row],[HH Covered]]/VLOOKUP(Table_Shelter[[#This Row],[CampName]],CL,4,0),"")</f>
        <v>0.7407407407407407</v>
      </c>
      <c r="V335" s="265" t="s">
        <v>1305</v>
      </c>
      <c r="W335" s="175"/>
    </row>
    <row r="336" spans="1:23" ht="15" customHeight="1" x14ac:dyDescent="0.25">
      <c r="A336" s="588"/>
      <c r="B336" s="107" t="s">
        <v>452</v>
      </c>
      <c r="C336" s="107" t="s">
        <v>505</v>
      </c>
      <c r="D336" s="180" t="s">
        <v>380</v>
      </c>
      <c r="E336" s="181" t="s">
        <v>237</v>
      </c>
      <c r="F336" s="107" t="s">
        <v>1244</v>
      </c>
      <c r="G336" s="107">
        <v>1</v>
      </c>
      <c r="H336" s="109"/>
      <c r="I336" s="109"/>
      <c r="J336" s="109">
        <v>20</v>
      </c>
      <c r="K336" s="109">
        <v>20</v>
      </c>
      <c r="L336" s="109"/>
      <c r="M336" s="109"/>
      <c r="N336" s="109"/>
      <c r="O336" s="109"/>
      <c r="P336" s="108">
        <f>IF(Table_Shelter[[#This Row],[Status]]="Open",IF(V336="NO",Table_Shelter[[#This Row],[HH per Shelter]]*(Table_Shelter[[#This Row],['# of Temporary Shelter Units Built]]+Table_Shelter[[#This Row],['# of Temporary Shelter Under  Construction]]+Table_Shelter[[#This Row],['# of Permanent House Under Construction]]),0),0)</f>
        <v>20</v>
      </c>
      <c r="Q336" s="108"/>
      <c r="R336" s="108"/>
      <c r="S336" s="108" t="str">
        <f>IFERROR(VLOOKUP(Table_Shelter[[#This Row],[CampName]],CL,2,0),"")</f>
        <v>MMR001CMP023</v>
      </c>
      <c r="T336" s="108" t="str">
        <f>IFERROR(VLOOKUP(Table_Shelter[[#This Row],[CampName]],CL,3,0),"")</f>
        <v>Open</v>
      </c>
      <c r="U336" s="266">
        <f>IFERROR(Table_Shelter[[#This Row],[HH Covered]]/VLOOKUP(Table_Shelter[[#This Row],[CampName]],CL,4,0),"")</f>
        <v>0.37037037037037035</v>
      </c>
      <c r="V336" s="265" t="s">
        <v>1305</v>
      </c>
      <c r="W336" s="108"/>
    </row>
    <row r="337" spans="1:23" ht="15" customHeight="1" x14ac:dyDescent="0.25">
      <c r="A337" s="588"/>
      <c r="B337" s="173" t="s">
        <v>452</v>
      </c>
      <c r="C337" s="173" t="s">
        <v>505</v>
      </c>
      <c r="D337" s="176" t="s">
        <v>380</v>
      </c>
      <c r="E337" s="345" t="s">
        <v>237</v>
      </c>
      <c r="F337" s="173" t="s">
        <v>249</v>
      </c>
      <c r="G337" s="107">
        <v>1</v>
      </c>
      <c r="H337" s="109"/>
      <c r="I337" s="109"/>
      <c r="J337" s="109">
        <v>10</v>
      </c>
      <c r="K337" s="109">
        <v>10</v>
      </c>
      <c r="L337" s="175"/>
      <c r="M337" s="175"/>
      <c r="N337" s="175"/>
      <c r="O337" s="175"/>
      <c r="P337" s="108">
        <f>IF(Table_Shelter[[#This Row],[Status]]="Open",IF(V337="NO",Table_Shelter[[#This Row],[HH per Shelter]]*(Table_Shelter[[#This Row],['# of Temporary Shelter Units Built]]+Table_Shelter[[#This Row],['# of Temporary Shelter Under  Construction]]+Table_Shelter[[#This Row],['# of Permanent House Under Construction]]),0),0)</f>
        <v>10</v>
      </c>
      <c r="Q337" s="108"/>
      <c r="R337" s="175"/>
      <c r="S337" s="175" t="str">
        <f>IFERROR(VLOOKUP(Table_Shelter[[#This Row],[CampName]],CL,2,0),"")</f>
        <v>MMR001CMP004</v>
      </c>
      <c r="T337" s="175" t="str">
        <f>IFERROR(VLOOKUP(Table_Shelter[[#This Row],[CampName]],CL,3,0),"")</f>
        <v>Open</v>
      </c>
      <c r="U337" s="265">
        <f>IFERROR(Table_Shelter[[#This Row],[HH Covered]]/VLOOKUP(Table_Shelter[[#This Row],[CampName]],CL,4,0),"")</f>
        <v>2.5</v>
      </c>
      <c r="V337" s="265" t="s">
        <v>1305</v>
      </c>
      <c r="W337" s="175"/>
    </row>
    <row r="338" spans="1:23" ht="15" customHeight="1" x14ac:dyDescent="0.25">
      <c r="A338" s="588"/>
      <c r="B338" s="173" t="s">
        <v>452</v>
      </c>
      <c r="C338" s="173"/>
      <c r="D338" s="176" t="s">
        <v>380</v>
      </c>
      <c r="E338" s="345" t="s">
        <v>237</v>
      </c>
      <c r="F338" s="173" t="s">
        <v>249</v>
      </c>
      <c r="G338" s="107">
        <v>1</v>
      </c>
      <c r="H338" s="109"/>
      <c r="I338" s="109"/>
      <c r="J338" s="109">
        <v>5</v>
      </c>
      <c r="K338" s="109">
        <v>5</v>
      </c>
      <c r="L338" s="175"/>
      <c r="M338" s="175"/>
      <c r="N338" s="175"/>
      <c r="O338" s="175"/>
      <c r="P338" s="108">
        <f>IF(Table_Shelter[[#This Row],[Status]]="Open",IF(V338="NO",Table_Shelter[[#This Row],[HH per Shelter]]*(Table_Shelter[[#This Row],['# of Temporary Shelter Units Built]]+Table_Shelter[[#This Row],['# of Temporary Shelter Under  Construction]]+Table_Shelter[[#This Row],['# of Permanent House Under Construction]]),0),0)</f>
        <v>5</v>
      </c>
      <c r="Q338" s="108"/>
      <c r="R338" s="175"/>
      <c r="S338" s="175" t="str">
        <f>IFERROR(VLOOKUP(Table_Shelter[[#This Row],[CampName]],CL,2,0),"")</f>
        <v>MMR001CMP004</v>
      </c>
      <c r="T338" s="175" t="str">
        <f>IFERROR(VLOOKUP(Table_Shelter[[#This Row],[CampName]],CL,3,0),"")</f>
        <v>Open</v>
      </c>
      <c r="U338" s="265">
        <f>IFERROR(Table_Shelter[[#This Row],[HH Covered]]/VLOOKUP(Table_Shelter[[#This Row],[CampName]],CL,4,0),"")</f>
        <v>1.25</v>
      </c>
      <c r="V338" s="265" t="s">
        <v>1305</v>
      </c>
      <c r="W338" s="175"/>
    </row>
    <row r="339" spans="1:23" ht="15" customHeight="1" x14ac:dyDescent="0.25">
      <c r="A339" s="588"/>
      <c r="B339" s="173" t="s">
        <v>452</v>
      </c>
      <c r="C339" s="173" t="s">
        <v>460</v>
      </c>
      <c r="D339" s="176" t="s">
        <v>380</v>
      </c>
      <c r="E339" s="345" t="s">
        <v>237</v>
      </c>
      <c r="F339" s="173" t="s">
        <v>251</v>
      </c>
      <c r="G339" s="107">
        <v>1</v>
      </c>
      <c r="H339" s="109"/>
      <c r="I339" s="109"/>
      <c r="J339" s="109">
        <v>20</v>
      </c>
      <c r="K339" s="109">
        <v>20</v>
      </c>
      <c r="L339" s="175"/>
      <c r="M339" s="175"/>
      <c r="N339" s="175"/>
      <c r="O339" s="175"/>
      <c r="P339" s="108">
        <f>IF(Table_Shelter[[#This Row],[Status]]="Open",IF(V339="NO",Table_Shelter[[#This Row],[HH per Shelter]]*(Table_Shelter[[#This Row],['# of Temporary Shelter Units Built]]+Table_Shelter[[#This Row],['# of Temporary Shelter Under  Construction]]+Table_Shelter[[#This Row],['# of Permanent House Under Construction]]),0),0)</f>
        <v>20</v>
      </c>
      <c r="Q339" s="108"/>
      <c r="R339" s="175"/>
      <c r="S339" s="175" t="str">
        <f>IFERROR(VLOOKUP(Table_Shelter[[#This Row],[CampName]],CL,2,0),"")</f>
        <v>MMR001CMP003</v>
      </c>
      <c r="T339" s="175" t="str">
        <f>IFERROR(VLOOKUP(Table_Shelter[[#This Row],[CampName]],CL,3,0),"")</f>
        <v>Open</v>
      </c>
      <c r="U339" s="265">
        <f>IFERROR(Table_Shelter[[#This Row],[HH Covered]]/VLOOKUP(Table_Shelter[[#This Row],[CampName]],CL,4,0),"")</f>
        <v>0.76923076923076927</v>
      </c>
      <c r="V339" s="265" t="s">
        <v>1305</v>
      </c>
      <c r="W339" s="175"/>
    </row>
    <row r="340" spans="1:23" ht="15" customHeight="1" x14ac:dyDescent="0.25">
      <c r="A340" s="588"/>
      <c r="B340" s="173" t="s">
        <v>847</v>
      </c>
      <c r="C340" s="173" t="s">
        <v>460</v>
      </c>
      <c r="D340" s="176" t="s">
        <v>380</v>
      </c>
      <c r="E340" s="345" t="s">
        <v>237</v>
      </c>
      <c r="F340" s="173" t="s">
        <v>275</v>
      </c>
      <c r="G340" s="107">
        <v>1</v>
      </c>
      <c r="H340" s="109"/>
      <c r="I340" s="109"/>
      <c r="J340" s="109">
        <v>14</v>
      </c>
      <c r="K340" s="109">
        <v>14</v>
      </c>
      <c r="L340" s="175"/>
      <c r="M340" s="175"/>
      <c r="N340" s="175"/>
      <c r="O340" s="175"/>
      <c r="P340" s="108">
        <f>IF(Table_Shelter[[#This Row],[Status]]="Open",IF(V340="NO",Table_Shelter[[#This Row],[HH per Shelter]]*(Table_Shelter[[#This Row],['# of Temporary Shelter Units Built]]+Table_Shelter[[#This Row],['# of Temporary Shelter Under  Construction]]+Table_Shelter[[#This Row],['# of Permanent House Under Construction]]),0),0)</f>
        <v>14</v>
      </c>
      <c r="Q340" s="108"/>
      <c r="R340" s="175"/>
      <c r="S340" s="175" t="str">
        <f>IFERROR(VLOOKUP(Table_Shelter[[#This Row],[CampName]],CL,2,0),"")</f>
        <v>MMR001CMP005</v>
      </c>
      <c r="T340" s="175" t="str">
        <f>IFERROR(VLOOKUP(Table_Shelter[[#This Row],[CampName]],CL,3,0),"")</f>
        <v>Open</v>
      </c>
      <c r="U340" s="265">
        <f>IFERROR(Table_Shelter[[#This Row],[HH Covered]]/VLOOKUP(Table_Shelter[[#This Row],[CampName]],CL,4,0),"")</f>
        <v>0.45161290322580644</v>
      </c>
      <c r="V340" s="265" t="s">
        <v>1305</v>
      </c>
      <c r="W340" s="175"/>
    </row>
    <row r="341" spans="1:23" ht="15" customHeight="1" x14ac:dyDescent="0.25">
      <c r="A341" s="588"/>
      <c r="B341" s="173" t="s">
        <v>452</v>
      </c>
      <c r="C341" s="173" t="s">
        <v>460</v>
      </c>
      <c r="D341" s="176" t="s">
        <v>380</v>
      </c>
      <c r="E341" s="345" t="s">
        <v>237</v>
      </c>
      <c r="F341" s="173" t="s">
        <v>275</v>
      </c>
      <c r="G341" s="107">
        <v>1</v>
      </c>
      <c r="H341" s="109"/>
      <c r="I341" s="109"/>
      <c r="J341" s="109">
        <v>10</v>
      </c>
      <c r="K341" s="109">
        <v>10</v>
      </c>
      <c r="L341" s="175"/>
      <c r="M341" s="175"/>
      <c r="N341" s="175"/>
      <c r="O341" s="175"/>
      <c r="P341" s="108">
        <f>IF(Table_Shelter[[#This Row],[Status]]="Open",IF(V341="NO",Table_Shelter[[#This Row],[HH per Shelter]]*(Table_Shelter[[#This Row],['# of Temporary Shelter Units Built]]+Table_Shelter[[#This Row],['# of Temporary Shelter Under  Construction]]+Table_Shelter[[#This Row],['# of Permanent House Under Construction]]),0),0)</f>
        <v>10</v>
      </c>
      <c r="Q341" s="108"/>
      <c r="R341" s="175"/>
      <c r="S341" s="175" t="str">
        <f>IFERROR(VLOOKUP(Table_Shelter[[#This Row],[CampName]],CL,2,0),"")</f>
        <v>MMR001CMP005</v>
      </c>
      <c r="T341" s="175" t="str">
        <f>IFERROR(VLOOKUP(Table_Shelter[[#This Row],[CampName]],CL,3,0),"")</f>
        <v>Open</v>
      </c>
      <c r="U341" s="265">
        <f>IFERROR(Table_Shelter[[#This Row],[HH Covered]]/VLOOKUP(Table_Shelter[[#This Row],[CampName]],CL,4,0),"")</f>
        <v>0.32258064516129031</v>
      </c>
      <c r="V341" s="265" t="s">
        <v>1305</v>
      </c>
      <c r="W341" s="175"/>
    </row>
    <row r="342" spans="1:23" ht="15" customHeight="1" x14ac:dyDescent="0.25">
      <c r="A342" s="588"/>
      <c r="B342" s="173" t="s">
        <v>452</v>
      </c>
      <c r="C342" s="173" t="s">
        <v>460</v>
      </c>
      <c r="D342" s="180" t="s">
        <v>380</v>
      </c>
      <c r="E342" s="181" t="s">
        <v>237</v>
      </c>
      <c r="F342" s="107" t="s">
        <v>275</v>
      </c>
      <c r="G342" s="107">
        <v>1</v>
      </c>
      <c r="H342" s="109"/>
      <c r="I342" s="109"/>
      <c r="J342" s="109">
        <v>8</v>
      </c>
      <c r="K342" s="109">
        <v>8</v>
      </c>
      <c r="L342" s="109"/>
      <c r="M342" s="109"/>
      <c r="N342" s="109"/>
      <c r="O342" s="109"/>
      <c r="P342" s="108">
        <f>IF(Table_Shelter[[#This Row],[Status]]="Open",IF(V342="NO",Table_Shelter[[#This Row],[HH per Shelter]]*(Table_Shelter[[#This Row],['# of Temporary Shelter Units Built]]+Table_Shelter[[#This Row],['# of Temporary Shelter Under  Construction]]+Table_Shelter[[#This Row],['# of Permanent House Under Construction]]),0),0)</f>
        <v>8</v>
      </c>
      <c r="Q342" s="108"/>
      <c r="R342" s="108"/>
      <c r="S342" s="108" t="str">
        <f>IFERROR(VLOOKUP(Table_Shelter[[#This Row],[CampName]],CL,2,0),"")</f>
        <v>MMR001CMP005</v>
      </c>
      <c r="T342" s="108" t="str">
        <f>IFERROR(VLOOKUP(Table_Shelter[[#This Row],[CampName]],CL,3,0),"")</f>
        <v>Open</v>
      </c>
      <c r="U342" s="266">
        <f>IFERROR(Table_Shelter[[#This Row],[HH Covered]]/VLOOKUP(Table_Shelter[[#This Row],[CampName]],CL,4,0),"")</f>
        <v>0.25806451612903225</v>
      </c>
      <c r="V342" s="265" t="s">
        <v>1305</v>
      </c>
      <c r="W342" s="108"/>
    </row>
    <row r="343" spans="1:23" ht="15" customHeight="1" x14ac:dyDescent="0.25">
      <c r="A343" s="588"/>
      <c r="B343" s="173" t="s">
        <v>452</v>
      </c>
      <c r="C343" s="173" t="s">
        <v>505</v>
      </c>
      <c r="D343" s="176" t="s">
        <v>380</v>
      </c>
      <c r="E343" s="345" t="s">
        <v>310</v>
      </c>
      <c r="F343" s="173" t="s">
        <v>349</v>
      </c>
      <c r="G343" s="107">
        <v>1</v>
      </c>
      <c r="H343" s="109"/>
      <c r="I343" s="109"/>
      <c r="J343" s="109">
        <v>45</v>
      </c>
      <c r="K343" s="109">
        <v>45</v>
      </c>
      <c r="L343" s="175"/>
      <c r="M343" s="175"/>
      <c r="N343" s="175"/>
      <c r="O343" s="175"/>
      <c r="P343" s="108">
        <f>IF(Table_Shelter[[#This Row],[Status]]="Open",IF(V343="NO",Table_Shelter[[#This Row],[HH per Shelter]]*(Table_Shelter[[#This Row],['# of Temporary Shelter Units Built]]+Table_Shelter[[#This Row],['# of Temporary Shelter Under  Construction]]+Table_Shelter[[#This Row],['# of Permanent House Under Construction]]),0),0)</f>
        <v>45</v>
      </c>
      <c r="Q343" s="108"/>
      <c r="R343" s="175"/>
      <c r="S343" s="175" t="str">
        <f>IFERROR(VLOOKUP(Table_Shelter[[#This Row],[CampName]],CL,2,0),"")</f>
        <v>MMR001CMP037</v>
      </c>
      <c r="T343" s="175" t="str">
        <f>IFERROR(VLOOKUP(Table_Shelter[[#This Row],[CampName]],CL,3,0),"")</f>
        <v>Open</v>
      </c>
      <c r="U343" s="265">
        <f>IFERROR(Table_Shelter[[#This Row],[HH Covered]]/VLOOKUP(Table_Shelter[[#This Row],[CampName]],CL,4,0),"")</f>
        <v>1.0227272727272727</v>
      </c>
      <c r="V343" s="265" t="s">
        <v>1305</v>
      </c>
      <c r="W343" s="175"/>
    </row>
    <row r="344" spans="1:23" ht="15" customHeight="1" x14ac:dyDescent="0.25">
      <c r="A344" s="588"/>
      <c r="B344" s="173" t="s">
        <v>569</v>
      </c>
      <c r="C344" s="173"/>
      <c r="D344" s="176" t="s">
        <v>380</v>
      </c>
      <c r="E344" s="345" t="s">
        <v>310</v>
      </c>
      <c r="F344" s="173" t="s">
        <v>349</v>
      </c>
      <c r="G344" s="107">
        <v>1</v>
      </c>
      <c r="H344" s="109"/>
      <c r="I344" s="109"/>
      <c r="J344" s="109">
        <v>24</v>
      </c>
      <c r="K344" s="109">
        <v>24</v>
      </c>
      <c r="L344" s="175"/>
      <c r="M344" s="175"/>
      <c r="N344" s="175"/>
      <c r="O344" s="175"/>
      <c r="P344" s="108">
        <f>IF(Table_Shelter[[#This Row],[Status]]="Open",IF(V344="NO",Table_Shelter[[#This Row],[HH per Shelter]]*(Table_Shelter[[#This Row],['# of Temporary Shelter Units Built]]+Table_Shelter[[#This Row],['# of Temporary Shelter Under  Construction]]+Table_Shelter[[#This Row],['# of Permanent House Under Construction]]),0),0)</f>
        <v>24</v>
      </c>
      <c r="Q344" s="108"/>
      <c r="R344" s="175"/>
      <c r="S344" s="175" t="str">
        <f>IFERROR(VLOOKUP(Table_Shelter[[#This Row],[CampName]],CL,2,0),"")</f>
        <v>MMR001CMP037</v>
      </c>
      <c r="T344" s="175" t="str">
        <f>IFERROR(VLOOKUP(Table_Shelter[[#This Row],[CampName]],CL,3,0),"")</f>
        <v>Open</v>
      </c>
      <c r="U344" s="265">
        <f>IFERROR(Table_Shelter[[#This Row],[HH Covered]]/VLOOKUP(Table_Shelter[[#This Row],[CampName]],CL,4,0),"")</f>
        <v>0.54545454545454541</v>
      </c>
      <c r="V344" s="265" t="s">
        <v>1305</v>
      </c>
      <c r="W344" s="175"/>
    </row>
    <row r="345" spans="1:23" ht="15" customHeight="1" x14ac:dyDescent="0.25">
      <c r="A345" s="588"/>
      <c r="B345" s="173" t="s">
        <v>452</v>
      </c>
      <c r="C345" s="173" t="s">
        <v>505</v>
      </c>
      <c r="D345" s="176" t="s">
        <v>380</v>
      </c>
      <c r="E345" s="345" t="s">
        <v>5</v>
      </c>
      <c r="F345" s="173" t="s">
        <v>1021</v>
      </c>
      <c r="G345" s="107">
        <v>1</v>
      </c>
      <c r="H345" s="109"/>
      <c r="I345" s="109"/>
      <c r="J345" s="109">
        <v>6</v>
      </c>
      <c r="K345" s="109"/>
      <c r="L345" s="175"/>
      <c r="M345" s="175"/>
      <c r="N345" s="175"/>
      <c r="O345" s="175"/>
      <c r="P345" s="108">
        <f>IF(Table_Shelter[[#This Row],[Status]]="Open",IF(V345="NO",Table_Shelter[[#This Row],[HH per Shelter]]*(Table_Shelter[[#This Row],['# of Temporary Shelter Units Built]]+Table_Shelter[[#This Row],['# of Temporary Shelter Under  Construction]]+Table_Shelter[[#This Row],['# of Permanent House Under Construction]]),0),0)</f>
        <v>0</v>
      </c>
      <c r="Q345" s="108"/>
      <c r="R345" s="175"/>
      <c r="S345" s="175" t="str">
        <f>IFERROR(VLOOKUP(Table_Shelter[[#This Row],[CampName]],CL,2,0),"")</f>
        <v>MMR001CMP224</v>
      </c>
      <c r="T345" s="175" t="str">
        <f>IFERROR(VLOOKUP(Table_Shelter[[#This Row],[CampName]],CL,3,0),"")</f>
        <v>Closed</v>
      </c>
      <c r="U345" s="265" t="str">
        <f>IFERROR(Table_Shelter[[#This Row],[HH Covered]]/VLOOKUP(Table_Shelter[[#This Row],[CampName]],CL,4,0),"")</f>
        <v/>
      </c>
      <c r="V345" s="265" t="s">
        <v>1305</v>
      </c>
      <c r="W345" s="175"/>
    </row>
    <row r="346" spans="1:23" ht="15" customHeight="1" x14ac:dyDescent="0.25">
      <c r="A346" s="588"/>
      <c r="B346" s="173" t="s">
        <v>452</v>
      </c>
      <c r="C346" s="173"/>
      <c r="D346" s="176" t="s">
        <v>380</v>
      </c>
      <c r="E346" s="345" t="s">
        <v>5</v>
      </c>
      <c r="F346" s="173" t="s">
        <v>1021</v>
      </c>
      <c r="G346" s="107">
        <v>1</v>
      </c>
      <c r="H346" s="109"/>
      <c r="I346" s="109"/>
      <c r="J346" s="109">
        <v>5</v>
      </c>
      <c r="K346" s="109"/>
      <c r="L346" s="175"/>
      <c r="M346" s="175"/>
      <c r="N346" s="175"/>
      <c r="O346" s="175"/>
      <c r="P346" s="108">
        <f>IF(Table_Shelter[[#This Row],[Status]]="Open",IF(V346="NO",Table_Shelter[[#This Row],[HH per Shelter]]*(Table_Shelter[[#This Row],['# of Temporary Shelter Units Built]]+Table_Shelter[[#This Row],['# of Temporary Shelter Under  Construction]]+Table_Shelter[[#This Row],['# of Permanent House Under Construction]]),0),0)</f>
        <v>0</v>
      </c>
      <c r="Q346" s="108"/>
      <c r="R346" s="175"/>
      <c r="S346" s="175" t="str">
        <f>IFERROR(VLOOKUP(Table_Shelter[[#This Row],[CampName]],CL,2,0),"")</f>
        <v>MMR001CMP224</v>
      </c>
      <c r="T346" s="175" t="str">
        <f>IFERROR(VLOOKUP(Table_Shelter[[#This Row],[CampName]],CL,3,0),"")</f>
        <v>Closed</v>
      </c>
      <c r="U346" s="265" t="str">
        <f>IFERROR(Table_Shelter[[#This Row],[HH Covered]]/VLOOKUP(Table_Shelter[[#This Row],[CampName]],CL,4,0),"")</f>
        <v/>
      </c>
      <c r="V346" s="265" t="s">
        <v>1305</v>
      </c>
      <c r="W346" s="175"/>
    </row>
    <row r="347" spans="1:23" ht="15" customHeight="1" x14ac:dyDescent="0.25">
      <c r="A347" s="588"/>
      <c r="B347" s="173" t="s">
        <v>452</v>
      </c>
      <c r="C347" s="173" t="s">
        <v>505</v>
      </c>
      <c r="D347" s="176" t="s">
        <v>380</v>
      </c>
      <c r="E347" s="345" t="s">
        <v>310</v>
      </c>
      <c r="F347" s="173" t="s">
        <v>316</v>
      </c>
      <c r="G347" s="107">
        <v>1</v>
      </c>
      <c r="H347" s="109"/>
      <c r="I347" s="109"/>
      <c r="J347" s="109">
        <v>34</v>
      </c>
      <c r="K347" s="109">
        <v>34</v>
      </c>
      <c r="L347" s="175"/>
      <c r="M347" s="175"/>
      <c r="N347" s="175"/>
      <c r="O347" s="175"/>
      <c r="P347" s="108">
        <f>IF(Table_Shelter[[#This Row],[Status]]="Open",IF(V347="NO",Table_Shelter[[#This Row],[HH per Shelter]]*(Table_Shelter[[#This Row],['# of Temporary Shelter Units Built]]+Table_Shelter[[#This Row],['# of Temporary Shelter Under  Construction]]+Table_Shelter[[#This Row],['# of Permanent House Under Construction]]),0),0)</f>
        <v>34</v>
      </c>
      <c r="Q347" s="108"/>
      <c r="R347" s="175"/>
      <c r="S347" s="175" t="str">
        <f>IFERROR(VLOOKUP(Table_Shelter[[#This Row],[CampName]],CL,2,0),"")</f>
        <v>MMR001CMP038</v>
      </c>
      <c r="T347" s="175" t="str">
        <f>IFERROR(VLOOKUP(Table_Shelter[[#This Row],[CampName]],CL,3,0),"")</f>
        <v>Open</v>
      </c>
      <c r="U347" s="265">
        <f>IFERROR(Table_Shelter[[#This Row],[HH Covered]]/VLOOKUP(Table_Shelter[[#This Row],[CampName]],CL,4,0),"")</f>
        <v>0.48571428571428571</v>
      </c>
      <c r="V347" s="265" t="s">
        <v>1305</v>
      </c>
      <c r="W347" s="175"/>
    </row>
    <row r="348" spans="1:23" ht="15" customHeight="1" x14ac:dyDescent="0.25">
      <c r="A348" s="588"/>
      <c r="B348" s="173" t="s">
        <v>569</v>
      </c>
      <c r="C348" s="173"/>
      <c r="D348" s="176" t="s">
        <v>380</v>
      </c>
      <c r="E348" s="345" t="s">
        <v>310</v>
      </c>
      <c r="F348" s="173" t="s">
        <v>316</v>
      </c>
      <c r="G348" s="107">
        <v>1</v>
      </c>
      <c r="H348" s="109"/>
      <c r="I348" s="109"/>
      <c r="J348" s="109">
        <v>15</v>
      </c>
      <c r="K348" s="109">
        <v>15</v>
      </c>
      <c r="L348" s="175"/>
      <c r="M348" s="175"/>
      <c r="N348" s="175"/>
      <c r="O348" s="175"/>
      <c r="P348" s="108">
        <f>IF(Table_Shelter[[#This Row],[Status]]="Open",IF(V348="NO",Table_Shelter[[#This Row],[HH per Shelter]]*(Table_Shelter[[#This Row],['# of Temporary Shelter Units Built]]+Table_Shelter[[#This Row],['# of Temporary Shelter Under  Construction]]+Table_Shelter[[#This Row],['# of Permanent House Under Construction]]),0),0)</f>
        <v>15</v>
      </c>
      <c r="Q348" s="108"/>
      <c r="R348" s="175"/>
      <c r="S348" s="175" t="str">
        <f>IFERROR(VLOOKUP(Table_Shelter[[#This Row],[CampName]],CL,2,0),"")</f>
        <v>MMR001CMP038</v>
      </c>
      <c r="T348" s="175" t="str">
        <f>IFERROR(VLOOKUP(Table_Shelter[[#This Row],[CampName]],CL,3,0),"")</f>
        <v>Open</v>
      </c>
      <c r="U348" s="265">
        <f>IFERROR(Table_Shelter[[#This Row],[HH Covered]]/VLOOKUP(Table_Shelter[[#This Row],[CampName]],CL,4,0),"")</f>
        <v>0.21428571428571427</v>
      </c>
      <c r="V348" s="265" t="s">
        <v>1305</v>
      </c>
      <c r="W348" s="175"/>
    </row>
    <row r="349" spans="1:23" ht="15" customHeight="1" x14ac:dyDescent="0.25">
      <c r="A349" s="793"/>
      <c r="B349" s="665" t="s">
        <v>452</v>
      </c>
      <c r="C349" s="665" t="s">
        <v>460</v>
      </c>
      <c r="D349" s="666" t="s">
        <v>380</v>
      </c>
      <c r="E349" s="667" t="s">
        <v>310</v>
      </c>
      <c r="F349" s="665" t="s">
        <v>311</v>
      </c>
      <c r="G349" s="623">
        <v>1</v>
      </c>
      <c r="H349" s="624"/>
      <c r="I349" s="624"/>
      <c r="J349" s="624">
        <v>10</v>
      </c>
      <c r="K349" s="624">
        <v>10</v>
      </c>
      <c r="L349" s="668"/>
      <c r="M349" s="668"/>
      <c r="N349" s="668"/>
      <c r="O349" s="668"/>
      <c r="P349" s="108">
        <f>IF(Table_Shelter[[#This Row],[Status]]="Open",IF(V349="NO",Table_Shelter[[#This Row],[HH per Shelter]]*(Table_Shelter[[#This Row],['# of Temporary Shelter Units Built]]+Table_Shelter[[#This Row],['# of Temporary Shelter Under  Construction]]+Table_Shelter[[#This Row],['# of Permanent House Under Construction]]),0),0)</f>
        <v>0</v>
      </c>
      <c r="Q349" s="625"/>
      <c r="R349" s="668"/>
      <c r="S349" s="668" t="str">
        <f>IFERROR(VLOOKUP(Table_Shelter[[#This Row],[CampName]],CL,2,0),"")</f>
        <v>MMR001CMP036</v>
      </c>
      <c r="T349" s="175" t="str">
        <f>IFERROR(VLOOKUP(Table_Shelter[[#This Row],[CampName]],CL,3,0),"")</f>
        <v>Closed</v>
      </c>
      <c r="U349" s="669" t="str">
        <f>IFERROR(Table_Shelter[[#This Row],[HH Covered]]/VLOOKUP(Table_Shelter[[#This Row],[CampName]],CL,4,0),"")</f>
        <v/>
      </c>
      <c r="V349" s="669" t="s">
        <v>1305</v>
      </c>
      <c r="W349" s="668"/>
    </row>
    <row r="350" spans="1:23" ht="15" customHeight="1" x14ac:dyDescent="0.25">
      <c r="A350" s="658"/>
      <c r="B350" s="173" t="s">
        <v>452</v>
      </c>
      <c r="C350" s="173"/>
      <c r="D350" s="176" t="s">
        <v>380</v>
      </c>
      <c r="E350" s="345" t="s">
        <v>310</v>
      </c>
      <c r="F350" s="173" t="s">
        <v>311</v>
      </c>
      <c r="G350" s="107">
        <v>1</v>
      </c>
      <c r="H350" s="109"/>
      <c r="I350" s="109"/>
      <c r="J350" s="109">
        <v>5</v>
      </c>
      <c r="K350" s="109">
        <v>5</v>
      </c>
      <c r="L350" s="175"/>
      <c r="M350" s="175"/>
      <c r="N350" s="175"/>
      <c r="O350" s="175"/>
      <c r="P350" s="108">
        <f>IF(Table_Shelter[[#This Row],[Status]]="Open",IF(V350="NO",Table_Shelter[[#This Row],[HH per Shelter]]*(Table_Shelter[[#This Row],['# of Temporary Shelter Units Built]]+Table_Shelter[[#This Row],['# of Temporary Shelter Under  Construction]]+Table_Shelter[[#This Row],['# of Permanent House Under Construction]]),0),0)</f>
        <v>0</v>
      </c>
      <c r="Q350" s="108"/>
      <c r="R350" s="175"/>
      <c r="S350" s="175" t="str">
        <f>IFERROR(VLOOKUP(Table_Shelter[[#This Row],[CampName]],CL,2,0),"")</f>
        <v>MMR001CMP036</v>
      </c>
      <c r="T350" s="175" t="str">
        <f>IFERROR(VLOOKUP(Table_Shelter[[#This Row],[CampName]],CL,3,0),"")</f>
        <v>Closed</v>
      </c>
      <c r="U350" s="265" t="str">
        <f>IFERROR(Table_Shelter[[#This Row],[HH Covered]]/VLOOKUP(Table_Shelter[[#This Row],[CampName]],CL,4,0),"")</f>
        <v/>
      </c>
      <c r="V350" s="265" t="s">
        <v>1305</v>
      </c>
      <c r="W350" s="175"/>
    </row>
    <row r="351" spans="1:23" ht="15" customHeight="1" x14ac:dyDescent="0.25">
      <c r="A351" s="658"/>
      <c r="B351" s="173" t="s">
        <v>569</v>
      </c>
      <c r="C351" s="173"/>
      <c r="D351" s="176" t="s">
        <v>380</v>
      </c>
      <c r="E351" s="345" t="s">
        <v>310</v>
      </c>
      <c r="F351" s="173" t="s">
        <v>311</v>
      </c>
      <c r="G351" s="107">
        <v>1</v>
      </c>
      <c r="H351" s="109"/>
      <c r="I351" s="109"/>
      <c r="J351" s="109">
        <v>10</v>
      </c>
      <c r="K351" s="109">
        <v>10</v>
      </c>
      <c r="L351" s="175"/>
      <c r="M351" s="175"/>
      <c r="N351" s="175"/>
      <c r="O351" s="175"/>
      <c r="P351" s="108">
        <f>IF(Table_Shelter[[#This Row],[Status]]="Open",IF(V351="NO",Table_Shelter[[#This Row],[HH per Shelter]]*(Table_Shelter[[#This Row],['# of Temporary Shelter Units Built]]+Table_Shelter[[#This Row],['# of Temporary Shelter Under  Construction]]+Table_Shelter[[#This Row],['# of Permanent House Under Construction]]),0),0)</f>
        <v>0</v>
      </c>
      <c r="Q351" s="108"/>
      <c r="R351" s="175"/>
      <c r="S351" s="175" t="str">
        <f>IFERROR(VLOOKUP(Table_Shelter[[#This Row],[CampName]],CL,2,0),"")</f>
        <v>MMR001CMP036</v>
      </c>
      <c r="T351" s="175" t="str">
        <f>IFERROR(VLOOKUP(Table_Shelter[[#This Row],[CampName]],CL,3,0),"")</f>
        <v>Closed</v>
      </c>
      <c r="U351" s="265" t="str">
        <f>IFERROR(Table_Shelter[[#This Row],[HH Covered]]/VLOOKUP(Table_Shelter[[#This Row],[CampName]],CL,4,0),"")</f>
        <v/>
      </c>
      <c r="V351" s="265" t="s">
        <v>1305</v>
      </c>
      <c r="W351" s="175"/>
    </row>
    <row r="352" spans="1:23" ht="15" customHeight="1" x14ac:dyDescent="0.25">
      <c r="A352" s="658"/>
      <c r="B352" s="173" t="s">
        <v>452</v>
      </c>
      <c r="C352" s="173" t="s">
        <v>506</v>
      </c>
      <c r="D352" s="176" t="s">
        <v>380</v>
      </c>
      <c r="E352" s="345" t="s">
        <v>527</v>
      </c>
      <c r="F352" s="173" t="s">
        <v>64</v>
      </c>
      <c r="G352" s="107">
        <v>1</v>
      </c>
      <c r="H352" s="109"/>
      <c r="I352" s="109"/>
      <c r="J352" s="109"/>
      <c r="K352" s="109"/>
      <c r="L352" s="175"/>
      <c r="M352" s="175"/>
      <c r="N352" s="175"/>
      <c r="O352" s="175"/>
      <c r="P352" s="108">
        <f>IF(Table_Shelter[[#This Row],[Status]]="Open",IF(V352="NO",Table_Shelter[[#This Row],[HH per Shelter]]*(Table_Shelter[[#This Row],['# of Temporary Shelter Units Built]]+Table_Shelter[[#This Row],['# of Temporary Shelter Under  Construction]]+Table_Shelter[[#This Row],['# of Permanent House Under Construction]]),0),0)</f>
        <v>0</v>
      </c>
      <c r="Q352" s="108">
        <v>14</v>
      </c>
      <c r="R352" s="175"/>
      <c r="S352" s="175" t="str">
        <f>IFERROR(VLOOKUP(Table_Shelter[[#This Row],[CampName]],CL,2,0),"")</f>
        <v>MMR001CMP185</v>
      </c>
      <c r="T352" s="175" t="str">
        <f>IFERROR(VLOOKUP(Table_Shelter[[#This Row],[CampName]],CL,3,0),"")</f>
        <v>Closed</v>
      </c>
      <c r="U352" s="265" t="str">
        <f>IFERROR(Table_Shelter[[#This Row],[HH Covered]]/VLOOKUP(Table_Shelter[[#This Row],[CampName]],CL,4,0),"")</f>
        <v/>
      </c>
      <c r="V352" s="265" t="s">
        <v>1305</v>
      </c>
      <c r="W352" s="175"/>
    </row>
    <row r="353" spans="1:23" ht="15" customHeight="1" x14ac:dyDescent="0.25">
      <c r="A353" s="793"/>
      <c r="B353" s="665" t="s">
        <v>862</v>
      </c>
      <c r="C353" s="665"/>
      <c r="D353" s="666" t="s">
        <v>380</v>
      </c>
      <c r="E353" s="667" t="s">
        <v>527</v>
      </c>
      <c r="F353" s="665" t="s">
        <v>126</v>
      </c>
      <c r="G353" s="623">
        <v>1</v>
      </c>
      <c r="H353" s="624">
        <v>7</v>
      </c>
      <c r="I353" s="624">
        <v>7</v>
      </c>
      <c r="J353" s="624"/>
      <c r="K353" s="624"/>
      <c r="L353" s="668"/>
      <c r="M353" s="668"/>
      <c r="N353" s="668"/>
      <c r="O353" s="668"/>
      <c r="P353" s="625">
        <f>IF(Table_Shelter[[#This Row],[Status]]="Open",IF(V353="NO",Table_Shelter[[#This Row],[HH per Shelter]]*(Table_Shelter[[#This Row],['# of Temporary Shelter Units Built]]+Table_Shelter[[#This Row],['# of Temporary Shelter Under  Construction]]+Table_Shelter[[#This Row],['# of Permanent House Under Construction]]),0),0)</f>
        <v>0</v>
      </c>
      <c r="Q353" s="625"/>
      <c r="R353" s="668"/>
      <c r="S353" s="175" t="str">
        <f>IFERROR(VLOOKUP(Table_Shelter[[#This Row],[CampName]],CL,2,0),"")</f>
        <v>MMR001CMP184</v>
      </c>
      <c r="T353" s="175" t="str">
        <f>IFERROR(VLOOKUP(Table_Shelter[[#This Row],[CampName]],CL,3,0),"")</f>
        <v>Open</v>
      </c>
      <c r="U353" s="669">
        <f>IFERROR(Table_Shelter[[#This Row],[HH Covered]]/VLOOKUP(Table_Shelter[[#This Row],[CampName]],CL,4,0),"")</f>
        <v>0</v>
      </c>
      <c r="V353" s="265" t="s">
        <v>1305</v>
      </c>
      <c r="W353" s="668"/>
    </row>
    <row r="354" spans="1:23" ht="15" customHeight="1" x14ac:dyDescent="0.25">
      <c r="A354" s="793"/>
      <c r="B354" s="665" t="s">
        <v>862</v>
      </c>
      <c r="C354" s="665"/>
      <c r="D354" s="666" t="s">
        <v>380</v>
      </c>
      <c r="E354" s="667" t="s">
        <v>527</v>
      </c>
      <c r="F354" s="665" t="s">
        <v>899</v>
      </c>
      <c r="G354" s="623">
        <v>1</v>
      </c>
      <c r="H354" s="624">
        <v>47</v>
      </c>
      <c r="I354" s="624">
        <v>47</v>
      </c>
      <c r="J354" s="624"/>
      <c r="K354" s="624"/>
      <c r="L354" s="668"/>
      <c r="M354" s="668"/>
      <c r="N354" s="668"/>
      <c r="O354" s="668"/>
      <c r="P354" s="625">
        <f>IF(Table_Shelter[[#This Row],[Status]]="Open",IF(V354="NO",Table_Shelter[[#This Row],[HH per Shelter]]*(Table_Shelter[[#This Row],['# of Temporary Shelter Units Built]]+Table_Shelter[[#This Row],['# of Temporary Shelter Under  Construction]]+Table_Shelter[[#This Row],['# of Permanent House Under Construction]]),0),0)</f>
        <v>0</v>
      </c>
      <c r="Q354" s="625"/>
      <c r="R354" s="668"/>
      <c r="S354" s="668" t="str">
        <f>IFERROR(VLOOKUP(Table_Shelter[[#This Row],[CampName]],CL,2,0),"")</f>
        <v/>
      </c>
      <c r="T354" s="175" t="str">
        <f>IFERROR(VLOOKUP(Table_Shelter[[#This Row],[CampName]],CL,3,0),"")</f>
        <v/>
      </c>
      <c r="U354" s="669" t="str">
        <f>IFERROR(Table_Shelter[[#This Row],[HH Covered]]/VLOOKUP(Table_Shelter[[#This Row],[CampName]],CL,4,0),"")</f>
        <v/>
      </c>
      <c r="V354" s="669" t="s">
        <v>1305</v>
      </c>
      <c r="W354" s="668"/>
    </row>
    <row r="355" spans="1:23" ht="15" customHeight="1" x14ac:dyDescent="0.25">
      <c r="A355" s="658"/>
      <c r="B355" s="173" t="s">
        <v>846</v>
      </c>
      <c r="C355" s="173"/>
      <c r="D355" s="176" t="s">
        <v>380</v>
      </c>
      <c r="E355" s="345" t="s">
        <v>310</v>
      </c>
      <c r="F355" s="173" t="s">
        <v>353</v>
      </c>
      <c r="G355" s="623">
        <v>1</v>
      </c>
      <c r="H355" s="624"/>
      <c r="I355" s="624"/>
      <c r="J355" s="624">
        <v>300</v>
      </c>
      <c r="K355" s="624"/>
      <c r="L355" s="668"/>
      <c r="M355" s="668"/>
      <c r="N355" s="668"/>
      <c r="O355" s="668"/>
      <c r="P355" s="625">
        <f>IF(Table_Shelter[[#This Row],[Status]]="Open",IF(V355="NO",Table_Shelter[[#This Row],[HH per Shelter]]*(Table_Shelter[[#This Row],['# of Temporary Shelter Units Built]]+Table_Shelter[[#This Row],['# of Temporary Shelter Under  Construction]]+Table_Shelter[[#This Row],['# of Permanent House Under Construction]]),0),0)</f>
        <v>0</v>
      </c>
      <c r="Q355" s="625"/>
      <c r="R355" s="668"/>
      <c r="S355" s="668" t="str">
        <f>IFERROR(VLOOKUP(Table_Shelter[[#This Row],[CampName]],CL,2,0),"")</f>
        <v>MMR001CMP116</v>
      </c>
      <c r="T355" s="668" t="str">
        <f>IFERROR(VLOOKUP(Table_Shelter[[#This Row],[CampName]],CL,3,0),"")</f>
        <v>Open</v>
      </c>
      <c r="U355" s="669">
        <f>IFERROR(Table_Shelter[[#This Row],[HH Covered]]/VLOOKUP(Table_Shelter[[#This Row],[CampName]],CL,4,0),"")</f>
        <v>0</v>
      </c>
      <c r="V355" s="669" t="s">
        <v>1305</v>
      </c>
      <c r="W355" s="668"/>
    </row>
    <row r="356" spans="1:23" x14ac:dyDescent="0.25">
      <c r="A356" s="793"/>
      <c r="B356" s="665" t="s">
        <v>452</v>
      </c>
      <c r="C356" s="665" t="s">
        <v>505</v>
      </c>
      <c r="D356" s="176" t="s">
        <v>380</v>
      </c>
      <c r="E356" s="667" t="s">
        <v>237</v>
      </c>
      <c r="F356" s="173" t="s">
        <v>283</v>
      </c>
      <c r="G356" s="623">
        <v>1</v>
      </c>
      <c r="H356" s="624"/>
      <c r="I356" s="624"/>
      <c r="J356" s="624">
        <v>24</v>
      </c>
      <c r="K356" s="624">
        <v>24</v>
      </c>
      <c r="L356" s="668"/>
      <c r="M356" s="668"/>
      <c r="N356" s="668"/>
      <c r="O356" s="668"/>
      <c r="P356" s="625">
        <f>IF(Table_Shelter[[#This Row],[Status]]="Open",IF(V356="NO",Table_Shelter[[#This Row],[HH per Shelter]]*(Table_Shelter[[#This Row],['# of Temporary Shelter Units Built]]+Table_Shelter[[#This Row],['# of Temporary Shelter Under  Construction]]+Table_Shelter[[#This Row],['# of Permanent House Under Construction]]),0),0)</f>
        <v>24</v>
      </c>
      <c r="Q356" s="625"/>
      <c r="R356" s="668"/>
      <c r="S356" s="668" t="str">
        <f>IFERROR(VLOOKUP(Table_Shelter[[#This Row],[CampName]],CL,2,0),"")</f>
        <v>MMR001CMP022</v>
      </c>
      <c r="T356" s="668" t="str">
        <f>IFERROR(VLOOKUP(Table_Shelter[[#This Row],[CampName]],CL,3,0),"")</f>
        <v>Open</v>
      </c>
      <c r="U356" s="669">
        <f>IFERROR(Table_Shelter[[#This Row],[HH Covered]]/VLOOKUP(Table_Shelter[[#This Row],[CampName]],CL,4,0),"")</f>
        <v>3.4285714285714284</v>
      </c>
      <c r="V356" s="669" t="s">
        <v>1305</v>
      </c>
      <c r="W356" s="668"/>
    </row>
    <row r="357" spans="1:23" x14ac:dyDescent="0.25">
      <c r="A357" s="793"/>
      <c r="B357" s="665" t="s">
        <v>846</v>
      </c>
      <c r="C357" s="665"/>
      <c r="D357" s="176" t="s">
        <v>380</v>
      </c>
      <c r="E357" s="667" t="s">
        <v>5</v>
      </c>
      <c r="F357" s="173" t="s">
        <v>26</v>
      </c>
      <c r="G357" s="107">
        <v>1</v>
      </c>
      <c r="H357" s="109"/>
      <c r="I357" s="109"/>
      <c r="J357" s="109">
        <v>30</v>
      </c>
      <c r="K357" s="109">
        <v>30</v>
      </c>
      <c r="L357" s="175"/>
      <c r="M357" s="175"/>
      <c r="N357" s="175"/>
      <c r="O357" s="175"/>
      <c r="P357" s="108">
        <f>IF(Table_Shelter[[#This Row],[Status]]="Open",IF(V357="NO",Table_Shelter[[#This Row],[HH per Shelter]]*(Table_Shelter[[#This Row],['# of Temporary Shelter Units Built]]+Table_Shelter[[#This Row],['# of Temporary Shelter Under  Construction]]+Table_Shelter[[#This Row],['# of Permanent House Under Construction]]),0),0)</f>
        <v>30</v>
      </c>
      <c r="Q357" s="108"/>
      <c r="R357" s="175"/>
      <c r="S357" s="175" t="str">
        <f>IFERROR(VLOOKUP(Table_Shelter[[#This Row],[CampName]],CL,2,0),"")</f>
        <v>MMR001CMP053</v>
      </c>
      <c r="T357" s="175" t="str">
        <f>IFERROR(VLOOKUP(Table_Shelter[[#This Row],[CampName]],CL,3,0),"")</f>
        <v>Open</v>
      </c>
      <c r="U357" s="265">
        <f>IFERROR(Table_Shelter[[#This Row],[HH Covered]]/VLOOKUP(Table_Shelter[[#This Row],[CampName]],CL,4,0),"")</f>
        <v>2</v>
      </c>
      <c r="V357" s="265" t="s">
        <v>1305</v>
      </c>
      <c r="W357" s="175"/>
    </row>
    <row r="358" spans="1:23" x14ac:dyDescent="0.25">
      <c r="A358" s="793"/>
      <c r="B358" s="665" t="s">
        <v>452</v>
      </c>
      <c r="C358" s="665" t="s">
        <v>846</v>
      </c>
      <c r="D358" s="666" t="s">
        <v>380</v>
      </c>
      <c r="E358" s="667" t="s">
        <v>5</v>
      </c>
      <c r="F358" s="665" t="s">
        <v>26</v>
      </c>
      <c r="G358" s="623">
        <v>1</v>
      </c>
      <c r="H358" s="624"/>
      <c r="I358" s="624"/>
      <c r="J358" s="624">
        <v>12</v>
      </c>
      <c r="K358" s="624">
        <v>12</v>
      </c>
      <c r="L358" s="668"/>
      <c r="M358" s="668"/>
      <c r="N358" s="668"/>
      <c r="O358" s="668"/>
      <c r="P358" s="625">
        <f>IF(Table_Shelter[[#This Row],[Status]]="Open",IF(V358="NO",Table_Shelter[[#This Row],[HH per Shelter]]*(Table_Shelter[[#This Row],['# of Temporary Shelter Units Built]]+Table_Shelter[[#This Row],['# of Temporary Shelter Under  Construction]]+Table_Shelter[[#This Row],['# of Permanent House Under Construction]]),0),0)</f>
        <v>12</v>
      </c>
      <c r="Q358" s="625"/>
      <c r="R358" s="668"/>
      <c r="S358" s="668" t="str">
        <f>IFERROR(VLOOKUP(Table_Shelter[[#This Row],[CampName]],CL,2,0),"")</f>
        <v>MMR001CMP053</v>
      </c>
      <c r="T358" s="668" t="str">
        <f>IFERROR(VLOOKUP(Table_Shelter[[#This Row],[CampName]],CL,3,0),"")</f>
        <v>Open</v>
      </c>
      <c r="U358" s="669">
        <f>IFERROR(Table_Shelter[[#This Row],[HH Covered]]/VLOOKUP(Table_Shelter[[#This Row],[CampName]],CL,4,0),"")</f>
        <v>0.8</v>
      </c>
      <c r="V358" s="669" t="s">
        <v>1305</v>
      </c>
      <c r="W358" s="668"/>
    </row>
    <row r="359" spans="1:23" x14ac:dyDescent="0.25">
      <c r="A359" s="793"/>
      <c r="B359" s="665" t="s">
        <v>452</v>
      </c>
      <c r="C359" s="665" t="s">
        <v>505</v>
      </c>
      <c r="D359" s="666" t="s">
        <v>380</v>
      </c>
      <c r="E359" s="667" t="s">
        <v>5</v>
      </c>
      <c r="F359" s="665" t="s">
        <v>26</v>
      </c>
      <c r="G359" s="623">
        <v>1</v>
      </c>
      <c r="H359" s="624"/>
      <c r="I359" s="624"/>
      <c r="J359" s="624">
        <v>10</v>
      </c>
      <c r="K359" s="624">
        <v>10</v>
      </c>
      <c r="L359" s="668"/>
      <c r="M359" s="668"/>
      <c r="N359" s="668"/>
      <c r="O359" s="668"/>
      <c r="P359" s="625">
        <f>IF(Table_Shelter[[#This Row],[Status]]="Open",IF(V359="NO",Table_Shelter[[#This Row],[HH per Shelter]]*(Table_Shelter[[#This Row],['# of Temporary Shelter Units Built]]+Table_Shelter[[#This Row],['# of Temporary Shelter Under  Construction]]+Table_Shelter[[#This Row],['# of Permanent House Under Construction]]),0),0)</f>
        <v>10</v>
      </c>
      <c r="Q359" s="625"/>
      <c r="R359" s="668"/>
      <c r="S359" s="668" t="str">
        <f>IFERROR(VLOOKUP(Table_Shelter[[#This Row],[CampName]],CL,2,0),"")</f>
        <v>MMR001CMP053</v>
      </c>
      <c r="T359" s="668" t="str">
        <f>IFERROR(VLOOKUP(Table_Shelter[[#This Row],[CampName]],CL,3,0),"")</f>
        <v>Open</v>
      </c>
      <c r="U359" s="669">
        <f>IFERROR(Table_Shelter[[#This Row],[HH Covered]]/VLOOKUP(Table_Shelter[[#This Row],[CampName]],CL,4,0),"")</f>
        <v>0.66666666666666663</v>
      </c>
      <c r="V359" s="669" t="s">
        <v>1305</v>
      </c>
      <c r="W359" s="668"/>
    </row>
    <row r="360" spans="1:23" x14ac:dyDescent="0.25">
      <c r="A360" s="793"/>
      <c r="B360" s="665" t="s">
        <v>452</v>
      </c>
      <c r="C360" s="665"/>
      <c r="D360" s="666" t="s">
        <v>380</v>
      </c>
      <c r="E360" s="667" t="s">
        <v>5</v>
      </c>
      <c r="F360" s="665" t="s">
        <v>26</v>
      </c>
      <c r="G360" s="623">
        <v>1</v>
      </c>
      <c r="H360" s="624"/>
      <c r="I360" s="624"/>
      <c r="J360" s="624">
        <v>6</v>
      </c>
      <c r="K360" s="624"/>
      <c r="L360" s="668"/>
      <c r="M360" s="668"/>
      <c r="N360" s="668"/>
      <c r="O360" s="668"/>
      <c r="P360" s="625">
        <f>IF(Table_Shelter[[#This Row],[Status]]="Open",IF(V360="NO",Table_Shelter[[#This Row],[HH per Shelter]]*(Table_Shelter[[#This Row],['# of Temporary Shelter Units Built]]+Table_Shelter[[#This Row],['# of Temporary Shelter Under  Construction]]+Table_Shelter[[#This Row],['# of Permanent House Under Construction]]),0),0)</f>
        <v>0</v>
      </c>
      <c r="Q360" s="625"/>
      <c r="R360" s="668"/>
      <c r="S360" s="668" t="str">
        <f>IFERROR(VLOOKUP(Table_Shelter[[#This Row],[CampName]],CL,2,0),"")</f>
        <v>MMR001CMP053</v>
      </c>
      <c r="T360" s="668" t="str">
        <f>IFERROR(VLOOKUP(Table_Shelter[[#This Row],[CampName]],CL,3,0),"")</f>
        <v>Open</v>
      </c>
      <c r="U360" s="669">
        <f>IFERROR(Table_Shelter[[#This Row],[HH Covered]]/VLOOKUP(Table_Shelter[[#This Row],[CampName]],CL,4,0),"")</f>
        <v>0</v>
      </c>
      <c r="V360" s="669" t="s">
        <v>1305</v>
      </c>
      <c r="W360" s="668"/>
    </row>
    <row r="361" spans="1:23" x14ac:dyDescent="0.25">
      <c r="A361" s="793"/>
      <c r="B361" s="665" t="s">
        <v>452</v>
      </c>
      <c r="C361" s="665" t="s">
        <v>505</v>
      </c>
      <c r="D361" s="666" t="s">
        <v>380</v>
      </c>
      <c r="E361" s="667" t="s">
        <v>527</v>
      </c>
      <c r="F361" s="665" t="s">
        <v>140</v>
      </c>
      <c r="G361" s="623">
        <v>1</v>
      </c>
      <c r="H361" s="624"/>
      <c r="I361" s="624"/>
      <c r="J361" s="624">
        <v>10</v>
      </c>
      <c r="K361" s="624">
        <v>10</v>
      </c>
      <c r="L361" s="668"/>
      <c r="M361" s="668"/>
      <c r="N361" s="668"/>
      <c r="O361" s="668"/>
      <c r="P361" s="625">
        <f>IF(Table_Shelter[[#This Row],[Status]]="Open",IF(V361="NO",Table_Shelter[[#This Row],[HH per Shelter]]*(Table_Shelter[[#This Row],['# of Temporary Shelter Units Built]]+Table_Shelter[[#This Row],['# of Temporary Shelter Under  Construction]]+Table_Shelter[[#This Row],['# of Permanent House Under Construction]]),0),0)</f>
        <v>10</v>
      </c>
      <c r="Q361" s="625"/>
      <c r="R361" s="668"/>
      <c r="S361" s="668" t="str">
        <f>IFERROR(VLOOKUP(Table_Shelter[[#This Row],[CampName]],CL,2,0),"")</f>
        <v>MMR001CMP105</v>
      </c>
      <c r="T361" s="668" t="str">
        <f>IFERROR(VLOOKUP(Table_Shelter[[#This Row],[CampName]],CL,3,0),"")</f>
        <v>Open</v>
      </c>
      <c r="U361" s="669">
        <f>IFERROR(Table_Shelter[[#This Row],[HH Covered]]/VLOOKUP(Table_Shelter[[#This Row],[CampName]],CL,4,0),"")</f>
        <v>0.83333333333333337</v>
      </c>
      <c r="V361" s="669" t="s">
        <v>1305</v>
      </c>
      <c r="W361" s="668"/>
    </row>
    <row r="362" spans="1:23" x14ac:dyDescent="0.25">
      <c r="A362" s="793"/>
      <c r="B362" s="665" t="s">
        <v>570</v>
      </c>
      <c r="C362" s="665" t="s">
        <v>460</v>
      </c>
      <c r="D362" s="666" t="s">
        <v>380</v>
      </c>
      <c r="E362" s="667" t="s">
        <v>310</v>
      </c>
      <c r="F362" s="665" t="s">
        <v>1245</v>
      </c>
      <c r="G362" s="623">
        <v>1</v>
      </c>
      <c r="H362" s="624"/>
      <c r="I362" s="624"/>
      <c r="J362" s="624">
        <v>220</v>
      </c>
      <c r="K362" s="624">
        <v>220</v>
      </c>
      <c r="L362" s="668"/>
      <c r="M362" s="668"/>
      <c r="N362" s="668"/>
      <c r="O362" s="668"/>
      <c r="P362" s="625">
        <f>IF(Table_Shelter[[#This Row],[Status]]="Open",IF(V362="NO",Table_Shelter[[#This Row],[HH per Shelter]]*(Table_Shelter[[#This Row],['# of Temporary Shelter Units Built]]+Table_Shelter[[#This Row],['# of Temporary Shelter Under  Construction]]+Table_Shelter[[#This Row],['# of Permanent House Under Construction]]),0),0)</f>
        <v>220</v>
      </c>
      <c r="Q362" s="625"/>
      <c r="R362" s="668"/>
      <c r="S362" s="668" t="str">
        <f>IFERROR(VLOOKUP(Table_Shelter[[#This Row],[CampName]],CL,2,0),"")</f>
        <v>MMR001CMP111</v>
      </c>
      <c r="T362" s="668" t="str">
        <f>IFERROR(VLOOKUP(Table_Shelter[[#This Row],[CampName]],CL,3,0),"")</f>
        <v>Open</v>
      </c>
      <c r="U362" s="669">
        <f>IFERROR(Table_Shelter[[#This Row],[HH Covered]]/VLOOKUP(Table_Shelter[[#This Row],[CampName]],CL,4,0),"")</f>
        <v>0.36423841059602646</v>
      </c>
      <c r="V362" s="669" t="s">
        <v>1305</v>
      </c>
      <c r="W362" s="668"/>
    </row>
    <row r="363" spans="1:23" x14ac:dyDescent="0.25">
      <c r="A363" s="793"/>
      <c r="B363" s="665" t="s">
        <v>452</v>
      </c>
      <c r="C363" s="665" t="s">
        <v>460</v>
      </c>
      <c r="D363" s="666" t="s">
        <v>380</v>
      </c>
      <c r="E363" s="667" t="s">
        <v>310</v>
      </c>
      <c r="F363" s="665" t="s">
        <v>1245</v>
      </c>
      <c r="G363" s="623">
        <v>1</v>
      </c>
      <c r="H363" s="624"/>
      <c r="I363" s="624"/>
      <c r="J363" s="624">
        <v>325</v>
      </c>
      <c r="K363" s="624">
        <v>325</v>
      </c>
      <c r="L363" s="668"/>
      <c r="M363" s="668"/>
      <c r="N363" s="668"/>
      <c r="O363" s="668"/>
      <c r="P363" s="625">
        <f>IF(Table_Shelter[[#This Row],[Status]]="Open",IF(V363="NO",Table_Shelter[[#This Row],[HH per Shelter]]*(Table_Shelter[[#This Row],['# of Temporary Shelter Units Built]]+Table_Shelter[[#This Row],['# of Temporary Shelter Under  Construction]]+Table_Shelter[[#This Row],['# of Permanent House Under Construction]]),0),0)</f>
        <v>325</v>
      </c>
      <c r="Q363" s="625"/>
      <c r="R363" s="668"/>
      <c r="S363" s="668" t="str">
        <f>IFERROR(VLOOKUP(Table_Shelter[[#This Row],[CampName]],CL,2,0),"")</f>
        <v>MMR001CMP111</v>
      </c>
      <c r="T363" s="668" t="str">
        <f>IFERROR(VLOOKUP(Table_Shelter[[#This Row],[CampName]],CL,3,0),"")</f>
        <v>Open</v>
      </c>
      <c r="U363" s="669">
        <f>IFERROR(Table_Shelter[[#This Row],[HH Covered]]/VLOOKUP(Table_Shelter[[#This Row],[CampName]],CL,4,0),"")</f>
        <v>0.53807947019867552</v>
      </c>
      <c r="V363" s="669" t="s">
        <v>1305</v>
      </c>
      <c r="W363" s="668"/>
    </row>
    <row r="364" spans="1:23" x14ac:dyDescent="0.25">
      <c r="A364" s="793"/>
      <c r="B364" s="665" t="s">
        <v>1097</v>
      </c>
      <c r="C364" s="665" t="s">
        <v>944</v>
      </c>
      <c r="D364" s="666" t="s">
        <v>553</v>
      </c>
      <c r="E364" s="667" t="s">
        <v>146</v>
      </c>
      <c r="F364" s="665" t="s">
        <v>373</v>
      </c>
      <c r="G364" s="623">
        <v>1</v>
      </c>
      <c r="H364" s="624"/>
      <c r="I364" s="624"/>
      <c r="J364" s="624">
        <v>85</v>
      </c>
      <c r="K364" s="624">
        <v>85</v>
      </c>
      <c r="L364" s="668"/>
      <c r="M364" s="668"/>
      <c r="N364" s="668"/>
      <c r="O364" s="668"/>
      <c r="P364" s="625">
        <f>IF(Table_Shelter[[#This Row],[Status]]="Open",IF(V364="NO",Table_Shelter[[#This Row],[HH per Shelter]]*(Table_Shelter[[#This Row],['# of Temporary Shelter Units Built]]+Table_Shelter[[#This Row],['# of Temporary Shelter Under  Construction]]+Table_Shelter[[#This Row],['# of Permanent House Under Construction]]),0),0)</f>
        <v>85</v>
      </c>
      <c r="Q364" s="625"/>
      <c r="R364" s="668"/>
      <c r="S364" s="668" t="str">
        <f>IFERROR(VLOOKUP(Table_Shelter[[#This Row],[CampName]],CL,2,0),"")</f>
        <v>MMR015CMP020</v>
      </c>
      <c r="T364" s="668" t="str">
        <f>IFERROR(VLOOKUP(Table_Shelter[[#This Row],[CampName]],CL,3,0),"")</f>
        <v>Open</v>
      </c>
      <c r="U364" s="669">
        <f>IFERROR(Table_Shelter[[#This Row],[HH Covered]]/VLOOKUP(Table_Shelter[[#This Row],[CampName]],CL,4,0),"")</f>
        <v>0.44736842105263158</v>
      </c>
      <c r="V364" s="669" t="s">
        <v>1305</v>
      </c>
      <c r="W364" s="668"/>
    </row>
    <row r="365" spans="1:23" x14ac:dyDescent="0.25">
      <c r="A365" s="793"/>
      <c r="B365" s="665" t="s">
        <v>452</v>
      </c>
      <c r="C365" s="665"/>
      <c r="D365" s="666" t="s">
        <v>380</v>
      </c>
      <c r="E365" s="667" t="s">
        <v>527</v>
      </c>
      <c r="F365" s="665"/>
      <c r="G365" s="623">
        <v>1</v>
      </c>
      <c r="H365" s="624">
        <v>30</v>
      </c>
      <c r="I365" s="624">
        <v>30</v>
      </c>
      <c r="J365" s="624"/>
      <c r="K365" s="624"/>
      <c r="L365" s="668"/>
      <c r="M365" s="668"/>
      <c r="N365" s="668"/>
      <c r="O365" s="668"/>
      <c r="P365" s="625">
        <f>IF(Table_Shelter[[#This Row],[Status]]="Open",IF(V365="NO",Table_Shelter[[#This Row],[HH per Shelter]]*(Table_Shelter[[#This Row],['# of Temporary Shelter Units Built]]+Table_Shelter[[#This Row],['# of Temporary Shelter Under  Construction]]+Table_Shelter[[#This Row],['# of Permanent House Under Construction]]),0),0)</f>
        <v>0</v>
      </c>
      <c r="Q365" s="625"/>
      <c r="R365" s="668"/>
      <c r="S365" s="668" t="str">
        <f>IFERROR(VLOOKUP(Table_Shelter[[#This Row],[CampName]],CL,2,0),"")</f>
        <v/>
      </c>
      <c r="T365" s="668" t="str">
        <f>IFERROR(VLOOKUP(Table_Shelter[[#This Row],[CampName]],CL,3,0),"")</f>
        <v/>
      </c>
      <c r="U365" s="669" t="str">
        <f>IFERROR(Table_Shelter[[#This Row],[HH Covered]]/VLOOKUP(Table_Shelter[[#This Row],[CampName]],CL,4,0),"")</f>
        <v/>
      </c>
      <c r="V365" s="669" t="s">
        <v>1305</v>
      </c>
      <c r="W365" s="668"/>
    </row>
    <row r="366" spans="1:23" x14ac:dyDescent="0.25">
      <c r="A366" s="793"/>
      <c r="B366" s="665" t="s">
        <v>570</v>
      </c>
      <c r="C366" s="665" t="s">
        <v>460</v>
      </c>
      <c r="D366" s="666" t="s">
        <v>380</v>
      </c>
      <c r="E366" s="667" t="s">
        <v>237</v>
      </c>
      <c r="F366" s="665"/>
      <c r="G366" s="623">
        <v>1</v>
      </c>
      <c r="H366" s="624"/>
      <c r="I366" s="624"/>
      <c r="J366" s="624">
        <v>15</v>
      </c>
      <c r="K366" s="624">
        <v>15</v>
      </c>
      <c r="L366" s="668"/>
      <c r="M366" s="668"/>
      <c r="N366" s="668"/>
      <c r="O366" s="668"/>
      <c r="P366" s="625">
        <f>IF(Table_Shelter[[#This Row],[Status]]="Open",IF(V366="NO",Table_Shelter[[#This Row],[HH per Shelter]]*(Table_Shelter[[#This Row],['# of Temporary Shelter Units Built]]+Table_Shelter[[#This Row],['# of Temporary Shelter Under  Construction]]+Table_Shelter[[#This Row],['# of Permanent House Under Construction]]),0),0)</f>
        <v>0</v>
      </c>
      <c r="Q366" s="625"/>
      <c r="R366" s="668"/>
      <c r="S366" s="668" t="str">
        <f>IFERROR(VLOOKUP(Table_Shelter[[#This Row],[CampName]],CL,2,0),"")</f>
        <v/>
      </c>
      <c r="T366" s="668" t="str">
        <f>IFERROR(VLOOKUP(Table_Shelter[[#This Row],[CampName]],CL,3,0),"")</f>
        <v/>
      </c>
      <c r="U366" s="669" t="str">
        <f>IFERROR(Table_Shelter[[#This Row],[HH Covered]]/VLOOKUP(Table_Shelter[[#This Row],[CampName]],CL,4,0),"")</f>
        <v/>
      </c>
      <c r="V366" s="669" t="s">
        <v>1305</v>
      </c>
      <c r="W366" s="668"/>
    </row>
    <row r="367" spans="1:23" x14ac:dyDescent="0.25">
      <c r="A367" s="793"/>
      <c r="B367" s="665" t="s">
        <v>452</v>
      </c>
      <c r="C367" s="665"/>
      <c r="D367" s="666" t="s">
        <v>380</v>
      </c>
      <c r="E367" s="667" t="s">
        <v>300</v>
      </c>
      <c r="F367" s="665"/>
      <c r="G367" s="623">
        <v>1</v>
      </c>
      <c r="H367" s="624">
        <v>55</v>
      </c>
      <c r="I367" s="624">
        <v>55</v>
      </c>
      <c r="J367" s="624"/>
      <c r="K367" s="624"/>
      <c r="L367" s="668"/>
      <c r="M367" s="668"/>
      <c r="N367" s="668"/>
      <c r="O367" s="668"/>
      <c r="P367" s="625">
        <f>IF(Table_Shelter[[#This Row],[Status]]="Open",IF(V367="NO",Table_Shelter[[#This Row],[HH per Shelter]]*(Table_Shelter[[#This Row],['# of Temporary Shelter Units Built]]+Table_Shelter[[#This Row],['# of Temporary Shelter Under  Construction]]+Table_Shelter[[#This Row],['# of Permanent House Under Construction]]),0),0)</f>
        <v>0</v>
      </c>
      <c r="Q367" s="625"/>
      <c r="R367" s="668"/>
      <c r="S367" s="668" t="str">
        <f>IFERROR(VLOOKUP(Table_Shelter[[#This Row],[CampName]],CL,2,0),"")</f>
        <v/>
      </c>
      <c r="T367" s="668" t="str">
        <f>IFERROR(VLOOKUP(Table_Shelter[[#This Row],[CampName]],CL,3,0),"")</f>
        <v/>
      </c>
      <c r="U367" s="669" t="str">
        <f>IFERROR(Table_Shelter[[#This Row],[HH Covered]]/VLOOKUP(Table_Shelter[[#This Row],[CampName]],CL,4,0),"")</f>
        <v/>
      </c>
      <c r="V367" s="669" t="s">
        <v>1305</v>
      </c>
      <c r="W367" s="668"/>
    </row>
  </sheetData>
  <mergeCells count="2">
    <mergeCell ref="A2:C2"/>
    <mergeCell ref="A3:P3"/>
  </mergeCells>
  <conditionalFormatting sqref="R1:R3 T244 R244 T86:T111 T232:T242 R232:R242 R267:R268 T267:T268 T113:T230 R113:R230 T4:T84 R31:R84 T270:T354 R270:R1048576">
    <cfRule type="containsText" dxfId="1482" priority="119" operator="containsText" text="close">
      <formula>NOT(ISERROR(SEARCH("close",R1)))</formula>
    </cfRule>
    <cfRule type="containsText" dxfId="1481" priority="120" operator="containsText" text="open">
      <formula>NOT(ISERROR(SEARCH("open",R1)))</formula>
    </cfRule>
  </conditionalFormatting>
  <conditionalFormatting sqref="R86:R111">
    <cfRule type="containsText" dxfId="1480" priority="117" operator="containsText" text="close">
      <formula>NOT(ISERROR(SEARCH("close",R86)))</formula>
    </cfRule>
    <cfRule type="containsText" dxfId="1479" priority="118" operator="containsText" text="open">
      <formula>NOT(ISERROR(SEARCH("open",R86)))</formula>
    </cfRule>
  </conditionalFormatting>
  <conditionalFormatting sqref="R261 T261">
    <cfRule type="containsText" dxfId="1478" priority="63" operator="containsText" text="close">
      <formula>NOT(ISERROR(SEARCH("close",R261)))</formula>
    </cfRule>
    <cfRule type="containsText" dxfId="1477" priority="64" operator="containsText" text="open">
      <formula>NOT(ISERROR(SEARCH("open",R261)))</formula>
    </cfRule>
  </conditionalFormatting>
  <conditionalFormatting sqref="T245 R245">
    <cfRule type="containsText" dxfId="1476" priority="115" operator="containsText" text="close">
      <formula>NOT(ISERROR(SEARCH("close",R245)))</formula>
    </cfRule>
    <cfRule type="containsText" dxfId="1475" priority="116" operator="containsText" text="open">
      <formula>NOT(ISERROR(SEARCH("open",R245)))</formula>
    </cfRule>
  </conditionalFormatting>
  <conditionalFormatting sqref="T246">
    <cfRule type="containsText" dxfId="1474" priority="113" operator="containsText" text="close">
      <formula>NOT(ISERROR(SEARCH("close",T246)))</formula>
    </cfRule>
    <cfRule type="containsText" dxfId="1473" priority="114" operator="containsText" text="open">
      <formula>NOT(ISERROR(SEARCH("open",T246)))</formula>
    </cfRule>
  </conditionalFormatting>
  <conditionalFormatting sqref="T247">
    <cfRule type="containsText" dxfId="1472" priority="111" operator="containsText" text="close">
      <formula>NOT(ISERROR(SEARCH("close",T247)))</formula>
    </cfRule>
    <cfRule type="containsText" dxfId="1471" priority="112" operator="containsText" text="open">
      <formula>NOT(ISERROR(SEARCH("open",T247)))</formula>
    </cfRule>
  </conditionalFormatting>
  <conditionalFormatting sqref="R247">
    <cfRule type="containsText" dxfId="1470" priority="109" operator="containsText" text="close">
      <formula>NOT(ISERROR(SEARCH("close",R247)))</formula>
    </cfRule>
    <cfRule type="containsText" dxfId="1469" priority="110" operator="containsText" text="open">
      <formula>NOT(ISERROR(SEARCH("open",R247)))</formula>
    </cfRule>
  </conditionalFormatting>
  <conditionalFormatting sqref="T248">
    <cfRule type="containsText" dxfId="1468" priority="103" operator="containsText" text="close">
      <formula>NOT(ISERROR(SEARCH("close",T248)))</formula>
    </cfRule>
    <cfRule type="containsText" dxfId="1467" priority="104" operator="containsText" text="open">
      <formula>NOT(ISERROR(SEARCH("open",T248)))</formula>
    </cfRule>
  </conditionalFormatting>
  <conditionalFormatting sqref="R248">
    <cfRule type="containsText" dxfId="1466" priority="101" operator="containsText" text="close">
      <formula>NOT(ISERROR(SEARCH("close",R248)))</formula>
    </cfRule>
    <cfRule type="containsText" dxfId="1465" priority="102" operator="containsText" text="open">
      <formula>NOT(ISERROR(SEARCH("open",R248)))</formula>
    </cfRule>
  </conditionalFormatting>
  <conditionalFormatting sqref="T249">
    <cfRule type="containsText" dxfId="1464" priority="99" operator="containsText" text="close">
      <formula>NOT(ISERROR(SEARCH("close",T249)))</formula>
    </cfRule>
    <cfRule type="containsText" dxfId="1463" priority="100" operator="containsText" text="open">
      <formula>NOT(ISERROR(SEARCH("open",T249)))</formula>
    </cfRule>
  </conditionalFormatting>
  <conditionalFormatting sqref="R249">
    <cfRule type="containsText" dxfId="1462" priority="97" operator="containsText" text="close">
      <formula>NOT(ISERROR(SEARCH("close",R249)))</formula>
    </cfRule>
    <cfRule type="containsText" dxfId="1461" priority="98" operator="containsText" text="open">
      <formula>NOT(ISERROR(SEARCH("open",R249)))</formula>
    </cfRule>
  </conditionalFormatting>
  <conditionalFormatting sqref="T250 R250">
    <cfRule type="containsText" dxfId="1460" priority="95" operator="containsText" text="close">
      <formula>NOT(ISERROR(SEARCH("close",R250)))</formula>
    </cfRule>
    <cfRule type="containsText" dxfId="1459" priority="96" operator="containsText" text="open">
      <formula>NOT(ISERROR(SEARCH("open",R250)))</formula>
    </cfRule>
  </conditionalFormatting>
  <conditionalFormatting sqref="T251 R251">
    <cfRule type="containsText" dxfId="1458" priority="91" operator="containsText" text="close">
      <formula>NOT(ISERROR(SEARCH("close",R251)))</formula>
    </cfRule>
    <cfRule type="containsText" dxfId="1457" priority="92" operator="containsText" text="open">
      <formula>NOT(ISERROR(SEARCH("open",R251)))</formula>
    </cfRule>
  </conditionalFormatting>
  <conditionalFormatting sqref="T252 R252">
    <cfRule type="containsText" dxfId="1456" priority="89" operator="containsText" text="close">
      <formula>NOT(ISERROR(SEARCH("close",R252)))</formula>
    </cfRule>
    <cfRule type="containsText" dxfId="1455" priority="90" operator="containsText" text="open">
      <formula>NOT(ISERROR(SEARCH("open",R252)))</formula>
    </cfRule>
  </conditionalFormatting>
  <conditionalFormatting sqref="T253 R253">
    <cfRule type="containsText" dxfId="1454" priority="87" operator="containsText" text="close">
      <formula>NOT(ISERROR(SEARCH("close",R253)))</formula>
    </cfRule>
    <cfRule type="containsText" dxfId="1453" priority="88" operator="containsText" text="open">
      <formula>NOT(ISERROR(SEARCH("open",R253)))</formula>
    </cfRule>
  </conditionalFormatting>
  <conditionalFormatting sqref="T255">
    <cfRule type="containsText" dxfId="1452" priority="83" operator="containsText" text="close">
      <formula>NOT(ISERROR(SEARCH("close",T255)))</formula>
    </cfRule>
    <cfRule type="containsText" dxfId="1451" priority="84" operator="containsText" text="open">
      <formula>NOT(ISERROR(SEARCH("open",T255)))</formula>
    </cfRule>
  </conditionalFormatting>
  <conditionalFormatting sqref="R255">
    <cfRule type="containsText" dxfId="1450" priority="81" operator="containsText" text="close">
      <formula>NOT(ISERROR(SEARCH("close",R255)))</formula>
    </cfRule>
    <cfRule type="containsText" dxfId="1449" priority="82" operator="containsText" text="open">
      <formula>NOT(ISERROR(SEARCH("open",R255)))</formula>
    </cfRule>
  </conditionalFormatting>
  <conditionalFormatting sqref="T256">
    <cfRule type="containsText" dxfId="1448" priority="79" operator="containsText" text="close">
      <formula>NOT(ISERROR(SEARCH("close",T256)))</formula>
    </cfRule>
    <cfRule type="containsText" dxfId="1447" priority="80" operator="containsText" text="open">
      <formula>NOT(ISERROR(SEARCH("open",T256)))</formula>
    </cfRule>
  </conditionalFormatting>
  <conditionalFormatting sqref="R257 T257">
    <cfRule type="containsText" dxfId="1446" priority="73" operator="containsText" text="close">
      <formula>NOT(ISERROR(SEARCH("close",R257)))</formula>
    </cfRule>
    <cfRule type="containsText" dxfId="1445" priority="74" operator="containsText" text="open">
      <formula>NOT(ISERROR(SEARCH("open",R257)))</formula>
    </cfRule>
  </conditionalFormatting>
  <conditionalFormatting sqref="T259">
    <cfRule type="containsText" dxfId="1444" priority="71" operator="containsText" text="close">
      <formula>NOT(ISERROR(SEARCH("close",T259)))</formula>
    </cfRule>
    <cfRule type="containsText" dxfId="1443" priority="72" operator="containsText" text="open">
      <formula>NOT(ISERROR(SEARCH("open",T259)))</formula>
    </cfRule>
  </conditionalFormatting>
  <conditionalFormatting sqref="R259">
    <cfRule type="containsText" dxfId="1442" priority="69" operator="containsText" text="close">
      <formula>NOT(ISERROR(SEARCH("close",R259)))</formula>
    </cfRule>
    <cfRule type="containsText" dxfId="1441" priority="70" operator="containsText" text="open">
      <formula>NOT(ISERROR(SEARCH("open",R259)))</formula>
    </cfRule>
  </conditionalFormatting>
  <conditionalFormatting sqref="T260">
    <cfRule type="containsText" dxfId="1440" priority="67" operator="containsText" text="close">
      <formula>NOT(ISERROR(SEARCH("close",T260)))</formula>
    </cfRule>
    <cfRule type="containsText" dxfId="1439" priority="68" operator="containsText" text="open">
      <formula>NOT(ISERROR(SEARCH("open",T260)))</formula>
    </cfRule>
  </conditionalFormatting>
  <conditionalFormatting sqref="R260">
    <cfRule type="containsText" dxfId="1438" priority="65" operator="containsText" text="close">
      <formula>NOT(ISERROR(SEARCH("close",R260)))</formula>
    </cfRule>
    <cfRule type="containsText" dxfId="1437" priority="66" operator="containsText" text="open">
      <formula>NOT(ISERROR(SEARCH("open",R260)))</formula>
    </cfRule>
  </conditionalFormatting>
  <conditionalFormatting sqref="T258 R258">
    <cfRule type="containsText" dxfId="1436" priority="51" operator="containsText" text="close">
      <formula>NOT(ISERROR(SEARCH("close",R258)))</formula>
    </cfRule>
    <cfRule type="containsText" dxfId="1435" priority="52" operator="containsText" text="open">
      <formula>NOT(ISERROR(SEARCH("open",R258)))</formula>
    </cfRule>
  </conditionalFormatting>
  <conditionalFormatting sqref="R262 T262">
    <cfRule type="containsText" dxfId="1434" priority="45" operator="containsText" text="close">
      <formula>NOT(ISERROR(SEARCH("close",R262)))</formula>
    </cfRule>
    <cfRule type="containsText" dxfId="1433" priority="46" operator="containsText" text="open">
      <formula>NOT(ISERROR(SEARCH("open",R262)))</formula>
    </cfRule>
  </conditionalFormatting>
  <conditionalFormatting sqref="T264 R264">
    <cfRule type="containsText" dxfId="1432" priority="33" operator="containsText" text="close">
      <formula>NOT(ISERROR(SEARCH("close",R264)))</formula>
    </cfRule>
    <cfRule type="containsText" dxfId="1431" priority="34" operator="containsText" text="open">
      <formula>NOT(ISERROR(SEARCH("open",R264)))</formula>
    </cfRule>
  </conditionalFormatting>
  <conditionalFormatting sqref="T263 R263">
    <cfRule type="containsText" dxfId="1430" priority="35" operator="containsText" text="close">
      <formula>NOT(ISERROR(SEARCH("close",R263)))</formula>
    </cfRule>
    <cfRule type="containsText" dxfId="1429" priority="36" operator="containsText" text="open">
      <formula>NOT(ISERROR(SEARCH("open",R263)))</formula>
    </cfRule>
  </conditionalFormatting>
  <conditionalFormatting sqref="T265 R265">
    <cfRule type="containsText" dxfId="1428" priority="31" operator="containsText" text="close">
      <formula>NOT(ISERROR(SEARCH("close",R265)))</formula>
    </cfRule>
    <cfRule type="containsText" dxfId="1427" priority="32" operator="containsText" text="open">
      <formula>NOT(ISERROR(SEARCH("open",R265)))</formula>
    </cfRule>
  </conditionalFormatting>
  <conditionalFormatting sqref="T266 R266">
    <cfRule type="containsText" dxfId="1426" priority="29" operator="containsText" text="close">
      <formula>NOT(ISERROR(SEARCH("close",R266)))</formula>
    </cfRule>
    <cfRule type="containsText" dxfId="1425" priority="30" operator="containsText" text="open">
      <formula>NOT(ISERROR(SEARCH("open",R266)))</formula>
    </cfRule>
  </conditionalFormatting>
  <conditionalFormatting sqref="T112">
    <cfRule type="containsText" dxfId="1424" priority="27" operator="containsText" text="close">
      <formula>NOT(ISERROR(SEARCH("close",T112)))</formula>
    </cfRule>
    <cfRule type="containsText" dxfId="1423" priority="28" operator="containsText" text="open">
      <formula>NOT(ISERROR(SEARCH("open",T112)))</formula>
    </cfRule>
  </conditionalFormatting>
  <conditionalFormatting sqref="R112">
    <cfRule type="containsText" dxfId="1422" priority="25" operator="containsText" text="close">
      <formula>NOT(ISERROR(SEARCH("close",R112)))</formula>
    </cfRule>
    <cfRule type="containsText" dxfId="1421" priority="26" operator="containsText" text="open">
      <formula>NOT(ISERROR(SEARCH("open",R112)))</formula>
    </cfRule>
  </conditionalFormatting>
  <conditionalFormatting sqref="T243 R243">
    <cfRule type="containsText" dxfId="1420" priority="23" operator="containsText" text="close">
      <formula>NOT(ISERROR(SEARCH("close",R243)))</formula>
    </cfRule>
    <cfRule type="containsText" dxfId="1419" priority="24" operator="containsText" text="open">
      <formula>NOT(ISERROR(SEARCH("open",R243)))</formula>
    </cfRule>
  </conditionalFormatting>
  <conditionalFormatting sqref="T85">
    <cfRule type="containsText" dxfId="1418" priority="21" operator="containsText" text="close">
      <formula>NOT(ISERROR(SEARCH("close",T85)))</formula>
    </cfRule>
    <cfRule type="containsText" dxfId="1417" priority="22" operator="containsText" text="open">
      <formula>NOT(ISERROR(SEARCH("open",T85)))</formula>
    </cfRule>
  </conditionalFormatting>
  <conditionalFormatting sqref="R85">
    <cfRule type="containsText" dxfId="1416" priority="19" operator="containsText" text="close">
      <formula>NOT(ISERROR(SEARCH("close",R85)))</formula>
    </cfRule>
    <cfRule type="containsText" dxfId="1415" priority="20" operator="containsText" text="open">
      <formula>NOT(ISERROR(SEARCH("open",R85)))</formula>
    </cfRule>
  </conditionalFormatting>
  <conditionalFormatting sqref="T254">
    <cfRule type="containsText" dxfId="1414" priority="17" operator="containsText" text="close">
      <formula>NOT(ISERROR(SEARCH("close",T254)))</formula>
    </cfRule>
    <cfRule type="containsText" dxfId="1413" priority="18" operator="containsText" text="open">
      <formula>NOT(ISERROR(SEARCH("open",T254)))</formula>
    </cfRule>
  </conditionalFormatting>
  <conditionalFormatting sqref="R254">
    <cfRule type="containsText" dxfId="1412" priority="15" operator="containsText" text="close">
      <formula>NOT(ISERROR(SEARCH("close",R254)))</formula>
    </cfRule>
    <cfRule type="containsText" dxfId="1411" priority="16" operator="containsText" text="open">
      <formula>NOT(ISERROR(SEARCH("open",R254)))</formula>
    </cfRule>
  </conditionalFormatting>
  <conditionalFormatting sqref="T231 R231">
    <cfRule type="containsText" dxfId="1410" priority="13" operator="containsText" text="close">
      <formula>NOT(ISERROR(SEARCH("close",R231)))</formula>
    </cfRule>
    <cfRule type="containsText" dxfId="1409" priority="14" operator="containsText" text="open">
      <formula>NOT(ISERROR(SEARCH("open",R231)))</formula>
    </cfRule>
  </conditionalFormatting>
  <conditionalFormatting sqref="T269 R269">
    <cfRule type="containsText" dxfId="1408" priority="5" operator="containsText" text="close">
      <formula>NOT(ISERROR(SEARCH("close",R269)))</formula>
    </cfRule>
    <cfRule type="containsText" dxfId="1407" priority="6" operator="containsText" text="open">
      <formula>NOT(ISERROR(SEARCH("open",R269)))</formula>
    </cfRule>
  </conditionalFormatting>
  <dataValidations count="3">
    <dataValidation type="list" allowBlank="1" showInputMessage="1" showErrorMessage="1" sqref="D5:D367">
      <formula1>State</formula1>
    </dataValidation>
    <dataValidation type="list" allowBlank="1" showInputMessage="1" showErrorMessage="1" sqref="F5:F367">
      <formula1>OFFSET(TCL_T1,MATCH(E5,TCL_T,0)-1,1,COUNTIF(TCL_T,E5),1)</formula1>
    </dataValidation>
    <dataValidation type="list" showInputMessage="1" showErrorMessage="1" sqref="E5:E367">
      <formula1>INDIRECT(D5)</formula1>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Definition!$S$2:$S$3</xm:f>
          </x14:formula1>
          <xm:sqref>V250 V254:V257 V259:V262 V267:V346 V5:V248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G102"/>
  <sheetViews>
    <sheetView showZeros="0" zoomScale="80" zoomScaleNormal="80" workbookViewId="0">
      <pane ySplit="2" topLeftCell="A3" activePane="bottomLeft" state="frozen"/>
      <selection activeCell="AS915" sqref="AS915"/>
      <selection pane="bottomLeft" activeCell="E11" sqref="E11"/>
    </sheetView>
  </sheetViews>
  <sheetFormatPr defaultRowHeight="15" x14ac:dyDescent="0.25"/>
  <cols>
    <col min="1" max="2" width="18.85546875" customWidth="1"/>
    <col min="3" max="3" width="17.85546875" customWidth="1"/>
    <col min="4" max="4" width="13.7109375" customWidth="1"/>
    <col min="5" max="5" width="12.140625" customWidth="1"/>
    <col min="6" max="6" width="14" customWidth="1"/>
    <col min="7" max="7" width="14.42578125" customWidth="1"/>
    <col min="8" max="9" width="18.85546875" customWidth="1"/>
    <col min="10" max="10" width="11.7109375" customWidth="1"/>
    <col min="11" max="11" width="11.85546875" customWidth="1"/>
    <col min="12" max="12" width="18.42578125" customWidth="1"/>
    <col min="13" max="13" width="11.7109375" customWidth="1"/>
    <col min="14" max="14" width="8.85546875" customWidth="1"/>
    <col min="15" max="15" width="12.42578125" style="38" customWidth="1"/>
    <col min="16" max="16" width="12.140625" hidden="1" customWidth="1"/>
    <col min="17" max="17" width="12.42578125" customWidth="1"/>
  </cols>
  <sheetData>
    <row r="1" spans="1:59" s="1" customFormat="1" ht="36" x14ac:dyDescent="0.25">
      <c r="A1" s="231"/>
      <c r="B1" s="232"/>
      <c r="C1" s="232"/>
      <c r="D1" s="232"/>
      <c r="E1" s="232"/>
      <c r="F1" s="232"/>
      <c r="G1" s="232"/>
      <c r="H1" s="232"/>
      <c r="I1" s="232"/>
      <c r="J1" s="232"/>
      <c r="K1" s="232"/>
      <c r="L1" s="232"/>
      <c r="M1" s="232"/>
      <c r="N1" s="232"/>
      <c r="O1" s="233"/>
      <c r="P1" s="45"/>
      <c r="Q1" s="38"/>
      <c r="R1" s="38"/>
      <c r="S1" s="38"/>
      <c r="T1" s="38"/>
      <c r="U1" s="38"/>
      <c r="BF1" s="46"/>
      <c r="BG1" s="46"/>
    </row>
    <row r="2" spans="1:59" s="1" customFormat="1" ht="36" x14ac:dyDescent="0.25">
      <c r="A2" s="845" t="s">
        <v>425</v>
      </c>
      <c r="B2" s="846"/>
      <c r="C2" s="846"/>
      <c r="D2" s="45"/>
      <c r="E2" s="45"/>
      <c r="F2" s="45"/>
      <c r="G2" s="45"/>
      <c r="H2" s="45"/>
      <c r="I2" s="45"/>
      <c r="J2" s="45"/>
      <c r="K2" s="45"/>
      <c r="L2" s="45"/>
      <c r="M2" s="45"/>
      <c r="N2" s="45"/>
      <c r="O2" s="243"/>
      <c r="P2" s="45"/>
      <c r="Q2" s="38"/>
      <c r="R2" s="38"/>
      <c r="S2" s="38"/>
      <c r="T2" s="38"/>
      <c r="U2" s="38"/>
      <c r="BF2" s="46"/>
      <c r="BG2" s="46"/>
    </row>
    <row r="3" spans="1:59" s="15" customFormat="1" ht="36" x14ac:dyDescent="0.25">
      <c r="A3" s="244">
        <f>Definition!B23</f>
        <v>42675</v>
      </c>
      <c r="B3" s="245"/>
      <c r="C3" s="245"/>
      <c r="D3" s="246"/>
      <c r="E3" s="246"/>
      <c r="F3" s="246"/>
      <c r="G3" s="246"/>
      <c r="H3" s="246"/>
      <c r="I3" s="246"/>
      <c r="J3" s="246"/>
      <c r="K3" s="247"/>
      <c r="L3" s="246"/>
      <c r="M3" s="246"/>
      <c r="N3" s="246"/>
      <c r="O3" s="248"/>
      <c r="P3" s="33"/>
      <c r="Q3" s="33"/>
      <c r="R3" s="33"/>
      <c r="S3" s="47"/>
      <c r="T3" s="33"/>
      <c r="U3" s="33"/>
      <c r="BF3" s="47"/>
      <c r="BG3" s="47"/>
    </row>
    <row r="4" spans="1:59" x14ac:dyDescent="0.25">
      <c r="P4" s="25"/>
    </row>
    <row r="5" spans="1:59" ht="31.5" x14ac:dyDescent="0.5">
      <c r="A5" s="42" t="s">
        <v>380</v>
      </c>
      <c r="B5" s="43"/>
      <c r="C5" s="43"/>
      <c r="D5" s="43"/>
      <c r="E5" s="43"/>
      <c r="F5" s="43"/>
      <c r="G5" s="43"/>
      <c r="H5" s="43"/>
      <c r="I5" s="43"/>
      <c r="J5" s="43"/>
      <c r="K5" s="43"/>
      <c r="L5" s="43"/>
      <c r="M5" s="43"/>
      <c r="N5" s="43"/>
      <c r="O5" s="43"/>
      <c r="P5" s="25"/>
    </row>
    <row r="6" spans="1:59" ht="38.25" x14ac:dyDescent="0.25">
      <c r="A6" s="6" t="s">
        <v>0</v>
      </c>
      <c r="B6" s="6" t="s">
        <v>839</v>
      </c>
      <c r="C6" s="6" t="s">
        <v>840</v>
      </c>
      <c r="D6" s="6" t="s">
        <v>429</v>
      </c>
      <c r="E6" s="6" t="s">
        <v>423</v>
      </c>
      <c r="F6" s="6" t="s">
        <v>424</v>
      </c>
      <c r="G6" s="6" t="s">
        <v>422</v>
      </c>
      <c r="H6" s="6" t="s">
        <v>430</v>
      </c>
      <c r="I6" s="6" t="s">
        <v>431</v>
      </c>
      <c r="J6" s="6" t="s">
        <v>432</v>
      </c>
      <c r="K6" s="6" t="s">
        <v>433</v>
      </c>
      <c r="L6" s="6" t="s">
        <v>428</v>
      </c>
      <c r="M6" s="11" t="s">
        <v>503</v>
      </c>
      <c r="N6" s="11" t="s">
        <v>502</v>
      </c>
      <c r="O6" s="11" t="s">
        <v>504</v>
      </c>
      <c r="P6" s="25"/>
    </row>
    <row r="7" spans="1:59" x14ac:dyDescent="0.25">
      <c r="A7" s="18" t="s">
        <v>5</v>
      </c>
      <c r="B7" s="24">
        <f>SUMIFS(Camplist_HH,Camplist_Township,'Shelter Progress'!$A7,Camplist_Type_Of_Acc,"Camp")</f>
        <v>1273</v>
      </c>
      <c r="C7" s="24">
        <f>SUMIFS(Camplist_Popl,Camplist_Township,'Shelter Progress'!$A7,Camplist_Type_Of_Acc,"Camp")</f>
        <v>7140</v>
      </c>
      <c r="D7" s="40">
        <f>SUMIF(Col_Shelter_Township,$A7,Col_Shelter_Tent_Dist)</f>
        <v>0</v>
      </c>
      <c r="E7" s="40">
        <f>SUMIF(Col_Shelter_Township,$A7,Col_Shelter_Temp_B)</f>
        <v>1043</v>
      </c>
      <c r="F7" s="40">
        <f>SUMIF(Col_Shelter_Township,$A7,Col_Shelter_Temp_U)</f>
        <v>0</v>
      </c>
      <c r="G7" s="40">
        <f>SUMIF(Col_Shelter_Township,$A7,Col_Shelter_Temp_P)</f>
        <v>1075</v>
      </c>
      <c r="H7" s="40">
        <f>SUMIF(Col_Shelter_Township,$A7,Col_Shelter_Perm_B)</f>
        <v>0</v>
      </c>
      <c r="I7" s="40">
        <f t="shared" ref="I7:I28" si="0">SUMIF(Col_Shelter_Township,$A7,Col_Shelter_Perm_U)</f>
        <v>0</v>
      </c>
      <c r="J7" s="40">
        <f t="shared" ref="J7:J28" si="1">SUMIF(Col_Shelter_Township,$A7,Col_Shelter_Perm_P)</f>
        <v>0</v>
      </c>
      <c r="K7" s="40">
        <f>SUMIF(Col_Shelter_Township,$A7,Shelter_HH_Covered)</f>
        <v>1043</v>
      </c>
      <c r="L7" s="447">
        <f>K7*P7</f>
        <v>5849.9764336213666</v>
      </c>
      <c r="M7" s="272">
        <f>B7-K7</f>
        <v>230</v>
      </c>
      <c r="N7" s="273">
        <f>IF(IFERROR(K7/B7,0)&gt;1,1,IFERROR(K7/B7,0))</f>
        <v>0.81932443047918302</v>
      </c>
      <c r="O7" s="274">
        <f>MAX(0,C7-L7)</f>
        <v>1290.0235663786334</v>
      </c>
      <c r="P7" s="25">
        <f>IF(B7=0,5,C7/B7)</f>
        <v>5.6087981146897095</v>
      </c>
    </row>
    <row r="8" spans="1:59" x14ac:dyDescent="0.25">
      <c r="A8" s="18" t="s">
        <v>27</v>
      </c>
      <c r="B8" s="24">
        <f>SUMIFS(Camplist_HH,Camplist_Township,'Shelter Progress'!$A8,Camplist_Type_Of_Acc,"Camp")</f>
        <v>501</v>
      </c>
      <c r="C8" s="24">
        <f>SUMIFS(Camplist_Popl,Camplist_Township,'Shelter Progress'!$A8,Camplist_Type_Of_Acc,"Camp")</f>
        <v>2628</v>
      </c>
      <c r="D8" s="40">
        <f t="shared" ref="D8:D28" si="2">SUMIF(Col_Shelter_Township,$A8,Col_Shelter_Tent_Dist)</f>
        <v>0</v>
      </c>
      <c r="E8" s="40">
        <f t="shared" ref="E8:E28" si="3">SUMIF(Col_Shelter_Township,$A8,Col_Shelter_Temp_B)</f>
        <v>180</v>
      </c>
      <c r="F8" s="40">
        <f t="shared" ref="F8:F28" si="4">SUMIF(Col_Shelter_Township,$A8,Col_Shelter_Temp_U)</f>
        <v>0</v>
      </c>
      <c r="G8" s="40">
        <f>SUMIF(Col_Shelter_Township,$A8,Col_Shelter_Temp_P)</f>
        <v>205</v>
      </c>
      <c r="H8" s="40">
        <f t="shared" ref="H8:H28" si="5">SUMIF(Col_Shelter_Township,$A8,Col_Shelter_Perm_B)</f>
        <v>0</v>
      </c>
      <c r="I8" s="40">
        <f t="shared" si="0"/>
        <v>0</v>
      </c>
      <c r="J8" s="40">
        <f t="shared" si="1"/>
        <v>0</v>
      </c>
      <c r="K8" s="40">
        <f t="shared" ref="K8:K28" si="6">SUMIF(Col_Shelter_Township,$A8,Shelter_HH_Covered)</f>
        <v>180</v>
      </c>
      <c r="L8" s="447">
        <f t="shared" ref="L8:L27" si="7">K8*P8</f>
        <v>944.19161676646706</v>
      </c>
      <c r="M8" s="272">
        <f t="shared" ref="M8:M14" si="8">B8-K8</f>
        <v>321</v>
      </c>
      <c r="N8" s="273">
        <f t="shared" ref="N8:N20" si="9">IF(IFERROR(K8/B8,0)&gt;1,1,IFERROR(K8/B8,0))</f>
        <v>0.3592814371257485</v>
      </c>
      <c r="O8" s="274">
        <f>MAX(0,C8-L8)</f>
        <v>1683.8083832335328</v>
      </c>
      <c r="P8" s="25">
        <f t="shared" ref="P8:P28" si="10">IF(B8=0,5,C8/B8)</f>
        <v>5.2455089820359282</v>
      </c>
    </row>
    <row r="9" spans="1:59" x14ac:dyDescent="0.25">
      <c r="A9" s="275" t="s">
        <v>527</v>
      </c>
      <c r="B9" s="24">
        <f>SUMIFS(Camplist_HH,Camplist_Township,'Shelter Progress'!$A9,Camplist_Type_Of_Acc,"Camp")</f>
        <v>802</v>
      </c>
      <c r="C9" s="24">
        <f>SUMIFS(Camplist_Popl,Camplist_Township,'Shelter Progress'!$A9,Camplist_Type_Of_Acc,"Camp")</f>
        <v>3766</v>
      </c>
      <c r="D9" s="40">
        <f t="shared" si="2"/>
        <v>228</v>
      </c>
      <c r="E9" s="40">
        <f t="shared" si="3"/>
        <v>548</v>
      </c>
      <c r="F9" s="40">
        <f t="shared" si="4"/>
        <v>0</v>
      </c>
      <c r="G9" s="40">
        <f>SUMIF(Col_Shelter_Township,$A9,Col_Shelter_Temp_P)</f>
        <v>557</v>
      </c>
      <c r="H9" s="40">
        <f t="shared" si="5"/>
        <v>0</v>
      </c>
      <c r="I9" s="40">
        <f t="shared" si="0"/>
        <v>0</v>
      </c>
      <c r="J9" s="40">
        <f t="shared" si="1"/>
        <v>0</v>
      </c>
      <c r="K9" s="40">
        <f t="shared" si="6"/>
        <v>428</v>
      </c>
      <c r="L9" s="447">
        <f t="shared" si="7"/>
        <v>2009.785536159601</v>
      </c>
      <c r="M9" s="272">
        <f>B9-K9</f>
        <v>374</v>
      </c>
      <c r="N9" s="273">
        <f t="shared" si="9"/>
        <v>0.53366583541147128</v>
      </c>
      <c r="O9" s="274">
        <f>MAX(0,C9-L9)</f>
        <v>1756.214463840399</v>
      </c>
      <c r="P9" s="25">
        <f t="shared" si="10"/>
        <v>4.6957605985037407</v>
      </c>
    </row>
    <row r="10" spans="1:59" x14ac:dyDescent="0.25">
      <c r="A10" s="18" t="s">
        <v>779</v>
      </c>
      <c r="B10" s="24">
        <f>SUMIFS(Camplist_HH,Camplist_Township,'Shelter Progress'!$A10,Camplist_Type_Of_Acc,"Camp")</f>
        <v>58</v>
      </c>
      <c r="C10" s="24">
        <f>SUMIFS(Camplist_Popl,Camplist_Township,'Shelter Progress'!$A10,Camplist_Type_Of_Acc,"Camp")</f>
        <v>280</v>
      </c>
      <c r="D10" s="40">
        <f t="shared" si="2"/>
        <v>0</v>
      </c>
      <c r="E10" s="40">
        <f t="shared" si="3"/>
        <v>35</v>
      </c>
      <c r="F10" s="40">
        <f>SUMIF(Col_Shelter_Township,$A10,Col_Shelter_Temp_U)</f>
        <v>0</v>
      </c>
      <c r="G10" s="40">
        <f t="shared" ref="G10:G27" si="11">SUMIF(Col_Shelter_Township,$A10,Col_Shelter_Temp_P)</f>
        <v>35</v>
      </c>
      <c r="H10" s="40">
        <f t="shared" si="5"/>
        <v>0</v>
      </c>
      <c r="I10" s="40">
        <f t="shared" si="0"/>
        <v>0</v>
      </c>
      <c r="J10" s="40">
        <f t="shared" si="1"/>
        <v>0</v>
      </c>
      <c r="K10" s="40">
        <f t="shared" si="6"/>
        <v>35</v>
      </c>
      <c r="L10" s="447">
        <f t="shared" si="7"/>
        <v>168.9655172413793</v>
      </c>
      <c r="M10" s="272">
        <f t="shared" si="8"/>
        <v>23</v>
      </c>
      <c r="N10" s="273">
        <f t="shared" si="9"/>
        <v>0.60344827586206895</v>
      </c>
      <c r="O10" s="274">
        <f t="shared" ref="O10:O19" si="12">MAX(0,C10-L10)</f>
        <v>111.0344827586207</v>
      </c>
      <c r="P10" s="25">
        <f t="shared" si="10"/>
        <v>4.8275862068965516</v>
      </c>
    </row>
    <row r="11" spans="1:59" s="333" customFormat="1" x14ac:dyDescent="0.25">
      <c r="A11" s="18" t="s">
        <v>1621</v>
      </c>
      <c r="B11" s="24">
        <f>SUMIFS(Camplist_HH,Camplist_Township,'Shelter Progress'!$A11,Camplist_Type_Of_Acc,"Camp")</f>
        <v>37</v>
      </c>
      <c r="C11" s="24">
        <f>SUMIFS(Camplist_Popl,Camplist_Township,'Shelter Progress'!$A11,Camplist_Type_Of_Acc,"Camp")</f>
        <v>120</v>
      </c>
      <c r="D11" s="40">
        <f t="shared" si="2"/>
        <v>0</v>
      </c>
      <c r="E11" s="40">
        <f t="shared" si="3"/>
        <v>0</v>
      </c>
      <c r="F11" s="40">
        <f>SUMIF(Col_Shelter_Township,$A11,Col_Shelter_Temp_U)</f>
        <v>0</v>
      </c>
      <c r="G11" s="40">
        <f t="shared" si="11"/>
        <v>0</v>
      </c>
      <c r="H11" s="40">
        <f t="shared" si="5"/>
        <v>0</v>
      </c>
      <c r="I11" s="40">
        <f t="shared" si="0"/>
        <v>0</v>
      </c>
      <c r="J11" s="40">
        <f t="shared" si="1"/>
        <v>0</v>
      </c>
      <c r="K11" s="40">
        <f t="shared" si="6"/>
        <v>0</v>
      </c>
      <c r="L11" s="447">
        <f t="shared" ref="L11" si="13">K11*P11</f>
        <v>0</v>
      </c>
      <c r="M11" s="272">
        <f t="shared" si="8"/>
        <v>37</v>
      </c>
      <c r="N11" s="273">
        <f t="shared" si="9"/>
        <v>0</v>
      </c>
      <c r="O11" s="274">
        <f t="shared" si="12"/>
        <v>120</v>
      </c>
      <c r="P11" s="25"/>
    </row>
    <row r="12" spans="1:59" x14ac:dyDescent="0.25">
      <c r="A12" s="16" t="s">
        <v>363</v>
      </c>
      <c r="B12" s="24">
        <f>SUMIFS(Camplist_HH,Camplist_Township,'Shelter Progress'!$A12,Camplist_Type_Of_Acc,"Camp")</f>
        <v>0</v>
      </c>
      <c r="C12" s="24">
        <f>SUMIFS(Camplist_Popl,Camplist_Township,'Shelter Progress'!$A12,Camplist_Type_Of_Acc,"Camp")</f>
        <v>0</v>
      </c>
      <c r="D12" s="40">
        <f t="shared" si="2"/>
        <v>0</v>
      </c>
      <c r="E12" s="40">
        <f t="shared" si="3"/>
        <v>0</v>
      </c>
      <c r="F12" s="40">
        <f t="shared" si="4"/>
        <v>0</v>
      </c>
      <c r="G12" s="40">
        <f t="shared" si="11"/>
        <v>0</v>
      </c>
      <c r="H12" s="40">
        <f t="shared" si="5"/>
        <v>0</v>
      </c>
      <c r="I12" s="40">
        <f t="shared" si="0"/>
        <v>0</v>
      </c>
      <c r="J12" s="40">
        <f t="shared" si="1"/>
        <v>0</v>
      </c>
      <c r="K12" s="40">
        <f t="shared" si="6"/>
        <v>0</v>
      </c>
      <c r="L12" s="447">
        <f t="shared" si="7"/>
        <v>0</v>
      </c>
      <c r="M12" s="272">
        <f t="shared" si="8"/>
        <v>0</v>
      </c>
      <c r="N12" s="273">
        <f>IF(IFERROR(K12/B12,0)&gt;1,1,IFERROR(K12/B12,0))</f>
        <v>0</v>
      </c>
      <c r="O12" s="274">
        <f t="shared" si="12"/>
        <v>0</v>
      </c>
      <c r="P12" s="25">
        <f t="shared" si="10"/>
        <v>5</v>
      </c>
    </row>
    <row r="13" spans="1:59" x14ac:dyDescent="0.25">
      <c r="A13" s="18" t="s">
        <v>144</v>
      </c>
      <c r="B13" s="24">
        <f>SUMIFS(Camplist_HH,Camplist_Township,'Shelter Progress'!$A13,Camplist_Type_Of_Acc,"Camp")</f>
        <v>0</v>
      </c>
      <c r="C13" s="24">
        <f>SUMIFS(Camplist_Popl,Camplist_Township,'Shelter Progress'!$A13,Camplist_Type_Of_Acc,"Camp")</f>
        <v>0</v>
      </c>
      <c r="D13" s="40">
        <f t="shared" si="2"/>
        <v>0</v>
      </c>
      <c r="E13" s="40">
        <f t="shared" si="3"/>
        <v>0</v>
      </c>
      <c r="F13" s="40">
        <f t="shared" si="4"/>
        <v>0</v>
      </c>
      <c r="G13" s="40">
        <f t="shared" si="11"/>
        <v>0</v>
      </c>
      <c r="H13" s="40">
        <f t="shared" si="5"/>
        <v>0</v>
      </c>
      <c r="I13" s="40">
        <f t="shared" si="0"/>
        <v>0</v>
      </c>
      <c r="J13" s="40">
        <f t="shared" si="1"/>
        <v>0</v>
      </c>
      <c r="K13" s="40">
        <f t="shared" si="6"/>
        <v>0</v>
      </c>
      <c r="L13" s="447">
        <f t="shared" si="7"/>
        <v>0</v>
      </c>
      <c r="M13" s="272">
        <f t="shared" si="8"/>
        <v>0</v>
      </c>
      <c r="N13" s="273">
        <f>IF(IFERROR(K13/B13,0)&gt;1,1,IFERROR(K13/B13,0))</f>
        <v>0</v>
      </c>
      <c r="O13" s="274">
        <f>MAX(0,C13-L13)</f>
        <v>0</v>
      </c>
      <c r="P13" s="25">
        <f t="shared" si="10"/>
        <v>5</v>
      </c>
    </row>
    <row r="14" spans="1:59" x14ac:dyDescent="0.25">
      <c r="A14" s="18" t="s">
        <v>146</v>
      </c>
      <c r="B14" s="24">
        <f>SUMIFS(Camplist_HH,Camplist_Township,'Shelter Progress'!$A14,Camplist_Type_Of_Acc,"Camp")</f>
        <v>1030</v>
      </c>
      <c r="C14" s="24">
        <f>SUMIFS(Camplist_Popl,Camplist_Township,'Shelter Progress'!$A14,Camplist_Type_Of_Acc,"Camp")</f>
        <v>5032</v>
      </c>
      <c r="D14" s="40">
        <f t="shared" si="2"/>
        <v>0</v>
      </c>
      <c r="E14" s="40">
        <f t="shared" si="3"/>
        <v>444</v>
      </c>
      <c r="F14" s="40">
        <f t="shared" si="4"/>
        <v>0</v>
      </c>
      <c r="G14" s="40">
        <f>SUMIF(Col_Shelter_Township,$A14,Col_Shelter_Temp_P)</f>
        <v>444</v>
      </c>
      <c r="H14" s="40">
        <f t="shared" si="5"/>
        <v>0</v>
      </c>
      <c r="I14" s="40">
        <f t="shared" si="0"/>
        <v>0</v>
      </c>
      <c r="J14" s="40">
        <f t="shared" si="1"/>
        <v>0</v>
      </c>
      <c r="K14" s="40">
        <f t="shared" si="6"/>
        <v>444</v>
      </c>
      <c r="L14" s="447">
        <f t="shared" si="7"/>
        <v>2169.1339805825241</v>
      </c>
      <c r="M14" s="272">
        <f t="shared" si="8"/>
        <v>586</v>
      </c>
      <c r="N14" s="273">
        <f t="shared" si="9"/>
        <v>0.43106796116504853</v>
      </c>
      <c r="O14" s="274">
        <f>MAX(0,C14-L14)</f>
        <v>2862.8660194174759</v>
      </c>
      <c r="P14" s="25">
        <f t="shared" si="10"/>
        <v>4.8854368932038836</v>
      </c>
    </row>
    <row r="15" spans="1:59" x14ac:dyDescent="0.25">
      <c r="A15" s="18" t="s">
        <v>892</v>
      </c>
      <c r="B15" s="24">
        <f>SUMIFS(Camplist_HH,Camplist_Township,'Shelter Progress'!$A15,Camplist_Type_Of_Acc,"Camp")</f>
        <v>0</v>
      </c>
      <c r="C15" s="24">
        <f>SUMIFS(Camplist_Popl,Camplist_Township,'Shelter Progress'!$A15,Camplist_Type_Of_Acc,"Camp")</f>
        <v>0</v>
      </c>
      <c r="D15" s="40">
        <f t="shared" si="2"/>
        <v>0</v>
      </c>
      <c r="E15" s="40">
        <f t="shared" si="3"/>
        <v>0</v>
      </c>
      <c r="F15" s="40">
        <f t="shared" si="4"/>
        <v>0</v>
      </c>
      <c r="G15" s="40">
        <f t="shared" si="11"/>
        <v>0</v>
      </c>
      <c r="H15" s="40">
        <f t="shared" si="5"/>
        <v>0</v>
      </c>
      <c r="I15" s="40">
        <f t="shared" si="0"/>
        <v>0</v>
      </c>
      <c r="J15" s="40">
        <f t="shared" si="1"/>
        <v>0</v>
      </c>
      <c r="K15" s="40">
        <f t="shared" si="6"/>
        <v>0</v>
      </c>
      <c r="L15" s="447">
        <f t="shared" si="7"/>
        <v>0</v>
      </c>
      <c r="M15" s="272">
        <f t="shared" ref="M15:M28" si="14">B15-K15</f>
        <v>0</v>
      </c>
      <c r="N15" s="273">
        <f t="shared" si="9"/>
        <v>0</v>
      </c>
      <c r="O15" s="274">
        <f>MAX(0,C15-L15)</f>
        <v>0</v>
      </c>
      <c r="P15" s="25">
        <f t="shared" si="10"/>
        <v>5</v>
      </c>
    </row>
    <row r="16" spans="1:59" x14ac:dyDescent="0.25">
      <c r="A16" s="18" t="s">
        <v>151</v>
      </c>
      <c r="B16" s="24">
        <f>SUMIFS(Camplist_HH,Camplist_Township,'Shelter Progress'!$A16,Camplist_Type_Of_Acc,"Camp")</f>
        <v>2470</v>
      </c>
      <c r="C16" s="24">
        <f>SUMIFS(Camplist_Popl,Camplist_Township,'Shelter Progress'!$A16,Camplist_Type_Of_Acc,"Camp")</f>
        <v>11453</v>
      </c>
      <c r="D16" s="40">
        <f t="shared" si="2"/>
        <v>400</v>
      </c>
      <c r="E16" s="40">
        <f t="shared" si="3"/>
        <v>1862</v>
      </c>
      <c r="F16" s="40">
        <f t="shared" si="4"/>
        <v>40</v>
      </c>
      <c r="G16" s="40">
        <f>SUMIF(Col_Shelter_Township,$A16,Col_Shelter_Temp_P)</f>
        <v>2229</v>
      </c>
      <c r="H16" s="40">
        <f t="shared" si="5"/>
        <v>0</v>
      </c>
      <c r="I16" s="40">
        <f t="shared" si="0"/>
        <v>0</v>
      </c>
      <c r="J16" s="40">
        <f t="shared" si="1"/>
        <v>0</v>
      </c>
      <c r="K16" s="40">
        <f>SUMIF(Col_Shelter_Township,$A16,Shelter_HH_Covered)</f>
        <v>1462</v>
      </c>
      <c r="L16" s="447">
        <f t="shared" si="7"/>
        <v>6779.0631578947368</v>
      </c>
      <c r="M16" s="272">
        <f t="shared" si="14"/>
        <v>1008</v>
      </c>
      <c r="N16" s="273">
        <f>IF(IFERROR(K16/B16,0)&gt;1,1,IFERROR(K16/B16,0))</f>
        <v>0.59190283400809718</v>
      </c>
      <c r="O16" s="274">
        <f>MAX(0,C16-L16)</f>
        <v>4673.9368421052632</v>
      </c>
      <c r="P16" s="25">
        <f>IF(B16=0,5,C16/B16)</f>
        <v>4.6368421052631579</v>
      </c>
    </row>
    <row r="17" spans="1:16" x14ac:dyDescent="0.25">
      <c r="A17" s="18" t="s">
        <v>166</v>
      </c>
      <c r="B17" s="24">
        <f>SUMIFS(Camplist_HH,Camplist_Township,'Shelter Progress'!$A17,Camplist_Type_Of_Acc,"Camp")</f>
        <v>101</v>
      </c>
      <c r="C17" s="24">
        <f>SUMIFS(Camplist_Popl,Camplist_Township,'Shelter Progress'!$A17,Camplist_Type_Of_Acc,"Camp")</f>
        <v>539</v>
      </c>
      <c r="D17" s="40">
        <f t="shared" si="2"/>
        <v>0</v>
      </c>
      <c r="E17" s="40">
        <f t="shared" si="3"/>
        <v>80</v>
      </c>
      <c r="F17" s="40">
        <f t="shared" si="4"/>
        <v>0</v>
      </c>
      <c r="G17" s="40">
        <f>SUMIF(Col_Shelter_Township,$A17,Col_Shelter_Temp_P)</f>
        <v>80</v>
      </c>
      <c r="H17" s="40">
        <f t="shared" si="5"/>
        <v>0</v>
      </c>
      <c r="I17" s="40">
        <f t="shared" si="0"/>
        <v>0</v>
      </c>
      <c r="J17" s="40">
        <f t="shared" si="1"/>
        <v>0</v>
      </c>
      <c r="K17" s="40">
        <f t="shared" si="6"/>
        <v>80</v>
      </c>
      <c r="L17" s="447">
        <f t="shared" si="7"/>
        <v>426.93069306930693</v>
      </c>
      <c r="M17" s="272">
        <f>B17-K17</f>
        <v>21</v>
      </c>
      <c r="N17" s="273">
        <f t="shared" si="9"/>
        <v>0.79207920792079212</v>
      </c>
      <c r="O17" s="274">
        <f>MAX(0,C17-L17)</f>
        <v>112.06930693069307</v>
      </c>
      <c r="P17" s="25">
        <f t="shared" si="10"/>
        <v>5.3366336633663369</v>
      </c>
    </row>
    <row r="18" spans="1:16" x14ac:dyDescent="0.25">
      <c r="A18" s="18" t="s">
        <v>173</v>
      </c>
      <c r="B18" s="24">
        <f>SUMIFS(Camplist_HH,Camplist_Township,'Shelter Progress'!$A18,Camplist_Type_Of_Acc,"Camp")</f>
        <v>70</v>
      </c>
      <c r="C18" s="24">
        <f>SUMIFS(Camplist_Popl,Camplist_Township,'Shelter Progress'!$A18,Camplist_Type_Of_Acc,"Camp")</f>
        <v>321</v>
      </c>
      <c r="D18" s="40">
        <f t="shared" si="2"/>
        <v>0</v>
      </c>
      <c r="E18" s="40">
        <f t="shared" si="3"/>
        <v>80</v>
      </c>
      <c r="F18" s="40">
        <f t="shared" si="4"/>
        <v>0</v>
      </c>
      <c r="G18" s="40">
        <f>SUMIF(Col_Shelter_Township,$A18,Col_Shelter_Temp_P)</f>
        <v>80</v>
      </c>
      <c r="H18" s="40">
        <f t="shared" si="5"/>
        <v>0</v>
      </c>
      <c r="I18" s="40">
        <f t="shared" si="0"/>
        <v>0</v>
      </c>
      <c r="J18" s="40">
        <f t="shared" si="1"/>
        <v>0</v>
      </c>
      <c r="K18" s="40">
        <f t="shared" si="6"/>
        <v>80</v>
      </c>
      <c r="L18" s="447">
        <f t="shared" si="7"/>
        <v>366.85714285714283</v>
      </c>
      <c r="M18" s="272">
        <f t="shared" si="14"/>
        <v>-10</v>
      </c>
      <c r="N18" s="273">
        <f t="shared" si="9"/>
        <v>1</v>
      </c>
      <c r="O18" s="274">
        <f t="shared" si="12"/>
        <v>0</v>
      </c>
      <c r="P18" s="25">
        <f t="shared" si="10"/>
        <v>4.5857142857142854</v>
      </c>
    </row>
    <row r="19" spans="1:16" x14ac:dyDescent="0.25">
      <c r="A19" s="18" t="s">
        <v>180</v>
      </c>
      <c r="B19" s="24">
        <f>SUMIFS(Camplist_HH,Camplist_Township,'Shelter Progress'!$A19,Camplist_Type_Of_Acc,"Camp")</f>
        <v>22</v>
      </c>
      <c r="C19" s="24">
        <f>SUMIFS(Camplist_Popl,Camplist_Township,'Shelter Progress'!$A19,Camplist_Type_Of_Acc,"Camp")</f>
        <v>115</v>
      </c>
      <c r="D19" s="40">
        <f t="shared" si="2"/>
        <v>0</v>
      </c>
      <c r="E19" s="40">
        <f t="shared" si="3"/>
        <v>42</v>
      </c>
      <c r="F19" s="40">
        <f t="shared" si="4"/>
        <v>0</v>
      </c>
      <c r="G19" s="40">
        <f t="shared" si="11"/>
        <v>42</v>
      </c>
      <c r="H19" s="40">
        <f t="shared" si="5"/>
        <v>0</v>
      </c>
      <c r="I19" s="40">
        <f t="shared" si="0"/>
        <v>0</v>
      </c>
      <c r="J19" s="40">
        <f t="shared" si="1"/>
        <v>0</v>
      </c>
      <c r="K19" s="40">
        <f t="shared" si="6"/>
        <v>42</v>
      </c>
      <c r="L19" s="447">
        <f t="shared" si="7"/>
        <v>219.54545454545456</v>
      </c>
      <c r="M19" s="272">
        <f t="shared" si="14"/>
        <v>-20</v>
      </c>
      <c r="N19" s="273">
        <f t="shared" si="9"/>
        <v>1</v>
      </c>
      <c r="O19" s="274">
        <f t="shared" si="12"/>
        <v>0</v>
      </c>
      <c r="P19" s="25">
        <f t="shared" si="10"/>
        <v>5.2272727272727275</v>
      </c>
    </row>
    <row r="20" spans="1:16" x14ac:dyDescent="0.25">
      <c r="A20" s="18" t="s">
        <v>185</v>
      </c>
      <c r="B20" s="24">
        <f>SUMIFS(Camplist_HH,Camplist_Township,'Shelter Progress'!$A20,Camplist_Type_Of_Acc,"Camp")</f>
        <v>2708</v>
      </c>
      <c r="C20" s="24">
        <f>SUMIFS(Camplist_Popl,Camplist_Township,'Shelter Progress'!$A20,Camplist_Type_Of_Acc,"Camp")</f>
        <v>14071</v>
      </c>
      <c r="D20" s="40">
        <f t="shared" si="2"/>
        <v>0</v>
      </c>
      <c r="E20" s="40">
        <f t="shared" si="3"/>
        <v>4862</v>
      </c>
      <c r="F20" s="40">
        <f t="shared" si="4"/>
        <v>0</v>
      </c>
      <c r="G20" s="40">
        <f>SUMIF(Col_Shelter_Township,$A20,Col_Shelter_Temp_P)</f>
        <v>5115</v>
      </c>
      <c r="H20" s="40">
        <f t="shared" si="5"/>
        <v>0</v>
      </c>
      <c r="I20" s="40">
        <f t="shared" si="0"/>
        <v>0</v>
      </c>
      <c r="J20" s="40">
        <f t="shared" si="1"/>
        <v>0</v>
      </c>
      <c r="K20" s="40">
        <f t="shared" si="6"/>
        <v>4149</v>
      </c>
      <c r="L20" s="447">
        <f t="shared" si="7"/>
        <v>21558.559453471196</v>
      </c>
      <c r="M20" s="272">
        <f>B20-K20</f>
        <v>-1441</v>
      </c>
      <c r="N20" s="273">
        <f t="shared" si="9"/>
        <v>1</v>
      </c>
      <c r="O20" s="274">
        <f t="shared" ref="O20:O28" si="15">MAX(0,C20-L20)</f>
        <v>0</v>
      </c>
      <c r="P20" s="25">
        <f t="shared" si="10"/>
        <v>5.1960856720827175</v>
      </c>
    </row>
    <row r="21" spans="1:16" x14ac:dyDescent="0.25">
      <c r="A21" s="18" t="s">
        <v>230</v>
      </c>
      <c r="B21" s="24">
        <f>SUMIFS(Camplist_HH,Camplist_Township,'Shelter Progress'!$A21,Camplist_Type_Of_Acc,"Camp")</f>
        <v>76</v>
      </c>
      <c r="C21" s="24">
        <f>SUMIFS(Camplist_Popl,Camplist_Township,'Shelter Progress'!$A21,Camplist_Type_Of_Acc,"Camp")</f>
        <v>1161</v>
      </c>
      <c r="D21" s="40">
        <f t="shared" si="2"/>
        <v>110</v>
      </c>
      <c r="E21" s="40">
        <f t="shared" si="3"/>
        <v>93</v>
      </c>
      <c r="F21" s="40">
        <f t="shared" si="4"/>
        <v>0</v>
      </c>
      <c r="G21" s="40">
        <f t="shared" si="11"/>
        <v>93</v>
      </c>
      <c r="H21" s="40">
        <f t="shared" si="5"/>
        <v>0</v>
      </c>
      <c r="I21" s="40">
        <f t="shared" si="0"/>
        <v>0</v>
      </c>
      <c r="J21" s="40">
        <f t="shared" si="1"/>
        <v>0</v>
      </c>
      <c r="K21" s="40">
        <f t="shared" si="6"/>
        <v>84</v>
      </c>
      <c r="L21" s="447">
        <f t="shared" si="7"/>
        <v>1283.2105263157896</v>
      </c>
      <c r="M21" s="272">
        <f t="shared" si="14"/>
        <v>-8</v>
      </c>
      <c r="N21" s="273">
        <f>IF(IFERROR(K21/B21,0)&gt;1,1,IFERROR(K21/B21,0))</f>
        <v>1</v>
      </c>
      <c r="O21" s="274">
        <f t="shared" si="15"/>
        <v>0</v>
      </c>
      <c r="P21" s="25">
        <f t="shared" si="10"/>
        <v>15.276315789473685</v>
      </c>
    </row>
    <row r="22" spans="1:16" x14ac:dyDescent="0.25">
      <c r="A22" s="18" t="s">
        <v>237</v>
      </c>
      <c r="B22" s="24">
        <f>SUMIFS(Camplist_HH,Camplist_Township,'Shelter Progress'!$A22,Camplist_Type_Of_Acc,"Camp")</f>
        <v>1177</v>
      </c>
      <c r="C22" s="24">
        <f>SUMIFS(Camplist_Popl,Camplist_Township,'Shelter Progress'!$A22,Camplist_Type_Of_Acc,"Camp")</f>
        <v>5923</v>
      </c>
      <c r="D22" s="40">
        <f t="shared" si="2"/>
        <v>2</v>
      </c>
      <c r="E22" s="40">
        <f t="shared" si="3"/>
        <v>1127</v>
      </c>
      <c r="F22" s="40">
        <f t="shared" si="4"/>
        <v>0</v>
      </c>
      <c r="G22" s="40">
        <f t="shared" si="11"/>
        <v>1127</v>
      </c>
      <c r="H22" s="40">
        <f t="shared" si="5"/>
        <v>0</v>
      </c>
      <c r="I22" s="40">
        <f t="shared" si="0"/>
        <v>0</v>
      </c>
      <c r="J22" s="40">
        <f t="shared" si="1"/>
        <v>0</v>
      </c>
      <c r="K22" s="40">
        <f t="shared" si="6"/>
        <v>1112</v>
      </c>
      <c r="L22" s="447">
        <f t="shared" si="7"/>
        <v>5595.9014443500419</v>
      </c>
      <c r="M22" s="272">
        <f t="shared" si="14"/>
        <v>65</v>
      </c>
      <c r="N22" s="273">
        <f>IF(IFERROR(K22/B22,0)&gt;1,1,IFERROR(K22/B22,0))</f>
        <v>0.94477485131690742</v>
      </c>
      <c r="O22" s="274">
        <f t="shared" si="15"/>
        <v>327.09855564995814</v>
      </c>
      <c r="P22" s="25">
        <f>IF(B22=0,5,C22/B22)</f>
        <v>5.0322854715378078</v>
      </c>
    </row>
    <row r="23" spans="1:16" x14ac:dyDescent="0.25">
      <c r="A23" s="18" t="s">
        <v>289</v>
      </c>
      <c r="B23" s="24">
        <f>SUMIFS(Camplist_HH,Camplist_Township,'Shelter Progress'!$A23,Camplist_Type_Of_Acc,"Camp")</f>
        <v>605</v>
      </c>
      <c r="C23" s="24">
        <f>SUMIFS(Camplist_Popl,Camplist_Township,'Shelter Progress'!$A23,Camplist_Type_Of_Acc,"Camp")</f>
        <v>2777</v>
      </c>
      <c r="D23" s="40">
        <f t="shared" si="2"/>
        <v>0</v>
      </c>
      <c r="E23" s="40">
        <f t="shared" si="3"/>
        <v>237</v>
      </c>
      <c r="F23" s="40">
        <f t="shared" si="4"/>
        <v>0</v>
      </c>
      <c r="G23" s="40">
        <f>SUMIF(Col_Shelter_Township,$A23,Col_Shelter_Temp_P)</f>
        <v>263</v>
      </c>
      <c r="H23" s="40">
        <f t="shared" si="5"/>
        <v>0</v>
      </c>
      <c r="I23" s="40">
        <f t="shared" si="0"/>
        <v>0</v>
      </c>
      <c r="J23" s="40">
        <f t="shared" si="1"/>
        <v>0</v>
      </c>
      <c r="K23" s="40">
        <f t="shared" si="6"/>
        <v>237</v>
      </c>
      <c r="L23" s="447">
        <f t="shared" si="7"/>
        <v>1087.8495867768595</v>
      </c>
      <c r="M23" s="272">
        <f t="shared" si="14"/>
        <v>368</v>
      </c>
      <c r="N23" s="273">
        <f t="shared" ref="N23:N25" si="16">IF(IFERROR(K23/B23,0)&gt;1,1,IFERROR(K23/B23,0))</f>
        <v>0.39173553719008264</v>
      </c>
      <c r="O23" s="274">
        <f t="shared" si="15"/>
        <v>1689.1504132231405</v>
      </c>
      <c r="P23" s="25">
        <f t="shared" si="10"/>
        <v>4.5900826446280991</v>
      </c>
    </row>
    <row r="24" spans="1:16" x14ac:dyDescent="0.25">
      <c r="A24" s="18" t="s">
        <v>298</v>
      </c>
      <c r="B24" s="24">
        <f>SUMIFS(Camplist_HH,Camplist_Township,'Shelter Progress'!$A24,Camplist_Type_Of_Acc,"Camp")</f>
        <v>383</v>
      </c>
      <c r="C24" s="24">
        <f>SUMIFS(Camplist_Popl,Camplist_Township,'Shelter Progress'!$A24,Camplist_Type_Of_Acc,"Camp")</f>
        <v>1458</v>
      </c>
      <c r="D24" s="40">
        <f t="shared" si="2"/>
        <v>0</v>
      </c>
      <c r="E24" s="40">
        <f t="shared" si="3"/>
        <v>10</v>
      </c>
      <c r="F24" s="40">
        <f t="shared" si="4"/>
        <v>0</v>
      </c>
      <c r="G24" s="40">
        <f t="shared" si="11"/>
        <v>10</v>
      </c>
      <c r="H24" s="40">
        <f t="shared" si="5"/>
        <v>0</v>
      </c>
      <c r="I24" s="40">
        <f t="shared" si="0"/>
        <v>0</v>
      </c>
      <c r="J24" s="40">
        <f t="shared" si="1"/>
        <v>0</v>
      </c>
      <c r="K24" s="40">
        <f t="shared" si="6"/>
        <v>10</v>
      </c>
      <c r="L24" s="447">
        <f t="shared" si="7"/>
        <v>38.067885117493475</v>
      </c>
      <c r="M24" s="272">
        <f t="shared" si="14"/>
        <v>373</v>
      </c>
      <c r="N24" s="273">
        <f t="shared" si="16"/>
        <v>2.6109660574412531E-2</v>
      </c>
      <c r="O24" s="274">
        <f t="shared" si="15"/>
        <v>1419.9321148825065</v>
      </c>
      <c r="P24" s="25">
        <f t="shared" si="10"/>
        <v>3.8067885117493474</v>
      </c>
    </row>
    <row r="25" spans="1:16" s="65" customFormat="1" x14ac:dyDescent="0.25">
      <c r="A25" s="18" t="s">
        <v>300</v>
      </c>
      <c r="B25" s="24">
        <f>SUMIFS(Camplist_HH,Camplist_Township,'Shelter Progress'!$A25,Camplist_Type_Of_Acc,"Camp")</f>
        <v>59</v>
      </c>
      <c r="C25" s="24">
        <f>SUMIFS(Camplist_Popl,Camplist_Township,'Shelter Progress'!$A25,Camplist_Type_Of_Acc,"Camp")</f>
        <v>268</v>
      </c>
      <c r="D25" s="40">
        <f t="shared" si="2"/>
        <v>55</v>
      </c>
      <c r="E25" s="40">
        <f t="shared" si="3"/>
        <v>60</v>
      </c>
      <c r="F25" s="40">
        <f t="shared" si="4"/>
        <v>0</v>
      </c>
      <c r="G25" s="40">
        <f t="shared" si="11"/>
        <v>60</v>
      </c>
      <c r="H25" s="40">
        <f t="shared" si="5"/>
        <v>0</v>
      </c>
      <c r="I25" s="40">
        <f t="shared" si="0"/>
        <v>0</v>
      </c>
      <c r="J25" s="40">
        <f t="shared" si="1"/>
        <v>0</v>
      </c>
      <c r="K25" s="40">
        <f t="shared" si="6"/>
        <v>60</v>
      </c>
      <c r="L25" s="447">
        <f t="shared" si="7"/>
        <v>272.54237288135596</v>
      </c>
      <c r="M25" s="272">
        <f t="shared" si="14"/>
        <v>-1</v>
      </c>
      <c r="N25" s="273">
        <f t="shared" si="16"/>
        <v>1</v>
      </c>
      <c r="O25" s="274">
        <f t="shared" si="15"/>
        <v>0</v>
      </c>
      <c r="P25" s="25">
        <f t="shared" si="10"/>
        <v>4.5423728813559325</v>
      </c>
    </row>
    <row r="26" spans="1:16" s="65" customFormat="1" x14ac:dyDescent="0.25">
      <c r="A26" s="18" t="s">
        <v>302</v>
      </c>
      <c r="B26" s="24">
        <f>SUMIFS(Camplist_HH,Camplist_Township,'Shelter Progress'!$A26,Camplist_Type_Of_Acc,"Camp")</f>
        <v>126</v>
      </c>
      <c r="C26" s="24">
        <f>SUMIFS(Camplist_Popl,Camplist_Township,'Shelter Progress'!$A26,Camplist_Type_Of_Acc,"Camp")</f>
        <v>509</v>
      </c>
      <c r="D26" s="40">
        <f t="shared" si="2"/>
        <v>0</v>
      </c>
      <c r="E26" s="40">
        <f t="shared" si="3"/>
        <v>88</v>
      </c>
      <c r="F26" s="40">
        <f t="shared" si="4"/>
        <v>0</v>
      </c>
      <c r="G26" s="40">
        <f>SUMIF(Col_Shelter_Township,$A26,Col_Shelter_Temp_P)</f>
        <v>88</v>
      </c>
      <c r="H26" s="40">
        <f t="shared" si="5"/>
        <v>0</v>
      </c>
      <c r="I26" s="40">
        <f t="shared" si="0"/>
        <v>0</v>
      </c>
      <c r="J26" s="40">
        <f t="shared" si="1"/>
        <v>0</v>
      </c>
      <c r="K26" s="40">
        <f t="shared" si="6"/>
        <v>88</v>
      </c>
      <c r="L26" s="447">
        <f t="shared" si="7"/>
        <v>355.49206349206349</v>
      </c>
      <c r="M26" s="272">
        <f t="shared" si="14"/>
        <v>38</v>
      </c>
      <c r="N26" s="273">
        <f>IF(IFERROR(K26/B26,0)&gt;1,1,IFERROR(K26/B26,0))</f>
        <v>0.69841269841269837</v>
      </c>
      <c r="O26" s="274">
        <f t="shared" si="15"/>
        <v>153.50793650793651</v>
      </c>
      <c r="P26" s="25">
        <f t="shared" si="10"/>
        <v>4.0396825396825395</v>
      </c>
    </row>
    <row r="27" spans="1:16" x14ac:dyDescent="0.25">
      <c r="A27" s="18" t="s">
        <v>808</v>
      </c>
      <c r="B27" s="24">
        <f>SUMIFS(Camplist_HH,Camplist_Township,'Shelter Progress'!$A27,Camplist_Type_Of_Acc,"Camp")</f>
        <v>166</v>
      </c>
      <c r="C27" s="24">
        <f>SUMIFS(Camplist_Popl,Camplist_Township,'Shelter Progress'!$A27,Camplist_Type_Of_Acc,"Camp")</f>
        <v>1232</v>
      </c>
      <c r="D27" s="40">
        <f t="shared" si="2"/>
        <v>0</v>
      </c>
      <c r="E27" s="40">
        <f t="shared" si="3"/>
        <v>0</v>
      </c>
      <c r="F27" s="40">
        <f t="shared" si="4"/>
        <v>0</v>
      </c>
      <c r="G27" s="40">
        <f t="shared" si="11"/>
        <v>0</v>
      </c>
      <c r="H27" s="40">
        <f t="shared" si="5"/>
        <v>0</v>
      </c>
      <c r="I27" s="40">
        <f t="shared" si="0"/>
        <v>0</v>
      </c>
      <c r="J27" s="40">
        <f t="shared" si="1"/>
        <v>0</v>
      </c>
      <c r="K27" s="40">
        <f t="shared" si="6"/>
        <v>0</v>
      </c>
      <c r="L27" s="447">
        <f t="shared" si="7"/>
        <v>0</v>
      </c>
      <c r="M27" s="272">
        <f>B27-K27</f>
        <v>166</v>
      </c>
      <c r="N27" s="273">
        <f t="shared" ref="N27:N29" si="17">IF(IFERROR(K27/B27,0)&gt;1,1,IFERROR(K27/B27,0))</f>
        <v>0</v>
      </c>
      <c r="O27" s="274">
        <f t="shared" si="15"/>
        <v>1232</v>
      </c>
      <c r="P27" s="25">
        <f t="shared" si="10"/>
        <v>7.4216867469879517</v>
      </c>
    </row>
    <row r="28" spans="1:16" s="38" customFormat="1" x14ac:dyDescent="0.25">
      <c r="A28" s="18" t="s">
        <v>310</v>
      </c>
      <c r="B28" s="24">
        <f>SUMIFS(Camplist_HH,Camplist_Township,'Shelter Progress'!$A28,Camplist_Type_Of_Acc,"Camp")</f>
        <v>6296</v>
      </c>
      <c r="C28" s="24">
        <f>SUMIFS(Camplist_Popl,Camplist_Township,'Shelter Progress'!$A28,Camplist_Type_Of_Acc,"Camp")</f>
        <v>31755</v>
      </c>
      <c r="D28" s="40">
        <f t="shared" si="2"/>
        <v>248</v>
      </c>
      <c r="E28" s="40">
        <f t="shared" si="3"/>
        <v>3547</v>
      </c>
      <c r="F28" s="40">
        <f t="shared" si="4"/>
        <v>70</v>
      </c>
      <c r="G28" s="40">
        <f>SUMIF(Col_Shelter_Township,$A28,Col_Shelter_Temp_P)</f>
        <v>3977</v>
      </c>
      <c r="H28" s="40">
        <f t="shared" si="5"/>
        <v>0</v>
      </c>
      <c r="I28" s="40">
        <f t="shared" si="0"/>
        <v>0</v>
      </c>
      <c r="J28" s="40">
        <f t="shared" si="1"/>
        <v>0</v>
      </c>
      <c r="K28" s="40">
        <f t="shared" si="6"/>
        <v>3456</v>
      </c>
      <c r="L28" s="447">
        <f>K28*P28</f>
        <v>17430.952986022872</v>
      </c>
      <c r="M28" s="272">
        <f t="shared" si="14"/>
        <v>2840</v>
      </c>
      <c r="N28" s="273">
        <f t="shared" si="17"/>
        <v>0.54891994917407883</v>
      </c>
      <c r="O28" s="274">
        <f t="shared" si="15"/>
        <v>14324.047013977128</v>
      </c>
      <c r="P28" s="25">
        <f t="shared" si="10"/>
        <v>5.0436785260482848</v>
      </c>
    </row>
    <row r="29" spans="1:16" s="38" customFormat="1" x14ac:dyDescent="0.25">
      <c r="A29" s="267" t="s">
        <v>3</v>
      </c>
      <c r="B29" s="268">
        <f>SUM(B7:B28)</f>
        <v>17960</v>
      </c>
      <c r="C29" s="268">
        <f t="shared" ref="C29:J29" si="18">SUM(C7:C28)</f>
        <v>90548</v>
      </c>
      <c r="D29" s="268">
        <f t="shared" si="18"/>
        <v>1043</v>
      </c>
      <c r="E29" s="268">
        <f t="shared" si="18"/>
        <v>14338</v>
      </c>
      <c r="F29" s="268">
        <f t="shared" si="18"/>
        <v>110</v>
      </c>
      <c r="G29" s="268">
        <f>SUM(G7:G28)</f>
        <v>15480</v>
      </c>
      <c r="H29" s="268">
        <f t="shared" si="18"/>
        <v>0</v>
      </c>
      <c r="I29" s="268">
        <f t="shared" si="18"/>
        <v>0</v>
      </c>
      <c r="J29" s="268">
        <f t="shared" si="18"/>
        <v>0</v>
      </c>
      <c r="K29" s="268">
        <f>SUM(K7:K28)</f>
        <v>12990</v>
      </c>
      <c r="L29" s="269">
        <f>SUM(L7:L28)</f>
        <v>66557.025851165643</v>
      </c>
      <c r="M29" s="270">
        <f>SUM(M7:M28)</f>
        <v>4970</v>
      </c>
      <c r="N29" s="273">
        <f t="shared" si="17"/>
        <v>0.72327394209354123</v>
      </c>
      <c r="O29" s="271">
        <f>SUM(O7:O28)</f>
        <v>31755.689098905288</v>
      </c>
      <c r="P29" s="65"/>
    </row>
    <row r="30" spans="1:16" ht="271.5" hidden="1" customHeight="1" x14ac:dyDescent="0.25">
      <c r="A30" s="15" t="s">
        <v>508</v>
      </c>
      <c r="B30" s="1" t="s">
        <v>508</v>
      </c>
      <c r="C30" s="1"/>
      <c r="D30" s="1"/>
      <c r="E30" s="1"/>
      <c r="F30" s="1"/>
      <c r="G30" s="1"/>
      <c r="H30" s="1"/>
      <c r="I30" s="1"/>
      <c r="J30" s="1"/>
      <c r="K30" s="1"/>
      <c r="L30" s="1"/>
      <c r="M30" s="1"/>
      <c r="N30" s="1"/>
      <c r="O30" s="1"/>
    </row>
    <row r="31" spans="1:16" s="38" customFormat="1" hidden="1" x14ac:dyDescent="0.25">
      <c r="A31" s="15"/>
      <c r="P31" s="25"/>
    </row>
    <row r="32" spans="1:16" hidden="1" x14ac:dyDescent="0.25">
      <c r="A32" s="15" t="s">
        <v>507</v>
      </c>
      <c r="B32" t="s">
        <v>508</v>
      </c>
    </row>
    <row r="33" spans="1:15" ht="31.5" hidden="1" x14ac:dyDescent="0.5">
      <c r="A33" s="42" t="s">
        <v>381</v>
      </c>
      <c r="B33" s="43"/>
      <c r="C33" s="43"/>
      <c r="D33" s="43"/>
      <c r="E33" s="43"/>
      <c r="F33" s="43"/>
      <c r="G33" s="43"/>
      <c r="H33" s="43"/>
      <c r="I33" s="43"/>
      <c r="J33" s="43"/>
      <c r="K33" s="43"/>
      <c r="L33" s="43"/>
      <c r="M33" s="43"/>
      <c r="N33" s="43"/>
      <c r="O33" s="43"/>
    </row>
    <row r="34" spans="1:15" hidden="1" x14ac:dyDescent="0.25"/>
    <row r="35" spans="1:15" hidden="1" x14ac:dyDescent="0.25"/>
    <row r="36" spans="1:15" hidden="1" x14ac:dyDescent="0.25"/>
    <row r="37" spans="1:15" hidden="1" x14ac:dyDescent="0.25"/>
    <row r="38" spans="1:15" hidden="1" x14ac:dyDescent="0.25"/>
    <row r="39" spans="1:15" hidden="1" x14ac:dyDescent="0.25"/>
    <row r="40" spans="1:15" hidden="1" x14ac:dyDescent="0.25"/>
    <row r="41" spans="1:15" hidden="1" x14ac:dyDescent="0.25"/>
    <row r="42" spans="1:15" hidden="1" x14ac:dyDescent="0.25"/>
    <row r="43" spans="1:15" hidden="1" x14ac:dyDescent="0.25"/>
    <row r="44" spans="1:15" hidden="1" x14ac:dyDescent="0.25"/>
    <row r="45" spans="1:15" hidden="1" x14ac:dyDescent="0.25"/>
    <row r="46" spans="1:15" hidden="1" x14ac:dyDescent="0.25"/>
    <row r="47" spans="1:15" hidden="1" x14ac:dyDescent="0.25"/>
    <row r="48" spans="1:15" hidden="1" x14ac:dyDescent="0.25"/>
    <row r="49" spans="1:16" hidden="1" x14ac:dyDescent="0.25"/>
    <row r="50" spans="1:16" s="38" customFormat="1" hidden="1" x14ac:dyDescent="0.25">
      <c r="A50"/>
      <c r="B50"/>
      <c r="C50"/>
      <c r="D50"/>
      <c r="E50"/>
      <c r="F50"/>
      <c r="G50"/>
      <c r="H50"/>
      <c r="I50"/>
      <c r="J50"/>
      <c r="K50"/>
      <c r="L50"/>
      <c r="M50"/>
      <c r="N50"/>
    </row>
    <row r="51" spans="1:16" hidden="1" x14ac:dyDescent="0.25"/>
    <row r="52" spans="1:16" hidden="1" x14ac:dyDescent="0.25">
      <c r="A52" s="38"/>
      <c r="B52" s="38"/>
      <c r="C52" s="38"/>
      <c r="D52" s="38"/>
      <c r="E52" s="38"/>
      <c r="F52" s="38"/>
      <c r="G52" s="38"/>
      <c r="H52" s="38"/>
      <c r="I52" s="38"/>
      <c r="J52" s="38"/>
      <c r="K52" s="38"/>
      <c r="L52" s="38"/>
      <c r="M52" s="38"/>
      <c r="N52" s="38"/>
    </row>
    <row r="53" spans="1:16" hidden="1" x14ac:dyDescent="0.25"/>
    <row r="54" spans="1:16" hidden="1" x14ac:dyDescent="0.25"/>
    <row r="55" spans="1:16" hidden="1" x14ac:dyDescent="0.25"/>
    <row r="56" spans="1:16" s="38" customFormat="1" x14ac:dyDescent="0.25">
      <c r="A56"/>
      <c r="B56"/>
      <c r="C56"/>
      <c r="D56"/>
      <c r="E56"/>
      <c r="F56"/>
      <c r="G56"/>
      <c r="H56"/>
      <c r="I56"/>
      <c r="J56"/>
      <c r="K56"/>
      <c r="L56"/>
      <c r="M56"/>
      <c r="N56"/>
      <c r="P56" s="25"/>
    </row>
    <row r="57" spans="1:16" hidden="1" x14ac:dyDescent="0.25"/>
    <row r="58" spans="1:16" ht="31.5" x14ac:dyDescent="0.5">
      <c r="A58" s="42" t="s">
        <v>380</v>
      </c>
      <c r="B58" s="43"/>
      <c r="C58" s="43"/>
      <c r="D58" s="43"/>
      <c r="E58" s="43"/>
      <c r="F58" s="43"/>
      <c r="G58" s="43"/>
      <c r="H58" s="43"/>
      <c r="I58" s="43"/>
      <c r="J58" s="43"/>
      <c r="K58" s="43"/>
      <c r="L58" s="43"/>
      <c r="M58" s="43"/>
      <c r="N58" s="43"/>
      <c r="O58" s="43"/>
    </row>
    <row r="78" hidden="1" x14ac:dyDescent="0.25"/>
    <row r="79" hidden="1" x14ac:dyDescent="0.25"/>
    <row r="80" hidden="1" x14ac:dyDescent="0.25"/>
    <row r="81" spans="1:15" hidden="1" x14ac:dyDescent="0.25"/>
    <row r="82" spans="1:15" x14ac:dyDescent="0.25">
      <c r="A82" s="276" t="s">
        <v>395</v>
      </c>
      <c r="B82" s="18" t="s">
        <v>596</v>
      </c>
      <c r="H82" s="276" t="s">
        <v>395</v>
      </c>
      <c r="I82" s="18" t="s">
        <v>596</v>
      </c>
      <c r="J82" s="38"/>
      <c r="O82"/>
    </row>
    <row r="83" spans="1:15" x14ac:dyDescent="0.25">
      <c r="H83" s="38"/>
      <c r="I83" s="38"/>
      <c r="J83" s="38"/>
      <c r="O83"/>
    </row>
    <row r="84" spans="1:15" x14ac:dyDescent="0.25">
      <c r="A84" s="276" t="s">
        <v>414</v>
      </c>
      <c r="B84" s="18" t="s">
        <v>1294</v>
      </c>
      <c r="H84" s="18"/>
      <c r="I84" s="18" t="s">
        <v>1294</v>
      </c>
      <c r="O84"/>
    </row>
    <row r="85" spans="1:15" x14ac:dyDescent="0.25">
      <c r="A85" s="275" t="s">
        <v>453</v>
      </c>
      <c r="B85" s="277">
        <v>2603</v>
      </c>
      <c r="H85" s="275" t="s">
        <v>453</v>
      </c>
      <c r="I85" s="277">
        <v>2603</v>
      </c>
      <c r="O85"/>
    </row>
    <row r="86" spans="1:15" x14ac:dyDescent="0.25">
      <c r="A86" s="275" t="s">
        <v>452</v>
      </c>
      <c r="B86" s="277">
        <v>6981</v>
      </c>
      <c r="H86" s="275" t="s">
        <v>452</v>
      </c>
      <c r="I86" s="277">
        <v>6981</v>
      </c>
      <c r="O86"/>
    </row>
    <row r="87" spans="1:15" x14ac:dyDescent="0.25">
      <c r="A87" s="275" t="s">
        <v>569</v>
      </c>
      <c r="B87" s="277">
        <v>77</v>
      </c>
      <c r="H87" s="275" t="s">
        <v>569</v>
      </c>
      <c r="I87" s="277">
        <v>77</v>
      </c>
      <c r="O87"/>
    </row>
    <row r="88" spans="1:15" x14ac:dyDescent="0.25">
      <c r="A88" s="275" t="s">
        <v>570</v>
      </c>
      <c r="B88" s="277">
        <v>405</v>
      </c>
      <c r="H88" s="275" t="s">
        <v>570</v>
      </c>
      <c r="I88" s="277">
        <v>405</v>
      </c>
      <c r="O88"/>
    </row>
    <row r="89" spans="1:15" x14ac:dyDescent="0.25">
      <c r="A89" s="275" t="s">
        <v>572</v>
      </c>
      <c r="B89" s="277">
        <v>32</v>
      </c>
      <c r="H89" s="275" t="s">
        <v>572</v>
      </c>
      <c r="I89" s="277">
        <v>32</v>
      </c>
      <c r="O89"/>
    </row>
    <row r="90" spans="1:15" x14ac:dyDescent="0.25">
      <c r="A90" s="275" t="s">
        <v>592</v>
      </c>
      <c r="B90" s="277">
        <v>725</v>
      </c>
      <c r="H90" s="275" t="s">
        <v>592</v>
      </c>
      <c r="I90" s="277">
        <v>725</v>
      </c>
      <c r="O90"/>
    </row>
    <row r="91" spans="1:15" x14ac:dyDescent="0.25">
      <c r="A91" s="275" t="s">
        <v>846</v>
      </c>
      <c r="B91" s="277">
        <v>900</v>
      </c>
      <c r="H91" s="275" t="s">
        <v>846</v>
      </c>
      <c r="I91" s="277">
        <v>900</v>
      </c>
      <c r="O91"/>
    </row>
    <row r="92" spans="1:15" x14ac:dyDescent="0.25">
      <c r="A92" s="275" t="s">
        <v>847</v>
      </c>
      <c r="B92" s="277">
        <v>279</v>
      </c>
      <c r="H92" s="275" t="s">
        <v>847</v>
      </c>
      <c r="I92" s="277">
        <v>279</v>
      </c>
      <c r="O92"/>
    </row>
    <row r="93" spans="1:15" x14ac:dyDescent="0.25">
      <c r="A93" s="275" t="s">
        <v>848</v>
      </c>
      <c r="B93" s="277">
        <v>205</v>
      </c>
      <c r="H93" s="275" t="s">
        <v>848</v>
      </c>
      <c r="I93" s="277">
        <v>205</v>
      </c>
      <c r="O93"/>
    </row>
    <row r="94" spans="1:15" x14ac:dyDescent="0.25">
      <c r="A94" s="275" t="s">
        <v>849</v>
      </c>
      <c r="B94" s="277">
        <v>12</v>
      </c>
      <c r="H94" s="275" t="s">
        <v>849</v>
      </c>
      <c r="I94" s="277">
        <v>12</v>
      </c>
      <c r="O94"/>
    </row>
    <row r="95" spans="1:15" x14ac:dyDescent="0.25">
      <c r="A95" s="275" t="s">
        <v>850</v>
      </c>
      <c r="B95" s="277">
        <v>10</v>
      </c>
      <c r="H95" s="275" t="s">
        <v>850</v>
      </c>
      <c r="I95" s="277">
        <v>10</v>
      </c>
      <c r="O95"/>
    </row>
    <row r="96" spans="1:15" x14ac:dyDescent="0.25">
      <c r="A96" s="275" t="s">
        <v>862</v>
      </c>
      <c r="B96" s="277">
        <v>0</v>
      </c>
      <c r="H96" s="275" t="s">
        <v>862</v>
      </c>
      <c r="I96" s="277">
        <v>0</v>
      </c>
    </row>
    <row r="97" spans="1:9" x14ac:dyDescent="0.25">
      <c r="A97" s="275" t="s">
        <v>859</v>
      </c>
      <c r="B97" s="277">
        <v>122</v>
      </c>
      <c r="H97" s="275" t="s">
        <v>859</v>
      </c>
      <c r="I97" s="277">
        <v>122</v>
      </c>
    </row>
    <row r="98" spans="1:9" x14ac:dyDescent="0.25">
      <c r="A98" s="275" t="s">
        <v>1099</v>
      </c>
      <c r="B98" s="277">
        <v>20</v>
      </c>
      <c r="H98" s="275" t="s">
        <v>1099</v>
      </c>
      <c r="I98" s="277">
        <v>20</v>
      </c>
    </row>
    <row r="99" spans="1:9" x14ac:dyDescent="0.25">
      <c r="A99" s="275" t="s">
        <v>1097</v>
      </c>
      <c r="B99" s="277">
        <v>269</v>
      </c>
      <c r="H99" s="275" t="s">
        <v>1097</v>
      </c>
      <c r="I99" s="277">
        <v>269</v>
      </c>
    </row>
    <row r="100" spans="1:9" x14ac:dyDescent="0.25">
      <c r="A100" s="275" t="s">
        <v>901</v>
      </c>
      <c r="B100" s="277">
        <v>350</v>
      </c>
      <c r="H100" s="275" t="s">
        <v>901</v>
      </c>
      <c r="I100" s="277">
        <v>350</v>
      </c>
    </row>
    <row r="101" spans="1:9" x14ac:dyDescent="0.25">
      <c r="A101" s="275" t="s">
        <v>938</v>
      </c>
      <c r="B101" s="277">
        <v>0</v>
      </c>
      <c r="H101" s="275" t="s">
        <v>938</v>
      </c>
      <c r="I101" s="277">
        <v>0</v>
      </c>
    </row>
    <row r="102" spans="1:9" x14ac:dyDescent="0.25">
      <c r="A102" s="275" t="s">
        <v>415</v>
      </c>
      <c r="B102" s="277">
        <v>12990</v>
      </c>
      <c r="H102" s="275" t="s">
        <v>415</v>
      </c>
      <c r="I102" s="277">
        <v>12990</v>
      </c>
    </row>
  </sheetData>
  <sortState ref="A23:O41">
    <sortCondition ref="A22"/>
  </sortState>
  <mergeCells count="1">
    <mergeCell ref="A2:C2"/>
  </mergeCells>
  <conditionalFormatting sqref="N7:N29">
    <cfRule type="colorScale" priority="42">
      <colorScale>
        <cfvo type="percent" val="0"/>
        <cfvo type="percent" val="100"/>
        <color rgb="FFFF0000"/>
        <color rgb="FF00FF00"/>
      </colorScale>
    </cfRule>
    <cfRule type="colorScale" priority="43">
      <colorScale>
        <cfvo type="min"/>
        <cfvo type="percentile" val="50"/>
        <cfvo type="max"/>
        <color rgb="FFF8696B"/>
        <color rgb="FFFFEB84"/>
        <color rgb="FF63BE7B"/>
      </colorScale>
    </cfRule>
  </conditionalFormatting>
  <pageMargins left="0.7" right="0.7" top="0.75" bottom="0.75" header="0.3" footer="0.3"/>
  <pageSetup scale="40" fitToHeight="2" orientation="landscape" r:id="rId3"/>
  <rowBreaks count="2" manualBreakCount="2">
    <brk id="28" max="16383" man="1"/>
    <brk id="29" max="16383"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G205"/>
  <sheetViews>
    <sheetView showZeros="0" zoomScale="80" zoomScaleNormal="80" workbookViewId="0">
      <selection activeCell="B64" sqref="B64"/>
    </sheetView>
  </sheetViews>
  <sheetFormatPr defaultColWidth="23.85546875" defaultRowHeight="15" x14ac:dyDescent="0.25"/>
  <cols>
    <col min="1" max="1" width="20.85546875" style="30" customWidth="1"/>
    <col min="2" max="2" width="22.42578125" style="30" customWidth="1"/>
    <col min="3" max="5" width="25.140625" style="30" customWidth="1"/>
    <col min="6" max="16384" width="23.85546875" style="30"/>
  </cols>
  <sheetData>
    <row r="1" spans="1:59" s="1" customFormat="1" ht="36" x14ac:dyDescent="0.25">
      <c r="A1" s="231"/>
      <c r="B1" s="232"/>
      <c r="C1" s="232"/>
      <c r="D1" s="232"/>
      <c r="E1" s="232"/>
      <c r="F1" s="233"/>
      <c r="BF1" s="46"/>
      <c r="BG1" s="46"/>
    </row>
    <row r="2" spans="1:59" s="1" customFormat="1" ht="56.25" customHeight="1" x14ac:dyDescent="0.25">
      <c r="A2" s="845" t="s">
        <v>461</v>
      </c>
      <c r="B2" s="846"/>
      <c r="C2" s="846"/>
      <c r="D2" s="45"/>
      <c r="E2" s="45"/>
      <c r="F2" s="243"/>
      <c r="BF2" s="46"/>
      <c r="BG2" s="46"/>
    </row>
    <row r="3" spans="1:59" s="15" customFormat="1" ht="18" customHeight="1" x14ac:dyDescent="0.25">
      <c r="A3" s="847">
        <f>Definition!B23</f>
        <v>42675</v>
      </c>
      <c r="B3" s="848"/>
      <c r="C3" s="848"/>
      <c r="D3" s="848"/>
      <c r="E3" s="848"/>
      <c r="F3" s="849"/>
      <c r="G3" s="33"/>
      <c r="H3" s="33"/>
      <c r="I3" s="33"/>
      <c r="J3" s="33"/>
      <c r="L3" s="33"/>
      <c r="M3" s="33"/>
      <c r="N3" s="33"/>
      <c r="O3" s="33"/>
      <c r="P3" s="33"/>
      <c r="Q3" s="33"/>
      <c r="R3" s="33"/>
      <c r="S3" s="47"/>
      <c r="T3" s="33"/>
      <c r="U3" s="33"/>
      <c r="BF3" s="47"/>
      <c r="BG3" s="47"/>
    </row>
    <row r="4" spans="1:59" ht="15" customHeight="1" x14ac:dyDescent="0.25"/>
    <row r="5" spans="1:59" x14ac:dyDescent="0.25">
      <c r="A5" s="421" t="s">
        <v>395</v>
      </c>
      <c r="B5" s="421" t="s">
        <v>596</v>
      </c>
      <c r="C5" s="260" t="s">
        <v>421</v>
      </c>
      <c r="E5" s="375" t="s">
        <v>395</v>
      </c>
      <c r="F5" s="376" t="s">
        <v>596</v>
      </c>
      <c r="G5"/>
    </row>
    <row r="6" spans="1:59" x14ac:dyDescent="0.25">
      <c r="E6" s="39"/>
      <c r="F6" s="39"/>
    </row>
    <row r="7" spans="1:59" x14ac:dyDescent="0.25">
      <c r="A7" s="375" t="s">
        <v>414</v>
      </c>
      <c r="B7" s="364" t="s">
        <v>1295</v>
      </c>
      <c r="C7" s="365" t="s">
        <v>1296</v>
      </c>
      <c r="D7"/>
      <c r="E7" s="375" t="s">
        <v>414</v>
      </c>
      <c r="F7" s="376" t="s">
        <v>1294</v>
      </c>
      <c r="H7"/>
      <c r="I7"/>
    </row>
    <row r="8" spans="1:59" x14ac:dyDescent="0.25">
      <c r="A8" s="403" t="s">
        <v>592</v>
      </c>
      <c r="B8" s="405">
        <v>1041</v>
      </c>
      <c r="C8" s="417"/>
      <c r="D8"/>
      <c r="E8" s="403" t="s">
        <v>592</v>
      </c>
      <c r="F8" s="405">
        <v>725</v>
      </c>
      <c r="H8"/>
      <c r="I8"/>
    </row>
    <row r="9" spans="1:59" x14ac:dyDescent="0.25">
      <c r="A9" s="424" t="s">
        <v>847</v>
      </c>
      <c r="B9" s="433">
        <v>289</v>
      </c>
      <c r="C9" s="410"/>
      <c r="D9"/>
      <c r="E9" s="424" t="s">
        <v>847</v>
      </c>
      <c r="F9" s="433">
        <v>279</v>
      </c>
      <c r="G9"/>
      <c r="H9"/>
      <c r="I9"/>
      <c r="J9"/>
      <c r="K9"/>
      <c r="L9"/>
      <c r="M9"/>
      <c r="N9"/>
      <c r="O9"/>
      <c r="P9"/>
      <c r="Q9"/>
    </row>
    <row r="10" spans="1:59" x14ac:dyDescent="0.25">
      <c r="A10" s="424" t="s">
        <v>1099</v>
      </c>
      <c r="B10" s="433">
        <v>20</v>
      </c>
      <c r="C10" s="410"/>
      <c r="D10"/>
      <c r="E10" s="424" t="s">
        <v>1099</v>
      </c>
      <c r="F10" s="433">
        <v>20</v>
      </c>
      <c r="G10"/>
      <c r="H10"/>
      <c r="I10"/>
      <c r="J10"/>
      <c r="K10"/>
      <c r="L10"/>
      <c r="M10"/>
      <c r="N10"/>
      <c r="O10"/>
      <c r="P10"/>
      <c r="Q10"/>
    </row>
    <row r="11" spans="1:59" x14ac:dyDescent="0.25">
      <c r="A11" s="424" t="s">
        <v>901</v>
      </c>
      <c r="B11" s="433">
        <v>350</v>
      </c>
      <c r="C11" s="410"/>
      <c r="D11"/>
      <c r="E11" s="424" t="s">
        <v>901</v>
      </c>
      <c r="F11" s="433">
        <v>350</v>
      </c>
      <c r="G11"/>
      <c r="H11"/>
      <c r="I11"/>
      <c r="J11"/>
      <c r="K11"/>
      <c r="L11"/>
      <c r="M11"/>
      <c r="N11"/>
      <c r="O11"/>
      <c r="P11"/>
      <c r="Q11"/>
    </row>
    <row r="12" spans="1:59" x14ac:dyDescent="0.25">
      <c r="A12" s="424" t="s">
        <v>453</v>
      </c>
      <c r="B12" s="433">
        <v>3211</v>
      </c>
      <c r="C12" s="410"/>
      <c r="D12"/>
      <c r="E12" s="424" t="s">
        <v>453</v>
      </c>
      <c r="F12" s="433">
        <v>2603</v>
      </c>
      <c r="H12"/>
      <c r="I12"/>
    </row>
    <row r="13" spans="1:59" s="38" customFormat="1" x14ac:dyDescent="0.25">
      <c r="A13" s="424" t="s">
        <v>1097</v>
      </c>
      <c r="B13" s="433">
        <v>269</v>
      </c>
      <c r="C13" s="410"/>
      <c r="D13"/>
      <c r="E13" s="424" t="s">
        <v>1097</v>
      </c>
      <c r="F13" s="433">
        <v>269</v>
      </c>
    </row>
    <row r="14" spans="1:59" x14ac:dyDescent="0.25">
      <c r="A14" s="424" t="s">
        <v>572</v>
      </c>
      <c r="B14" s="433">
        <v>32</v>
      </c>
      <c r="C14" s="410"/>
      <c r="D14"/>
      <c r="E14" s="424" t="s">
        <v>572</v>
      </c>
      <c r="F14" s="433">
        <v>32</v>
      </c>
      <c r="H14"/>
      <c r="I14"/>
    </row>
    <row r="15" spans="1:59" x14ac:dyDescent="0.25">
      <c r="A15" s="424" t="s">
        <v>848</v>
      </c>
      <c r="B15" s="433">
        <v>205</v>
      </c>
      <c r="C15" s="410"/>
      <c r="D15"/>
      <c r="E15" s="424" t="s">
        <v>848</v>
      </c>
      <c r="F15" s="433">
        <v>205</v>
      </c>
      <c r="H15"/>
      <c r="I15"/>
    </row>
    <row r="16" spans="1:59" x14ac:dyDescent="0.25">
      <c r="A16" s="424" t="s">
        <v>846</v>
      </c>
      <c r="B16" s="433">
        <v>933</v>
      </c>
      <c r="C16" s="410"/>
      <c r="D16"/>
      <c r="E16" s="424" t="s">
        <v>846</v>
      </c>
      <c r="F16" s="433">
        <v>900</v>
      </c>
      <c r="H16"/>
      <c r="I16"/>
    </row>
    <row r="17" spans="1:9" x14ac:dyDescent="0.25">
      <c r="A17" s="424" t="s">
        <v>849</v>
      </c>
      <c r="B17" s="433">
        <v>12</v>
      </c>
      <c r="C17" s="410"/>
      <c r="D17"/>
      <c r="E17" s="424" t="s">
        <v>849</v>
      </c>
      <c r="F17" s="433">
        <v>12</v>
      </c>
      <c r="H17"/>
      <c r="I17"/>
    </row>
    <row r="18" spans="1:9" x14ac:dyDescent="0.25">
      <c r="A18" s="424" t="s">
        <v>570</v>
      </c>
      <c r="B18" s="433">
        <v>420</v>
      </c>
      <c r="C18" s="410"/>
      <c r="D18"/>
      <c r="E18" s="424" t="s">
        <v>570</v>
      </c>
      <c r="F18" s="433">
        <v>405</v>
      </c>
      <c r="H18"/>
      <c r="I18"/>
    </row>
    <row r="19" spans="1:9" x14ac:dyDescent="0.25">
      <c r="A19" s="424" t="s">
        <v>452</v>
      </c>
      <c r="B19" s="433">
        <v>7327</v>
      </c>
      <c r="C19" s="410">
        <v>110</v>
      </c>
      <c r="D19"/>
      <c r="E19" s="424" t="s">
        <v>452</v>
      </c>
      <c r="F19" s="433">
        <v>6981</v>
      </c>
    </row>
    <row r="20" spans="1:9" x14ac:dyDescent="0.25">
      <c r="A20" s="424" t="s">
        <v>569</v>
      </c>
      <c r="B20" s="433">
        <v>87</v>
      </c>
      <c r="C20" s="410"/>
      <c r="D20"/>
      <c r="E20" s="424" t="s">
        <v>569</v>
      </c>
      <c r="F20" s="433">
        <v>77</v>
      </c>
    </row>
    <row r="21" spans="1:9" x14ac:dyDescent="0.25">
      <c r="A21" s="424" t="s">
        <v>850</v>
      </c>
      <c r="B21" s="433">
        <v>10</v>
      </c>
      <c r="C21" s="410"/>
      <c r="D21"/>
      <c r="E21" s="424" t="s">
        <v>850</v>
      </c>
      <c r="F21" s="433">
        <v>10</v>
      </c>
    </row>
    <row r="22" spans="1:9" x14ac:dyDescent="0.25">
      <c r="A22" s="403" t="s">
        <v>415</v>
      </c>
      <c r="B22" s="405">
        <v>14206</v>
      </c>
      <c r="C22" s="417">
        <v>110</v>
      </c>
      <c r="D22"/>
      <c r="E22" s="403" t="s">
        <v>415</v>
      </c>
      <c r="F22" s="405">
        <v>12868</v>
      </c>
    </row>
    <row r="23" spans="1:9" x14ac:dyDescent="0.25">
      <c r="A23"/>
      <c r="B23"/>
      <c r="C23"/>
      <c r="D23"/>
      <c r="E23"/>
      <c r="F23"/>
      <c r="G23"/>
    </row>
    <row r="24" spans="1:9" x14ac:dyDescent="0.25">
      <c r="A24"/>
      <c r="B24"/>
      <c r="C24"/>
      <c r="D24"/>
      <c r="E24"/>
      <c r="F24"/>
      <c r="G24"/>
    </row>
    <row r="25" spans="1:9" x14ac:dyDescent="0.25">
      <c r="A25"/>
      <c r="B25"/>
      <c r="C25"/>
      <c r="D25"/>
      <c r="E25"/>
      <c r="F25"/>
      <c r="G25"/>
    </row>
    <row r="26" spans="1:9" x14ac:dyDescent="0.25">
      <c r="A26"/>
      <c r="B26"/>
      <c r="C26"/>
      <c r="D26"/>
      <c r="E26"/>
      <c r="F26"/>
      <c r="G26"/>
    </row>
    <row r="27" spans="1:9" x14ac:dyDescent="0.25">
      <c r="A27"/>
      <c r="B27"/>
      <c r="C27"/>
      <c r="D27"/>
      <c r="E27"/>
      <c r="F27"/>
      <c r="G27"/>
    </row>
    <row r="28" spans="1:9" x14ac:dyDescent="0.25">
      <c r="A28"/>
      <c r="B28"/>
      <c r="C28"/>
      <c r="D28"/>
      <c r="E28"/>
      <c r="F28"/>
      <c r="G28"/>
    </row>
    <row r="29" spans="1:9" hidden="1" x14ac:dyDescent="0.25">
      <c r="A29"/>
      <c r="B29"/>
      <c r="C29"/>
      <c r="D29"/>
      <c r="E29"/>
      <c r="F29"/>
      <c r="G29"/>
    </row>
    <row r="30" spans="1:9" hidden="1" x14ac:dyDescent="0.25">
      <c r="A30"/>
      <c r="B30"/>
      <c r="C30"/>
      <c r="D30"/>
      <c r="E30"/>
      <c r="F30"/>
      <c r="G30"/>
    </row>
    <row r="31" spans="1:9" x14ac:dyDescent="0.25">
      <c r="A31"/>
      <c r="B31"/>
      <c r="C31"/>
      <c r="D31"/>
      <c r="E31" s="39"/>
      <c r="F31"/>
      <c r="G31"/>
    </row>
    <row r="32" spans="1:9" x14ac:dyDescent="0.25">
      <c r="A32"/>
      <c r="B32"/>
      <c r="C32"/>
      <c r="D32"/>
      <c r="E32" s="39"/>
      <c r="F32"/>
      <c r="G32"/>
    </row>
    <row r="33" spans="1:7" x14ac:dyDescent="0.25">
      <c r="A33"/>
      <c r="B33"/>
      <c r="C33"/>
      <c r="D33"/>
      <c r="E33"/>
      <c r="F33"/>
      <c r="G33"/>
    </row>
    <row r="34" spans="1:7" x14ac:dyDescent="0.25">
      <c r="A34"/>
      <c r="B34"/>
      <c r="C34"/>
      <c r="D34"/>
      <c r="E34"/>
      <c r="F34"/>
      <c r="G34"/>
    </row>
    <row r="35" spans="1:7" x14ac:dyDescent="0.25">
      <c r="A35"/>
      <c r="B35"/>
      <c r="C35"/>
      <c r="D35"/>
      <c r="E35"/>
      <c r="F35"/>
      <c r="G35"/>
    </row>
    <row r="36" spans="1:7" x14ac:dyDescent="0.25">
      <c r="A36"/>
      <c r="B36"/>
      <c r="C36"/>
      <c r="D36"/>
      <c r="E36"/>
      <c r="F36"/>
      <c r="G36"/>
    </row>
    <row r="37" spans="1:7" x14ac:dyDescent="0.25">
      <c r="A37"/>
      <c r="B37"/>
      <c r="C37"/>
      <c r="D37"/>
      <c r="E37"/>
      <c r="F37"/>
      <c r="G37"/>
    </row>
    <row r="38" spans="1:7" x14ac:dyDescent="0.25">
      <c r="A38"/>
      <c r="B38"/>
      <c r="C38"/>
      <c r="D38"/>
      <c r="E38"/>
      <c r="F38"/>
      <c r="G38"/>
    </row>
    <row r="39" spans="1:7" x14ac:dyDescent="0.25">
      <c r="A39"/>
      <c r="B39"/>
      <c r="C39"/>
      <c r="D39"/>
      <c r="E39"/>
      <c r="F39"/>
      <c r="G39"/>
    </row>
    <row r="40" spans="1:7" x14ac:dyDescent="0.25">
      <c r="A40"/>
      <c r="B40"/>
      <c r="C40"/>
      <c r="D40"/>
      <c r="E40"/>
      <c r="F40"/>
      <c r="G40"/>
    </row>
    <row r="41" spans="1:7" x14ac:dyDescent="0.25">
      <c r="A41"/>
      <c r="B41"/>
      <c r="C41"/>
      <c r="D41"/>
      <c r="E41"/>
      <c r="F41"/>
      <c r="G41"/>
    </row>
    <row r="42" spans="1:7" x14ac:dyDescent="0.25">
      <c r="A42"/>
      <c r="B42"/>
      <c r="C42"/>
      <c r="D42"/>
      <c r="E42"/>
      <c r="F42"/>
      <c r="G42"/>
    </row>
    <row r="43" spans="1:7" x14ac:dyDescent="0.25">
      <c r="A43"/>
      <c r="B43"/>
      <c r="C43"/>
      <c r="D43"/>
      <c r="E43"/>
      <c r="F43"/>
    </row>
    <row r="44" spans="1:7" x14ac:dyDescent="0.25">
      <c r="A44"/>
      <c r="B44"/>
      <c r="C44"/>
      <c r="D44"/>
      <c r="E44"/>
      <c r="F44"/>
    </row>
    <row r="45" spans="1:7" x14ac:dyDescent="0.25">
      <c r="A45"/>
      <c r="B45"/>
      <c r="C45"/>
      <c r="D45"/>
      <c r="E45"/>
      <c r="F45"/>
    </row>
    <row r="46" spans="1:7" x14ac:dyDescent="0.25">
      <c r="A46"/>
      <c r="B46"/>
      <c r="C46"/>
      <c r="D46"/>
      <c r="E46"/>
      <c r="F46"/>
    </row>
    <row r="47" spans="1:7" x14ac:dyDescent="0.25">
      <c r="A47"/>
      <c r="B47"/>
      <c r="C47"/>
      <c r="D47"/>
      <c r="E47"/>
      <c r="F47"/>
    </row>
    <row r="48" spans="1:7" x14ac:dyDescent="0.25">
      <c r="A48"/>
      <c r="B48"/>
      <c r="C48"/>
      <c r="D48"/>
      <c r="E48"/>
      <c r="F48"/>
    </row>
    <row r="49" spans="1:6" x14ac:dyDescent="0.25">
      <c r="A49"/>
      <c r="B49"/>
      <c r="C49"/>
      <c r="D49"/>
      <c r="E49"/>
      <c r="F49"/>
    </row>
    <row r="50" spans="1:6" x14ac:dyDescent="0.25">
      <c r="A50"/>
      <c r="B50"/>
      <c r="C50"/>
      <c r="D50"/>
      <c r="E50"/>
      <c r="F50"/>
    </row>
    <row r="51" spans="1:6" x14ac:dyDescent="0.25">
      <c r="A51"/>
      <c r="B51"/>
      <c r="C51"/>
      <c r="D51"/>
      <c r="E51"/>
      <c r="F51"/>
    </row>
    <row r="52" spans="1:6" x14ac:dyDescent="0.25">
      <c r="A52"/>
      <c r="B52"/>
      <c r="C52"/>
      <c r="D52"/>
      <c r="E52"/>
      <c r="F52"/>
    </row>
    <row r="53" spans="1:6" x14ac:dyDescent="0.25">
      <c r="A53"/>
      <c r="B53"/>
      <c r="C53"/>
      <c r="D53"/>
      <c r="E53"/>
      <c r="F53"/>
    </row>
    <row r="54" spans="1:6" x14ac:dyDescent="0.25">
      <c r="A54"/>
      <c r="B54"/>
      <c r="C54"/>
      <c r="D54"/>
      <c r="E54"/>
      <c r="F54"/>
    </row>
    <row r="55" spans="1:6" x14ac:dyDescent="0.25">
      <c r="A55"/>
      <c r="B55"/>
      <c r="C55"/>
      <c r="D55"/>
      <c r="E55"/>
      <c r="F55"/>
    </row>
    <row r="56" spans="1:6" hidden="1" x14ac:dyDescent="0.25">
      <c r="A56"/>
      <c r="B56"/>
      <c r="C56"/>
      <c r="D56"/>
      <c r="E56"/>
      <c r="F56"/>
    </row>
    <row r="57" spans="1:6" hidden="1" x14ac:dyDescent="0.25">
      <c r="A57"/>
      <c r="B57"/>
      <c r="C57"/>
      <c r="D57"/>
      <c r="E57"/>
      <c r="F57"/>
    </row>
    <row r="58" spans="1:6" x14ac:dyDescent="0.25">
      <c r="A58"/>
      <c r="B58"/>
      <c r="C58"/>
      <c r="D58"/>
      <c r="E58"/>
      <c r="F58"/>
    </row>
    <row r="59" spans="1:6" x14ac:dyDescent="0.25">
      <c r="A59" s="421" t="s">
        <v>395</v>
      </c>
      <c r="B59" s="421" t="s">
        <v>596</v>
      </c>
      <c r="C59" s="190"/>
      <c r="D59"/>
      <c r="E59"/>
      <c r="F59"/>
    </row>
    <row r="60" spans="1:6" x14ac:dyDescent="0.25">
      <c r="A60" s="427" t="s">
        <v>0</v>
      </c>
      <c r="B60" s="421" t="s">
        <v>5</v>
      </c>
      <c r="C60" s="191"/>
      <c r="D60"/>
      <c r="E60"/>
      <c r="F60"/>
    </row>
    <row r="61" spans="1:6" x14ac:dyDescent="0.25">
      <c r="A61" s="421" t="s">
        <v>498</v>
      </c>
      <c r="B61" s="421" t="s">
        <v>1122</v>
      </c>
      <c r="C61" s="194" t="s">
        <v>421</v>
      </c>
      <c r="D61"/>
      <c r="E61"/>
    </row>
    <row r="62" spans="1:6" x14ac:dyDescent="0.25">
      <c r="A62" s="92"/>
      <c r="B62" s="92"/>
      <c r="C62" s="92"/>
      <c r="D62"/>
      <c r="E62"/>
    </row>
    <row r="63" spans="1:6" x14ac:dyDescent="0.25">
      <c r="A63" s="276" t="s">
        <v>414</v>
      </c>
      <c r="B63" s="18" t="s">
        <v>1242</v>
      </c>
      <c r="C63"/>
      <c r="D63"/>
      <c r="E63"/>
    </row>
    <row r="64" spans="1:6" x14ac:dyDescent="0.25">
      <c r="A64" s="275" t="s">
        <v>6</v>
      </c>
      <c r="B64" s="434">
        <v>0.21794871794871795</v>
      </c>
      <c r="C64"/>
      <c r="D64"/>
      <c r="E64"/>
    </row>
    <row r="65" spans="1:5" x14ac:dyDescent="0.25">
      <c r="A65" s="275" t="s">
        <v>512</v>
      </c>
      <c r="B65" s="434">
        <v>1.75</v>
      </c>
      <c r="C65"/>
      <c r="D65"/>
      <c r="E65"/>
    </row>
    <row r="66" spans="1:5" x14ac:dyDescent="0.25">
      <c r="A66" s="275" t="s">
        <v>14</v>
      </c>
      <c r="B66" s="434">
        <v>0.5</v>
      </c>
      <c r="C66"/>
      <c r="D66"/>
      <c r="E66"/>
    </row>
    <row r="67" spans="1:5" x14ac:dyDescent="0.25">
      <c r="A67" s="275" t="s">
        <v>18</v>
      </c>
      <c r="B67" s="434">
        <v>0.10991379310344829</v>
      </c>
      <c r="C67"/>
      <c r="D67"/>
      <c r="E67"/>
    </row>
    <row r="68" spans="1:5" x14ac:dyDescent="0.25">
      <c r="A68" s="275" t="s">
        <v>8</v>
      </c>
      <c r="B68" s="434">
        <v>0.6428571428571429</v>
      </c>
      <c r="C68"/>
      <c r="D68"/>
      <c r="E68"/>
    </row>
    <row r="69" spans="1:5" x14ac:dyDescent="0.25">
      <c r="A69" s="275" t="s">
        <v>20</v>
      </c>
      <c r="B69" s="434">
        <v>0.47619047619047616</v>
      </c>
      <c r="C69"/>
      <c r="D69"/>
      <c r="E69"/>
    </row>
    <row r="70" spans="1:5" x14ac:dyDescent="0.25">
      <c r="A70" s="275" t="s">
        <v>366</v>
      </c>
      <c r="B70" s="434">
        <v>0.21</v>
      </c>
      <c r="C70"/>
      <c r="D70"/>
      <c r="E70"/>
    </row>
    <row r="71" spans="1:5" x14ac:dyDescent="0.25">
      <c r="A71" s="275" t="s">
        <v>22</v>
      </c>
      <c r="B71" s="434">
        <v>0.11315228966986156</v>
      </c>
      <c r="C71"/>
      <c r="D71"/>
      <c r="E71"/>
    </row>
    <row r="72" spans="1:5" x14ac:dyDescent="0.25">
      <c r="A72" s="275" t="s">
        <v>24</v>
      </c>
      <c r="B72" s="434">
        <v>1.3095238095238095</v>
      </c>
      <c r="C72"/>
      <c r="D72"/>
      <c r="E72"/>
    </row>
    <row r="73" spans="1:5" x14ac:dyDescent="0.25">
      <c r="A73" s="275" t="s">
        <v>26</v>
      </c>
      <c r="B73" s="434">
        <v>0.76</v>
      </c>
      <c r="C73"/>
      <c r="D73"/>
      <c r="E73"/>
    </row>
    <row r="74" spans="1:5" x14ac:dyDescent="0.25">
      <c r="A74" s="275" t="s">
        <v>415</v>
      </c>
      <c r="B74" s="434">
        <v>0.44951493193272268</v>
      </c>
      <c r="C74"/>
      <c r="D74"/>
    </row>
    <row r="75" spans="1:5" x14ac:dyDescent="0.25">
      <c r="A75"/>
      <c r="B75"/>
      <c r="C75"/>
      <c r="D75"/>
    </row>
    <row r="76" spans="1:5" x14ac:dyDescent="0.25">
      <c r="A76"/>
      <c r="B76"/>
      <c r="C76"/>
      <c r="D76"/>
    </row>
    <row r="77" spans="1:5" x14ac:dyDescent="0.25">
      <c r="A77"/>
      <c r="B77"/>
      <c r="C77"/>
      <c r="D77"/>
    </row>
    <row r="78" spans="1:5" x14ac:dyDescent="0.25">
      <c r="A78"/>
      <c r="B78"/>
      <c r="C78"/>
      <c r="D78"/>
    </row>
    <row r="79" spans="1:5" x14ac:dyDescent="0.25">
      <c r="A79"/>
      <c r="B79"/>
      <c r="C79"/>
      <c r="D79"/>
    </row>
    <row r="80" spans="1:5" x14ac:dyDescent="0.25">
      <c r="A80"/>
      <c r="B80"/>
      <c r="C80"/>
      <c r="D80"/>
    </row>
    <row r="81" spans="1:4" x14ac:dyDescent="0.25">
      <c r="A81"/>
      <c r="B81"/>
      <c r="C81"/>
      <c r="D81"/>
    </row>
    <row r="82" spans="1:4" x14ac:dyDescent="0.25">
      <c r="A82"/>
      <c r="B82"/>
      <c r="C82"/>
      <c r="D82"/>
    </row>
    <row r="83" spans="1:4" x14ac:dyDescent="0.25">
      <c r="A83"/>
      <c r="B83"/>
      <c r="C83"/>
      <c r="D83"/>
    </row>
    <row r="84" spans="1:4" x14ac:dyDescent="0.25">
      <c r="A84"/>
      <c r="B84"/>
      <c r="C84"/>
      <c r="D84"/>
    </row>
    <row r="85" spans="1:4" x14ac:dyDescent="0.25">
      <c r="A85"/>
      <c r="B85"/>
      <c r="C85"/>
      <c r="D85"/>
    </row>
    <row r="86" spans="1:4" x14ac:dyDescent="0.25">
      <c r="A86"/>
      <c r="B86"/>
      <c r="C86"/>
      <c r="D86"/>
    </row>
    <row r="87" spans="1:4" x14ac:dyDescent="0.25">
      <c r="A87"/>
      <c r="B87"/>
      <c r="C87"/>
      <c r="D87"/>
    </row>
    <row r="88" spans="1:4" x14ac:dyDescent="0.25">
      <c r="A88"/>
      <c r="B88"/>
      <c r="C88"/>
      <c r="D88"/>
    </row>
    <row r="89" spans="1:4" x14ac:dyDescent="0.25">
      <c r="A89"/>
      <c r="B89"/>
      <c r="C89"/>
      <c r="D89"/>
    </row>
    <row r="90" spans="1:4" x14ac:dyDescent="0.25">
      <c r="A90"/>
      <c r="B90"/>
      <c r="C90"/>
      <c r="D90"/>
    </row>
    <row r="91" spans="1:4" x14ac:dyDescent="0.25">
      <c r="A91"/>
      <c r="B91"/>
      <c r="C91"/>
      <c r="D91"/>
    </row>
    <row r="92" spans="1:4" x14ac:dyDescent="0.25">
      <c r="A92"/>
      <c r="B92"/>
      <c r="C92"/>
      <c r="D92"/>
    </row>
    <row r="93" spans="1:4" x14ac:dyDescent="0.25">
      <c r="A93"/>
      <c r="B93"/>
      <c r="C93"/>
      <c r="D93"/>
    </row>
    <row r="94" spans="1:4" x14ac:dyDescent="0.25">
      <c r="A94"/>
      <c r="B94"/>
      <c r="C94"/>
      <c r="D94"/>
    </row>
    <row r="95" spans="1:4" x14ac:dyDescent="0.25">
      <c r="A95"/>
      <c r="B95"/>
      <c r="C95"/>
      <c r="D95"/>
    </row>
    <row r="96" spans="1:4" x14ac:dyDescent="0.25">
      <c r="A96"/>
      <c r="B96"/>
      <c r="C96"/>
      <c r="D96"/>
    </row>
    <row r="97" spans="1:4" x14ac:dyDescent="0.25">
      <c r="A97"/>
      <c r="B97"/>
      <c r="C97"/>
      <c r="D97"/>
    </row>
    <row r="98" spans="1:4" x14ac:dyDescent="0.25">
      <c r="A98"/>
      <c r="B98"/>
      <c r="C98"/>
      <c r="D98"/>
    </row>
    <row r="99" spans="1:4" x14ac:dyDescent="0.25">
      <c r="A99"/>
      <c r="B99"/>
      <c r="C99"/>
      <c r="D99"/>
    </row>
    <row r="100" spans="1:4" x14ac:dyDescent="0.25">
      <c r="A100"/>
      <c r="B100"/>
      <c r="C100"/>
      <c r="D100"/>
    </row>
    <row r="101" spans="1:4" x14ac:dyDescent="0.25">
      <c r="A101"/>
      <c r="B101"/>
      <c r="C101"/>
      <c r="D101"/>
    </row>
    <row r="102" spans="1:4" x14ac:dyDescent="0.25">
      <c r="A102"/>
      <c r="B102"/>
      <c r="C102"/>
      <c r="D102"/>
    </row>
    <row r="103" spans="1:4" x14ac:dyDescent="0.25">
      <c r="A103"/>
      <c r="B103"/>
      <c r="C103"/>
      <c r="D103"/>
    </row>
    <row r="104" spans="1:4" x14ac:dyDescent="0.25">
      <c r="A104"/>
      <c r="B104"/>
      <c r="C104"/>
      <c r="D104"/>
    </row>
    <row r="105" spans="1:4" x14ac:dyDescent="0.25">
      <c r="A105"/>
      <c r="B105"/>
      <c r="C105"/>
      <c r="D105"/>
    </row>
    <row r="106" spans="1:4" x14ac:dyDescent="0.25">
      <c r="A106"/>
      <c r="B106"/>
      <c r="C106"/>
      <c r="D106"/>
    </row>
    <row r="107" spans="1:4" x14ac:dyDescent="0.25">
      <c r="A107"/>
      <c r="B107"/>
      <c r="C107"/>
      <c r="D107"/>
    </row>
    <row r="108" spans="1:4" x14ac:dyDescent="0.25">
      <c r="A108"/>
      <c r="B108"/>
      <c r="C108"/>
      <c r="D108"/>
    </row>
    <row r="109" spans="1:4" x14ac:dyDescent="0.25">
      <c r="A109"/>
      <c r="B109"/>
      <c r="C109"/>
      <c r="D109"/>
    </row>
    <row r="110" spans="1:4" x14ac:dyDescent="0.25">
      <c r="A110"/>
      <c r="B110"/>
      <c r="C110"/>
      <c r="D110"/>
    </row>
    <row r="111" spans="1:4" x14ac:dyDescent="0.25">
      <c r="A111"/>
      <c r="B111"/>
      <c r="C111"/>
      <c r="D111"/>
    </row>
    <row r="112" spans="1:4" x14ac:dyDescent="0.25">
      <c r="A112"/>
      <c r="B112"/>
      <c r="C112"/>
      <c r="D112"/>
    </row>
    <row r="113" spans="1:4" x14ac:dyDescent="0.25">
      <c r="A113"/>
      <c r="B113"/>
      <c r="C113"/>
      <c r="D113"/>
    </row>
    <row r="114" spans="1:4" x14ac:dyDescent="0.25">
      <c r="A114"/>
      <c r="B114"/>
      <c r="C114"/>
      <c r="D114"/>
    </row>
    <row r="115" spans="1:4" x14ac:dyDescent="0.25">
      <c r="A115"/>
      <c r="B115"/>
      <c r="C115"/>
      <c r="D115"/>
    </row>
    <row r="116" spans="1:4" x14ac:dyDescent="0.25">
      <c r="A116"/>
      <c r="B116"/>
      <c r="C116"/>
      <c r="D116"/>
    </row>
    <row r="117" spans="1:4" x14ac:dyDescent="0.25">
      <c r="A117"/>
      <c r="B117"/>
      <c r="C117"/>
      <c r="D117"/>
    </row>
    <row r="118" spans="1:4" x14ac:dyDescent="0.25">
      <c r="A118"/>
      <c r="B118"/>
      <c r="C118"/>
      <c r="D118"/>
    </row>
    <row r="119" spans="1:4" x14ac:dyDescent="0.25">
      <c r="A119"/>
      <c r="B119"/>
      <c r="C119"/>
      <c r="D119"/>
    </row>
    <row r="120" spans="1:4" x14ac:dyDescent="0.25">
      <c r="A120"/>
      <c r="B120"/>
      <c r="C120"/>
      <c r="D120"/>
    </row>
    <row r="121" spans="1:4" x14ac:dyDescent="0.25">
      <c r="A121"/>
      <c r="B121"/>
      <c r="C121"/>
      <c r="D121"/>
    </row>
    <row r="122" spans="1:4" x14ac:dyDescent="0.25">
      <c r="A122"/>
      <c r="B122"/>
      <c r="C122"/>
      <c r="D122"/>
    </row>
    <row r="123" spans="1:4" x14ac:dyDescent="0.25">
      <c r="A123"/>
      <c r="B123"/>
      <c r="C123"/>
      <c r="D123"/>
    </row>
    <row r="124" spans="1:4" x14ac:dyDescent="0.25">
      <c r="A124"/>
      <c r="B124"/>
      <c r="C124"/>
      <c r="D124"/>
    </row>
    <row r="125" spans="1:4" x14ac:dyDescent="0.25">
      <c r="A125"/>
      <c r="B125"/>
      <c r="C125"/>
      <c r="D125"/>
    </row>
    <row r="126" spans="1:4" x14ac:dyDescent="0.25">
      <c r="A126"/>
      <c r="B126"/>
      <c r="C126"/>
      <c r="D126"/>
    </row>
    <row r="127" spans="1:4" x14ac:dyDescent="0.25">
      <c r="A127"/>
      <c r="B127"/>
      <c r="C127"/>
      <c r="D127"/>
    </row>
    <row r="128" spans="1:4" x14ac:dyDescent="0.25">
      <c r="A128"/>
      <c r="B128"/>
      <c r="C128"/>
      <c r="D128"/>
    </row>
    <row r="129" spans="1:4" x14ac:dyDescent="0.25">
      <c r="A129"/>
      <c r="B129"/>
      <c r="C129"/>
      <c r="D129"/>
    </row>
    <row r="130" spans="1:4" x14ac:dyDescent="0.25">
      <c r="A130"/>
      <c r="B130"/>
      <c r="C130"/>
      <c r="D130"/>
    </row>
    <row r="131" spans="1:4" x14ac:dyDescent="0.25">
      <c r="A131"/>
      <c r="B131"/>
      <c r="C131"/>
      <c r="D131"/>
    </row>
    <row r="132" spans="1:4" x14ac:dyDescent="0.25">
      <c r="A132"/>
      <c r="B132"/>
      <c r="C132"/>
      <c r="D132"/>
    </row>
    <row r="133" spans="1:4" x14ac:dyDescent="0.25">
      <c r="A133"/>
      <c r="B133"/>
      <c r="C133"/>
      <c r="D133"/>
    </row>
    <row r="134" spans="1:4" x14ac:dyDescent="0.25">
      <c r="A134"/>
      <c r="B134"/>
      <c r="C134"/>
      <c r="D134"/>
    </row>
    <row r="135" spans="1:4" x14ac:dyDescent="0.25">
      <c r="A135"/>
      <c r="B135"/>
      <c r="C135"/>
      <c r="D135"/>
    </row>
    <row r="136" spans="1:4" x14ac:dyDescent="0.25">
      <c r="A136"/>
      <c r="B136"/>
      <c r="C136"/>
      <c r="D136"/>
    </row>
    <row r="137" spans="1:4" x14ac:dyDescent="0.25">
      <c r="A137"/>
      <c r="B137"/>
      <c r="C137"/>
      <c r="D137"/>
    </row>
    <row r="138" spans="1:4" x14ac:dyDescent="0.25">
      <c r="A138"/>
      <c r="B138"/>
      <c r="C138"/>
      <c r="D138"/>
    </row>
    <row r="139" spans="1:4" x14ac:dyDescent="0.25">
      <c r="A139"/>
      <c r="B139"/>
      <c r="C139"/>
      <c r="D139"/>
    </row>
    <row r="140" spans="1:4" x14ac:dyDescent="0.25">
      <c r="A140"/>
      <c r="B140"/>
      <c r="C140"/>
      <c r="D140"/>
    </row>
    <row r="141" spans="1:4" x14ac:dyDescent="0.25">
      <c r="A141"/>
      <c r="B141"/>
      <c r="C141"/>
      <c r="D141"/>
    </row>
    <row r="142" spans="1:4" x14ac:dyDescent="0.25">
      <c r="A142"/>
      <c r="B142"/>
      <c r="C142"/>
      <c r="D142"/>
    </row>
    <row r="143" spans="1:4" x14ac:dyDescent="0.25">
      <c r="A143"/>
      <c r="B143"/>
      <c r="C143"/>
      <c r="D143"/>
    </row>
    <row r="144" spans="1:4" x14ac:dyDescent="0.25">
      <c r="A144"/>
      <c r="B144"/>
      <c r="C144"/>
      <c r="D144"/>
    </row>
    <row r="145" spans="1:4" x14ac:dyDescent="0.25">
      <c r="A145"/>
      <c r="B145"/>
      <c r="C145"/>
      <c r="D145"/>
    </row>
    <row r="146" spans="1:4" x14ac:dyDescent="0.25">
      <c r="A146"/>
      <c r="B146"/>
      <c r="C146"/>
      <c r="D146"/>
    </row>
    <row r="147" spans="1:4" x14ac:dyDescent="0.25">
      <c r="A147"/>
      <c r="B147"/>
      <c r="C147"/>
      <c r="D147"/>
    </row>
    <row r="148" spans="1:4" x14ac:dyDescent="0.25">
      <c r="A148"/>
      <c r="B148"/>
      <c r="C148"/>
      <c r="D148"/>
    </row>
    <row r="149" spans="1:4" x14ac:dyDescent="0.25">
      <c r="A149"/>
      <c r="B149"/>
      <c r="C149"/>
      <c r="D149"/>
    </row>
    <row r="150" spans="1:4" x14ac:dyDescent="0.25">
      <c r="A150"/>
      <c r="B150"/>
      <c r="C150"/>
      <c r="D150"/>
    </row>
    <row r="151" spans="1:4" x14ac:dyDescent="0.25">
      <c r="A151"/>
      <c r="B151"/>
      <c r="C151"/>
      <c r="D151"/>
    </row>
    <row r="152" spans="1:4" x14ac:dyDescent="0.25">
      <c r="A152"/>
      <c r="B152"/>
      <c r="C152"/>
      <c r="D152"/>
    </row>
    <row r="153" spans="1:4" x14ac:dyDescent="0.25">
      <c r="A153"/>
      <c r="B153"/>
      <c r="C153"/>
      <c r="D153"/>
    </row>
    <row r="154" spans="1:4" x14ac:dyDescent="0.25">
      <c r="A154"/>
      <c r="B154"/>
      <c r="C154"/>
      <c r="D154"/>
    </row>
    <row r="155" spans="1:4" x14ac:dyDescent="0.25">
      <c r="A155"/>
      <c r="B155"/>
      <c r="C155"/>
      <c r="D155"/>
    </row>
    <row r="156" spans="1:4" x14ac:dyDescent="0.25">
      <c r="A156"/>
      <c r="B156"/>
      <c r="C156"/>
      <c r="D156"/>
    </row>
    <row r="157" spans="1:4" x14ac:dyDescent="0.25">
      <c r="A157"/>
      <c r="B157"/>
      <c r="C157"/>
      <c r="D157"/>
    </row>
    <row r="158" spans="1:4" x14ac:dyDescent="0.25">
      <c r="A158"/>
      <c r="B158"/>
      <c r="C158"/>
      <c r="D158"/>
    </row>
    <row r="159" spans="1:4" x14ac:dyDescent="0.25">
      <c r="A159"/>
      <c r="B159"/>
      <c r="C159"/>
      <c r="D159"/>
    </row>
    <row r="160" spans="1:4" x14ac:dyDescent="0.25">
      <c r="A160"/>
      <c r="B160"/>
      <c r="C160"/>
      <c r="D160"/>
    </row>
    <row r="161" spans="1:4" x14ac:dyDescent="0.25">
      <c r="A161"/>
      <c r="B161"/>
      <c r="C161"/>
      <c r="D161"/>
    </row>
    <row r="162" spans="1:4" x14ac:dyDescent="0.25">
      <c r="A162"/>
      <c r="B162"/>
      <c r="C162"/>
      <c r="D162"/>
    </row>
    <row r="163" spans="1:4" x14ac:dyDescent="0.25">
      <c r="A163"/>
      <c r="B163"/>
      <c r="C163"/>
      <c r="D163"/>
    </row>
    <row r="164" spans="1:4" x14ac:dyDescent="0.25">
      <c r="A164"/>
      <c r="B164"/>
      <c r="C164"/>
      <c r="D164"/>
    </row>
    <row r="165" spans="1:4" x14ac:dyDescent="0.25">
      <c r="A165"/>
      <c r="B165"/>
      <c r="C165"/>
      <c r="D165"/>
    </row>
    <row r="166" spans="1:4" x14ac:dyDescent="0.25">
      <c r="A166"/>
      <c r="B166"/>
      <c r="C166"/>
      <c r="D166"/>
    </row>
    <row r="167" spans="1:4" x14ac:dyDescent="0.25">
      <c r="A167"/>
      <c r="B167"/>
      <c r="C167"/>
      <c r="D167"/>
    </row>
    <row r="168" spans="1:4" x14ac:dyDescent="0.25">
      <c r="A168"/>
      <c r="B168"/>
      <c r="C168"/>
      <c r="D168"/>
    </row>
    <row r="169" spans="1:4" x14ac:dyDescent="0.25">
      <c r="A169"/>
      <c r="B169"/>
      <c r="C169"/>
      <c r="D169"/>
    </row>
    <row r="170" spans="1:4" x14ac:dyDescent="0.25">
      <c r="A170"/>
      <c r="B170"/>
      <c r="C170"/>
      <c r="D170"/>
    </row>
    <row r="171" spans="1:4" x14ac:dyDescent="0.25">
      <c r="A171"/>
      <c r="B171"/>
      <c r="C171"/>
      <c r="D171"/>
    </row>
    <row r="172" spans="1:4" x14ac:dyDescent="0.25">
      <c r="A172"/>
      <c r="B172"/>
      <c r="C172"/>
      <c r="D172"/>
    </row>
    <row r="173" spans="1:4" x14ac:dyDescent="0.25">
      <c r="A173"/>
      <c r="B173"/>
      <c r="C173"/>
      <c r="D173"/>
    </row>
    <row r="174" spans="1:4" x14ac:dyDescent="0.25">
      <c r="A174"/>
      <c r="B174"/>
      <c r="C174"/>
      <c r="D174"/>
    </row>
    <row r="175" spans="1:4" x14ac:dyDescent="0.25">
      <c r="A175"/>
      <c r="B175"/>
      <c r="C175"/>
      <c r="D175"/>
    </row>
    <row r="176" spans="1:4" x14ac:dyDescent="0.25">
      <c r="A176"/>
      <c r="B176"/>
      <c r="C176"/>
      <c r="D176"/>
    </row>
    <row r="177" spans="1:4" x14ac:dyDescent="0.25">
      <c r="A177"/>
      <c r="B177"/>
      <c r="C177"/>
      <c r="D177"/>
    </row>
    <row r="178" spans="1:4" x14ac:dyDescent="0.25">
      <c r="A178"/>
      <c r="B178"/>
      <c r="C178"/>
      <c r="D178"/>
    </row>
    <row r="179" spans="1:4" x14ac:dyDescent="0.25">
      <c r="A179"/>
      <c r="B179"/>
      <c r="C179"/>
      <c r="D179"/>
    </row>
    <row r="180" spans="1:4" x14ac:dyDescent="0.25">
      <c r="A180"/>
      <c r="B180"/>
      <c r="C180"/>
      <c r="D180"/>
    </row>
    <row r="181" spans="1:4" x14ac:dyDescent="0.25">
      <c r="A181"/>
      <c r="B181"/>
      <c r="C181"/>
      <c r="D181"/>
    </row>
    <row r="182" spans="1:4" x14ac:dyDescent="0.25">
      <c r="A182"/>
      <c r="B182"/>
      <c r="C182"/>
      <c r="D182"/>
    </row>
    <row r="183" spans="1:4" x14ac:dyDescent="0.25">
      <c r="A183"/>
      <c r="B183"/>
      <c r="C183"/>
      <c r="D183"/>
    </row>
    <row r="184" spans="1:4" x14ac:dyDescent="0.25">
      <c r="A184"/>
      <c r="B184"/>
      <c r="C184"/>
      <c r="D184"/>
    </row>
    <row r="185" spans="1:4" x14ac:dyDescent="0.25">
      <c r="A185"/>
      <c r="B185"/>
      <c r="C185"/>
      <c r="D185"/>
    </row>
    <row r="186" spans="1:4" x14ac:dyDescent="0.25">
      <c r="A186"/>
      <c r="B186"/>
      <c r="C186"/>
      <c r="D186"/>
    </row>
    <row r="187" spans="1:4" x14ac:dyDescent="0.25">
      <c r="A187"/>
      <c r="B187"/>
      <c r="C187"/>
      <c r="D187"/>
    </row>
    <row r="188" spans="1:4" x14ac:dyDescent="0.25">
      <c r="A188"/>
      <c r="B188"/>
      <c r="C188"/>
      <c r="D188"/>
    </row>
    <row r="189" spans="1:4" x14ac:dyDescent="0.25">
      <c r="A189"/>
      <c r="B189"/>
      <c r="C189"/>
      <c r="D189"/>
    </row>
    <row r="190" spans="1:4" x14ac:dyDescent="0.25">
      <c r="A190"/>
      <c r="B190"/>
      <c r="C190"/>
      <c r="D190"/>
    </row>
    <row r="191" spans="1:4" x14ac:dyDescent="0.25">
      <c r="A191"/>
      <c r="B191"/>
      <c r="C191"/>
      <c r="D191"/>
    </row>
    <row r="192" spans="1:4" x14ac:dyDescent="0.25">
      <c r="A192"/>
      <c r="B192"/>
      <c r="C192"/>
      <c r="D192"/>
    </row>
    <row r="193" spans="1:4" x14ac:dyDescent="0.25">
      <c r="A193"/>
      <c r="B193"/>
      <c r="C193"/>
      <c r="D193"/>
    </row>
    <row r="194" spans="1:4" x14ac:dyDescent="0.25">
      <c r="A194"/>
      <c r="B194"/>
      <c r="C194"/>
      <c r="D194"/>
    </row>
    <row r="195" spans="1:4" x14ac:dyDescent="0.25">
      <c r="A195"/>
      <c r="B195"/>
      <c r="C195"/>
      <c r="D195"/>
    </row>
    <row r="196" spans="1:4" x14ac:dyDescent="0.25">
      <c r="A196"/>
      <c r="B196"/>
      <c r="C196"/>
      <c r="D196"/>
    </row>
    <row r="197" spans="1:4" x14ac:dyDescent="0.25">
      <c r="A197"/>
      <c r="B197"/>
      <c r="C197"/>
      <c r="D197"/>
    </row>
    <row r="198" spans="1:4" x14ac:dyDescent="0.25">
      <c r="A198"/>
      <c r="B198"/>
      <c r="C198"/>
      <c r="D198"/>
    </row>
    <row r="199" spans="1:4" x14ac:dyDescent="0.25">
      <c r="A199"/>
    </row>
    <row r="200" spans="1:4" x14ac:dyDescent="0.25">
      <c r="A200"/>
    </row>
    <row r="201" spans="1:4" x14ac:dyDescent="0.25">
      <c r="A201"/>
    </row>
    <row r="202" spans="1:4" x14ac:dyDescent="0.25">
      <c r="A202"/>
    </row>
    <row r="203" spans="1:4" x14ac:dyDescent="0.25">
      <c r="A203"/>
    </row>
    <row r="204" spans="1:4" x14ac:dyDescent="0.25">
      <c r="A204"/>
    </row>
    <row r="205" spans="1:4" x14ac:dyDescent="0.25">
      <c r="A205"/>
    </row>
  </sheetData>
  <mergeCells count="2">
    <mergeCell ref="A2:C2"/>
    <mergeCell ref="A3:F3"/>
  </mergeCells>
  <pageMargins left="0.7" right="0.7" top="0.75" bottom="0.75" header="0.3" footer="0.3"/>
  <pageSetup paperSize="9" scale="62" orientation="portrait" r:id="rId4"/>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M227"/>
  <sheetViews>
    <sheetView topLeftCell="B1" zoomScale="90" zoomScaleNormal="90" workbookViewId="0">
      <selection activeCell="C11" sqref="C11"/>
    </sheetView>
  </sheetViews>
  <sheetFormatPr defaultRowHeight="15" x14ac:dyDescent="0.25"/>
  <cols>
    <col min="1" max="1" width="14.28515625" customWidth="1"/>
    <col min="2" max="2" width="25.28515625" style="84" customWidth="1"/>
    <col min="3" max="3" width="47.28515625" customWidth="1"/>
    <col min="4" max="4" width="16" customWidth="1"/>
    <col min="6" max="7" width="0" hidden="1" customWidth="1"/>
    <col min="8" max="8" width="52.7109375" style="4" customWidth="1"/>
    <col min="9" max="9" width="10.140625" style="4" customWidth="1"/>
    <col min="10" max="10" width="18.28515625" style="4" customWidth="1"/>
    <col min="11" max="11" width="22.28515625" customWidth="1"/>
    <col min="12" max="12" width="7.7109375" customWidth="1"/>
    <col min="13" max="13" width="13.7109375" customWidth="1"/>
  </cols>
  <sheetData>
    <row r="1" spans="1:13" x14ac:dyDescent="0.25">
      <c r="A1" s="276" t="s">
        <v>498</v>
      </c>
      <c r="B1" s="18" t="s">
        <v>1122</v>
      </c>
      <c r="H1" s="487" t="s">
        <v>498</v>
      </c>
      <c r="I1" s="512" t="s">
        <v>500</v>
      </c>
    </row>
    <row r="2" spans="1:13" x14ac:dyDescent="0.25">
      <c r="H2" s="487" t="s">
        <v>401</v>
      </c>
      <c r="I2" s="512" t="s">
        <v>554</v>
      </c>
    </row>
    <row r="3" spans="1:13" x14ac:dyDescent="0.25">
      <c r="A3" s="398" t="s">
        <v>0</v>
      </c>
      <c r="B3" s="399" t="s">
        <v>558</v>
      </c>
      <c r="C3" s="285" t="s">
        <v>510</v>
      </c>
      <c r="D3" s="283" t="s">
        <v>1006</v>
      </c>
    </row>
    <row r="4" spans="1:13" x14ac:dyDescent="0.25">
      <c r="A4" s="411" t="s">
        <v>5</v>
      </c>
      <c r="B4" s="411" t="s">
        <v>21</v>
      </c>
      <c r="C4" s="18" t="s">
        <v>22</v>
      </c>
      <c r="D4" s="428">
        <v>0.67891373801916932</v>
      </c>
      <c r="H4" s="513" t="s">
        <v>414</v>
      </c>
      <c r="I4" s="514" t="s">
        <v>868</v>
      </c>
      <c r="J4" s="515" t="s">
        <v>1127</v>
      </c>
      <c r="K4" s="411" t="s">
        <v>1125</v>
      </c>
      <c r="L4" s="364" t="s">
        <v>1128</v>
      </c>
      <c r="M4" s="411" t="s">
        <v>1129</v>
      </c>
    </row>
    <row r="5" spans="1:13" x14ac:dyDescent="0.25">
      <c r="A5" s="281"/>
      <c r="B5" s="281" t="s">
        <v>17</v>
      </c>
      <c r="C5" s="18" t="s">
        <v>18</v>
      </c>
      <c r="D5" s="429">
        <v>0.87931034482758619</v>
      </c>
      <c r="H5" s="516" t="s">
        <v>5</v>
      </c>
      <c r="I5" s="517"/>
      <c r="J5" s="518"/>
      <c r="K5" s="410"/>
      <c r="L5" s="423"/>
      <c r="M5" s="425"/>
    </row>
    <row r="6" spans="1:13" x14ac:dyDescent="0.25">
      <c r="A6" s="281"/>
      <c r="B6" s="281" t="s">
        <v>4</v>
      </c>
      <c r="C6" s="18" t="s">
        <v>6</v>
      </c>
      <c r="D6" s="429">
        <v>0.65384615384615397</v>
      </c>
      <c r="H6" s="519" t="s">
        <v>5</v>
      </c>
      <c r="I6" s="517">
        <v>1273</v>
      </c>
      <c r="J6" s="518">
        <v>340</v>
      </c>
      <c r="K6" s="410">
        <v>270</v>
      </c>
      <c r="L6" s="423">
        <v>0.26708562450903378</v>
      </c>
      <c r="M6" s="425">
        <v>0.21209740769835037</v>
      </c>
    </row>
    <row r="7" spans="1:13" x14ac:dyDescent="0.25">
      <c r="A7" s="281"/>
      <c r="B7" s="281" t="s">
        <v>13</v>
      </c>
      <c r="C7" s="18" t="s">
        <v>14</v>
      </c>
      <c r="D7" s="429">
        <v>1</v>
      </c>
      <c r="H7" s="520" t="s">
        <v>22</v>
      </c>
      <c r="I7" s="521">
        <v>626</v>
      </c>
      <c r="J7" s="522">
        <v>201</v>
      </c>
      <c r="K7" s="415">
        <v>201</v>
      </c>
      <c r="L7" s="414">
        <v>0.32108626198083068</v>
      </c>
      <c r="M7" s="418">
        <v>0.32108626198083068</v>
      </c>
    </row>
    <row r="8" spans="1:13" x14ac:dyDescent="0.25">
      <c r="A8" s="281"/>
      <c r="B8" s="281" t="s">
        <v>25</v>
      </c>
      <c r="C8" s="18" t="s">
        <v>26</v>
      </c>
      <c r="D8" s="429">
        <v>3.8</v>
      </c>
      <c r="H8" s="523" t="s">
        <v>6</v>
      </c>
      <c r="I8" s="524">
        <v>260</v>
      </c>
      <c r="J8" s="525">
        <v>90</v>
      </c>
      <c r="K8" s="416">
        <v>20</v>
      </c>
      <c r="L8" s="412">
        <v>0.34615384615384615</v>
      </c>
      <c r="M8" s="419">
        <v>7.6923076923076927E-2</v>
      </c>
    </row>
    <row r="9" spans="1:13" x14ac:dyDescent="0.25">
      <c r="A9" s="281"/>
      <c r="B9" s="281" t="s">
        <v>19</v>
      </c>
      <c r="C9" s="18" t="s">
        <v>20</v>
      </c>
      <c r="D9" s="429">
        <v>0.47619047619047616</v>
      </c>
      <c r="H9" s="523" t="s">
        <v>366</v>
      </c>
      <c r="I9" s="524">
        <v>150</v>
      </c>
      <c r="J9" s="525">
        <v>24</v>
      </c>
      <c r="K9" s="416">
        <v>24</v>
      </c>
      <c r="L9" s="412">
        <v>0.16</v>
      </c>
      <c r="M9" s="419">
        <v>0.16</v>
      </c>
    </row>
    <row r="10" spans="1:13" x14ac:dyDescent="0.25">
      <c r="A10" s="281"/>
      <c r="B10" s="281" t="s">
        <v>23</v>
      </c>
      <c r="C10" s="18" t="s">
        <v>24</v>
      </c>
      <c r="D10" s="429">
        <v>2.6190476190476191</v>
      </c>
      <c r="H10" s="523" t="s">
        <v>18</v>
      </c>
      <c r="I10" s="524">
        <v>116</v>
      </c>
      <c r="J10" s="525">
        <v>14</v>
      </c>
      <c r="K10" s="416">
        <v>14</v>
      </c>
      <c r="L10" s="412">
        <v>0.1206896551724138</v>
      </c>
      <c r="M10" s="419">
        <v>0.1206896551724138</v>
      </c>
    </row>
    <row r="11" spans="1:13" x14ac:dyDescent="0.25">
      <c r="A11" s="281"/>
      <c r="B11" s="281" t="s">
        <v>376</v>
      </c>
      <c r="C11" s="18" t="s">
        <v>366</v>
      </c>
      <c r="D11" s="429">
        <v>0.83999999999999986</v>
      </c>
      <c r="H11" s="523" t="s">
        <v>20</v>
      </c>
      <c r="I11" s="524">
        <v>21</v>
      </c>
      <c r="J11" s="525">
        <v>11</v>
      </c>
      <c r="K11" s="416">
        <v>11</v>
      </c>
      <c r="L11" s="412">
        <v>0.52380952380952384</v>
      </c>
      <c r="M11" s="419">
        <v>0.52380952380952384</v>
      </c>
    </row>
    <row r="12" spans="1:13" x14ac:dyDescent="0.25">
      <c r="A12" s="281"/>
      <c r="B12" s="281" t="s">
        <v>7</v>
      </c>
      <c r="C12" s="18" t="s">
        <v>8</v>
      </c>
      <c r="D12" s="429">
        <v>1.2857142857142858</v>
      </c>
      <c r="H12" s="523" t="s">
        <v>24</v>
      </c>
      <c r="I12" s="524">
        <v>21</v>
      </c>
      <c r="J12" s="525">
        <v>0</v>
      </c>
      <c r="K12" s="416">
        <v>0</v>
      </c>
      <c r="L12" s="412">
        <v>0</v>
      </c>
      <c r="M12" s="419">
        <v>0</v>
      </c>
    </row>
    <row r="13" spans="1:13" x14ac:dyDescent="0.25">
      <c r="A13" s="282"/>
      <c r="B13" s="282" t="s">
        <v>377</v>
      </c>
      <c r="C13" s="18" t="s">
        <v>512</v>
      </c>
      <c r="D13" s="430">
        <v>3.5</v>
      </c>
      <c r="H13" s="523" t="s">
        <v>512</v>
      </c>
      <c r="I13" s="524">
        <v>12</v>
      </c>
      <c r="J13" s="525">
        <v>0</v>
      </c>
      <c r="K13" s="416">
        <v>0</v>
      </c>
      <c r="L13" s="412">
        <v>0</v>
      </c>
      <c r="M13" s="419">
        <v>0</v>
      </c>
    </row>
    <row r="14" spans="1:13" x14ac:dyDescent="0.25">
      <c r="A14" s="281" t="s">
        <v>27</v>
      </c>
      <c r="B14" s="281" t="s">
        <v>30</v>
      </c>
      <c r="C14" s="282" t="s">
        <v>28</v>
      </c>
      <c r="D14" s="429">
        <v>0.97272727272727266</v>
      </c>
      <c r="H14" s="523" t="s">
        <v>14</v>
      </c>
      <c r="I14" s="524">
        <v>38</v>
      </c>
      <c r="J14" s="525">
        <v>0</v>
      </c>
      <c r="K14" s="416">
        <v>0</v>
      </c>
      <c r="L14" s="412">
        <v>0</v>
      </c>
      <c r="M14" s="419">
        <v>0</v>
      </c>
    </row>
    <row r="15" spans="1:13" x14ac:dyDescent="0.25">
      <c r="A15" s="281"/>
      <c r="B15" s="281" t="s">
        <v>378</v>
      </c>
      <c r="C15" s="282" t="s">
        <v>365</v>
      </c>
      <c r="D15" s="429">
        <v>0.51048951048951052</v>
      </c>
      <c r="H15" s="523" t="s">
        <v>26</v>
      </c>
      <c r="I15" s="524">
        <v>15</v>
      </c>
      <c r="J15" s="525">
        <v>0</v>
      </c>
      <c r="K15" s="416">
        <v>0</v>
      </c>
      <c r="L15" s="412">
        <v>0</v>
      </c>
      <c r="M15" s="419">
        <v>0</v>
      </c>
    </row>
    <row r="16" spans="1:13" x14ac:dyDescent="0.25">
      <c r="A16" s="281"/>
      <c r="B16" s="282" t="s">
        <v>863</v>
      </c>
      <c r="C16" s="282" t="s">
        <v>864</v>
      </c>
      <c r="D16" s="430">
        <v>0</v>
      </c>
      <c r="H16" s="526" t="s">
        <v>8</v>
      </c>
      <c r="I16" s="527">
        <v>14</v>
      </c>
      <c r="J16" s="528">
        <v>0</v>
      </c>
      <c r="K16" s="417">
        <v>0</v>
      </c>
      <c r="L16" s="413">
        <v>0</v>
      </c>
      <c r="M16" s="420">
        <v>0</v>
      </c>
    </row>
    <row r="17" spans="1:13" x14ac:dyDescent="0.25">
      <c r="A17" s="281"/>
      <c r="B17" s="334" t="s">
        <v>29</v>
      </c>
      <c r="C17" s="334" t="s">
        <v>364</v>
      </c>
      <c r="D17" s="284">
        <v>0</v>
      </c>
      <c r="H17" s="529" t="s">
        <v>27</v>
      </c>
      <c r="I17" s="527"/>
      <c r="J17" s="528"/>
      <c r="K17" s="417"/>
      <c r="L17" s="413"/>
      <c r="M17" s="420"/>
    </row>
    <row r="18" spans="1:13" x14ac:dyDescent="0.25">
      <c r="A18" s="282"/>
      <c r="B18" s="334" t="s">
        <v>1020</v>
      </c>
      <c r="C18" s="334" t="s">
        <v>1019</v>
      </c>
      <c r="D18" s="284">
        <v>0</v>
      </c>
      <c r="H18" s="533" t="s">
        <v>27</v>
      </c>
      <c r="I18" s="527">
        <v>501</v>
      </c>
      <c r="J18" s="528">
        <v>321</v>
      </c>
      <c r="K18" s="417">
        <v>321</v>
      </c>
      <c r="L18" s="413">
        <v>0.64071856287425155</v>
      </c>
      <c r="M18" s="420">
        <v>0.64071856287425155</v>
      </c>
    </row>
    <row r="19" spans="1:13" x14ac:dyDescent="0.25">
      <c r="A19" s="281" t="s">
        <v>527</v>
      </c>
      <c r="B19" s="281" t="s">
        <v>1007</v>
      </c>
      <c r="C19" s="281" t="s">
        <v>899</v>
      </c>
      <c r="D19" s="429">
        <v>0</v>
      </c>
      <c r="H19" s="530" t="s">
        <v>364</v>
      </c>
      <c r="I19" s="524">
        <v>156</v>
      </c>
      <c r="J19" s="525">
        <v>156</v>
      </c>
      <c r="K19" s="416">
        <v>156</v>
      </c>
      <c r="L19" s="412">
        <v>1</v>
      </c>
      <c r="M19" s="419">
        <v>1</v>
      </c>
    </row>
    <row r="20" spans="1:13" x14ac:dyDescent="0.25">
      <c r="A20" s="281"/>
      <c r="B20" s="281"/>
      <c r="C20" s="282" t="s">
        <v>859</v>
      </c>
      <c r="D20" s="429">
        <v>0</v>
      </c>
      <c r="H20" s="531" t="s">
        <v>365</v>
      </c>
      <c r="I20" s="524">
        <v>143</v>
      </c>
      <c r="J20" s="525">
        <v>70</v>
      </c>
      <c r="K20" s="416">
        <v>70</v>
      </c>
      <c r="L20" s="412">
        <v>0.48951048951048953</v>
      </c>
      <c r="M20" s="419">
        <v>0.48951048951048953</v>
      </c>
    </row>
    <row r="21" spans="1:13" x14ac:dyDescent="0.25">
      <c r="A21" s="281"/>
      <c r="B21" s="281" t="s">
        <v>99</v>
      </c>
      <c r="C21" s="282" t="s">
        <v>100</v>
      </c>
      <c r="D21" s="429">
        <v>2.5</v>
      </c>
      <c r="H21" s="531" t="s">
        <v>864</v>
      </c>
      <c r="I21" s="524">
        <v>61</v>
      </c>
      <c r="J21" s="525">
        <v>61</v>
      </c>
      <c r="K21" s="416">
        <v>61</v>
      </c>
      <c r="L21" s="412">
        <v>1</v>
      </c>
      <c r="M21" s="419">
        <v>1</v>
      </c>
    </row>
    <row r="22" spans="1:13" x14ac:dyDescent="0.25">
      <c r="A22" s="281"/>
      <c r="B22" s="281" t="s">
        <v>107</v>
      </c>
      <c r="C22" s="282" t="s">
        <v>108</v>
      </c>
      <c r="D22" s="429">
        <v>1.0784313725490196</v>
      </c>
      <c r="H22" s="531" t="s">
        <v>1019</v>
      </c>
      <c r="I22" s="524">
        <v>31</v>
      </c>
      <c r="J22" s="525">
        <v>31</v>
      </c>
      <c r="K22" s="416">
        <v>31</v>
      </c>
      <c r="L22" s="412">
        <v>1</v>
      </c>
      <c r="M22" s="419">
        <v>1</v>
      </c>
    </row>
    <row r="23" spans="1:13" x14ac:dyDescent="0.25">
      <c r="A23" s="281"/>
      <c r="B23" s="281" t="s">
        <v>139</v>
      </c>
      <c r="C23" s="282" t="s">
        <v>140</v>
      </c>
      <c r="D23" s="429">
        <v>0.83333333333333337</v>
      </c>
      <c r="H23" s="532" t="s">
        <v>28</v>
      </c>
      <c r="I23" s="527">
        <v>110</v>
      </c>
      <c r="J23" s="528">
        <v>3</v>
      </c>
      <c r="K23" s="417">
        <v>3</v>
      </c>
      <c r="L23" s="413">
        <v>2.7272727272727271E-2</v>
      </c>
      <c r="M23" s="420">
        <v>2.7272727272727271E-2</v>
      </c>
    </row>
    <row r="24" spans="1:13" x14ac:dyDescent="0.25">
      <c r="A24" s="281"/>
      <c r="B24" s="281" t="s">
        <v>71</v>
      </c>
      <c r="C24" s="282" t="s">
        <v>72</v>
      </c>
      <c r="D24" s="429">
        <v>1</v>
      </c>
      <c r="H24" s="529" t="s">
        <v>527</v>
      </c>
      <c r="I24" s="527"/>
      <c r="J24" s="528"/>
      <c r="K24" s="417"/>
      <c r="L24" s="413"/>
      <c r="M24" s="420"/>
    </row>
    <row r="25" spans="1:13" x14ac:dyDescent="0.25">
      <c r="A25" s="281"/>
      <c r="B25" s="281" t="s">
        <v>51</v>
      </c>
      <c r="C25" s="282" t="s">
        <v>52</v>
      </c>
      <c r="D25" s="429">
        <v>0.52631578947368418</v>
      </c>
      <c r="H25" s="533" t="s">
        <v>527</v>
      </c>
      <c r="I25" s="527">
        <v>802</v>
      </c>
      <c r="J25" s="528">
        <v>406</v>
      </c>
      <c r="K25" s="417">
        <v>406</v>
      </c>
      <c r="L25" s="413">
        <v>0.50623441396508728</v>
      </c>
      <c r="M25" s="420">
        <v>0.50623441396508728</v>
      </c>
    </row>
    <row r="26" spans="1:13" x14ac:dyDescent="0.25">
      <c r="A26" s="281"/>
      <c r="B26" s="281" t="s">
        <v>75</v>
      </c>
      <c r="C26" s="282" t="s">
        <v>76</v>
      </c>
      <c r="D26" s="429">
        <v>1.1363636363636365</v>
      </c>
      <c r="H26" s="531" t="s">
        <v>1065</v>
      </c>
      <c r="I26" s="524">
        <v>103</v>
      </c>
      <c r="J26" s="525">
        <v>103</v>
      </c>
      <c r="K26" s="416">
        <v>103</v>
      </c>
      <c r="L26" s="412">
        <v>1</v>
      </c>
      <c r="M26" s="419">
        <v>1</v>
      </c>
    </row>
    <row r="27" spans="1:13" x14ac:dyDescent="0.25">
      <c r="A27" s="281"/>
      <c r="B27" s="281" t="s">
        <v>40</v>
      </c>
      <c r="C27" s="282" t="s">
        <v>41</v>
      </c>
      <c r="D27" s="429">
        <v>0.89552238805970152</v>
      </c>
      <c r="H27" s="531" t="s">
        <v>120</v>
      </c>
      <c r="I27" s="524">
        <v>77</v>
      </c>
      <c r="J27" s="525">
        <v>65</v>
      </c>
      <c r="K27" s="416">
        <v>65</v>
      </c>
      <c r="L27" s="412">
        <v>0.8441558441558441</v>
      </c>
      <c r="M27" s="419">
        <v>0.8441558441558441</v>
      </c>
    </row>
    <row r="28" spans="1:13" x14ac:dyDescent="0.25">
      <c r="A28" s="281"/>
      <c r="B28" s="281" t="s">
        <v>61</v>
      </c>
      <c r="C28" s="282" t="s">
        <v>62</v>
      </c>
      <c r="D28" s="429">
        <v>0.29850746268656714</v>
      </c>
      <c r="H28" s="532" t="s">
        <v>62</v>
      </c>
      <c r="I28" s="527">
        <v>67</v>
      </c>
      <c r="J28" s="528">
        <v>47</v>
      </c>
      <c r="K28" s="417">
        <v>47</v>
      </c>
      <c r="L28" s="413">
        <v>0.70149253731343286</v>
      </c>
      <c r="M28" s="420">
        <v>0.70149253731343286</v>
      </c>
    </row>
    <row r="29" spans="1:13" x14ac:dyDescent="0.25">
      <c r="A29" s="281"/>
      <c r="B29" s="281" t="s">
        <v>89</v>
      </c>
      <c r="C29" s="282" t="s">
        <v>90</v>
      </c>
      <c r="D29" s="429">
        <v>1</v>
      </c>
      <c r="H29" s="531" t="s">
        <v>1456</v>
      </c>
      <c r="I29" s="524">
        <v>42</v>
      </c>
      <c r="J29" s="525">
        <v>42</v>
      </c>
      <c r="K29" s="416">
        <v>42</v>
      </c>
      <c r="L29" s="412">
        <v>1</v>
      </c>
      <c r="M29" s="419">
        <v>1</v>
      </c>
    </row>
    <row r="30" spans="1:13" x14ac:dyDescent="0.25">
      <c r="A30" s="281"/>
      <c r="B30" s="281" t="s">
        <v>117</v>
      </c>
      <c r="C30" s="282" t="s">
        <v>118</v>
      </c>
      <c r="D30" s="429">
        <v>1</v>
      </c>
      <c r="H30" s="531" t="s">
        <v>1452</v>
      </c>
      <c r="I30" s="524">
        <v>32</v>
      </c>
      <c r="J30" s="525">
        <v>32</v>
      </c>
      <c r="K30" s="416">
        <v>32</v>
      </c>
      <c r="L30" s="412">
        <v>1</v>
      </c>
      <c r="M30" s="419">
        <v>1</v>
      </c>
    </row>
    <row r="31" spans="1:13" x14ac:dyDescent="0.25">
      <c r="A31" s="281"/>
      <c r="B31" s="281" t="s">
        <v>123</v>
      </c>
      <c r="C31" s="282" t="s">
        <v>124</v>
      </c>
      <c r="D31" s="429">
        <v>0.625</v>
      </c>
      <c r="H31" s="531" t="s">
        <v>1454</v>
      </c>
      <c r="I31" s="524">
        <v>22</v>
      </c>
      <c r="J31" s="525">
        <v>22</v>
      </c>
      <c r="K31" s="416">
        <v>22</v>
      </c>
      <c r="L31" s="412">
        <v>1</v>
      </c>
      <c r="M31" s="419">
        <v>1</v>
      </c>
    </row>
    <row r="32" spans="1:13" x14ac:dyDescent="0.25">
      <c r="A32" s="281"/>
      <c r="B32" s="281" t="s">
        <v>125</v>
      </c>
      <c r="C32" s="282" t="s">
        <v>126</v>
      </c>
      <c r="D32" s="429">
        <v>0.42857142857142855</v>
      </c>
      <c r="H32" s="530" t="s">
        <v>126</v>
      </c>
      <c r="I32" s="524">
        <v>35</v>
      </c>
      <c r="J32" s="525">
        <v>20</v>
      </c>
      <c r="K32" s="416">
        <v>20</v>
      </c>
      <c r="L32" s="412">
        <v>0.5714285714285714</v>
      </c>
      <c r="M32" s="419">
        <v>0.5714285714285714</v>
      </c>
    </row>
    <row r="33" spans="1:13" x14ac:dyDescent="0.25">
      <c r="A33" s="281"/>
      <c r="B33" s="281" t="s">
        <v>45</v>
      </c>
      <c r="C33" s="282" t="s">
        <v>44</v>
      </c>
      <c r="D33" s="429">
        <v>3</v>
      </c>
      <c r="H33" s="532" t="s">
        <v>52</v>
      </c>
      <c r="I33" s="527">
        <v>38</v>
      </c>
      <c r="J33" s="528">
        <v>18</v>
      </c>
      <c r="K33" s="417">
        <v>18</v>
      </c>
      <c r="L33" s="413">
        <v>0.47368421052631576</v>
      </c>
      <c r="M33" s="420">
        <v>0.47368421052631576</v>
      </c>
    </row>
    <row r="34" spans="1:13" x14ac:dyDescent="0.25">
      <c r="A34" s="281"/>
      <c r="B34" s="281" t="s">
        <v>46</v>
      </c>
      <c r="C34" s="282" t="s">
        <v>611</v>
      </c>
      <c r="D34" s="429">
        <v>1.25</v>
      </c>
      <c r="H34" s="531" t="s">
        <v>1453</v>
      </c>
      <c r="I34" s="524">
        <v>13</v>
      </c>
      <c r="J34" s="525">
        <v>13</v>
      </c>
      <c r="K34" s="416">
        <v>13</v>
      </c>
      <c r="L34" s="412">
        <v>1</v>
      </c>
      <c r="M34" s="419">
        <v>1</v>
      </c>
    </row>
    <row r="35" spans="1:13" x14ac:dyDescent="0.25">
      <c r="A35" s="281"/>
      <c r="B35" s="281" t="s">
        <v>42</v>
      </c>
      <c r="C35" s="282" t="s">
        <v>43</v>
      </c>
      <c r="D35" s="429">
        <v>0.7142857142857143</v>
      </c>
      <c r="H35" s="532" t="s">
        <v>88</v>
      </c>
      <c r="I35" s="527">
        <v>13</v>
      </c>
      <c r="J35" s="528">
        <v>13</v>
      </c>
      <c r="K35" s="417">
        <v>13</v>
      </c>
      <c r="L35" s="413">
        <v>1</v>
      </c>
      <c r="M35" s="420">
        <v>1</v>
      </c>
    </row>
    <row r="36" spans="1:13" x14ac:dyDescent="0.25">
      <c r="A36" s="281"/>
      <c r="B36" s="282" t="s">
        <v>91</v>
      </c>
      <c r="C36" s="282" t="s">
        <v>92</v>
      </c>
      <c r="D36" s="430">
        <v>1</v>
      </c>
      <c r="H36" s="531" t="s">
        <v>1455</v>
      </c>
      <c r="I36" s="524">
        <v>7</v>
      </c>
      <c r="J36" s="525">
        <v>7</v>
      </c>
      <c r="K36" s="416">
        <v>7</v>
      </c>
      <c r="L36" s="412">
        <v>1</v>
      </c>
      <c r="M36" s="419">
        <v>1</v>
      </c>
    </row>
    <row r="37" spans="1:13" x14ac:dyDescent="0.25">
      <c r="A37" s="281"/>
      <c r="B37" s="334" t="s">
        <v>1121</v>
      </c>
      <c r="C37" s="334" t="s">
        <v>1120</v>
      </c>
      <c r="D37" s="284">
        <v>0.96153846153846156</v>
      </c>
      <c r="H37" s="532" t="s">
        <v>41</v>
      </c>
      <c r="I37" s="527">
        <v>67</v>
      </c>
      <c r="J37" s="528">
        <v>7</v>
      </c>
      <c r="K37" s="417">
        <v>7</v>
      </c>
      <c r="L37" s="413">
        <v>0.1044776119402985</v>
      </c>
      <c r="M37" s="420">
        <v>0.1044776119402985</v>
      </c>
    </row>
    <row r="38" spans="1:13" x14ac:dyDescent="0.25">
      <c r="A38" s="282"/>
      <c r="B38" s="334" t="s">
        <v>119</v>
      </c>
      <c r="C38" s="334" t="s">
        <v>120</v>
      </c>
      <c r="D38" s="284">
        <v>0.15584415584415584</v>
      </c>
      <c r="H38" s="531" t="s">
        <v>1415</v>
      </c>
      <c r="I38" s="524">
        <v>6</v>
      </c>
      <c r="J38" s="525">
        <v>6</v>
      </c>
      <c r="K38" s="416">
        <v>6</v>
      </c>
      <c r="L38" s="412">
        <v>1</v>
      </c>
      <c r="M38" s="419">
        <v>1</v>
      </c>
    </row>
    <row r="39" spans="1:13" x14ac:dyDescent="0.25">
      <c r="A39" s="281" t="s">
        <v>146</v>
      </c>
      <c r="B39" s="281" t="s">
        <v>148</v>
      </c>
      <c r="C39" s="282" t="s">
        <v>149</v>
      </c>
      <c r="D39" s="429">
        <v>0.40625</v>
      </c>
      <c r="H39" s="531" t="s">
        <v>43</v>
      </c>
      <c r="I39" s="524">
        <v>14</v>
      </c>
      <c r="J39" s="525">
        <v>4</v>
      </c>
      <c r="K39" s="416">
        <v>4</v>
      </c>
      <c r="L39" s="412">
        <v>0.2857142857142857</v>
      </c>
      <c r="M39" s="419">
        <v>0.2857142857142857</v>
      </c>
    </row>
    <row r="40" spans="1:13" x14ac:dyDescent="0.25">
      <c r="A40" s="281"/>
      <c r="B40" s="281" t="s">
        <v>383</v>
      </c>
      <c r="C40" s="282" t="s">
        <v>369</v>
      </c>
      <c r="D40" s="429">
        <v>1.3114754098360655</v>
      </c>
      <c r="H40" s="531" t="s">
        <v>124</v>
      </c>
      <c r="I40" s="524">
        <v>8</v>
      </c>
      <c r="J40" s="525">
        <v>3</v>
      </c>
      <c r="K40" s="416">
        <v>3</v>
      </c>
      <c r="L40" s="412">
        <v>0.375</v>
      </c>
      <c r="M40" s="419">
        <v>0.375</v>
      </c>
    </row>
    <row r="41" spans="1:13" x14ac:dyDescent="0.25">
      <c r="A41" s="281"/>
      <c r="B41" s="281" t="s">
        <v>384</v>
      </c>
      <c r="C41" s="282" t="s">
        <v>370</v>
      </c>
      <c r="D41" s="429">
        <v>1.6</v>
      </c>
      <c r="H41" s="531" t="s">
        <v>1120</v>
      </c>
      <c r="I41" s="524">
        <v>52</v>
      </c>
      <c r="J41" s="525">
        <v>2</v>
      </c>
      <c r="K41" s="416">
        <v>2</v>
      </c>
      <c r="L41" s="412">
        <v>3.8461538461538464E-2</v>
      </c>
      <c r="M41" s="419">
        <v>3.8461538461538464E-2</v>
      </c>
    </row>
    <row r="42" spans="1:13" x14ac:dyDescent="0.25">
      <c r="A42" s="281"/>
      <c r="B42" s="281" t="s">
        <v>382</v>
      </c>
      <c r="C42" s="282" t="s">
        <v>372</v>
      </c>
      <c r="D42" s="429">
        <v>1.375</v>
      </c>
      <c r="H42" s="531" t="s">
        <v>140</v>
      </c>
      <c r="I42" s="524">
        <v>12</v>
      </c>
      <c r="J42" s="525">
        <v>2</v>
      </c>
      <c r="K42" s="416">
        <v>2</v>
      </c>
      <c r="L42" s="412">
        <v>0.16666666666666666</v>
      </c>
      <c r="M42" s="419">
        <v>0.16666666666666666</v>
      </c>
    </row>
    <row r="43" spans="1:13" x14ac:dyDescent="0.25">
      <c r="A43" s="281"/>
      <c r="B43" s="281" t="s">
        <v>385</v>
      </c>
      <c r="C43" s="282" t="s">
        <v>368</v>
      </c>
      <c r="D43" s="429">
        <v>0.91304347826086951</v>
      </c>
      <c r="H43" s="531" t="s">
        <v>108</v>
      </c>
      <c r="I43" s="524">
        <v>51</v>
      </c>
      <c r="J43" s="525">
        <v>0</v>
      </c>
      <c r="K43" s="416">
        <v>0</v>
      </c>
      <c r="L43" s="412">
        <v>0</v>
      </c>
      <c r="M43" s="419">
        <v>0</v>
      </c>
    </row>
    <row r="44" spans="1:13" x14ac:dyDescent="0.25">
      <c r="A44" s="281"/>
      <c r="B44" s="281" t="s">
        <v>387</v>
      </c>
      <c r="C44" s="282" t="s">
        <v>373</v>
      </c>
      <c r="D44" s="429">
        <v>0.53157894736842104</v>
      </c>
      <c r="H44" s="531" t="s">
        <v>118</v>
      </c>
      <c r="I44" s="524">
        <v>10</v>
      </c>
      <c r="J44" s="525">
        <v>0</v>
      </c>
      <c r="K44" s="416">
        <v>0</v>
      </c>
      <c r="L44" s="412">
        <v>0</v>
      </c>
      <c r="M44" s="419">
        <v>0</v>
      </c>
    </row>
    <row r="45" spans="1:13" x14ac:dyDescent="0.25">
      <c r="A45" s="281"/>
      <c r="B45" s="282" t="s">
        <v>147</v>
      </c>
      <c r="C45" s="282" t="s">
        <v>371</v>
      </c>
      <c r="D45" s="430">
        <v>0.10204081632653061</v>
      </c>
      <c r="H45" s="531" t="s">
        <v>90</v>
      </c>
      <c r="I45" s="524">
        <v>25</v>
      </c>
      <c r="J45" s="525">
        <v>0</v>
      </c>
      <c r="K45" s="416">
        <v>0</v>
      </c>
      <c r="L45" s="412">
        <v>0</v>
      </c>
      <c r="M45" s="419">
        <v>0</v>
      </c>
    </row>
    <row r="46" spans="1:13" x14ac:dyDescent="0.25">
      <c r="A46" s="282"/>
      <c r="B46" s="334" t="s">
        <v>1101</v>
      </c>
      <c r="C46" s="334" t="s">
        <v>1102</v>
      </c>
      <c r="D46" s="284">
        <v>0</v>
      </c>
      <c r="H46" s="531" t="s">
        <v>72</v>
      </c>
      <c r="I46" s="524">
        <v>6</v>
      </c>
      <c r="J46" s="525">
        <v>0</v>
      </c>
      <c r="K46" s="416">
        <v>0</v>
      </c>
      <c r="L46" s="412">
        <v>0</v>
      </c>
      <c r="M46" s="419">
        <v>0</v>
      </c>
    </row>
    <row r="47" spans="1:13" x14ac:dyDescent="0.25">
      <c r="A47" s="281" t="s">
        <v>151</v>
      </c>
      <c r="B47" s="281" t="s">
        <v>150</v>
      </c>
      <c r="C47" s="282" t="s">
        <v>152</v>
      </c>
      <c r="D47" s="429">
        <v>0.53299492385786806</v>
      </c>
      <c r="H47" s="531" t="s">
        <v>44</v>
      </c>
      <c r="I47" s="524">
        <v>5</v>
      </c>
      <c r="J47" s="525">
        <v>0</v>
      </c>
      <c r="K47" s="416">
        <v>0</v>
      </c>
      <c r="L47" s="412">
        <v>0</v>
      </c>
      <c r="M47" s="419">
        <v>0</v>
      </c>
    </row>
    <row r="48" spans="1:13" x14ac:dyDescent="0.25">
      <c r="A48" s="281"/>
      <c r="B48" s="281" t="s">
        <v>197</v>
      </c>
      <c r="C48" s="282" t="s">
        <v>198</v>
      </c>
      <c r="D48" s="429">
        <v>0.9780219780219781</v>
      </c>
      <c r="H48" s="531" t="s">
        <v>611</v>
      </c>
      <c r="I48" s="524">
        <v>12</v>
      </c>
      <c r="J48" s="525">
        <v>0</v>
      </c>
      <c r="K48" s="416">
        <v>0</v>
      </c>
      <c r="L48" s="412">
        <v>0</v>
      </c>
      <c r="M48" s="419">
        <v>0</v>
      </c>
    </row>
    <row r="49" spans="1:13" x14ac:dyDescent="0.25">
      <c r="A49" s="281"/>
      <c r="B49" s="281" t="s">
        <v>153</v>
      </c>
      <c r="C49" s="282" t="s">
        <v>154</v>
      </c>
      <c r="D49" s="429">
        <v>0.45454545454545453</v>
      </c>
      <c r="H49" s="531" t="s">
        <v>76</v>
      </c>
      <c r="I49" s="524">
        <v>66</v>
      </c>
      <c r="J49" s="525">
        <v>0</v>
      </c>
      <c r="K49" s="416">
        <v>0</v>
      </c>
      <c r="L49" s="412">
        <v>0</v>
      </c>
      <c r="M49" s="419">
        <v>0</v>
      </c>
    </row>
    <row r="50" spans="1:13" x14ac:dyDescent="0.25">
      <c r="A50" s="281"/>
      <c r="B50" s="281" t="s">
        <v>159</v>
      </c>
      <c r="C50" s="282" t="s">
        <v>160</v>
      </c>
      <c r="D50" s="429">
        <v>0.69158878504672894</v>
      </c>
      <c r="H50" s="531" t="s">
        <v>100</v>
      </c>
      <c r="I50" s="524">
        <v>4</v>
      </c>
      <c r="J50" s="525">
        <v>0</v>
      </c>
      <c r="K50" s="416">
        <v>0</v>
      </c>
      <c r="L50" s="412">
        <v>0</v>
      </c>
      <c r="M50" s="419">
        <v>0</v>
      </c>
    </row>
    <row r="51" spans="1:13" x14ac:dyDescent="0.25">
      <c r="A51" s="281"/>
      <c r="B51" s="281" t="s">
        <v>886</v>
      </c>
      <c r="C51" s="282" t="s">
        <v>885</v>
      </c>
      <c r="D51" s="429">
        <v>0.8262032085561497</v>
      </c>
      <c r="H51" s="532" t="s">
        <v>92</v>
      </c>
      <c r="I51" s="527">
        <v>15</v>
      </c>
      <c r="J51" s="528">
        <v>0</v>
      </c>
      <c r="K51" s="417">
        <v>0</v>
      </c>
      <c r="L51" s="413">
        <v>0</v>
      </c>
      <c r="M51" s="420">
        <v>0</v>
      </c>
    </row>
    <row r="52" spans="1:13" x14ac:dyDescent="0.25">
      <c r="A52" s="281"/>
      <c r="B52" s="281" t="s">
        <v>187</v>
      </c>
      <c r="C52" s="282" t="s">
        <v>188</v>
      </c>
      <c r="D52" s="429">
        <v>0.43181818181818182</v>
      </c>
      <c r="H52" s="529" t="s">
        <v>779</v>
      </c>
      <c r="I52" s="527"/>
      <c r="J52" s="528"/>
      <c r="K52" s="417"/>
      <c r="L52" s="413"/>
      <c r="M52" s="420"/>
    </row>
    <row r="53" spans="1:13" x14ac:dyDescent="0.25">
      <c r="A53" s="282"/>
      <c r="B53" s="282" t="s">
        <v>941</v>
      </c>
      <c r="C53" s="282" t="s">
        <v>942</v>
      </c>
      <c r="D53" s="430">
        <v>0.3571428571428571</v>
      </c>
      <c r="H53" s="533" t="s">
        <v>779</v>
      </c>
      <c r="I53" s="527">
        <v>58</v>
      </c>
      <c r="J53" s="528">
        <v>23</v>
      </c>
      <c r="K53" s="417">
        <v>23</v>
      </c>
      <c r="L53" s="413">
        <v>0.39655172413793105</v>
      </c>
      <c r="M53" s="420">
        <v>0.39655172413793105</v>
      </c>
    </row>
    <row r="54" spans="1:13" x14ac:dyDescent="0.25">
      <c r="A54" s="281" t="s">
        <v>166</v>
      </c>
      <c r="B54" s="281" t="s">
        <v>165</v>
      </c>
      <c r="C54" s="282" t="s">
        <v>167</v>
      </c>
      <c r="D54" s="429">
        <v>1.1111111111111112</v>
      </c>
      <c r="H54" s="531" t="s">
        <v>1425</v>
      </c>
      <c r="I54" s="524">
        <v>20</v>
      </c>
      <c r="J54" s="525">
        <v>20</v>
      </c>
      <c r="K54" s="416">
        <v>20</v>
      </c>
      <c r="L54" s="412">
        <v>1</v>
      </c>
      <c r="M54" s="419">
        <v>1</v>
      </c>
    </row>
    <row r="55" spans="1:13" x14ac:dyDescent="0.25">
      <c r="A55" s="281"/>
      <c r="B55" s="281" t="s">
        <v>168</v>
      </c>
      <c r="C55" s="282" t="s">
        <v>169</v>
      </c>
      <c r="D55" s="429">
        <v>0.3125</v>
      </c>
      <c r="H55" s="532" t="s">
        <v>1275</v>
      </c>
      <c r="I55" s="527">
        <v>38</v>
      </c>
      <c r="J55" s="528">
        <v>3</v>
      </c>
      <c r="K55" s="417">
        <v>3</v>
      </c>
      <c r="L55" s="413">
        <v>7.8947368421052627E-2</v>
      </c>
      <c r="M55" s="420">
        <v>7.8947368421052627E-2</v>
      </c>
    </row>
    <row r="56" spans="1:13" x14ac:dyDescent="0.25">
      <c r="A56" s="282"/>
      <c r="B56" s="282" t="s">
        <v>823</v>
      </c>
      <c r="C56" s="282" t="s">
        <v>822</v>
      </c>
      <c r="D56" s="430">
        <v>1.0344827586206897</v>
      </c>
      <c r="H56" s="529" t="s">
        <v>1182</v>
      </c>
      <c r="I56" s="527"/>
      <c r="J56" s="528"/>
      <c r="K56" s="417"/>
      <c r="L56" s="413"/>
      <c r="M56" s="420"/>
    </row>
    <row r="57" spans="1:13" x14ac:dyDescent="0.25">
      <c r="A57" s="281" t="s">
        <v>173</v>
      </c>
      <c r="B57" s="281" t="s">
        <v>175</v>
      </c>
      <c r="C57" s="282" t="s">
        <v>176</v>
      </c>
      <c r="D57" s="429">
        <v>0.66666666666666663</v>
      </c>
      <c r="H57" s="533" t="s">
        <v>298</v>
      </c>
      <c r="I57" s="527">
        <v>383</v>
      </c>
      <c r="J57" s="528">
        <v>375</v>
      </c>
      <c r="K57" s="417">
        <v>375</v>
      </c>
      <c r="L57" s="413">
        <v>0.97911227154046998</v>
      </c>
      <c r="M57" s="420">
        <v>0.97911227154046998</v>
      </c>
    </row>
    <row r="58" spans="1:13" x14ac:dyDescent="0.25">
      <c r="A58" s="281"/>
      <c r="B58" s="281" t="s">
        <v>172</v>
      </c>
      <c r="C58" s="282" t="s">
        <v>174</v>
      </c>
      <c r="D58" s="429">
        <v>1.1538461538461537</v>
      </c>
      <c r="H58" s="531" t="s">
        <v>1607</v>
      </c>
      <c r="I58" s="524">
        <v>224</v>
      </c>
      <c r="J58" s="525">
        <v>224</v>
      </c>
      <c r="K58" s="416">
        <v>224</v>
      </c>
      <c r="L58" s="412">
        <v>1</v>
      </c>
      <c r="M58" s="419">
        <v>1</v>
      </c>
    </row>
    <row r="59" spans="1:13" x14ac:dyDescent="0.25">
      <c r="A59" s="281"/>
      <c r="B59" s="282" t="s">
        <v>177</v>
      </c>
      <c r="C59" s="282" t="s">
        <v>178</v>
      </c>
      <c r="D59" s="430">
        <v>1.25</v>
      </c>
      <c r="H59" s="531" t="s">
        <v>1612</v>
      </c>
      <c r="I59" s="524">
        <v>59</v>
      </c>
      <c r="J59" s="525">
        <v>59</v>
      </c>
      <c r="K59" s="416">
        <v>59</v>
      </c>
      <c r="L59" s="412">
        <v>1</v>
      </c>
      <c r="M59" s="419">
        <v>1</v>
      </c>
    </row>
    <row r="60" spans="1:13" x14ac:dyDescent="0.25">
      <c r="A60" s="282"/>
      <c r="B60" s="334" t="s">
        <v>1270</v>
      </c>
      <c r="C60" s="334" t="s">
        <v>1277</v>
      </c>
      <c r="D60" s="284">
        <v>1.3333333333333333</v>
      </c>
      <c r="H60" s="531" t="s">
        <v>1610</v>
      </c>
      <c r="I60" s="524">
        <v>41</v>
      </c>
      <c r="J60" s="525">
        <v>41</v>
      </c>
      <c r="K60" s="416">
        <v>41</v>
      </c>
      <c r="L60" s="412">
        <v>1</v>
      </c>
      <c r="M60" s="419">
        <v>1</v>
      </c>
    </row>
    <row r="61" spans="1:13" x14ac:dyDescent="0.25">
      <c r="A61" s="281" t="s">
        <v>180</v>
      </c>
      <c r="B61" s="281" t="s">
        <v>179</v>
      </c>
      <c r="C61" s="282" t="s">
        <v>181</v>
      </c>
      <c r="D61" s="429">
        <v>1</v>
      </c>
      <c r="H61" s="531" t="s">
        <v>1611</v>
      </c>
      <c r="I61" s="524">
        <v>19</v>
      </c>
      <c r="J61" s="525">
        <v>19</v>
      </c>
      <c r="K61" s="416">
        <v>19</v>
      </c>
      <c r="L61" s="412">
        <v>1</v>
      </c>
      <c r="M61" s="419">
        <v>1</v>
      </c>
    </row>
    <row r="62" spans="1:13" x14ac:dyDescent="0.25">
      <c r="A62" s="282"/>
      <c r="B62" s="282" t="s">
        <v>286</v>
      </c>
      <c r="C62" s="282" t="s">
        <v>287</v>
      </c>
      <c r="D62" s="430">
        <v>3</v>
      </c>
      <c r="H62" s="531" t="s">
        <v>1419</v>
      </c>
      <c r="I62" s="524">
        <v>19</v>
      </c>
      <c r="J62" s="525">
        <v>19</v>
      </c>
      <c r="K62" s="416">
        <v>19</v>
      </c>
      <c r="L62" s="412">
        <v>1</v>
      </c>
      <c r="M62" s="419">
        <v>1</v>
      </c>
    </row>
    <row r="63" spans="1:13" x14ac:dyDescent="0.25">
      <c r="A63" s="281" t="s">
        <v>185</v>
      </c>
      <c r="B63" s="281" t="s">
        <v>208</v>
      </c>
      <c r="C63" s="282" t="s">
        <v>209</v>
      </c>
      <c r="D63" s="429">
        <v>1.2212389380530975</v>
      </c>
      <c r="H63" s="531" t="s">
        <v>1609</v>
      </c>
      <c r="I63" s="524">
        <v>13</v>
      </c>
      <c r="J63" s="525">
        <v>13</v>
      </c>
      <c r="K63" s="416">
        <v>13</v>
      </c>
      <c r="L63" s="412">
        <v>1</v>
      </c>
      <c r="M63" s="419">
        <v>1</v>
      </c>
    </row>
    <row r="64" spans="1:13" x14ac:dyDescent="0.25">
      <c r="A64" s="281"/>
      <c r="B64" s="281" t="s">
        <v>201</v>
      </c>
      <c r="C64" s="282" t="s">
        <v>202</v>
      </c>
      <c r="D64" s="429">
        <v>0.58174904942965777</v>
      </c>
      <c r="H64" s="531" t="s">
        <v>821</v>
      </c>
      <c r="I64" s="527">
        <v>8</v>
      </c>
      <c r="J64" s="528">
        <v>0</v>
      </c>
      <c r="K64" s="417">
        <v>0</v>
      </c>
      <c r="L64" s="413">
        <v>0</v>
      </c>
      <c r="M64" s="420">
        <v>0</v>
      </c>
    </row>
    <row r="65" spans="1:13" x14ac:dyDescent="0.25">
      <c r="A65" s="281"/>
      <c r="B65" s="281" t="s">
        <v>222</v>
      </c>
      <c r="C65" s="282" t="s">
        <v>223</v>
      </c>
      <c r="D65" s="429">
        <v>0.54032258064516125</v>
      </c>
      <c r="H65" s="533" t="s">
        <v>808</v>
      </c>
      <c r="I65" s="527">
        <v>166</v>
      </c>
      <c r="J65" s="528">
        <v>166</v>
      </c>
      <c r="K65" s="417">
        <v>166</v>
      </c>
      <c r="L65" s="413">
        <v>1</v>
      </c>
      <c r="M65" s="420">
        <v>1</v>
      </c>
    </row>
    <row r="66" spans="1:13" x14ac:dyDescent="0.25">
      <c r="A66" s="281"/>
      <c r="B66" s="281" t="s">
        <v>189</v>
      </c>
      <c r="C66" s="282" t="s">
        <v>190</v>
      </c>
      <c r="D66" s="429">
        <v>0.42708333333333337</v>
      </c>
      <c r="H66" s="531" t="s">
        <v>1298</v>
      </c>
      <c r="I66" s="524">
        <v>161</v>
      </c>
      <c r="J66" s="525">
        <v>161</v>
      </c>
      <c r="K66" s="416">
        <v>161</v>
      </c>
      <c r="L66" s="412">
        <v>1</v>
      </c>
      <c r="M66" s="419">
        <v>1</v>
      </c>
    </row>
    <row r="67" spans="1:13" x14ac:dyDescent="0.25">
      <c r="A67" s="281"/>
      <c r="B67" s="281" t="s">
        <v>184</v>
      </c>
      <c r="C67" s="282" t="s">
        <v>186</v>
      </c>
      <c r="D67" s="429">
        <v>1</v>
      </c>
      <c r="H67" s="531" t="s">
        <v>808</v>
      </c>
      <c r="I67" s="527">
        <v>5</v>
      </c>
      <c r="J67" s="528">
        <v>5</v>
      </c>
      <c r="K67" s="417">
        <v>5</v>
      </c>
      <c r="L67" s="413">
        <v>1</v>
      </c>
      <c r="M67" s="420">
        <v>1</v>
      </c>
    </row>
    <row r="68" spans="1:13" x14ac:dyDescent="0.25">
      <c r="A68" s="281"/>
      <c r="B68" s="281" t="s">
        <v>228</v>
      </c>
      <c r="C68" s="282" t="s">
        <v>229</v>
      </c>
      <c r="D68" s="429">
        <v>0.91836734693877553</v>
      </c>
      <c r="H68" s="531" t="s">
        <v>1300</v>
      </c>
      <c r="I68" s="524"/>
      <c r="J68" s="525">
        <v>0</v>
      </c>
      <c r="K68" s="416">
        <v>0</v>
      </c>
      <c r="L68" s="412" t="e">
        <v>#DIV/0!</v>
      </c>
      <c r="M68" s="419" t="e">
        <v>#DIV/0!</v>
      </c>
    </row>
    <row r="69" spans="1:13" x14ac:dyDescent="0.25">
      <c r="A69" s="281"/>
      <c r="B69" s="281" t="s">
        <v>224</v>
      </c>
      <c r="C69" s="282" t="s">
        <v>225</v>
      </c>
      <c r="D69" s="429">
        <v>0.97560975609756095</v>
      </c>
      <c r="H69" s="533" t="s">
        <v>302</v>
      </c>
      <c r="I69" s="527">
        <v>126</v>
      </c>
      <c r="J69" s="528">
        <v>44</v>
      </c>
      <c r="K69" s="417">
        <v>44</v>
      </c>
      <c r="L69" s="413">
        <v>0.34920634920634919</v>
      </c>
      <c r="M69" s="420">
        <v>0.34920634920634919</v>
      </c>
    </row>
    <row r="70" spans="1:13" x14ac:dyDescent="0.25">
      <c r="A70" s="281"/>
      <c r="B70" s="281" t="s">
        <v>195</v>
      </c>
      <c r="C70" s="282" t="s">
        <v>196</v>
      </c>
      <c r="D70" s="429">
        <v>0.72468162522741053</v>
      </c>
      <c r="H70" s="531" t="s">
        <v>306</v>
      </c>
      <c r="I70" s="524">
        <v>86</v>
      </c>
      <c r="J70" s="525">
        <v>44</v>
      </c>
      <c r="K70" s="416">
        <v>44</v>
      </c>
      <c r="L70" s="412">
        <v>0.51162790697674421</v>
      </c>
      <c r="M70" s="419">
        <v>0.51162790697674421</v>
      </c>
    </row>
    <row r="71" spans="1:13" x14ac:dyDescent="0.25">
      <c r="A71" s="281"/>
      <c r="B71" s="281" t="s">
        <v>193</v>
      </c>
      <c r="C71" s="282" t="s">
        <v>194</v>
      </c>
      <c r="D71" s="429">
        <v>0.96411856474258961</v>
      </c>
      <c r="H71" s="531" t="s">
        <v>308</v>
      </c>
      <c r="I71" s="527">
        <v>40</v>
      </c>
      <c r="J71" s="528">
        <v>0</v>
      </c>
      <c r="K71" s="417">
        <v>0</v>
      </c>
      <c r="L71" s="413">
        <v>0</v>
      </c>
      <c r="M71" s="420">
        <v>0</v>
      </c>
    </row>
    <row r="72" spans="1:13" x14ac:dyDescent="0.25">
      <c r="A72" s="281"/>
      <c r="B72" s="281" t="s">
        <v>191</v>
      </c>
      <c r="C72" s="282" t="s">
        <v>192</v>
      </c>
      <c r="D72" s="429">
        <v>1.8807339449541285</v>
      </c>
      <c r="H72" s="533" t="s">
        <v>166</v>
      </c>
      <c r="I72" s="527">
        <v>101</v>
      </c>
      <c r="J72" s="528">
        <v>36</v>
      </c>
      <c r="K72" s="417">
        <v>36</v>
      </c>
      <c r="L72" s="413">
        <v>0.35643564356435642</v>
      </c>
      <c r="M72" s="420">
        <v>0.35643564356435642</v>
      </c>
    </row>
    <row r="73" spans="1:13" x14ac:dyDescent="0.25">
      <c r="A73" s="281"/>
      <c r="B73" s="281" t="s">
        <v>218</v>
      </c>
      <c r="C73" s="282" t="s">
        <v>219</v>
      </c>
      <c r="D73" s="429">
        <v>1.0717488789237668</v>
      </c>
      <c r="H73" s="531" t="s">
        <v>1422</v>
      </c>
      <c r="I73" s="524">
        <v>36</v>
      </c>
      <c r="J73" s="525">
        <v>36</v>
      </c>
      <c r="K73" s="416">
        <v>36</v>
      </c>
      <c r="L73" s="412">
        <v>1</v>
      </c>
      <c r="M73" s="419">
        <v>1</v>
      </c>
    </row>
    <row r="74" spans="1:13" x14ac:dyDescent="0.25">
      <c r="A74" s="281"/>
      <c r="B74" s="281" t="s">
        <v>214</v>
      </c>
      <c r="C74" s="282" t="s">
        <v>215</v>
      </c>
      <c r="D74" s="429">
        <v>1.7464788732394365</v>
      </c>
      <c r="H74" s="531" t="s">
        <v>167</v>
      </c>
      <c r="I74" s="524">
        <v>36</v>
      </c>
      <c r="J74" s="525">
        <v>0</v>
      </c>
      <c r="K74" s="416">
        <v>0</v>
      </c>
      <c r="L74" s="412">
        <v>0</v>
      </c>
      <c r="M74" s="419">
        <v>0</v>
      </c>
    </row>
    <row r="75" spans="1:13" x14ac:dyDescent="0.25">
      <c r="A75" s="282"/>
      <c r="B75" s="282" t="s">
        <v>199</v>
      </c>
      <c r="C75" s="282" t="s">
        <v>200</v>
      </c>
      <c r="D75" s="430">
        <v>46</v>
      </c>
      <c r="H75" s="531" t="s">
        <v>822</v>
      </c>
      <c r="I75" s="527">
        <v>29</v>
      </c>
      <c r="J75" s="528">
        <v>0</v>
      </c>
      <c r="K75" s="417">
        <v>0</v>
      </c>
      <c r="L75" s="413">
        <v>0</v>
      </c>
      <c r="M75" s="420">
        <v>0</v>
      </c>
    </row>
    <row r="76" spans="1:13" x14ac:dyDescent="0.25">
      <c r="A76" s="281" t="s">
        <v>230</v>
      </c>
      <c r="B76" s="281" t="s">
        <v>234</v>
      </c>
      <c r="C76" s="282" t="s">
        <v>235</v>
      </c>
      <c r="D76" s="429">
        <v>8.1300813008130079E-2</v>
      </c>
      <c r="H76" s="533" t="s">
        <v>230</v>
      </c>
      <c r="I76" s="527">
        <v>76</v>
      </c>
      <c r="J76" s="528">
        <v>7</v>
      </c>
      <c r="K76" s="417">
        <v>7</v>
      </c>
      <c r="L76" s="413">
        <v>9.2105263157894732E-2</v>
      </c>
      <c r="M76" s="420">
        <v>9.2105263157894732E-2</v>
      </c>
    </row>
    <row r="77" spans="1:13" x14ac:dyDescent="0.25">
      <c r="A77" s="281"/>
      <c r="B77" s="281" t="s">
        <v>1054</v>
      </c>
      <c r="C77" s="282" t="s">
        <v>1053</v>
      </c>
      <c r="D77" s="429">
        <v>0.86274509803921573</v>
      </c>
      <c r="H77" s="532" t="s">
        <v>1053</v>
      </c>
      <c r="I77" s="527">
        <v>51</v>
      </c>
      <c r="J77" s="528">
        <v>7</v>
      </c>
      <c r="K77" s="417">
        <v>7</v>
      </c>
      <c r="L77" s="413">
        <v>0.13725490196078433</v>
      </c>
      <c r="M77" s="420">
        <v>0.13725490196078433</v>
      </c>
    </row>
    <row r="78" spans="1:13" x14ac:dyDescent="0.25">
      <c r="A78" s="282"/>
      <c r="B78" s="282" t="s">
        <v>1064</v>
      </c>
      <c r="C78" s="282" t="s">
        <v>1063</v>
      </c>
      <c r="D78" s="430">
        <v>1.2000000000000002</v>
      </c>
      <c r="H78" s="531" t="s">
        <v>1616</v>
      </c>
      <c r="I78" s="524"/>
      <c r="J78" s="525">
        <v>0</v>
      </c>
      <c r="K78" s="416">
        <v>0</v>
      </c>
      <c r="L78" s="412" t="e">
        <v>#DIV/0!</v>
      </c>
      <c r="M78" s="419" t="e">
        <v>#DIV/0!</v>
      </c>
    </row>
    <row r="79" spans="1:13" x14ac:dyDescent="0.25">
      <c r="A79" s="281" t="s">
        <v>237</v>
      </c>
      <c r="B79" s="281" t="s">
        <v>1007</v>
      </c>
      <c r="C79" s="281" t="s">
        <v>898</v>
      </c>
      <c r="D79" s="429">
        <v>0</v>
      </c>
      <c r="H79" s="531" t="s">
        <v>1613</v>
      </c>
      <c r="I79" s="524"/>
      <c r="J79" s="525">
        <v>0</v>
      </c>
      <c r="K79" s="416">
        <v>0</v>
      </c>
      <c r="L79" s="412" t="e">
        <v>#DIV/0!</v>
      </c>
      <c r="M79" s="419" t="e">
        <v>#DIV/0!</v>
      </c>
    </row>
    <row r="80" spans="1:13" x14ac:dyDescent="0.25">
      <c r="A80" s="281"/>
      <c r="B80" s="281"/>
      <c r="C80" s="282" t="s">
        <v>859</v>
      </c>
      <c r="D80" s="429">
        <v>0</v>
      </c>
      <c r="H80" s="531" t="s">
        <v>1635</v>
      </c>
      <c r="I80" s="524"/>
      <c r="J80" s="525">
        <v>0</v>
      </c>
      <c r="K80" s="416">
        <v>0</v>
      </c>
      <c r="L80" s="412" t="e">
        <v>#DIV/0!</v>
      </c>
      <c r="M80" s="419" t="e">
        <v>#DIV/0!</v>
      </c>
    </row>
    <row r="81" spans="1:13" x14ac:dyDescent="0.25">
      <c r="A81" s="281"/>
      <c r="B81" s="281" t="s">
        <v>236</v>
      </c>
      <c r="C81" s="282" t="s">
        <v>238</v>
      </c>
      <c r="D81" s="429">
        <v>1.25</v>
      </c>
      <c r="H81" s="531" t="s">
        <v>1619</v>
      </c>
      <c r="I81" s="524"/>
      <c r="J81" s="525">
        <v>0</v>
      </c>
      <c r="K81" s="416">
        <v>0</v>
      </c>
      <c r="L81" s="412" t="e">
        <v>#DIV/0!</v>
      </c>
      <c r="M81" s="419" t="e">
        <v>#DIV/0!</v>
      </c>
    </row>
    <row r="82" spans="1:13" x14ac:dyDescent="0.25">
      <c r="A82" s="281"/>
      <c r="B82" s="281" t="s">
        <v>268</v>
      </c>
      <c r="C82" s="282" t="s">
        <v>269</v>
      </c>
      <c r="D82" s="429">
        <v>0.83870967741935476</v>
      </c>
      <c r="H82" s="531" t="s">
        <v>1615</v>
      </c>
      <c r="I82" s="524"/>
      <c r="J82" s="525">
        <v>0</v>
      </c>
      <c r="K82" s="416">
        <v>0</v>
      </c>
      <c r="L82" s="412" t="e">
        <v>#DIV/0!</v>
      </c>
      <c r="M82" s="419" t="e">
        <v>#DIV/0!</v>
      </c>
    </row>
    <row r="83" spans="1:13" x14ac:dyDescent="0.25">
      <c r="A83" s="281"/>
      <c r="B83" s="281" t="s">
        <v>250</v>
      </c>
      <c r="C83" s="282" t="s">
        <v>251</v>
      </c>
      <c r="D83" s="429">
        <v>0.76923076923076927</v>
      </c>
      <c r="H83" s="531" t="s">
        <v>1620</v>
      </c>
      <c r="I83" s="524"/>
      <c r="J83" s="525">
        <v>0</v>
      </c>
      <c r="K83" s="416">
        <v>0</v>
      </c>
      <c r="L83" s="412" t="e">
        <v>#DIV/0!</v>
      </c>
      <c r="M83" s="419" t="e">
        <v>#DIV/0!</v>
      </c>
    </row>
    <row r="84" spans="1:13" x14ac:dyDescent="0.25">
      <c r="A84" s="281"/>
      <c r="B84" s="281" t="s">
        <v>248</v>
      </c>
      <c r="C84" s="282" t="s">
        <v>249</v>
      </c>
      <c r="D84" s="429">
        <v>3.75</v>
      </c>
      <c r="H84" s="532" t="s">
        <v>1063</v>
      </c>
      <c r="I84" s="527">
        <v>25</v>
      </c>
      <c r="J84" s="528">
        <v>0</v>
      </c>
      <c r="K84" s="417">
        <v>0</v>
      </c>
      <c r="L84" s="413">
        <v>0</v>
      </c>
      <c r="M84" s="420">
        <v>0</v>
      </c>
    </row>
    <row r="85" spans="1:13" x14ac:dyDescent="0.25">
      <c r="A85" s="281"/>
      <c r="B85" s="281" t="s">
        <v>274</v>
      </c>
      <c r="C85" s="282" t="s">
        <v>275</v>
      </c>
      <c r="D85" s="429">
        <v>1.032258064516129</v>
      </c>
      <c r="H85" s="531" t="s">
        <v>1617</v>
      </c>
      <c r="I85" s="524"/>
      <c r="J85" s="525">
        <v>0</v>
      </c>
      <c r="K85" s="416">
        <v>0</v>
      </c>
      <c r="L85" s="412" t="e">
        <v>#DIV/0!</v>
      </c>
      <c r="M85" s="419" t="e">
        <v>#DIV/0!</v>
      </c>
    </row>
    <row r="86" spans="1:13" x14ac:dyDescent="0.25">
      <c r="A86" s="281"/>
      <c r="B86" s="281" t="s">
        <v>276</v>
      </c>
      <c r="C86" s="282" t="s">
        <v>277</v>
      </c>
      <c r="D86" s="429">
        <v>0.72727272727272729</v>
      </c>
      <c r="H86" s="531" t="s">
        <v>1631</v>
      </c>
      <c r="I86" s="524"/>
      <c r="J86" s="525">
        <v>0</v>
      </c>
      <c r="K86" s="416">
        <v>0</v>
      </c>
      <c r="L86" s="412" t="e">
        <v>#DIV/0!</v>
      </c>
      <c r="M86" s="419" t="e">
        <v>#DIV/0!</v>
      </c>
    </row>
    <row r="87" spans="1:13" x14ac:dyDescent="0.25">
      <c r="A87" s="281"/>
      <c r="B87" s="281" t="s">
        <v>260</v>
      </c>
      <c r="C87" s="282" t="s">
        <v>261</v>
      </c>
      <c r="D87" s="429">
        <v>0.86956521739130432</v>
      </c>
      <c r="H87" s="533" t="s">
        <v>173</v>
      </c>
      <c r="I87" s="527">
        <v>70</v>
      </c>
      <c r="J87" s="528">
        <v>5</v>
      </c>
      <c r="K87" s="417">
        <v>5</v>
      </c>
      <c r="L87" s="413">
        <v>7.1428571428571425E-2</v>
      </c>
      <c r="M87" s="420">
        <v>7.1428571428571425E-2</v>
      </c>
    </row>
    <row r="88" spans="1:13" x14ac:dyDescent="0.25">
      <c r="A88" s="281"/>
      <c r="B88" s="281" t="s">
        <v>280</v>
      </c>
      <c r="C88" s="282" t="s">
        <v>281</v>
      </c>
      <c r="D88" s="429">
        <v>0.68493150684931503</v>
      </c>
      <c r="H88" s="531" t="s">
        <v>176</v>
      </c>
      <c r="I88" s="524">
        <v>15</v>
      </c>
      <c r="J88" s="525">
        <v>5</v>
      </c>
      <c r="K88" s="416">
        <v>5</v>
      </c>
      <c r="L88" s="412">
        <v>0.33333333333333331</v>
      </c>
      <c r="M88" s="419">
        <v>0.33333333333333331</v>
      </c>
    </row>
    <row r="89" spans="1:13" x14ac:dyDescent="0.25">
      <c r="A89" s="281"/>
      <c r="B89" s="281" t="s">
        <v>244</v>
      </c>
      <c r="C89" s="282" t="s">
        <v>245</v>
      </c>
      <c r="D89" s="429">
        <v>1</v>
      </c>
      <c r="H89" s="531" t="s">
        <v>174</v>
      </c>
      <c r="I89" s="527">
        <v>13</v>
      </c>
      <c r="J89" s="528">
        <v>0</v>
      </c>
      <c r="K89" s="417">
        <v>0</v>
      </c>
      <c r="L89" s="413">
        <v>0</v>
      </c>
      <c r="M89" s="420">
        <v>0</v>
      </c>
    </row>
    <row r="90" spans="1:13" x14ac:dyDescent="0.25">
      <c r="A90" s="281"/>
      <c r="B90" s="281" t="s">
        <v>246</v>
      </c>
      <c r="C90" s="282" t="s">
        <v>247</v>
      </c>
      <c r="D90" s="429">
        <v>0.15</v>
      </c>
      <c r="H90" s="531" t="s">
        <v>1277</v>
      </c>
      <c r="I90" s="524">
        <v>30</v>
      </c>
      <c r="J90" s="525">
        <v>0</v>
      </c>
      <c r="K90" s="416">
        <v>0</v>
      </c>
      <c r="L90" s="412">
        <v>0</v>
      </c>
      <c r="M90" s="419">
        <v>0</v>
      </c>
    </row>
    <row r="91" spans="1:13" x14ac:dyDescent="0.25">
      <c r="A91" s="281"/>
      <c r="B91" s="281" t="s">
        <v>242</v>
      </c>
      <c r="C91" s="282" t="s">
        <v>243</v>
      </c>
      <c r="D91" s="429">
        <v>0.5</v>
      </c>
      <c r="H91" s="523" t="s">
        <v>178</v>
      </c>
      <c r="I91" s="527">
        <v>12</v>
      </c>
      <c r="J91" s="528">
        <v>0</v>
      </c>
      <c r="K91" s="417">
        <v>0</v>
      </c>
      <c r="L91" s="413">
        <v>0</v>
      </c>
      <c r="M91" s="420">
        <v>0</v>
      </c>
    </row>
    <row r="92" spans="1:13" x14ac:dyDescent="0.25">
      <c r="A92" s="281"/>
      <c r="B92" s="281" t="s">
        <v>256</v>
      </c>
      <c r="C92" s="282" t="s">
        <v>257</v>
      </c>
      <c r="D92" s="429">
        <v>0.29411764705882354</v>
      </c>
      <c r="H92" s="533" t="s">
        <v>300</v>
      </c>
      <c r="I92" s="527">
        <v>59</v>
      </c>
      <c r="J92" s="528">
        <v>0</v>
      </c>
      <c r="K92" s="417">
        <v>0</v>
      </c>
      <c r="L92" s="413">
        <v>0</v>
      </c>
      <c r="M92" s="420">
        <v>0</v>
      </c>
    </row>
    <row r="93" spans="1:13" x14ac:dyDescent="0.25">
      <c r="A93" s="281"/>
      <c r="B93" s="281" t="s">
        <v>284</v>
      </c>
      <c r="C93" s="282" t="s">
        <v>285</v>
      </c>
      <c r="D93" s="429">
        <v>1.4705882352941178</v>
      </c>
      <c r="H93" s="531" t="s">
        <v>1260</v>
      </c>
      <c r="I93" s="527">
        <v>59</v>
      </c>
      <c r="J93" s="528">
        <v>0</v>
      </c>
      <c r="K93" s="417">
        <v>0</v>
      </c>
      <c r="L93" s="413">
        <v>0</v>
      </c>
      <c r="M93" s="420">
        <v>0</v>
      </c>
    </row>
    <row r="94" spans="1:13" x14ac:dyDescent="0.25">
      <c r="A94" s="281"/>
      <c r="B94" s="281" t="s">
        <v>239</v>
      </c>
      <c r="C94" s="282" t="s">
        <v>240</v>
      </c>
      <c r="D94" s="429">
        <v>0.8</v>
      </c>
      <c r="H94" s="533" t="s">
        <v>180</v>
      </c>
      <c r="I94" s="527">
        <v>22</v>
      </c>
      <c r="J94" s="528">
        <v>0</v>
      </c>
      <c r="K94" s="417">
        <v>0</v>
      </c>
      <c r="L94" s="413">
        <v>0</v>
      </c>
      <c r="M94" s="420">
        <v>0</v>
      </c>
    </row>
    <row r="95" spans="1:13" x14ac:dyDescent="0.25">
      <c r="A95" s="281"/>
      <c r="B95" s="281" t="s">
        <v>258</v>
      </c>
      <c r="C95" s="282" t="s">
        <v>259</v>
      </c>
      <c r="D95" s="429">
        <v>0.33333333333333331</v>
      </c>
      <c r="H95" s="531" t="s">
        <v>181</v>
      </c>
      <c r="I95" s="524">
        <v>12</v>
      </c>
      <c r="J95" s="525">
        <v>0</v>
      </c>
      <c r="K95" s="416">
        <v>0</v>
      </c>
      <c r="L95" s="412">
        <v>0</v>
      </c>
      <c r="M95" s="419">
        <v>0</v>
      </c>
    </row>
    <row r="96" spans="1:13" x14ac:dyDescent="0.25">
      <c r="A96" s="281"/>
      <c r="B96" s="281" t="s">
        <v>252</v>
      </c>
      <c r="C96" s="282" t="s">
        <v>253</v>
      </c>
      <c r="D96" s="429">
        <v>0.80808080808080818</v>
      </c>
      <c r="H96" s="531" t="s">
        <v>287</v>
      </c>
      <c r="I96" s="527">
        <v>10</v>
      </c>
      <c r="J96" s="528">
        <v>0</v>
      </c>
      <c r="K96" s="417">
        <v>0</v>
      </c>
      <c r="L96" s="413">
        <v>0</v>
      </c>
      <c r="M96" s="420">
        <v>0</v>
      </c>
    </row>
    <row r="97" spans="1:13" x14ac:dyDescent="0.25">
      <c r="A97" s="281"/>
      <c r="B97" s="281" t="s">
        <v>254</v>
      </c>
      <c r="C97" s="282" t="s">
        <v>255</v>
      </c>
      <c r="D97" s="429">
        <v>0.80808080808080807</v>
      </c>
      <c r="H97" s="529" t="s">
        <v>146</v>
      </c>
      <c r="I97" s="527"/>
      <c r="J97" s="528"/>
      <c r="K97" s="417"/>
      <c r="L97" s="413"/>
      <c r="M97" s="420"/>
    </row>
    <row r="98" spans="1:13" x14ac:dyDescent="0.25">
      <c r="A98" s="281"/>
      <c r="B98" s="281" t="s">
        <v>262</v>
      </c>
      <c r="C98" s="282" t="s">
        <v>263</v>
      </c>
      <c r="D98" s="429">
        <v>1.5238095238095239</v>
      </c>
      <c r="H98" s="533" t="s">
        <v>146</v>
      </c>
      <c r="I98" s="527">
        <v>1030</v>
      </c>
      <c r="J98" s="528">
        <v>656</v>
      </c>
      <c r="K98" s="417">
        <v>656</v>
      </c>
      <c r="L98" s="413">
        <v>0.63689320388349513</v>
      </c>
      <c r="M98" s="420">
        <v>0.63689320388349513</v>
      </c>
    </row>
    <row r="99" spans="1:13" x14ac:dyDescent="0.25">
      <c r="A99" s="281"/>
      <c r="B99" s="281" t="s">
        <v>264</v>
      </c>
      <c r="C99" s="282" t="s">
        <v>265</v>
      </c>
      <c r="D99" s="429">
        <v>1.3571428571428572</v>
      </c>
      <c r="H99" s="531" t="s">
        <v>1412</v>
      </c>
      <c r="I99" s="524">
        <v>176</v>
      </c>
      <c r="J99" s="525">
        <v>176</v>
      </c>
      <c r="K99" s="416">
        <v>176</v>
      </c>
      <c r="L99" s="412">
        <v>1</v>
      </c>
      <c r="M99" s="419">
        <v>1</v>
      </c>
    </row>
    <row r="100" spans="1:13" x14ac:dyDescent="0.25">
      <c r="A100" s="281"/>
      <c r="B100" s="281" t="s">
        <v>282</v>
      </c>
      <c r="C100" s="282" t="s">
        <v>283</v>
      </c>
      <c r="D100" s="429">
        <v>3.4285714285714284</v>
      </c>
      <c r="H100" s="531" t="s">
        <v>1409</v>
      </c>
      <c r="I100" s="524">
        <v>146</v>
      </c>
      <c r="J100" s="525">
        <v>146</v>
      </c>
      <c r="K100" s="416">
        <v>146</v>
      </c>
      <c r="L100" s="412">
        <v>1</v>
      </c>
      <c r="M100" s="419">
        <v>1</v>
      </c>
    </row>
    <row r="101" spans="1:13" x14ac:dyDescent="0.25">
      <c r="A101" s="281"/>
      <c r="B101" s="281" t="s">
        <v>270</v>
      </c>
      <c r="C101" s="282" t="s">
        <v>271</v>
      </c>
      <c r="D101" s="429">
        <v>0.98529411764705888</v>
      </c>
      <c r="H101" s="531" t="s">
        <v>1315</v>
      </c>
      <c r="I101" s="524">
        <v>105</v>
      </c>
      <c r="J101" s="525">
        <v>105</v>
      </c>
      <c r="K101" s="416">
        <v>105</v>
      </c>
      <c r="L101" s="412">
        <v>1</v>
      </c>
      <c r="M101" s="419">
        <v>1</v>
      </c>
    </row>
    <row r="102" spans="1:13" x14ac:dyDescent="0.25">
      <c r="A102" s="281"/>
      <c r="B102" s="281" t="s">
        <v>272</v>
      </c>
      <c r="C102" s="282" t="s">
        <v>273</v>
      </c>
      <c r="D102" s="429">
        <v>0.95652173913043481</v>
      </c>
      <c r="H102" s="531" t="s">
        <v>373</v>
      </c>
      <c r="I102" s="524">
        <v>190</v>
      </c>
      <c r="J102" s="525">
        <v>89</v>
      </c>
      <c r="K102" s="416">
        <v>89</v>
      </c>
      <c r="L102" s="412">
        <v>0.46842105263157896</v>
      </c>
      <c r="M102" s="419">
        <v>0.46842105263157896</v>
      </c>
    </row>
    <row r="103" spans="1:13" x14ac:dyDescent="0.25">
      <c r="A103" s="282"/>
      <c r="B103" s="282" t="s">
        <v>241</v>
      </c>
      <c r="C103" s="282" t="s">
        <v>1244</v>
      </c>
      <c r="D103" s="430">
        <v>2.3518518518518521</v>
      </c>
      <c r="H103" s="531" t="s">
        <v>371</v>
      </c>
      <c r="I103" s="524">
        <v>49</v>
      </c>
      <c r="J103" s="525">
        <v>44</v>
      </c>
      <c r="K103" s="416">
        <v>44</v>
      </c>
      <c r="L103" s="412">
        <v>0.89795918367346939</v>
      </c>
      <c r="M103" s="419">
        <v>0.89795918367346939</v>
      </c>
    </row>
    <row r="104" spans="1:13" x14ac:dyDescent="0.25">
      <c r="A104" s="281" t="s">
        <v>289</v>
      </c>
      <c r="B104" s="281" t="s">
        <v>288</v>
      </c>
      <c r="C104" s="282" t="s">
        <v>290</v>
      </c>
      <c r="D104" s="429">
        <v>0.43478260869565216</v>
      </c>
      <c r="H104" s="532" t="s">
        <v>149</v>
      </c>
      <c r="I104" s="527">
        <v>64</v>
      </c>
      <c r="J104" s="528">
        <v>38</v>
      </c>
      <c r="K104" s="417">
        <v>38</v>
      </c>
      <c r="L104" s="413">
        <v>0.59375</v>
      </c>
      <c r="M104" s="420">
        <v>0.59375</v>
      </c>
    </row>
    <row r="105" spans="1:13" x14ac:dyDescent="0.25">
      <c r="A105" s="281"/>
      <c r="B105" s="281" t="s">
        <v>291</v>
      </c>
      <c r="C105" s="282" t="s">
        <v>292</v>
      </c>
      <c r="D105" s="429">
        <v>1.3066666666666666</v>
      </c>
      <c r="H105" s="531" t="s">
        <v>1428</v>
      </c>
      <c r="I105" s="524">
        <v>30</v>
      </c>
      <c r="J105" s="525">
        <v>30</v>
      </c>
      <c r="K105" s="416">
        <v>30</v>
      </c>
      <c r="L105" s="412">
        <v>1</v>
      </c>
      <c r="M105" s="419">
        <v>1</v>
      </c>
    </row>
    <row r="106" spans="1:13" x14ac:dyDescent="0.25">
      <c r="A106" s="281"/>
      <c r="B106" s="281" t="s">
        <v>1056</v>
      </c>
      <c r="C106" s="282" t="s">
        <v>1055</v>
      </c>
      <c r="D106" s="429">
        <v>1.0277777777777777</v>
      </c>
      <c r="H106" s="531" t="s">
        <v>1102</v>
      </c>
      <c r="I106" s="524">
        <v>22</v>
      </c>
      <c r="J106" s="525">
        <v>22</v>
      </c>
      <c r="K106" s="416">
        <v>22</v>
      </c>
      <c r="L106" s="412">
        <v>1</v>
      </c>
      <c r="M106" s="419">
        <v>1</v>
      </c>
    </row>
    <row r="107" spans="1:13" x14ac:dyDescent="0.25">
      <c r="A107" s="281"/>
      <c r="B107" s="282" t="s">
        <v>1060</v>
      </c>
      <c r="C107" s="282" t="s">
        <v>1067</v>
      </c>
      <c r="D107" s="430">
        <v>0.5950413223140496</v>
      </c>
      <c r="H107" s="531" t="s">
        <v>368</v>
      </c>
      <c r="I107" s="524">
        <v>69</v>
      </c>
      <c r="J107" s="525">
        <v>6</v>
      </c>
      <c r="K107" s="416">
        <v>6</v>
      </c>
      <c r="L107" s="412">
        <v>8.6956521739130432E-2</v>
      </c>
      <c r="M107" s="419">
        <v>8.6956521739130432E-2</v>
      </c>
    </row>
    <row r="108" spans="1:13" x14ac:dyDescent="0.25">
      <c r="A108" s="282"/>
      <c r="B108" s="334" t="s">
        <v>295</v>
      </c>
      <c r="C108" s="334" t="s">
        <v>374</v>
      </c>
      <c r="D108" s="284">
        <v>0</v>
      </c>
      <c r="H108" s="531" t="s">
        <v>370</v>
      </c>
      <c r="I108" s="524">
        <v>30</v>
      </c>
      <c r="J108" s="525">
        <v>0</v>
      </c>
      <c r="K108" s="416">
        <v>0</v>
      </c>
      <c r="L108" s="412">
        <v>0</v>
      </c>
      <c r="M108" s="419">
        <v>0</v>
      </c>
    </row>
    <row r="109" spans="1:13" x14ac:dyDescent="0.25">
      <c r="A109" s="282" t="s">
        <v>298</v>
      </c>
      <c r="B109" s="282" t="s">
        <v>297</v>
      </c>
      <c r="C109" s="282" t="s">
        <v>821</v>
      </c>
      <c r="D109" s="430">
        <v>1.25</v>
      </c>
      <c r="H109" s="531" t="s">
        <v>369</v>
      </c>
      <c r="I109" s="524">
        <v>61</v>
      </c>
      <c r="J109" s="525">
        <v>0</v>
      </c>
      <c r="K109" s="416">
        <v>0</v>
      </c>
      <c r="L109" s="412">
        <v>0</v>
      </c>
      <c r="M109" s="419">
        <v>0</v>
      </c>
    </row>
    <row r="110" spans="1:13" x14ac:dyDescent="0.25">
      <c r="A110" s="281" t="s">
        <v>302</v>
      </c>
      <c r="B110" s="281" t="s">
        <v>305</v>
      </c>
      <c r="C110" s="282" t="s">
        <v>306</v>
      </c>
      <c r="D110" s="429">
        <v>0.48837209302325579</v>
      </c>
      <c r="H110" s="532" t="s">
        <v>372</v>
      </c>
      <c r="I110" s="527">
        <v>88</v>
      </c>
      <c r="J110" s="528">
        <v>0</v>
      </c>
      <c r="K110" s="417">
        <v>0</v>
      </c>
      <c r="L110" s="413">
        <v>0</v>
      </c>
      <c r="M110" s="420">
        <v>0</v>
      </c>
    </row>
    <row r="111" spans="1:13" x14ac:dyDescent="0.25">
      <c r="A111" s="282"/>
      <c r="B111" s="282" t="s">
        <v>307</v>
      </c>
      <c r="C111" s="282" t="s">
        <v>308</v>
      </c>
      <c r="D111" s="430">
        <v>1.1499999999999999</v>
      </c>
      <c r="H111" s="529" t="s">
        <v>151</v>
      </c>
      <c r="I111" s="527"/>
      <c r="J111" s="528"/>
      <c r="K111" s="417"/>
      <c r="L111" s="413"/>
      <c r="M111" s="420"/>
    </row>
    <row r="112" spans="1:13" x14ac:dyDescent="0.25">
      <c r="A112" s="281" t="s">
        <v>310</v>
      </c>
      <c r="B112" s="281" t="s">
        <v>341</v>
      </c>
      <c r="C112" s="282" t="s">
        <v>342</v>
      </c>
      <c r="D112" s="429">
        <v>1.225806451612903</v>
      </c>
      <c r="H112" s="533" t="s">
        <v>151</v>
      </c>
      <c r="I112" s="527">
        <v>2470</v>
      </c>
      <c r="J112" s="528">
        <v>1008</v>
      </c>
      <c r="K112" s="417">
        <v>1008</v>
      </c>
      <c r="L112" s="413">
        <v>0.40809716599190282</v>
      </c>
      <c r="M112" s="420">
        <v>0.40809716599190282</v>
      </c>
    </row>
    <row r="113" spans="1:13" x14ac:dyDescent="0.25">
      <c r="A113" s="281"/>
      <c r="B113" s="281" t="s">
        <v>350</v>
      </c>
      <c r="C113" s="282" t="s">
        <v>351</v>
      </c>
      <c r="D113" s="429">
        <v>1.1494252873563218</v>
      </c>
      <c r="H113" s="531" t="s">
        <v>188</v>
      </c>
      <c r="I113" s="524">
        <v>440</v>
      </c>
      <c r="J113" s="525">
        <v>250</v>
      </c>
      <c r="K113" s="416">
        <v>250</v>
      </c>
      <c r="L113" s="412">
        <v>0.56818181818181823</v>
      </c>
      <c r="M113" s="419">
        <v>0.56818181818181823</v>
      </c>
    </row>
    <row r="114" spans="1:13" x14ac:dyDescent="0.25">
      <c r="A114" s="281"/>
      <c r="B114" s="281" t="s">
        <v>319</v>
      </c>
      <c r="C114" s="282" t="s">
        <v>320</v>
      </c>
      <c r="D114" s="429">
        <v>0.83333333333333337</v>
      </c>
      <c r="H114" s="530" t="s">
        <v>154</v>
      </c>
      <c r="I114" s="524">
        <v>440</v>
      </c>
      <c r="J114" s="525">
        <v>240</v>
      </c>
      <c r="K114" s="416">
        <v>240</v>
      </c>
      <c r="L114" s="412">
        <v>0.54545454545454541</v>
      </c>
      <c r="M114" s="419">
        <v>0.54545454545454541</v>
      </c>
    </row>
    <row r="115" spans="1:13" x14ac:dyDescent="0.25">
      <c r="A115" s="281"/>
      <c r="B115" s="281" t="s">
        <v>312</v>
      </c>
      <c r="C115" s="282" t="s">
        <v>313</v>
      </c>
      <c r="D115" s="429">
        <v>1.0606060606060606</v>
      </c>
      <c r="H115" s="530" t="s">
        <v>1095</v>
      </c>
      <c r="I115" s="524">
        <v>114</v>
      </c>
      <c r="J115" s="525">
        <v>114</v>
      </c>
      <c r="K115" s="416">
        <v>114</v>
      </c>
      <c r="L115" s="412">
        <v>1</v>
      </c>
      <c r="M115" s="419">
        <v>1</v>
      </c>
    </row>
    <row r="116" spans="1:13" x14ac:dyDescent="0.25">
      <c r="A116" s="281"/>
      <c r="B116" s="281" t="s">
        <v>329</v>
      </c>
      <c r="C116" s="282" t="s">
        <v>330</v>
      </c>
      <c r="D116" s="429">
        <v>0.94170403587443952</v>
      </c>
      <c r="H116" s="530" t="s">
        <v>1061</v>
      </c>
      <c r="I116" s="524">
        <v>112</v>
      </c>
      <c r="J116" s="525">
        <v>112</v>
      </c>
      <c r="K116" s="416">
        <v>112</v>
      </c>
      <c r="L116" s="412">
        <v>1</v>
      </c>
      <c r="M116" s="419">
        <v>1</v>
      </c>
    </row>
    <row r="117" spans="1:13" x14ac:dyDescent="0.25">
      <c r="A117" s="281"/>
      <c r="B117" s="281" t="s">
        <v>337</v>
      </c>
      <c r="C117" s="282" t="s">
        <v>338</v>
      </c>
      <c r="D117" s="429">
        <v>1.258064516129032</v>
      </c>
      <c r="H117" s="531" t="s">
        <v>152</v>
      </c>
      <c r="I117" s="524">
        <v>197</v>
      </c>
      <c r="J117" s="525">
        <v>92</v>
      </c>
      <c r="K117" s="416">
        <v>92</v>
      </c>
      <c r="L117" s="412">
        <v>0.46700507614213199</v>
      </c>
      <c r="M117" s="419">
        <v>0.46700507614213199</v>
      </c>
    </row>
    <row r="118" spans="1:13" x14ac:dyDescent="0.25">
      <c r="A118" s="281"/>
      <c r="B118" s="281" t="s">
        <v>327</v>
      </c>
      <c r="C118" s="282" t="s">
        <v>328</v>
      </c>
      <c r="D118" s="429">
        <v>0.71812080536912748</v>
      </c>
      <c r="H118" s="531" t="s">
        <v>942</v>
      </c>
      <c r="I118" s="524">
        <v>140</v>
      </c>
      <c r="J118" s="525">
        <v>90</v>
      </c>
      <c r="K118" s="416">
        <v>90</v>
      </c>
      <c r="L118" s="412">
        <v>0.6428571428571429</v>
      </c>
      <c r="M118" s="419">
        <v>0.6428571428571429</v>
      </c>
    </row>
    <row r="119" spans="1:13" x14ac:dyDescent="0.25">
      <c r="A119" s="281"/>
      <c r="B119" s="281" t="s">
        <v>317</v>
      </c>
      <c r="C119" s="282" t="s">
        <v>318</v>
      </c>
      <c r="D119" s="429">
        <v>1.054945054945055</v>
      </c>
      <c r="H119" s="531" t="s">
        <v>885</v>
      </c>
      <c r="I119" s="524">
        <v>374</v>
      </c>
      <c r="J119" s="525">
        <v>65</v>
      </c>
      <c r="K119" s="416">
        <v>65</v>
      </c>
      <c r="L119" s="412">
        <v>0.17379679144385027</v>
      </c>
      <c r="M119" s="419">
        <v>0.17379679144385027</v>
      </c>
    </row>
    <row r="120" spans="1:13" x14ac:dyDescent="0.25">
      <c r="A120" s="281"/>
      <c r="B120" s="281" t="s">
        <v>348</v>
      </c>
      <c r="C120" s="282" t="s">
        <v>349</v>
      </c>
      <c r="D120" s="429">
        <v>1.7954545454545454</v>
      </c>
      <c r="H120" s="531" t="s">
        <v>160</v>
      </c>
      <c r="I120" s="524">
        <v>107</v>
      </c>
      <c r="J120" s="525">
        <v>33</v>
      </c>
      <c r="K120" s="416">
        <v>33</v>
      </c>
      <c r="L120" s="412">
        <v>0.30841121495327101</v>
      </c>
      <c r="M120" s="419">
        <v>0.30841121495327101</v>
      </c>
    </row>
    <row r="121" spans="1:13" x14ac:dyDescent="0.25">
      <c r="A121" s="281"/>
      <c r="B121" s="281" t="s">
        <v>315</v>
      </c>
      <c r="C121" s="282" t="s">
        <v>316</v>
      </c>
      <c r="D121" s="429">
        <v>0.7857142857142857</v>
      </c>
      <c r="H121" s="534" t="s">
        <v>198</v>
      </c>
      <c r="I121" s="527">
        <v>546</v>
      </c>
      <c r="J121" s="528">
        <v>12</v>
      </c>
      <c r="K121" s="417">
        <v>12</v>
      </c>
      <c r="L121" s="413">
        <v>2.197802197802198E-2</v>
      </c>
      <c r="M121" s="420">
        <v>2.197802197802198E-2</v>
      </c>
    </row>
    <row r="122" spans="1:13" x14ac:dyDescent="0.25">
      <c r="A122" s="281"/>
      <c r="B122" s="281" t="s">
        <v>325</v>
      </c>
      <c r="C122" s="282" t="s">
        <v>326</v>
      </c>
      <c r="D122" s="429">
        <v>1.0526315789473684</v>
      </c>
      <c r="H122" s="529" t="s">
        <v>185</v>
      </c>
      <c r="I122" s="527"/>
      <c r="J122" s="528"/>
      <c r="K122" s="417"/>
      <c r="L122" s="413"/>
      <c r="M122" s="420"/>
    </row>
    <row r="123" spans="1:13" x14ac:dyDescent="0.25">
      <c r="A123" s="281"/>
      <c r="B123" s="281" t="s">
        <v>323</v>
      </c>
      <c r="C123" s="282" t="s">
        <v>324</v>
      </c>
      <c r="D123" s="429">
        <v>1.1219512195121952</v>
      </c>
      <c r="H123" s="533" t="s">
        <v>185</v>
      </c>
      <c r="I123" s="527">
        <v>2708</v>
      </c>
      <c r="J123" s="528">
        <v>305</v>
      </c>
      <c r="K123" s="417">
        <v>305</v>
      </c>
      <c r="L123" s="413">
        <v>0.11262924667651403</v>
      </c>
      <c r="M123" s="420">
        <v>0.11262924667651403</v>
      </c>
    </row>
    <row r="124" spans="1:13" x14ac:dyDescent="0.25">
      <c r="A124" s="281"/>
      <c r="B124" s="281" t="s">
        <v>346</v>
      </c>
      <c r="C124" s="282" t="s">
        <v>347</v>
      </c>
      <c r="D124" s="429">
        <v>1.4581005586592179</v>
      </c>
      <c r="H124" s="531" t="s">
        <v>190</v>
      </c>
      <c r="I124" s="524">
        <v>192</v>
      </c>
      <c r="J124" s="525">
        <v>110</v>
      </c>
      <c r="K124" s="416">
        <v>110</v>
      </c>
      <c r="L124" s="412">
        <v>0.57291666666666663</v>
      </c>
      <c r="M124" s="419">
        <v>0.57291666666666663</v>
      </c>
    </row>
    <row r="125" spans="1:13" x14ac:dyDescent="0.25">
      <c r="A125" s="281"/>
      <c r="B125" s="281" t="s">
        <v>333</v>
      </c>
      <c r="C125" s="282" t="s">
        <v>334</v>
      </c>
      <c r="D125" s="429">
        <v>1.4720496894409938</v>
      </c>
      <c r="H125" s="530" t="s">
        <v>202</v>
      </c>
      <c r="I125" s="524">
        <v>263</v>
      </c>
      <c r="J125" s="525">
        <v>110</v>
      </c>
      <c r="K125" s="416">
        <v>110</v>
      </c>
      <c r="L125" s="412">
        <v>0.41825095057034223</v>
      </c>
      <c r="M125" s="419">
        <v>0.41825095057034223</v>
      </c>
    </row>
    <row r="126" spans="1:13" x14ac:dyDescent="0.25">
      <c r="A126" s="281"/>
      <c r="B126" s="281" t="s">
        <v>335</v>
      </c>
      <c r="C126" s="282" t="s">
        <v>336</v>
      </c>
      <c r="D126" s="429">
        <v>0.67567567567567566</v>
      </c>
      <c r="H126" s="531" t="s">
        <v>223</v>
      </c>
      <c r="I126" s="524">
        <v>124</v>
      </c>
      <c r="J126" s="525">
        <v>57</v>
      </c>
      <c r="K126" s="416">
        <v>57</v>
      </c>
      <c r="L126" s="412">
        <v>0.45967741935483869</v>
      </c>
      <c r="M126" s="419">
        <v>0.45967741935483869</v>
      </c>
    </row>
    <row r="127" spans="1:13" x14ac:dyDescent="0.25">
      <c r="A127" s="281"/>
      <c r="B127" s="281" t="s">
        <v>352</v>
      </c>
      <c r="C127" s="282" t="s">
        <v>353</v>
      </c>
      <c r="D127" s="429">
        <v>0.11670313639679067</v>
      </c>
      <c r="H127" s="531" t="s">
        <v>194</v>
      </c>
      <c r="I127" s="524">
        <v>641</v>
      </c>
      <c r="J127" s="525">
        <v>23</v>
      </c>
      <c r="K127" s="416">
        <v>23</v>
      </c>
      <c r="L127" s="412">
        <v>3.5881435257410298E-2</v>
      </c>
      <c r="M127" s="419">
        <v>3.5881435257410298E-2</v>
      </c>
    </row>
    <row r="128" spans="1:13" x14ac:dyDescent="0.25">
      <c r="A128" s="281"/>
      <c r="B128" s="281" t="s">
        <v>321</v>
      </c>
      <c r="C128" s="282" t="s">
        <v>322</v>
      </c>
      <c r="D128" s="429">
        <v>1.0324786324786326</v>
      </c>
      <c r="H128" s="531" t="s">
        <v>229</v>
      </c>
      <c r="I128" s="524">
        <v>49</v>
      </c>
      <c r="J128" s="525">
        <v>4</v>
      </c>
      <c r="K128" s="416">
        <v>4</v>
      </c>
      <c r="L128" s="412">
        <v>8.1632653061224483E-2</v>
      </c>
      <c r="M128" s="419">
        <v>8.1632653061224483E-2</v>
      </c>
    </row>
    <row r="129" spans="1:13" x14ac:dyDescent="0.25">
      <c r="A129" s="281"/>
      <c r="B129" s="281" t="s">
        <v>354</v>
      </c>
      <c r="C129" s="282" t="s">
        <v>355</v>
      </c>
      <c r="D129" s="429">
        <v>0.66326530612244894</v>
      </c>
      <c r="H129" s="531" t="s">
        <v>225</v>
      </c>
      <c r="I129" s="524">
        <v>41</v>
      </c>
      <c r="J129" s="525">
        <v>1</v>
      </c>
      <c r="K129" s="416">
        <v>1</v>
      </c>
      <c r="L129" s="412">
        <v>2.4390243902439025E-2</v>
      </c>
      <c r="M129" s="419">
        <v>2.4390243902439025E-2</v>
      </c>
    </row>
    <row r="130" spans="1:13" x14ac:dyDescent="0.25">
      <c r="A130" s="281"/>
      <c r="B130" s="281" t="s">
        <v>343</v>
      </c>
      <c r="C130" s="282" t="s">
        <v>344</v>
      </c>
      <c r="D130" s="429">
        <v>1.0555555555555556</v>
      </c>
      <c r="H130" s="531" t="s">
        <v>186</v>
      </c>
      <c r="I130" s="524">
        <v>39</v>
      </c>
      <c r="J130" s="525">
        <v>0</v>
      </c>
      <c r="K130" s="416">
        <v>0</v>
      </c>
      <c r="L130" s="412">
        <v>0</v>
      </c>
      <c r="M130" s="419">
        <v>0</v>
      </c>
    </row>
    <row r="131" spans="1:13" x14ac:dyDescent="0.25">
      <c r="A131" s="281"/>
      <c r="B131" s="281" t="s">
        <v>345</v>
      </c>
      <c r="C131" s="282" t="s">
        <v>1243</v>
      </c>
      <c r="D131" s="429">
        <v>0.19444444444444445</v>
      </c>
      <c r="H131" s="530" t="s">
        <v>219</v>
      </c>
      <c r="I131" s="524">
        <v>669</v>
      </c>
      <c r="J131" s="525">
        <v>0</v>
      </c>
      <c r="K131" s="416">
        <v>0</v>
      </c>
      <c r="L131" s="412">
        <v>0</v>
      </c>
      <c r="M131" s="419">
        <v>0</v>
      </c>
    </row>
    <row r="132" spans="1:13" x14ac:dyDescent="0.25">
      <c r="A132" s="282"/>
      <c r="B132" s="282" t="s">
        <v>356</v>
      </c>
      <c r="C132" s="282" t="s">
        <v>1245</v>
      </c>
      <c r="D132" s="430">
        <v>1.0281456953642385</v>
      </c>
      <c r="H132" s="531" t="s">
        <v>215</v>
      </c>
      <c r="I132" s="524">
        <v>355</v>
      </c>
      <c r="J132" s="525">
        <v>0</v>
      </c>
      <c r="K132" s="416">
        <v>0</v>
      </c>
      <c r="L132" s="412">
        <v>0</v>
      </c>
      <c r="M132" s="419">
        <v>0</v>
      </c>
    </row>
    <row r="133" spans="1:13" x14ac:dyDescent="0.25">
      <c r="A133" s="281" t="s">
        <v>300</v>
      </c>
      <c r="B133" s="282" t="s">
        <v>1007</v>
      </c>
      <c r="C133" s="282" t="s">
        <v>859</v>
      </c>
      <c r="D133" s="430">
        <v>0</v>
      </c>
      <c r="H133" s="531" t="s">
        <v>192</v>
      </c>
      <c r="I133" s="524">
        <v>109</v>
      </c>
      <c r="J133" s="525">
        <v>0</v>
      </c>
      <c r="K133" s="416">
        <v>0</v>
      </c>
      <c r="L133" s="412">
        <v>0</v>
      </c>
      <c r="M133" s="419">
        <v>0</v>
      </c>
    </row>
    <row r="134" spans="1:13" x14ac:dyDescent="0.25">
      <c r="A134" s="282"/>
      <c r="B134" s="334" t="s">
        <v>1259</v>
      </c>
      <c r="C134" s="334" t="s">
        <v>1260</v>
      </c>
      <c r="D134" s="284">
        <v>1.0169491525423728</v>
      </c>
      <c r="H134" s="534" t="s">
        <v>209</v>
      </c>
      <c r="I134" s="527">
        <v>226</v>
      </c>
      <c r="J134" s="528">
        <v>0</v>
      </c>
      <c r="K134" s="417">
        <v>0</v>
      </c>
      <c r="L134" s="413">
        <v>0</v>
      </c>
      <c r="M134" s="420">
        <v>0</v>
      </c>
    </row>
    <row r="135" spans="1:13" x14ac:dyDescent="0.25">
      <c r="A135" s="281" t="s">
        <v>779</v>
      </c>
      <c r="B135" s="334" t="s">
        <v>1258</v>
      </c>
      <c r="C135" s="334" t="s">
        <v>1275</v>
      </c>
      <c r="D135" s="284">
        <v>0.92105263157894735</v>
      </c>
      <c r="H135" s="529" t="s">
        <v>237</v>
      </c>
      <c r="I135" s="527"/>
      <c r="J135" s="528"/>
      <c r="K135" s="417"/>
      <c r="L135" s="413"/>
      <c r="M135" s="420"/>
    </row>
    <row r="136" spans="1:13" x14ac:dyDescent="0.25">
      <c r="A136" s="282" t="s">
        <v>415</v>
      </c>
      <c r="B136" s="282"/>
      <c r="C136" s="282"/>
      <c r="D136" s="430">
        <v>172.76395444483111</v>
      </c>
      <c r="H136" s="533" t="s">
        <v>237</v>
      </c>
      <c r="I136" s="527">
        <v>1177</v>
      </c>
      <c r="J136" s="528">
        <v>235</v>
      </c>
      <c r="K136" s="417">
        <v>225</v>
      </c>
      <c r="L136" s="413">
        <v>0.19966015293118097</v>
      </c>
      <c r="M136" s="420">
        <v>0.19116397621070519</v>
      </c>
    </row>
    <row r="137" spans="1:13" x14ac:dyDescent="0.25">
      <c r="B137"/>
      <c r="H137" s="531" t="s">
        <v>259</v>
      </c>
      <c r="I137" s="524">
        <v>60</v>
      </c>
      <c r="J137" s="525">
        <v>40</v>
      </c>
      <c r="K137" s="416">
        <v>40</v>
      </c>
      <c r="L137" s="412">
        <v>0.66666666666666663</v>
      </c>
      <c r="M137" s="419">
        <v>0.66666666666666663</v>
      </c>
    </row>
    <row r="138" spans="1:13" x14ac:dyDescent="0.25">
      <c r="B138"/>
      <c r="H138" s="531" t="s">
        <v>253</v>
      </c>
      <c r="I138" s="524">
        <v>198</v>
      </c>
      <c r="J138" s="525">
        <v>38</v>
      </c>
      <c r="K138" s="416">
        <v>38</v>
      </c>
      <c r="L138" s="412">
        <v>0.19191919191919191</v>
      </c>
      <c r="M138" s="419">
        <v>0.19191919191919191</v>
      </c>
    </row>
    <row r="139" spans="1:13" x14ac:dyDescent="0.25">
      <c r="B139"/>
      <c r="H139" s="531" t="s">
        <v>277</v>
      </c>
      <c r="I139" s="524">
        <v>88</v>
      </c>
      <c r="J139" s="525">
        <v>24</v>
      </c>
      <c r="K139" s="416">
        <v>24</v>
      </c>
      <c r="L139" s="412">
        <v>0.27272727272727271</v>
      </c>
      <c r="M139" s="419">
        <v>0.27272727272727271</v>
      </c>
    </row>
    <row r="140" spans="1:13" x14ac:dyDescent="0.25">
      <c r="B140"/>
      <c r="H140" s="531" t="s">
        <v>281</v>
      </c>
      <c r="I140" s="524">
        <v>73</v>
      </c>
      <c r="J140" s="525">
        <v>23</v>
      </c>
      <c r="K140" s="416">
        <v>23</v>
      </c>
      <c r="L140" s="412">
        <v>0.31506849315068491</v>
      </c>
      <c r="M140" s="419">
        <v>0.31506849315068491</v>
      </c>
    </row>
    <row r="141" spans="1:13" x14ac:dyDescent="0.25">
      <c r="B141"/>
      <c r="H141" s="531" t="s">
        <v>279</v>
      </c>
      <c r="I141" s="524">
        <v>22</v>
      </c>
      <c r="J141" s="525">
        <v>22</v>
      </c>
      <c r="K141" s="416">
        <v>22</v>
      </c>
      <c r="L141" s="412">
        <v>1</v>
      </c>
      <c r="M141" s="419">
        <v>1</v>
      </c>
    </row>
    <row r="142" spans="1:13" x14ac:dyDescent="0.25">
      <c r="B142"/>
      <c r="H142" s="531" t="s">
        <v>255</v>
      </c>
      <c r="I142" s="524">
        <v>99</v>
      </c>
      <c r="J142" s="525">
        <v>19</v>
      </c>
      <c r="K142" s="416">
        <v>19</v>
      </c>
      <c r="L142" s="412">
        <v>0.19191919191919191</v>
      </c>
      <c r="M142" s="419">
        <v>0.19191919191919191</v>
      </c>
    </row>
    <row r="143" spans="1:13" x14ac:dyDescent="0.25">
      <c r="B143"/>
      <c r="H143" s="531" t="s">
        <v>247</v>
      </c>
      <c r="I143" s="524">
        <v>20</v>
      </c>
      <c r="J143" s="525">
        <v>17</v>
      </c>
      <c r="K143" s="416">
        <v>17</v>
      </c>
      <c r="L143" s="412">
        <v>0.85</v>
      </c>
      <c r="M143" s="419">
        <v>0.85</v>
      </c>
    </row>
    <row r="144" spans="1:13" x14ac:dyDescent="0.25">
      <c r="B144"/>
      <c r="H144" s="531" t="s">
        <v>261</v>
      </c>
      <c r="I144" s="524">
        <v>92</v>
      </c>
      <c r="J144" s="525">
        <v>12</v>
      </c>
      <c r="K144" s="416">
        <v>12</v>
      </c>
      <c r="L144" s="412">
        <v>0.13043478260869565</v>
      </c>
      <c r="M144" s="419">
        <v>0.13043478260869565</v>
      </c>
    </row>
    <row r="145" spans="2:13" x14ac:dyDescent="0.25">
      <c r="B145"/>
      <c r="H145" s="531" t="s">
        <v>257</v>
      </c>
      <c r="I145" s="524">
        <v>17</v>
      </c>
      <c r="J145" s="525">
        <v>12</v>
      </c>
      <c r="K145" s="416">
        <v>12</v>
      </c>
      <c r="L145" s="412">
        <v>0.70588235294117652</v>
      </c>
      <c r="M145" s="419">
        <v>0.70588235294117652</v>
      </c>
    </row>
    <row r="146" spans="2:13" x14ac:dyDescent="0.25">
      <c r="B146"/>
      <c r="H146" s="523" t="s">
        <v>269</v>
      </c>
      <c r="I146" s="524">
        <v>62</v>
      </c>
      <c r="J146" s="525">
        <v>10</v>
      </c>
      <c r="K146" s="416">
        <v>0</v>
      </c>
      <c r="L146" s="412">
        <v>0.16129032258064516</v>
      </c>
      <c r="M146" s="419">
        <v>0</v>
      </c>
    </row>
    <row r="147" spans="2:13" x14ac:dyDescent="0.25">
      <c r="B147"/>
      <c r="H147" s="531" t="s">
        <v>251</v>
      </c>
      <c r="I147" s="524">
        <v>26</v>
      </c>
      <c r="J147" s="525">
        <v>6</v>
      </c>
      <c r="K147" s="416">
        <v>6</v>
      </c>
      <c r="L147" s="412">
        <v>0.23076923076923078</v>
      </c>
      <c r="M147" s="419">
        <v>0.23076923076923078</v>
      </c>
    </row>
    <row r="148" spans="2:13" x14ac:dyDescent="0.25">
      <c r="B148"/>
      <c r="H148" s="531" t="s">
        <v>240</v>
      </c>
      <c r="I148" s="524">
        <v>30</v>
      </c>
      <c r="J148" s="525">
        <v>6</v>
      </c>
      <c r="K148" s="416">
        <v>6</v>
      </c>
      <c r="L148" s="412">
        <v>0.2</v>
      </c>
      <c r="M148" s="419">
        <v>0.2</v>
      </c>
    </row>
    <row r="149" spans="2:13" x14ac:dyDescent="0.25">
      <c r="B149"/>
      <c r="H149" s="523" t="s">
        <v>243</v>
      </c>
      <c r="I149" s="524">
        <v>6</v>
      </c>
      <c r="J149" s="525">
        <v>3</v>
      </c>
      <c r="K149" s="416">
        <v>3</v>
      </c>
      <c r="L149" s="412">
        <v>0.5</v>
      </c>
      <c r="M149" s="419">
        <v>0.5</v>
      </c>
    </row>
    <row r="150" spans="2:13" x14ac:dyDescent="0.25">
      <c r="B150"/>
      <c r="H150" s="523" t="s">
        <v>273</v>
      </c>
      <c r="I150" s="524">
        <v>46</v>
      </c>
      <c r="J150" s="525">
        <v>2</v>
      </c>
      <c r="K150" s="416">
        <v>2</v>
      </c>
      <c r="L150" s="412">
        <v>4.3478260869565216E-2</v>
      </c>
      <c r="M150" s="419">
        <v>4.3478260869565216E-2</v>
      </c>
    </row>
    <row r="151" spans="2:13" x14ac:dyDescent="0.25">
      <c r="B151"/>
      <c r="H151" s="523" t="s">
        <v>271</v>
      </c>
      <c r="I151" s="524">
        <v>68</v>
      </c>
      <c r="J151" s="525">
        <v>1</v>
      </c>
      <c r="K151" s="416">
        <v>1</v>
      </c>
      <c r="L151" s="412">
        <v>1.4705882352941176E-2</v>
      </c>
      <c r="M151" s="419">
        <v>1.4705882352941176E-2</v>
      </c>
    </row>
    <row r="152" spans="2:13" x14ac:dyDescent="0.25">
      <c r="B152"/>
      <c r="H152" s="523" t="s">
        <v>283</v>
      </c>
      <c r="I152" s="524">
        <v>7</v>
      </c>
      <c r="J152" s="525">
        <v>0</v>
      </c>
      <c r="K152" s="416">
        <v>0</v>
      </c>
      <c r="L152" s="412">
        <v>0</v>
      </c>
      <c r="M152" s="419">
        <v>0</v>
      </c>
    </row>
    <row r="153" spans="2:13" x14ac:dyDescent="0.25">
      <c r="B153"/>
      <c r="H153" s="523" t="s">
        <v>238</v>
      </c>
      <c r="I153" s="524">
        <v>48</v>
      </c>
      <c r="J153" s="525">
        <v>0</v>
      </c>
      <c r="K153" s="416">
        <v>0</v>
      </c>
      <c r="L153" s="412">
        <v>0</v>
      </c>
      <c r="M153" s="419">
        <v>0</v>
      </c>
    </row>
    <row r="154" spans="2:13" x14ac:dyDescent="0.25">
      <c r="B154"/>
      <c r="H154" s="523" t="s">
        <v>249</v>
      </c>
      <c r="I154" s="524">
        <v>4</v>
      </c>
      <c r="J154" s="525">
        <v>0</v>
      </c>
      <c r="K154" s="416">
        <v>0</v>
      </c>
      <c r="L154" s="412">
        <v>0</v>
      </c>
      <c r="M154" s="419">
        <v>0</v>
      </c>
    </row>
    <row r="155" spans="2:13" x14ac:dyDescent="0.25">
      <c r="B155"/>
      <c r="H155" s="531" t="s">
        <v>285</v>
      </c>
      <c r="I155" s="524">
        <v>85</v>
      </c>
      <c r="J155" s="525">
        <v>0</v>
      </c>
      <c r="K155" s="416">
        <v>0</v>
      </c>
      <c r="L155" s="412">
        <v>0</v>
      </c>
      <c r="M155" s="419">
        <v>0</v>
      </c>
    </row>
    <row r="156" spans="2:13" x14ac:dyDescent="0.25">
      <c r="B156"/>
      <c r="H156" s="531" t="s">
        <v>275</v>
      </c>
      <c r="I156" s="524">
        <v>31</v>
      </c>
      <c r="J156" s="525">
        <v>0</v>
      </c>
      <c r="K156" s="416">
        <v>0</v>
      </c>
      <c r="L156" s="412">
        <v>0</v>
      </c>
      <c r="M156" s="419">
        <v>0</v>
      </c>
    </row>
    <row r="157" spans="2:13" x14ac:dyDescent="0.25">
      <c r="B157"/>
      <c r="H157" s="523" t="s">
        <v>263</v>
      </c>
      <c r="I157" s="524">
        <v>21</v>
      </c>
      <c r="J157" s="525">
        <v>0</v>
      </c>
      <c r="K157" s="416">
        <v>0</v>
      </c>
      <c r="L157" s="412">
        <v>0</v>
      </c>
      <c r="M157" s="419">
        <v>0</v>
      </c>
    </row>
    <row r="158" spans="2:13" x14ac:dyDescent="0.25">
      <c r="B158"/>
      <c r="H158" s="523" t="s">
        <v>245</v>
      </c>
      <c r="I158" s="524">
        <v>6</v>
      </c>
      <c r="J158" s="525">
        <v>0</v>
      </c>
      <c r="K158" s="416">
        <v>0</v>
      </c>
      <c r="L158" s="412">
        <v>0</v>
      </c>
      <c r="M158" s="419">
        <v>0</v>
      </c>
    </row>
    <row r="159" spans="2:13" x14ac:dyDescent="0.25">
      <c r="B159"/>
      <c r="H159" s="523" t="s">
        <v>1244</v>
      </c>
      <c r="I159" s="524">
        <v>54</v>
      </c>
      <c r="J159" s="525">
        <v>0</v>
      </c>
      <c r="K159" s="416">
        <v>0</v>
      </c>
      <c r="L159" s="412">
        <v>0</v>
      </c>
      <c r="M159" s="419">
        <v>0</v>
      </c>
    </row>
    <row r="160" spans="2:13" x14ac:dyDescent="0.25">
      <c r="B160"/>
      <c r="H160" s="526" t="s">
        <v>265</v>
      </c>
      <c r="I160" s="527">
        <v>14</v>
      </c>
      <c r="J160" s="528">
        <v>0</v>
      </c>
      <c r="K160" s="417">
        <v>0</v>
      </c>
      <c r="L160" s="413">
        <v>0</v>
      </c>
      <c r="M160" s="420">
        <v>0</v>
      </c>
    </row>
    <row r="161" spans="2:13" x14ac:dyDescent="0.25">
      <c r="B161"/>
      <c r="H161" s="529" t="s">
        <v>289</v>
      </c>
      <c r="I161" s="527"/>
      <c r="J161" s="528"/>
      <c r="K161" s="417"/>
      <c r="L161" s="413"/>
      <c r="M161" s="420"/>
    </row>
    <row r="162" spans="2:13" x14ac:dyDescent="0.25">
      <c r="B162"/>
      <c r="H162" s="533" t="s">
        <v>289</v>
      </c>
      <c r="I162" s="527">
        <v>605</v>
      </c>
      <c r="J162" s="528">
        <v>392</v>
      </c>
      <c r="K162" s="417">
        <v>392</v>
      </c>
      <c r="L162" s="413">
        <v>0.64793388429752063</v>
      </c>
      <c r="M162" s="420">
        <v>0.64793388429752063</v>
      </c>
    </row>
    <row r="163" spans="2:13" x14ac:dyDescent="0.25">
      <c r="B163"/>
      <c r="H163" s="531" t="s">
        <v>1410</v>
      </c>
      <c r="I163" s="524">
        <v>200</v>
      </c>
      <c r="J163" s="525">
        <v>200</v>
      </c>
      <c r="K163" s="416">
        <v>200</v>
      </c>
      <c r="L163" s="412">
        <v>1</v>
      </c>
      <c r="M163" s="419">
        <v>1</v>
      </c>
    </row>
    <row r="164" spans="2:13" x14ac:dyDescent="0.25">
      <c r="B164"/>
      <c r="H164" s="531" t="s">
        <v>1411</v>
      </c>
      <c r="I164" s="524">
        <v>61</v>
      </c>
      <c r="J164" s="525">
        <v>61</v>
      </c>
      <c r="K164" s="416">
        <v>61</v>
      </c>
      <c r="L164" s="412">
        <v>1</v>
      </c>
      <c r="M164" s="419">
        <v>1</v>
      </c>
    </row>
    <row r="165" spans="2:13" x14ac:dyDescent="0.25">
      <c r="B165"/>
      <c r="H165" s="530" t="s">
        <v>1067</v>
      </c>
      <c r="I165" s="524">
        <v>121</v>
      </c>
      <c r="J165" s="525">
        <v>49</v>
      </c>
      <c r="K165" s="416">
        <v>49</v>
      </c>
      <c r="L165" s="412">
        <v>0.4049586776859504</v>
      </c>
      <c r="M165" s="419">
        <v>0.4049586776859504</v>
      </c>
    </row>
    <row r="166" spans="2:13" x14ac:dyDescent="0.25">
      <c r="B166"/>
      <c r="H166" s="531" t="s">
        <v>374</v>
      </c>
      <c r="I166" s="524">
        <v>43</v>
      </c>
      <c r="J166" s="525">
        <v>43</v>
      </c>
      <c r="K166" s="416">
        <v>43</v>
      </c>
      <c r="L166" s="412">
        <v>1</v>
      </c>
      <c r="M166" s="419">
        <v>1</v>
      </c>
    </row>
    <row r="167" spans="2:13" x14ac:dyDescent="0.25">
      <c r="B167"/>
      <c r="H167" s="531" t="s">
        <v>290</v>
      </c>
      <c r="I167" s="524">
        <v>69</v>
      </c>
      <c r="J167" s="525">
        <v>39</v>
      </c>
      <c r="K167" s="416">
        <v>39</v>
      </c>
      <c r="L167" s="412">
        <v>0.56521739130434778</v>
      </c>
      <c r="M167" s="419">
        <v>0.56521739130434778</v>
      </c>
    </row>
    <row r="168" spans="2:13" x14ac:dyDescent="0.25">
      <c r="B168"/>
      <c r="H168" s="531" t="s">
        <v>292</v>
      </c>
      <c r="I168" s="524">
        <v>75</v>
      </c>
      <c r="J168" s="525">
        <v>0</v>
      </c>
      <c r="K168" s="416">
        <v>0</v>
      </c>
      <c r="L168" s="412">
        <v>0</v>
      </c>
      <c r="M168" s="419">
        <v>0</v>
      </c>
    </row>
    <row r="169" spans="2:13" x14ac:dyDescent="0.25">
      <c r="B169"/>
      <c r="H169" s="532" t="s">
        <v>1055</v>
      </c>
      <c r="I169" s="527">
        <v>36</v>
      </c>
      <c r="J169" s="528">
        <v>0</v>
      </c>
      <c r="K169" s="417">
        <v>0</v>
      </c>
      <c r="L169" s="413">
        <v>0</v>
      </c>
      <c r="M169" s="420">
        <v>0</v>
      </c>
    </row>
    <row r="170" spans="2:13" x14ac:dyDescent="0.25">
      <c r="B170"/>
      <c r="H170" s="529" t="s">
        <v>310</v>
      </c>
      <c r="I170" s="527"/>
      <c r="J170" s="528"/>
      <c r="K170" s="417"/>
      <c r="L170" s="413"/>
      <c r="M170" s="420"/>
    </row>
    <row r="171" spans="2:13" x14ac:dyDescent="0.25">
      <c r="B171"/>
      <c r="H171" s="533" t="s">
        <v>310</v>
      </c>
      <c r="I171" s="527">
        <v>6296</v>
      </c>
      <c r="J171" s="528">
        <v>1966</v>
      </c>
      <c r="K171" s="417">
        <v>1966</v>
      </c>
      <c r="L171" s="413">
        <v>0.31226175349428209</v>
      </c>
      <c r="M171" s="420">
        <v>0.31226175349428209</v>
      </c>
    </row>
    <row r="172" spans="2:13" x14ac:dyDescent="0.25">
      <c r="B172"/>
      <c r="H172" s="534" t="s">
        <v>353</v>
      </c>
      <c r="I172" s="527">
        <v>1371</v>
      </c>
      <c r="J172" s="528">
        <v>1211</v>
      </c>
      <c r="K172" s="417">
        <v>1211</v>
      </c>
      <c r="L172" s="413">
        <v>0.88329686360320936</v>
      </c>
      <c r="M172" s="420">
        <v>0.88329686360320936</v>
      </c>
    </row>
    <row r="173" spans="2:13" x14ac:dyDescent="0.25">
      <c r="B173"/>
      <c r="H173" s="530" t="s">
        <v>196</v>
      </c>
      <c r="I173" s="524">
        <v>1649</v>
      </c>
      <c r="J173" s="525">
        <v>454</v>
      </c>
      <c r="K173" s="416">
        <v>454</v>
      </c>
      <c r="L173" s="412">
        <v>0.27531837477258947</v>
      </c>
      <c r="M173" s="419">
        <v>0.27531837477258947</v>
      </c>
    </row>
    <row r="174" spans="2:13" x14ac:dyDescent="0.25">
      <c r="B174"/>
      <c r="H174" s="531" t="s">
        <v>1243</v>
      </c>
      <c r="I174" s="524">
        <v>180</v>
      </c>
      <c r="J174" s="525">
        <v>145</v>
      </c>
      <c r="K174" s="416">
        <v>145</v>
      </c>
      <c r="L174" s="412">
        <v>0.80555555555555558</v>
      </c>
      <c r="M174" s="419">
        <v>0.80555555555555558</v>
      </c>
    </row>
    <row r="175" spans="2:13" x14ac:dyDescent="0.25">
      <c r="B175"/>
      <c r="H175" s="531" t="s">
        <v>336</v>
      </c>
      <c r="I175" s="524">
        <v>148</v>
      </c>
      <c r="J175" s="525">
        <v>48</v>
      </c>
      <c r="K175" s="416">
        <v>48</v>
      </c>
      <c r="L175" s="412">
        <v>0.32432432432432434</v>
      </c>
      <c r="M175" s="419">
        <v>0.32432432432432434</v>
      </c>
    </row>
    <row r="176" spans="2:13" x14ac:dyDescent="0.25">
      <c r="B176"/>
      <c r="H176" s="531" t="s">
        <v>328</v>
      </c>
      <c r="I176" s="524">
        <v>149</v>
      </c>
      <c r="J176" s="525">
        <v>42</v>
      </c>
      <c r="K176" s="416">
        <v>42</v>
      </c>
      <c r="L176" s="412">
        <v>0.28187919463087246</v>
      </c>
      <c r="M176" s="419">
        <v>0.28187919463087246</v>
      </c>
    </row>
    <row r="177" spans="2:13" x14ac:dyDescent="0.25">
      <c r="B177"/>
      <c r="H177" s="530" t="s">
        <v>355</v>
      </c>
      <c r="I177" s="524">
        <v>98</v>
      </c>
      <c r="J177" s="525">
        <v>33</v>
      </c>
      <c r="K177" s="416">
        <v>33</v>
      </c>
      <c r="L177" s="412">
        <v>0.33673469387755101</v>
      </c>
      <c r="M177" s="419">
        <v>0.33673469387755101</v>
      </c>
    </row>
    <row r="178" spans="2:13" x14ac:dyDescent="0.25">
      <c r="B178"/>
      <c r="H178" s="531" t="s">
        <v>316</v>
      </c>
      <c r="I178" s="524">
        <v>70</v>
      </c>
      <c r="J178" s="525">
        <v>15</v>
      </c>
      <c r="K178" s="416">
        <v>15</v>
      </c>
      <c r="L178" s="412">
        <v>0.21428571428571427</v>
      </c>
      <c r="M178" s="419">
        <v>0.21428571428571427</v>
      </c>
    </row>
    <row r="179" spans="2:13" x14ac:dyDescent="0.25">
      <c r="B179"/>
      <c r="H179" s="531" t="s">
        <v>330</v>
      </c>
      <c r="I179" s="524">
        <v>223</v>
      </c>
      <c r="J179" s="525">
        <v>13</v>
      </c>
      <c r="K179" s="416">
        <v>13</v>
      </c>
      <c r="L179" s="412">
        <v>5.829596412556054E-2</v>
      </c>
      <c r="M179" s="419">
        <v>5.829596412556054E-2</v>
      </c>
    </row>
    <row r="180" spans="2:13" x14ac:dyDescent="0.25">
      <c r="B180"/>
      <c r="H180" s="531" t="s">
        <v>320</v>
      </c>
      <c r="I180" s="524">
        <v>30</v>
      </c>
      <c r="J180" s="525">
        <v>5</v>
      </c>
      <c r="K180" s="416">
        <v>5</v>
      </c>
      <c r="L180" s="412">
        <v>0.16666666666666666</v>
      </c>
      <c r="M180" s="419">
        <v>0.16666666666666666</v>
      </c>
    </row>
    <row r="181" spans="2:13" x14ac:dyDescent="0.25">
      <c r="B181"/>
      <c r="H181" s="531" t="s">
        <v>318</v>
      </c>
      <c r="I181" s="524">
        <v>91</v>
      </c>
      <c r="J181" s="525">
        <v>0</v>
      </c>
      <c r="K181" s="416">
        <v>0</v>
      </c>
      <c r="L181" s="412">
        <v>0</v>
      </c>
      <c r="M181" s="419">
        <v>0</v>
      </c>
    </row>
    <row r="182" spans="2:13" x14ac:dyDescent="0.25">
      <c r="B182"/>
      <c r="H182" s="531" t="s">
        <v>349</v>
      </c>
      <c r="I182" s="524">
        <v>44</v>
      </c>
      <c r="J182" s="525">
        <v>0</v>
      </c>
      <c r="K182" s="416">
        <v>0</v>
      </c>
      <c r="L182" s="412">
        <v>0</v>
      </c>
      <c r="M182" s="419">
        <v>0</v>
      </c>
    </row>
    <row r="183" spans="2:13" x14ac:dyDescent="0.25">
      <c r="B183"/>
      <c r="H183" s="531" t="s">
        <v>342</v>
      </c>
      <c r="I183" s="524">
        <v>31</v>
      </c>
      <c r="J183" s="525">
        <v>0</v>
      </c>
      <c r="K183" s="416">
        <v>0</v>
      </c>
      <c r="L183" s="412">
        <v>0</v>
      </c>
      <c r="M183" s="419">
        <v>0</v>
      </c>
    </row>
    <row r="184" spans="2:13" x14ac:dyDescent="0.25">
      <c r="B184"/>
      <c r="H184" s="531" t="s">
        <v>338</v>
      </c>
      <c r="I184" s="524">
        <v>31</v>
      </c>
      <c r="J184" s="525">
        <v>0</v>
      </c>
      <c r="K184" s="416">
        <v>0</v>
      </c>
      <c r="L184" s="412">
        <v>0</v>
      </c>
      <c r="M184" s="419">
        <v>0</v>
      </c>
    </row>
    <row r="185" spans="2:13" x14ac:dyDescent="0.25">
      <c r="B185"/>
      <c r="H185" s="531" t="s">
        <v>351</v>
      </c>
      <c r="I185" s="524">
        <v>87</v>
      </c>
      <c r="J185" s="525">
        <v>0</v>
      </c>
      <c r="K185" s="416">
        <v>0</v>
      </c>
      <c r="L185" s="412">
        <v>0</v>
      </c>
      <c r="M185" s="419">
        <v>0</v>
      </c>
    </row>
    <row r="186" spans="2:13" x14ac:dyDescent="0.25">
      <c r="B186"/>
      <c r="H186" s="531" t="s">
        <v>324</v>
      </c>
      <c r="I186" s="524">
        <v>410</v>
      </c>
      <c r="J186" s="525">
        <v>0</v>
      </c>
      <c r="K186" s="416">
        <v>0</v>
      </c>
      <c r="L186" s="412">
        <v>0</v>
      </c>
      <c r="M186" s="419">
        <v>0</v>
      </c>
    </row>
    <row r="187" spans="2:13" x14ac:dyDescent="0.25">
      <c r="B187"/>
      <c r="H187" s="531" t="s">
        <v>347</v>
      </c>
      <c r="I187" s="524">
        <v>179</v>
      </c>
      <c r="J187" s="525">
        <v>0</v>
      </c>
      <c r="K187" s="416">
        <v>0</v>
      </c>
      <c r="L187" s="412">
        <v>0</v>
      </c>
      <c r="M187" s="419">
        <v>0</v>
      </c>
    </row>
    <row r="188" spans="2:13" x14ac:dyDescent="0.25">
      <c r="B188"/>
      <c r="H188" s="531" t="s">
        <v>322</v>
      </c>
      <c r="I188" s="524">
        <v>585</v>
      </c>
      <c r="J188" s="525">
        <v>0</v>
      </c>
      <c r="K188" s="416">
        <v>0</v>
      </c>
      <c r="L188" s="412">
        <v>0</v>
      </c>
      <c r="M188" s="419">
        <v>0</v>
      </c>
    </row>
    <row r="189" spans="2:13" x14ac:dyDescent="0.25">
      <c r="B189"/>
      <c r="H189" s="531" t="s">
        <v>313</v>
      </c>
      <c r="I189" s="524">
        <v>99</v>
      </c>
      <c r="J189" s="525">
        <v>0</v>
      </c>
      <c r="K189" s="416">
        <v>0</v>
      </c>
      <c r="L189" s="412">
        <v>0</v>
      </c>
      <c r="M189" s="419">
        <v>0</v>
      </c>
    </row>
    <row r="190" spans="2:13" x14ac:dyDescent="0.25">
      <c r="B190"/>
      <c r="H190" s="531" t="s">
        <v>1245</v>
      </c>
      <c r="I190" s="524">
        <v>604</v>
      </c>
      <c r="J190" s="525">
        <v>0</v>
      </c>
      <c r="K190" s="416">
        <v>0</v>
      </c>
      <c r="L190" s="412">
        <v>0</v>
      </c>
      <c r="M190" s="419">
        <v>0</v>
      </c>
    </row>
    <row r="191" spans="2:13" x14ac:dyDescent="0.25">
      <c r="B191"/>
      <c r="H191" s="531" t="s">
        <v>326</v>
      </c>
      <c r="I191" s="524">
        <v>38</v>
      </c>
      <c r="J191" s="525">
        <v>0</v>
      </c>
      <c r="K191" s="416">
        <v>0</v>
      </c>
      <c r="L191" s="412">
        <v>0</v>
      </c>
      <c r="M191" s="419">
        <v>0</v>
      </c>
    </row>
    <row r="192" spans="2:13" x14ac:dyDescent="0.25">
      <c r="B192"/>
      <c r="H192" s="531" t="s">
        <v>334</v>
      </c>
      <c r="I192" s="524">
        <v>161</v>
      </c>
      <c r="J192" s="525">
        <v>0</v>
      </c>
      <c r="K192" s="416">
        <v>0</v>
      </c>
      <c r="L192" s="412">
        <v>0</v>
      </c>
      <c r="M192" s="419">
        <v>0</v>
      </c>
    </row>
    <row r="193" spans="2:13" x14ac:dyDescent="0.25">
      <c r="B193"/>
      <c r="H193" s="532" t="s">
        <v>344</v>
      </c>
      <c r="I193" s="527">
        <v>18</v>
      </c>
      <c r="J193" s="528">
        <v>0</v>
      </c>
      <c r="K193" s="417">
        <v>0</v>
      </c>
      <c r="L193" s="413">
        <v>0</v>
      </c>
      <c r="M193" s="420">
        <v>0</v>
      </c>
    </row>
    <row r="194" spans="2:13" x14ac:dyDescent="0.25">
      <c r="B194"/>
      <c r="H194" s="401" t="s">
        <v>1621</v>
      </c>
      <c r="I194" s="524"/>
      <c r="J194" s="525"/>
      <c r="K194" s="416"/>
      <c r="L194" s="412"/>
      <c r="M194" s="419"/>
    </row>
    <row r="195" spans="2:13" x14ac:dyDescent="0.25">
      <c r="B195"/>
      <c r="H195" s="795" t="s">
        <v>1621</v>
      </c>
      <c r="I195" s="524">
        <v>37</v>
      </c>
      <c r="J195" s="525">
        <v>37</v>
      </c>
      <c r="K195" s="416">
        <v>37</v>
      </c>
      <c r="L195" s="412">
        <v>1</v>
      </c>
      <c r="M195" s="419">
        <v>1</v>
      </c>
    </row>
    <row r="196" spans="2:13" x14ac:dyDescent="0.25">
      <c r="B196"/>
      <c r="H196" s="531" t="s">
        <v>1618</v>
      </c>
      <c r="I196" s="524">
        <v>37</v>
      </c>
      <c r="J196" s="525">
        <v>37</v>
      </c>
      <c r="K196" s="416">
        <v>37</v>
      </c>
      <c r="L196" s="412">
        <v>1</v>
      </c>
      <c r="M196" s="419">
        <v>1</v>
      </c>
    </row>
    <row r="197" spans="2:13" x14ac:dyDescent="0.25">
      <c r="B197"/>
      <c r="H197" s="529" t="s">
        <v>415</v>
      </c>
      <c r="I197" s="527">
        <v>17960</v>
      </c>
      <c r="J197" s="528">
        <v>6322</v>
      </c>
      <c r="K197" s="417">
        <v>6242</v>
      </c>
      <c r="L197" s="413">
        <v>0.35200445434298439</v>
      </c>
      <c r="M197" s="420">
        <v>0.34755011135857461</v>
      </c>
    </row>
    <row r="198" spans="2:13" x14ac:dyDescent="0.25">
      <c r="B198"/>
      <c r="H198"/>
      <c r="I198"/>
      <c r="J198"/>
    </row>
    <row r="199" spans="2:13" x14ac:dyDescent="0.25">
      <c r="B199"/>
      <c r="H199"/>
      <c r="I199"/>
      <c r="J199"/>
    </row>
    <row r="200" spans="2:13" x14ac:dyDescent="0.25">
      <c r="B200"/>
      <c r="H200"/>
      <c r="I200"/>
      <c r="J200"/>
    </row>
    <row r="201" spans="2:13" x14ac:dyDescent="0.25">
      <c r="B201"/>
      <c r="H201"/>
      <c r="I201"/>
      <c r="J201"/>
    </row>
    <row r="202" spans="2:13" x14ac:dyDescent="0.25">
      <c r="B202"/>
      <c r="H202"/>
      <c r="I202"/>
      <c r="J202"/>
    </row>
    <row r="203" spans="2:13" x14ac:dyDescent="0.25">
      <c r="B203"/>
      <c r="H203"/>
      <c r="I203"/>
      <c r="J203"/>
    </row>
    <row r="204" spans="2:13" x14ac:dyDescent="0.25">
      <c r="B204"/>
      <c r="H204"/>
      <c r="I204"/>
      <c r="J204"/>
    </row>
    <row r="205" spans="2:13" x14ac:dyDescent="0.25">
      <c r="B205"/>
      <c r="H205"/>
      <c r="I205"/>
      <c r="J205"/>
    </row>
    <row r="206" spans="2:13" x14ac:dyDescent="0.25">
      <c r="B206"/>
    </row>
    <row r="207" spans="2:13" x14ac:dyDescent="0.25">
      <c r="B207"/>
    </row>
    <row r="208" spans="2:13"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59999389629810485"/>
  </sheetPr>
  <dimension ref="A1:CJ103"/>
  <sheetViews>
    <sheetView showZeros="0" zoomScaleNormal="100" zoomScaleSheetLayoutView="100" zoomScalePageLayoutView="80" workbookViewId="0">
      <selection activeCell="Q26" sqref="Q26"/>
    </sheetView>
  </sheetViews>
  <sheetFormatPr defaultColWidth="9.140625" defaultRowHeight="15" x14ac:dyDescent="0.25"/>
  <cols>
    <col min="1" max="1" width="2.42578125" style="92" customWidth="1"/>
    <col min="2" max="2" width="1.85546875" style="92" customWidth="1"/>
    <col min="3" max="3" width="21" style="38" customWidth="1"/>
    <col min="4" max="4" width="8.28515625" style="38" customWidth="1"/>
    <col min="5" max="5" width="6.5703125" style="38" customWidth="1"/>
    <col min="6" max="6" width="6.85546875" style="38" customWidth="1"/>
    <col min="7" max="8" width="7.42578125" style="38" customWidth="1"/>
    <col min="9" max="9" width="15" style="38" customWidth="1"/>
    <col min="10" max="11" width="16" style="38" customWidth="1"/>
    <col min="12" max="12" width="9.140625" style="38"/>
    <col min="13" max="13" width="8.7109375" style="38" customWidth="1"/>
    <col min="14" max="14" width="5.85546875" style="38" customWidth="1"/>
    <col min="15" max="15" width="3.140625" style="38" customWidth="1"/>
    <col min="16" max="16" width="11" style="38" customWidth="1"/>
    <col min="17" max="17" width="31.5703125" style="38" customWidth="1"/>
    <col min="23" max="23" width="7.7109375" style="52" hidden="1" customWidth="1"/>
    <col min="24" max="24" width="0" style="52" hidden="1" customWidth="1"/>
    <col min="25" max="25" width="21.140625" style="52" hidden="1" customWidth="1"/>
    <col min="26" max="32" width="9.140625" style="52"/>
    <col min="33" max="83" width="9.140625" style="38"/>
    <col min="84" max="84" width="9.140625" style="38" customWidth="1"/>
    <col min="85" max="88" width="8" style="52" customWidth="1"/>
    <col min="89" max="16384" width="9.140625" style="38"/>
  </cols>
  <sheetData>
    <row r="1" spans="2:88" s="92" customFormat="1" ht="9.75" customHeight="1" thickBot="1" x14ac:dyDescent="0.3"/>
    <row r="2" spans="2:88" s="92" customFormat="1" ht="3.6" customHeight="1" x14ac:dyDescent="0.25">
      <c r="B2" s="195"/>
      <c r="C2" s="196"/>
      <c r="D2" s="196"/>
      <c r="E2" s="196"/>
      <c r="F2" s="196"/>
      <c r="G2" s="196"/>
      <c r="H2" s="196"/>
      <c r="I2" s="196"/>
      <c r="J2" s="196"/>
      <c r="K2" s="196"/>
      <c r="L2" s="196"/>
      <c r="M2" s="196"/>
      <c r="N2" s="196"/>
      <c r="O2" s="197"/>
    </row>
    <row r="3" spans="2:88" s="1" customFormat="1" ht="9" hidden="1" customHeight="1" x14ac:dyDescent="0.25">
      <c r="B3" s="198"/>
      <c r="C3" s="206"/>
      <c r="D3" s="206"/>
      <c r="E3" s="206"/>
      <c r="F3" s="206"/>
      <c r="G3" s="206"/>
      <c r="H3" s="206"/>
      <c r="I3" s="206"/>
      <c r="J3" s="206"/>
      <c r="K3" s="206"/>
      <c r="L3" s="206"/>
      <c r="M3" s="206"/>
      <c r="N3" s="206"/>
      <c r="O3" s="199"/>
      <c r="P3" s="92"/>
      <c r="Q3" s="92"/>
      <c r="AO3" s="46"/>
      <c r="AP3" s="46"/>
    </row>
    <row r="4" spans="2:88" s="1" customFormat="1" ht="23.45" customHeight="1" x14ac:dyDescent="0.25">
      <c r="B4" s="198"/>
      <c r="C4" s="850" t="s">
        <v>590</v>
      </c>
      <c r="D4" s="850"/>
      <c r="E4" s="850"/>
      <c r="F4" s="850"/>
      <c r="G4" s="850"/>
      <c r="H4" s="850"/>
      <c r="I4" s="850"/>
      <c r="J4" s="850"/>
      <c r="K4" s="850"/>
      <c r="L4" s="188"/>
      <c r="M4" s="188"/>
      <c r="N4" s="188"/>
      <c r="O4" s="199"/>
      <c r="P4" s="92"/>
      <c r="Q4" s="92"/>
      <c r="W4" s="65"/>
      <c r="X4" s="65"/>
      <c r="Y4" s="65"/>
      <c r="Z4" s="65"/>
      <c r="AA4" s="65"/>
      <c r="AB4" s="65"/>
      <c r="AC4" s="65"/>
      <c r="AD4" s="65"/>
      <c r="AE4" s="65"/>
      <c r="AF4" s="65"/>
      <c r="AP4" s="46"/>
      <c r="AQ4" s="46"/>
      <c r="CG4" s="18" t="s">
        <v>1152</v>
      </c>
      <c r="CH4" s="40">
        <f>GETPIVOTDATA("# HH",$C$21)</f>
        <v>17960</v>
      </c>
      <c r="CI4" s="65"/>
      <c r="CJ4" s="65"/>
    </row>
    <row r="5" spans="2:88" s="15" customFormat="1" ht="15.75" customHeight="1" x14ac:dyDescent="0.25">
      <c r="B5" s="200"/>
      <c r="C5" s="844">
        <f>Definition!B23</f>
        <v>42675</v>
      </c>
      <c r="D5" s="844"/>
      <c r="E5" s="844"/>
      <c r="F5" s="844"/>
      <c r="G5" s="844"/>
      <c r="H5" s="844"/>
      <c r="I5" s="844"/>
      <c r="J5" s="844"/>
      <c r="K5" s="192"/>
      <c r="L5" s="192"/>
      <c r="M5" s="192"/>
      <c r="N5" s="192"/>
      <c r="O5" s="201"/>
      <c r="P5" s="92"/>
      <c r="Q5" s="92"/>
      <c r="W5" s="65"/>
      <c r="X5" s="65"/>
      <c r="Y5" s="65"/>
      <c r="Z5" s="65"/>
      <c r="AA5" s="65"/>
      <c r="AB5" s="65"/>
      <c r="AC5" s="65"/>
      <c r="AD5" s="65"/>
      <c r="AE5" s="65"/>
      <c r="AF5" s="65"/>
      <c r="AP5" s="47"/>
      <c r="AQ5" s="47"/>
      <c r="CG5" s="18" t="s">
        <v>1233</v>
      </c>
      <c r="CH5" s="40">
        <f>GETPIVOTDATA("# Camps",$C$21)</f>
        <v>161</v>
      </c>
      <c r="CI5" s="65"/>
      <c r="CJ5" s="65"/>
    </row>
    <row r="6" spans="2:88" s="15" customFormat="1" ht="1.5" customHeight="1" x14ac:dyDescent="0.25">
      <c r="B6" s="213"/>
      <c r="C6" s="219"/>
      <c r="D6" s="219"/>
      <c r="E6" s="219"/>
      <c r="F6" s="219"/>
      <c r="G6" s="219"/>
      <c r="H6" s="219"/>
      <c r="I6" s="219"/>
      <c r="J6" s="219"/>
      <c r="K6" s="220"/>
      <c r="L6" s="220"/>
      <c r="M6" s="220"/>
      <c r="N6" s="220"/>
      <c r="O6" s="207"/>
      <c r="P6" s="92"/>
      <c r="Q6" s="92"/>
      <c r="W6" s="92"/>
      <c r="X6" s="92"/>
      <c r="Y6" s="92"/>
      <c r="Z6" s="92"/>
      <c r="AA6" s="92"/>
      <c r="AB6" s="92"/>
      <c r="AC6" s="92"/>
      <c r="AD6" s="92"/>
      <c r="AE6" s="92"/>
      <c r="AF6" s="92"/>
      <c r="AP6" s="47"/>
      <c r="AQ6" s="47"/>
      <c r="CG6" s="18"/>
      <c r="CH6" s="40"/>
      <c r="CI6" s="92"/>
      <c r="CJ6" s="92"/>
    </row>
    <row r="7" spans="2:88" ht="10.15" customHeight="1" x14ac:dyDescent="0.25">
      <c r="B7" s="213"/>
      <c r="C7" s="29"/>
      <c r="D7" s="29"/>
      <c r="E7" s="29"/>
      <c r="F7" s="29"/>
      <c r="G7" s="29"/>
      <c r="H7" s="29"/>
      <c r="I7" s="29"/>
      <c r="J7" s="29"/>
      <c r="K7" s="29"/>
      <c r="L7" s="29"/>
      <c r="M7" s="29"/>
      <c r="N7" s="29"/>
      <c r="O7" s="207"/>
      <c r="CG7" s="18" t="s">
        <v>1154</v>
      </c>
      <c r="CH7" s="279">
        <f>GETPIVOTDATA("# HH",$C$21)-GETPIVOTDATA("# Shelter Gap",$C$21)</f>
        <v>11638</v>
      </c>
    </row>
    <row r="8" spans="2:88" ht="10.15" customHeight="1" x14ac:dyDescent="0.25">
      <c r="B8" s="213"/>
      <c r="C8" s="29"/>
      <c r="D8" s="29"/>
      <c r="E8" s="29"/>
      <c r="F8" s="29"/>
      <c r="G8" s="29"/>
      <c r="H8" s="29"/>
      <c r="I8" s="29"/>
      <c r="J8" s="29"/>
      <c r="K8" s="29"/>
      <c r="L8" s="29"/>
      <c r="M8" s="29"/>
      <c r="N8" s="29"/>
      <c r="O8" s="207"/>
      <c r="CF8" s="15"/>
      <c r="CG8" s="18" t="s">
        <v>1153</v>
      </c>
      <c r="CH8" s="40">
        <f>GETPIVOTDATA("# Shelter Gap",$C$21)</f>
        <v>6322</v>
      </c>
    </row>
    <row r="9" spans="2:88" ht="10.15" customHeight="1" x14ac:dyDescent="0.25">
      <c r="B9" s="213"/>
      <c r="C9" s="29"/>
      <c r="D9" s="29"/>
      <c r="E9" s="29"/>
      <c r="F9" s="29"/>
      <c r="G9" s="29"/>
      <c r="H9" s="29"/>
      <c r="I9" s="29"/>
      <c r="J9" s="29"/>
      <c r="K9" s="29"/>
      <c r="L9" s="29"/>
      <c r="M9" s="29"/>
      <c r="N9" s="29"/>
      <c r="O9" s="207"/>
      <c r="CG9" s="18" t="s">
        <v>1156</v>
      </c>
      <c r="CH9" s="40">
        <f>GETPIVOTDATA("# Const. Shelter",$C$21)</f>
        <v>6242</v>
      </c>
    </row>
    <row r="10" spans="2:88" ht="10.15" customHeight="1" x14ac:dyDescent="0.25">
      <c r="B10" s="213"/>
      <c r="C10" s="29"/>
      <c r="D10" s="29"/>
      <c r="E10" s="29"/>
      <c r="F10" s="29"/>
      <c r="G10" s="29"/>
      <c r="H10" s="29"/>
      <c r="I10" s="29"/>
      <c r="J10" s="29"/>
      <c r="K10" s="29"/>
      <c r="L10" s="29"/>
      <c r="M10" s="29"/>
      <c r="N10" s="29"/>
      <c r="O10" s="207"/>
      <c r="CG10" s="18" t="s">
        <v>1155</v>
      </c>
      <c r="CH10" s="279">
        <f>GETPIVOTDATA("# Shelter Gap",$C$21)-GETPIVOTDATA("# Const. Shelter",$C$21)</f>
        <v>80</v>
      </c>
    </row>
    <row r="11" spans="2:88" ht="10.15" customHeight="1" x14ac:dyDescent="0.25">
      <c r="B11" s="213"/>
      <c r="C11" s="29"/>
      <c r="D11" s="29"/>
      <c r="E11" s="29"/>
      <c r="F11" s="29"/>
      <c r="G11" s="29"/>
      <c r="H11" s="29"/>
      <c r="I11" s="29"/>
      <c r="J11" s="29"/>
      <c r="K11" s="29"/>
      <c r="L11" s="29"/>
      <c r="M11" s="29"/>
      <c r="N11" s="29"/>
      <c r="O11" s="207"/>
    </row>
    <row r="12" spans="2:88" ht="10.15" customHeight="1" x14ac:dyDescent="0.25">
      <c r="B12" s="213"/>
      <c r="C12" s="29"/>
      <c r="D12" s="29"/>
      <c r="E12" s="29"/>
      <c r="F12" s="29"/>
      <c r="G12" s="29"/>
      <c r="H12" s="29"/>
      <c r="I12" s="29"/>
      <c r="J12" s="29"/>
      <c r="K12" s="29"/>
      <c r="L12" s="29"/>
      <c r="M12" s="29"/>
      <c r="N12" s="29"/>
      <c r="O12" s="207"/>
    </row>
    <row r="13" spans="2:88" ht="10.15" customHeight="1" x14ac:dyDescent="0.25">
      <c r="B13" s="213"/>
      <c r="C13" s="29"/>
      <c r="D13" s="29"/>
      <c r="E13" s="29"/>
      <c r="F13" s="29"/>
      <c r="G13" s="29"/>
      <c r="H13" s="29"/>
      <c r="I13" s="29"/>
      <c r="J13" s="29"/>
      <c r="K13" s="29"/>
      <c r="L13" s="29"/>
      <c r="M13" s="29"/>
      <c r="N13" s="29"/>
      <c r="O13" s="207"/>
      <c r="CG13" s="18" t="s">
        <v>1188</v>
      </c>
      <c r="CH13" s="18">
        <v>0.5</v>
      </c>
    </row>
    <row r="14" spans="2:88" s="92" customFormat="1" ht="10.15" customHeight="1" x14ac:dyDescent="0.25">
      <c r="B14" s="213"/>
      <c r="C14" s="29"/>
      <c r="D14" s="29"/>
      <c r="E14" s="29"/>
      <c r="F14" s="29"/>
      <c r="G14" s="29"/>
      <c r="H14" s="29"/>
      <c r="I14" s="29"/>
      <c r="J14" s="29"/>
      <c r="K14" s="29"/>
      <c r="L14" s="29"/>
      <c r="M14" s="29"/>
      <c r="N14" s="29"/>
      <c r="O14" s="207"/>
    </row>
    <row r="15" spans="2:88" ht="7.15" customHeight="1" thickBot="1" x14ac:dyDescent="0.3">
      <c r="B15" s="213"/>
      <c r="C15" s="29"/>
      <c r="D15" s="29"/>
      <c r="E15" s="29"/>
      <c r="F15" s="29"/>
      <c r="G15" s="29"/>
      <c r="H15" s="29"/>
      <c r="I15" s="29"/>
      <c r="J15" s="208"/>
      <c r="K15" s="208"/>
      <c r="L15" s="29"/>
      <c r="M15" s="29"/>
      <c r="N15" s="29"/>
      <c r="O15" s="207"/>
    </row>
    <row r="16" spans="2:88" ht="16.5" hidden="1" thickBot="1" x14ac:dyDescent="0.3">
      <c r="B16" s="36"/>
      <c r="C16" s="334"/>
      <c r="D16" s="334"/>
      <c r="E16" s="334"/>
      <c r="F16" s="334"/>
      <c r="G16" s="334"/>
      <c r="H16" s="334"/>
      <c r="I16" s="29"/>
      <c r="J16" s="209"/>
      <c r="K16" s="209"/>
      <c r="L16" s="29"/>
      <c r="M16" s="29"/>
      <c r="N16" s="29"/>
      <c r="O16" s="207"/>
    </row>
    <row r="17" spans="2:88" ht="16.5" hidden="1" thickBot="1" x14ac:dyDescent="0.3">
      <c r="B17" s="36"/>
      <c r="C17" s="334"/>
      <c r="D17" s="334"/>
      <c r="E17" s="334"/>
      <c r="F17" s="334"/>
      <c r="G17" s="334"/>
      <c r="H17" s="334"/>
      <c r="I17" s="29"/>
      <c r="J17" s="209"/>
      <c r="K17" s="209"/>
      <c r="L17" s="29"/>
      <c r="M17" s="29"/>
      <c r="N17" s="29"/>
      <c r="O17" s="207"/>
    </row>
    <row r="18" spans="2:88" ht="16.5" hidden="1" thickBot="1" x14ac:dyDescent="0.3">
      <c r="B18" s="36"/>
      <c r="C18" s="351" t="s">
        <v>498</v>
      </c>
      <c r="D18" s="352" t="s">
        <v>500</v>
      </c>
      <c r="E18" s="334"/>
      <c r="F18" s="334"/>
      <c r="G18" s="334"/>
      <c r="H18" s="334"/>
      <c r="I18" s="29"/>
      <c r="J18" s="29"/>
      <c r="K18" s="209"/>
      <c r="L18" s="29"/>
      <c r="M18" s="29"/>
      <c r="N18" s="29"/>
      <c r="O18" s="207"/>
    </row>
    <row r="19" spans="2:88" ht="16.5" hidden="1" thickBot="1" x14ac:dyDescent="0.3">
      <c r="B19" s="36"/>
      <c r="C19" s="351" t="s">
        <v>401</v>
      </c>
      <c r="D19" s="352" t="s">
        <v>554</v>
      </c>
      <c r="E19" s="334"/>
      <c r="F19" s="334"/>
      <c r="G19" s="334"/>
      <c r="H19" s="334"/>
      <c r="I19" s="29"/>
      <c r="J19" s="29"/>
      <c r="K19" s="209"/>
      <c r="L19" s="29"/>
      <c r="M19" s="29"/>
      <c r="N19" s="29"/>
      <c r="O19" s="207"/>
    </row>
    <row r="20" spans="2:88" ht="16.5" hidden="1" thickBot="1" x14ac:dyDescent="0.3">
      <c r="B20" s="36"/>
      <c r="C20" s="334"/>
      <c r="D20" s="334"/>
      <c r="E20" s="334"/>
      <c r="F20" s="334"/>
      <c r="G20" s="334"/>
      <c r="H20" s="334"/>
      <c r="I20" s="29"/>
      <c r="J20" s="29"/>
      <c r="K20" s="209"/>
      <c r="L20" s="29"/>
      <c r="M20" s="29"/>
      <c r="N20" s="29"/>
      <c r="O20" s="207"/>
    </row>
    <row r="21" spans="2:88" ht="45" x14ac:dyDescent="0.25">
      <c r="B21" s="213"/>
      <c r="C21" s="353" t="s">
        <v>0</v>
      </c>
      <c r="D21" s="354" t="s">
        <v>1177</v>
      </c>
      <c r="E21" s="354" t="s">
        <v>1178</v>
      </c>
      <c r="F21" s="354" t="s">
        <v>1179</v>
      </c>
      <c r="G21" s="354" t="s">
        <v>1180</v>
      </c>
      <c r="H21" s="355" t="s">
        <v>1181</v>
      </c>
      <c r="I21" s="29"/>
      <c r="J21" s="29"/>
      <c r="K21" s="209"/>
      <c r="L21" s="29"/>
      <c r="M21" s="29"/>
      <c r="N21" s="29"/>
      <c r="O21" s="207"/>
      <c r="AF21" s="38"/>
      <c r="CG21" s="256" t="s">
        <v>0</v>
      </c>
      <c r="CH21" s="282" t="s">
        <v>1185</v>
      </c>
      <c r="CI21" s="282" t="s">
        <v>1186</v>
      </c>
      <c r="CJ21" s="255" t="s">
        <v>1187</v>
      </c>
    </row>
    <row r="22" spans="2:88" ht="13.9" customHeight="1" x14ac:dyDescent="0.25">
      <c r="B22" s="213"/>
      <c r="C22" s="356" t="s">
        <v>5</v>
      </c>
      <c r="D22" s="349">
        <v>1273</v>
      </c>
      <c r="E22" s="350">
        <v>7140</v>
      </c>
      <c r="F22" s="342">
        <v>10</v>
      </c>
      <c r="G22" s="349">
        <v>340</v>
      </c>
      <c r="H22" s="357">
        <v>270</v>
      </c>
      <c r="I22" s="29"/>
      <c r="J22" s="29"/>
      <c r="K22" s="209"/>
      <c r="L22" s="29"/>
      <c r="M22" s="29"/>
      <c r="N22" s="29"/>
      <c r="O22" s="207"/>
      <c r="AF22" s="38"/>
      <c r="CG22" s="259" t="str">
        <f t="shared" ref="CG22:CG31" si="0">C22</f>
        <v>Bhamo</v>
      </c>
      <c r="CH22" s="279">
        <f>D22-Shelter_Draw[[#This Row],[V2]]-Shelter_Draw[[#This Row],[V3]]</f>
        <v>933</v>
      </c>
      <c r="CI22" s="279">
        <f t="shared" ref="CI22:CI31" si="1">H22</f>
        <v>270</v>
      </c>
      <c r="CJ22" s="327">
        <f t="shared" ref="CJ22:CJ31" si="2">G22-H22</f>
        <v>70</v>
      </c>
    </row>
    <row r="23" spans="2:88" ht="13.9" customHeight="1" x14ac:dyDescent="0.25">
      <c r="B23" s="213"/>
      <c r="C23" s="356" t="s">
        <v>27</v>
      </c>
      <c r="D23" s="349">
        <v>501</v>
      </c>
      <c r="E23" s="350">
        <v>2628</v>
      </c>
      <c r="F23" s="342">
        <v>5</v>
      </c>
      <c r="G23" s="349">
        <v>321</v>
      </c>
      <c r="H23" s="357">
        <v>321</v>
      </c>
      <c r="I23" s="29"/>
      <c r="J23" s="29"/>
      <c r="K23" s="209"/>
      <c r="L23" s="29"/>
      <c r="M23" s="29"/>
      <c r="N23" s="29"/>
      <c r="O23" s="207"/>
      <c r="AF23" s="38"/>
      <c r="CG23" s="259" t="str">
        <f t="shared" si="0"/>
        <v>Chipwi</v>
      </c>
      <c r="CH23" s="279">
        <f>D23-Shelter_Draw[[#This Row],[V2]]-Shelter_Draw[[#This Row],[V3]]</f>
        <v>180</v>
      </c>
      <c r="CI23" s="279">
        <f t="shared" si="1"/>
        <v>321</v>
      </c>
      <c r="CJ23" s="327">
        <f t="shared" si="2"/>
        <v>0</v>
      </c>
    </row>
    <row r="24" spans="2:88" ht="13.9" customHeight="1" x14ac:dyDescent="0.25">
      <c r="B24" s="213"/>
      <c r="C24" s="356" t="s">
        <v>527</v>
      </c>
      <c r="D24" s="349">
        <v>802</v>
      </c>
      <c r="E24" s="350">
        <v>3766</v>
      </c>
      <c r="F24" s="342">
        <v>26</v>
      </c>
      <c r="G24" s="349">
        <v>406</v>
      </c>
      <c r="H24" s="357">
        <v>406</v>
      </c>
      <c r="I24" s="29"/>
      <c r="J24" s="29"/>
      <c r="K24" s="210"/>
      <c r="L24" s="29"/>
      <c r="M24" s="29"/>
      <c r="N24" s="29"/>
      <c r="O24" s="207"/>
      <c r="AF24" s="38"/>
      <c r="CG24" s="259" t="str">
        <f t="shared" si="0"/>
        <v>Hpakant</v>
      </c>
      <c r="CH24" s="279">
        <f>D24-Shelter_Draw[[#This Row],[V2]]-Shelter_Draw[[#This Row],[V3]]</f>
        <v>396</v>
      </c>
      <c r="CI24" s="279">
        <f t="shared" si="1"/>
        <v>406</v>
      </c>
      <c r="CJ24" s="327">
        <f t="shared" si="2"/>
        <v>0</v>
      </c>
    </row>
    <row r="25" spans="2:88" ht="13.9" customHeight="1" x14ac:dyDescent="0.25">
      <c r="B25" s="213"/>
      <c r="C25" s="356" t="s">
        <v>779</v>
      </c>
      <c r="D25" s="349">
        <v>58</v>
      </c>
      <c r="E25" s="350">
        <v>280</v>
      </c>
      <c r="F25" s="342">
        <v>2</v>
      </c>
      <c r="G25" s="349">
        <v>23</v>
      </c>
      <c r="H25" s="357">
        <v>23</v>
      </c>
      <c r="I25" s="29"/>
      <c r="J25" s="29"/>
      <c r="K25" s="29"/>
      <c r="L25" s="29"/>
      <c r="M25" s="29"/>
      <c r="N25" s="29"/>
      <c r="O25" s="207"/>
      <c r="AF25" s="38"/>
      <c r="CG25" s="259" t="str">
        <f t="shared" si="0"/>
        <v>Hseni</v>
      </c>
      <c r="CH25" s="279">
        <f>D25-Shelter_Draw[[#This Row],[V2]]-Shelter_Draw[[#This Row],[V3]]</f>
        <v>35</v>
      </c>
      <c r="CI25" s="279">
        <f t="shared" si="1"/>
        <v>23</v>
      </c>
      <c r="CJ25" s="327">
        <f t="shared" si="2"/>
        <v>0</v>
      </c>
    </row>
    <row r="26" spans="2:88" ht="13.9" customHeight="1" x14ac:dyDescent="0.25">
      <c r="B26" s="213"/>
      <c r="C26" s="356" t="s">
        <v>1621</v>
      </c>
      <c r="D26" s="349">
        <v>37</v>
      </c>
      <c r="E26" s="350">
        <v>120</v>
      </c>
      <c r="F26" s="342">
        <v>1</v>
      </c>
      <c r="G26" s="349">
        <v>37</v>
      </c>
      <c r="H26" s="357">
        <v>37</v>
      </c>
      <c r="I26" s="29"/>
      <c r="J26" s="29"/>
      <c r="K26" s="29"/>
      <c r="L26" s="29"/>
      <c r="M26" s="29"/>
      <c r="N26" s="29"/>
      <c r="O26" s="207"/>
      <c r="AF26" s="38"/>
      <c r="CG26" s="259" t="str">
        <f t="shared" si="0"/>
        <v>Hsipaw</v>
      </c>
      <c r="CH26" s="279">
        <f>D26-Shelter_Draw[[#This Row],[V2]]-Shelter_Draw[[#This Row],[V3]]</f>
        <v>0</v>
      </c>
      <c r="CI26" s="279">
        <f t="shared" si="1"/>
        <v>37</v>
      </c>
      <c r="CJ26" s="327">
        <f t="shared" si="2"/>
        <v>0</v>
      </c>
    </row>
    <row r="27" spans="2:88" ht="13.9" customHeight="1" x14ac:dyDescent="0.25">
      <c r="B27" s="213"/>
      <c r="C27" s="356" t="s">
        <v>146</v>
      </c>
      <c r="D27" s="349">
        <v>1030</v>
      </c>
      <c r="E27" s="350">
        <v>5032</v>
      </c>
      <c r="F27" s="342">
        <v>12</v>
      </c>
      <c r="G27" s="349">
        <v>656</v>
      </c>
      <c r="H27" s="357">
        <v>656</v>
      </c>
      <c r="I27" s="29"/>
      <c r="J27" s="29"/>
      <c r="K27" s="29"/>
      <c r="L27" s="29"/>
      <c r="M27" s="29"/>
      <c r="N27" s="29"/>
      <c r="O27" s="207"/>
      <c r="AF27" s="38"/>
      <c r="CG27" s="259" t="str">
        <f t="shared" si="0"/>
        <v>Kutkai</v>
      </c>
      <c r="CH27" s="279">
        <f>D27-Shelter_Draw[[#This Row],[V2]]-Shelter_Draw[[#This Row],[V3]]</f>
        <v>374</v>
      </c>
      <c r="CI27" s="279">
        <f t="shared" si="1"/>
        <v>656</v>
      </c>
      <c r="CJ27" s="327">
        <f t="shared" si="2"/>
        <v>0</v>
      </c>
    </row>
    <row r="28" spans="2:88" ht="13.9" customHeight="1" x14ac:dyDescent="0.25">
      <c r="B28" s="213"/>
      <c r="C28" s="356" t="s">
        <v>151</v>
      </c>
      <c r="D28" s="349">
        <v>2470</v>
      </c>
      <c r="E28" s="350">
        <v>11453</v>
      </c>
      <c r="F28" s="342">
        <v>9</v>
      </c>
      <c r="G28" s="349">
        <v>1008</v>
      </c>
      <c r="H28" s="357">
        <v>1008</v>
      </c>
      <c r="I28" s="29"/>
      <c r="J28" s="29"/>
      <c r="K28" s="29"/>
      <c r="L28" s="29"/>
      <c r="M28" s="29"/>
      <c r="N28" s="29"/>
      <c r="O28" s="207"/>
      <c r="AF28" s="38"/>
      <c r="CG28" s="259" t="str">
        <f t="shared" si="0"/>
        <v>Mansi</v>
      </c>
      <c r="CH28" s="279">
        <f>D28-Shelter_Draw[[#This Row],[V2]]-Shelter_Draw[[#This Row],[V3]]</f>
        <v>1462</v>
      </c>
      <c r="CI28" s="279">
        <f t="shared" si="1"/>
        <v>1008</v>
      </c>
      <c r="CJ28" s="327">
        <f t="shared" si="2"/>
        <v>0</v>
      </c>
    </row>
    <row r="29" spans="2:88" ht="13.9" customHeight="1" x14ac:dyDescent="0.25">
      <c r="B29" s="213"/>
      <c r="C29" s="356" t="s">
        <v>185</v>
      </c>
      <c r="D29" s="349">
        <v>2708</v>
      </c>
      <c r="E29" s="350">
        <v>14071</v>
      </c>
      <c r="F29" s="342">
        <v>11</v>
      </c>
      <c r="G29" s="349">
        <v>305</v>
      </c>
      <c r="H29" s="357">
        <v>305</v>
      </c>
      <c r="I29" s="29"/>
      <c r="J29" s="29"/>
      <c r="K29" s="29"/>
      <c r="L29" s="29"/>
      <c r="M29" s="29"/>
      <c r="N29" s="29"/>
      <c r="O29" s="207"/>
      <c r="AF29" s="38"/>
      <c r="CG29" s="259" t="str">
        <f t="shared" si="0"/>
        <v>Momauk</v>
      </c>
      <c r="CH29" s="279">
        <f>D29-Shelter_Draw[[#This Row],[V2]]-Shelter_Draw[[#This Row],[V3]]</f>
        <v>2403</v>
      </c>
      <c r="CI29" s="279">
        <f t="shared" si="1"/>
        <v>305</v>
      </c>
      <c r="CJ29" s="327">
        <f t="shared" si="2"/>
        <v>0</v>
      </c>
    </row>
    <row r="30" spans="2:88" ht="13.9" customHeight="1" x14ac:dyDescent="0.25">
      <c r="B30" s="213"/>
      <c r="C30" s="356" t="s">
        <v>237</v>
      </c>
      <c r="D30" s="349">
        <v>1177</v>
      </c>
      <c r="E30" s="350">
        <v>5923</v>
      </c>
      <c r="F30" s="342">
        <v>24</v>
      </c>
      <c r="G30" s="349">
        <v>235</v>
      </c>
      <c r="H30" s="357">
        <v>225</v>
      </c>
      <c r="I30" s="29"/>
      <c r="J30" s="29"/>
      <c r="K30" s="211"/>
      <c r="L30" s="29"/>
      <c r="M30" s="29"/>
      <c r="N30" s="29"/>
      <c r="O30" s="207"/>
      <c r="AF30" s="38"/>
      <c r="CG30" s="259" t="str">
        <f t="shared" si="0"/>
        <v>Myitkyina</v>
      </c>
      <c r="CH30" s="279">
        <f>D30-Shelter_Draw[[#This Row],[V2]]-Shelter_Draw[[#This Row],[V3]]</f>
        <v>942</v>
      </c>
      <c r="CI30" s="279">
        <f t="shared" si="1"/>
        <v>225</v>
      </c>
      <c r="CJ30" s="327">
        <f t="shared" si="2"/>
        <v>10</v>
      </c>
    </row>
    <row r="31" spans="2:88" ht="13.9" customHeight="1" x14ac:dyDescent="0.25">
      <c r="B31" s="213"/>
      <c r="C31" s="356" t="s">
        <v>289</v>
      </c>
      <c r="D31" s="349">
        <v>605</v>
      </c>
      <c r="E31" s="350">
        <v>2777</v>
      </c>
      <c r="F31" s="342">
        <v>7</v>
      </c>
      <c r="G31" s="349">
        <v>392</v>
      </c>
      <c r="H31" s="357">
        <v>392</v>
      </c>
      <c r="I31" s="29"/>
      <c r="J31" s="29"/>
      <c r="K31" s="211"/>
      <c r="L31" s="29"/>
      <c r="M31" s="29"/>
      <c r="N31" s="29"/>
      <c r="O31" s="207"/>
      <c r="AF31" s="38"/>
      <c r="CG31" s="257" t="str">
        <f t="shared" si="0"/>
        <v>Namhkan</v>
      </c>
      <c r="CH31" s="286">
        <f>D31-Shelter_Draw[[#This Row],[V2]]-Shelter_Draw[[#This Row],[V3]]</f>
        <v>213</v>
      </c>
      <c r="CI31" s="286">
        <f t="shared" si="1"/>
        <v>392</v>
      </c>
      <c r="CJ31" s="328">
        <f t="shared" si="2"/>
        <v>0</v>
      </c>
    </row>
    <row r="32" spans="2:88" ht="13.9" customHeight="1" x14ac:dyDescent="0.25">
      <c r="B32" s="213"/>
      <c r="C32" s="356" t="s">
        <v>1184</v>
      </c>
      <c r="D32" s="349">
        <v>1003</v>
      </c>
      <c r="E32" s="350">
        <v>5603</v>
      </c>
      <c r="F32" s="342">
        <v>32</v>
      </c>
      <c r="G32" s="349">
        <v>633</v>
      </c>
      <c r="H32" s="357">
        <v>633</v>
      </c>
      <c r="I32" s="29"/>
      <c r="J32" s="29"/>
      <c r="K32" s="211"/>
      <c r="L32" s="29"/>
      <c r="M32" s="29"/>
      <c r="N32" s="29"/>
      <c r="O32" s="207"/>
      <c r="AF32" s="38"/>
    </row>
    <row r="33" spans="2:84" ht="15.75" customHeight="1" x14ac:dyDescent="0.25">
      <c r="B33" s="213"/>
      <c r="C33" s="356" t="s">
        <v>310</v>
      </c>
      <c r="D33" s="349">
        <v>6296</v>
      </c>
      <c r="E33" s="350">
        <v>31755</v>
      </c>
      <c r="F33" s="342">
        <v>22</v>
      </c>
      <c r="G33" s="349">
        <v>1966</v>
      </c>
      <c r="H33" s="357">
        <v>1966</v>
      </c>
      <c r="I33" s="29"/>
      <c r="J33" s="29"/>
      <c r="K33" s="211"/>
      <c r="L33" s="29"/>
      <c r="M33" s="29"/>
      <c r="N33" s="29"/>
      <c r="O33" s="207"/>
      <c r="AF33" s="38"/>
    </row>
    <row r="34" spans="2:84" ht="15.75" thickBot="1" x14ac:dyDescent="0.3">
      <c r="B34" s="213"/>
      <c r="C34" s="358" t="s">
        <v>3</v>
      </c>
      <c r="D34" s="359">
        <v>17960</v>
      </c>
      <c r="E34" s="360">
        <v>90548</v>
      </c>
      <c r="F34" s="361">
        <v>161</v>
      </c>
      <c r="G34" s="359">
        <v>6322</v>
      </c>
      <c r="H34" s="362">
        <v>6242</v>
      </c>
      <c r="I34" s="29"/>
      <c r="J34" s="29"/>
      <c r="K34" s="29"/>
      <c r="L34" s="29"/>
      <c r="M34" s="29"/>
      <c r="N34" s="29"/>
      <c r="O34" s="207"/>
      <c r="AF34" s="38"/>
    </row>
    <row r="35" spans="2:84" x14ac:dyDescent="0.25">
      <c r="B35" s="213"/>
      <c r="C35"/>
      <c r="D35"/>
      <c r="E35"/>
      <c r="F35"/>
      <c r="G35"/>
      <c r="H35"/>
      <c r="I35" s="29"/>
      <c r="J35" s="29"/>
      <c r="K35" s="29"/>
      <c r="L35" s="29"/>
      <c r="M35" s="29"/>
      <c r="N35" s="29"/>
      <c r="O35" s="207"/>
      <c r="AF35" s="38"/>
    </row>
    <row r="36" spans="2:84" x14ac:dyDescent="0.25">
      <c r="B36" s="213"/>
      <c r="C36" s="187"/>
      <c r="D36" s="187"/>
      <c r="E36" s="187"/>
      <c r="F36" s="187"/>
      <c r="G36" s="187"/>
      <c r="H36" s="187"/>
      <c r="I36" s="29"/>
      <c r="J36" s="29"/>
      <c r="K36" s="29"/>
      <c r="L36" s="29"/>
      <c r="M36" s="29"/>
      <c r="N36" s="29"/>
      <c r="O36" s="207"/>
      <c r="AF36" s="38"/>
    </row>
    <row r="37" spans="2:84" x14ac:dyDescent="0.25">
      <c r="B37" s="213"/>
      <c r="C37" s="187"/>
      <c r="D37" s="187"/>
      <c r="E37" s="187"/>
      <c r="F37" s="187"/>
      <c r="G37" s="187"/>
      <c r="H37" s="187"/>
      <c r="I37" s="29"/>
      <c r="J37" s="29"/>
      <c r="K37" s="29"/>
      <c r="L37" s="29"/>
      <c r="M37" s="29"/>
      <c r="N37" s="29"/>
      <c r="O37" s="207"/>
      <c r="AF37" s="38"/>
    </row>
    <row r="38" spans="2:84" x14ac:dyDescent="0.25">
      <c r="B38" s="213"/>
      <c r="C38" s="187"/>
      <c r="D38" s="187"/>
      <c r="E38" s="187"/>
      <c r="F38" s="187"/>
      <c r="G38" s="187"/>
      <c r="H38" s="187"/>
      <c r="I38" s="29"/>
      <c r="J38" s="29"/>
      <c r="K38" s="29"/>
      <c r="L38" s="29"/>
      <c r="M38" s="29"/>
      <c r="N38" s="29"/>
      <c r="O38" s="207"/>
      <c r="AF38" s="38"/>
    </row>
    <row r="39" spans="2:84" x14ac:dyDescent="0.25">
      <c r="B39" s="213"/>
      <c r="C39" s="187"/>
      <c r="D39" s="187"/>
      <c r="E39" s="187"/>
      <c r="F39" s="187"/>
      <c r="G39" s="187"/>
      <c r="H39" s="187"/>
      <c r="I39" s="29"/>
      <c r="J39" s="29"/>
      <c r="K39" s="29"/>
      <c r="L39" s="29"/>
      <c r="M39" s="29"/>
      <c r="N39" s="29"/>
      <c r="O39" s="207"/>
      <c r="AF39" s="38"/>
    </row>
    <row r="40" spans="2:84" x14ac:dyDescent="0.25">
      <c r="B40" s="213"/>
      <c r="C40" s="187"/>
      <c r="D40" s="187"/>
      <c r="E40" s="187"/>
      <c r="F40" s="187"/>
      <c r="G40" s="187"/>
      <c r="H40" s="187"/>
      <c r="I40" s="29"/>
      <c r="J40" s="29"/>
      <c r="K40" s="29"/>
      <c r="L40" s="29"/>
      <c r="M40" s="29"/>
      <c r="N40" s="29"/>
      <c r="O40" s="207"/>
    </row>
    <row r="41" spans="2:84" x14ac:dyDescent="0.25">
      <c r="B41" s="213"/>
      <c r="C41" s="187"/>
      <c r="D41" s="187"/>
      <c r="E41" s="187"/>
      <c r="F41" s="187"/>
      <c r="G41" s="187"/>
      <c r="H41" s="187"/>
      <c r="I41" s="29"/>
      <c r="J41" s="29"/>
      <c r="K41" s="29"/>
      <c r="L41" s="29"/>
      <c r="M41" s="29"/>
      <c r="N41" s="29"/>
      <c r="O41" s="207"/>
      <c r="CF41" s="92"/>
    </row>
    <row r="42" spans="2:84" s="92" customFormat="1" x14ac:dyDescent="0.25">
      <c r="B42" s="213"/>
      <c r="C42" s="187"/>
      <c r="D42" s="187"/>
      <c r="E42" s="187"/>
      <c r="F42" s="187"/>
      <c r="G42" s="187"/>
      <c r="H42" s="187"/>
      <c r="I42" s="29"/>
      <c r="J42" s="29"/>
      <c r="K42" s="29"/>
      <c r="L42" s="29"/>
      <c r="M42" s="29"/>
      <c r="N42" s="29"/>
      <c r="O42" s="207"/>
    </row>
    <row r="43" spans="2:84" s="92" customFormat="1" x14ac:dyDescent="0.25">
      <c r="B43" s="213"/>
      <c r="C43" s="187"/>
      <c r="D43" s="187"/>
      <c r="E43" s="187"/>
      <c r="F43" s="187"/>
      <c r="G43" s="187"/>
      <c r="H43" s="187"/>
      <c r="I43" s="29"/>
      <c r="J43" s="29"/>
      <c r="K43" s="29"/>
      <c r="L43" s="29"/>
      <c r="M43" s="29"/>
      <c r="N43" s="29"/>
      <c r="O43" s="207"/>
    </row>
    <row r="44" spans="2:84" s="92" customFormat="1" x14ac:dyDescent="0.25">
      <c r="B44" s="213"/>
      <c r="C44" s="187"/>
      <c r="D44" s="187"/>
      <c r="E44" s="187"/>
      <c r="F44" s="187"/>
      <c r="G44" s="187"/>
      <c r="H44" s="187"/>
      <c r="I44" s="29"/>
      <c r="J44" s="29"/>
      <c r="K44" s="29"/>
      <c r="L44" s="29"/>
      <c r="M44" s="29"/>
      <c r="N44" s="29"/>
      <c r="O44" s="207"/>
    </row>
    <row r="45" spans="2:84" s="92" customFormat="1" x14ac:dyDescent="0.25">
      <c r="B45" s="213"/>
      <c r="C45" s="187"/>
      <c r="D45" s="187"/>
      <c r="E45" s="187"/>
      <c r="F45" s="187"/>
      <c r="G45" s="187"/>
      <c r="H45" s="187"/>
      <c r="I45" s="29"/>
      <c r="J45" s="29"/>
      <c r="K45" s="29"/>
      <c r="L45" s="29"/>
      <c r="M45" s="29"/>
      <c r="N45" s="29"/>
      <c r="O45" s="207"/>
    </row>
    <row r="46" spans="2:84" s="92" customFormat="1" ht="11.45" customHeight="1" x14ac:dyDescent="0.25">
      <c r="B46" s="213"/>
      <c r="C46" s="187"/>
      <c r="D46" s="187"/>
      <c r="E46" s="187"/>
      <c r="F46" s="187"/>
      <c r="G46" s="187"/>
      <c r="H46" s="187"/>
      <c r="I46" s="29"/>
      <c r="J46" s="29"/>
      <c r="K46" s="29"/>
      <c r="L46" s="29"/>
      <c r="M46" s="29"/>
      <c r="N46" s="29"/>
      <c r="O46" s="207"/>
    </row>
    <row r="47" spans="2:84" s="92" customFormat="1" ht="0.75" customHeight="1" x14ac:dyDescent="0.25">
      <c r="B47" s="213"/>
      <c r="C47" s="187"/>
      <c r="D47" s="187"/>
      <c r="E47" s="187"/>
      <c r="F47" s="187"/>
      <c r="G47" s="187"/>
      <c r="H47" s="187"/>
      <c r="I47" s="29"/>
      <c r="J47" s="29"/>
      <c r="K47" s="29"/>
      <c r="L47" s="29"/>
      <c r="M47" s="29"/>
      <c r="N47" s="29"/>
      <c r="O47" s="207"/>
    </row>
    <row r="48" spans="2:84" s="333" customFormat="1" ht="4.5" customHeight="1" x14ac:dyDescent="0.25">
      <c r="B48" s="213"/>
      <c r="C48" s="29"/>
      <c r="D48" s="29"/>
      <c r="E48" s="29"/>
      <c r="F48" s="29"/>
      <c r="G48" s="29"/>
      <c r="H48" s="29"/>
      <c r="I48" s="29"/>
      <c r="J48" s="29"/>
      <c r="K48" s="29"/>
      <c r="L48" s="29"/>
      <c r="M48" s="29"/>
      <c r="N48" s="29"/>
      <c r="O48" s="207"/>
    </row>
    <row r="49" spans="2:84" s="333" customFormat="1" ht="4.1500000000000004" customHeight="1" x14ac:dyDescent="0.25">
      <c r="B49" s="213"/>
      <c r="C49" s="29"/>
      <c r="D49" s="29"/>
      <c r="E49" s="29"/>
      <c r="F49" s="29"/>
      <c r="G49" s="29"/>
      <c r="H49" s="29"/>
      <c r="I49" s="29"/>
      <c r="J49" s="29"/>
      <c r="K49" s="29"/>
      <c r="L49" s="29"/>
      <c r="M49" s="29"/>
      <c r="N49" s="29"/>
      <c r="O49" s="207"/>
    </row>
    <row r="50" spans="2:84" s="92" customFormat="1" ht="29.25" customHeight="1" thickBot="1" x14ac:dyDescent="0.3">
      <c r="B50" s="214"/>
      <c r="C50" s="215"/>
      <c r="D50" s="216"/>
      <c r="E50" s="217"/>
      <c r="F50" s="218"/>
      <c r="G50" s="216"/>
      <c r="H50" s="216"/>
      <c r="I50" s="204"/>
      <c r="J50" s="204"/>
      <c r="K50" s="204"/>
      <c r="L50" s="204"/>
      <c r="M50" s="204"/>
      <c r="N50" s="204"/>
      <c r="O50" s="212"/>
    </row>
    <row r="51" spans="2:84" s="92" customFormat="1" x14ac:dyDescent="0.25">
      <c r="C51" s="17"/>
      <c r="D51" s="41"/>
      <c r="E51" s="97"/>
      <c r="F51" s="3"/>
      <c r="G51" s="41"/>
      <c r="H51" s="41"/>
    </row>
    <row r="52" spans="2:84" s="92" customFormat="1" x14ac:dyDescent="0.25">
      <c r="C52" s="17"/>
      <c r="D52" s="41"/>
      <c r="E52" s="97"/>
      <c r="F52" s="3"/>
      <c r="G52" s="41"/>
      <c r="H52" s="41"/>
    </row>
    <row r="53" spans="2:84" s="92" customFormat="1" x14ac:dyDescent="0.25">
      <c r="C53" s="17"/>
      <c r="D53" s="41"/>
      <c r="E53" s="97"/>
      <c r="F53" s="3"/>
      <c r="G53" s="41"/>
      <c r="H53" s="41"/>
      <c r="J53" s="333"/>
    </row>
    <row r="54" spans="2:84" s="92" customFormat="1" x14ac:dyDescent="0.25">
      <c r="C54" s="17"/>
      <c r="D54" s="41"/>
      <c r="E54" s="97"/>
      <c r="F54" s="3"/>
      <c r="G54" s="41"/>
      <c r="H54" s="41"/>
      <c r="J54" s="333"/>
    </row>
    <row r="55" spans="2:84" s="92" customFormat="1" x14ac:dyDescent="0.25">
      <c r="C55" s="17"/>
      <c r="D55" s="41"/>
      <c r="E55" s="97"/>
      <c r="F55" s="3"/>
      <c r="G55" s="41"/>
      <c r="H55" s="41"/>
      <c r="J55" s="333"/>
    </row>
    <row r="56" spans="2:84" s="92" customFormat="1" x14ac:dyDescent="0.25">
      <c r="C56" s="17"/>
      <c r="D56" s="41"/>
      <c r="E56" s="97"/>
      <c r="F56" s="3"/>
      <c r="G56" s="41"/>
      <c r="H56" s="41"/>
      <c r="J56" s="333"/>
    </row>
    <row r="57" spans="2:84" s="92" customFormat="1" x14ac:dyDescent="0.25">
      <c r="C57" s="17"/>
      <c r="D57" s="41"/>
      <c r="E57" s="97"/>
      <c r="F57" s="3"/>
      <c r="G57" s="41"/>
      <c r="H57" s="41"/>
      <c r="J57" s="333"/>
    </row>
    <row r="58" spans="2:84" s="92" customFormat="1" x14ac:dyDescent="0.25">
      <c r="C58" s="17"/>
      <c r="D58" s="41"/>
      <c r="E58" s="97"/>
      <c r="F58" s="3"/>
      <c r="G58" s="41"/>
      <c r="H58" s="41"/>
    </row>
    <row r="59" spans="2:84" s="92" customFormat="1" x14ac:dyDescent="0.25">
      <c r="C59" s="17"/>
      <c r="D59" s="41"/>
      <c r="E59" s="97"/>
      <c r="F59" s="3"/>
      <c r="G59" s="41"/>
      <c r="H59" s="41"/>
    </row>
    <row r="60" spans="2:84" x14ac:dyDescent="0.25">
      <c r="CF60" s="92"/>
    </row>
    <row r="61" spans="2:84" x14ac:dyDescent="0.25">
      <c r="CF61" s="92"/>
    </row>
    <row r="62" spans="2:84" x14ac:dyDescent="0.25">
      <c r="CF62" s="92"/>
    </row>
    <row r="63" spans="2:84" x14ac:dyDescent="0.25">
      <c r="CF63" s="92"/>
    </row>
    <row r="64" spans="2:84" x14ac:dyDescent="0.25">
      <c r="CF64" s="92"/>
    </row>
    <row r="65" spans="3:84" x14ac:dyDescent="0.25">
      <c r="CF65" s="92"/>
    </row>
    <row r="66" spans="3:84" x14ac:dyDescent="0.25">
      <c r="CF66" s="92"/>
    </row>
    <row r="67" spans="3:84" x14ac:dyDescent="0.25">
      <c r="CF67" s="92"/>
    </row>
    <row r="68" spans="3:84" x14ac:dyDescent="0.25">
      <c r="C68" s="92"/>
      <c r="D68" s="92"/>
      <c r="E68" s="92"/>
      <c r="F68" s="92"/>
      <c r="G68" s="92"/>
      <c r="H68" s="92"/>
      <c r="CF68" s="92"/>
    </row>
    <row r="69" spans="3:84" x14ac:dyDescent="0.25">
      <c r="C69" s="92"/>
      <c r="D69" s="92"/>
      <c r="E69" s="92"/>
      <c r="F69" s="92"/>
      <c r="G69" s="92"/>
      <c r="H69" s="92"/>
      <c r="CF69" s="92"/>
    </row>
    <row r="70" spans="3:84" x14ac:dyDescent="0.25">
      <c r="C70" s="92"/>
      <c r="D70" s="92"/>
      <c r="E70" s="92"/>
      <c r="F70" s="92"/>
      <c r="G70" s="92"/>
      <c r="H70" s="92"/>
      <c r="CF70" s="92"/>
    </row>
    <row r="71" spans="3:84" x14ac:dyDescent="0.25">
      <c r="C71" s="92"/>
      <c r="D71" s="92"/>
      <c r="E71" s="92"/>
      <c r="F71" s="92"/>
      <c r="G71" s="92"/>
      <c r="H71" s="92"/>
      <c r="CF71" s="92"/>
    </row>
    <row r="72" spans="3:84" x14ac:dyDescent="0.25">
      <c r="G72" s="92"/>
      <c r="H72" s="92"/>
      <c r="CF72" s="92"/>
    </row>
    <row r="73" spans="3:84" x14ac:dyDescent="0.25">
      <c r="G73" s="92"/>
      <c r="H73" s="92"/>
      <c r="CF73" s="92"/>
    </row>
    <row r="74" spans="3:84" x14ac:dyDescent="0.25">
      <c r="G74" s="92"/>
      <c r="H74" s="92"/>
      <c r="CF74" s="92"/>
    </row>
    <row r="75" spans="3:84" x14ac:dyDescent="0.25">
      <c r="G75"/>
      <c r="H75"/>
      <c r="I75"/>
      <c r="J75"/>
      <c r="K75"/>
      <c r="CF75" s="92"/>
    </row>
    <row r="76" spans="3:84" x14ac:dyDescent="0.25">
      <c r="G76"/>
      <c r="H76"/>
      <c r="I76"/>
      <c r="J76" s="92"/>
      <c r="K76" s="92"/>
      <c r="L76" s="92"/>
      <c r="CF76" s="92"/>
    </row>
    <row r="77" spans="3:84" x14ac:dyDescent="0.25">
      <c r="G77"/>
      <c r="H77"/>
      <c r="I77" s="92"/>
      <c r="J77" s="92"/>
      <c r="K77" s="92"/>
      <c r="L77" s="92"/>
      <c r="CF77" s="92"/>
    </row>
    <row r="78" spans="3:84" x14ac:dyDescent="0.25">
      <c r="G78"/>
      <c r="H78"/>
      <c r="I78" s="92"/>
      <c r="J78" s="92"/>
      <c r="K78" s="92"/>
      <c r="L78" s="92"/>
      <c r="CF78" s="92"/>
    </row>
    <row r="79" spans="3:84" x14ac:dyDescent="0.25">
      <c r="G79"/>
      <c r="H79"/>
      <c r="I79" s="92"/>
      <c r="J79" s="92"/>
      <c r="K79" s="92"/>
      <c r="L79" s="92"/>
      <c r="CF79" s="92"/>
    </row>
    <row r="80" spans="3:84" x14ac:dyDescent="0.25">
      <c r="G80"/>
      <c r="H80"/>
      <c r="I80" s="92"/>
      <c r="J80" s="92"/>
      <c r="K80" s="92"/>
      <c r="L80" s="92"/>
      <c r="CF80" s="92"/>
    </row>
    <row r="81" spans="3:84" x14ac:dyDescent="0.25">
      <c r="G81"/>
      <c r="H81"/>
      <c r="I81" s="92"/>
      <c r="J81" s="92"/>
      <c r="K81" s="92"/>
      <c r="L81" s="92"/>
      <c r="CF81" s="92"/>
    </row>
    <row r="82" spans="3:84" x14ac:dyDescent="0.25">
      <c r="G82"/>
      <c r="H82"/>
      <c r="I82" s="92"/>
      <c r="J82" s="92"/>
      <c r="K82" s="92"/>
      <c r="L82" s="92"/>
      <c r="CF82" s="92"/>
    </row>
    <row r="83" spans="3:84" x14ac:dyDescent="0.25">
      <c r="G83"/>
      <c r="H83"/>
      <c r="I83" s="92"/>
      <c r="J83" s="92"/>
      <c r="K83" s="92"/>
      <c r="L83" s="92"/>
      <c r="CF83" s="92"/>
    </row>
    <row r="84" spans="3:84" x14ac:dyDescent="0.25">
      <c r="G84"/>
      <c r="H84"/>
      <c r="I84" s="92"/>
      <c r="J84" s="92"/>
      <c r="K84" s="92"/>
      <c r="L84" s="92"/>
      <c r="CF84" s="92"/>
    </row>
    <row r="85" spans="3:84" x14ac:dyDescent="0.25">
      <c r="G85"/>
      <c r="H85"/>
      <c r="I85" s="92"/>
      <c r="J85" s="92"/>
      <c r="K85" s="92"/>
      <c r="L85" s="92"/>
      <c r="CF85" s="92"/>
    </row>
    <row r="86" spans="3:84" x14ac:dyDescent="0.25">
      <c r="G86"/>
      <c r="H86"/>
      <c r="I86"/>
      <c r="J86"/>
      <c r="K86"/>
    </row>
    <row r="87" spans="3:84" x14ac:dyDescent="0.25">
      <c r="C87"/>
      <c r="D87"/>
      <c r="E87"/>
      <c r="F87"/>
      <c r="G87"/>
    </row>
    <row r="88" spans="3:84" x14ac:dyDescent="0.25">
      <c r="C88"/>
      <c r="D88"/>
      <c r="E88"/>
      <c r="F88"/>
      <c r="G88"/>
    </row>
    <row r="89" spans="3:84" x14ac:dyDescent="0.25">
      <c r="C89"/>
      <c r="D89"/>
      <c r="E89"/>
      <c r="F89"/>
      <c r="G89"/>
    </row>
    <row r="90" spans="3:84" x14ac:dyDescent="0.25">
      <c r="C90"/>
      <c r="D90"/>
      <c r="E90"/>
      <c r="F90"/>
      <c r="G90"/>
    </row>
    <row r="91" spans="3:84" x14ac:dyDescent="0.25">
      <c r="C91"/>
      <c r="D91"/>
      <c r="E91"/>
      <c r="F91"/>
      <c r="G91"/>
    </row>
    <row r="92" spans="3:84" x14ac:dyDescent="0.25">
      <c r="C92"/>
      <c r="D92"/>
      <c r="E92"/>
      <c r="F92"/>
      <c r="G92"/>
    </row>
    <row r="93" spans="3:84" x14ac:dyDescent="0.25">
      <c r="C93"/>
      <c r="D93"/>
      <c r="E93"/>
      <c r="F93"/>
      <c r="G93"/>
    </row>
    <row r="94" spans="3:84" x14ac:dyDescent="0.25">
      <c r="C94"/>
      <c r="D94"/>
      <c r="E94"/>
      <c r="F94"/>
      <c r="G94"/>
    </row>
    <row r="95" spans="3:84" x14ac:dyDescent="0.25">
      <c r="C95"/>
      <c r="D95"/>
      <c r="E95"/>
      <c r="F95"/>
      <c r="G95"/>
    </row>
    <row r="96" spans="3:84" x14ac:dyDescent="0.25">
      <c r="C96"/>
      <c r="D96"/>
      <c r="E96"/>
      <c r="F96"/>
      <c r="G96"/>
    </row>
    <row r="97" spans="3:7" x14ac:dyDescent="0.25">
      <c r="C97"/>
      <c r="D97"/>
      <c r="E97"/>
      <c r="F97"/>
      <c r="G97"/>
    </row>
    <row r="98" spans="3:7" x14ac:dyDescent="0.25">
      <c r="C98"/>
      <c r="D98"/>
      <c r="E98"/>
      <c r="F98"/>
      <c r="G98"/>
    </row>
    <row r="99" spans="3:7" x14ac:dyDescent="0.25">
      <c r="C99"/>
      <c r="D99"/>
      <c r="E99"/>
      <c r="F99"/>
      <c r="G99"/>
    </row>
    <row r="100" spans="3:7" x14ac:dyDescent="0.25">
      <c r="C100"/>
      <c r="D100"/>
      <c r="E100"/>
      <c r="F100"/>
      <c r="G100"/>
    </row>
    <row r="101" spans="3:7" x14ac:dyDescent="0.25">
      <c r="C101"/>
      <c r="D101"/>
      <c r="E101"/>
      <c r="F101"/>
      <c r="G101"/>
    </row>
    <row r="102" spans="3:7" x14ac:dyDescent="0.25">
      <c r="C102"/>
      <c r="D102"/>
      <c r="E102"/>
      <c r="F102"/>
      <c r="G102"/>
    </row>
    <row r="103" spans="3:7" x14ac:dyDescent="0.25">
      <c r="C103"/>
      <c r="D103"/>
      <c r="E103"/>
      <c r="F103"/>
      <c r="G103"/>
    </row>
  </sheetData>
  <dataConsolidate/>
  <mergeCells count="2">
    <mergeCell ref="C5:J5"/>
    <mergeCell ref="C4:K4"/>
  </mergeCells>
  <printOptions horizontalCentered="1" verticalCentered="1"/>
  <pageMargins left="0.2" right="0.23622047244094491" top="0.23" bottom="0.17" header="0" footer="0"/>
  <pageSetup paperSize="9" orientation="landscape" horizontalDpi="1200" verticalDpi="1200" r:id="rId2"/>
  <rowBreaks count="1" manualBreakCount="1">
    <brk id="61" max="16383" man="1"/>
  </rowBreaks>
  <drawing r:id="rId3"/>
  <legacyDrawing r:id="rId4"/>
  <controls>
    <mc:AlternateContent xmlns:mc="http://schemas.openxmlformats.org/markup-compatibility/2006">
      <mc:Choice Requires="x14">
        <control shapeId="9217" r:id="rId5" name="CommandButton1">
          <controlPr defaultSize="0" autoLine="0" r:id="rId6">
            <anchor moveWithCells="1">
              <from>
                <xdr:col>25</xdr:col>
                <xdr:colOff>0</xdr:colOff>
                <xdr:row>32</xdr:row>
                <xdr:rowOff>66675</xdr:rowOff>
              </from>
              <to>
                <xdr:col>26</xdr:col>
                <xdr:colOff>523875</xdr:colOff>
                <xdr:row>33</xdr:row>
                <xdr:rowOff>161925</xdr:rowOff>
              </to>
            </anchor>
          </controlPr>
        </control>
      </mc:Choice>
      <mc:Fallback>
        <control shapeId="9217" r:id="rId5" name="CommandButton1"/>
      </mc:Fallback>
    </mc:AlternateContent>
  </controls>
  <tableParts count="1">
    <tablePart r:id="rId7"/>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B1339"/>
  <sheetViews>
    <sheetView showZeros="0" zoomScaleNormal="100" workbookViewId="0">
      <pane xSplit="7" ySplit="5" topLeftCell="H6" activePane="bottomRight" state="frozen"/>
      <selection pane="topRight" activeCell="H1" sqref="H1"/>
      <selection pane="bottomLeft" activeCell="A6" sqref="A6"/>
      <selection pane="bottomRight" activeCell="AS30" sqref="AS30"/>
    </sheetView>
  </sheetViews>
  <sheetFormatPr defaultColWidth="8.85546875" defaultRowHeight="15" x14ac:dyDescent="0.25"/>
  <cols>
    <col min="1" max="1" width="11.7109375" style="480" customWidth="1"/>
    <col min="2" max="2" width="15" style="472" customWidth="1"/>
    <col min="3" max="3" width="13.7109375" style="472" customWidth="1"/>
    <col min="4" max="4" width="13" style="472" customWidth="1"/>
    <col min="5" max="5" width="14.28515625" style="472" customWidth="1"/>
    <col min="6" max="6" width="13.85546875" style="472" customWidth="1"/>
    <col min="7" max="7" width="31.140625" style="472" customWidth="1"/>
    <col min="8" max="23" width="11" style="617" customWidth="1"/>
    <col min="24" max="24" width="10" style="86" bestFit="1" customWidth="1"/>
    <col min="25" max="25" width="18" style="90" hidden="1" customWidth="1"/>
    <col min="26" max="26" width="18.140625" style="90" hidden="1" customWidth="1"/>
    <col min="27" max="27" width="4" style="90" hidden="1" customWidth="1"/>
    <col min="28" max="28" width="19.85546875" style="90" hidden="1" customWidth="1"/>
    <col min="29" max="29" width="16.28515625" style="90" hidden="1" customWidth="1"/>
    <col min="30" max="30" width="15" style="90" hidden="1" customWidth="1"/>
    <col min="31" max="31" width="18" style="90" hidden="1" customWidth="1"/>
    <col min="32" max="32" width="17.42578125" style="90" hidden="1" customWidth="1"/>
    <col min="33" max="33" width="20.28515625" style="90" hidden="1" customWidth="1"/>
    <col min="34" max="34" width="18" style="90" hidden="1" customWidth="1"/>
    <col min="35" max="35" width="25.85546875" style="90" hidden="1" customWidth="1"/>
    <col min="36" max="36" width="18.28515625" style="90" hidden="1" customWidth="1"/>
    <col min="37" max="37" width="24.5703125" style="90" hidden="1" customWidth="1"/>
    <col min="38" max="38" width="21" style="90" hidden="1" customWidth="1"/>
    <col min="39" max="39" width="12.140625" style="90" hidden="1" customWidth="1"/>
    <col min="40" max="41" width="16.140625" style="90" hidden="1" customWidth="1"/>
    <col min="42" max="42" width="0.140625" style="90" customWidth="1"/>
    <col min="43" max="43" width="14.85546875" style="472" customWidth="1"/>
    <col min="44" max="44" width="15.85546875" style="480" customWidth="1"/>
    <col min="45" max="45" width="16.42578125" style="472" customWidth="1"/>
    <col min="46" max="46" width="18.140625" style="472" customWidth="1"/>
    <col min="47" max="47" width="8.5703125" style="472" customWidth="1"/>
    <col min="48" max="48" width="10.5703125" style="472" customWidth="1"/>
    <col min="49" max="49" width="67.28515625" style="472" bestFit="1" customWidth="1"/>
    <col min="50" max="16384" width="8.85546875" style="472"/>
  </cols>
  <sheetData>
    <row r="1" spans="1:54" s="453" customFormat="1" ht="36" x14ac:dyDescent="0.25">
      <c r="A1" s="231"/>
      <c r="B1" s="232"/>
      <c r="C1" s="232"/>
      <c r="D1" s="232"/>
      <c r="E1" s="232"/>
      <c r="F1" s="232"/>
      <c r="G1" s="232"/>
      <c r="H1" s="616"/>
      <c r="I1" s="620">
        <f>'NFI Summary'!W3</f>
        <v>1</v>
      </c>
      <c r="J1" s="616"/>
      <c r="K1" s="616"/>
      <c r="L1" s="616"/>
      <c r="M1" s="616"/>
      <c r="N1" s="616"/>
      <c r="O1" s="616"/>
      <c r="P1" s="616"/>
      <c r="Q1" s="616"/>
      <c r="R1" s="616"/>
      <c r="S1" s="616"/>
      <c r="T1" s="616"/>
      <c r="U1" s="616"/>
      <c r="V1" s="616"/>
      <c r="W1" s="616"/>
      <c r="X1" s="616"/>
      <c r="Y1" s="239"/>
      <c r="Z1" s="239"/>
      <c r="AA1" s="239"/>
      <c r="AB1" s="239"/>
      <c r="AC1" s="239"/>
      <c r="AD1" s="239"/>
      <c r="AE1" s="240"/>
      <c r="AF1" s="240"/>
      <c r="AG1" s="240"/>
      <c r="AH1" s="240"/>
      <c r="AI1" s="240"/>
      <c r="AJ1" s="240"/>
      <c r="AK1" s="240"/>
      <c r="AL1" s="240"/>
      <c r="AM1" s="240"/>
      <c r="AN1" s="240"/>
      <c r="AO1" s="240"/>
      <c r="AP1" s="240"/>
      <c r="AQ1" s="450"/>
      <c r="AR1" s="451"/>
      <c r="AS1" s="450"/>
      <c r="AT1" s="450"/>
      <c r="AU1" s="450"/>
      <c r="AV1" s="450"/>
      <c r="AW1" s="452"/>
      <c r="BA1" s="454"/>
      <c r="BB1" s="454"/>
    </row>
    <row r="2" spans="1:54" s="453" customFormat="1" ht="33" customHeight="1" x14ac:dyDescent="0.25">
      <c r="A2" s="845" t="s">
        <v>434</v>
      </c>
      <c r="B2" s="846"/>
      <c r="C2" s="846"/>
      <c r="D2" s="846"/>
      <c r="E2" s="846"/>
      <c r="F2" s="846"/>
      <c r="G2" s="846"/>
      <c r="H2" s="846"/>
      <c r="I2" s="618"/>
      <c r="J2" s="618"/>
      <c r="K2" s="618"/>
      <c r="L2" s="618"/>
      <c r="M2" s="618"/>
      <c r="N2" s="618"/>
      <c r="O2" s="618"/>
      <c r="P2" s="618"/>
      <c r="Q2" s="618"/>
      <c r="R2" s="618"/>
      <c r="S2" s="618"/>
      <c r="T2" s="618"/>
      <c r="U2" s="618"/>
      <c r="V2" s="618"/>
      <c r="W2" s="618"/>
      <c r="X2" s="618"/>
      <c r="Y2" s="85"/>
      <c r="Z2" s="85"/>
      <c r="AA2" s="85"/>
      <c r="AB2" s="85"/>
      <c r="AC2" s="85"/>
      <c r="AD2" s="85"/>
      <c r="AE2" s="85"/>
      <c r="AF2" s="85"/>
      <c r="AG2" s="85"/>
      <c r="AH2" s="85"/>
      <c r="AI2" s="85"/>
      <c r="AJ2" s="85"/>
      <c r="AK2" s="85"/>
      <c r="AL2" s="85"/>
      <c r="AM2" s="85"/>
      <c r="AN2" s="85"/>
      <c r="AO2" s="85"/>
      <c r="AP2" s="85"/>
      <c r="AQ2" s="455"/>
      <c r="AR2" s="456"/>
      <c r="AS2" s="455"/>
      <c r="AT2" s="455"/>
      <c r="AU2" s="455"/>
      <c r="AV2" s="455"/>
      <c r="AW2" s="457"/>
      <c r="AY2" s="454"/>
      <c r="AZ2" s="454"/>
    </row>
    <row r="3" spans="1:54" s="98" customFormat="1" ht="18" customHeight="1" x14ac:dyDescent="0.25">
      <c r="A3" s="847">
        <f>Definition!B23</f>
        <v>42675</v>
      </c>
      <c r="B3" s="848"/>
      <c r="C3" s="848"/>
      <c r="D3" s="848"/>
      <c r="E3" s="848"/>
      <c r="F3" s="848"/>
      <c r="G3" s="848"/>
      <c r="H3" s="848"/>
      <c r="I3" s="619"/>
      <c r="J3" s="619"/>
      <c r="K3" s="619"/>
      <c r="L3" s="619"/>
      <c r="M3" s="619"/>
      <c r="N3" s="619"/>
      <c r="O3" s="619"/>
      <c r="P3" s="619"/>
      <c r="Q3" s="619"/>
      <c r="R3" s="619"/>
      <c r="S3" s="619"/>
      <c r="T3" s="619"/>
      <c r="U3" s="619"/>
      <c r="V3" s="619"/>
      <c r="W3" s="619"/>
      <c r="X3" s="619"/>
      <c r="Y3" s="241"/>
      <c r="Z3" s="241"/>
      <c r="AA3" s="241"/>
      <c r="AB3" s="241"/>
      <c r="AC3" s="241"/>
      <c r="AD3" s="242"/>
      <c r="AE3" s="242"/>
      <c r="AF3" s="242"/>
      <c r="AG3" s="242"/>
      <c r="AH3" s="242"/>
      <c r="AI3" s="242"/>
      <c r="AJ3" s="242"/>
      <c r="AK3" s="242"/>
      <c r="AL3" s="242"/>
      <c r="AM3" s="242"/>
      <c r="AN3" s="242"/>
      <c r="AO3" s="242"/>
      <c r="AP3" s="242"/>
      <c r="AQ3" s="458"/>
      <c r="AR3" s="459"/>
      <c r="AS3" s="458"/>
      <c r="AT3" s="458"/>
      <c r="AU3" s="458"/>
      <c r="AV3" s="458"/>
      <c r="AW3" s="460"/>
      <c r="AY3" s="461"/>
      <c r="AZ3" s="461"/>
    </row>
    <row r="4" spans="1:54" s="98" customFormat="1" ht="18" hidden="1" customHeight="1" x14ac:dyDescent="0.25">
      <c r="A4" s="851"/>
      <c r="B4" s="852"/>
      <c r="C4" s="852"/>
      <c r="D4" s="33"/>
      <c r="E4" s="33"/>
      <c r="F4" s="33"/>
      <c r="G4" s="33"/>
      <c r="H4" s="88"/>
      <c r="I4" s="88"/>
      <c r="J4" s="88"/>
      <c r="K4" s="87"/>
      <c r="L4" s="88"/>
      <c r="M4" s="88"/>
      <c r="N4" s="88"/>
      <c r="O4" s="88"/>
      <c r="P4" s="88"/>
      <c r="Q4" s="88"/>
      <c r="R4" s="88"/>
      <c r="S4" s="88"/>
      <c r="T4" s="88"/>
      <c r="U4" s="88"/>
      <c r="V4" s="88"/>
      <c r="W4" s="88"/>
      <c r="X4" s="88"/>
      <c r="Y4" s="88"/>
      <c r="Z4" s="88"/>
      <c r="AA4" s="88"/>
      <c r="AB4" s="89"/>
      <c r="AC4" s="88"/>
      <c r="AD4" s="88"/>
      <c r="AE4" s="87"/>
      <c r="AF4" s="87"/>
      <c r="AG4" s="87"/>
      <c r="AH4" s="87"/>
      <c r="AI4" s="87"/>
      <c r="AJ4" s="87"/>
      <c r="AK4" s="87"/>
      <c r="AL4" s="87"/>
      <c r="AM4" s="87"/>
      <c r="AN4" s="87"/>
      <c r="AO4" s="87"/>
      <c r="AP4" s="87"/>
      <c r="AR4" s="462"/>
      <c r="AW4" s="463"/>
      <c r="BA4" s="461"/>
      <c r="BB4" s="461"/>
    </row>
    <row r="5" spans="1:54" s="464" customFormat="1" ht="69.75" customHeight="1" x14ac:dyDescent="0.25">
      <c r="A5" s="287" t="s">
        <v>439</v>
      </c>
      <c r="B5" s="287" t="s">
        <v>412</v>
      </c>
      <c r="C5" s="287" t="s">
        <v>402</v>
      </c>
      <c r="D5" s="287" t="s">
        <v>413</v>
      </c>
      <c r="E5" s="287" t="s">
        <v>395</v>
      </c>
      <c r="F5" s="287" t="s">
        <v>0</v>
      </c>
      <c r="G5" s="287" t="s">
        <v>394</v>
      </c>
      <c r="H5" s="287" t="s">
        <v>455</v>
      </c>
      <c r="I5" s="287" t="s">
        <v>404</v>
      </c>
      <c r="J5" s="287" t="s">
        <v>456</v>
      </c>
      <c r="K5" s="287" t="s">
        <v>595</v>
      </c>
      <c r="L5" s="287" t="s">
        <v>457</v>
      </c>
      <c r="M5" s="287" t="s">
        <v>435</v>
      </c>
      <c r="N5" s="287" t="s">
        <v>436</v>
      </c>
      <c r="O5" s="287" t="s">
        <v>1218</v>
      </c>
      <c r="P5" s="287" t="s">
        <v>577</v>
      </c>
      <c r="Q5" s="287" t="s">
        <v>578</v>
      </c>
      <c r="R5" s="287" t="s">
        <v>987</v>
      </c>
      <c r="S5" s="287" t="s">
        <v>991</v>
      </c>
      <c r="T5" s="287" t="s">
        <v>995</v>
      </c>
      <c r="U5" s="287" t="s">
        <v>1111</v>
      </c>
      <c r="V5" s="287" t="s">
        <v>1306</v>
      </c>
      <c r="W5" s="287" t="s">
        <v>1326</v>
      </c>
      <c r="X5" s="287" t="s">
        <v>1327</v>
      </c>
      <c r="Y5" s="288" t="s">
        <v>1136</v>
      </c>
      <c r="Z5" s="288" t="s">
        <v>1137</v>
      </c>
      <c r="AA5" s="288" t="s">
        <v>1138</v>
      </c>
      <c r="AB5" s="288" t="s">
        <v>1139</v>
      </c>
      <c r="AC5" s="288" t="s">
        <v>1140</v>
      </c>
      <c r="AD5" s="288" t="s">
        <v>1142</v>
      </c>
      <c r="AE5" s="288" t="s">
        <v>1141</v>
      </c>
      <c r="AF5" s="288" t="s">
        <v>1219</v>
      </c>
      <c r="AG5" s="288" t="s">
        <v>1143</v>
      </c>
      <c r="AH5" s="288" t="s">
        <v>1144</v>
      </c>
      <c r="AI5" s="288" t="s">
        <v>1145</v>
      </c>
      <c r="AJ5" s="288" t="s">
        <v>1146</v>
      </c>
      <c r="AK5" s="288" t="s">
        <v>1147</v>
      </c>
      <c r="AL5" s="288" t="s">
        <v>1148</v>
      </c>
      <c r="AM5" s="288" t="s">
        <v>1151</v>
      </c>
      <c r="AN5" s="288" t="s">
        <v>1307</v>
      </c>
      <c r="AO5" s="288" t="s">
        <v>1467</v>
      </c>
      <c r="AP5" s="288" t="s">
        <v>1468</v>
      </c>
      <c r="AQ5" s="287" t="s">
        <v>558</v>
      </c>
      <c r="AR5" s="287" t="s">
        <v>1135</v>
      </c>
      <c r="AS5" s="287" t="s">
        <v>498</v>
      </c>
      <c r="AT5" s="287" t="s">
        <v>1080</v>
      </c>
      <c r="AU5" s="287" t="s">
        <v>441</v>
      </c>
      <c r="AV5" s="287" t="s">
        <v>1091</v>
      </c>
      <c r="AW5" s="287" t="s">
        <v>496</v>
      </c>
    </row>
    <row r="6" spans="1:54" s="509" customFormat="1" ht="16.149999999999999" customHeight="1" x14ac:dyDescent="0.25">
      <c r="A6" s="297">
        <f t="shared" ref="A6:A69" si="0">IF(ISBLANK(B6),"",(Report_Date-B6)/30)</f>
        <v>-0.96666666666666667</v>
      </c>
      <c r="B6" s="465">
        <v>42704</v>
      </c>
      <c r="C6" s="471" t="s">
        <v>905</v>
      </c>
      <c r="D6" s="471" t="s">
        <v>905</v>
      </c>
      <c r="E6" s="471" t="s">
        <v>380</v>
      </c>
      <c r="F6" s="471" t="s">
        <v>5</v>
      </c>
      <c r="G6" s="471" t="s">
        <v>22</v>
      </c>
      <c r="H6" s="292"/>
      <c r="I6" s="292"/>
      <c r="J6" s="292"/>
      <c r="K6" s="292"/>
      <c r="L6" s="292"/>
      <c r="M6" s="292"/>
      <c r="N6" s="292"/>
      <c r="O6" s="292"/>
      <c r="P6" s="294"/>
      <c r="Q6" s="294"/>
      <c r="R6" s="294"/>
      <c r="S6" s="294"/>
      <c r="T6" s="294"/>
      <c r="U6" s="294"/>
      <c r="V6" s="331">
        <v>5</v>
      </c>
      <c r="W6" s="294"/>
      <c r="X6" s="294"/>
      <c r="Y6" s="294">
        <f>IF(NFI_Expiration=1,IF($A6&lt;VLOOKUP(H$5,NFI,5,0),1,0)*Table_NFI[[#This Row],[Hygiene Kit]],Table_NFI[Hygiene Kit])</f>
        <v>0</v>
      </c>
      <c r="Z6" s="294">
        <f>IF(NFI_Expiration=1,IF($A6&lt;VLOOKUP(I$5,NFI,5,0),1,0)*Table_NFI[[#This Row],[NFI Core Kit]],Table_NFI[NFI Core Kit])</f>
        <v>0</v>
      </c>
      <c r="AA6" s="294">
        <f>IF(NFI_Expiration=1,IF($A6&lt;VLOOKUP(J$5,NFI,5,0),1,0)*Table_NFI[[#This Row],[Sanitary Kit]],Table_NFI[Sanitary Kit])</f>
        <v>0</v>
      </c>
      <c r="AB6" s="294">
        <f>IF(NFI_Expiration=1,IF($A6&lt;VLOOKUP(K$5,NFI,5,0),1,0)*Table_NFI[[#This Row],[Mosquito net]],Table_NFI[Mosquito net])</f>
        <v>0</v>
      </c>
      <c r="AC6" s="294">
        <f>IF(NFI_Expiration=1,IF($A6&lt;VLOOKUP(L$5,NFI,5,0),1,0)*Table_NFI[[#This Row],[Tarpaulin]],Table_NFI[[#This Row],[Tarpaulin]])</f>
        <v>0</v>
      </c>
      <c r="AD6" s="294">
        <f>IF(NFI_Expiration=1,IF($A6&lt;VLOOKUP(M$5,NFI,5,0),1,0)*Table_NFI[[#This Row],[Blanket]],Table_NFI[[#This Row],[Blanket]])</f>
        <v>0</v>
      </c>
      <c r="AE6" s="294">
        <f>IF(NFI_Expiration=1,IF($A6&lt;VLOOKUP(N$5,NFI,5,0),1,0)*Table_NFI[[#This Row],[Kitchen Set]],Table_NFI[Kitchen Set])</f>
        <v>0</v>
      </c>
      <c r="AF6" s="294">
        <f>IF(NFI_Expiration=1,IF($A6&lt;VLOOKUP(O$5,NFI,5,0),1,0)*Table_NFI[[#This Row],[Clothes Kit]],Table_NFI[Clothes Kit])</f>
        <v>0</v>
      </c>
      <c r="AG6" s="294">
        <f>IF(NFI_Expiration=1,IF($A6&lt;VLOOKUP(P$5,NFI,5,0),1,0)*Table_NFI[[#This Row],[Plastic Bucket]],Table_NFI[Plastic Bucket])</f>
        <v>0</v>
      </c>
      <c r="AH6" s="294">
        <f>IF(NFI_Expiration=1,IF($A6&lt;VLOOKUP(Q$5,NFI,5,0),1,0)*Table_NFI[[#This Row],[Plastic Mat]],Table_NFI[Plastic Mat])*IF(Table_NFI[[#This Row],[Distribution Date]]&gt;"2014-04-01",1,2.5)</f>
        <v>0</v>
      </c>
      <c r="AI6" s="294">
        <f>IF(NFI_Expiration=1,IF($A6&lt;VLOOKUP(R$5,NFI,5,0),1,0)*Table_NFI[[#This Row],[Winter Clothes Adult]],Table_NFI[Winter Clothes Adult])</f>
        <v>0</v>
      </c>
      <c r="AJ6" s="294">
        <f>IF(NFI_Expiration=1,IF($A6&lt;VLOOKUP(S$5,NFI,5,0),1,0)*Table_NFI[[#This Row],[Winter Clothes Children]],Table_NFI[Winter Clothes Children])</f>
        <v>0</v>
      </c>
      <c r="AK6" s="294">
        <f>IF(NFI_Expiration=1,IF($A6&lt;VLOOKUP(T$5,NFI,5,0),1,0)*Table_NFI[[#This Row],[Winter Items Other]],Table_NFI[Winter Items Other])</f>
        <v>0</v>
      </c>
      <c r="AL6" s="294">
        <f>IF(NFI_Expiration=1,IF($A6&lt;VLOOKUP(M$5,NFI,5,0),1,0)*Table_NFI[[#This Row],[Winter Blanket]],Table_NFI[[#This Row],[Winter Blanket]])</f>
        <v>0</v>
      </c>
      <c r="AM6" s="294">
        <f>IF(Table_NFI[[#This Row],[Winter Clothes Adult]]+Table_NFI[[#This Row],[Winter Clothes Children]]+Table_NFI[[#This Row],[Winter Items Other]]+Table_NFI[[#This Row],[Winter Blanket]]&gt;0,1,0)</f>
        <v>0</v>
      </c>
      <c r="AN6" s="331">
        <f>IF(NFI_Expiration=1,IF($A6&lt;VLOOKUP(V$5,NFI,5,0),1,0)*Table_NFI[[#This Row],[Jerry Can]],Table_NFI[Jerry Can])</f>
        <v>5</v>
      </c>
      <c r="AO6" s="331">
        <f>IF(NFI_Expiration=1,IF($A6&lt;VLOOKUP(V$5,NFI,5,0),1,0)*Table_NFI[[#This Row],[Shelter Tool kit]],Table_NFI[Shelter Tool kit])</f>
        <v>0</v>
      </c>
      <c r="AP6" s="331">
        <f>IF(NFI_Expiration=1,IF($A6&lt;VLOOKUP(V$5,NFI,5,0),1,0)*Table_NFI[[#This Row],[Tent]],Table_NFI[Tent])</f>
        <v>0</v>
      </c>
      <c r="AQ6" s="473" t="str">
        <f>IFERROR(VLOOKUP(Table_NFI[[#This Row],[Camp Name]],CL,2,0),"")</f>
        <v>MMR001CMP047</v>
      </c>
      <c r="AR6" s="468">
        <f ca="1">IF(Table_NFI[[#This Row],[Pcode]]="","",IF(OFFSET(CampList[Opening Date],MATCH(Table_NFI[[#This Row],[Pcode]],CampList[CP_Pcode],0)-1,0,1,1)&gt;=NFI_Monitor_Date,1,0))</f>
        <v>0</v>
      </c>
      <c r="AS6" s="473" t="str">
        <f>IFERROR(VLOOKUP(Table_NFI[[#This Row],[Camp Name]],CL,3,0),"")</f>
        <v>Open</v>
      </c>
      <c r="AT6" s="294" t="str">
        <f ca="1">IF(Table_NFI[[#This Row],[Pcode]]="","",OFFSET(CampList[Priority],MATCH(Table_NFI[[#This Row],[Pcode]],CampList[CP_Pcode],0)-1,0,1,1))</f>
        <v>P4</v>
      </c>
      <c r="AU6" s="293">
        <f>IFERROR(Table_NFI[[#This Row],[Kitchen Set]]/VLOOKUP(Table_NFI[[#This Row],[Camp Name]],CL,4,0),"")</f>
        <v>0</v>
      </c>
      <c r="AV6" s="466"/>
      <c r="AW6" s="474" t="s">
        <v>1587</v>
      </c>
    </row>
    <row r="7" spans="1:54" s="509" customFormat="1" ht="16.149999999999999" customHeight="1" x14ac:dyDescent="0.25">
      <c r="A7" s="297">
        <f t="shared" si="0"/>
        <v>-0.96666666666666667</v>
      </c>
      <c r="B7" s="465">
        <v>42704</v>
      </c>
      <c r="C7" s="471" t="s">
        <v>905</v>
      </c>
      <c r="D7" s="471" t="s">
        <v>905</v>
      </c>
      <c r="E7" s="471" t="s">
        <v>380</v>
      </c>
      <c r="F7" s="471" t="s">
        <v>5</v>
      </c>
      <c r="G7" s="471" t="s">
        <v>366</v>
      </c>
      <c r="H7" s="292"/>
      <c r="I7" s="292"/>
      <c r="J7" s="292"/>
      <c r="K7" s="292"/>
      <c r="L7" s="292"/>
      <c r="M7" s="292"/>
      <c r="N7" s="292"/>
      <c r="O7" s="292"/>
      <c r="P7" s="294"/>
      <c r="Q7" s="294"/>
      <c r="R7" s="294"/>
      <c r="S7" s="294"/>
      <c r="T7" s="294"/>
      <c r="U7" s="294"/>
      <c r="V7" s="331">
        <v>2</v>
      </c>
      <c r="W7" s="294"/>
      <c r="X7" s="294"/>
      <c r="Y7" s="294">
        <f>IF(NFI_Expiration=1,IF($A7&lt;VLOOKUP(H$5,NFI,5,0),1,0)*Table_NFI[[#This Row],[Hygiene Kit]],Table_NFI[Hygiene Kit])</f>
        <v>0</v>
      </c>
      <c r="Z7" s="294">
        <f>IF(NFI_Expiration=1,IF($A7&lt;VLOOKUP(I$5,NFI,5,0),1,0)*Table_NFI[[#This Row],[NFI Core Kit]],Table_NFI[NFI Core Kit])</f>
        <v>0</v>
      </c>
      <c r="AA7" s="294">
        <f>IF(NFI_Expiration=1,IF($A7&lt;VLOOKUP(J$5,NFI,5,0),1,0)*Table_NFI[[#This Row],[Sanitary Kit]],Table_NFI[Sanitary Kit])</f>
        <v>0</v>
      </c>
      <c r="AB7" s="294">
        <f>IF(NFI_Expiration=1,IF($A7&lt;VLOOKUP(K$5,NFI,5,0),1,0)*Table_NFI[[#This Row],[Mosquito net]],Table_NFI[Mosquito net])</f>
        <v>0</v>
      </c>
      <c r="AC7" s="294">
        <f>IF(NFI_Expiration=1,IF($A7&lt;VLOOKUP(L$5,NFI,5,0),1,0)*Table_NFI[[#This Row],[Tarpaulin]],Table_NFI[[#This Row],[Tarpaulin]])</f>
        <v>0</v>
      </c>
      <c r="AD7" s="294">
        <f>IF(NFI_Expiration=1,IF($A7&lt;VLOOKUP(M$5,NFI,5,0),1,0)*Table_NFI[[#This Row],[Blanket]],Table_NFI[[#This Row],[Blanket]])</f>
        <v>0</v>
      </c>
      <c r="AE7" s="294">
        <f>IF(NFI_Expiration=1,IF($A7&lt;VLOOKUP(N$5,NFI,5,0),1,0)*Table_NFI[[#This Row],[Kitchen Set]],Table_NFI[Kitchen Set])</f>
        <v>0</v>
      </c>
      <c r="AF7" s="294">
        <f>IF(NFI_Expiration=1,IF($A7&lt;VLOOKUP(O$5,NFI,5,0),1,0)*Table_NFI[[#This Row],[Clothes Kit]],Table_NFI[Clothes Kit])</f>
        <v>0</v>
      </c>
      <c r="AG7" s="294">
        <f>IF(NFI_Expiration=1,IF($A7&lt;VLOOKUP(P$5,NFI,5,0),1,0)*Table_NFI[[#This Row],[Plastic Bucket]],Table_NFI[Plastic Bucket])</f>
        <v>0</v>
      </c>
      <c r="AH7" s="294">
        <f>IF(NFI_Expiration=1,IF($A7&lt;VLOOKUP(Q$5,NFI,5,0),1,0)*Table_NFI[[#This Row],[Plastic Mat]],Table_NFI[Plastic Mat])*IF(Table_NFI[[#This Row],[Distribution Date]]&gt;"2014-04-01",1,2.5)</f>
        <v>0</v>
      </c>
      <c r="AI7" s="294">
        <f>IF(NFI_Expiration=1,IF($A7&lt;VLOOKUP(R$5,NFI,5,0),1,0)*Table_NFI[[#This Row],[Winter Clothes Adult]],Table_NFI[Winter Clothes Adult])</f>
        <v>0</v>
      </c>
      <c r="AJ7" s="294">
        <f>IF(NFI_Expiration=1,IF($A7&lt;VLOOKUP(S$5,NFI,5,0),1,0)*Table_NFI[[#This Row],[Winter Clothes Children]],Table_NFI[Winter Clothes Children])</f>
        <v>0</v>
      </c>
      <c r="AK7" s="294">
        <f>IF(NFI_Expiration=1,IF($A7&lt;VLOOKUP(T$5,NFI,5,0),1,0)*Table_NFI[[#This Row],[Winter Items Other]],Table_NFI[Winter Items Other])</f>
        <v>0</v>
      </c>
      <c r="AL7" s="294">
        <f>IF(NFI_Expiration=1,IF($A7&lt;VLOOKUP(M$5,NFI,5,0),1,0)*Table_NFI[[#This Row],[Winter Blanket]],Table_NFI[[#This Row],[Winter Blanket]])</f>
        <v>0</v>
      </c>
      <c r="AM7" s="294">
        <f>IF(Table_NFI[[#This Row],[Winter Clothes Adult]]+Table_NFI[[#This Row],[Winter Clothes Children]]+Table_NFI[[#This Row],[Winter Items Other]]+Table_NFI[[#This Row],[Winter Blanket]]&gt;0,1,0)</f>
        <v>0</v>
      </c>
      <c r="AN7" s="331">
        <f>IF(NFI_Expiration=1,IF($A7&lt;VLOOKUP(V$5,NFI,5,0),1,0)*Table_NFI[[#This Row],[Jerry Can]],Table_NFI[Jerry Can])</f>
        <v>2</v>
      </c>
      <c r="AO7" s="331">
        <f>IF(NFI_Expiration=1,IF($A7&lt;VLOOKUP(V$5,NFI,5,0),1,0)*Table_NFI[[#This Row],[Shelter Tool kit]],Table_NFI[Shelter Tool kit])</f>
        <v>0</v>
      </c>
      <c r="AP7" s="331">
        <f>IF(NFI_Expiration=1,IF($A7&lt;VLOOKUP(V$5,NFI,5,0),1,0)*Table_NFI[[#This Row],[Tent]],Table_NFI[Tent])</f>
        <v>0</v>
      </c>
      <c r="AQ7" s="473" t="str">
        <f>IFERROR(VLOOKUP(Table_NFI[[#This Row],[Camp Name]],CL,2,0),"")</f>
        <v>MMR001CMP193</v>
      </c>
      <c r="AR7" s="468">
        <f ca="1">IF(Table_NFI[[#This Row],[Pcode]]="","",IF(OFFSET(CampList[Opening Date],MATCH(Table_NFI[[#This Row],[Pcode]],CampList[CP_Pcode],0)-1,0,1,1)&gt;=NFI_Monitor_Date,1,0))</f>
        <v>0</v>
      </c>
      <c r="AS7" s="473" t="str">
        <f>IFERROR(VLOOKUP(Table_NFI[[#This Row],[Camp Name]],CL,3,0),"")</f>
        <v>Open</v>
      </c>
      <c r="AT7" s="294" t="str">
        <f ca="1">IF(Table_NFI[[#This Row],[Pcode]]="","",OFFSET(CampList[Priority],MATCH(Table_NFI[[#This Row],[Pcode]],CampList[CP_Pcode],0)-1,0,1,1))</f>
        <v>P4</v>
      </c>
      <c r="AU7" s="293">
        <f>IFERROR(Table_NFI[[#This Row],[Kitchen Set]]/VLOOKUP(Table_NFI[[#This Row],[Camp Name]],CL,4,0),"")</f>
        <v>0</v>
      </c>
      <c r="AV7" s="466"/>
      <c r="AW7" s="474" t="s">
        <v>1587</v>
      </c>
    </row>
    <row r="8" spans="1:54" s="509" customFormat="1" ht="16.149999999999999" customHeight="1" x14ac:dyDescent="0.25">
      <c r="A8" s="297">
        <f t="shared" si="0"/>
        <v>-0.9</v>
      </c>
      <c r="B8" s="465">
        <v>42702</v>
      </c>
      <c r="C8" s="471" t="s">
        <v>452</v>
      </c>
      <c r="D8" s="471" t="s">
        <v>460</v>
      </c>
      <c r="E8" s="466" t="s">
        <v>553</v>
      </c>
      <c r="F8" s="290" t="s">
        <v>230</v>
      </c>
      <c r="G8" s="290" t="s">
        <v>1053</v>
      </c>
      <c r="H8" s="292"/>
      <c r="I8" s="292"/>
      <c r="J8" s="292"/>
      <c r="K8" s="292">
        <v>76</v>
      </c>
      <c r="L8" s="292">
        <v>38</v>
      </c>
      <c r="M8" s="292">
        <v>76</v>
      </c>
      <c r="N8" s="292"/>
      <c r="O8" s="292"/>
      <c r="P8" s="294">
        <v>38</v>
      </c>
      <c r="Q8" s="294">
        <v>114</v>
      </c>
      <c r="R8" s="294"/>
      <c r="S8" s="294"/>
      <c r="T8" s="294"/>
      <c r="U8" s="294"/>
      <c r="V8" s="431"/>
      <c r="W8" s="294"/>
      <c r="X8" s="294"/>
      <c r="Y8" s="294">
        <f>IF(NFI_Expiration=1,IF($A8&lt;VLOOKUP(H$5,NFI,5,0),1,0)*Table_NFI[[#This Row],[Hygiene Kit]],Table_NFI[Hygiene Kit])</f>
        <v>0</v>
      </c>
      <c r="Z8" s="294">
        <f>IF(NFI_Expiration=1,IF($A8&lt;VLOOKUP(I$5,NFI,5,0),1,0)*Table_NFI[[#This Row],[NFI Core Kit]],Table_NFI[NFI Core Kit])</f>
        <v>0</v>
      </c>
      <c r="AA8" s="294">
        <f>IF(NFI_Expiration=1,IF($A8&lt;VLOOKUP(J$5,NFI,5,0),1,0)*Table_NFI[[#This Row],[Sanitary Kit]],Table_NFI[Sanitary Kit])</f>
        <v>0</v>
      </c>
      <c r="AB8" s="294">
        <f>IF(NFI_Expiration=1,IF($A8&lt;VLOOKUP(K$5,NFI,5,0),1,0)*Table_NFI[[#This Row],[Mosquito net]],Table_NFI[Mosquito net])</f>
        <v>76</v>
      </c>
      <c r="AC8" s="294">
        <f>IF(NFI_Expiration=1,IF($A8&lt;VLOOKUP(L$5,NFI,5,0),1,0)*Table_NFI[[#This Row],[Tarpaulin]],Table_NFI[[#This Row],[Tarpaulin]])</f>
        <v>38</v>
      </c>
      <c r="AD8" s="294">
        <f>IF(NFI_Expiration=1,IF($A8&lt;VLOOKUP(M$5,NFI,5,0),1,0)*Table_NFI[[#This Row],[Blanket]],Table_NFI[[#This Row],[Blanket]])</f>
        <v>76</v>
      </c>
      <c r="AE8" s="294">
        <f>IF(NFI_Expiration=1,IF($A8&lt;VLOOKUP(N$5,NFI,5,0),1,0)*Table_NFI[[#This Row],[Kitchen Set]],Table_NFI[Kitchen Set])</f>
        <v>0</v>
      </c>
      <c r="AF8" s="294">
        <f>IF(NFI_Expiration=1,IF($A8&lt;VLOOKUP(O$5,NFI,5,0),1,0)*Table_NFI[[#This Row],[Clothes Kit]],Table_NFI[Clothes Kit])</f>
        <v>0</v>
      </c>
      <c r="AG8" s="294">
        <f>IF(NFI_Expiration=1,IF($A8&lt;VLOOKUP(P$5,NFI,5,0),1,0)*Table_NFI[[#This Row],[Plastic Bucket]],Table_NFI[Plastic Bucket])</f>
        <v>38</v>
      </c>
      <c r="AH8" s="294">
        <f>IF(NFI_Expiration=1,IF($A8&lt;VLOOKUP(Q$5,NFI,5,0),1,0)*Table_NFI[[#This Row],[Plastic Mat]],Table_NFI[Plastic Mat])*IF(Table_NFI[[#This Row],[Distribution Date]]&gt;"2014-04-01",1,2.5)</f>
        <v>285</v>
      </c>
      <c r="AI8" s="294">
        <f>IF(NFI_Expiration=1,IF($A8&lt;VLOOKUP(R$5,NFI,5,0),1,0)*Table_NFI[[#This Row],[Winter Clothes Adult]],Table_NFI[Winter Clothes Adult])</f>
        <v>0</v>
      </c>
      <c r="AJ8" s="294">
        <f>IF(NFI_Expiration=1,IF($A8&lt;VLOOKUP(S$5,NFI,5,0),1,0)*Table_NFI[[#This Row],[Winter Clothes Children]],Table_NFI[Winter Clothes Children])</f>
        <v>0</v>
      </c>
      <c r="AK8" s="294">
        <f>IF(NFI_Expiration=1,IF($A8&lt;VLOOKUP(T$5,NFI,5,0),1,0)*Table_NFI[[#This Row],[Winter Items Other]],Table_NFI[Winter Items Other])</f>
        <v>0</v>
      </c>
      <c r="AL8" s="294">
        <f>IF(NFI_Expiration=1,IF($A8&lt;VLOOKUP(M$5,NFI,5,0),1,0)*Table_NFI[[#This Row],[Winter Blanket]],Table_NFI[[#This Row],[Winter Blanket]])</f>
        <v>0</v>
      </c>
      <c r="AM8" s="294">
        <f>IF(Table_NFI[[#This Row],[Winter Clothes Adult]]+Table_NFI[[#This Row],[Winter Clothes Children]]+Table_NFI[[#This Row],[Winter Items Other]]+Table_NFI[[#This Row],[Winter Blanket]]&gt;0,1,0)</f>
        <v>0</v>
      </c>
      <c r="AN8" s="331">
        <f>IF(NFI_Expiration=1,IF($A8&lt;VLOOKUP(V$5,NFI,5,0),1,0)*Table_NFI[[#This Row],[Jerry Can]],Table_NFI[Jerry Can])</f>
        <v>0</v>
      </c>
      <c r="AO8" s="331">
        <f>IF(NFI_Expiration=1,IF($A8&lt;VLOOKUP(V$5,NFI,5,0),1,0)*Table_NFI[[#This Row],[Shelter Tool kit]],Table_NFI[Shelter Tool kit])</f>
        <v>0</v>
      </c>
      <c r="AP8" s="331">
        <f>IF(NFI_Expiration=1,IF($A8&lt;VLOOKUP(V$5,NFI,5,0),1,0)*Table_NFI[[#This Row],[Tent]],Table_NFI[Tent])</f>
        <v>0</v>
      </c>
      <c r="AQ8" s="473" t="str">
        <f>IFERROR(VLOOKUP(Table_NFI[[#This Row],[Camp Name]],CL,2,0),"")</f>
        <v>MMR015CMP213</v>
      </c>
      <c r="AR8" s="468">
        <f ca="1">IF(Table_NFI[[#This Row],[Pcode]]="","",IF(OFFSET(CampList[Opening Date],MATCH(Table_NFI[[#This Row],[Pcode]],CampList[CP_Pcode],0)-1,0,1,1)&gt;=NFI_Monitor_Date,1,0))</f>
        <v>1</v>
      </c>
      <c r="AS8" s="473" t="str">
        <f>IFERROR(VLOOKUP(Table_NFI[[#This Row],[Camp Name]],CL,3,0),"")</f>
        <v>Open</v>
      </c>
      <c r="AT8" s="294" t="str">
        <f ca="1">IF(Table_NFI[[#This Row],[Pcode]]="","",OFFSET(CampList[Priority],MATCH(Table_NFI[[#This Row],[Pcode]],CampList[CP_Pcode],0)-1,0,1,1))</f>
        <v>P4</v>
      </c>
      <c r="AU8" s="293">
        <f>IFERROR(Table_NFI[[#This Row],[Kitchen Set]]/VLOOKUP(Table_NFI[[#This Row],[Camp Name]],CL,4,0),"")</f>
        <v>0</v>
      </c>
      <c r="AV8" s="466"/>
      <c r="AW8" s="474" t="s">
        <v>1589</v>
      </c>
    </row>
    <row r="9" spans="1:54" s="509" customFormat="1" ht="16.149999999999999" customHeight="1" x14ac:dyDescent="0.25">
      <c r="A9" s="297">
        <f t="shared" si="0"/>
        <v>3.3333333333333333E-2</v>
      </c>
      <c r="B9" s="465">
        <v>42674</v>
      </c>
      <c r="C9" s="471" t="s">
        <v>905</v>
      </c>
      <c r="D9" s="471" t="s">
        <v>905</v>
      </c>
      <c r="E9" s="477" t="s">
        <v>380</v>
      </c>
      <c r="F9" s="471" t="s">
        <v>185</v>
      </c>
      <c r="G9" s="471" t="s">
        <v>223</v>
      </c>
      <c r="H9" s="292"/>
      <c r="I9" s="292"/>
      <c r="J9" s="292"/>
      <c r="K9" s="292"/>
      <c r="L9" s="292"/>
      <c r="M9" s="292"/>
      <c r="N9" s="292"/>
      <c r="O9" s="292"/>
      <c r="P9" s="294"/>
      <c r="Q9" s="294"/>
      <c r="R9" s="294"/>
      <c r="S9" s="294"/>
      <c r="T9" s="294"/>
      <c r="U9" s="294"/>
      <c r="V9" s="331">
        <v>1</v>
      </c>
      <c r="W9" s="331"/>
      <c r="X9" s="331"/>
      <c r="Y9" s="294">
        <f>IF(NFI_Expiration=1,IF($A9&lt;VLOOKUP(H$5,NFI,5,0),1,0)*Table_NFI[[#This Row],[Hygiene Kit]],Table_NFI[Hygiene Kit])</f>
        <v>0</v>
      </c>
      <c r="Z9" s="294">
        <f>IF(NFI_Expiration=1,IF($A9&lt;VLOOKUP(I$5,NFI,5,0),1,0)*Table_NFI[[#This Row],[NFI Core Kit]],Table_NFI[NFI Core Kit])</f>
        <v>0</v>
      </c>
      <c r="AA9" s="294">
        <f>IF(NFI_Expiration=1,IF($A9&lt;VLOOKUP(J$5,NFI,5,0),1,0)*Table_NFI[[#This Row],[Sanitary Kit]],Table_NFI[Sanitary Kit])</f>
        <v>0</v>
      </c>
      <c r="AB9" s="294">
        <f>IF(NFI_Expiration=1,IF($A9&lt;VLOOKUP(K$5,NFI,5,0),1,0)*Table_NFI[[#This Row],[Mosquito net]],Table_NFI[Mosquito net])</f>
        <v>0</v>
      </c>
      <c r="AC9" s="294">
        <f>IF(NFI_Expiration=1,IF($A9&lt;VLOOKUP(L$5,NFI,5,0),1,0)*Table_NFI[[#This Row],[Tarpaulin]],Table_NFI[[#This Row],[Tarpaulin]])</f>
        <v>0</v>
      </c>
      <c r="AD9" s="294">
        <f>IF(NFI_Expiration=1,IF($A9&lt;VLOOKUP(M$5,NFI,5,0),1,0)*Table_NFI[[#This Row],[Blanket]],Table_NFI[[#This Row],[Blanket]])</f>
        <v>0</v>
      </c>
      <c r="AE9" s="294">
        <f>IF(NFI_Expiration=1,IF($A9&lt;VLOOKUP(N$5,NFI,5,0),1,0)*Table_NFI[[#This Row],[Kitchen Set]],Table_NFI[Kitchen Set])</f>
        <v>0</v>
      </c>
      <c r="AF9" s="294">
        <f>IF(NFI_Expiration=1,IF($A9&lt;VLOOKUP(O$5,NFI,5,0),1,0)*Table_NFI[[#This Row],[Clothes Kit]],Table_NFI[Clothes Kit])</f>
        <v>0</v>
      </c>
      <c r="AG9" s="294">
        <f>IF(NFI_Expiration=1,IF($A9&lt;VLOOKUP(P$5,NFI,5,0),1,0)*Table_NFI[[#This Row],[Plastic Bucket]],Table_NFI[Plastic Bucket])</f>
        <v>0</v>
      </c>
      <c r="AH9" s="294">
        <f>IF(NFI_Expiration=1,IF($A9&lt;VLOOKUP(Q$5,NFI,5,0),1,0)*Table_NFI[[#This Row],[Plastic Mat]],Table_NFI[Plastic Mat])*IF(Table_NFI[[#This Row],[Distribution Date]]&gt;"2014-04-01",1,2.5)</f>
        <v>0</v>
      </c>
      <c r="AI9" s="294">
        <f>IF(NFI_Expiration=1,IF($A9&lt;VLOOKUP(R$5,NFI,5,0),1,0)*Table_NFI[[#This Row],[Winter Clothes Adult]],Table_NFI[Winter Clothes Adult])</f>
        <v>0</v>
      </c>
      <c r="AJ9" s="294">
        <f>IF(NFI_Expiration=1,IF($A9&lt;VLOOKUP(S$5,NFI,5,0),1,0)*Table_NFI[[#This Row],[Winter Clothes Children]],Table_NFI[Winter Clothes Children])</f>
        <v>0</v>
      </c>
      <c r="AK9" s="294">
        <f>IF(NFI_Expiration=1,IF($A9&lt;VLOOKUP(T$5,NFI,5,0),1,0)*Table_NFI[[#This Row],[Winter Items Other]],Table_NFI[Winter Items Other])</f>
        <v>0</v>
      </c>
      <c r="AL9" s="294">
        <f>IF(NFI_Expiration=1,IF($A9&lt;VLOOKUP(M$5,NFI,5,0),1,0)*Table_NFI[[#This Row],[Winter Blanket]],Table_NFI[[#This Row],[Winter Blanket]])</f>
        <v>0</v>
      </c>
      <c r="AM9" s="294">
        <f>IF(Table_NFI[[#This Row],[Winter Clothes Adult]]+Table_NFI[[#This Row],[Winter Clothes Children]]+Table_NFI[[#This Row],[Winter Items Other]]+Table_NFI[[#This Row],[Winter Blanket]]&gt;0,1,0)</f>
        <v>0</v>
      </c>
      <c r="AN9" s="331">
        <f>IF(NFI_Expiration=1,IF($A9&lt;VLOOKUP(V$5,NFI,5,0),1,0)*Table_NFI[[#This Row],[Jerry Can]],Table_NFI[Jerry Can])</f>
        <v>1</v>
      </c>
      <c r="AO9" s="331">
        <f>IF(NFI_Expiration=1,IF($A9&lt;VLOOKUP(V$5,NFI,5,0),1,0)*Table_NFI[[#This Row],[Shelter Tool kit]],Table_NFI[Shelter Tool kit])</f>
        <v>0</v>
      </c>
      <c r="AP9" s="331">
        <f>IF(NFI_Expiration=1,IF($A9&lt;VLOOKUP(V$5,NFI,5,0),1,0)*Table_NFI[[#This Row],[Tent]],Table_NFI[Tent])</f>
        <v>0</v>
      </c>
      <c r="AQ9" s="473" t="str">
        <f>IFERROR(VLOOKUP(Table_NFI[[#This Row],[Camp Name]],CL,2,0),"")</f>
        <v>MMR001CMP069</v>
      </c>
      <c r="AR9" s="468">
        <f ca="1">IF(Table_NFI[[#This Row],[Pcode]]="","",IF(OFFSET(CampList[Opening Date],MATCH(Table_NFI[[#This Row],[Pcode]],CampList[CP_Pcode],0)-1,0,1,1)&gt;=NFI_Monitor_Date,1,0))</f>
        <v>0</v>
      </c>
      <c r="AS9" s="473" t="str">
        <f>IFERROR(VLOOKUP(Table_NFI[[#This Row],[Camp Name]],CL,3,0),"")</f>
        <v>Open</v>
      </c>
      <c r="AT9" s="294" t="str">
        <f ca="1">IF(Table_NFI[[#This Row],[Pcode]]="","",OFFSET(CampList[Priority],MATCH(Table_NFI[[#This Row],[Pcode]],CampList[CP_Pcode],0)-1,0,1,1))</f>
        <v>P3</v>
      </c>
      <c r="AU9" s="293">
        <f>IFERROR(Table_NFI[[#This Row],[Kitchen Set]]/VLOOKUP(Table_NFI[[#This Row],[Camp Name]],CL,4,0),"")</f>
        <v>0</v>
      </c>
      <c r="AV9" s="466"/>
      <c r="AW9" s="474" t="s">
        <v>1587</v>
      </c>
    </row>
    <row r="10" spans="1:54" s="509" customFormat="1" ht="16.149999999999999" customHeight="1" x14ac:dyDescent="0.25">
      <c r="A10" s="297">
        <f t="shared" si="0"/>
        <v>3.3333333333333333E-2</v>
      </c>
      <c r="B10" s="465">
        <v>42674</v>
      </c>
      <c r="C10" s="471" t="s">
        <v>905</v>
      </c>
      <c r="D10" s="471" t="s">
        <v>905</v>
      </c>
      <c r="E10" s="471" t="s">
        <v>380</v>
      </c>
      <c r="F10" s="471" t="s">
        <v>185</v>
      </c>
      <c r="G10" s="471" t="s">
        <v>225</v>
      </c>
      <c r="H10" s="292"/>
      <c r="I10" s="292"/>
      <c r="J10" s="292"/>
      <c r="K10" s="292"/>
      <c r="L10" s="292"/>
      <c r="M10" s="292"/>
      <c r="N10" s="292"/>
      <c r="O10" s="292"/>
      <c r="P10" s="294"/>
      <c r="Q10" s="294"/>
      <c r="R10" s="294"/>
      <c r="S10" s="294"/>
      <c r="T10" s="294"/>
      <c r="U10" s="294"/>
      <c r="V10" s="331">
        <v>2</v>
      </c>
      <c r="W10" s="331"/>
      <c r="X10" s="331"/>
      <c r="Y10" s="294">
        <f>IF(NFI_Expiration=1,IF($A10&lt;VLOOKUP(H$5,NFI,5,0),1,0)*Table_NFI[[#This Row],[Hygiene Kit]],Table_NFI[Hygiene Kit])</f>
        <v>0</v>
      </c>
      <c r="Z10" s="294">
        <f>IF(NFI_Expiration=1,IF($A10&lt;VLOOKUP(I$5,NFI,5,0),1,0)*Table_NFI[[#This Row],[NFI Core Kit]],Table_NFI[NFI Core Kit])</f>
        <v>0</v>
      </c>
      <c r="AA10" s="294">
        <f>IF(NFI_Expiration=1,IF($A10&lt;VLOOKUP(J$5,NFI,5,0),1,0)*Table_NFI[[#This Row],[Sanitary Kit]],Table_NFI[Sanitary Kit])</f>
        <v>0</v>
      </c>
      <c r="AB10" s="294">
        <f>IF(NFI_Expiration=1,IF($A10&lt;VLOOKUP(K$5,NFI,5,0),1,0)*Table_NFI[[#This Row],[Mosquito net]],Table_NFI[Mosquito net])</f>
        <v>0</v>
      </c>
      <c r="AC10" s="294">
        <f>IF(NFI_Expiration=1,IF($A10&lt;VLOOKUP(L$5,NFI,5,0),1,0)*Table_NFI[[#This Row],[Tarpaulin]],Table_NFI[[#This Row],[Tarpaulin]])</f>
        <v>0</v>
      </c>
      <c r="AD10" s="294">
        <f>IF(NFI_Expiration=1,IF($A10&lt;VLOOKUP(M$5,NFI,5,0),1,0)*Table_NFI[[#This Row],[Blanket]],Table_NFI[[#This Row],[Blanket]])</f>
        <v>0</v>
      </c>
      <c r="AE10" s="294">
        <f>IF(NFI_Expiration=1,IF($A10&lt;VLOOKUP(N$5,NFI,5,0),1,0)*Table_NFI[[#This Row],[Kitchen Set]],Table_NFI[Kitchen Set])</f>
        <v>0</v>
      </c>
      <c r="AF10" s="294">
        <f>IF(NFI_Expiration=1,IF($A10&lt;VLOOKUP(O$5,NFI,5,0),1,0)*Table_NFI[[#This Row],[Clothes Kit]],Table_NFI[Clothes Kit])</f>
        <v>0</v>
      </c>
      <c r="AG10" s="294">
        <f>IF(NFI_Expiration=1,IF($A10&lt;VLOOKUP(P$5,NFI,5,0),1,0)*Table_NFI[[#This Row],[Plastic Bucket]],Table_NFI[Plastic Bucket])</f>
        <v>0</v>
      </c>
      <c r="AH10" s="294">
        <f>IF(NFI_Expiration=1,IF($A10&lt;VLOOKUP(Q$5,NFI,5,0),1,0)*Table_NFI[[#This Row],[Plastic Mat]],Table_NFI[Plastic Mat])*IF(Table_NFI[[#This Row],[Distribution Date]]&gt;"2014-04-01",1,2.5)</f>
        <v>0</v>
      </c>
      <c r="AI10" s="294">
        <f>IF(NFI_Expiration=1,IF($A10&lt;VLOOKUP(R$5,NFI,5,0),1,0)*Table_NFI[[#This Row],[Winter Clothes Adult]],Table_NFI[Winter Clothes Adult])</f>
        <v>0</v>
      </c>
      <c r="AJ10" s="294">
        <f>IF(NFI_Expiration=1,IF($A10&lt;VLOOKUP(S$5,NFI,5,0),1,0)*Table_NFI[[#This Row],[Winter Clothes Children]],Table_NFI[Winter Clothes Children])</f>
        <v>0</v>
      </c>
      <c r="AK10" s="294">
        <f>IF(NFI_Expiration=1,IF($A10&lt;VLOOKUP(T$5,NFI,5,0),1,0)*Table_NFI[[#This Row],[Winter Items Other]],Table_NFI[Winter Items Other])</f>
        <v>0</v>
      </c>
      <c r="AL10" s="294">
        <f>IF(NFI_Expiration=1,IF($A10&lt;VLOOKUP(M$5,NFI,5,0),1,0)*Table_NFI[[#This Row],[Winter Blanket]],Table_NFI[[#This Row],[Winter Blanket]])</f>
        <v>0</v>
      </c>
      <c r="AM10" s="294">
        <f>IF(Table_NFI[[#This Row],[Winter Clothes Adult]]+Table_NFI[[#This Row],[Winter Clothes Children]]+Table_NFI[[#This Row],[Winter Items Other]]+Table_NFI[[#This Row],[Winter Blanket]]&gt;0,1,0)</f>
        <v>0</v>
      </c>
      <c r="AN10" s="331">
        <f>IF(NFI_Expiration=1,IF($A10&lt;VLOOKUP(V$5,NFI,5,0),1,0)*Table_NFI[[#This Row],[Jerry Can]],Table_NFI[Jerry Can])</f>
        <v>2</v>
      </c>
      <c r="AO10" s="331">
        <f>IF(NFI_Expiration=1,IF($A10&lt;VLOOKUP(V$5,NFI,5,0),1,0)*Table_NFI[[#This Row],[Shelter Tool kit]],Table_NFI[Shelter Tool kit])</f>
        <v>0</v>
      </c>
      <c r="AP10" s="331">
        <f>IF(NFI_Expiration=1,IF($A10&lt;VLOOKUP(V$5,NFI,5,0),1,0)*Table_NFI[[#This Row],[Tent]],Table_NFI[Tent])</f>
        <v>0</v>
      </c>
      <c r="AQ10" s="473" t="str">
        <f>IFERROR(VLOOKUP(Table_NFI[[#This Row],[Camp Name]],CL,2,0),"")</f>
        <v>MMR001CMP073</v>
      </c>
      <c r="AR10" s="468">
        <f ca="1">IF(Table_NFI[[#This Row],[Pcode]]="","",IF(OFFSET(CampList[Opening Date],MATCH(Table_NFI[[#This Row],[Pcode]],CampList[CP_Pcode],0)-1,0,1,1)&gt;=NFI_Monitor_Date,1,0))</f>
        <v>0</v>
      </c>
      <c r="AS10" s="473" t="str">
        <f>IFERROR(VLOOKUP(Table_NFI[[#This Row],[Camp Name]],CL,3,0),"")</f>
        <v>Open</v>
      </c>
      <c r="AT10" s="294" t="str">
        <f ca="1">IF(Table_NFI[[#This Row],[Pcode]]="","",OFFSET(CampList[Priority],MATCH(Table_NFI[[#This Row],[Pcode]],CampList[CP_Pcode],0)-1,0,1,1))</f>
        <v>P3</v>
      </c>
      <c r="AU10" s="293">
        <f>IFERROR(Table_NFI[[#This Row],[Kitchen Set]]/VLOOKUP(Table_NFI[[#This Row],[Camp Name]],CL,4,0),"")</f>
        <v>0</v>
      </c>
      <c r="AV10" s="466"/>
      <c r="AW10" s="474" t="s">
        <v>1587</v>
      </c>
    </row>
    <row r="11" spans="1:54" s="483" customFormat="1" ht="15" customHeight="1" x14ac:dyDescent="0.25">
      <c r="A11" s="297">
        <f t="shared" si="0"/>
        <v>1.0666666666666667</v>
      </c>
      <c r="B11" s="465">
        <v>42643</v>
      </c>
      <c r="C11" s="471" t="s">
        <v>905</v>
      </c>
      <c r="D11" s="471" t="s">
        <v>905</v>
      </c>
      <c r="E11" s="471" t="s">
        <v>380</v>
      </c>
      <c r="F11" s="471" t="s">
        <v>5</v>
      </c>
      <c r="G11" s="471" t="s">
        <v>366</v>
      </c>
      <c r="H11" s="292"/>
      <c r="I11" s="292"/>
      <c r="J11" s="292"/>
      <c r="K11" s="292"/>
      <c r="L11" s="292"/>
      <c r="M11" s="292"/>
      <c r="N11" s="292"/>
      <c r="O11" s="292"/>
      <c r="P11" s="294"/>
      <c r="Q11" s="294"/>
      <c r="R11" s="294"/>
      <c r="S11" s="294"/>
      <c r="T11" s="294"/>
      <c r="U11" s="294"/>
      <c r="V11" s="331">
        <v>1</v>
      </c>
      <c r="W11" s="294"/>
      <c r="X11" s="294"/>
      <c r="Y11" s="294">
        <f>IF(NFI_Expiration=1,IF($A11&lt;VLOOKUP(H$5,NFI,5,0),1,0)*Table_NFI[[#This Row],[Hygiene Kit]],Table_NFI[Hygiene Kit])</f>
        <v>0</v>
      </c>
      <c r="Z11" s="294">
        <f>IF(NFI_Expiration=1,IF($A11&lt;VLOOKUP(I$5,NFI,5,0),1,0)*Table_NFI[[#This Row],[NFI Core Kit]],Table_NFI[NFI Core Kit])</f>
        <v>0</v>
      </c>
      <c r="AA11" s="294">
        <f>IF(NFI_Expiration=1,IF($A11&lt;VLOOKUP(J$5,NFI,5,0),1,0)*Table_NFI[[#This Row],[Sanitary Kit]],Table_NFI[Sanitary Kit])</f>
        <v>0</v>
      </c>
      <c r="AB11" s="294">
        <f>IF(NFI_Expiration=1,IF($A11&lt;VLOOKUP(K$5,NFI,5,0),1,0)*Table_NFI[[#This Row],[Mosquito net]],Table_NFI[Mosquito net])</f>
        <v>0</v>
      </c>
      <c r="AC11" s="294">
        <f>IF(NFI_Expiration=1,IF($A11&lt;VLOOKUP(L$5,NFI,5,0),1,0)*Table_NFI[[#This Row],[Tarpaulin]],Table_NFI[[#This Row],[Tarpaulin]])</f>
        <v>0</v>
      </c>
      <c r="AD11" s="294">
        <f>IF(NFI_Expiration=1,IF($A11&lt;VLOOKUP(M$5,NFI,5,0),1,0)*Table_NFI[[#This Row],[Blanket]],Table_NFI[[#This Row],[Blanket]])</f>
        <v>0</v>
      </c>
      <c r="AE11" s="294">
        <f>IF(NFI_Expiration=1,IF($A11&lt;VLOOKUP(N$5,NFI,5,0),1,0)*Table_NFI[[#This Row],[Kitchen Set]],Table_NFI[Kitchen Set])</f>
        <v>0</v>
      </c>
      <c r="AF11" s="294">
        <f>IF(NFI_Expiration=1,IF($A11&lt;VLOOKUP(O$5,NFI,5,0),1,0)*Table_NFI[[#This Row],[Clothes Kit]],Table_NFI[Clothes Kit])</f>
        <v>0</v>
      </c>
      <c r="AG11" s="294">
        <f>IF(NFI_Expiration=1,IF($A11&lt;VLOOKUP(P$5,NFI,5,0),1,0)*Table_NFI[[#This Row],[Plastic Bucket]],Table_NFI[Plastic Bucket])</f>
        <v>0</v>
      </c>
      <c r="AH11" s="294">
        <f>IF(NFI_Expiration=1,IF($A11&lt;VLOOKUP(Q$5,NFI,5,0),1,0)*Table_NFI[[#This Row],[Plastic Mat]],Table_NFI[Plastic Mat])*IF(Table_NFI[[#This Row],[Distribution Date]]&gt;"2014-04-01",1,2.5)</f>
        <v>0</v>
      </c>
      <c r="AI11" s="294">
        <f>IF(NFI_Expiration=1,IF($A11&lt;VLOOKUP(R$5,NFI,5,0),1,0)*Table_NFI[[#This Row],[Winter Clothes Adult]],Table_NFI[Winter Clothes Adult])</f>
        <v>0</v>
      </c>
      <c r="AJ11" s="294">
        <f>IF(NFI_Expiration=1,IF($A11&lt;VLOOKUP(S$5,NFI,5,0),1,0)*Table_NFI[[#This Row],[Winter Clothes Children]],Table_NFI[Winter Clothes Children])</f>
        <v>0</v>
      </c>
      <c r="AK11" s="294">
        <f>IF(NFI_Expiration=1,IF($A11&lt;VLOOKUP(T$5,NFI,5,0),1,0)*Table_NFI[[#This Row],[Winter Items Other]],Table_NFI[Winter Items Other])</f>
        <v>0</v>
      </c>
      <c r="AL11" s="294">
        <f>IF(NFI_Expiration=1,IF($A11&lt;VLOOKUP(M$5,NFI,5,0),1,0)*Table_NFI[[#This Row],[Winter Blanket]],Table_NFI[[#This Row],[Winter Blanket]])</f>
        <v>0</v>
      </c>
      <c r="AM11" s="294">
        <f>IF(Table_NFI[[#This Row],[Winter Clothes Adult]]+Table_NFI[[#This Row],[Winter Clothes Children]]+Table_NFI[[#This Row],[Winter Items Other]]+Table_NFI[[#This Row],[Winter Blanket]]&gt;0,1,0)</f>
        <v>0</v>
      </c>
      <c r="AN11" s="331">
        <f>IF(NFI_Expiration=1,IF($A11&lt;VLOOKUP(V$5,NFI,5,0),1,0)*Table_NFI[[#This Row],[Jerry Can]],Table_NFI[Jerry Can])</f>
        <v>1</v>
      </c>
      <c r="AO11" s="331">
        <f>IF(NFI_Expiration=1,IF($A11&lt;VLOOKUP(V$5,NFI,5,0),1,0)*Table_NFI[[#This Row],[Shelter Tool kit]],Table_NFI[Shelter Tool kit])</f>
        <v>0</v>
      </c>
      <c r="AP11" s="331">
        <f>IF(NFI_Expiration=1,IF($A11&lt;VLOOKUP(V$5,NFI,5,0),1,0)*Table_NFI[[#This Row],[Tent]],Table_NFI[Tent])</f>
        <v>0</v>
      </c>
      <c r="AQ11" s="473" t="str">
        <f>IFERROR(VLOOKUP(Table_NFI[[#This Row],[Camp Name]],CL,2,0),"")</f>
        <v>MMR001CMP193</v>
      </c>
      <c r="AR11" s="468">
        <f ca="1">IF(Table_NFI[[#This Row],[Pcode]]="","",IF(OFFSET(CampList[Opening Date],MATCH(Table_NFI[[#This Row],[Pcode]],CampList[CP_Pcode],0)-1,0,1,1)&gt;=NFI_Monitor_Date,1,0))</f>
        <v>0</v>
      </c>
      <c r="AS11" s="473" t="str">
        <f>IFERROR(VLOOKUP(Table_NFI[[#This Row],[Camp Name]],CL,3,0),"")</f>
        <v>Open</v>
      </c>
      <c r="AT11" s="294" t="str">
        <f ca="1">IF(Table_NFI[[#This Row],[Pcode]]="","",OFFSET(CampList[Priority],MATCH(Table_NFI[[#This Row],[Pcode]],CampList[CP_Pcode],0)-1,0,1,1))</f>
        <v>P4</v>
      </c>
      <c r="AU11" s="293">
        <f>IFERROR(Table_NFI[[#This Row],[Kitchen Set]]/VLOOKUP(Table_NFI[[#This Row],[Camp Name]],CL,4,0),"")</f>
        <v>0</v>
      </c>
      <c r="AV11" s="466"/>
      <c r="AW11" s="474" t="s">
        <v>1587</v>
      </c>
    </row>
    <row r="12" spans="1:54" s="483" customFormat="1" ht="15" customHeight="1" x14ac:dyDescent="0.25">
      <c r="A12" s="297">
        <f t="shared" si="0"/>
        <v>1.0666666666666667</v>
      </c>
      <c r="B12" s="465">
        <v>42643</v>
      </c>
      <c r="C12" s="471" t="s">
        <v>905</v>
      </c>
      <c r="D12" s="471" t="s">
        <v>905</v>
      </c>
      <c r="E12" s="471" t="s">
        <v>380</v>
      </c>
      <c r="F12" s="471" t="s">
        <v>185</v>
      </c>
      <c r="G12" s="471" t="s">
        <v>209</v>
      </c>
      <c r="H12" s="292"/>
      <c r="I12" s="292"/>
      <c r="J12" s="292"/>
      <c r="K12" s="292"/>
      <c r="L12" s="292"/>
      <c r="M12" s="292"/>
      <c r="N12" s="292"/>
      <c r="O12" s="292"/>
      <c r="P12" s="294"/>
      <c r="Q12" s="294"/>
      <c r="R12" s="294"/>
      <c r="S12" s="294"/>
      <c r="T12" s="294"/>
      <c r="U12" s="294"/>
      <c r="V12" s="331">
        <v>1</v>
      </c>
      <c r="W12" s="294"/>
      <c r="X12" s="294"/>
      <c r="Y12" s="294">
        <f>IF(NFI_Expiration=1,IF($A12&lt;VLOOKUP(H$5,NFI,5,0),1,0)*Table_NFI[[#This Row],[Hygiene Kit]],Table_NFI[Hygiene Kit])</f>
        <v>0</v>
      </c>
      <c r="Z12" s="294">
        <f>IF(NFI_Expiration=1,IF($A12&lt;VLOOKUP(I$5,NFI,5,0),1,0)*Table_NFI[[#This Row],[NFI Core Kit]],Table_NFI[NFI Core Kit])</f>
        <v>0</v>
      </c>
      <c r="AA12" s="294">
        <f>IF(NFI_Expiration=1,IF($A12&lt;VLOOKUP(J$5,NFI,5,0),1,0)*Table_NFI[[#This Row],[Sanitary Kit]],Table_NFI[Sanitary Kit])</f>
        <v>0</v>
      </c>
      <c r="AB12" s="294">
        <f>IF(NFI_Expiration=1,IF($A12&lt;VLOOKUP(K$5,NFI,5,0),1,0)*Table_NFI[[#This Row],[Mosquito net]],Table_NFI[Mosquito net])</f>
        <v>0</v>
      </c>
      <c r="AC12" s="294">
        <f>IF(NFI_Expiration=1,IF($A12&lt;VLOOKUP(L$5,NFI,5,0),1,0)*Table_NFI[[#This Row],[Tarpaulin]],Table_NFI[[#This Row],[Tarpaulin]])</f>
        <v>0</v>
      </c>
      <c r="AD12" s="294">
        <f>IF(NFI_Expiration=1,IF($A12&lt;VLOOKUP(M$5,NFI,5,0),1,0)*Table_NFI[[#This Row],[Blanket]],Table_NFI[[#This Row],[Blanket]])</f>
        <v>0</v>
      </c>
      <c r="AE12" s="294">
        <f>IF(NFI_Expiration=1,IF($A12&lt;VLOOKUP(N$5,NFI,5,0),1,0)*Table_NFI[[#This Row],[Kitchen Set]],Table_NFI[Kitchen Set])</f>
        <v>0</v>
      </c>
      <c r="AF12" s="294">
        <f>IF(NFI_Expiration=1,IF($A12&lt;VLOOKUP(O$5,NFI,5,0),1,0)*Table_NFI[[#This Row],[Clothes Kit]],Table_NFI[Clothes Kit])</f>
        <v>0</v>
      </c>
      <c r="AG12" s="294">
        <f>IF(NFI_Expiration=1,IF($A12&lt;VLOOKUP(P$5,NFI,5,0),1,0)*Table_NFI[[#This Row],[Plastic Bucket]],Table_NFI[Plastic Bucket])</f>
        <v>0</v>
      </c>
      <c r="AH12" s="294">
        <f>IF(NFI_Expiration=1,IF($A12&lt;VLOOKUP(Q$5,NFI,5,0),1,0)*Table_NFI[[#This Row],[Plastic Mat]],Table_NFI[Plastic Mat])*IF(Table_NFI[[#This Row],[Distribution Date]]&gt;"2014-04-01",1,2.5)</f>
        <v>0</v>
      </c>
      <c r="AI12" s="294">
        <f>IF(NFI_Expiration=1,IF($A12&lt;VLOOKUP(R$5,NFI,5,0),1,0)*Table_NFI[[#This Row],[Winter Clothes Adult]],Table_NFI[Winter Clothes Adult])</f>
        <v>0</v>
      </c>
      <c r="AJ12" s="294">
        <f>IF(NFI_Expiration=1,IF($A12&lt;VLOOKUP(S$5,NFI,5,0),1,0)*Table_NFI[[#This Row],[Winter Clothes Children]],Table_NFI[Winter Clothes Children])</f>
        <v>0</v>
      </c>
      <c r="AK12" s="294">
        <f>IF(NFI_Expiration=1,IF($A12&lt;VLOOKUP(T$5,NFI,5,0),1,0)*Table_NFI[[#This Row],[Winter Items Other]],Table_NFI[Winter Items Other])</f>
        <v>0</v>
      </c>
      <c r="AL12" s="294">
        <f>IF(NFI_Expiration=1,IF($A12&lt;VLOOKUP(M$5,NFI,5,0),1,0)*Table_NFI[[#This Row],[Winter Blanket]],Table_NFI[[#This Row],[Winter Blanket]])</f>
        <v>0</v>
      </c>
      <c r="AM12" s="294">
        <f>IF(Table_NFI[[#This Row],[Winter Clothes Adult]]+Table_NFI[[#This Row],[Winter Clothes Children]]+Table_NFI[[#This Row],[Winter Items Other]]+Table_NFI[[#This Row],[Winter Blanket]]&gt;0,1,0)</f>
        <v>0</v>
      </c>
      <c r="AN12" s="331">
        <f>IF(NFI_Expiration=1,IF($A12&lt;VLOOKUP(V$5,NFI,5,0),1,0)*Table_NFI[[#This Row],[Jerry Can]],Table_NFI[Jerry Can])</f>
        <v>1</v>
      </c>
      <c r="AO12" s="331">
        <f>IF(NFI_Expiration=1,IF($A12&lt;VLOOKUP(V$5,NFI,5,0),1,0)*Table_NFI[[#This Row],[Shelter Tool kit]],Table_NFI[Shelter Tool kit])</f>
        <v>0</v>
      </c>
      <c r="AP12" s="331">
        <f>IF(NFI_Expiration=1,IF($A12&lt;VLOOKUP(V$5,NFI,5,0),1,0)*Table_NFI[[#This Row],[Tent]],Table_NFI[Tent])</f>
        <v>0</v>
      </c>
      <c r="AQ12" s="473" t="str">
        <f>IFERROR(VLOOKUP(Table_NFI[[#This Row],[Camp Name]],CL,2,0),"")</f>
        <v>MMR001CMP056</v>
      </c>
      <c r="AR12" s="468">
        <f ca="1">IF(Table_NFI[[#This Row],[Pcode]]="","",IF(OFFSET(CampList[Opening Date],MATCH(Table_NFI[[#This Row],[Pcode]],CampList[CP_Pcode],0)-1,0,1,1)&gt;=NFI_Monitor_Date,1,0))</f>
        <v>0</v>
      </c>
      <c r="AS12" s="473" t="str">
        <f>IFERROR(VLOOKUP(Table_NFI[[#This Row],[Camp Name]],CL,3,0),"")</f>
        <v>Open</v>
      </c>
      <c r="AT12" s="294" t="str">
        <f ca="1">IF(Table_NFI[[#This Row],[Pcode]]="","",OFFSET(CampList[Priority],MATCH(Table_NFI[[#This Row],[Pcode]],CampList[CP_Pcode],0)-1,0,1,1))</f>
        <v>P4</v>
      </c>
      <c r="AU12" s="293">
        <f>IFERROR(Table_NFI[[#This Row],[Kitchen Set]]/VLOOKUP(Table_NFI[[#This Row],[Camp Name]],CL,4,0),"")</f>
        <v>0</v>
      </c>
      <c r="AV12" s="466"/>
      <c r="AW12" s="474" t="s">
        <v>1587</v>
      </c>
    </row>
    <row r="13" spans="1:54" s="483" customFormat="1" ht="15" customHeight="1" x14ac:dyDescent="0.25">
      <c r="A13" s="297">
        <f t="shared" si="0"/>
        <v>2.0666666666666669</v>
      </c>
      <c r="B13" s="465">
        <v>42613</v>
      </c>
      <c r="C13" s="471" t="s">
        <v>905</v>
      </c>
      <c r="D13" s="471" t="s">
        <v>905</v>
      </c>
      <c r="E13" s="471" t="s">
        <v>380</v>
      </c>
      <c r="F13" s="471" t="s">
        <v>5</v>
      </c>
      <c r="G13" s="471" t="s">
        <v>6</v>
      </c>
      <c r="H13" s="292"/>
      <c r="I13" s="292"/>
      <c r="J13" s="292"/>
      <c r="K13" s="292"/>
      <c r="L13" s="292"/>
      <c r="M13" s="292"/>
      <c r="N13" s="292"/>
      <c r="O13" s="292"/>
      <c r="P13" s="294"/>
      <c r="Q13" s="294"/>
      <c r="R13" s="294"/>
      <c r="S13" s="294"/>
      <c r="T13" s="294"/>
      <c r="U13" s="294"/>
      <c r="V13" s="331">
        <v>1</v>
      </c>
      <c r="W13" s="294"/>
      <c r="X13" s="294"/>
      <c r="Y13" s="294">
        <f>IF(NFI_Expiration=1,IF($A13&lt;VLOOKUP(H$5,NFI,5,0),1,0)*Table_NFI[[#This Row],[Hygiene Kit]],Table_NFI[Hygiene Kit])</f>
        <v>0</v>
      </c>
      <c r="Z13" s="294">
        <f>IF(NFI_Expiration=1,IF($A13&lt;VLOOKUP(I$5,NFI,5,0),1,0)*Table_NFI[[#This Row],[NFI Core Kit]],Table_NFI[NFI Core Kit])</f>
        <v>0</v>
      </c>
      <c r="AA13" s="294">
        <f>IF(NFI_Expiration=1,IF($A13&lt;VLOOKUP(J$5,NFI,5,0),1,0)*Table_NFI[[#This Row],[Sanitary Kit]],Table_NFI[Sanitary Kit])</f>
        <v>0</v>
      </c>
      <c r="AB13" s="294">
        <f>IF(NFI_Expiration=1,IF($A13&lt;VLOOKUP(K$5,NFI,5,0),1,0)*Table_NFI[[#This Row],[Mosquito net]],Table_NFI[Mosquito net])</f>
        <v>0</v>
      </c>
      <c r="AC13" s="294">
        <f>IF(NFI_Expiration=1,IF($A13&lt;VLOOKUP(L$5,NFI,5,0),1,0)*Table_NFI[[#This Row],[Tarpaulin]],Table_NFI[[#This Row],[Tarpaulin]])</f>
        <v>0</v>
      </c>
      <c r="AD13" s="294">
        <f>IF(NFI_Expiration=1,IF($A13&lt;VLOOKUP(M$5,NFI,5,0),1,0)*Table_NFI[[#This Row],[Blanket]],Table_NFI[[#This Row],[Blanket]])</f>
        <v>0</v>
      </c>
      <c r="AE13" s="294">
        <f>IF(NFI_Expiration=1,IF($A13&lt;VLOOKUP(N$5,NFI,5,0),1,0)*Table_NFI[[#This Row],[Kitchen Set]],Table_NFI[Kitchen Set])</f>
        <v>0</v>
      </c>
      <c r="AF13" s="294">
        <f>IF(NFI_Expiration=1,IF($A13&lt;VLOOKUP(O$5,NFI,5,0),1,0)*Table_NFI[[#This Row],[Clothes Kit]],Table_NFI[Clothes Kit])</f>
        <v>0</v>
      </c>
      <c r="AG13" s="294">
        <f>IF(NFI_Expiration=1,IF($A13&lt;VLOOKUP(P$5,NFI,5,0),1,0)*Table_NFI[[#This Row],[Plastic Bucket]],Table_NFI[Plastic Bucket])</f>
        <v>0</v>
      </c>
      <c r="AH13" s="294">
        <f>IF(NFI_Expiration=1,IF($A13&lt;VLOOKUP(Q$5,NFI,5,0),1,0)*Table_NFI[[#This Row],[Plastic Mat]],Table_NFI[Plastic Mat])*IF(Table_NFI[[#This Row],[Distribution Date]]&gt;"2014-04-01",1,2.5)</f>
        <v>0</v>
      </c>
      <c r="AI13" s="294">
        <f>IF(NFI_Expiration=1,IF($A13&lt;VLOOKUP(R$5,NFI,5,0),1,0)*Table_NFI[[#This Row],[Winter Clothes Adult]],Table_NFI[Winter Clothes Adult])</f>
        <v>0</v>
      </c>
      <c r="AJ13" s="294">
        <f>IF(NFI_Expiration=1,IF($A13&lt;VLOOKUP(S$5,NFI,5,0),1,0)*Table_NFI[[#This Row],[Winter Clothes Children]],Table_NFI[Winter Clothes Children])</f>
        <v>0</v>
      </c>
      <c r="AK13" s="294">
        <f>IF(NFI_Expiration=1,IF($A13&lt;VLOOKUP(T$5,NFI,5,0),1,0)*Table_NFI[[#This Row],[Winter Items Other]],Table_NFI[Winter Items Other])</f>
        <v>0</v>
      </c>
      <c r="AL13" s="294">
        <f>IF(NFI_Expiration=1,IF($A13&lt;VLOOKUP(M$5,NFI,5,0),1,0)*Table_NFI[[#This Row],[Winter Blanket]],Table_NFI[[#This Row],[Winter Blanket]])</f>
        <v>0</v>
      </c>
      <c r="AM13" s="294">
        <f>IF(Table_NFI[[#This Row],[Winter Clothes Adult]]+Table_NFI[[#This Row],[Winter Clothes Children]]+Table_NFI[[#This Row],[Winter Items Other]]+Table_NFI[[#This Row],[Winter Blanket]]&gt;0,1,0)</f>
        <v>0</v>
      </c>
      <c r="AN13" s="331">
        <f>IF(NFI_Expiration=1,IF($A13&lt;VLOOKUP(V$5,NFI,5,0),1,0)*Table_NFI[[#This Row],[Jerry Can]],Table_NFI[Jerry Can])</f>
        <v>1</v>
      </c>
      <c r="AO13" s="331">
        <f>IF(NFI_Expiration=1,IF($A13&lt;VLOOKUP(V$5,NFI,5,0),1,0)*Table_NFI[[#This Row],[Shelter Tool kit]],Table_NFI[Shelter Tool kit])</f>
        <v>0</v>
      </c>
      <c r="AP13" s="331">
        <f>IF(NFI_Expiration=1,IF($A13&lt;VLOOKUP(V$5,NFI,5,0),1,0)*Table_NFI[[#This Row],[Tent]],Table_NFI[Tent])</f>
        <v>0</v>
      </c>
      <c r="AQ13" s="473" t="str">
        <f>IFERROR(VLOOKUP(Table_NFI[[#This Row],[Camp Name]],CL,2,0),"")</f>
        <v>MMR001CMP050</v>
      </c>
      <c r="AR13" s="468">
        <f ca="1">IF(Table_NFI[[#This Row],[Pcode]]="","",IF(OFFSET(CampList[Opening Date],MATCH(Table_NFI[[#This Row],[Pcode]],CampList[CP_Pcode],0)-1,0,1,1)&gt;=NFI_Monitor_Date,1,0))</f>
        <v>0</v>
      </c>
      <c r="AS13" s="473" t="str">
        <f>IFERROR(VLOOKUP(Table_NFI[[#This Row],[Camp Name]],CL,3,0),"")</f>
        <v>Open</v>
      </c>
      <c r="AT13" s="294" t="str">
        <f ca="1">IF(Table_NFI[[#This Row],[Pcode]]="","",OFFSET(CampList[Priority],MATCH(Table_NFI[[#This Row],[Pcode]],CampList[CP_Pcode],0)-1,0,1,1))</f>
        <v>P4</v>
      </c>
      <c r="AU13" s="293">
        <f>IFERROR(Table_NFI[[#This Row],[Kitchen Set]]/VLOOKUP(Table_NFI[[#This Row],[Camp Name]],CL,4,0),"")</f>
        <v>0</v>
      </c>
      <c r="AV13" s="466"/>
      <c r="AW13" s="474" t="s">
        <v>1587</v>
      </c>
    </row>
    <row r="14" spans="1:54" s="98" customFormat="1" ht="15" customHeight="1" x14ac:dyDescent="0.25">
      <c r="A14" s="297">
        <f t="shared" si="0"/>
        <v>2.0666666666666669</v>
      </c>
      <c r="B14" s="465">
        <v>42613</v>
      </c>
      <c r="C14" s="471" t="s">
        <v>905</v>
      </c>
      <c r="D14" s="471" t="s">
        <v>905</v>
      </c>
      <c r="E14" s="471" t="s">
        <v>380</v>
      </c>
      <c r="F14" s="471" t="s">
        <v>5</v>
      </c>
      <c r="G14" s="471" t="s">
        <v>22</v>
      </c>
      <c r="H14" s="292"/>
      <c r="I14" s="292"/>
      <c r="J14" s="292"/>
      <c r="K14" s="292"/>
      <c r="L14" s="292"/>
      <c r="M14" s="292"/>
      <c r="N14" s="292"/>
      <c r="O14" s="292"/>
      <c r="P14" s="294"/>
      <c r="Q14" s="294"/>
      <c r="R14" s="294"/>
      <c r="S14" s="294"/>
      <c r="T14" s="294"/>
      <c r="U14" s="294"/>
      <c r="V14" s="331">
        <v>1</v>
      </c>
      <c r="W14" s="294"/>
      <c r="X14" s="294"/>
      <c r="Y14" s="294">
        <f>IF(NFI_Expiration=1,IF($A14&lt;VLOOKUP(H$5,NFI,5,0),1,0)*Table_NFI[[#This Row],[Hygiene Kit]],Table_NFI[Hygiene Kit])</f>
        <v>0</v>
      </c>
      <c r="Z14" s="294">
        <f>IF(NFI_Expiration=1,IF($A14&lt;VLOOKUP(I$5,NFI,5,0),1,0)*Table_NFI[[#This Row],[NFI Core Kit]],Table_NFI[NFI Core Kit])</f>
        <v>0</v>
      </c>
      <c r="AA14" s="294">
        <f>IF(NFI_Expiration=1,IF($A14&lt;VLOOKUP(J$5,NFI,5,0),1,0)*Table_NFI[[#This Row],[Sanitary Kit]],Table_NFI[Sanitary Kit])</f>
        <v>0</v>
      </c>
      <c r="AB14" s="294">
        <f>IF(NFI_Expiration=1,IF($A14&lt;VLOOKUP(K$5,NFI,5,0),1,0)*Table_NFI[[#This Row],[Mosquito net]],Table_NFI[Mosquito net])</f>
        <v>0</v>
      </c>
      <c r="AC14" s="294">
        <f>IF(NFI_Expiration=1,IF($A14&lt;VLOOKUP(L$5,NFI,5,0),1,0)*Table_NFI[[#This Row],[Tarpaulin]],Table_NFI[[#This Row],[Tarpaulin]])</f>
        <v>0</v>
      </c>
      <c r="AD14" s="294">
        <f>IF(NFI_Expiration=1,IF($A14&lt;VLOOKUP(M$5,NFI,5,0),1,0)*Table_NFI[[#This Row],[Blanket]],Table_NFI[[#This Row],[Blanket]])</f>
        <v>0</v>
      </c>
      <c r="AE14" s="294">
        <f>IF(NFI_Expiration=1,IF($A14&lt;VLOOKUP(N$5,NFI,5,0),1,0)*Table_NFI[[#This Row],[Kitchen Set]],Table_NFI[Kitchen Set])</f>
        <v>0</v>
      </c>
      <c r="AF14" s="294">
        <f>IF(NFI_Expiration=1,IF($A14&lt;VLOOKUP(O$5,NFI,5,0),1,0)*Table_NFI[[#This Row],[Clothes Kit]],Table_NFI[Clothes Kit])</f>
        <v>0</v>
      </c>
      <c r="AG14" s="294">
        <f>IF(NFI_Expiration=1,IF($A14&lt;VLOOKUP(P$5,NFI,5,0),1,0)*Table_NFI[[#This Row],[Plastic Bucket]],Table_NFI[Plastic Bucket])</f>
        <v>0</v>
      </c>
      <c r="AH14" s="294">
        <f>IF(NFI_Expiration=1,IF($A14&lt;VLOOKUP(Q$5,NFI,5,0),1,0)*Table_NFI[[#This Row],[Plastic Mat]],Table_NFI[Plastic Mat])*IF(Table_NFI[[#This Row],[Distribution Date]]&gt;"2014-04-01",1,2.5)</f>
        <v>0</v>
      </c>
      <c r="AI14" s="294">
        <f>IF(NFI_Expiration=1,IF($A14&lt;VLOOKUP(R$5,NFI,5,0),1,0)*Table_NFI[[#This Row],[Winter Clothes Adult]],Table_NFI[Winter Clothes Adult])</f>
        <v>0</v>
      </c>
      <c r="AJ14" s="294">
        <f>IF(NFI_Expiration=1,IF($A14&lt;VLOOKUP(S$5,NFI,5,0),1,0)*Table_NFI[[#This Row],[Winter Clothes Children]],Table_NFI[Winter Clothes Children])</f>
        <v>0</v>
      </c>
      <c r="AK14" s="294">
        <f>IF(NFI_Expiration=1,IF($A14&lt;VLOOKUP(T$5,NFI,5,0),1,0)*Table_NFI[[#This Row],[Winter Items Other]],Table_NFI[Winter Items Other])</f>
        <v>0</v>
      </c>
      <c r="AL14" s="294">
        <f>IF(NFI_Expiration=1,IF($A14&lt;VLOOKUP(M$5,NFI,5,0),1,0)*Table_NFI[[#This Row],[Winter Blanket]],Table_NFI[[#This Row],[Winter Blanket]])</f>
        <v>0</v>
      </c>
      <c r="AM14" s="294">
        <f>IF(Table_NFI[[#This Row],[Winter Clothes Adult]]+Table_NFI[[#This Row],[Winter Clothes Children]]+Table_NFI[[#This Row],[Winter Items Other]]+Table_NFI[[#This Row],[Winter Blanket]]&gt;0,1,0)</f>
        <v>0</v>
      </c>
      <c r="AN14" s="331">
        <f>IF(NFI_Expiration=1,IF($A14&lt;VLOOKUP(V$5,NFI,5,0),1,0)*Table_NFI[[#This Row],[Jerry Can]],Table_NFI[Jerry Can])</f>
        <v>1</v>
      </c>
      <c r="AO14" s="331">
        <f>IF(NFI_Expiration=1,IF($A14&lt;VLOOKUP(V$5,NFI,5,0),1,0)*Table_NFI[[#This Row],[Shelter Tool kit]],Table_NFI[Shelter Tool kit])</f>
        <v>0</v>
      </c>
      <c r="AP14" s="331">
        <f>IF(NFI_Expiration=1,IF($A14&lt;VLOOKUP(V$5,NFI,5,0),1,0)*Table_NFI[[#This Row],[Tent]],Table_NFI[Tent])</f>
        <v>0</v>
      </c>
      <c r="AQ14" s="473" t="str">
        <f>IFERROR(VLOOKUP(Table_NFI[[#This Row],[Camp Name]],CL,2,0),"")</f>
        <v>MMR001CMP047</v>
      </c>
      <c r="AR14" s="468">
        <f ca="1">IF(Table_NFI[[#This Row],[Pcode]]="","",IF(OFFSET(CampList[Opening Date],MATCH(Table_NFI[[#This Row],[Pcode]],CampList[CP_Pcode],0)-1,0,1,1)&gt;=NFI_Monitor_Date,1,0))</f>
        <v>0</v>
      </c>
      <c r="AS14" s="473" t="str">
        <f>IFERROR(VLOOKUP(Table_NFI[[#This Row],[Camp Name]],CL,3,0),"")</f>
        <v>Open</v>
      </c>
      <c r="AT14" s="294" t="str">
        <f ca="1">IF(Table_NFI[[#This Row],[Pcode]]="","",OFFSET(CampList[Priority],MATCH(Table_NFI[[#This Row],[Pcode]],CampList[CP_Pcode],0)-1,0,1,1))</f>
        <v>P4</v>
      </c>
      <c r="AU14" s="293">
        <f>IFERROR(Table_NFI[[#This Row],[Kitchen Set]]/VLOOKUP(Table_NFI[[#This Row],[Camp Name]],CL,4,0),"")</f>
        <v>0</v>
      </c>
      <c r="AV14" s="466"/>
      <c r="AW14" s="474" t="s">
        <v>1587</v>
      </c>
    </row>
    <row r="15" spans="1:54" s="470" customFormat="1" ht="15" customHeight="1" x14ac:dyDescent="0.25">
      <c r="A15" s="297">
        <f t="shared" si="0"/>
        <v>2.0666666666666669</v>
      </c>
      <c r="B15" s="465">
        <v>42613</v>
      </c>
      <c r="C15" s="471" t="s">
        <v>905</v>
      </c>
      <c r="D15" s="471" t="s">
        <v>905</v>
      </c>
      <c r="E15" s="471" t="s">
        <v>380</v>
      </c>
      <c r="F15" s="471" t="s">
        <v>527</v>
      </c>
      <c r="G15" s="471" t="s">
        <v>1456</v>
      </c>
      <c r="H15" s="292">
        <v>165</v>
      </c>
      <c r="I15" s="292">
        <v>139</v>
      </c>
      <c r="J15" s="292"/>
      <c r="K15" s="292"/>
      <c r="L15" s="292"/>
      <c r="M15" s="292"/>
      <c r="N15" s="292"/>
      <c r="O15" s="292"/>
      <c r="P15" s="294"/>
      <c r="Q15" s="294"/>
      <c r="R15" s="294"/>
      <c r="S15" s="294"/>
      <c r="T15" s="294"/>
      <c r="U15" s="294"/>
      <c r="V15" s="331">
        <v>8</v>
      </c>
      <c r="W15" s="294"/>
      <c r="X15" s="294"/>
      <c r="Y15" s="294">
        <f>IF(NFI_Expiration=1,IF($A15&lt;VLOOKUP(H$5,NFI,5,0),1,0)*Table_NFI[[#This Row],[Hygiene Kit]],Table_NFI[Hygiene Kit])</f>
        <v>165</v>
      </c>
      <c r="Z15" s="294">
        <f>IF(NFI_Expiration=1,IF($A15&lt;VLOOKUP(I$5,NFI,5,0),1,0)*Table_NFI[[#This Row],[NFI Core Kit]],Table_NFI[NFI Core Kit])</f>
        <v>139</v>
      </c>
      <c r="AA15" s="294">
        <f>IF(NFI_Expiration=1,IF($A15&lt;VLOOKUP(J$5,NFI,5,0),1,0)*Table_NFI[[#This Row],[Sanitary Kit]],Table_NFI[Sanitary Kit])</f>
        <v>0</v>
      </c>
      <c r="AB15" s="294">
        <f>IF(NFI_Expiration=1,IF($A15&lt;VLOOKUP(K$5,NFI,5,0),1,0)*Table_NFI[[#This Row],[Mosquito net]],Table_NFI[Mosquito net])</f>
        <v>0</v>
      </c>
      <c r="AC15" s="294">
        <f>IF(NFI_Expiration=1,IF($A15&lt;VLOOKUP(L$5,NFI,5,0),1,0)*Table_NFI[[#This Row],[Tarpaulin]],Table_NFI[[#This Row],[Tarpaulin]])</f>
        <v>0</v>
      </c>
      <c r="AD15" s="294">
        <f>IF(NFI_Expiration=1,IF($A15&lt;VLOOKUP(M$5,NFI,5,0),1,0)*Table_NFI[[#This Row],[Blanket]],Table_NFI[[#This Row],[Blanket]])</f>
        <v>0</v>
      </c>
      <c r="AE15" s="294">
        <f>IF(NFI_Expiration=1,IF($A15&lt;VLOOKUP(N$5,NFI,5,0),1,0)*Table_NFI[[#This Row],[Kitchen Set]],Table_NFI[Kitchen Set])</f>
        <v>0</v>
      </c>
      <c r="AF15" s="294">
        <f>IF(NFI_Expiration=1,IF($A15&lt;VLOOKUP(O$5,NFI,5,0),1,0)*Table_NFI[[#This Row],[Clothes Kit]],Table_NFI[Clothes Kit])</f>
        <v>0</v>
      </c>
      <c r="AG15" s="294">
        <f>IF(NFI_Expiration=1,IF($A15&lt;VLOOKUP(P$5,NFI,5,0),1,0)*Table_NFI[[#This Row],[Plastic Bucket]],Table_NFI[Plastic Bucket])</f>
        <v>0</v>
      </c>
      <c r="AH15" s="294">
        <f>IF(NFI_Expiration=1,IF($A15&lt;VLOOKUP(Q$5,NFI,5,0),1,0)*Table_NFI[[#This Row],[Plastic Mat]],Table_NFI[Plastic Mat])*IF(Table_NFI[[#This Row],[Distribution Date]]&gt;"2014-04-01",1,2.5)</f>
        <v>0</v>
      </c>
      <c r="AI15" s="294">
        <f>IF(NFI_Expiration=1,IF($A15&lt;VLOOKUP(R$5,NFI,5,0),1,0)*Table_NFI[[#This Row],[Winter Clothes Adult]],Table_NFI[Winter Clothes Adult])</f>
        <v>0</v>
      </c>
      <c r="AJ15" s="294">
        <f>IF(NFI_Expiration=1,IF($A15&lt;VLOOKUP(S$5,NFI,5,0),1,0)*Table_NFI[[#This Row],[Winter Clothes Children]],Table_NFI[Winter Clothes Children])</f>
        <v>0</v>
      </c>
      <c r="AK15" s="294">
        <f>IF(NFI_Expiration=1,IF($A15&lt;VLOOKUP(T$5,NFI,5,0),1,0)*Table_NFI[[#This Row],[Winter Items Other]],Table_NFI[Winter Items Other])</f>
        <v>0</v>
      </c>
      <c r="AL15" s="294">
        <f>IF(NFI_Expiration=1,IF($A15&lt;VLOOKUP(M$5,NFI,5,0),1,0)*Table_NFI[[#This Row],[Winter Blanket]],Table_NFI[[#This Row],[Winter Blanket]])</f>
        <v>0</v>
      </c>
      <c r="AM15" s="294">
        <f>IF(Table_NFI[[#This Row],[Winter Clothes Adult]]+Table_NFI[[#This Row],[Winter Clothes Children]]+Table_NFI[[#This Row],[Winter Items Other]]+Table_NFI[[#This Row],[Winter Blanket]]&gt;0,1,0)</f>
        <v>0</v>
      </c>
      <c r="AN15" s="331">
        <f>IF(NFI_Expiration=1,IF($A15&lt;VLOOKUP(V$5,NFI,5,0),1,0)*Table_NFI[[#This Row],[Jerry Can]],Table_NFI[Jerry Can])</f>
        <v>8</v>
      </c>
      <c r="AO15" s="331">
        <f>IF(NFI_Expiration=1,IF($A15&lt;VLOOKUP(V$5,NFI,5,0),1,0)*Table_NFI[[#This Row],[Shelter Tool kit]],Table_NFI[Shelter Tool kit])</f>
        <v>0</v>
      </c>
      <c r="AP15" s="331">
        <f>IF(NFI_Expiration=1,IF($A15&lt;VLOOKUP(V$5,NFI,5,0),1,0)*Table_NFI[[#This Row],[Tent]],Table_NFI[Tent])</f>
        <v>0</v>
      </c>
      <c r="AQ15" s="473" t="str">
        <f>IFERROR(VLOOKUP(Table_NFI[[#This Row],[Camp Name]],CL,2,0),"")</f>
        <v>MMR001CMP244</v>
      </c>
      <c r="AR15" s="468">
        <f ca="1">IF(Table_NFI[[#This Row],[Pcode]]="","",IF(OFFSET(CampList[Opening Date],MATCH(Table_NFI[[#This Row],[Pcode]],CampList[CP_Pcode],0)-1,0,1,1)&gt;=NFI_Monitor_Date,1,0))</f>
        <v>1</v>
      </c>
      <c r="AS15" s="473" t="str">
        <f>IFERROR(VLOOKUP(Table_NFI[[#This Row],[Camp Name]],CL,3,0),"")</f>
        <v>Open</v>
      </c>
      <c r="AT15" s="294">
        <f ca="1">IF(Table_NFI[[#This Row],[Pcode]]="","",OFFSET(CampList[Priority],MATCH(Table_NFI[[#This Row],[Pcode]],CampList[CP_Pcode],0)-1,0,1,1))</f>
        <v>0</v>
      </c>
      <c r="AU15" s="293">
        <f>IFERROR(Table_NFI[[#This Row],[Kitchen Set]]/VLOOKUP(Table_NFI[[#This Row],[Camp Name]],CL,4,0),"")</f>
        <v>0</v>
      </c>
      <c r="AV15" s="466"/>
      <c r="AW15" s="474" t="s">
        <v>1588</v>
      </c>
    </row>
    <row r="16" spans="1:54" s="470" customFormat="1" ht="15" customHeight="1" x14ac:dyDescent="0.25">
      <c r="A16" s="297">
        <f t="shared" si="0"/>
        <v>2.5</v>
      </c>
      <c r="B16" s="465">
        <v>42600</v>
      </c>
      <c r="C16" s="471" t="s">
        <v>573</v>
      </c>
      <c r="D16" s="471" t="s">
        <v>460</v>
      </c>
      <c r="E16" s="471" t="s">
        <v>380</v>
      </c>
      <c r="F16" s="471" t="s">
        <v>237</v>
      </c>
      <c r="G16" s="471" t="s">
        <v>261</v>
      </c>
      <c r="H16" s="292"/>
      <c r="I16" s="292"/>
      <c r="J16" s="292"/>
      <c r="K16" s="292"/>
      <c r="L16" s="292">
        <v>29</v>
      </c>
      <c r="M16" s="292"/>
      <c r="N16" s="292"/>
      <c r="O16" s="292"/>
      <c r="P16" s="294"/>
      <c r="Q16" s="294"/>
      <c r="R16" s="294"/>
      <c r="S16" s="294"/>
      <c r="T16" s="294"/>
      <c r="U16" s="294"/>
      <c r="V16" s="431"/>
      <c r="W16" s="294"/>
      <c r="X16" s="294"/>
      <c r="Y16" s="294">
        <f>IF(NFI_Expiration=1,IF($A16&lt;VLOOKUP(H$5,NFI,5,0),1,0)*Table_NFI[[#This Row],[Hygiene Kit]],Table_NFI[Hygiene Kit])</f>
        <v>0</v>
      </c>
      <c r="Z16" s="294">
        <f>IF(NFI_Expiration=1,IF($A16&lt;VLOOKUP(I$5,NFI,5,0),1,0)*Table_NFI[[#This Row],[NFI Core Kit]],Table_NFI[NFI Core Kit])</f>
        <v>0</v>
      </c>
      <c r="AA16" s="294">
        <f>IF(NFI_Expiration=1,IF($A16&lt;VLOOKUP(J$5,NFI,5,0),1,0)*Table_NFI[[#This Row],[Sanitary Kit]],Table_NFI[Sanitary Kit])</f>
        <v>0</v>
      </c>
      <c r="AB16" s="294">
        <f>IF(NFI_Expiration=1,IF($A16&lt;VLOOKUP(K$5,NFI,5,0),1,0)*Table_NFI[[#This Row],[Mosquito net]],Table_NFI[Mosquito net])</f>
        <v>0</v>
      </c>
      <c r="AC16" s="294">
        <f>IF(NFI_Expiration=1,IF($A16&lt;VLOOKUP(L$5,NFI,5,0),1,0)*Table_NFI[[#This Row],[Tarpaulin]],Table_NFI[[#This Row],[Tarpaulin]])</f>
        <v>29</v>
      </c>
      <c r="AD16" s="294">
        <f>IF(NFI_Expiration=1,IF($A16&lt;VLOOKUP(M$5,NFI,5,0),1,0)*Table_NFI[[#This Row],[Blanket]],Table_NFI[[#This Row],[Blanket]])</f>
        <v>0</v>
      </c>
      <c r="AE16" s="294">
        <f>IF(NFI_Expiration=1,IF($A16&lt;VLOOKUP(N$5,NFI,5,0),1,0)*Table_NFI[[#This Row],[Kitchen Set]],Table_NFI[Kitchen Set])</f>
        <v>0</v>
      </c>
      <c r="AF16" s="294">
        <f>IF(NFI_Expiration=1,IF($A16&lt;VLOOKUP(O$5,NFI,5,0),1,0)*Table_NFI[[#This Row],[Clothes Kit]],Table_NFI[Clothes Kit])</f>
        <v>0</v>
      </c>
      <c r="AG16" s="294">
        <f>IF(NFI_Expiration=1,IF($A16&lt;VLOOKUP(P$5,NFI,5,0),1,0)*Table_NFI[[#This Row],[Plastic Bucket]],Table_NFI[Plastic Bucket])</f>
        <v>0</v>
      </c>
      <c r="AH16" s="294">
        <f>IF(NFI_Expiration=1,IF($A16&lt;VLOOKUP(Q$5,NFI,5,0),1,0)*Table_NFI[[#This Row],[Plastic Mat]],Table_NFI[Plastic Mat])*IF(Table_NFI[[#This Row],[Distribution Date]]&gt;"2014-04-01",1,2.5)</f>
        <v>0</v>
      </c>
      <c r="AI16" s="294">
        <f>IF(NFI_Expiration=1,IF($A16&lt;VLOOKUP(R$5,NFI,5,0),1,0)*Table_NFI[[#This Row],[Winter Clothes Adult]],Table_NFI[Winter Clothes Adult])</f>
        <v>0</v>
      </c>
      <c r="AJ16" s="294">
        <f>IF(NFI_Expiration=1,IF($A16&lt;VLOOKUP(S$5,NFI,5,0),1,0)*Table_NFI[[#This Row],[Winter Clothes Children]],Table_NFI[Winter Clothes Children])</f>
        <v>0</v>
      </c>
      <c r="AK16" s="294">
        <f>IF(NFI_Expiration=1,IF($A16&lt;VLOOKUP(T$5,NFI,5,0),1,0)*Table_NFI[[#This Row],[Winter Items Other]],Table_NFI[Winter Items Other])</f>
        <v>0</v>
      </c>
      <c r="AL16" s="294">
        <f>IF(NFI_Expiration=1,IF($A16&lt;VLOOKUP(M$5,NFI,5,0),1,0)*Table_NFI[[#This Row],[Winter Blanket]],Table_NFI[[#This Row],[Winter Blanket]])</f>
        <v>0</v>
      </c>
      <c r="AM16" s="294">
        <f>IF(Table_NFI[[#This Row],[Winter Clothes Adult]]+Table_NFI[[#This Row],[Winter Clothes Children]]+Table_NFI[[#This Row],[Winter Items Other]]+Table_NFI[[#This Row],[Winter Blanket]]&gt;0,1,0)</f>
        <v>0</v>
      </c>
      <c r="AN16" s="331">
        <f>IF(NFI_Expiration=1,IF($A16&lt;VLOOKUP(V$5,NFI,5,0),1,0)*Table_NFI[[#This Row],[Jerry Can]],Table_NFI[Jerry Can])</f>
        <v>0</v>
      </c>
      <c r="AO16" s="331">
        <f>IF(NFI_Expiration=1,IF($A16&lt;VLOOKUP(V$5,NFI,5,0),1,0)*Table_NFI[[#This Row],[Shelter Tool kit]],Table_NFI[Shelter Tool kit])</f>
        <v>0</v>
      </c>
      <c r="AP16" s="331">
        <f>IF(NFI_Expiration=1,IF($A16&lt;VLOOKUP(V$5,NFI,5,0),1,0)*Table_NFI[[#This Row],[Tent]],Table_NFI[Tent])</f>
        <v>0</v>
      </c>
      <c r="AQ16" s="473" t="str">
        <f>IFERROR(VLOOKUP(Table_NFI[[#This Row],[Camp Name]],CL,2,0),"")</f>
        <v>MMR001CMP008</v>
      </c>
      <c r="AR16" s="468">
        <f ca="1">IF(Table_NFI[[#This Row],[Pcode]]="","",IF(OFFSET(CampList[Opening Date],MATCH(Table_NFI[[#This Row],[Pcode]],CampList[CP_Pcode],0)-1,0,1,1)&gt;=NFI_Monitor_Date,1,0))</f>
        <v>0</v>
      </c>
      <c r="AS16" s="473" t="str">
        <f>IFERROR(VLOOKUP(Table_NFI[[#This Row],[Camp Name]],CL,3,0),"")</f>
        <v>Open</v>
      </c>
      <c r="AT16" s="294" t="str">
        <f ca="1">IF(Table_NFI[[#This Row],[Pcode]]="","",OFFSET(CampList[Priority],MATCH(Table_NFI[[#This Row],[Pcode]],CampList[CP_Pcode],0)-1,0,1,1))</f>
        <v>P4</v>
      </c>
      <c r="AU16" s="293">
        <f>IFERROR(Table_NFI[[#This Row],[Kitchen Set]]/VLOOKUP(Table_NFI[[#This Row],[Camp Name]],CL,4,0),"")</f>
        <v>0</v>
      </c>
      <c r="AV16" s="471"/>
      <c r="AW16" s="474"/>
    </row>
    <row r="17" spans="1:49" s="470" customFormat="1" ht="15" customHeight="1" x14ac:dyDescent="0.25">
      <c r="A17" s="297">
        <f t="shared" si="0"/>
        <v>2.7666666666666666</v>
      </c>
      <c r="B17" s="465">
        <v>42592</v>
      </c>
      <c r="C17" s="471" t="s">
        <v>452</v>
      </c>
      <c r="D17" s="471" t="s">
        <v>460</v>
      </c>
      <c r="E17" s="471" t="s">
        <v>380</v>
      </c>
      <c r="F17" s="471" t="s">
        <v>527</v>
      </c>
      <c r="G17" s="471" t="s">
        <v>269</v>
      </c>
      <c r="H17" s="292"/>
      <c r="I17" s="292">
        <v>4</v>
      </c>
      <c r="J17" s="292">
        <v>4</v>
      </c>
      <c r="K17" s="292">
        <v>10</v>
      </c>
      <c r="L17" s="292">
        <v>117</v>
      </c>
      <c r="M17" s="292">
        <v>10</v>
      </c>
      <c r="N17" s="292">
        <v>4</v>
      </c>
      <c r="O17" s="292"/>
      <c r="P17" s="294">
        <v>8</v>
      </c>
      <c r="Q17" s="294">
        <v>16</v>
      </c>
      <c r="R17" s="294"/>
      <c r="S17" s="294"/>
      <c r="T17" s="294"/>
      <c r="U17" s="294"/>
      <c r="V17" s="331">
        <v>4</v>
      </c>
      <c r="W17" s="294"/>
      <c r="X17" s="294"/>
      <c r="Y17" s="294"/>
      <c r="Z17" s="294"/>
      <c r="AA17" s="294"/>
      <c r="AB17" s="294"/>
      <c r="AC17" s="294"/>
      <c r="AD17" s="294"/>
      <c r="AE17" s="294"/>
      <c r="AF17" s="294"/>
      <c r="AG17" s="294"/>
      <c r="AH17" s="294"/>
      <c r="AI17" s="294"/>
      <c r="AJ17" s="294"/>
      <c r="AK17" s="294"/>
      <c r="AL17" s="294"/>
      <c r="AM17" s="294"/>
      <c r="AN17" s="331"/>
      <c r="AO17" s="331">
        <f>IF(NFI_Expiration=1,IF($A17&lt;VLOOKUP(V$5,NFI,5,0),1,0)*Table_NFI[[#This Row],[Shelter Tool kit]],Table_NFI[Shelter Tool kit])</f>
        <v>0</v>
      </c>
      <c r="AP17" s="331">
        <f>IF(NFI_Expiration=1,IF($A17&lt;VLOOKUP(V$5,NFI,5,0),1,0)*Table_NFI[[#This Row],[Tent]],Table_NFI[Tent])</f>
        <v>0</v>
      </c>
      <c r="AQ17" s="473" t="str">
        <f>IFERROR(VLOOKUP(Table_NFI[[#This Row],[Camp Name]],CL,2,0),"")</f>
        <v>MMR001CMP002</v>
      </c>
      <c r="AR17" s="468">
        <f ca="1">IF(Table_NFI[[#This Row],[Pcode]]="","",IF(OFFSET(CampList[Opening Date],MATCH(Table_NFI[[#This Row],[Pcode]],CampList[CP_Pcode],0)-1,0,1,1)&gt;=NFI_Monitor_Date,1,0))</f>
        <v>0</v>
      </c>
      <c r="AS17" s="473" t="str">
        <f>IFERROR(VLOOKUP(Table_NFI[[#This Row],[Camp Name]],CL,3,0),"")</f>
        <v>Open</v>
      </c>
      <c r="AT17" s="294"/>
      <c r="AU17" s="293"/>
      <c r="AV17" s="466"/>
      <c r="AW17" s="474" t="s">
        <v>1469</v>
      </c>
    </row>
    <row r="18" spans="1:49" s="470" customFormat="1" ht="15" customHeight="1" x14ac:dyDescent="0.25">
      <c r="A18" s="297">
        <f t="shared" si="0"/>
        <v>2.9</v>
      </c>
      <c r="B18" s="465">
        <v>42588</v>
      </c>
      <c r="C18" s="466" t="s">
        <v>452</v>
      </c>
      <c r="D18" s="471" t="s">
        <v>506</v>
      </c>
      <c r="E18" s="471" t="s">
        <v>380</v>
      </c>
      <c r="F18" s="471" t="s">
        <v>527</v>
      </c>
      <c r="G18" s="471" t="s">
        <v>1454</v>
      </c>
      <c r="H18" s="292"/>
      <c r="I18" s="292">
        <v>25</v>
      </c>
      <c r="J18" s="292">
        <v>25</v>
      </c>
      <c r="K18" s="292">
        <v>38</v>
      </c>
      <c r="L18" s="292">
        <v>25</v>
      </c>
      <c r="M18" s="292">
        <v>49</v>
      </c>
      <c r="N18" s="292">
        <v>25</v>
      </c>
      <c r="O18" s="292"/>
      <c r="P18" s="294">
        <v>25</v>
      </c>
      <c r="Q18" s="294">
        <v>47</v>
      </c>
      <c r="R18" s="294"/>
      <c r="S18" s="294"/>
      <c r="T18" s="294"/>
      <c r="U18" s="294"/>
      <c r="V18" s="331">
        <v>25</v>
      </c>
      <c r="W18" s="294"/>
      <c r="X18" s="294"/>
      <c r="Y18" s="294"/>
      <c r="Z18" s="294"/>
      <c r="AA18" s="294"/>
      <c r="AB18" s="294"/>
      <c r="AC18" s="294"/>
      <c r="AD18" s="294"/>
      <c r="AE18" s="294"/>
      <c r="AF18" s="294"/>
      <c r="AG18" s="294"/>
      <c r="AH18" s="294"/>
      <c r="AI18" s="294"/>
      <c r="AJ18" s="294"/>
      <c r="AK18" s="294"/>
      <c r="AL18" s="294"/>
      <c r="AM18" s="294"/>
      <c r="AN18" s="331"/>
      <c r="AO18" s="331">
        <f>IF(NFI_Expiration=1,IF($A18&lt;VLOOKUP(V$5,NFI,5,0),1,0)*Table_NFI[[#This Row],[Shelter Tool kit]],Table_NFI[Shelter Tool kit])</f>
        <v>0</v>
      </c>
      <c r="AP18" s="331">
        <f>IF(NFI_Expiration=1,IF($A18&lt;VLOOKUP(V$5,NFI,5,0),1,0)*Table_NFI[[#This Row],[Tent]],Table_NFI[Tent])</f>
        <v>0</v>
      </c>
      <c r="AQ18" s="473" t="str">
        <f>IFERROR(VLOOKUP(Table_NFI[[#This Row],[Camp Name]],CL,2,0),"")</f>
        <v>MMR001CMP247</v>
      </c>
      <c r="AR18" s="468"/>
      <c r="AS18" s="473" t="str">
        <f>IFERROR(VLOOKUP(Table_NFI[[#This Row],[Camp Name]],CL,3,0),"")</f>
        <v>Open</v>
      </c>
      <c r="AT18" s="294">
        <f ca="1">IF(Table_NFI[[#This Row],[Pcode]]="","",OFFSET(CampList[Priority],MATCH(Table_NFI[[#This Row],[Pcode]],CampList[CP_Pcode],0)-1,0,1,1))</f>
        <v>0</v>
      </c>
      <c r="AU18" s="293">
        <f>IFERROR(Table_NFI[[#This Row],[Kitchen Set]]/VLOOKUP(Table_NFI[[#This Row],[Camp Name]],CL,4,0),"")</f>
        <v>1.1363636363636365</v>
      </c>
      <c r="AV18" s="466" t="s">
        <v>1092</v>
      </c>
      <c r="AW18" s="474" t="s">
        <v>1340</v>
      </c>
    </row>
    <row r="19" spans="1:49" s="470" customFormat="1" ht="15" customHeight="1" x14ac:dyDescent="0.25">
      <c r="A19" s="297">
        <f t="shared" si="0"/>
        <v>2.9</v>
      </c>
      <c r="B19" s="465">
        <v>42588</v>
      </c>
      <c r="C19" s="466" t="s">
        <v>452</v>
      </c>
      <c r="D19" s="471" t="s">
        <v>506</v>
      </c>
      <c r="E19" s="471" t="s">
        <v>380</v>
      </c>
      <c r="F19" s="471" t="s">
        <v>527</v>
      </c>
      <c r="G19" s="471" t="s">
        <v>1455</v>
      </c>
      <c r="H19" s="292"/>
      <c r="I19" s="292">
        <v>7</v>
      </c>
      <c r="J19" s="292">
        <v>7</v>
      </c>
      <c r="K19" s="292">
        <v>7</v>
      </c>
      <c r="L19" s="292">
        <v>7</v>
      </c>
      <c r="M19" s="292">
        <v>9</v>
      </c>
      <c r="N19" s="292">
        <v>7</v>
      </c>
      <c r="O19" s="292"/>
      <c r="P19" s="294">
        <v>7</v>
      </c>
      <c r="Q19" s="294">
        <v>11</v>
      </c>
      <c r="R19" s="294"/>
      <c r="S19" s="294"/>
      <c r="T19" s="294"/>
      <c r="U19" s="294"/>
      <c r="V19" s="331">
        <v>7</v>
      </c>
      <c r="W19" s="294"/>
      <c r="X19" s="294"/>
      <c r="Y19" s="294">
        <f>IF(NFI_Expiration=1,IF($A19&lt;VLOOKUP(H$5,NFI,5,0),1,0)*Table_NFI[[#This Row],[Hygiene Kit]],Table_NFI[Hygiene Kit])</f>
        <v>0</v>
      </c>
      <c r="Z19" s="294">
        <f>IF(NFI_Expiration=1,IF($A19&lt;VLOOKUP(I$5,NFI,5,0),1,0)*Table_NFI[[#This Row],[NFI Core Kit]],Table_NFI[NFI Core Kit])</f>
        <v>7</v>
      </c>
      <c r="AA19" s="294">
        <f>IF(NFI_Expiration=1,IF($A19&lt;VLOOKUP(J$5,NFI,5,0),1,0)*Table_NFI[[#This Row],[Sanitary Kit]],Table_NFI[Sanitary Kit])</f>
        <v>7</v>
      </c>
      <c r="AB19" s="294">
        <f>IF(NFI_Expiration=1,IF($A19&lt;VLOOKUP(K$5,NFI,5,0),1,0)*Table_NFI[[#This Row],[Mosquito net]],Table_NFI[Mosquito net])</f>
        <v>7</v>
      </c>
      <c r="AC19" s="294">
        <f>IF(NFI_Expiration=1,IF($A19&lt;VLOOKUP(L$5,NFI,5,0),1,0)*Table_NFI[[#This Row],[Tarpaulin]],Table_NFI[[#This Row],[Tarpaulin]])</f>
        <v>7</v>
      </c>
      <c r="AD19" s="294">
        <f>IF(NFI_Expiration=1,IF($A19&lt;VLOOKUP(M$5,NFI,5,0),1,0)*Table_NFI[[#This Row],[Blanket]],Table_NFI[[#This Row],[Blanket]])</f>
        <v>9</v>
      </c>
      <c r="AE19" s="294">
        <f>IF(NFI_Expiration=1,IF($A19&lt;VLOOKUP(N$5,NFI,5,0),1,0)*Table_NFI[[#This Row],[Kitchen Set]],Table_NFI[Kitchen Set])</f>
        <v>7</v>
      </c>
      <c r="AF19" s="294">
        <f>IF(NFI_Expiration=1,IF($A19&lt;VLOOKUP(O$5,NFI,5,0),1,0)*Table_NFI[[#This Row],[Clothes Kit]],Table_NFI[Clothes Kit])</f>
        <v>0</v>
      </c>
      <c r="AG19" s="294">
        <f>IF(NFI_Expiration=1,IF($A19&lt;VLOOKUP(P$5,NFI,5,0),1,0)*Table_NFI[[#This Row],[Plastic Bucket]],Table_NFI[Plastic Bucket])</f>
        <v>7</v>
      </c>
      <c r="AH19" s="294">
        <f>IF(NFI_Expiration=1,IF($A19&lt;VLOOKUP(Q$5,NFI,5,0),1,0)*Table_NFI[[#This Row],[Plastic Mat]],Table_NFI[Plastic Mat])*IF(Table_NFI[[#This Row],[Distribution Date]]&gt;"2014-04-01",1,2.5)</f>
        <v>27.5</v>
      </c>
      <c r="AI19" s="294">
        <f>IF(NFI_Expiration=1,IF($A19&lt;VLOOKUP(R$5,NFI,5,0),1,0)*Table_NFI[[#This Row],[Winter Clothes Adult]],Table_NFI[Winter Clothes Adult])</f>
        <v>0</v>
      </c>
      <c r="AJ19" s="294">
        <f>IF(NFI_Expiration=1,IF($A19&lt;VLOOKUP(S$5,NFI,5,0),1,0)*Table_NFI[[#This Row],[Winter Clothes Children]],Table_NFI[Winter Clothes Children])</f>
        <v>0</v>
      </c>
      <c r="AK19" s="294">
        <f>IF(NFI_Expiration=1,IF($A19&lt;VLOOKUP(T$5,NFI,5,0),1,0)*Table_NFI[[#This Row],[Winter Items Other]],Table_NFI[Winter Items Other])</f>
        <v>0</v>
      </c>
      <c r="AL19" s="294">
        <f>IF(NFI_Expiration=1,IF($A19&lt;VLOOKUP(M$5,NFI,5,0),1,0)*Table_NFI[[#This Row],[Winter Blanket]],Table_NFI[[#This Row],[Winter Blanket]])</f>
        <v>0</v>
      </c>
      <c r="AM19" s="294">
        <f>IF(Table_NFI[[#This Row],[Winter Clothes Adult]]+Table_NFI[[#This Row],[Winter Clothes Children]]+Table_NFI[[#This Row],[Winter Items Other]]+Table_NFI[[#This Row],[Winter Blanket]]&gt;0,1,0)</f>
        <v>0</v>
      </c>
      <c r="AN19" s="331">
        <f>IF(NFI_Expiration=1,IF($A19&lt;VLOOKUP(V$5,NFI,5,0),1,0)*Table_NFI[[#This Row],[Jerry Can]],Table_NFI[Jerry Can])</f>
        <v>7</v>
      </c>
      <c r="AO19" s="331">
        <f>IF(NFI_Expiration=1,IF($A19&lt;VLOOKUP(V$5,NFI,5,0),1,0)*Table_NFI[[#This Row],[Shelter Tool kit]],Table_NFI[Shelter Tool kit])</f>
        <v>0</v>
      </c>
      <c r="AP19" s="331">
        <f>IF(NFI_Expiration=1,IF($A19&lt;VLOOKUP(V$5,NFI,5,0),1,0)*Table_NFI[[#This Row],[Tent]],Table_NFI[Tent])</f>
        <v>0</v>
      </c>
      <c r="AQ19" s="473" t="str">
        <f>IFERROR(VLOOKUP(Table_NFI[[#This Row],[Camp Name]],CL,2,0),"")</f>
        <v>MMR001CMP246</v>
      </c>
      <c r="AR19" s="468"/>
      <c r="AS19" s="473" t="str">
        <f>IFERROR(VLOOKUP(Table_NFI[[#This Row],[Camp Name]],CL,3,0),"")</f>
        <v>Open</v>
      </c>
      <c r="AT19" s="294">
        <f ca="1">IF(Table_NFI[[#This Row],[Pcode]]="","",OFFSET(CampList[Priority],MATCH(Table_NFI[[#This Row],[Pcode]],CampList[CP_Pcode],0)-1,0,1,1))</f>
        <v>0</v>
      </c>
      <c r="AU19" s="293">
        <f>IFERROR(Table_NFI[[#This Row],[Kitchen Set]]/VLOOKUP(Table_NFI[[#This Row],[Camp Name]],CL,4,0),"")</f>
        <v>1</v>
      </c>
      <c r="AV19" s="466" t="s">
        <v>1092</v>
      </c>
      <c r="AW19" s="474" t="s">
        <v>1340</v>
      </c>
    </row>
    <row r="20" spans="1:49" s="470" customFormat="1" ht="15" customHeight="1" x14ac:dyDescent="0.25">
      <c r="A20" s="297">
        <f t="shared" si="0"/>
        <v>2.9</v>
      </c>
      <c r="B20" s="465">
        <v>42588</v>
      </c>
      <c r="C20" s="471" t="s">
        <v>452</v>
      </c>
      <c r="D20" s="471" t="s">
        <v>506</v>
      </c>
      <c r="E20" s="471" t="s">
        <v>380</v>
      </c>
      <c r="F20" s="471" t="s">
        <v>527</v>
      </c>
      <c r="G20" s="471" t="s">
        <v>1452</v>
      </c>
      <c r="H20" s="292"/>
      <c r="I20" s="292">
        <v>21</v>
      </c>
      <c r="J20" s="292">
        <v>21</v>
      </c>
      <c r="K20" s="292">
        <v>27</v>
      </c>
      <c r="L20" s="292">
        <v>21</v>
      </c>
      <c r="M20" s="292">
        <v>30</v>
      </c>
      <c r="N20" s="292">
        <v>21</v>
      </c>
      <c r="O20" s="292"/>
      <c r="P20" s="294">
        <v>21</v>
      </c>
      <c r="Q20" s="294">
        <v>33</v>
      </c>
      <c r="R20" s="294"/>
      <c r="S20" s="294"/>
      <c r="T20" s="294"/>
      <c r="U20" s="294"/>
      <c r="V20" s="331">
        <v>21</v>
      </c>
      <c r="W20" s="294"/>
      <c r="X20" s="294"/>
      <c r="Y20" s="294">
        <f>IF(NFI_Expiration=1,IF($A20&lt;VLOOKUP(H$5,NFI,5,0),1,0)*Table_NFI[[#This Row],[Hygiene Kit]],Table_NFI[Hygiene Kit])</f>
        <v>0</v>
      </c>
      <c r="Z20" s="294">
        <f>IF(NFI_Expiration=1,IF($A20&lt;VLOOKUP(I$5,NFI,5,0),1,0)*Table_NFI[[#This Row],[NFI Core Kit]],Table_NFI[NFI Core Kit])</f>
        <v>21</v>
      </c>
      <c r="AA20" s="294">
        <f>IF(NFI_Expiration=1,IF($A20&lt;VLOOKUP(J$5,NFI,5,0),1,0)*Table_NFI[[#This Row],[Sanitary Kit]],Table_NFI[Sanitary Kit])</f>
        <v>21</v>
      </c>
      <c r="AB20" s="294">
        <f>IF(NFI_Expiration=1,IF($A20&lt;VLOOKUP(K$5,NFI,5,0),1,0)*Table_NFI[[#This Row],[Mosquito net]],Table_NFI[Mosquito net])</f>
        <v>27</v>
      </c>
      <c r="AC20" s="294">
        <f>IF(NFI_Expiration=1,IF($A20&lt;VLOOKUP(L$5,NFI,5,0),1,0)*Table_NFI[[#This Row],[Tarpaulin]],Table_NFI[[#This Row],[Tarpaulin]])</f>
        <v>21</v>
      </c>
      <c r="AD20" s="294">
        <f>IF(NFI_Expiration=1,IF($A20&lt;VLOOKUP(M$5,NFI,5,0),1,0)*Table_NFI[[#This Row],[Blanket]],Table_NFI[[#This Row],[Blanket]])</f>
        <v>30</v>
      </c>
      <c r="AE20" s="294">
        <f>IF(NFI_Expiration=1,IF($A20&lt;VLOOKUP(N$5,NFI,5,0),1,0)*Table_NFI[[#This Row],[Kitchen Set]],Table_NFI[Kitchen Set])</f>
        <v>21</v>
      </c>
      <c r="AF20" s="294">
        <f>IF(NFI_Expiration=1,IF($A20&lt;VLOOKUP(O$5,NFI,5,0),1,0)*Table_NFI[[#This Row],[Clothes Kit]],Table_NFI[Clothes Kit])</f>
        <v>0</v>
      </c>
      <c r="AG20" s="294">
        <f>IF(NFI_Expiration=1,IF($A20&lt;VLOOKUP(P$5,NFI,5,0),1,0)*Table_NFI[[#This Row],[Plastic Bucket]],Table_NFI[Plastic Bucket])</f>
        <v>21</v>
      </c>
      <c r="AH20" s="294">
        <f>IF(NFI_Expiration=1,IF($A20&lt;VLOOKUP(Q$5,NFI,5,0),1,0)*Table_NFI[[#This Row],[Plastic Mat]],Table_NFI[Plastic Mat])*IF(Table_NFI[[#This Row],[Distribution Date]]&gt;"2014-04-01",1,2.5)</f>
        <v>82.5</v>
      </c>
      <c r="AI20" s="294">
        <f>IF(NFI_Expiration=1,IF($A20&lt;VLOOKUP(R$5,NFI,5,0),1,0)*Table_NFI[[#This Row],[Winter Clothes Adult]],Table_NFI[Winter Clothes Adult])</f>
        <v>0</v>
      </c>
      <c r="AJ20" s="294">
        <f>IF(NFI_Expiration=1,IF($A20&lt;VLOOKUP(S$5,NFI,5,0),1,0)*Table_NFI[[#This Row],[Winter Clothes Children]],Table_NFI[Winter Clothes Children])</f>
        <v>0</v>
      </c>
      <c r="AK20" s="294">
        <f>IF(NFI_Expiration=1,IF($A20&lt;VLOOKUP(T$5,NFI,5,0),1,0)*Table_NFI[[#This Row],[Winter Items Other]],Table_NFI[Winter Items Other])</f>
        <v>0</v>
      </c>
      <c r="AL20" s="294">
        <f>IF(NFI_Expiration=1,IF($A20&lt;VLOOKUP(M$5,NFI,5,0),1,0)*Table_NFI[[#This Row],[Winter Blanket]],Table_NFI[[#This Row],[Winter Blanket]])</f>
        <v>0</v>
      </c>
      <c r="AM20" s="294">
        <f>IF(Table_NFI[[#This Row],[Winter Clothes Adult]]+Table_NFI[[#This Row],[Winter Clothes Children]]+Table_NFI[[#This Row],[Winter Items Other]]+Table_NFI[[#This Row],[Winter Blanket]]&gt;0,1,0)</f>
        <v>0</v>
      </c>
      <c r="AN20" s="331">
        <f>IF(NFI_Expiration=1,IF($A20&lt;VLOOKUP(V$5,NFI,5,0),1,0)*Table_NFI[[#This Row],[Jerry Can]],Table_NFI[Jerry Can])</f>
        <v>21</v>
      </c>
      <c r="AO20" s="331">
        <f>IF(NFI_Expiration=1,IF($A20&lt;VLOOKUP(V$5,NFI,5,0),1,0)*Table_NFI[[#This Row],[Shelter Tool kit]],Table_NFI[Shelter Tool kit])</f>
        <v>0</v>
      </c>
      <c r="AP20" s="331">
        <f>IF(NFI_Expiration=1,IF($A20&lt;VLOOKUP(V$5,NFI,5,0),1,0)*Table_NFI[[#This Row],[Tent]],Table_NFI[Tent])</f>
        <v>0</v>
      </c>
      <c r="AQ20" s="473" t="str">
        <f>IFERROR(VLOOKUP(Table_NFI[[#This Row],[Camp Name]],CL,2,0),"")</f>
        <v>MMR001CMP243</v>
      </c>
      <c r="AR20" s="468">
        <f ca="1">IF(Table_NFI[[#This Row],[Pcode]]="","",IF(OFFSET(CampList[Opening Date],MATCH(Table_NFI[[#This Row],[Pcode]],CampList[CP_Pcode],0)-1,0,1,1)&gt;=NFI_Monitor_Date,1,0))</f>
        <v>1</v>
      </c>
      <c r="AS20" s="473" t="str">
        <f>IFERROR(VLOOKUP(Table_NFI[[#This Row],[Camp Name]],CL,3,0),"")</f>
        <v>Open</v>
      </c>
      <c r="AT20" s="294">
        <f ca="1">IF(Table_NFI[[#This Row],[Pcode]]="","",OFFSET(CampList[Priority],MATCH(Table_NFI[[#This Row],[Pcode]],CampList[CP_Pcode],0)-1,0,1,1))</f>
        <v>0</v>
      </c>
      <c r="AU20" s="293">
        <f>IFERROR(Table_NFI[[#This Row],[Kitchen Set]]/VLOOKUP(Table_NFI[[#This Row],[Camp Name]],CL,4,0),"")</f>
        <v>0.65625</v>
      </c>
      <c r="AV20" s="466"/>
      <c r="AW20" s="474"/>
    </row>
    <row r="21" spans="1:49" s="470" customFormat="1" ht="15" customHeight="1" x14ac:dyDescent="0.25">
      <c r="A21" s="297">
        <f t="shared" si="0"/>
        <v>2.9333333333333331</v>
      </c>
      <c r="B21" s="465">
        <v>42587</v>
      </c>
      <c r="C21" s="471" t="s">
        <v>452</v>
      </c>
      <c r="D21" s="471" t="s">
        <v>460</v>
      </c>
      <c r="E21" s="471" t="s">
        <v>380</v>
      </c>
      <c r="F21" s="466" t="s">
        <v>527</v>
      </c>
      <c r="G21" s="471" t="s">
        <v>1415</v>
      </c>
      <c r="H21" s="292"/>
      <c r="I21" s="292">
        <v>23</v>
      </c>
      <c r="J21" s="292"/>
      <c r="K21" s="292">
        <v>38</v>
      </c>
      <c r="L21" s="292">
        <v>23</v>
      </c>
      <c r="M21" s="292">
        <v>38</v>
      </c>
      <c r="N21" s="292">
        <v>23</v>
      </c>
      <c r="O21" s="292"/>
      <c r="P21" s="294">
        <v>23</v>
      </c>
      <c r="Q21" s="294">
        <v>55</v>
      </c>
      <c r="R21" s="294"/>
      <c r="S21" s="294"/>
      <c r="T21" s="294"/>
      <c r="U21" s="294"/>
      <c r="V21" s="331">
        <v>23</v>
      </c>
      <c r="W21" s="294"/>
      <c r="X21" s="294">
        <v>9</v>
      </c>
      <c r="Y21" s="294">
        <f>IF(NFI_Expiration=1,IF($A21&lt;VLOOKUP(H$5,NFI,5,0),1,0)*Table_NFI[[#This Row],[Hygiene Kit]],Table_NFI[Hygiene Kit])</f>
        <v>0</v>
      </c>
      <c r="Z21" s="294">
        <f>IF(NFI_Expiration=1,IF($A21&lt;VLOOKUP(I$5,NFI,5,0),1,0)*Table_NFI[[#This Row],[NFI Core Kit]],Table_NFI[NFI Core Kit])</f>
        <v>23</v>
      </c>
      <c r="AA21" s="294">
        <f>IF(NFI_Expiration=1,IF($A21&lt;VLOOKUP(J$5,NFI,5,0),1,0)*Table_NFI[[#This Row],[Sanitary Kit]],Table_NFI[Sanitary Kit])</f>
        <v>0</v>
      </c>
      <c r="AB21" s="294">
        <f>IF(NFI_Expiration=1,IF($A21&lt;VLOOKUP(K$5,NFI,5,0),1,0)*Table_NFI[[#This Row],[Mosquito net]],Table_NFI[Mosquito net])</f>
        <v>38</v>
      </c>
      <c r="AC21" s="294">
        <f>IF(NFI_Expiration=1,IF($A21&lt;VLOOKUP(L$5,NFI,5,0),1,0)*Table_NFI[[#This Row],[Tarpaulin]],Table_NFI[[#This Row],[Tarpaulin]])</f>
        <v>23</v>
      </c>
      <c r="AD21" s="294">
        <f>IF(NFI_Expiration=1,IF($A21&lt;VLOOKUP(M$5,NFI,5,0),1,0)*Table_NFI[[#This Row],[Blanket]],Table_NFI[[#This Row],[Blanket]])</f>
        <v>38</v>
      </c>
      <c r="AE21" s="294">
        <f>IF(NFI_Expiration=1,IF($A21&lt;VLOOKUP(N$5,NFI,5,0),1,0)*Table_NFI[[#This Row],[Kitchen Set]],Table_NFI[Kitchen Set])</f>
        <v>23</v>
      </c>
      <c r="AF21" s="294">
        <f>IF(NFI_Expiration=1,IF($A21&lt;VLOOKUP(O$5,NFI,5,0),1,0)*Table_NFI[[#This Row],[Clothes Kit]],Table_NFI[Clothes Kit])</f>
        <v>0</v>
      </c>
      <c r="AG21" s="294">
        <f>IF(NFI_Expiration=1,IF($A21&lt;VLOOKUP(P$5,NFI,5,0),1,0)*Table_NFI[[#This Row],[Plastic Bucket]],Table_NFI[Plastic Bucket])</f>
        <v>23</v>
      </c>
      <c r="AH21" s="294">
        <f>IF(NFI_Expiration=1,IF($A21&lt;VLOOKUP(Q$5,NFI,5,0),1,0)*Table_NFI[[#This Row],[Plastic Mat]],Table_NFI[Plastic Mat])*IF(Table_NFI[[#This Row],[Distribution Date]]&gt;"2014-04-01",1,2.5)</f>
        <v>137.5</v>
      </c>
      <c r="AI21" s="294">
        <f>IF(NFI_Expiration=1,IF($A21&lt;VLOOKUP(R$5,NFI,5,0),1,0)*Table_NFI[[#This Row],[Winter Clothes Adult]],Table_NFI[Winter Clothes Adult])</f>
        <v>0</v>
      </c>
      <c r="AJ21" s="294">
        <f>IF(NFI_Expiration=1,IF($A21&lt;VLOOKUP(S$5,NFI,5,0),1,0)*Table_NFI[[#This Row],[Winter Clothes Children]],Table_NFI[Winter Clothes Children])</f>
        <v>0</v>
      </c>
      <c r="AK21" s="294">
        <f>IF(NFI_Expiration=1,IF($A21&lt;VLOOKUP(T$5,NFI,5,0),1,0)*Table_NFI[[#This Row],[Winter Items Other]],Table_NFI[Winter Items Other])</f>
        <v>0</v>
      </c>
      <c r="AL21" s="294">
        <f>IF(NFI_Expiration=1,IF($A21&lt;VLOOKUP(M$5,NFI,5,0),1,0)*Table_NFI[[#This Row],[Winter Blanket]],Table_NFI[[#This Row],[Winter Blanket]])</f>
        <v>0</v>
      </c>
      <c r="AM21" s="294">
        <f>IF(Table_NFI[[#This Row],[Winter Clothes Adult]]+Table_NFI[[#This Row],[Winter Clothes Children]]+Table_NFI[[#This Row],[Winter Items Other]]+Table_NFI[[#This Row],[Winter Blanket]]&gt;0,1,0)</f>
        <v>0</v>
      </c>
      <c r="AN21" s="331">
        <f>IF(NFI_Expiration=1,IF($A21&lt;VLOOKUP(V$5,NFI,5,0),1,0)*Table_NFI[[#This Row],[Jerry Can]],Table_NFI[Jerry Can])</f>
        <v>23</v>
      </c>
      <c r="AO21" s="331">
        <f>IF(NFI_Expiration=1,IF($A21&lt;VLOOKUP(V$5,NFI,5,0),1,0)*Table_NFI[[#This Row],[Shelter Tool kit]],Table_NFI[Shelter Tool kit])</f>
        <v>0</v>
      </c>
      <c r="AP21" s="331">
        <f>IF(NFI_Expiration=1,IF($A21&lt;VLOOKUP(V$5,NFI,5,0),1,0)*Table_NFI[[#This Row],[Tent]],Table_NFI[Tent])</f>
        <v>9</v>
      </c>
      <c r="AQ21" s="473" t="str">
        <f>IFERROR(VLOOKUP(Table_NFI[[#This Row],[Camp Name]],CL,2,0),"")</f>
        <v>MMR001CMP242</v>
      </c>
      <c r="AR21" s="468">
        <f ca="1">IF(Table_NFI[[#This Row],[Pcode]]="","",IF(OFFSET(CampList[Opening Date],MATCH(Table_NFI[[#This Row],[Pcode]],CampList[CP_Pcode],0)-1,0,1,1)&gt;=NFI_Monitor_Date,1,0))</f>
        <v>1</v>
      </c>
      <c r="AS21" s="473" t="str">
        <f>IFERROR(VLOOKUP(Table_NFI[[#This Row],[Camp Name]],CL,3,0),"")</f>
        <v>Open</v>
      </c>
      <c r="AT21" s="294">
        <f ca="1">IF(Table_NFI[[#This Row],[Pcode]]="","",OFFSET(CampList[Priority],MATCH(Table_NFI[[#This Row],[Pcode]],CampList[CP_Pcode],0)-1,0,1,1))</f>
        <v>0</v>
      </c>
      <c r="AU21" s="293">
        <f>IFERROR(Table_NFI[[#This Row],[Kitchen Set]]/VLOOKUP(Table_NFI[[#This Row],[Camp Name]],CL,4,0),"")</f>
        <v>3.8333333333333335</v>
      </c>
      <c r="AV21" s="466"/>
      <c r="AW21" s="474" t="s">
        <v>1440</v>
      </c>
    </row>
    <row r="22" spans="1:49" s="470" customFormat="1" ht="15" customHeight="1" x14ac:dyDescent="0.25">
      <c r="A22" s="297">
        <f t="shared" si="0"/>
        <v>2.9333333333333331</v>
      </c>
      <c r="B22" s="465">
        <v>42587</v>
      </c>
      <c r="C22" s="471" t="s">
        <v>452</v>
      </c>
      <c r="D22" s="471" t="s">
        <v>1359</v>
      </c>
      <c r="E22" s="471" t="s">
        <v>380</v>
      </c>
      <c r="F22" s="466" t="s">
        <v>527</v>
      </c>
      <c r="G22" s="471" t="s">
        <v>822</v>
      </c>
      <c r="H22" s="292"/>
      <c r="I22" s="292">
        <v>53</v>
      </c>
      <c r="J22" s="292">
        <v>53</v>
      </c>
      <c r="K22" s="292">
        <v>131</v>
      </c>
      <c r="L22" s="292">
        <v>53</v>
      </c>
      <c r="M22" s="292">
        <v>131</v>
      </c>
      <c r="N22" s="292">
        <v>53</v>
      </c>
      <c r="O22" s="292"/>
      <c r="P22" s="294">
        <v>53</v>
      </c>
      <c r="Q22" s="294">
        <v>131</v>
      </c>
      <c r="R22" s="294"/>
      <c r="S22" s="294"/>
      <c r="T22" s="294"/>
      <c r="U22" s="294"/>
      <c r="V22" s="331">
        <v>53</v>
      </c>
      <c r="W22" s="294"/>
      <c r="X22" s="294"/>
      <c r="Y22" s="294">
        <f>IF(NFI_Expiration=1,IF($A22&lt;VLOOKUP(H$5,NFI,5,0),1,0)*Table_NFI[[#This Row],[Hygiene Kit]],Table_NFI[Hygiene Kit])</f>
        <v>0</v>
      </c>
      <c r="Z22" s="294">
        <f>IF(NFI_Expiration=1,IF($A22&lt;VLOOKUP(I$5,NFI,5,0),1,0)*Table_NFI[[#This Row],[NFI Core Kit]],Table_NFI[NFI Core Kit])</f>
        <v>53</v>
      </c>
      <c r="AA22" s="294">
        <f>IF(NFI_Expiration=1,IF($A22&lt;VLOOKUP(J$5,NFI,5,0),1,0)*Table_NFI[[#This Row],[Sanitary Kit]],Table_NFI[Sanitary Kit])</f>
        <v>53</v>
      </c>
      <c r="AB22" s="294">
        <f>IF(NFI_Expiration=1,IF($A22&lt;VLOOKUP(K$5,NFI,5,0),1,0)*Table_NFI[[#This Row],[Mosquito net]],Table_NFI[Mosquito net])</f>
        <v>131</v>
      </c>
      <c r="AC22" s="294">
        <f>IF(NFI_Expiration=1,IF($A22&lt;VLOOKUP(L$5,NFI,5,0),1,0)*Table_NFI[[#This Row],[Tarpaulin]],Table_NFI[[#This Row],[Tarpaulin]])</f>
        <v>53</v>
      </c>
      <c r="AD22" s="294">
        <f>IF(NFI_Expiration=1,IF($A22&lt;VLOOKUP(M$5,NFI,5,0),1,0)*Table_NFI[[#This Row],[Blanket]],Table_NFI[[#This Row],[Blanket]])</f>
        <v>131</v>
      </c>
      <c r="AE22" s="294">
        <f>IF(NFI_Expiration=1,IF($A22&lt;VLOOKUP(N$5,NFI,5,0),1,0)*Table_NFI[[#This Row],[Kitchen Set]],Table_NFI[Kitchen Set])</f>
        <v>53</v>
      </c>
      <c r="AF22" s="294">
        <f>IF(NFI_Expiration=1,IF($A22&lt;VLOOKUP(O$5,NFI,5,0),1,0)*Table_NFI[[#This Row],[Clothes Kit]],Table_NFI[Clothes Kit])</f>
        <v>0</v>
      </c>
      <c r="AG22" s="294">
        <f>IF(NFI_Expiration=1,IF($A22&lt;VLOOKUP(P$5,NFI,5,0),1,0)*Table_NFI[[#This Row],[Plastic Bucket]],Table_NFI[Plastic Bucket])</f>
        <v>53</v>
      </c>
      <c r="AH22" s="294">
        <f>IF(NFI_Expiration=1,IF($A22&lt;VLOOKUP(Q$5,NFI,5,0),1,0)*Table_NFI[[#This Row],[Plastic Mat]],Table_NFI[Plastic Mat])*IF(Table_NFI[[#This Row],[Distribution Date]]&gt;"2014-04-01",1,2.5)</f>
        <v>327.5</v>
      </c>
      <c r="AI22" s="294">
        <f>IF(NFI_Expiration=1,IF($A22&lt;VLOOKUP(R$5,NFI,5,0),1,0)*Table_NFI[[#This Row],[Winter Clothes Adult]],Table_NFI[Winter Clothes Adult])</f>
        <v>0</v>
      </c>
      <c r="AJ22" s="294">
        <f>IF(NFI_Expiration=1,IF($A22&lt;VLOOKUP(S$5,NFI,5,0),1,0)*Table_NFI[[#This Row],[Winter Clothes Children]],Table_NFI[Winter Clothes Children])</f>
        <v>0</v>
      </c>
      <c r="AK22" s="294">
        <f>IF(NFI_Expiration=1,IF($A22&lt;VLOOKUP(T$5,NFI,5,0),1,0)*Table_NFI[[#This Row],[Winter Items Other]],Table_NFI[Winter Items Other])</f>
        <v>0</v>
      </c>
      <c r="AL22" s="294">
        <f>IF(NFI_Expiration=1,IF($A22&lt;VLOOKUP(M$5,NFI,5,0),1,0)*Table_NFI[[#This Row],[Winter Blanket]],Table_NFI[[#This Row],[Winter Blanket]])</f>
        <v>0</v>
      </c>
      <c r="AM22" s="294">
        <f>IF(Table_NFI[[#This Row],[Winter Clothes Adult]]+Table_NFI[[#This Row],[Winter Clothes Children]]+Table_NFI[[#This Row],[Winter Items Other]]+Table_NFI[[#This Row],[Winter Blanket]]&gt;0,1,0)</f>
        <v>0</v>
      </c>
      <c r="AN22" s="331">
        <f>IF(NFI_Expiration=1,IF($A22&lt;VLOOKUP(V$5,NFI,5,0),1,0)*Table_NFI[[#This Row],[Jerry Can]],Table_NFI[Jerry Can])</f>
        <v>53</v>
      </c>
      <c r="AO22" s="331">
        <f>IF(NFI_Expiration=1,IF($A22&lt;VLOOKUP(V$5,NFI,5,0),1,0)*Table_NFI[[#This Row],[Shelter Tool kit]],Table_NFI[Shelter Tool kit])</f>
        <v>0</v>
      </c>
      <c r="AP22" s="331">
        <f>IF(NFI_Expiration=1,IF($A22&lt;VLOOKUP(V$5,NFI,5,0),1,0)*Table_NFI[[#This Row],[Tent]],Table_NFI[Tent])</f>
        <v>0</v>
      </c>
      <c r="AQ22" s="473" t="str">
        <f>IFERROR(VLOOKUP(Table_NFI[[#This Row],[Camp Name]],CL,2,0),"")</f>
        <v>MMR015CMP209</v>
      </c>
      <c r="AR22" s="468">
        <f ca="1">IF(Table_NFI[[#This Row],[Pcode]]="","",IF(OFFSET(CampList[Opening Date],MATCH(Table_NFI[[#This Row],[Pcode]],CampList[CP_Pcode],0)-1,0,1,1)&gt;=NFI_Monitor_Date,1,0))</f>
        <v>0</v>
      </c>
      <c r="AS22" s="473" t="str">
        <f>IFERROR(VLOOKUP(Table_NFI[[#This Row],[Camp Name]],CL,3,0),"")</f>
        <v>Open</v>
      </c>
      <c r="AT22" s="294" t="str">
        <f ca="1">IF(Table_NFI[[#This Row],[Pcode]]="","",OFFSET(CampList[Priority],MATCH(Table_NFI[[#This Row],[Pcode]],CampList[CP_Pcode],0)-1,0,1,1))</f>
        <v>P3</v>
      </c>
      <c r="AU22" s="293">
        <f>IFERROR(Table_NFI[[#This Row],[Kitchen Set]]/VLOOKUP(Table_NFI[[#This Row],[Camp Name]],CL,4,0),"")</f>
        <v>1.8275862068965518</v>
      </c>
      <c r="AV22" s="466"/>
      <c r="AW22" s="474" t="s">
        <v>1470</v>
      </c>
    </row>
    <row r="23" spans="1:49" s="470" customFormat="1" ht="15" customHeight="1" x14ac:dyDescent="0.25">
      <c r="A23" s="297">
        <f t="shared" si="0"/>
        <v>4.1333333333333337</v>
      </c>
      <c r="B23" s="465">
        <v>42551</v>
      </c>
      <c r="C23" s="471" t="s">
        <v>905</v>
      </c>
      <c r="D23" s="471" t="s">
        <v>905</v>
      </c>
      <c r="E23" s="471" t="s">
        <v>380</v>
      </c>
      <c r="F23" s="471" t="s">
        <v>5</v>
      </c>
      <c r="G23" s="471" t="s">
        <v>24</v>
      </c>
      <c r="H23" s="292"/>
      <c r="I23" s="292"/>
      <c r="J23" s="292"/>
      <c r="K23" s="292"/>
      <c r="L23" s="292"/>
      <c r="M23" s="292"/>
      <c r="N23" s="292"/>
      <c r="O23" s="292"/>
      <c r="P23" s="294"/>
      <c r="Q23" s="294"/>
      <c r="R23" s="294"/>
      <c r="S23" s="294"/>
      <c r="T23" s="294"/>
      <c r="U23" s="294"/>
      <c r="V23" s="331">
        <v>2</v>
      </c>
      <c r="W23" s="294"/>
      <c r="X23" s="294"/>
      <c r="Y23" s="294">
        <f>IF(NFI_Expiration=1,IF($A23&lt;VLOOKUP(H$5,NFI,5,0),1,0)*Table_NFI[[#This Row],[Hygiene Kit]],Table_NFI[Hygiene Kit])</f>
        <v>0</v>
      </c>
      <c r="Z23" s="294">
        <f>IF(NFI_Expiration=1,IF($A23&lt;VLOOKUP(I$5,NFI,5,0),1,0)*Table_NFI[[#This Row],[NFI Core Kit]],Table_NFI[NFI Core Kit])</f>
        <v>0</v>
      </c>
      <c r="AA23" s="294">
        <f>IF(NFI_Expiration=1,IF($A23&lt;VLOOKUP(J$5,NFI,5,0),1,0)*Table_NFI[[#This Row],[Sanitary Kit]],Table_NFI[Sanitary Kit])</f>
        <v>0</v>
      </c>
      <c r="AB23" s="294">
        <f>IF(NFI_Expiration=1,IF($A23&lt;VLOOKUP(K$5,NFI,5,0),1,0)*Table_NFI[[#This Row],[Mosquito net]],Table_NFI[Mosquito net])</f>
        <v>0</v>
      </c>
      <c r="AC23" s="294">
        <f>IF(NFI_Expiration=1,IF($A23&lt;VLOOKUP(L$5,NFI,5,0),1,0)*Table_NFI[[#This Row],[Tarpaulin]],Table_NFI[[#This Row],[Tarpaulin]])</f>
        <v>0</v>
      </c>
      <c r="AD23" s="294">
        <f>IF(NFI_Expiration=1,IF($A23&lt;VLOOKUP(M$5,NFI,5,0),1,0)*Table_NFI[[#This Row],[Blanket]],Table_NFI[[#This Row],[Blanket]])</f>
        <v>0</v>
      </c>
      <c r="AE23" s="294">
        <f>IF(NFI_Expiration=1,IF($A23&lt;VLOOKUP(N$5,NFI,5,0),1,0)*Table_NFI[[#This Row],[Kitchen Set]],Table_NFI[Kitchen Set])</f>
        <v>0</v>
      </c>
      <c r="AF23" s="294">
        <f>IF(NFI_Expiration=1,IF($A23&lt;VLOOKUP(O$5,NFI,5,0),1,0)*Table_NFI[[#This Row],[Clothes Kit]],Table_NFI[Clothes Kit])</f>
        <v>0</v>
      </c>
      <c r="AG23" s="294">
        <f>IF(NFI_Expiration=1,IF($A23&lt;VLOOKUP(P$5,NFI,5,0),1,0)*Table_NFI[[#This Row],[Plastic Bucket]],Table_NFI[Plastic Bucket])</f>
        <v>0</v>
      </c>
      <c r="AH23" s="294">
        <f>IF(NFI_Expiration=1,IF($A23&lt;VLOOKUP(Q$5,NFI,5,0),1,0)*Table_NFI[[#This Row],[Plastic Mat]],Table_NFI[Plastic Mat])*IF(Table_NFI[[#This Row],[Distribution Date]]&gt;"2014-04-01",1,2.5)</f>
        <v>0</v>
      </c>
      <c r="AI23" s="294">
        <f>IF(NFI_Expiration=1,IF($A23&lt;VLOOKUP(R$5,NFI,5,0),1,0)*Table_NFI[[#This Row],[Winter Clothes Adult]],Table_NFI[Winter Clothes Adult])</f>
        <v>0</v>
      </c>
      <c r="AJ23" s="294">
        <f>IF(NFI_Expiration=1,IF($A23&lt;VLOOKUP(S$5,NFI,5,0),1,0)*Table_NFI[[#This Row],[Winter Clothes Children]],Table_NFI[Winter Clothes Children])</f>
        <v>0</v>
      </c>
      <c r="AK23" s="294">
        <f>IF(NFI_Expiration=1,IF($A23&lt;VLOOKUP(T$5,NFI,5,0),1,0)*Table_NFI[[#This Row],[Winter Items Other]],Table_NFI[Winter Items Other])</f>
        <v>0</v>
      </c>
      <c r="AL23" s="294">
        <f>IF(NFI_Expiration=1,IF($A23&lt;VLOOKUP(M$5,NFI,5,0),1,0)*Table_NFI[[#This Row],[Winter Blanket]],Table_NFI[[#This Row],[Winter Blanket]])</f>
        <v>0</v>
      </c>
      <c r="AM23" s="294">
        <f>IF(Table_NFI[[#This Row],[Winter Clothes Adult]]+Table_NFI[[#This Row],[Winter Clothes Children]]+Table_NFI[[#This Row],[Winter Items Other]]+Table_NFI[[#This Row],[Winter Blanket]]&gt;0,1,0)</f>
        <v>0</v>
      </c>
      <c r="AN23" s="331">
        <f>IF(NFI_Expiration=1,IF($A23&lt;VLOOKUP(V$5,NFI,5,0),1,0)*Table_NFI[[#This Row],[Jerry Can]],Table_NFI[Jerry Can])</f>
        <v>2</v>
      </c>
      <c r="AO23" s="331">
        <f>IF(NFI_Expiration=1,IF($A23&lt;VLOOKUP(V$5,NFI,5,0),1,0)*Table_NFI[[#This Row],[Shelter Tool kit]],Table_NFI[Shelter Tool kit])</f>
        <v>0</v>
      </c>
      <c r="AP23" s="331">
        <f>IF(NFI_Expiration=1,IF($A23&lt;VLOOKUP(V$5,NFI,5,0),1,0)*Table_NFI[[#This Row],[Tent]],Table_NFI[Tent])</f>
        <v>0</v>
      </c>
      <c r="AQ23" s="473" t="str">
        <f>IFERROR(VLOOKUP(Table_NFI[[#This Row],[Camp Name]],CL,2,0),"")</f>
        <v>MMR001CMP055</v>
      </c>
      <c r="AR23" s="468">
        <f ca="1">IF(Table_NFI[[#This Row],[Pcode]]="","",IF(OFFSET(CampList[Opening Date],MATCH(Table_NFI[[#This Row],[Pcode]],CampList[CP_Pcode],0)-1,0,1,1)&gt;=NFI_Monitor_Date,1,0))</f>
        <v>0</v>
      </c>
      <c r="AS23" s="473" t="str">
        <f>IFERROR(VLOOKUP(Table_NFI[[#This Row],[Camp Name]],CL,3,0),"")</f>
        <v>Open</v>
      </c>
      <c r="AT23" s="294" t="str">
        <f ca="1">IF(Table_NFI[[#This Row],[Pcode]]="","",OFFSET(CampList[Priority],MATCH(Table_NFI[[#This Row],[Pcode]],CampList[CP_Pcode],0)-1,0,1,1))</f>
        <v>P4</v>
      </c>
      <c r="AU23" s="293">
        <f>IFERROR(Table_NFI[[#This Row],[Kitchen Set]]/VLOOKUP(Table_NFI[[#This Row],[Camp Name]],CL,4,0),"")</f>
        <v>0</v>
      </c>
      <c r="AV23" s="466"/>
      <c r="AW23" s="474" t="s">
        <v>1587</v>
      </c>
    </row>
    <row r="24" spans="1:49" s="470" customFormat="1" ht="15" customHeight="1" x14ac:dyDescent="0.25">
      <c r="A24" s="297">
        <f t="shared" si="0"/>
        <v>4.1333333333333337</v>
      </c>
      <c r="B24" s="465">
        <v>42551</v>
      </c>
      <c r="C24" s="471" t="s">
        <v>905</v>
      </c>
      <c r="D24" s="471" t="s">
        <v>905</v>
      </c>
      <c r="E24" s="471" t="s">
        <v>380</v>
      </c>
      <c r="F24" s="471" t="s">
        <v>5</v>
      </c>
      <c r="G24" s="471" t="s">
        <v>6</v>
      </c>
      <c r="H24" s="292"/>
      <c r="I24" s="292"/>
      <c r="J24" s="292"/>
      <c r="K24" s="292"/>
      <c r="L24" s="292"/>
      <c r="M24" s="292"/>
      <c r="N24" s="292"/>
      <c r="O24" s="292"/>
      <c r="P24" s="294"/>
      <c r="Q24" s="294"/>
      <c r="R24" s="294"/>
      <c r="S24" s="294"/>
      <c r="T24" s="294"/>
      <c r="U24" s="294"/>
      <c r="V24" s="331">
        <v>2</v>
      </c>
      <c r="W24" s="294"/>
      <c r="X24" s="294"/>
      <c r="Y24" s="294">
        <f>IF(NFI_Expiration=1,IF($A24&lt;VLOOKUP(H$5,NFI,5,0),1,0)*Table_NFI[[#This Row],[Hygiene Kit]],Table_NFI[Hygiene Kit])</f>
        <v>0</v>
      </c>
      <c r="Z24" s="294">
        <f>IF(NFI_Expiration=1,IF($A24&lt;VLOOKUP(I$5,NFI,5,0),1,0)*Table_NFI[[#This Row],[NFI Core Kit]],Table_NFI[NFI Core Kit])</f>
        <v>0</v>
      </c>
      <c r="AA24" s="294">
        <f>IF(NFI_Expiration=1,IF($A24&lt;VLOOKUP(J$5,NFI,5,0),1,0)*Table_NFI[[#This Row],[Sanitary Kit]],Table_NFI[Sanitary Kit])</f>
        <v>0</v>
      </c>
      <c r="AB24" s="294">
        <f>IF(NFI_Expiration=1,IF($A24&lt;VLOOKUP(K$5,NFI,5,0),1,0)*Table_NFI[[#This Row],[Mosquito net]],Table_NFI[Mosquito net])</f>
        <v>0</v>
      </c>
      <c r="AC24" s="294">
        <f>IF(NFI_Expiration=1,IF($A24&lt;VLOOKUP(L$5,NFI,5,0),1,0)*Table_NFI[[#This Row],[Tarpaulin]],Table_NFI[[#This Row],[Tarpaulin]])</f>
        <v>0</v>
      </c>
      <c r="AD24" s="294">
        <f>IF(NFI_Expiration=1,IF($A24&lt;VLOOKUP(M$5,NFI,5,0),1,0)*Table_NFI[[#This Row],[Blanket]],Table_NFI[[#This Row],[Blanket]])</f>
        <v>0</v>
      </c>
      <c r="AE24" s="294">
        <f>IF(NFI_Expiration=1,IF($A24&lt;VLOOKUP(N$5,NFI,5,0),1,0)*Table_NFI[[#This Row],[Kitchen Set]],Table_NFI[Kitchen Set])</f>
        <v>0</v>
      </c>
      <c r="AF24" s="294">
        <f>IF(NFI_Expiration=1,IF($A24&lt;VLOOKUP(O$5,NFI,5,0),1,0)*Table_NFI[[#This Row],[Clothes Kit]],Table_NFI[Clothes Kit])</f>
        <v>0</v>
      </c>
      <c r="AG24" s="294">
        <f>IF(NFI_Expiration=1,IF($A24&lt;VLOOKUP(P$5,NFI,5,0),1,0)*Table_NFI[[#This Row],[Plastic Bucket]],Table_NFI[Plastic Bucket])</f>
        <v>0</v>
      </c>
      <c r="AH24" s="294">
        <f>IF(NFI_Expiration=1,IF($A24&lt;VLOOKUP(Q$5,NFI,5,0),1,0)*Table_NFI[[#This Row],[Plastic Mat]],Table_NFI[Plastic Mat])*IF(Table_NFI[[#This Row],[Distribution Date]]&gt;"2014-04-01",1,2.5)</f>
        <v>0</v>
      </c>
      <c r="AI24" s="294">
        <f>IF(NFI_Expiration=1,IF($A24&lt;VLOOKUP(R$5,NFI,5,0),1,0)*Table_NFI[[#This Row],[Winter Clothes Adult]],Table_NFI[Winter Clothes Adult])</f>
        <v>0</v>
      </c>
      <c r="AJ24" s="294">
        <f>IF(NFI_Expiration=1,IF($A24&lt;VLOOKUP(S$5,NFI,5,0),1,0)*Table_NFI[[#This Row],[Winter Clothes Children]],Table_NFI[Winter Clothes Children])</f>
        <v>0</v>
      </c>
      <c r="AK24" s="294">
        <f>IF(NFI_Expiration=1,IF($A24&lt;VLOOKUP(T$5,NFI,5,0),1,0)*Table_NFI[[#This Row],[Winter Items Other]],Table_NFI[Winter Items Other])</f>
        <v>0</v>
      </c>
      <c r="AL24" s="294">
        <f>IF(NFI_Expiration=1,IF($A24&lt;VLOOKUP(M$5,NFI,5,0),1,0)*Table_NFI[[#This Row],[Winter Blanket]],Table_NFI[[#This Row],[Winter Blanket]])</f>
        <v>0</v>
      </c>
      <c r="AM24" s="294">
        <f>IF(Table_NFI[[#This Row],[Winter Clothes Adult]]+Table_NFI[[#This Row],[Winter Clothes Children]]+Table_NFI[[#This Row],[Winter Items Other]]+Table_NFI[[#This Row],[Winter Blanket]]&gt;0,1,0)</f>
        <v>0</v>
      </c>
      <c r="AN24" s="331">
        <f>IF(NFI_Expiration=1,IF($A24&lt;VLOOKUP(V$5,NFI,5,0),1,0)*Table_NFI[[#This Row],[Jerry Can]],Table_NFI[Jerry Can])</f>
        <v>2</v>
      </c>
      <c r="AO24" s="331">
        <f>IF(NFI_Expiration=1,IF($A24&lt;VLOOKUP(V$5,NFI,5,0),1,0)*Table_NFI[[#This Row],[Shelter Tool kit]],Table_NFI[Shelter Tool kit])</f>
        <v>0</v>
      </c>
      <c r="AP24" s="331">
        <f>IF(NFI_Expiration=1,IF($A24&lt;VLOOKUP(V$5,NFI,5,0),1,0)*Table_NFI[[#This Row],[Tent]],Table_NFI[Tent])</f>
        <v>0</v>
      </c>
      <c r="AQ24" s="473" t="str">
        <f>IFERROR(VLOOKUP(Table_NFI[[#This Row],[Camp Name]],CL,2,0),"")</f>
        <v>MMR001CMP050</v>
      </c>
      <c r="AR24" s="468">
        <f ca="1">IF(Table_NFI[[#This Row],[Pcode]]="","",IF(OFFSET(CampList[Opening Date],MATCH(Table_NFI[[#This Row],[Pcode]],CampList[CP_Pcode],0)-1,0,1,1)&gt;=NFI_Monitor_Date,1,0))</f>
        <v>0</v>
      </c>
      <c r="AS24" s="473" t="str">
        <f>IFERROR(VLOOKUP(Table_NFI[[#This Row],[Camp Name]],CL,3,0),"")</f>
        <v>Open</v>
      </c>
      <c r="AT24" s="294" t="str">
        <f ca="1">IF(Table_NFI[[#This Row],[Pcode]]="","",OFFSET(CampList[Priority],MATCH(Table_NFI[[#This Row],[Pcode]],CampList[CP_Pcode],0)-1,0,1,1))</f>
        <v>P4</v>
      </c>
      <c r="AU24" s="293">
        <f>IFERROR(Table_NFI[[#This Row],[Kitchen Set]]/VLOOKUP(Table_NFI[[#This Row],[Camp Name]],CL,4,0),"")</f>
        <v>0</v>
      </c>
      <c r="AV24" s="466"/>
      <c r="AW24" s="474" t="s">
        <v>1587</v>
      </c>
    </row>
    <row r="25" spans="1:49" s="470" customFormat="1" ht="14.45" customHeight="1" x14ac:dyDescent="0.25">
      <c r="A25" s="297">
        <f t="shared" si="0"/>
        <v>4.1333333333333337</v>
      </c>
      <c r="B25" s="465">
        <v>42551</v>
      </c>
      <c r="C25" s="471" t="s">
        <v>905</v>
      </c>
      <c r="D25" s="471" t="s">
        <v>905</v>
      </c>
      <c r="E25" s="471" t="s">
        <v>380</v>
      </c>
      <c r="F25" s="471" t="s">
        <v>5</v>
      </c>
      <c r="G25" s="471" t="s">
        <v>366</v>
      </c>
      <c r="H25" s="292"/>
      <c r="I25" s="292"/>
      <c r="J25" s="292"/>
      <c r="K25" s="292"/>
      <c r="L25" s="292"/>
      <c r="M25" s="292"/>
      <c r="N25" s="292"/>
      <c r="O25" s="292"/>
      <c r="P25" s="294"/>
      <c r="Q25" s="294"/>
      <c r="R25" s="294"/>
      <c r="S25" s="294"/>
      <c r="T25" s="294"/>
      <c r="U25" s="294"/>
      <c r="V25" s="331">
        <v>4</v>
      </c>
      <c r="W25" s="294"/>
      <c r="X25" s="294"/>
      <c r="Y25" s="294">
        <f>IF(NFI_Expiration=1,IF($A25&lt;VLOOKUP(H$5,NFI,5,0),1,0)*Table_NFI[[#This Row],[Hygiene Kit]],Table_NFI[Hygiene Kit])</f>
        <v>0</v>
      </c>
      <c r="Z25" s="294">
        <f>IF(NFI_Expiration=1,IF($A25&lt;VLOOKUP(I$5,NFI,5,0),1,0)*Table_NFI[[#This Row],[NFI Core Kit]],Table_NFI[NFI Core Kit])</f>
        <v>0</v>
      </c>
      <c r="AA25" s="294">
        <f>IF(NFI_Expiration=1,IF($A25&lt;VLOOKUP(J$5,NFI,5,0),1,0)*Table_NFI[[#This Row],[Sanitary Kit]],Table_NFI[Sanitary Kit])</f>
        <v>0</v>
      </c>
      <c r="AB25" s="294">
        <f>IF(NFI_Expiration=1,IF($A25&lt;VLOOKUP(K$5,NFI,5,0),1,0)*Table_NFI[[#This Row],[Mosquito net]],Table_NFI[Mosquito net])</f>
        <v>0</v>
      </c>
      <c r="AC25" s="294">
        <f>IF(NFI_Expiration=1,IF($A25&lt;VLOOKUP(L$5,NFI,5,0),1,0)*Table_NFI[[#This Row],[Tarpaulin]],Table_NFI[[#This Row],[Tarpaulin]])</f>
        <v>0</v>
      </c>
      <c r="AD25" s="294">
        <f>IF(NFI_Expiration=1,IF($A25&lt;VLOOKUP(M$5,NFI,5,0),1,0)*Table_NFI[[#This Row],[Blanket]],Table_NFI[[#This Row],[Blanket]])</f>
        <v>0</v>
      </c>
      <c r="AE25" s="294">
        <f>IF(NFI_Expiration=1,IF($A25&lt;VLOOKUP(N$5,NFI,5,0),1,0)*Table_NFI[[#This Row],[Kitchen Set]],Table_NFI[Kitchen Set])</f>
        <v>0</v>
      </c>
      <c r="AF25" s="294">
        <f>IF(NFI_Expiration=1,IF($A25&lt;VLOOKUP(O$5,NFI,5,0),1,0)*Table_NFI[[#This Row],[Clothes Kit]],Table_NFI[Clothes Kit])</f>
        <v>0</v>
      </c>
      <c r="AG25" s="294">
        <f>IF(NFI_Expiration=1,IF($A25&lt;VLOOKUP(P$5,NFI,5,0),1,0)*Table_NFI[[#This Row],[Plastic Bucket]],Table_NFI[Plastic Bucket])</f>
        <v>0</v>
      </c>
      <c r="AH25" s="294">
        <f>IF(NFI_Expiration=1,IF($A25&lt;VLOOKUP(Q$5,NFI,5,0),1,0)*Table_NFI[[#This Row],[Plastic Mat]],Table_NFI[Plastic Mat])*IF(Table_NFI[[#This Row],[Distribution Date]]&gt;"2014-04-01",1,2.5)</f>
        <v>0</v>
      </c>
      <c r="AI25" s="294">
        <f>IF(NFI_Expiration=1,IF($A25&lt;VLOOKUP(R$5,NFI,5,0),1,0)*Table_NFI[[#This Row],[Winter Clothes Adult]],Table_NFI[Winter Clothes Adult])</f>
        <v>0</v>
      </c>
      <c r="AJ25" s="294">
        <f>IF(NFI_Expiration=1,IF($A25&lt;VLOOKUP(S$5,NFI,5,0),1,0)*Table_NFI[[#This Row],[Winter Clothes Children]],Table_NFI[Winter Clothes Children])</f>
        <v>0</v>
      </c>
      <c r="AK25" s="294">
        <f>IF(NFI_Expiration=1,IF($A25&lt;VLOOKUP(T$5,NFI,5,0),1,0)*Table_NFI[[#This Row],[Winter Items Other]],Table_NFI[Winter Items Other])</f>
        <v>0</v>
      </c>
      <c r="AL25" s="294">
        <f>IF(NFI_Expiration=1,IF($A25&lt;VLOOKUP(M$5,NFI,5,0),1,0)*Table_NFI[[#This Row],[Winter Blanket]],Table_NFI[[#This Row],[Winter Blanket]])</f>
        <v>0</v>
      </c>
      <c r="AM25" s="294">
        <f>IF(Table_NFI[[#This Row],[Winter Clothes Adult]]+Table_NFI[[#This Row],[Winter Clothes Children]]+Table_NFI[[#This Row],[Winter Items Other]]+Table_NFI[[#This Row],[Winter Blanket]]&gt;0,1,0)</f>
        <v>0</v>
      </c>
      <c r="AN25" s="331">
        <f>IF(NFI_Expiration=1,IF($A25&lt;VLOOKUP(V$5,NFI,5,0),1,0)*Table_NFI[[#This Row],[Jerry Can]],Table_NFI[Jerry Can])</f>
        <v>4</v>
      </c>
      <c r="AO25" s="331">
        <f>IF(NFI_Expiration=1,IF($A25&lt;VLOOKUP(V$5,NFI,5,0),1,0)*Table_NFI[[#This Row],[Shelter Tool kit]],Table_NFI[Shelter Tool kit])</f>
        <v>0</v>
      </c>
      <c r="AP25" s="331">
        <f>IF(NFI_Expiration=1,IF($A25&lt;VLOOKUP(V$5,NFI,5,0),1,0)*Table_NFI[[#This Row],[Tent]],Table_NFI[Tent])</f>
        <v>0</v>
      </c>
      <c r="AQ25" s="473" t="str">
        <f>IFERROR(VLOOKUP(Table_NFI[[#This Row],[Camp Name]],CL,2,0),"")</f>
        <v>MMR001CMP193</v>
      </c>
      <c r="AR25" s="468">
        <f ca="1">IF(Table_NFI[[#This Row],[Pcode]]="","",IF(OFFSET(CampList[Opening Date],MATCH(Table_NFI[[#This Row],[Pcode]],CampList[CP_Pcode],0)-1,0,1,1)&gt;=NFI_Monitor_Date,1,0))</f>
        <v>0</v>
      </c>
      <c r="AS25" s="473" t="str">
        <f>IFERROR(VLOOKUP(Table_NFI[[#This Row],[Camp Name]],CL,3,0),"")</f>
        <v>Open</v>
      </c>
      <c r="AT25" s="294" t="str">
        <f ca="1">IF(Table_NFI[[#This Row],[Pcode]]="","",OFFSET(CampList[Priority],MATCH(Table_NFI[[#This Row],[Pcode]],CampList[CP_Pcode],0)-1,0,1,1))</f>
        <v>P4</v>
      </c>
      <c r="AU25" s="293">
        <f>IFERROR(Table_NFI[[#This Row],[Kitchen Set]]/VLOOKUP(Table_NFI[[#This Row],[Camp Name]],CL,4,0),"")</f>
        <v>0</v>
      </c>
      <c r="AV25" s="466"/>
      <c r="AW25" s="474" t="s">
        <v>1587</v>
      </c>
    </row>
    <row r="26" spans="1:49" s="470" customFormat="1" x14ac:dyDescent="0.25">
      <c r="A26" s="297">
        <f t="shared" si="0"/>
        <v>4.1333333333333337</v>
      </c>
      <c r="B26" s="465">
        <v>42551</v>
      </c>
      <c r="C26" s="471" t="s">
        <v>905</v>
      </c>
      <c r="D26" s="471" t="s">
        <v>905</v>
      </c>
      <c r="E26" s="471" t="s">
        <v>380</v>
      </c>
      <c r="F26" s="471" t="s">
        <v>185</v>
      </c>
      <c r="G26" s="471" t="s">
        <v>186</v>
      </c>
      <c r="H26" s="292"/>
      <c r="I26" s="292"/>
      <c r="J26" s="292"/>
      <c r="K26" s="292"/>
      <c r="L26" s="292"/>
      <c r="M26" s="292"/>
      <c r="N26" s="292"/>
      <c r="O26" s="292"/>
      <c r="P26" s="294"/>
      <c r="Q26" s="294"/>
      <c r="R26" s="294"/>
      <c r="S26" s="294"/>
      <c r="T26" s="294"/>
      <c r="U26" s="294"/>
      <c r="V26" s="331">
        <v>2</v>
      </c>
      <c r="W26" s="294"/>
      <c r="X26" s="294"/>
      <c r="Y26" s="294">
        <f>IF(NFI_Expiration=1,IF($A26&lt;VLOOKUP(H$5,NFI,5,0),1,0)*Table_NFI[[#This Row],[Hygiene Kit]],Table_NFI[Hygiene Kit])</f>
        <v>0</v>
      </c>
      <c r="Z26" s="294">
        <f>IF(NFI_Expiration=1,IF($A26&lt;VLOOKUP(I$5,NFI,5,0),1,0)*Table_NFI[[#This Row],[NFI Core Kit]],Table_NFI[NFI Core Kit])</f>
        <v>0</v>
      </c>
      <c r="AA26" s="294">
        <f>IF(NFI_Expiration=1,IF($A26&lt;VLOOKUP(J$5,NFI,5,0),1,0)*Table_NFI[[#This Row],[Sanitary Kit]],Table_NFI[Sanitary Kit])</f>
        <v>0</v>
      </c>
      <c r="AB26" s="294">
        <f>IF(NFI_Expiration=1,IF($A26&lt;VLOOKUP(K$5,NFI,5,0),1,0)*Table_NFI[[#This Row],[Mosquito net]],Table_NFI[Mosquito net])</f>
        <v>0</v>
      </c>
      <c r="AC26" s="294">
        <f>IF(NFI_Expiration=1,IF($A26&lt;VLOOKUP(L$5,NFI,5,0),1,0)*Table_NFI[[#This Row],[Tarpaulin]],Table_NFI[[#This Row],[Tarpaulin]])</f>
        <v>0</v>
      </c>
      <c r="AD26" s="294">
        <f>IF(NFI_Expiration=1,IF($A26&lt;VLOOKUP(M$5,NFI,5,0),1,0)*Table_NFI[[#This Row],[Blanket]],Table_NFI[[#This Row],[Blanket]])</f>
        <v>0</v>
      </c>
      <c r="AE26" s="294">
        <f>IF(NFI_Expiration=1,IF($A26&lt;VLOOKUP(N$5,NFI,5,0),1,0)*Table_NFI[[#This Row],[Kitchen Set]],Table_NFI[Kitchen Set])</f>
        <v>0</v>
      </c>
      <c r="AF26" s="294">
        <f>IF(NFI_Expiration=1,IF($A26&lt;VLOOKUP(O$5,NFI,5,0),1,0)*Table_NFI[[#This Row],[Clothes Kit]],Table_NFI[Clothes Kit])</f>
        <v>0</v>
      </c>
      <c r="AG26" s="294">
        <f>IF(NFI_Expiration=1,IF($A26&lt;VLOOKUP(P$5,NFI,5,0),1,0)*Table_NFI[[#This Row],[Plastic Bucket]],Table_NFI[Plastic Bucket])</f>
        <v>0</v>
      </c>
      <c r="AH26" s="294">
        <f>IF(NFI_Expiration=1,IF($A26&lt;VLOOKUP(Q$5,NFI,5,0),1,0)*Table_NFI[[#This Row],[Plastic Mat]],Table_NFI[Plastic Mat])*IF(Table_NFI[[#This Row],[Distribution Date]]&gt;"2014-04-01",1,2.5)</f>
        <v>0</v>
      </c>
      <c r="AI26" s="294">
        <f>IF(NFI_Expiration=1,IF($A26&lt;VLOOKUP(R$5,NFI,5,0),1,0)*Table_NFI[[#This Row],[Winter Clothes Adult]],Table_NFI[Winter Clothes Adult])</f>
        <v>0</v>
      </c>
      <c r="AJ26" s="294">
        <f>IF(NFI_Expiration=1,IF($A26&lt;VLOOKUP(S$5,NFI,5,0),1,0)*Table_NFI[[#This Row],[Winter Clothes Children]],Table_NFI[Winter Clothes Children])</f>
        <v>0</v>
      </c>
      <c r="AK26" s="294">
        <f>IF(NFI_Expiration=1,IF($A26&lt;VLOOKUP(T$5,NFI,5,0),1,0)*Table_NFI[[#This Row],[Winter Items Other]],Table_NFI[Winter Items Other])</f>
        <v>0</v>
      </c>
      <c r="AL26" s="294">
        <f>IF(NFI_Expiration=1,IF($A26&lt;VLOOKUP(M$5,NFI,5,0),1,0)*Table_NFI[[#This Row],[Winter Blanket]],Table_NFI[[#This Row],[Winter Blanket]])</f>
        <v>0</v>
      </c>
      <c r="AM26" s="294">
        <f>IF(Table_NFI[[#This Row],[Winter Clothes Adult]]+Table_NFI[[#This Row],[Winter Clothes Children]]+Table_NFI[[#This Row],[Winter Items Other]]+Table_NFI[[#This Row],[Winter Blanket]]&gt;0,1,0)</f>
        <v>0</v>
      </c>
      <c r="AN26" s="331">
        <f>IF(NFI_Expiration=1,IF($A26&lt;VLOOKUP(V$5,NFI,5,0),1,0)*Table_NFI[[#This Row],[Jerry Can]],Table_NFI[Jerry Can])</f>
        <v>2</v>
      </c>
      <c r="AO26" s="331">
        <f>IF(NFI_Expiration=1,IF($A26&lt;VLOOKUP(V$5,NFI,5,0),1,0)*Table_NFI[[#This Row],[Shelter Tool kit]],Table_NFI[Shelter Tool kit])</f>
        <v>0</v>
      </c>
      <c r="AP26" s="331">
        <f>IF(NFI_Expiration=1,IF($A26&lt;VLOOKUP(V$5,NFI,5,0),1,0)*Table_NFI[[#This Row],[Tent]],Table_NFI[Tent])</f>
        <v>0</v>
      </c>
      <c r="AQ26" s="473" t="str">
        <f>IFERROR(VLOOKUP(Table_NFI[[#This Row],[Camp Name]],CL,2,0),"")</f>
        <v>MMR001CMP071</v>
      </c>
      <c r="AR26" s="468">
        <f ca="1">IF(Table_NFI[[#This Row],[Pcode]]="","",IF(OFFSET(CampList[Opening Date],MATCH(Table_NFI[[#This Row],[Pcode]],CampList[CP_Pcode],0)-1,0,1,1)&gt;=NFI_Monitor_Date,1,0))</f>
        <v>0</v>
      </c>
      <c r="AS26" s="473" t="str">
        <f>IFERROR(VLOOKUP(Table_NFI[[#This Row],[Camp Name]],CL,3,0),"")</f>
        <v>Open</v>
      </c>
      <c r="AT26" s="294" t="str">
        <f ca="1">IF(Table_NFI[[#This Row],[Pcode]]="","",OFFSET(CampList[Priority],MATCH(Table_NFI[[#This Row],[Pcode]],CampList[CP_Pcode],0)-1,0,1,1))</f>
        <v>P3</v>
      </c>
      <c r="AU26" s="293">
        <f>IFERROR(Table_NFI[[#This Row],[Kitchen Set]]/VLOOKUP(Table_NFI[[#This Row],[Camp Name]],CL,4,0),"")</f>
        <v>0</v>
      </c>
      <c r="AV26" s="466"/>
      <c r="AW26" s="474" t="s">
        <v>1587</v>
      </c>
    </row>
    <row r="27" spans="1:49" s="470" customFormat="1" ht="16.5" customHeight="1" x14ac:dyDescent="0.25">
      <c r="A27" s="297">
        <f t="shared" si="0"/>
        <v>4.1333333333333337</v>
      </c>
      <c r="B27" s="465">
        <v>42551</v>
      </c>
      <c r="C27" s="471" t="s">
        <v>905</v>
      </c>
      <c r="D27" s="471" t="s">
        <v>905</v>
      </c>
      <c r="E27" s="471" t="s">
        <v>380</v>
      </c>
      <c r="F27" s="471" t="s">
        <v>185</v>
      </c>
      <c r="G27" s="471" t="s">
        <v>190</v>
      </c>
      <c r="H27" s="292"/>
      <c r="I27" s="292"/>
      <c r="J27" s="292"/>
      <c r="K27" s="292"/>
      <c r="L27" s="292"/>
      <c r="M27" s="292"/>
      <c r="N27" s="292"/>
      <c r="O27" s="292"/>
      <c r="P27" s="294"/>
      <c r="Q27" s="294"/>
      <c r="R27" s="294"/>
      <c r="S27" s="294"/>
      <c r="T27" s="294"/>
      <c r="U27" s="294"/>
      <c r="V27" s="331">
        <v>1</v>
      </c>
      <c r="W27" s="294"/>
      <c r="X27" s="294"/>
      <c r="Y27" s="294">
        <f>IF(NFI_Expiration=1,IF($A27&lt;VLOOKUP(H$5,NFI,5,0),1,0)*Table_NFI[[#This Row],[Hygiene Kit]],Table_NFI[Hygiene Kit])</f>
        <v>0</v>
      </c>
      <c r="Z27" s="294">
        <f>IF(NFI_Expiration=1,IF($A27&lt;VLOOKUP(I$5,NFI,5,0),1,0)*Table_NFI[[#This Row],[NFI Core Kit]],Table_NFI[NFI Core Kit])</f>
        <v>0</v>
      </c>
      <c r="AA27" s="294">
        <f>IF(NFI_Expiration=1,IF($A27&lt;VLOOKUP(J$5,NFI,5,0),1,0)*Table_NFI[[#This Row],[Sanitary Kit]],Table_NFI[Sanitary Kit])</f>
        <v>0</v>
      </c>
      <c r="AB27" s="294">
        <f>IF(NFI_Expiration=1,IF($A27&lt;VLOOKUP(K$5,NFI,5,0),1,0)*Table_NFI[[#This Row],[Mosquito net]],Table_NFI[Mosquito net])</f>
        <v>0</v>
      </c>
      <c r="AC27" s="294">
        <f>IF(NFI_Expiration=1,IF($A27&lt;VLOOKUP(L$5,NFI,5,0),1,0)*Table_NFI[[#This Row],[Tarpaulin]],Table_NFI[[#This Row],[Tarpaulin]])</f>
        <v>0</v>
      </c>
      <c r="AD27" s="294">
        <f>IF(NFI_Expiration=1,IF($A27&lt;VLOOKUP(M$5,NFI,5,0),1,0)*Table_NFI[[#This Row],[Blanket]],Table_NFI[[#This Row],[Blanket]])</f>
        <v>0</v>
      </c>
      <c r="AE27" s="294">
        <f>IF(NFI_Expiration=1,IF($A27&lt;VLOOKUP(N$5,NFI,5,0),1,0)*Table_NFI[[#This Row],[Kitchen Set]],Table_NFI[Kitchen Set])</f>
        <v>0</v>
      </c>
      <c r="AF27" s="294">
        <f>IF(NFI_Expiration=1,IF($A27&lt;VLOOKUP(O$5,NFI,5,0),1,0)*Table_NFI[[#This Row],[Clothes Kit]],Table_NFI[Clothes Kit])</f>
        <v>0</v>
      </c>
      <c r="AG27" s="294">
        <f>IF(NFI_Expiration=1,IF($A27&lt;VLOOKUP(P$5,NFI,5,0),1,0)*Table_NFI[[#This Row],[Plastic Bucket]],Table_NFI[Plastic Bucket])</f>
        <v>0</v>
      </c>
      <c r="AH27" s="294">
        <f>IF(NFI_Expiration=1,IF($A27&lt;VLOOKUP(Q$5,NFI,5,0),1,0)*Table_NFI[[#This Row],[Plastic Mat]],Table_NFI[Plastic Mat])*IF(Table_NFI[[#This Row],[Distribution Date]]&gt;"2014-04-01",1,2.5)</f>
        <v>0</v>
      </c>
      <c r="AI27" s="294">
        <f>IF(NFI_Expiration=1,IF($A27&lt;VLOOKUP(R$5,NFI,5,0),1,0)*Table_NFI[[#This Row],[Winter Clothes Adult]],Table_NFI[Winter Clothes Adult])</f>
        <v>0</v>
      </c>
      <c r="AJ27" s="294">
        <f>IF(NFI_Expiration=1,IF($A27&lt;VLOOKUP(S$5,NFI,5,0),1,0)*Table_NFI[[#This Row],[Winter Clothes Children]],Table_NFI[Winter Clothes Children])</f>
        <v>0</v>
      </c>
      <c r="AK27" s="294">
        <f>IF(NFI_Expiration=1,IF($A27&lt;VLOOKUP(T$5,NFI,5,0),1,0)*Table_NFI[[#This Row],[Winter Items Other]],Table_NFI[Winter Items Other])</f>
        <v>0</v>
      </c>
      <c r="AL27" s="294">
        <f>IF(NFI_Expiration=1,IF($A27&lt;VLOOKUP(M$5,NFI,5,0),1,0)*Table_NFI[[#This Row],[Winter Blanket]],Table_NFI[[#This Row],[Winter Blanket]])</f>
        <v>0</v>
      </c>
      <c r="AM27" s="294">
        <f>IF(Table_NFI[[#This Row],[Winter Clothes Adult]]+Table_NFI[[#This Row],[Winter Clothes Children]]+Table_NFI[[#This Row],[Winter Items Other]]+Table_NFI[[#This Row],[Winter Blanket]]&gt;0,1,0)</f>
        <v>0</v>
      </c>
      <c r="AN27" s="331">
        <f>IF(NFI_Expiration=1,IF($A27&lt;VLOOKUP(V$5,NFI,5,0),1,0)*Table_NFI[[#This Row],[Jerry Can]],Table_NFI[Jerry Can])</f>
        <v>1</v>
      </c>
      <c r="AO27" s="331">
        <f>IF(NFI_Expiration=1,IF($A27&lt;VLOOKUP(V$5,NFI,5,0),1,0)*Table_NFI[[#This Row],[Shelter Tool kit]],Table_NFI[Shelter Tool kit])</f>
        <v>0</v>
      </c>
      <c r="AP27" s="331">
        <f>IF(NFI_Expiration=1,IF($A27&lt;VLOOKUP(V$5,NFI,5,0),1,0)*Table_NFI[[#This Row],[Tent]],Table_NFI[Tent])</f>
        <v>0</v>
      </c>
      <c r="AQ27" s="473" t="str">
        <f>IFERROR(VLOOKUP(Table_NFI[[#This Row],[Camp Name]],CL,2,0),"")</f>
        <v>MMR001CMP070</v>
      </c>
      <c r="AR27" s="468">
        <f ca="1">IF(Table_NFI[[#This Row],[Pcode]]="","",IF(OFFSET(CampList[Opening Date],MATCH(Table_NFI[[#This Row],[Pcode]],CampList[CP_Pcode],0)-1,0,1,1)&gt;=NFI_Monitor_Date,1,0))</f>
        <v>0</v>
      </c>
      <c r="AS27" s="473" t="str">
        <f>IFERROR(VLOOKUP(Table_NFI[[#This Row],[Camp Name]],CL,3,0),"")</f>
        <v>Open</v>
      </c>
      <c r="AT27" s="294" t="str">
        <f ca="1">IF(Table_NFI[[#This Row],[Pcode]]="","",OFFSET(CampList[Priority],MATCH(Table_NFI[[#This Row],[Pcode]],CampList[CP_Pcode],0)-1,0,1,1))</f>
        <v>P3</v>
      </c>
      <c r="AU27" s="293">
        <f>IFERROR(Table_NFI[[#This Row],[Kitchen Set]]/VLOOKUP(Table_NFI[[#This Row],[Camp Name]],CL,4,0),"")</f>
        <v>0</v>
      </c>
      <c r="AV27" s="466"/>
      <c r="AW27" s="474" t="s">
        <v>1587</v>
      </c>
    </row>
    <row r="28" spans="1:49" s="470" customFormat="1" ht="14.45" customHeight="1" x14ac:dyDescent="0.25">
      <c r="A28" s="297">
        <f t="shared" si="0"/>
        <v>4.1333333333333337</v>
      </c>
      <c r="B28" s="465">
        <v>42551</v>
      </c>
      <c r="C28" s="471" t="s">
        <v>905</v>
      </c>
      <c r="D28" s="471" t="s">
        <v>905</v>
      </c>
      <c r="E28" s="471" t="s">
        <v>380</v>
      </c>
      <c r="F28" s="471" t="s">
        <v>185</v>
      </c>
      <c r="G28" s="471" t="s">
        <v>229</v>
      </c>
      <c r="H28" s="292"/>
      <c r="I28" s="292"/>
      <c r="J28" s="292"/>
      <c r="K28" s="292"/>
      <c r="L28" s="292"/>
      <c r="M28" s="292"/>
      <c r="N28" s="292"/>
      <c r="O28" s="292"/>
      <c r="P28" s="294"/>
      <c r="Q28" s="294"/>
      <c r="R28" s="294"/>
      <c r="S28" s="294"/>
      <c r="T28" s="294"/>
      <c r="U28" s="294"/>
      <c r="V28" s="331">
        <v>1</v>
      </c>
      <c r="W28" s="294"/>
      <c r="X28" s="294"/>
      <c r="Y28" s="294">
        <f>IF(NFI_Expiration=1,IF($A28&lt;VLOOKUP(H$5,NFI,5,0),1,0)*Table_NFI[[#This Row],[Hygiene Kit]],Table_NFI[Hygiene Kit])</f>
        <v>0</v>
      </c>
      <c r="Z28" s="294">
        <f>IF(NFI_Expiration=1,IF($A28&lt;VLOOKUP(I$5,NFI,5,0),1,0)*Table_NFI[[#This Row],[NFI Core Kit]],Table_NFI[NFI Core Kit])</f>
        <v>0</v>
      </c>
      <c r="AA28" s="294">
        <f>IF(NFI_Expiration=1,IF($A28&lt;VLOOKUP(J$5,NFI,5,0),1,0)*Table_NFI[[#This Row],[Sanitary Kit]],Table_NFI[Sanitary Kit])</f>
        <v>0</v>
      </c>
      <c r="AB28" s="294">
        <f>IF(NFI_Expiration=1,IF($A28&lt;VLOOKUP(K$5,NFI,5,0),1,0)*Table_NFI[[#This Row],[Mosquito net]],Table_NFI[Mosquito net])</f>
        <v>0</v>
      </c>
      <c r="AC28" s="294">
        <f>IF(NFI_Expiration=1,IF($A28&lt;VLOOKUP(L$5,NFI,5,0),1,0)*Table_NFI[[#This Row],[Tarpaulin]],Table_NFI[[#This Row],[Tarpaulin]])</f>
        <v>0</v>
      </c>
      <c r="AD28" s="294">
        <f>IF(NFI_Expiration=1,IF($A28&lt;VLOOKUP(M$5,NFI,5,0),1,0)*Table_NFI[[#This Row],[Blanket]],Table_NFI[[#This Row],[Blanket]])</f>
        <v>0</v>
      </c>
      <c r="AE28" s="294">
        <f>IF(NFI_Expiration=1,IF($A28&lt;VLOOKUP(N$5,NFI,5,0),1,0)*Table_NFI[[#This Row],[Kitchen Set]],Table_NFI[Kitchen Set])</f>
        <v>0</v>
      </c>
      <c r="AF28" s="294">
        <f>IF(NFI_Expiration=1,IF($A28&lt;VLOOKUP(O$5,NFI,5,0),1,0)*Table_NFI[[#This Row],[Clothes Kit]],Table_NFI[Clothes Kit])</f>
        <v>0</v>
      </c>
      <c r="AG28" s="294">
        <f>IF(NFI_Expiration=1,IF($A28&lt;VLOOKUP(P$5,NFI,5,0),1,0)*Table_NFI[[#This Row],[Plastic Bucket]],Table_NFI[Plastic Bucket])</f>
        <v>0</v>
      </c>
      <c r="AH28" s="294">
        <f>IF(NFI_Expiration=1,IF($A28&lt;VLOOKUP(Q$5,NFI,5,0),1,0)*Table_NFI[[#This Row],[Plastic Mat]],Table_NFI[Plastic Mat])*IF(Table_NFI[[#This Row],[Distribution Date]]&gt;"2014-04-01",1,2.5)</f>
        <v>0</v>
      </c>
      <c r="AI28" s="294">
        <f>IF(NFI_Expiration=1,IF($A28&lt;VLOOKUP(R$5,NFI,5,0),1,0)*Table_NFI[[#This Row],[Winter Clothes Adult]],Table_NFI[Winter Clothes Adult])</f>
        <v>0</v>
      </c>
      <c r="AJ28" s="294">
        <f>IF(NFI_Expiration=1,IF($A28&lt;VLOOKUP(S$5,NFI,5,0),1,0)*Table_NFI[[#This Row],[Winter Clothes Children]],Table_NFI[Winter Clothes Children])</f>
        <v>0</v>
      </c>
      <c r="AK28" s="294">
        <f>IF(NFI_Expiration=1,IF($A28&lt;VLOOKUP(T$5,NFI,5,0),1,0)*Table_NFI[[#This Row],[Winter Items Other]],Table_NFI[Winter Items Other])</f>
        <v>0</v>
      </c>
      <c r="AL28" s="294">
        <f>IF(NFI_Expiration=1,IF($A28&lt;VLOOKUP(M$5,NFI,5,0),1,0)*Table_NFI[[#This Row],[Winter Blanket]],Table_NFI[[#This Row],[Winter Blanket]])</f>
        <v>0</v>
      </c>
      <c r="AM28" s="294">
        <f>IF(Table_NFI[[#This Row],[Winter Clothes Adult]]+Table_NFI[[#This Row],[Winter Clothes Children]]+Table_NFI[[#This Row],[Winter Items Other]]+Table_NFI[[#This Row],[Winter Blanket]]&gt;0,1,0)</f>
        <v>0</v>
      </c>
      <c r="AN28" s="331">
        <f>IF(NFI_Expiration=1,IF($A28&lt;VLOOKUP(V$5,NFI,5,0),1,0)*Table_NFI[[#This Row],[Jerry Can]],Table_NFI[Jerry Can])</f>
        <v>1</v>
      </c>
      <c r="AO28" s="331">
        <f>IF(NFI_Expiration=1,IF($A28&lt;VLOOKUP(V$5,NFI,5,0),1,0)*Table_NFI[[#This Row],[Shelter Tool kit]],Table_NFI[Shelter Tool kit])</f>
        <v>0</v>
      </c>
      <c r="AP28" s="331">
        <f>IF(NFI_Expiration=1,IF($A28&lt;VLOOKUP(V$5,NFI,5,0),1,0)*Table_NFI[[#This Row],[Tent]],Table_NFI[Tent])</f>
        <v>0</v>
      </c>
      <c r="AQ28" s="473" t="str">
        <f>IFERROR(VLOOKUP(Table_NFI[[#This Row],[Camp Name]],CL,2,0),"")</f>
        <v>MMR001CMP072</v>
      </c>
      <c r="AR28" s="468">
        <f ca="1">IF(Table_NFI[[#This Row],[Pcode]]="","",IF(OFFSET(CampList[Opening Date],MATCH(Table_NFI[[#This Row],[Pcode]],CampList[CP_Pcode],0)-1,0,1,1)&gt;=NFI_Monitor_Date,1,0))</f>
        <v>0</v>
      </c>
      <c r="AS28" s="473" t="str">
        <f>IFERROR(VLOOKUP(Table_NFI[[#This Row],[Camp Name]],CL,3,0),"")</f>
        <v>Open</v>
      </c>
      <c r="AT28" s="294" t="str">
        <f ca="1">IF(Table_NFI[[#This Row],[Pcode]]="","",OFFSET(CampList[Priority],MATCH(Table_NFI[[#This Row],[Pcode]],CampList[CP_Pcode],0)-1,0,1,1))</f>
        <v>P3</v>
      </c>
      <c r="AU28" s="293">
        <f>IFERROR(Table_NFI[[#This Row],[Kitchen Set]]/VLOOKUP(Table_NFI[[#This Row],[Camp Name]],CL,4,0),"")</f>
        <v>0</v>
      </c>
      <c r="AV28" s="466"/>
      <c r="AW28" s="474" t="s">
        <v>1587</v>
      </c>
    </row>
    <row r="29" spans="1:49" s="470" customFormat="1" ht="15" customHeight="1" x14ac:dyDescent="0.25">
      <c r="A29" s="297">
        <f t="shared" si="0"/>
        <v>4.1333333333333337</v>
      </c>
      <c r="B29" s="465">
        <v>42551</v>
      </c>
      <c r="C29" s="471" t="s">
        <v>905</v>
      </c>
      <c r="D29" s="471" t="s">
        <v>905</v>
      </c>
      <c r="E29" s="471" t="s">
        <v>380</v>
      </c>
      <c r="F29" s="471" t="s">
        <v>185</v>
      </c>
      <c r="G29" s="471" t="s">
        <v>225</v>
      </c>
      <c r="H29" s="292"/>
      <c r="I29" s="292"/>
      <c r="J29" s="292"/>
      <c r="K29" s="292"/>
      <c r="L29" s="292"/>
      <c r="M29" s="292"/>
      <c r="N29" s="292"/>
      <c r="O29" s="292"/>
      <c r="P29" s="294"/>
      <c r="Q29" s="294"/>
      <c r="R29" s="294"/>
      <c r="S29" s="294"/>
      <c r="T29" s="294"/>
      <c r="U29" s="294"/>
      <c r="V29" s="331">
        <v>1</v>
      </c>
      <c r="W29" s="294"/>
      <c r="X29" s="294"/>
      <c r="Y29" s="294">
        <f>IF(NFI_Expiration=1,IF($A29&lt;VLOOKUP(H$5,NFI,5,0),1,0)*Table_NFI[[#This Row],[Hygiene Kit]],Table_NFI[Hygiene Kit])</f>
        <v>0</v>
      </c>
      <c r="Z29" s="294">
        <f>IF(NFI_Expiration=1,IF($A29&lt;VLOOKUP(I$5,NFI,5,0),1,0)*Table_NFI[[#This Row],[NFI Core Kit]],Table_NFI[NFI Core Kit])</f>
        <v>0</v>
      </c>
      <c r="AA29" s="294">
        <f>IF(NFI_Expiration=1,IF($A29&lt;VLOOKUP(J$5,NFI,5,0),1,0)*Table_NFI[[#This Row],[Sanitary Kit]],Table_NFI[Sanitary Kit])</f>
        <v>0</v>
      </c>
      <c r="AB29" s="294">
        <f>IF(NFI_Expiration=1,IF($A29&lt;VLOOKUP(K$5,NFI,5,0),1,0)*Table_NFI[[#This Row],[Mosquito net]],Table_NFI[Mosquito net])</f>
        <v>0</v>
      </c>
      <c r="AC29" s="294">
        <f>IF(NFI_Expiration=1,IF($A29&lt;VLOOKUP(L$5,NFI,5,0),1,0)*Table_NFI[[#This Row],[Tarpaulin]],Table_NFI[[#This Row],[Tarpaulin]])</f>
        <v>0</v>
      </c>
      <c r="AD29" s="294">
        <f>IF(NFI_Expiration=1,IF($A29&lt;VLOOKUP(M$5,NFI,5,0),1,0)*Table_NFI[[#This Row],[Blanket]],Table_NFI[[#This Row],[Blanket]])</f>
        <v>0</v>
      </c>
      <c r="AE29" s="294">
        <f>IF(NFI_Expiration=1,IF($A29&lt;VLOOKUP(N$5,NFI,5,0),1,0)*Table_NFI[[#This Row],[Kitchen Set]],Table_NFI[Kitchen Set])</f>
        <v>0</v>
      </c>
      <c r="AF29" s="294">
        <f>IF(NFI_Expiration=1,IF($A29&lt;VLOOKUP(O$5,NFI,5,0),1,0)*Table_NFI[[#This Row],[Clothes Kit]],Table_NFI[Clothes Kit])</f>
        <v>0</v>
      </c>
      <c r="AG29" s="294">
        <f>IF(NFI_Expiration=1,IF($A29&lt;VLOOKUP(P$5,NFI,5,0),1,0)*Table_NFI[[#This Row],[Plastic Bucket]],Table_NFI[Plastic Bucket])</f>
        <v>0</v>
      </c>
      <c r="AH29" s="294">
        <f>IF(NFI_Expiration=1,IF($A29&lt;VLOOKUP(Q$5,NFI,5,0),1,0)*Table_NFI[[#This Row],[Plastic Mat]],Table_NFI[Plastic Mat])*IF(Table_NFI[[#This Row],[Distribution Date]]&gt;"2014-04-01",1,2.5)</f>
        <v>0</v>
      </c>
      <c r="AI29" s="294">
        <f>IF(NFI_Expiration=1,IF($A29&lt;VLOOKUP(R$5,NFI,5,0),1,0)*Table_NFI[[#This Row],[Winter Clothes Adult]],Table_NFI[Winter Clothes Adult])</f>
        <v>0</v>
      </c>
      <c r="AJ29" s="294">
        <f>IF(NFI_Expiration=1,IF($A29&lt;VLOOKUP(S$5,NFI,5,0),1,0)*Table_NFI[[#This Row],[Winter Clothes Children]],Table_NFI[Winter Clothes Children])</f>
        <v>0</v>
      </c>
      <c r="AK29" s="294">
        <f>IF(NFI_Expiration=1,IF($A29&lt;VLOOKUP(T$5,NFI,5,0),1,0)*Table_NFI[[#This Row],[Winter Items Other]],Table_NFI[Winter Items Other])</f>
        <v>0</v>
      </c>
      <c r="AL29" s="294">
        <f>IF(NFI_Expiration=1,IF($A29&lt;VLOOKUP(M$5,NFI,5,0),1,0)*Table_NFI[[#This Row],[Winter Blanket]],Table_NFI[[#This Row],[Winter Blanket]])</f>
        <v>0</v>
      </c>
      <c r="AM29" s="294">
        <f>IF(Table_NFI[[#This Row],[Winter Clothes Adult]]+Table_NFI[[#This Row],[Winter Clothes Children]]+Table_NFI[[#This Row],[Winter Items Other]]+Table_NFI[[#This Row],[Winter Blanket]]&gt;0,1,0)</f>
        <v>0</v>
      </c>
      <c r="AN29" s="331">
        <f>IF(NFI_Expiration=1,IF($A29&lt;VLOOKUP(V$5,NFI,5,0),1,0)*Table_NFI[[#This Row],[Jerry Can]],Table_NFI[Jerry Can])</f>
        <v>1</v>
      </c>
      <c r="AO29" s="331">
        <f>IF(NFI_Expiration=1,IF($A29&lt;VLOOKUP(V$5,NFI,5,0),1,0)*Table_NFI[[#This Row],[Shelter Tool kit]],Table_NFI[Shelter Tool kit])</f>
        <v>0</v>
      </c>
      <c r="AP29" s="331">
        <f>IF(NFI_Expiration=1,IF($A29&lt;VLOOKUP(V$5,NFI,5,0),1,0)*Table_NFI[[#This Row],[Tent]],Table_NFI[Tent])</f>
        <v>0</v>
      </c>
      <c r="AQ29" s="473" t="str">
        <f>IFERROR(VLOOKUP(Table_NFI[[#This Row],[Camp Name]],CL,2,0),"")</f>
        <v>MMR001CMP073</v>
      </c>
      <c r="AR29" s="468">
        <f ca="1">IF(Table_NFI[[#This Row],[Pcode]]="","",IF(OFFSET(CampList[Opening Date],MATCH(Table_NFI[[#This Row],[Pcode]],CampList[CP_Pcode],0)-1,0,1,1)&gt;=NFI_Monitor_Date,1,0))</f>
        <v>0</v>
      </c>
      <c r="AS29" s="473" t="str">
        <f>IFERROR(VLOOKUP(Table_NFI[[#This Row],[Camp Name]],CL,3,0),"")</f>
        <v>Open</v>
      </c>
      <c r="AT29" s="294" t="str">
        <f ca="1">IF(Table_NFI[[#This Row],[Pcode]]="","",OFFSET(CampList[Priority],MATCH(Table_NFI[[#This Row],[Pcode]],CampList[CP_Pcode],0)-1,0,1,1))</f>
        <v>P3</v>
      </c>
      <c r="AU29" s="293">
        <f>IFERROR(Table_NFI[[#This Row],[Kitchen Set]]/VLOOKUP(Table_NFI[[#This Row],[Camp Name]],CL,4,0),"")</f>
        <v>0</v>
      </c>
      <c r="AV29" s="466"/>
      <c r="AW29" s="474" t="s">
        <v>1587</v>
      </c>
    </row>
    <row r="30" spans="1:49" s="470" customFormat="1" ht="15" customHeight="1" x14ac:dyDescent="0.25">
      <c r="A30" s="297">
        <f t="shared" si="0"/>
        <v>4.8</v>
      </c>
      <c r="B30" s="465">
        <v>42531</v>
      </c>
      <c r="C30" s="471" t="s">
        <v>452</v>
      </c>
      <c r="D30" s="471" t="s">
        <v>452</v>
      </c>
      <c r="E30" s="471" t="s">
        <v>380</v>
      </c>
      <c r="F30" s="471" t="s">
        <v>808</v>
      </c>
      <c r="G30" s="471" t="s">
        <v>1439</v>
      </c>
      <c r="H30" s="292"/>
      <c r="I30" s="292"/>
      <c r="J30" s="292"/>
      <c r="K30" s="292">
        <v>25</v>
      </c>
      <c r="L30" s="292">
        <v>8</v>
      </c>
      <c r="M30" s="292">
        <v>66</v>
      </c>
      <c r="N30" s="292">
        <v>34</v>
      </c>
      <c r="O30" s="292"/>
      <c r="P30" s="294">
        <v>6</v>
      </c>
      <c r="Q30" s="294">
        <v>104</v>
      </c>
      <c r="R30" s="294"/>
      <c r="S30" s="294"/>
      <c r="T30" s="294"/>
      <c r="U30" s="294"/>
      <c r="V30" s="431"/>
      <c r="W30" s="294"/>
      <c r="X30" s="294"/>
      <c r="Y30" s="294">
        <f>IF(NFI_Expiration=1,IF($A30&lt;VLOOKUP(H$5,NFI,5,0),1,0)*Table_NFI[[#This Row],[Hygiene Kit]],Table_NFI[Hygiene Kit])</f>
        <v>0</v>
      </c>
      <c r="Z30" s="294">
        <f>IF(NFI_Expiration=1,IF($A30&lt;VLOOKUP(I$5,NFI,5,0),1,0)*Table_NFI[[#This Row],[NFI Core Kit]],Table_NFI[NFI Core Kit])</f>
        <v>0</v>
      </c>
      <c r="AA30" s="294">
        <f>IF(NFI_Expiration=1,IF($A30&lt;VLOOKUP(J$5,NFI,5,0),1,0)*Table_NFI[[#This Row],[Sanitary Kit]],Table_NFI[Sanitary Kit])</f>
        <v>0</v>
      </c>
      <c r="AB30" s="294">
        <f>IF(NFI_Expiration=1,IF($A30&lt;VLOOKUP(K$5,NFI,5,0),1,0)*Table_NFI[[#This Row],[Mosquito net]],Table_NFI[Mosquito net])</f>
        <v>25</v>
      </c>
      <c r="AC30" s="294">
        <f>IF(NFI_Expiration=1,IF($A30&lt;VLOOKUP(L$5,NFI,5,0),1,0)*Table_NFI[[#This Row],[Tarpaulin]],Table_NFI[[#This Row],[Tarpaulin]])</f>
        <v>8</v>
      </c>
      <c r="AD30" s="294">
        <f>IF(NFI_Expiration=1,IF($A30&lt;VLOOKUP(M$5,NFI,5,0),1,0)*Table_NFI[[#This Row],[Blanket]],Table_NFI[[#This Row],[Blanket]])</f>
        <v>66</v>
      </c>
      <c r="AE30" s="294">
        <f>IF(NFI_Expiration=1,IF($A30&lt;VLOOKUP(N$5,NFI,5,0),1,0)*Table_NFI[[#This Row],[Kitchen Set]],Table_NFI[Kitchen Set])</f>
        <v>34</v>
      </c>
      <c r="AF30" s="294">
        <f>IF(NFI_Expiration=1,IF($A30&lt;VLOOKUP(O$5,NFI,5,0),1,0)*Table_NFI[[#This Row],[Clothes Kit]],Table_NFI[Clothes Kit])</f>
        <v>0</v>
      </c>
      <c r="AG30" s="294">
        <f>IF(NFI_Expiration=1,IF($A30&lt;VLOOKUP(P$5,NFI,5,0),1,0)*Table_NFI[[#This Row],[Plastic Bucket]],Table_NFI[Plastic Bucket])</f>
        <v>6</v>
      </c>
      <c r="AH30" s="294">
        <f>IF(NFI_Expiration=1,IF($A30&lt;VLOOKUP(Q$5,NFI,5,0),1,0)*Table_NFI[[#This Row],[Plastic Mat]],Table_NFI[Plastic Mat])*IF(Table_NFI[[#This Row],[Distribution Date]]&gt;"2014-04-01",1,2.5)</f>
        <v>260</v>
      </c>
      <c r="AI30" s="294">
        <f>IF(NFI_Expiration=1,IF($A30&lt;VLOOKUP(R$5,NFI,5,0),1,0)*Table_NFI[[#This Row],[Winter Clothes Adult]],Table_NFI[Winter Clothes Adult])</f>
        <v>0</v>
      </c>
      <c r="AJ30" s="294">
        <f>IF(NFI_Expiration=1,IF($A30&lt;VLOOKUP(S$5,NFI,5,0),1,0)*Table_NFI[[#This Row],[Winter Clothes Children]],Table_NFI[Winter Clothes Children])</f>
        <v>0</v>
      </c>
      <c r="AK30" s="294">
        <f>IF(NFI_Expiration=1,IF($A30&lt;VLOOKUP(T$5,NFI,5,0),1,0)*Table_NFI[[#This Row],[Winter Items Other]],Table_NFI[Winter Items Other])</f>
        <v>0</v>
      </c>
      <c r="AL30" s="294">
        <f>IF(NFI_Expiration=1,IF($A30&lt;VLOOKUP(M$5,NFI,5,0),1,0)*Table_NFI[[#This Row],[Winter Blanket]],Table_NFI[[#This Row],[Winter Blanket]])</f>
        <v>0</v>
      </c>
      <c r="AM30" s="294">
        <f>IF(Table_NFI[[#This Row],[Winter Clothes Adult]]+Table_NFI[[#This Row],[Winter Clothes Children]]+Table_NFI[[#This Row],[Winter Items Other]]+Table_NFI[[#This Row],[Winter Blanket]]&gt;0,1,0)</f>
        <v>0</v>
      </c>
      <c r="AN30" s="331">
        <f>IF(NFI_Expiration=1,IF($A30&lt;VLOOKUP(V$5,NFI,5,0),1,0)*Table_NFI[[#This Row],[Jerry Can]],Table_NFI[Jerry Can])</f>
        <v>0</v>
      </c>
      <c r="AO30" s="331">
        <f>IF(NFI_Expiration=1,IF($A30&lt;VLOOKUP(V$5,NFI,5,0),1,0)*Table_NFI[[#This Row],[Shelter Tool kit]],Table_NFI[Shelter Tool kit])</f>
        <v>0</v>
      </c>
      <c r="AP30" s="331">
        <f>IF(NFI_Expiration=1,IF($A30&lt;VLOOKUP(V$5,NFI,5,0),1,0)*Table_NFI[[#This Row],[Tent]],Table_NFI[Tent])</f>
        <v>0</v>
      </c>
      <c r="AQ30" s="473" t="str">
        <f>IFERROR(VLOOKUP(Table_NFI[[#This Row],[Camp Name]],CL,2,0),"")</f>
        <v/>
      </c>
      <c r="AR30" s="468" t="str">
        <f ca="1">IF(Table_NFI[[#This Row],[Pcode]]="","",IF(OFFSET(CampList[Opening Date],MATCH(Table_NFI[[#This Row],[Pcode]],CampList[CP_Pcode],0)-1,0,1,1)&gt;=NFI_Monitor_Date,1,0))</f>
        <v/>
      </c>
      <c r="AS30" s="670" t="str">
        <f>IFERROR(VLOOKUP(Table_NFI[[#This Row],[Camp Name]],CL,3,0),"")</f>
        <v/>
      </c>
      <c r="AT30" s="294" t="str">
        <f ca="1">IF(Table_NFI[[#This Row],[Pcode]]="","",OFFSET(CampList[Priority],MATCH(Table_NFI[[#This Row],[Pcode]],CampList[CP_Pcode],0)-1,0,1,1))</f>
        <v/>
      </c>
      <c r="AU30" s="293" t="str">
        <f>IFERROR(Table_NFI[[#This Row],[Kitchen Set]]/VLOOKUP(Table_NFI[[#This Row],[Camp Name]],CL,4,0),"")</f>
        <v/>
      </c>
      <c r="AV30" s="672" t="s">
        <v>1092</v>
      </c>
      <c r="AW30" s="474"/>
    </row>
    <row r="31" spans="1:49" s="470" customFormat="1" x14ac:dyDescent="0.25">
      <c r="A31" s="297">
        <f t="shared" si="0"/>
        <v>5.1333333333333337</v>
      </c>
      <c r="B31" s="465">
        <v>42521</v>
      </c>
      <c r="C31" s="466" t="s">
        <v>905</v>
      </c>
      <c r="D31" s="466" t="s">
        <v>905</v>
      </c>
      <c r="E31" s="466" t="s">
        <v>380</v>
      </c>
      <c r="F31" s="466" t="s">
        <v>151</v>
      </c>
      <c r="G31" s="466" t="s">
        <v>885</v>
      </c>
      <c r="H31" s="294">
        <v>25</v>
      </c>
      <c r="I31" s="294">
        <v>25</v>
      </c>
      <c r="J31" s="291"/>
      <c r="K31" s="291"/>
      <c r="L31" s="292">
        <v>25</v>
      </c>
      <c r="M31" s="292"/>
      <c r="N31" s="292"/>
      <c r="O31" s="292"/>
      <c r="P31" s="294"/>
      <c r="Q31" s="294"/>
      <c r="R31" s="294"/>
      <c r="S31" s="294"/>
      <c r="T31" s="294"/>
      <c r="U31" s="294"/>
      <c r="V31" s="431"/>
      <c r="W31" s="294"/>
      <c r="X31" s="294"/>
      <c r="Y31" s="294">
        <f>IF(NFI_Expiration=1,IF($A31&lt;VLOOKUP(H$5,NFI,5,0),1,0)*Table_NFI[[#This Row],[Hygiene Kit]],Table_NFI[Hygiene Kit])</f>
        <v>25</v>
      </c>
      <c r="Z31" s="294">
        <f>IF(NFI_Expiration=1,IF($A31&lt;VLOOKUP(I$5,NFI,5,0),1,0)*Table_NFI[[#This Row],[NFI Core Kit]],Table_NFI[NFI Core Kit])</f>
        <v>25</v>
      </c>
      <c r="AA31" s="294">
        <f>IF(NFI_Expiration=1,IF($A31&lt;VLOOKUP(J$5,NFI,5,0),1,0)*Table_NFI[[#This Row],[Sanitary Kit]],Table_NFI[Sanitary Kit])</f>
        <v>0</v>
      </c>
      <c r="AB31" s="294">
        <f>IF(NFI_Expiration=1,IF($A31&lt;VLOOKUP(K$5,NFI,5,0),1,0)*Table_NFI[[#This Row],[Mosquito net]],Table_NFI[Mosquito net])</f>
        <v>0</v>
      </c>
      <c r="AC31" s="294">
        <f>IF(NFI_Expiration=1,IF($A31&lt;VLOOKUP(L$5,NFI,5,0),1,0)*Table_NFI[[#This Row],[Tarpaulin]],Table_NFI[[#This Row],[Tarpaulin]])</f>
        <v>25</v>
      </c>
      <c r="AD31" s="294">
        <f>IF(NFI_Expiration=1,IF($A31&lt;VLOOKUP(M$5,NFI,5,0),1,0)*Table_NFI[[#This Row],[Blanket]],Table_NFI[[#This Row],[Blanket]])</f>
        <v>0</v>
      </c>
      <c r="AE31" s="294">
        <f>IF(NFI_Expiration=1,IF($A31&lt;VLOOKUP(N$5,NFI,5,0),1,0)*Table_NFI[[#This Row],[Kitchen Set]],Table_NFI[Kitchen Set])</f>
        <v>0</v>
      </c>
      <c r="AF31" s="294">
        <f>IF(NFI_Expiration=1,IF($A31&lt;VLOOKUP(O$5,NFI,5,0),1,0)*Table_NFI[[#This Row],[Clothes Kit]],Table_NFI[Clothes Kit])</f>
        <v>0</v>
      </c>
      <c r="AG31" s="294">
        <f>IF(NFI_Expiration=1,IF($A31&lt;VLOOKUP(P$5,NFI,5,0),1,0)*Table_NFI[[#This Row],[Plastic Bucket]],Table_NFI[Plastic Bucket])</f>
        <v>0</v>
      </c>
      <c r="AH31" s="294">
        <f>IF(NFI_Expiration=1,IF($A31&lt;VLOOKUP(Q$5,NFI,5,0),1,0)*Table_NFI[[#This Row],[Plastic Mat]],Table_NFI[Plastic Mat])*IF(Table_NFI[[#This Row],[Distribution Date]]&gt;"2014-04-01",1,2.5)</f>
        <v>0</v>
      </c>
      <c r="AI31" s="294">
        <f>IF(NFI_Expiration=1,IF($A31&lt;VLOOKUP(R$5,NFI,5,0),1,0)*Table_NFI[[#This Row],[Winter Clothes Adult]],Table_NFI[Winter Clothes Adult])</f>
        <v>0</v>
      </c>
      <c r="AJ31" s="294">
        <f>IF(NFI_Expiration=1,IF($A31&lt;VLOOKUP(S$5,NFI,5,0),1,0)*Table_NFI[[#This Row],[Winter Clothes Children]],Table_NFI[Winter Clothes Children])</f>
        <v>0</v>
      </c>
      <c r="AK31" s="294">
        <f>IF(NFI_Expiration=1,IF($A31&lt;VLOOKUP(T$5,NFI,5,0),1,0)*Table_NFI[[#This Row],[Winter Items Other]],Table_NFI[Winter Items Other])</f>
        <v>0</v>
      </c>
      <c r="AL31" s="294">
        <f>IF(NFI_Expiration=1,IF($A31&lt;VLOOKUP(M$5,NFI,5,0),1,0)*Table_NFI[[#This Row],[Winter Blanket]],Table_NFI[[#This Row],[Winter Blanket]])</f>
        <v>0</v>
      </c>
      <c r="AM31" s="294">
        <f>IF(Table_NFI[[#This Row],[Winter Clothes Adult]]+Table_NFI[[#This Row],[Winter Clothes Children]]+Table_NFI[[#This Row],[Winter Items Other]]+Table_NFI[[#This Row],[Winter Blanket]]&gt;0,1,0)</f>
        <v>0</v>
      </c>
      <c r="AN31" s="331">
        <f>IF(NFI_Expiration=1,IF($A31&lt;VLOOKUP(V$5,NFI,5,0),1,0)*Table_NFI[[#This Row],[Jerry Can]],Table_NFI[Jerry Can])</f>
        <v>0</v>
      </c>
      <c r="AO31" s="331">
        <f>IF(NFI_Expiration=1,IF($A31&lt;VLOOKUP(V$5,NFI,5,0),1,0)*Table_NFI[[#This Row],[Shelter Tool kit]],Table_NFI[Shelter Tool kit])</f>
        <v>0</v>
      </c>
      <c r="AP31" s="331">
        <f>IF(NFI_Expiration=1,IF($A31&lt;VLOOKUP(V$5,NFI,5,0),1,0)*Table_NFI[[#This Row],[Tent]],Table_NFI[Tent])</f>
        <v>0</v>
      </c>
      <c r="AQ31" s="473" t="str">
        <f>IFERROR(VLOOKUP(Table_NFI[[#This Row],[Camp Name]],CL,2,0),"")</f>
        <v>MMR001CMP218</v>
      </c>
      <c r="AR31" s="468">
        <f ca="1">IF(Table_NFI[[#This Row],[Pcode]]="","",IF(OFFSET(CampList[Opening Date],MATCH(Table_NFI[[#This Row],[Pcode]],CampList[CP_Pcode],0)-1,0,1,1)&gt;=NFI_Monitor_Date,1,0))</f>
        <v>0</v>
      </c>
      <c r="AS31" s="473" t="str">
        <f>IFERROR(VLOOKUP(Table_NFI[[#This Row],[Camp Name]],CL,3,0),"")</f>
        <v>Open</v>
      </c>
      <c r="AT31" s="294" t="str">
        <f ca="1">IF(Table_NFI[[#This Row],[Pcode]]="","",OFFSET(CampList[Priority],MATCH(Table_NFI[[#This Row],[Pcode]],CampList[CP_Pcode],0)-1,0,1,1))</f>
        <v>P4</v>
      </c>
      <c r="AU31" s="293">
        <f>IFERROR(Table_NFI[[#This Row],[Kitchen Set]]/VLOOKUP(Table_NFI[[#This Row],[Camp Name]],CL,4,0),"")</f>
        <v>0</v>
      </c>
      <c r="AV31" s="466"/>
      <c r="AW31" s="469"/>
    </row>
    <row r="32" spans="1:49" s="470" customFormat="1" x14ac:dyDescent="0.25">
      <c r="A32" s="499">
        <f t="shared" si="0"/>
        <v>6</v>
      </c>
      <c r="B32" s="465">
        <v>42495</v>
      </c>
      <c r="C32" s="466" t="s">
        <v>452</v>
      </c>
      <c r="D32" s="466" t="s">
        <v>1359</v>
      </c>
      <c r="E32" s="466" t="s">
        <v>380</v>
      </c>
      <c r="F32" s="466" t="s">
        <v>173</v>
      </c>
      <c r="G32" s="466" t="s">
        <v>1268</v>
      </c>
      <c r="H32" s="501"/>
      <c r="I32" s="501">
        <v>7</v>
      </c>
      <c r="J32" s="501">
        <v>7</v>
      </c>
      <c r="K32" s="501">
        <v>13</v>
      </c>
      <c r="L32" s="501">
        <v>7</v>
      </c>
      <c r="M32" s="501">
        <v>13</v>
      </c>
      <c r="N32" s="501">
        <v>7</v>
      </c>
      <c r="O32" s="501">
        <v>7</v>
      </c>
      <c r="P32" s="502">
        <v>7</v>
      </c>
      <c r="Q32" s="502">
        <v>13</v>
      </c>
      <c r="R32" s="502"/>
      <c r="S32" s="502"/>
      <c r="T32" s="502"/>
      <c r="U32" s="502"/>
      <c r="V32" s="504">
        <v>7</v>
      </c>
      <c r="W32" s="502"/>
      <c r="X32" s="502"/>
      <c r="Y32" s="502">
        <f>IF(NFI_Expiration=1,IF($A32&lt;VLOOKUP(H$5,NFI,5,0),1,0)*Table_NFI[[#This Row],[Hygiene Kit]],Table_NFI[Hygiene Kit])</f>
        <v>0</v>
      </c>
      <c r="Z32" s="502">
        <f>IF(NFI_Expiration=1,IF($A32&lt;VLOOKUP(I$5,NFI,5,0),1,0)*Table_NFI[[#This Row],[NFI Core Kit]],Table_NFI[NFI Core Kit])</f>
        <v>7</v>
      </c>
      <c r="AA32" s="502">
        <f>IF(NFI_Expiration=1,IF($A32&lt;VLOOKUP(J$5,NFI,5,0),1,0)*Table_NFI[[#This Row],[Sanitary Kit]],Table_NFI[Sanitary Kit])</f>
        <v>7</v>
      </c>
      <c r="AB32" s="502">
        <f>IF(NFI_Expiration=1,IF($A32&lt;VLOOKUP(K$5,NFI,5,0),1,0)*Table_NFI[[#This Row],[Mosquito net]],Table_NFI[Mosquito net])</f>
        <v>13</v>
      </c>
      <c r="AC32" s="502">
        <f>IF(NFI_Expiration=1,IF($A32&lt;VLOOKUP(L$5,NFI,5,0),1,0)*Table_NFI[[#This Row],[Tarpaulin]],Table_NFI[[#This Row],[Tarpaulin]])</f>
        <v>7</v>
      </c>
      <c r="AD32" s="502">
        <f>IF(NFI_Expiration=1,IF($A32&lt;VLOOKUP(M$5,NFI,5,0),1,0)*Table_NFI[[#This Row],[Blanket]],Table_NFI[[#This Row],[Blanket]])</f>
        <v>13</v>
      </c>
      <c r="AE32" s="502">
        <f>IF(NFI_Expiration=1,IF($A32&lt;VLOOKUP(N$5,NFI,5,0),1,0)*Table_NFI[[#This Row],[Kitchen Set]],Table_NFI[Kitchen Set])</f>
        <v>7</v>
      </c>
      <c r="AF32" s="502">
        <f>IF(NFI_Expiration=1,IF($A32&lt;VLOOKUP(O$5,NFI,5,0),1,0)*Table_NFI[[#This Row],[Clothes Kit]],Table_NFI[Clothes Kit])</f>
        <v>7</v>
      </c>
      <c r="AG32" s="502">
        <f>IF(NFI_Expiration=1,IF($A32&lt;VLOOKUP(P$5,NFI,5,0),1,0)*Table_NFI[[#This Row],[Plastic Bucket]],Table_NFI[Plastic Bucket])</f>
        <v>7</v>
      </c>
      <c r="AH32" s="502">
        <f>IF(NFI_Expiration=1,IF($A32&lt;VLOOKUP(Q$5,NFI,5,0),1,0)*Table_NFI[[#This Row],[Plastic Mat]],Table_NFI[Plastic Mat])*IF(Table_NFI[[#This Row],[Distribution Date]]&gt;"2014-04-01",1,2.5)</f>
        <v>32.5</v>
      </c>
      <c r="AI32" s="502">
        <f>IF(NFI_Expiration=1,IF($A32&lt;VLOOKUP(R$5,NFI,5,0),1,0)*Table_NFI[[#This Row],[Winter Clothes Adult]],Table_NFI[Winter Clothes Adult])</f>
        <v>0</v>
      </c>
      <c r="AJ32" s="502">
        <f>IF(NFI_Expiration=1,IF($A32&lt;VLOOKUP(S$5,NFI,5,0),1,0)*Table_NFI[[#This Row],[Winter Clothes Children]],Table_NFI[Winter Clothes Children])</f>
        <v>0</v>
      </c>
      <c r="AK32" s="502">
        <f>IF(NFI_Expiration=1,IF($A32&lt;VLOOKUP(T$5,NFI,5,0),1,0)*Table_NFI[[#This Row],[Winter Items Other]],Table_NFI[Winter Items Other])</f>
        <v>0</v>
      </c>
      <c r="AL32" s="502">
        <f>IF(NFI_Expiration=1,IF($A32&lt;VLOOKUP(M$5,NFI,5,0),1,0)*Table_NFI[[#This Row],[Winter Blanket]],Table_NFI[[#This Row],[Winter Blanket]])</f>
        <v>0</v>
      </c>
      <c r="AM32" s="502">
        <f>IF(Table_NFI[[#This Row],[Winter Clothes Adult]]+Table_NFI[[#This Row],[Winter Clothes Children]]+Table_NFI[[#This Row],[Winter Items Other]]+Table_NFI[[#This Row],[Winter Blanket]]&gt;0,1,0)</f>
        <v>0</v>
      </c>
      <c r="AN32" s="504">
        <f>IF(NFI_Expiration=1,IF($A32&lt;VLOOKUP(V$5,NFI,5,0),1,0)*Table_NFI[[#This Row],[Jerry Can]],Table_NFI[Jerry Can])</f>
        <v>7</v>
      </c>
      <c r="AO32" s="504">
        <f>IF(NFI_Expiration=1,IF($A32&lt;VLOOKUP(V$5,NFI,5,0),1,0)*Table_NFI[[#This Row],[Shelter Tool kit]],Table_NFI[Shelter Tool kit])</f>
        <v>0</v>
      </c>
      <c r="AP32" s="504">
        <f>IF(NFI_Expiration=1,IF($A32&lt;VLOOKUP(V$5,NFI,5,0),1,0)*Table_NFI[[#This Row],[Tent]],Table_NFI[Tent])</f>
        <v>0</v>
      </c>
      <c r="AQ32" s="505" t="str">
        <f>IFERROR(VLOOKUP(Table_NFI[[#This Row],[Camp Name]],CL,2,0),"")</f>
        <v>MMR001CMP237</v>
      </c>
      <c r="AR32" s="506">
        <f ca="1">IF(Table_NFI[[#This Row],[Pcode]]="","",IF(OFFSET(CampList[Opening Date],MATCH(Table_NFI[[#This Row],[Pcode]],CampList[CP_Pcode],0)-1,0,1,1)&gt;=NFI_Monitor_Date,1,0))</f>
        <v>1</v>
      </c>
      <c r="AS32" s="473" t="str">
        <f>IFERROR(VLOOKUP(Table_NFI[[#This Row],[Camp Name]],CL,3,0),"")</f>
        <v>Closed</v>
      </c>
      <c r="AT32" s="502">
        <f ca="1">IF(Table_NFI[[#This Row],[Pcode]]="","",OFFSET(CampList[Priority],MATCH(Table_NFI[[#This Row],[Pcode]],CampList[CP_Pcode],0)-1,0,1,1))</f>
        <v>0</v>
      </c>
      <c r="AU32" s="507" t="str">
        <f>IFERROR(Table_NFI[[#This Row],[Kitchen Set]]/VLOOKUP(Table_NFI[[#This Row],[Camp Name]],CL,4,0),"")</f>
        <v/>
      </c>
      <c r="AV32" s="500"/>
      <c r="AW32" s="508"/>
    </row>
    <row r="33" spans="1:49" s="470" customFormat="1" x14ac:dyDescent="0.25">
      <c r="A33" s="297">
        <f t="shared" si="0"/>
        <v>6.166666666666667</v>
      </c>
      <c r="B33" s="465">
        <v>42490</v>
      </c>
      <c r="C33" s="466" t="s">
        <v>905</v>
      </c>
      <c r="D33" s="467" t="s">
        <v>905</v>
      </c>
      <c r="E33" s="466" t="s">
        <v>380</v>
      </c>
      <c r="F33" s="290" t="s">
        <v>185</v>
      </c>
      <c r="G33" s="290" t="s">
        <v>186</v>
      </c>
      <c r="H33" s="291"/>
      <c r="I33" s="291"/>
      <c r="J33" s="292"/>
      <c r="K33" s="291"/>
      <c r="L33" s="292"/>
      <c r="M33" s="292"/>
      <c r="N33" s="292"/>
      <c r="O33" s="292"/>
      <c r="P33" s="294"/>
      <c r="Q33" s="294"/>
      <c r="R33" s="294"/>
      <c r="S33" s="294"/>
      <c r="T33" s="294"/>
      <c r="U33" s="294"/>
      <c r="V33" s="431"/>
      <c r="W33" s="331">
        <v>3</v>
      </c>
      <c r="X33" s="331"/>
      <c r="Y33" s="294">
        <f>IF(NFI_Expiration=1,IF($A33&lt;VLOOKUP(H$5,NFI,5,0),1,0)*Table_NFI[[#This Row],[Hygiene Kit]],Table_NFI[Hygiene Kit])</f>
        <v>0</v>
      </c>
      <c r="Z33" s="294">
        <f>IF(NFI_Expiration=1,IF($A33&lt;VLOOKUP(I$5,NFI,5,0),1,0)*Table_NFI[[#This Row],[NFI Core Kit]],Table_NFI[NFI Core Kit])</f>
        <v>0</v>
      </c>
      <c r="AA33" s="294">
        <f>IF(NFI_Expiration=1,IF($A33&lt;VLOOKUP(J$5,NFI,5,0),1,0)*Table_NFI[[#This Row],[Sanitary Kit]],Table_NFI[Sanitary Kit])</f>
        <v>0</v>
      </c>
      <c r="AB33" s="294">
        <f>IF(NFI_Expiration=1,IF($A33&lt;VLOOKUP(K$5,NFI,5,0),1,0)*Table_NFI[[#This Row],[Mosquito net]],Table_NFI[Mosquito net])</f>
        <v>0</v>
      </c>
      <c r="AC33" s="294">
        <f>IF(NFI_Expiration=1,IF($A33&lt;VLOOKUP(L$5,NFI,5,0),1,0)*Table_NFI[[#This Row],[Tarpaulin]],Table_NFI[[#This Row],[Tarpaulin]])</f>
        <v>0</v>
      </c>
      <c r="AD33" s="294">
        <f>IF(NFI_Expiration=1,IF($A33&lt;VLOOKUP(M$5,NFI,5,0),1,0)*Table_NFI[[#This Row],[Blanket]],Table_NFI[[#This Row],[Blanket]])</f>
        <v>0</v>
      </c>
      <c r="AE33" s="294">
        <f>IF(NFI_Expiration=1,IF($A33&lt;VLOOKUP(N$5,NFI,5,0),1,0)*Table_NFI[[#This Row],[Kitchen Set]],Table_NFI[Kitchen Set])</f>
        <v>0</v>
      </c>
      <c r="AF33" s="294">
        <f>IF(NFI_Expiration=1,IF($A33&lt;VLOOKUP(O$5,NFI,5,0),1,0)*Table_NFI[[#This Row],[Clothes Kit]],Table_NFI[Clothes Kit])</f>
        <v>0</v>
      </c>
      <c r="AG33" s="294">
        <f>IF(NFI_Expiration=1,IF($A33&lt;VLOOKUP(P$5,NFI,5,0),1,0)*Table_NFI[[#This Row],[Plastic Bucket]],Table_NFI[Plastic Bucket])</f>
        <v>0</v>
      </c>
      <c r="AH33" s="294">
        <f>IF(NFI_Expiration=1,IF($A33&lt;VLOOKUP(Q$5,NFI,5,0),1,0)*Table_NFI[[#This Row],[Plastic Mat]],Table_NFI[Plastic Mat])*IF(Table_NFI[[#This Row],[Distribution Date]]&gt;"2014-04-01",1,2.5)</f>
        <v>0</v>
      </c>
      <c r="AI33" s="294">
        <f>IF(NFI_Expiration=1,IF($A33&lt;VLOOKUP(R$5,NFI,5,0),1,0)*Table_NFI[[#This Row],[Winter Clothes Adult]],Table_NFI[Winter Clothes Adult])</f>
        <v>0</v>
      </c>
      <c r="AJ33" s="294">
        <f>IF(NFI_Expiration=1,IF($A33&lt;VLOOKUP(S$5,NFI,5,0),1,0)*Table_NFI[[#This Row],[Winter Clothes Children]],Table_NFI[Winter Clothes Children])</f>
        <v>0</v>
      </c>
      <c r="AK33" s="294">
        <f>IF(NFI_Expiration=1,IF($A33&lt;VLOOKUP(T$5,NFI,5,0),1,0)*Table_NFI[[#This Row],[Winter Items Other]],Table_NFI[Winter Items Other])</f>
        <v>0</v>
      </c>
      <c r="AL33" s="294">
        <f>IF(NFI_Expiration=1,IF($A33&lt;VLOOKUP(M$5,NFI,5,0),1,0)*Table_NFI[[#This Row],[Winter Blanket]],Table_NFI[[#This Row],[Winter Blanket]])</f>
        <v>0</v>
      </c>
      <c r="AM33" s="294">
        <f>IF(Table_NFI[[#This Row],[Winter Clothes Adult]]+Table_NFI[[#This Row],[Winter Clothes Children]]+Table_NFI[[#This Row],[Winter Items Other]]+Table_NFI[[#This Row],[Winter Blanket]]&gt;0,1,0)</f>
        <v>0</v>
      </c>
      <c r="AN33" s="331">
        <f>IF(NFI_Expiration=1,IF($A33&lt;VLOOKUP(V$5,NFI,5,0),1,0)*Table_NFI[[#This Row],[Jerry Can]],Table_NFI[Jerry Can])</f>
        <v>0</v>
      </c>
      <c r="AO33" s="331">
        <f>IF(NFI_Expiration=1,IF($A33&lt;VLOOKUP(V$5,NFI,5,0),1,0)*Table_NFI[[#This Row],[Shelter Tool kit]],Table_NFI[Shelter Tool kit])</f>
        <v>3</v>
      </c>
      <c r="AP33" s="331">
        <f>IF(NFI_Expiration=1,IF($A33&lt;VLOOKUP(V$5,NFI,5,0),1,0)*Table_NFI[[#This Row],[Tent]],Table_NFI[Tent])</f>
        <v>0</v>
      </c>
      <c r="AQ33" s="473" t="str">
        <f>IFERROR(VLOOKUP(Table_NFI[[#This Row],[Camp Name]],CL,2,0),"")</f>
        <v>MMR001CMP071</v>
      </c>
      <c r="AR33" s="468">
        <f ca="1">IF(Table_NFI[[#This Row],[Pcode]]="","",IF(OFFSET(CampList[Opening Date],MATCH(Table_NFI[[#This Row],[Pcode]],CampList[CP_Pcode],0)-1,0,1,1)&gt;=NFI_Monitor_Date,1,0))</f>
        <v>0</v>
      </c>
      <c r="AS33" s="473" t="str">
        <f>IFERROR(VLOOKUP(Table_NFI[[#This Row],[Camp Name]],CL,3,0),"")</f>
        <v>Open</v>
      </c>
      <c r="AT33" s="294" t="str">
        <f ca="1">IF(Table_NFI[[#This Row],[Pcode]]="","",OFFSET(CampList[Priority],MATCH(Table_NFI[[#This Row],[Pcode]],CampList[CP_Pcode],0)-1,0,1,1))</f>
        <v>P3</v>
      </c>
      <c r="AU33" s="293">
        <f>IFERROR(Table_NFI[[#This Row],[Kitchen Set]]/VLOOKUP(Table_NFI[[#This Row],[Camp Name]],CL,4,0),"")</f>
        <v>0</v>
      </c>
      <c r="AV33" s="466"/>
      <c r="AW33" s="469"/>
    </row>
    <row r="34" spans="1:49" s="470" customFormat="1" x14ac:dyDescent="0.25">
      <c r="A34" s="297">
        <f t="shared" si="0"/>
        <v>6.166666666666667</v>
      </c>
      <c r="B34" s="465">
        <v>42490</v>
      </c>
      <c r="C34" s="466" t="s">
        <v>905</v>
      </c>
      <c r="D34" s="467" t="s">
        <v>905</v>
      </c>
      <c r="E34" s="466" t="s">
        <v>380</v>
      </c>
      <c r="F34" s="290" t="s">
        <v>185</v>
      </c>
      <c r="G34" s="290" t="s">
        <v>186</v>
      </c>
      <c r="H34" s="291"/>
      <c r="I34" s="291"/>
      <c r="J34" s="292"/>
      <c r="K34" s="291"/>
      <c r="L34" s="292"/>
      <c r="M34" s="292"/>
      <c r="N34" s="292"/>
      <c r="O34" s="292"/>
      <c r="P34" s="294"/>
      <c r="Q34" s="294"/>
      <c r="R34" s="294"/>
      <c r="S34" s="294"/>
      <c r="T34" s="294"/>
      <c r="U34" s="294"/>
      <c r="V34" s="431"/>
      <c r="W34" s="331"/>
      <c r="X34" s="331"/>
      <c r="Y34" s="294">
        <f>IF(NFI_Expiration=1,IF($A34&lt;VLOOKUP(H$5,NFI,5,0),1,0)*Table_NFI[[#This Row],[Hygiene Kit]],Table_NFI[Hygiene Kit])</f>
        <v>0</v>
      </c>
      <c r="Z34" s="294">
        <f>IF(NFI_Expiration=1,IF($A34&lt;VLOOKUP(I$5,NFI,5,0),1,0)*Table_NFI[[#This Row],[NFI Core Kit]],Table_NFI[NFI Core Kit])</f>
        <v>0</v>
      </c>
      <c r="AA34" s="294">
        <f>IF(NFI_Expiration=1,IF($A34&lt;VLOOKUP(J$5,NFI,5,0),1,0)*Table_NFI[[#This Row],[Sanitary Kit]],Table_NFI[Sanitary Kit])</f>
        <v>0</v>
      </c>
      <c r="AB34" s="294">
        <f>IF(NFI_Expiration=1,IF($A34&lt;VLOOKUP(K$5,NFI,5,0),1,0)*Table_NFI[[#This Row],[Mosquito net]],Table_NFI[Mosquito net])</f>
        <v>0</v>
      </c>
      <c r="AC34" s="294">
        <f>IF(NFI_Expiration=1,IF($A34&lt;VLOOKUP(L$5,NFI,5,0),1,0)*Table_NFI[[#This Row],[Tarpaulin]],Table_NFI[[#This Row],[Tarpaulin]])</f>
        <v>0</v>
      </c>
      <c r="AD34" s="294">
        <f>IF(NFI_Expiration=1,IF($A34&lt;VLOOKUP(M$5,NFI,5,0),1,0)*Table_NFI[[#This Row],[Blanket]],Table_NFI[[#This Row],[Blanket]])</f>
        <v>0</v>
      </c>
      <c r="AE34" s="294">
        <f>IF(NFI_Expiration=1,IF($A34&lt;VLOOKUP(N$5,NFI,5,0),1,0)*Table_NFI[[#This Row],[Kitchen Set]],Table_NFI[Kitchen Set])</f>
        <v>0</v>
      </c>
      <c r="AF34" s="294">
        <f>IF(NFI_Expiration=1,IF($A34&lt;VLOOKUP(O$5,NFI,5,0),1,0)*Table_NFI[[#This Row],[Clothes Kit]],Table_NFI[Clothes Kit])</f>
        <v>0</v>
      </c>
      <c r="AG34" s="294">
        <f>IF(NFI_Expiration=1,IF($A34&lt;VLOOKUP(P$5,NFI,5,0),1,0)*Table_NFI[[#This Row],[Plastic Bucket]],Table_NFI[Plastic Bucket])</f>
        <v>0</v>
      </c>
      <c r="AH34" s="294">
        <f>IF(NFI_Expiration=1,IF($A34&lt;VLOOKUP(Q$5,NFI,5,0),1,0)*Table_NFI[[#This Row],[Plastic Mat]],Table_NFI[Plastic Mat])*IF(Table_NFI[[#This Row],[Distribution Date]]&gt;"2014-04-01",1,2.5)</f>
        <v>0</v>
      </c>
      <c r="AI34" s="294">
        <f>IF(NFI_Expiration=1,IF($A34&lt;VLOOKUP(R$5,NFI,5,0),1,0)*Table_NFI[[#This Row],[Winter Clothes Adult]],Table_NFI[Winter Clothes Adult])</f>
        <v>0</v>
      </c>
      <c r="AJ34" s="294">
        <f>IF(NFI_Expiration=1,IF($A34&lt;VLOOKUP(S$5,NFI,5,0),1,0)*Table_NFI[[#This Row],[Winter Clothes Children]],Table_NFI[Winter Clothes Children])</f>
        <v>0</v>
      </c>
      <c r="AK34" s="294">
        <f>IF(NFI_Expiration=1,IF($A34&lt;VLOOKUP(T$5,NFI,5,0),1,0)*Table_NFI[[#This Row],[Winter Items Other]],Table_NFI[Winter Items Other])</f>
        <v>0</v>
      </c>
      <c r="AL34" s="294">
        <f>IF(NFI_Expiration=1,IF($A34&lt;VLOOKUP(M$5,NFI,5,0),1,0)*Table_NFI[[#This Row],[Winter Blanket]],Table_NFI[[#This Row],[Winter Blanket]])</f>
        <v>0</v>
      </c>
      <c r="AM34" s="294">
        <f>IF(Table_NFI[[#This Row],[Winter Clothes Adult]]+Table_NFI[[#This Row],[Winter Clothes Children]]+Table_NFI[[#This Row],[Winter Items Other]]+Table_NFI[[#This Row],[Winter Blanket]]&gt;0,1,0)</f>
        <v>0</v>
      </c>
      <c r="AN34" s="331">
        <f>IF(NFI_Expiration=1,IF($A34&lt;VLOOKUP(V$5,NFI,5,0),1,0)*Table_NFI[[#This Row],[Jerry Can]],Table_NFI[Jerry Can])</f>
        <v>0</v>
      </c>
      <c r="AO34" s="331">
        <f>IF(NFI_Expiration=1,IF($A34&lt;VLOOKUP(V$5,NFI,5,0),1,0)*Table_NFI[[#This Row],[Shelter Tool kit]],Table_NFI[Shelter Tool kit])</f>
        <v>0</v>
      </c>
      <c r="AP34" s="331">
        <f>IF(NFI_Expiration=1,IF($A34&lt;VLOOKUP(V$5,NFI,5,0),1,0)*Table_NFI[[#This Row],[Tent]],Table_NFI[Tent])</f>
        <v>0</v>
      </c>
      <c r="AQ34" s="473" t="str">
        <f>IFERROR(VLOOKUP(Table_NFI[[#This Row],[Camp Name]],CL,2,0),"")</f>
        <v>MMR001CMP071</v>
      </c>
      <c r="AR34" s="468">
        <f ca="1">IF(Table_NFI[[#This Row],[Pcode]]="","",IF(OFFSET(CampList[Opening Date],MATCH(Table_NFI[[#This Row],[Pcode]],CampList[CP_Pcode],0)-1,0,1,1)&gt;=NFI_Monitor_Date,1,0))</f>
        <v>0</v>
      </c>
      <c r="AS34" s="473" t="str">
        <f>IFERROR(VLOOKUP(Table_NFI[[#This Row],[Camp Name]],CL,3,0),"")</f>
        <v>Open</v>
      </c>
      <c r="AT34" s="294" t="str">
        <f ca="1">IF(Table_NFI[[#This Row],[Pcode]]="","",OFFSET(CampList[Priority],MATCH(Table_NFI[[#This Row],[Pcode]],CampList[CP_Pcode],0)-1,0,1,1))</f>
        <v>P3</v>
      </c>
      <c r="AU34" s="293">
        <f>IFERROR(Table_NFI[[#This Row],[Kitchen Set]]/VLOOKUP(Table_NFI[[#This Row],[Camp Name]],CL,4,0),"")</f>
        <v>0</v>
      </c>
      <c r="AV34" s="466"/>
      <c r="AW34" s="469"/>
    </row>
    <row r="35" spans="1:49" s="470" customFormat="1" ht="15" customHeight="1" x14ac:dyDescent="0.25">
      <c r="A35" s="297">
        <f t="shared" si="0"/>
        <v>6.166666666666667</v>
      </c>
      <c r="B35" s="465">
        <v>42490</v>
      </c>
      <c r="C35" s="466" t="s">
        <v>905</v>
      </c>
      <c r="D35" s="467" t="s">
        <v>905</v>
      </c>
      <c r="E35" s="466" t="s">
        <v>380</v>
      </c>
      <c r="F35" s="290" t="s">
        <v>185</v>
      </c>
      <c r="G35" s="290" t="s">
        <v>223</v>
      </c>
      <c r="H35" s="291"/>
      <c r="I35" s="291"/>
      <c r="J35" s="292"/>
      <c r="K35" s="291"/>
      <c r="L35" s="292"/>
      <c r="M35" s="292"/>
      <c r="N35" s="292"/>
      <c r="O35" s="292"/>
      <c r="P35" s="294"/>
      <c r="Q35" s="294"/>
      <c r="R35" s="294"/>
      <c r="S35" s="294"/>
      <c r="T35" s="294"/>
      <c r="U35" s="294"/>
      <c r="V35" s="431"/>
      <c r="W35" s="331">
        <v>6</v>
      </c>
      <c r="X35" s="331"/>
      <c r="Y35" s="294">
        <f>IF(NFI_Expiration=1,IF($A35&lt;VLOOKUP(H$5,NFI,5,0),1,0)*Table_NFI[[#This Row],[Hygiene Kit]],Table_NFI[Hygiene Kit])</f>
        <v>0</v>
      </c>
      <c r="Z35" s="294">
        <f>IF(NFI_Expiration=1,IF($A35&lt;VLOOKUP(I$5,NFI,5,0),1,0)*Table_NFI[[#This Row],[NFI Core Kit]],Table_NFI[NFI Core Kit])</f>
        <v>0</v>
      </c>
      <c r="AA35" s="294">
        <f>IF(NFI_Expiration=1,IF($A35&lt;VLOOKUP(J$5,NFI,5,0),1,0)*Table_NFI[[#This Row],[Sanitary Kit]],Table_NFI[Sanitary Kit])</f>
        <v>0</v>
      </c>
      <c r="AB35" s="294">
        <f>IF(NFI_Expiration=1,IF($A35&lt;VLOOKUP(K$5,NFI,5,0),1,0)*Table_NFI[[#This Row],[Mosquito net]],Table_NFI[Mosquito net])</f>
        <v>0</v>
      </c>
      <c r="AC35" s="294">
        <f>IF(NFI_Expiration=1,IF($A35&lt;VLOOKUP(L$5,NFI,5,0),1,0)*Table_NFI[[#This Row],[Tarpaulin]],Table_NFI[[#This Row],[Tarpaulin]])</f>
        <v>0</v>
      </c>
      <c r="AD35" s="294">
        <f>IF(NFI_Expiration=1,IF($A35&lt;VLOOKUP(M$5,NFI,5,0),1,0)*Table_NFI[[#This Row],[Blanket]],Table_NFI[[#This Row],[Blanket]])</f>
        <v>0</v>
      </c>
      <c r="AE35" s="294">
        <f>IF(NFI_Expiration=1,IF($A35&lt;VLOOKUP(N$5,NFI,5,0),1,0)*Table_NFI[[#This Row],[Kitchen Set]],Table_NFI[Kitchen Set])</f>
        <v>0</v>
      </c>
      <c r="AF35" s="294">
        <f>IF(NFI_Expiration=1,IF($A35&lt;VLOOKUP(O$5,NFI,5,0),1,0)*Table_NFI[[#This Row],[Clothes Kit]],Table_NFI[Clothes Kit])</f>
        <v>0</v>
      </c>
      <c r="AG35" s="294">
        <f>IF(NFI_Expiration=1,IF($A35&lt;VLOOKUP(P$5,NFI,5,0),1,0)*Table_NFI[[#This Row],[Plastic Bucket]],Table_NFI[Plastic Bucket])</f>
        <v>0</v>
      </c>
      <c r="AH35" s="294">
        <f>IF(NFI_Expiration=1,IF($A35&lt;VLOOKUP(Q$5,NFI,5,0),1,0)*Table_NFI[[#This Row],[Plastic Mat]],Table_NFI[Plastic Mat])*IF(Table_NFI[[#This Row],[Distribution Date]]&gt;"2014-04-01",1,2.5)</f>
        <v>0</v>
      </c>
      <c r="AI35" s="294">
        <f>IF(NFI_Expiration=1,IF($A35&lt;VLOOKUP(R$5,NFI,5,0),1,0)*Table_NFI[[#This Row],[Winter Clothes Adult]],Table_NFI[Winter Clothes Adult])</f>
        <v>0</v>
      </c>
      <c r="AJ35" s="294">
        <f>IF(NFI_Expiration=1,IF($A35&lt;VLOOKUP(S$5,NFI,5,0),1,0)*Table_NFI[[#This Row],[Winter Clothes Children]],Table_NFI[Winter Clothes Children])</f>
        <v>0</v>
      </c>
      <c r="AK35" s="294">
        <f>IF(NFI_Expiration=1,IF($A35&lt;VLOOKUP(T$5,NFI,5,0),1,0)*Table_NFI[[#This Row],[Winter Items Other]],Table_NFI[Winter Items Other])</f>
        <v>0</v>
      </c>
      <c r="AL35" s="294">
        <f>IF(NFI_Expiration=1,IF($A35&lt;VLOOKUP(M$5,NFI,5,0),1,0)*Table_NFI[[#This Row],[Winter Blanket]],Table_NFI[[#This Row],[Winter Blanket]])</f>
        <v>0</v>
      </c>
      <c r="AM35" s="294">
        <f>IF(Table_NFI[[#This Row],[Winter Clothes Adult]]+Table_NFI[[#This Row],[Winter Clothes Children]]+Table_NFI[[#This Row],[Winter Items Other]]+Table_NFI[[#This Row],[Winter Blanket]]&gt;0,1,0)</f>
        <v>0</v>
      </c>
      <c r="AN35" s="331">
        <f>IF(NFI_Expiration=1,IF($A35&lt;VLOOKUP(V$5,NFI,5,0),1,0)*Table_NFI[[#This Row],[Jerry Can]],Table_NFI[Jerry Can])</f>
        <v>0</v>
      </c>
      <c r="AO35" s="331">
        <f>IF(NFI_Expiration=1,IF($A35&lt;VLOOKUP(V$5,NFI,5,0),1,0)*Table_NFI[[#This Row],[Shelter Tool kit]],Table_NFI[Shelter Tool kit])</f>
        <v>6</v>
      </c>
      <c r="AP35" s="331">
        <f>IF(NFI_Expiration=1,IF($A35&lt;VLOOKUP(V$5,NFI,5,0),1,0)*Table_NFI[[#This Row],[Tent]],Table_NFI[Tent])</f>
        <v>0</v>
      </c>
      <c r="AQ35" s="473" t="str">
        <f>IFERROR(VLOOKUP(Table_NFI[[#This Row],[Camp Name]],CL,2,0),"")</f>
        <v>MMR001CMP069</v>
      </c>
      <c r="AR35" s="468">
        <f ca="1">IF(Table_NFI[[#This Row],[Pcode]]="","",IF(OFFSET(CampList[Opening Date],MATCH(Table_NFI[[#This Row],[Pcode]],CampList[CP_Pcode],0)-1,0,1,1)&gt;=NFI_Monitor_Date,1,0))</f>
        <v>0</v>
      </c>
      <c r="AS35" s="473" t="str">
        <f>IFERROR(VLOOKUP(Table_NFI[[#This Row],[Camp Name]],CL,3,0),"")</f>
        <v>Open</v>
      </c>
      <c r="AT35" s="294" t="str">
        <f ca="1">IF(Table_NFI[[#This Row],[Pcode]]="","",OFFSET(CampList[Priority],MATCH(Table_NFI[[#This Row],[Pcode]],CampList[CP_Pcode],0)-1,0,1,1))</f>
        <v>P3</v>
      </c>
      <c r="AU35" s="293">
        <f>IFERROR(Table_NFI[[#This Row],[Kitchen Set]]/VLOOKUP(Table_NFI[[#This Row],[Camp Name]],CL,4,0),"")</f>
        <v>0</v>
      </c>
      <c r="AV35" s="466"/>
      <c r="AW35" s="469"/>
    </row>
    <row r="36" spans="1:49" s="470" customFormat="1" x14ac:dyDescent="0.25">
      <c r="A36" s="297">
        <f t="shared" si="0"/>
        <v>6.166666666666667</v>
      </c>
      <c r="B36" s="465">
        <v>42490</v>
      </c>
      <c r="C36" s="466" t="s">
        <v>905</v>
      </c>
      <c r="D36" s="467" t="s">
        <v>905</v>
      </c>
      <c r="E36" s="466" t="s">
        <v>380</v>
      </c>
      <c r="F36" s="290" t="s">
        <v>185</v>
      </c>
      <c r="G36" s="290" t="s">
        <v>190</v>
      </c>
      <c r="H36" s="291"/>
      <c r="I36" s="291"/>
      <c r="J36" s="292"/>
      <c r="K36" s="291"/>
      <c r="L36" s="292"/>
      <c r="M36" s="292"/>
      <c r="N36" s="292"/>
      <c r="O36" s="292"/>
      <c r="P36" s="294"/>
      <c r="Q36" s="294"/>
      <c r="R36" s="294"/>
      <c r="S36" s="294"/>
      <c r="T36" s="294"/>
      <c r="U36" s="294"/>
      <c r="V36" s="431"/>
      <c r="W36" s="331">
        <v>14</v>
      </c>
      <c r="X36" s="331"/>
      <c r="Y36" s="294">
        <f>IF(NFI_Expiration=1,IF($A36&lt;VLOOKUP(H$5,NFI,5,0),1,0)*Table_NFI[[#This Row],[Hygiene Kit]],Table_NFI[Hygiene Kit])</f>
        <v>0</v>
      </c>
      <c r="Z36" s="294">
        <f>IF(NFI_Expiration=1,IF($A36&lt;VLOOKUP(I$5,NFI,5,0),1,0)*Table_NFI[[#This Row],[NFI Core Kit]],Table_NFI[NFI Core Kit])</f>
        <v>0</v>
      </c>
      <c r="AA36" s="294">
        <f>IF(NFI_Expiration=1,IF($A36&lt;VLOOKUP(J$5,NFI,5,0),1,0)*Table_NFI[[#This Row],[Sanitary Kit]],Table_NFI[Sanitary Kit])</f>
        <v>0</v>
      </c>
      <c r="AB36" s="294">
        <f>IF(NFI_Expiration=1,IF($A36&lt;VLOOKUP(K$5,NFI,5,0),1,0)*Table_NFI[[#This Row],[Mosquito net]],Table_NFI[Mosquito net])</f>
        <v>0</v>
      </c>
      <c r="AC36" s="294">
        <f>IF(NFI_Expiration=1,IF($A36&lt;VLOOKUP(L$5,NFI,5,0),1,0)*Table_NFI[[#This Row],[Tarpaulin]],Table_NFI[[#This Row],[Tarpaulin]])</f>
        <v>0</v>
      </c>
      <c r="AD36" s="294">
        <f>IF(NFI_Expiration=1,IF($A36&lt;VLOOKUP(M$5,NFI,5,0),1,0)*Table_NFI[[#This Row],[Blanket]],Table_NFI[[#This Row],[Blanket]])</f>
        <v>0</v>
      </c>
      <c r="AE36" s="294">
        <f>IF(NFI_Expiration=1,IF($A36&lt;VLOOKUP(N$5,NFI,5,0),1,0)*Table_NFI[[#This Row],[Kitchen Set]],Table_NFI[Kitchen Set])</f>
        <v>0</v>
      </c>
      <c r="AF36" s="294">
        <f>IF(NFI_Expiration=1,IF($A36&lt;VLOOKUP(O$5,NFI,5,0),1,0)*Table_NFI[[#This Row],[Clothes Kit]],Table_NFI[Clothes Kit])</f>
        <v>0</v>
      </c>
      <c r="AG36" s="294">
        <f>IF(NFI_Expiration=1,IF($A36&lt;VLOOKUP(P$5,NFI,5,0),1,0)*Table_NFI[[#This Row],[Plastic Bucket]],Table_NFI[Plastic Bucket])</f>
        <v>0</v>
      </c>
      <c r="AH36" s="294">
        <f>IF(NFI_Expiration=1,IF($A36&lt;VLOOKUP(Q$5,NFI,5,0),1,0)*Table_NFI[[#This Row],[Plastic Mat]],Table_NFI[Plastic Mat])*IF(Table_NFI[[#This Row],[Distribution Date]]&gt;"2014-04-01",1,2.5)</f>
        <v>0</v>
      </c>
      <c r="AI36" s="294">
        <f>IF(NFI_Expiration=1,IF($A36&lt;VLOOKUP(R$5,NFI,5,0),1,0)*Table_NFI[[#This Row],[Winter Clothes Adult]],Table_NFI[Winter Clothes Adult])</f>
        <v>0</v>
      </c>
      <c r="AJ36" s="294">
        <f>IF(NFI_Expiration=1,IF($A36&lt;VLOOKUP(S$5,NFI,5,0),1,0)*Table_NFI[[#This Row],[Winter Clothes Children]],Table_NFI[Winter Clothes Children])</f>
        <v>0</v>
      </c>
      <c r="AK36" s="294">
        <f>IF(NFI_Expiration=1,IF($A36&lt;VLOOKUP(T$5,NFI,5,0),1,0)*Table_NFI[[#This Row],[Winter Items Other]],Table_NFI[Winter Items Other])</f>
        <v>0</v>
      </c>
      <c r="AL36" s="294">
        <f>IF(NFI_Expiration=1,IF($A36&lt;VLOOKUP(M$5,NFI,5,0),1,0)*Table_NFI[[#This Row],[Winter Blanket]],Table_NFI[[#This Row],[Winter Blanket]])</f>
        <v>0</v>
      </c>
      <c r="AM36" s="294">
        <f>IF(Table_NFI[[#This Row],[Winter Clothes Adult]]+Table_NFI[[#This Row],[Winter Clothes Children]]+Table_NFI[[#This Row],[Winter Items Other]]+Table_NFI[[#This Row],[Winter Blanket]]&gt;0,1,0)</f>
        <v>0</v>
      </c>
      <c r="AN36" s="331">
        <f>IF(NFI_Expiration=1,IF($A36&lt;VLOOKUP(V$5,NFI,5,0),1,0)*Table_NFI[[#This Row],[Jerry Can]],Table_NFI[Jerry Can])</f>
        <v>0</v>
      </c>
      <c r="AO36" s="331">
        <f>IF(NFI_Expiration=1,IF($A36&lt;VLOOKUP(V$5,NFI,5,0),1,0)*Table_NFI[[#This Row],[Shelter Tool kit]],Table_NFI[Shelter Tool kit])</f>
        <v>14</v>
      </c>
      <c r="AP36" s="331">
        <f>IF(NFI_Expiration=1,IF($A36&lt;VLOOKUP(V$5,NFI,5,0),1,0)*Table_NFI[[#This Row],[Tent]],Table_NFI[Tent])</f>
        <v>0</v>
      </c>
      <c r="AQ36" s="473" t="str">
        <f>IFERROR(VLOOKUP(Table_NFI[[#This Row],[Camp Name]],CL,2,0),"")</f>
        <v>MMR001CMP070</v>
      </c>
      <c r="AR36" s="468">
        <f ca="1">IF(Table_NFI[[#This Row],[Pcode]]="","",IF(OFFSET(CampList[Opening Date],MATCH(Table_NFI[[#This Row],[Pcode]],CampList[CP_Pcode],0)-1,0,1,1)&gt;=NFI_Monitor_Date,1,0))</f>
        <v>0</v>
      </c>
      <c r="AS36" s="473" t="str">
        <f>IFERROR(VLOOKUP(Table_NFI[[#This Row],[Camp Name]],CL,3,0),"")</f>
        <v>Open</v>
      </c>
      <c r="AT36" s="294" t="str">
        <f ca="1">IF(Table_NFI[[#This Row],[Pcode]]="","",OFFSET(CampList[Priority],MATCH(Table_NFI[[#This Row],[Pcode]],CampList[CP_Pcode],0)-1,0,1,1))</f>
        <v>P3</v>
      </c>
      <c r="AU36" s="293">
        <f>IFERROR(Table_NFI[[#This Row],[Kitchen Set]]/VLOOKUP(Table_NFI[[#This Row],[Camp Name]],CL,4,0),"")</f>
        <v>0</v>
      </c>
      <c r="AV36" s="466"/>
      <c r="AW36" s="469"/>
    </row>
    <row r="37" spans="1:49" s="470" customFormat="1" x14ac:dyDescent="0.25">
      <c r="A37" s="297">
        <f t="shared" si="0"/>
        <v>6.166666666666667</v>
      </c>
      <c r="B37" s="465">
        <v>42490</v>
      </c>
      <c r="C37" s="466" t="s">
        <v>905</v>
      </c>
      <c r="D37" s="466" t="s">
        <v>905</v>
      </c>
      <c r="E37" s="466" t="s">
        <v>380</v>
      </c>
      <c r="F37" s="290" t="s">
        <v>185</v>
      </c>
      <c r="G37" s="290" t="s">
        <v>229</v>
      </c>
      <c r="H37" s="291"/>
      <c r="I37" s="291"/>
      <c r="J37" s="292"/>
      <c r="K37" s="291"/>
      <c r="L37" s="292"/>
      <c r="M37" s="292"/>
      <c r="N37" s="292"/>
      <c r="O37" s="292"/>
      <c r="P37" s="294"/>
      <c r="Q37" s="294"/>
      <c r="R37" s="294"/>
      <c r="S37" s="294"/>
      <c r="T37" s="294"/>
      <c r="U37" s="294"/>
      <c r="V37" s="431"/>
      <c r="W37" s="294">
        <v>5</v>
      </c>
      <c r="X37" s="294"/>
      <c r="Y37" s="294">
        <f>IF(NFI_Expiration=1,IF($A37&lt;VLOOKUP(H$5,NFI,5,0),1,0)*Table_NFI[[#This Row],[Hygiene Kit]],Table_NFI[Hygiene Kit])</f>
        <v>0</v>
      </c>
      <c r="Z37" s="294">
        <f>IF(NFI_Expiration=1,IF($A37&lt;VLOOKUP(I$5,NFI,5,0),1,0)*Table_NFI[[#This Row],[NFI Core Kit]],Table_NFI[NFI Core Kit])</f>
        <v>0</v>
      </c>
      <c r="AA37" s="294">
        <f>IF(NFI_Expiration=1,IF($A37&lt;VLOOKUP(J$5,NFI,5,0),1,0)*Table_NFI[[#This Row],[Sanitary Kit]],Table_NFI[Sanitary Kit])</f>
        <v>0</v>
      </c>
      <c r="AB37" s="294">
        <f>IF(NFI_Expiration=1,IF($A37&lt;VLOOKUP(K$5,NFI,5,0),1,0)*Table_NFI[[#This Row],[Mosquito net]],Table_NFI[Mosquito net])</f>
        <v>0</v>
      </c>
      <c r="AC37" s="294">
        <f>IF(NFI_Expiration=1,IF($A37&lt;VLOOKUP(L$5,NFI,5,0),1,0)*Table_NFI[[#This Row],[Tarpaulin]],Table_NFI[[#This Row],[Tarpaulin]])</f>
        <v>0</v>
      </c>
      <c r="AD37" s="294">
        <f>IF(NFI_Expiration=1,IF($A37&lt;VLOOKUP(M$5,NFI,5,0),1,0)*Table_NFI[[#This Row],[Blanket]],Table_NFI[[#This Row],[Blanket]])</f>
        <v>0</v>
      </c>
      <c r="AE37" s="294">
        <f>IF(NFI_Expiration=1,IF($A37&lt;VLOOKUP(N$5,NFI,5,0),1,0)*Table_NFI[[#This Row],[Kitchen Set]],Table_NFI[Kitchen Set])</f>
        <v>0</v>
      </c>
      <c r="AF37" s="294">
        <f>IF(NFI_Expiration=1,IF($A37&lt;VLOOKUP(O$5,NFI,5,0),1,0)*Table_NFI[[#This Row],[Clothes Kit]],Table_NFI[Clothes Kit])</f>
        <v>0</v>
      </c>
      <c r="AG37" s="294">
        <f>IF(NFI_Expiration=1,IF($A37&lt;VLOOKUP(P$5,NFI,5,0),1,0)*Table_NFI[[#This Row],[Plastic Bucket]],Table_NFI[Plastic Bucket])</f>
        <v>0</v>
      </c>
      <c r="AH37" s="294">
        <f>IF(NFI_Expiration=1,IF($A37&lt;VLOOKUP(Q$5,NFI,5,0),1,0)*Table_NFI[[#This Row],[Plastic Mat]],Table_NFI[Plastic Mat])*IF(Table_NFI[[#This Row],[Distribution Date]]&gt;"2014-04-01",1,2.5)</f>
        <v>0</v>
      </c>
      <c r="AI37" s="294">
        <f>IF(NFI_Expiration=1,IF($A37&lt;VLOOKUP(R$5,NFI,5,0),1,0)*Table_NFI[[#This Row],[Winter Clothes Adult]],Table_NFI[Winter Clothes Adult])</f>
        <v>0</v>
      </c>
      <c r="AJ37" s="294">
        <f>IF(NFI_Expiration=1,IF($A37&lt;VLOOKUP(S$5,NFI,5,0),1,0)*Table_NFI[[#This Row],[Winter Clothes Children]],Table_NFI[Winter Clothes Children])</f>
        <v>0</v>
      </c>
      <c r="AK37" s="294">
        <f>IF(NFI_Expiration=1,IF($A37&lt;VLOOKUP(T$5,NFI,5,0),1,0)*Table_NFI[[#This Row],[Winter Items Other]],Table_NFI[Winter Items Other])</f>
        <v>0</v>
      </c>
      <c r="AL37" s="294">
        <f>IF(NFI_Expiration=1,IF($A37&lt;VLOOKUP(M$5,NFI,5,0),1,0)*Table_NFI[[#This Row],[Winter Blanket]],Table_NFI[[#This Row],[Winter Blanket]])</f>
        <v>0</v>
      </c>
      <c r="AM37" s="294">
        <f>IF(Table_NFI[[#This Row],[Winter Clothes Adult]]+Table_NFI[[#This Row],[Winter Clothes Children]]+Table_NFI[[#This Row],[Winter Items Other]]+Table_NFI[[#This Row],[Winter Blanket]]&gt;0,1,0)</f>
        <v>0</v>
      </c>
      <c r="AN37" s="331">
        <f>IF(NFI_Expiration=1,IF($A37&lt;VLOOKUP(V$5,NFI,5,0),1,0)*Table_NFI[[#This Row],[Jerry Can]],Table_NFI[Jerry Can])</f>
        <v>0</v>
      </c>
      <c r="AO37" s="331">
        <f>IF(NFI_Expiration=1,IF($A37&lt;VLOOKUP(V$5,NFI,5,0),1,0)*Table_NFI[[#This Row],[Shelter Tool kit]],Table_NFI[Shelter Tool kit])</f>
        <v>5</v>
      </c>
      <c r="AP37" s="331">
        <f>IF(NFI_Expiration=1,IF($A37&lt;VLOOKUP(V$5,NFI,5,0),1,0)*Table_NFI[[#This Row],[Tent]],Table_NFI[Tent])</f>
        <v>0</v>
      </c>
      <c r="AQ37" s="473" t="str">
        <f>IFERROR(VLOOKUP(Table_NFI[[#This Row],[Camp Name]],CL,2,0),"")</f>
        <v>MMR001CMP072</v>
      </c>
      <c r="AR37" s="468">
        <f ca="1">IF(Table_NFI[[#This Row],[Pcode]]="","",IF(OFFSET(CampList[Opening Date],MATCH(Table_NFI[[#This Row],[Pcode]],CampList[CP_Pcode],0)-1,0,1,1)&gt;=NFI_Monitor_Date,1,0))</f>
        <v>0</v>
      </c>
      <c r="AS37" s="473" t="str">
        <f>IFERROR(VLOOKUP(Table_NFI[[#This Row],[Camp Name]],CL,3,0),"")</f>
        <v>Open</v>
      </c>
      <c r="AT37" s="294" t="str">
        <f ca="1">IF(Table_NFI[[#This Row],[Pcode]]="","",OFFSET(CampList[Priority],MATCH(Table_NFI[[#This Row],[Pcode]],CampList[CP_Pcode],0)-1,0,1,1))</f>
        <v>P3</v>
      </c>
      <c r="AU37" s="293">
        <f>IFERROR(Table_NFI[[#This Row],[Kitchen Set]]/VLOOKUP(Table_NFI[[#This Row],[Camp Name]],CL,4,0),"")</f>
        <v>0</v>
      </c>
      <c r="AV37" s="466"/>
      <c r="AW37" s="469"/>
    </row>
    <row r="38" spans="1:49" s="470" customFormat="1" x14ac:dyDescent="0.25">
      <c r="A38" s="297">
        <f t="shared" si="0"/>
        <v>6.166666666666667</v>
      </c>
      <c r="B38" s="465">
        <v>42490</v>
      </c>
      <c r="C38" s="466" t="s">
        <v>905</v>
      </c>
      <c r="D38" s="467" t="s">
        <v>905</v>
      </c>
      <c r="E38" s="466" t="s">
        <v>380</v>
      </c>
      <c r="F38" s="290" t="s">
        <v>185</v>
      </c>
      <c r="G38" s="290" t="s">
        <v>225</v>
      </c>
      <c r="H38" s="291"/>
      <c r="I38" s="291"/>
      <c r="J38" s="292"/>
      <c r="K38" s="291"/>
      <c r="L38" s="292"/>
      <c r="M38" s="292"/>
      <c r="N38" s="292"/>
      <c r="O38" s="292"/>
      <c r="P38" s="294"/>
      <c r="Q38" s="294"/>
      <c r="R38" s="294"/>
      <c r="S38" s="294"/>
      <c r="T38" s="294"/>
      <c r="U38" s="294"/>
      <c r="V38" s="431"/>
      <c r="W38" s="331">
        <v>4</v>
      </c>
      <c r="X38" s="331"/>
      <c r="Y38" s="294">
        <f>IF(NFI_Expiration=1,IF($A38&lt;VLOOKUP(H$5,NFI,5,0),1,0)*Table_NFI[[#This Row],[Hygiene Kit]],Table_NFI[Hygiene Kit])</f>
        <v>0</v>
      </c>
      <c r="Z38" s="294">
        <f>IF(NFI_Expiration=1,IF($A38&lt;VLOOKUP(I$5,NFI,5,0),1,0)*Table_NFI[[#This Row],[NFI Core Kit]],Table_NFI[NFI Core Kit])</f>
        <v>0</v>
      </c>
      <c r="AA38" s="294">
        <f>IF(NFI_Expiration=1,IF($A38&lt;VLOOKUP(J$5,NFI,5,0),1,0)*Table_NFI[[#This Row],[Sanitary Kit]],Table_NFI[Sanitary Kit])</f>
        <v>0</v>
      </c>
      <c r="AB38" s="294">
        <f>IF(NFI_Expiration=1,IF($A38&lt;VLOOKUP(K$5,NFI,5,0),1,0)*Table_NFI[[#This Row],[Mosquito net]],Table_NFI[Mosquito net])</f>
        <v>0</v>
      </c>
      <c r="AC38" s="294">
        <f>IF(NFI_Expiration=1,IF($A38&lt;VLOOKUP(L$5,NFI,5,0),1,0)*Table_NFI[[#This Row],[Tarpaulin]],Table_NFI[[#This Row],[Tarpaulin]])</f>
        <v>0</v>
      </c>
      <c r="AD38" s="294">
        <f>IF(NFI_Expiration=1,IF($A38&lt;VLOOKUP(M$5,NFI,5,0),1,0)*Table_NFI[[#This Row],[Blanket]],Table_NFI[[#This Row],[Blanket]])</f>
        <v>0</v>
      </c>
      <c r="AE38" s="294">
        <f>IF(NFI_Expiration=1,IF($A38&lt;VLOOKUP(N$5,NFI,5,0),1,0)*Table_NFI[[#This Row],[Kitchen Set]],Table_NFI[Kitchen Set])</f>
        <v>0</v>
      </c>
      <c r="AF38" s="294">
        <f>IF(NFI_Expiration=1,IF($A38&lt;VLOOKUP(O$5,NFI,5,0),1,0)*Table_NFI[[#This Row],[Clothes Kit]],Table_NFI[Clothes Kit])</f>
        <v>0</v>
      </c>
      <c r="AG38" s="294">
        <f>IF(NFI_Expiration=1,IF($A38&lt;VLOOKUP(P$5,NFI,5,0),1,0)*Table_NFI[[#This Row],[Plastic Bucket]],Table_NFI[Plastic Bucket])</f>
        <v>0</v>
      </c>
      <c r="AH38" s="294">
        <f>IF(NFI_Expiration=1,IF($A38&lt;VLOOKUP(Q$5,NFI,5,0),1,0)*Table_NFI[[#This Row],[Plastic Mat]],Table_NFI[Plastic Mat])*IF(Table_NFI[[#This Row],[Distribution Date]]&gt;"2014-04-01",1,2.5)</f>
        <v>0</v>
      </c>
      <c r="AI38" s="294">
        <f>IF(NFI_Expiration=1,IF($A38&lt;VLOOKUP(R$5,NFI,5,0),1,0)*Table_NFI[[#This Row],[Winter Clothes Adult]],Table_NFI[Winter Clothes Adult])</f>
        <v>0</v>
      </c>
      <c r="AJ38" s="294">
        <f>IF(NFI_Expiration=1,IF($A38&lt;VLOOKUP(S$5,NFI,5,0),1,0)*Table_NFI[[#This Row],[Winter Clothes Children]],Table_NFI[Winter Clothes Children])</f>
        <v>0</v>
      </c>
      <c r="AK38" s="294">
        <f>IF(NFI_Expiration=1,IF($A38&lt;VLOOKUP(T$5,NFI,5,0),1,0)*Table_NFI[[#This Row],[Winter Items Other]],Table_NFI[Winter Items Other])</f>
        <v>0</v>
      </c>
      <c r="AL38" s="294">
        <f>IF(NFI_Expiration=1,IF($A38&lt;VLOOKUP(M$5,NFI,5,0),1,0)*Table_NFI[[#This Row],[Winter Blanket]],Table_NFI[[#This Row],[Winter Blanket]])</f>
        <v>0</v>
      </c>
      <c r="AM38" s="294">
        <f>IF(Table_NFI[[#This Row],[Winter Clothes Adult]]+Table_NFI[[#This Row],[Winter Clothes Children]]+Table_NFI[[#This Row],[Winter Items Other]]+Table_NFI[[#This Row],[Winter Blanket]]&gt;0,1,0)</f>
        <v>0</v>
      </c>
      <c r="AN38" s="331">
        <f>IF(NFI_Expiration=1,IF($A38&lt;VLOOKUP(V$5,NFI,5,0),1,0)*Table_NFI[[#This Row],[Jerry Can]],Table_NFI[Jerry Can])</f>
        <v>0</v>
      </c>
      <c r="AO38" s="331">
        <f>IF(NFI_Expiration=1,IF($A38&lt;VLOOKUP(V$5,NFI,5,0),1,0)*Table_NFI[[#This Row],[Shelter Tool kit]],Table_NFI[Shelter Tool kit])</f>
        <v>4</v>
      </c>
      <c r="AP38" s="331">
        <f>IF(NFI_Expiration=1,IF($A38&lt;VLOOKUP(V$5,NFI,5,0),1,0)*Table_NFI[[#This Row],[Tent]],Table_NFI[Tent])</f>
        <v>0</v>
      </c>
      <c r="AQ38" s="473" t="str">
        <f>IFERROR(VLOOKUP(Table_NFI[[#This Row],[Camp Name]],CL,2,0),"")</f>
        <v>MMR001CMP073</v>
      </c>
      <c r="AR38" s="468">
        <f ca="1">IF(Table_NFI[[#This Row],[Pcode]]="","",IF(OFFSET(CampList[Opening Date],MATCH(Table_NFI[[#This Row],[Pcode]],CampList[CP_Pcode],0)-1,0,1,1)&gt;=NFI_Monitor_Date,1,0))</f>
        <v>0</v>
      </c>
      <c r="AS38" s="473" t="str">
        <f>IFERROR(VLOOKUP(Table_NFI[[#This Row],[Camp Name]],CL,3,0),"")</f>
        <v>Open</v>
      </c>
      <c r="AT38" s="294" t="str">
        <f ca="1">IF(Table_NFI[[#This Row],[Pcode]]="","",OFFSET(CampList[Priority],MATCH(Table_NFI[[#This Row],[Pcode]],CampList[CP_Pcode],0)-1,0,1,1))</f>
        <v>P3</v>
      </c>
      <c r="AU38" s="293">
        <f>IFERROR(Table_NFI[[#This Row],[Kitchen Set]]/VLOOKUP(Table_NFI[[#This Row],[Camp Name]],CL,4,0),"")</f>
        <v>0</v>
      </c>
      <c r="AV38" s="466"/>
      <c r="AW38" s="469"/>
    </row>
    <row r="39" spans="1:49" s="470" customFormat="1" x14ac:dyDescent="0.25">
      <c r="A39" s="297">
        <f t="shared" si="0"/>
        <v>6.2</v>
      </c>
      <c r="B39" s="465">
        <v>42489</v>
      </c>
      <c r="C39" s="466" t="s">
        <v>905</v>
      </c>
      <c r="D39" s="466" t="s">
        <v>905</v>
      </c>
      <c r="E39" s="466" t="s">
        <v>380</v>
      </c>
      <c r="F39" s="290" t="s">
        <v>5</v>
      </c>
      <c r="G39" s="290" t="s">
        <v>6</v>
      </c>
      <c r="H39" s="291"/>
      <c r="I39" s="291"/>
      <c r="J39" s="291"/>
      <c r="K39" s="291"/>
      <c r="L39" s="292"/>
      <c r="M39" s="292"/>
      <c r="N39" s="292"/>
      <c r="O39" s="292"/>
      <c r="P39" s="294"/>
      <c r="Q39" s="294"/>
      <c r="R39" s="294"/>
      <c r="S39" s="294"/>
      <c r="T39" s="294"/>
      <c r="U39" s="294"/>
      <c r="V39" s="431"/>
      <c r="W39" s="331">
        <v>74</v>
      </c>
      <c r="X39" s="331"/>
      <c r="Y39" s="294">
        <f>IF(NFI_Expiration=1,IF($A39&lt;VLOOKUP(H$5,NFI,5,0),1,0)*Table_NFI[[#This Row],[Hygiene Kit]],Table_NFI[Hygiene Kit])</f>
        <v>0</v>
      </c>
      <c r="Z39" s="294">
        <f>IF(NFI_Expiration=1,IF($A39&lt;VLOOKUP(I$5,NFI,5,0),1,0)*Table_NFI[[#This Row],[NFI Core Kit]],Table_NFI[NFI Core Kit])</f>
        <v>0</v>
      </c>
      <c r="AA39" s="294">
        <f>IF(NFI_Expiration=1,IF($A39&lt;VLOOKUP(J$5,NFI,5,0),1,0)*Table_NFI[[#This Row],[Sanitary Kit]],Table_NFI[Sanitary Kit])</f>
        <v>0</v>
      </c>
      <c r="AB39" s="294">
        <f>IF(NFI_Expiration=1,IF($A39&lt;VLOOKUP(K$5,NFI,5,0),1,0)*Table_NFI[[#This Row],[Mosquito net]],Table_NFI[Mosquito net])</f>
        <v>0</v>
      </c>
      <c r="AC39" s="294">
        <f>IF(NFI_Expiration=1,IF($A39&lt;VLOOKUP(L$5,NFI,5,0),1,0)*Table_NFI[[#This Row],[Tarpaulin]],Table_NFI[[#This Row],[Tarpaulin]])</f>
        <v>0</v>
      </c>
      <c r="AD39" s="294">
        <f>IF(NFI_Expiration=1,IF($A39&lt;VLOOKUP(M$5,NFI,5,0),1,0)*Table_NFI[[#This Row],[Blanket]],Table_NFI[[#This Row],[Blanket]])</f>
        <v>0</v>
      </c>
      <c r="AE39" s="294">
        <f>IF(NFI_Expiration=1,IF($A39&lt;VLOOKUP(N$5,NFI,5,0),1,0)*Table_NFI[[#This Row],[Kitchen Set]],Table_NFI[Kitchen Set])</f>
        <v>0</v>
      </c>
      <c r="AF39" s="294">
        <f>IF(NFI_Expiration=1,IF($A39&lt;VLOOKUP(O$5,NFI,5,0),1,0)*Table_NFI[[#This Row],[Clothes Kit]],Table_NFI[Clothes Kit])</f>
        <v>0</v>
      </c>
      <c r="AG39" s="294">
        <f>IF(NFI_Expiration=1,IF($A39&lt;VLOOKUP(P$5,NFI,5,0),1,0)*Table_NFI[[#This Row],[Plastic Bucket]],Table_NFI[Plastic Bucket])</f>
        <v>0</v>
      </c>
      <c r="AH39" s="294">
        <f>IF(NFI_Expiration=1,IF($A39&lt;VLOOKUP(Q$5,NFI,5,0),1,0)*Table_NFI[[#This Row],[Plastic Mat]],Table_NFI[Plastic Mat])*IF(Table_NFI[[#This Row],[Distribution Date]]&gt;"2014-04-01",1,2.5)</f>
        <v>0</v>
      </c>
      <c r="AI39" s="294">
        <f>IF(NFI_Expiration=1,IF($A39&lt;VLOOKUP(R$5,NFI,5,0),1,0)*Table_NFI[[#This Row],[Winter Clothes Adult]],Table_NFI[Winter Clothes Adult])</f>
        <v>0</v>
      </c>
      <c r="AJ39" s="294">
        <f>IF(NFI_Expiration=1,IF($A39&lt;VLOOKUP(S$5,NFI,5,0),1,0)*Table_NFI[[#This Row],[Winter Clothes Children]],Table_NFI[Winter Clothes Children])</f>
        <v>0</v>
      </c>
      <c r="AK39" s="294">
        <f>IF(NFI_Expiration=1,IF($A39&lt;VLOOKUP(T$5,NFI,5,0),1,0)*Table_NFI[[#This Row],[Winter Items Other]],Table_NFI[Winter Items Other])</f>
        <v>0</v>
      </c>
      <c r="AL39" s="294">
        <f>IF(NFI_Expiration=1,IF($A39&lt;VLOOKUP(M$5,NFI,5,0),1,0)*Table_NFI[[#This Row],[Winter Blanket]],Table_NFI[[#This Row],[Winter Blanket]])</f>
        <v>0</v>
      </c>
      <c r="AM39" s="294">
        <f>IF(Table_NFI[[#This Row],[Winter Clothes Adult]]+Table_NFI[[#This Row],[Winter Clothes Children]]+Table_NFI[[#This Row],[Winter Items Other]]+Table_NFI[[#This Row],[Winter Blanket]]&gt;0,1,0)</f>
        <v>0</v>
      </c>
      <c r="AN39" s="331">
        <f>IF(NFI_Expiration=1,IF($A39&lt;VLOOKUP(V$5,NFI,5,0),1,0)*Table_NFI[[#This Row],[Jerry Can]],Table_NFI[Jerry Can])</f>
        <v>0</v>
      </c>
      <c r="AO39" s="331">
        <f>IF(NFI_Expiration=1,IF($A39&lt;VLOOKUP(V$5,NFI,5,0),1,0)*Table_NFI[[#This Row],[Shelter Tool kit]],Table_NFI[Shelter Tool kit])</f>
        <v>74</v>
      </c>
      <c r="AP39" s="331">
        <f>IF(NFI_Expiration=1,IF($A39&lt;VLOOKUP(V$5,NFI,5,0),1,0)*Table_NFI[[#This Row],[Tent]],Table_NFI[Tent])</f>
        <v>0</v>
      </c>
      <c r="AQ39" s="473" t="str">
        <f>IFERROR(VLOOKUP(Table_NFI[[#This Row],[Camp Name]],CL,2,0),"")</f>
        <v>MMR001CMP050</v>
      </c>
      <c r="AR39" s="468">
        <f ca="1">IF(Table_NFI[[#This Row],[Pcode]]="","",IF(OFFSET(CampList[Opening Date],MATCH(Table_NFI[[#This Row],[Pcode]],CampList[CP_Pcode],0)-1,0,1,1)&gt;=NFI_Monitor_Date,1,0))</f>
        <v>0</v>
      </c>
      <c r="AS39" s="473" t="str">
        <f>IFERROR(VLOOKUP(Table_NFI[[#This Row],[Camp Name]],CL,3,0),"")</f>
        <v>Open</v>
      </c>
      <c r="AT39" s="294" t="str">
        <f ca="1">IF(Table_NFI[[#This Row],[Pcode]]="","",OFFSET(CampList[Priority],MATCH(Table_NFI[[#This Row],[Pcode]],CampList[CP_Pcode],0)-1,0,1,1))</f>
        <v>P4</v>
      </c>
      <c r="AU39" s="293">
        <f>IFERROR(Table_NFI[[#This Row],[Kitchen Set]]/VLOOKUP(Table_NFI[[#This Row],[Camp Name]],CL,4,0),"")</f>
        <v>0</v>
      </c>
      <c r="AV39" s="466"/>
      <c r="AW39" s="469"/>
    </row>
    <row r="40" spans="1:49" s="470" customFormat="1" x14ac:dyDescent="0.25">
      <c r="A40" s="297">
        <f t="shared" si="0"/>
        <v>6.2</v>
      </c>
      <c r="B40" s="465">
        <v>42489</v>
      </c>
      <c r="C40" s="466" t="s">
        <v>905</v>
      </c>
      <c r="D40" s="467" t="s">
        <v>905</v>
      </c>
      <c r="E40" s="466" t="s">
        <v>380</v>
      </c>
      <c r="F40" s="290" t="s">
        <v>185</v>
      </c>
      <c r="G40" s="290" t="s">
        <v>1437</v>
      </c>
      <c r="H40" s="291"/>
      <c r="I40" s="291"/>
      <c r="J40" s="292"/>
      <c r="K40" s="291"/>
      <c r="L40" s="292"/>
      <c r="M40" s="292"/>
      <c r="N40" s="292"/>
      <c r="O40" s="292"/>
      <c r="P40" s="294"/>
      <c r="Q40" s="294"/>
      <c r="R40" s="294"/>
      <c r="S40" s="294"/>
      <c r="T40" s="294"/>
      <c r="U40" s="294"/>
      <c r="V40" s="431"/>
      <c r="W40" s="331">
        <v>26</v>
      </c>
      <c r="X40" s="331"/>
      <c r="Y40" s="294">
        <f>IF(NFI_Expiration=1,IF($A40&lt;VLOOKUP(H$5,NFI,5,0),1,0)*Table_NFI[[#This Row],[Hygiene Kit]],Table_NFI[Hygiene Kit])</f>
        <v>0</v>
      </c>
      <c r="Z40" s="294">
        <f>IF(NFI_Expiration=1,IF($A40&lt;VLOOKUP(I$5,NFI,5,0),1,0)*Table_NFI[[#This Row],[NFI Core Kit]],Table_NFI[NFI Core Kit])</f>
        <v>0</v>
      </c>
      <c r="AA40" s="294">
        <f>IF(NFI_Expiration=1,IF($A40&lt;VLOOKUP(J$5,NFI,5,0),1,0)*Table_NFI[[#This Row],[Sanitary Kit]],Table_NFI[Sanitary Kit])</f>
        <v>0</v>
      </c>
      <c r="AB40" s="294">
        <f>IF(NFI_Expiration=1,IF($A40&lt;VLOOKUP(K$5,NFI,5,0),1,0)*Table_NFI[[#This Row],[Mosquito net]],Table_NFI[Mosquito net])</f>
        <v>0</v>
      </c>
      <c r="AC40" s="294">
        <f>IF(NFI_Expiration=1,IF($A40&lt;VLOOKUP(L$5,NFI,5,0),1,0)*Table_NFI[[#This Row],[Tarpaulin]],Table_NFI[[#This Row],[Tarpaulin]])</f>
        <v>0</v>
      </c>
      <c r="AD40" s="294">
        <f>IF(NFI_Expiration=1,IF($A40&lt;VLOOKUP(M$5,NFI,5,0),1,0)*Table_NFI[[#This Row],[Blanket]],Table_NFI[[#This Row],[Blanket]])</f>
        <v>0</v>
      </c>
      <c r="AE40" s="294">
        <f>IF(NFI_Expiration=1,IF($A40&lt;VLOOKUP(N$5,NFI,5,0),1,0)*Table_NFI[[#This Row],[Kitchen Set]],Table_NFI[Kitchen Set])</f>
        <v>0</v>
      </c>
      <c r="AF40" s="294">
        <f>IF(NFI_Expiration=1,IF($A40&lt;VLOOKUP(O$5,NFI,5,0),1,0)*Table_NFI[[#This Row],[Clothes Kit]],Table_NFI[Clothes Kit])</f>
        <v>0</v>
      </c>
      <c r="AG40" s="294">
        <f>IF(NFI_Expiration=1,IF($A40&lt;VLOOKUP(P$5,NFI,5,0),1,0)*Table_NFI[[#This Row],[Plastic Bucket]],Table_NFI[Plastic Bucket])</f>
        <v>0</v>
      </c>
      <c r="AH40" s="294">
        <f>IF(NFI_Expiration=1,IF($A40&lt;VLOOKUP(Q$5,NFI,5,0),1,0)*Table_NFI[[#This Row],[Plastic Mat]],Table_NFI[Plastic Mat])*IF(Table_NFI[[#This Row],[Distribution Date]]&gt;"2014-04-01",1,2.5)</f>
        <v>0</v>
      </c>
      <c r="AI40" s="294">
        <f>IF(NFI_Expiration=1,IF($A40&lt;VLOOKUP(R$5,NFI,5,0),1,0)*Table_NFI[[#This Row],[Winter Clothes Adult]],Table_NFI[Winter Clothes Adult])</f>
        <v>0</v>
      </c>
      <c r="AJ40" s="294">
        <f>IF(NFI_Expiration=1,IF($A40&lt;VLOOKUP(S$5,NFI,5,0),1,0)*Table_NFI[[#This Row],[Winter Clothes Children]],Table_NFI[Winter Clothes Children])</f>
        <v>0</v>
      </c>
      <c r="AK40" s="294">
        <f>IF(NFI_Expiration=1,IF($A40&lt;VLOOKUP(T$5,NFI,5,0),1,0)*Table_NFI[[#This Row],[Winter Items Other]],Table_NFI[Winter Items Other])</f>
        <v>0</v>
      </c>
      <c r="AL40" s="294">
        <f>IF(NFI_Expiration=1,IF($A40&lt;VLOOKUP(M$5,NFI,5,0),1,0)*Table_NFI[[#This Row],[Winter Blanket]],Table_NFI[[#This Row],[Winter Blanket]])</f>
        <v>0</v>
      </c>
      <c r="AM40" s="294">
        <f>IF(Table_NFI[[#This Row],[Winter Clothes Adult]]+Table_NFI[[#This Row],[Winter Clothes Children]]+Table_NFI[[#This Row],[Winter Items Other]]+Table_NFI[[#This Row],[Winter Blanket]]&gt;0,1,0)</f>
        <v>0</v>
      </c>
      <c r="AN40" s="331">
        <f>IF(NFI_Expiration=1,IF($A40&lt;VLOOKUP(V$5,NFI,5,0),1,0)*Table_NFI[[#This Row],[Jerry Can]],Table_NFI[Jerry Can])</f>
        <v>0</v>
      </c>
      <c r="AO40" s="331">
        <f>IF(NFI_Expiration=1,IF($A40&lt;VLOOKUP(V$5,NFI,5,0),1,0)*Table_NFI[[#This Row],[Shelter Tool kit]],Table_NFI[Shelter Tool kit])</f>
        <v>26</v>
      </c>
      <c r="AP40" s="331">
        <f>IF(NFI_Expiration=1,IF($A40&lt;VLOOKUP(V$5,NFI,5,0),1,0)*Table_NFI[[#This Row],[Tent]],Table_NFI[Tent])</f>
        <v>0</v>
      </c>
      <c r="AQ40" s="473" t="str">
        <f>IFERROR(VLOOKUP(Table_NFI[[#This Row],[Camp Name]],CL,2,0),"")</f>
        <v/>
      </c>
      <c r="AR40" s="468" t="str">
        <f ca="1">IF(Table_NFI[[#This Row],[Pcode]]="","",IF(OFFSET(CampList[Opening Date],MATCH(Table_NFI[[#This Row],[Pcode]],CampList[CP_Pcode],0)-1,0,1,1)&gt;=NFI_Monitor_Date,1,0))</f>
        <v/>
      </c>
      <c r="AS40" s="670" t="str">
        <f>IFERROR(VLOOKUP(Table_NFI[[#This Row],[Camp Name]],CL,3,0),"")</f>
        <v/>
      </c>
      <c r="AT40" s="294" t="str">
        <f ca="1">IF(Table_NFI[[#This Row],[Pcode]]="","",OFFSET(CampList[Priority],MATCH(Table_NFI[[#This Row],[Pcode]],CampList[CP_Pcode],0)-1,0,1,1))</f>
        <v/>
      </c>
      <c r="AU40" s="293" t="str">
        <f>IFERROR(Table_NFI[[#This Row],[Kitchen Set]]/VLOOKUP(Table_NFI[[#This Row],[Camp Name]],CL,4,0),"")</f>
        <v/>
      </c>
      <c r="AV40" s="466"/>
      <c r="AW40" s="469"/>
    </row>
    <row r="41" spans="1:49" s="470" customFormat="1" ht="15" customHeight="1" x14ac:dyDescent="0.25">
      <c r="A41" s="297">
        <f t="shared" si="0"/>
        <v>6.2</v>
      </c>
      <c r="B41" s="465">
        <v>42489</v>
      </c>
      <c r="C41" s="466" t="s">
        <v>905</v>
      </c>
      <c r="D41" s="466" t="s">
        <v>905</v>
      </c>
      <c r="E41" s="466" t="s">
        <v>380</v>
      </c>
      <c r="F41" s="466" t="s">
        <v>185</v>
      </c>
      <c r="G41" s="290" t="s">
        <v>217</v>
      </c>
      <c r="H41" s="291"/>
      <c r="I41" s="291"/>
      <c r="J41" s="292"/>
      <c r="K41" s="291"/>
      <c r="L41" s="292"/>
      <c r="M41" s="292"/>
      <c r="N41" s="292"/>
      <c r="O41" s="292"/>
      <c r="P41" s="294"/>
      <c r="Q41" s="294"/>
      <c r="R41" s="294"/>
      <c r="S41" s="294"/>
      <c r="T41" s="294"/>
      <c r="U41" s="294"/>
      <c r="V41" s="431"/>
      <c r="W41" s="294">
        <v>10</v>
      </c>
      <c r="X41" s="294"/>
      <c r="Y41" s="294">
        <f>IF(NFI_Expiration=1,IF($A41&lt;VLOOKUP(H$5,NFI,5,0),1,0)*Table_NFI[[#This Row],[Hygiene Kit]],Table_NFI[Hygiene Kit])</f>
        <v>0</v>
      </c>
      <c r="Z41" s="294">
        <f>IF(NFI_Expiration=1,IF($A41&lt;VLOOKUP(I$5,NFI,5,0),1,0)*Table_NFI[[#This Row],[NFI Core Kit]],Table_NFI[NFI Core Kit])</f>
        <v>0</v>
      </c>
      <c r="AA41" s="294">
        <f>IF(NFI_Expiration=1,IF($A41&lt;VLOOKUP(J$5,NFI,5,0),1,0)*Table_NFI[[#This Row],[Sanitary Kit]],Table_NFI[Sanitary Kit])</f>
        <v>0</v>
      </c>
      <c r="AB41" s="294">
        <f>IF(NFI_Expiration=1,IF($A41&lt;VLOOKUP(K$5,NFI,5,0),1,0)*Table_NFI[[#This Row],[Mosquito net]],Table_NFI[Mosquito net])</f>
        <v>0</v>
      </c>
      <c r="AC41" s="294">
        <f>IF(NFI_Expiration=1,IF($A41&lt;VLOOKUP(L$5,NFI,5,0),1,0)*Table_NFI[[#This Row],[Tarpaulin]],Table_NFI[[#This Row],[Tarpaulin]])</f>
        <v>0</v>
      </c>
      <c r="AD41" s="294">
        <f>IF(NFI_Expiration=1,IF($A41&lt;VLOOKUP(M$5,NFI,5,0),1,0)*Table_NFI[[#This Row],[Blanket]],Table_NFI[[#This Row],[Blanket]])</f>
        <v>0</v>
      </c>
      <c r="AE41" s="294">
        <f>IF(NFI_Expiration=1,IF($A41&lt;VLOOKUP(N$5,NFI,5,0),1,0)*Table_NFI[[#This Row],[Kitchen Set]],Table_NFI[Kitchen Set])</f>
        <v>0</v>
      </c>
      <c r="AF41" s="294">
        <f>IF(NFI_Expiration=1,IF($A41&lt;VLOOKUP(O$5,NFI,5,0),1,0)*Table_NFI[[#This Row],[Clothes Kit]],Table_NFI[Clothes Kit])</f>
        <v>0</v>
      </c>
      <c r="AG41" s="294">
        <f>IF(NFI_Expiration=1,IF($A41&lt;VLOOKUP(P$5,NFI,5,0),1,0)*Table_NFI[[#This Row],[Plastic Bucket]],Table_NFI[Plastic Bucket])</f>
        <v>0</v>
      </c>
      <c r="AH41" s="294">
        <f>IF(NFI_Expiration=1,IF($A41&lt;VLOOKUP(Q$5,NFI,5,0),1,0)*Table_NFI[[#This Row],[Plastic Mat]],Table_NFI[Plastic Mat])*IF(Table_NFI[[#This Row],[Distribution Date]]&gt;"2014-04-01",1,2.5)</f>
        <v>0</v>
      </c>
      <c r="AI41" s="294">
        <f>IF(NFI_Expiration=1,IF($A41&lt;VLOOKUP(R$5,NFI,5,0),1,0)*Table_NFI[[#This Row],[Winter Clothes Adult]],Table_NFI[Winter Clothes Adult])</f>
        <v>0</v>
      </c>
      <c r="AJ41" s="294">
        <f>IF(NFI_Expiration=1,IF($A41&lt;VLOOKUP(S$5,NFI,5,0),1,0)*Table_NFI[[#This Row],[Winter Clothes Children]],Table_NFI[Winter Clothes Children])</f>
        <v>0</v>
      </c>
      <c r="AK41" s="294">
        <f>IF(NFI_Expiration=1,IF($A41&lt;VLOOKUP(T$5,NFI,5,0),1,0)*Table_NFI[[#This Row],[Winter Items Other]],Table_NFI[Winter Items Other])</f>
        <v>0</v>
      </c>
      <c r="AL41" s="294">
        <f>IF(NFI_Expiration=1,IF($A41&lt;VLOOKUP(M$5,NFI,5,0),1,0)*Table_NFI[[#This Row],[Winter Blanket]],Table_NFI[[#This Row],[Winter Blanket]])</f>
        <v>0</v>
      </c>
      <c r="AM41" s="294">
        <f>IF(Table_NFI[[#This Row],[Winter Clothes Adult]]+Table_NFI[[#This Row],[Winter Clothes Children]]+Table_NFI[[#This Row],[Winter Items Other]]+Table_NFI[[#This Row],[Winter Blanket]]&gt;0,1,0)</f>
        <v>0</v>
      </c>
      <c r="AN41" s="331">
        <f>IF(NFI_Expiration=1,IF($A41&lt;VLOOKUP(V$5,NFI,5,0),1,0)*Table_NFI[[#This Row],[Jerry Can]],Table_NFI[Jerry Can])</f>
        <v>0</v>
      </c>
      <c r="AO41" s="331">
        <f>IF(NFI_Expiration=1,IF($A41&lt;VLOOKUP(V$5,NFI,5,0),1,0)*Table_NFI[[#This Row],[Shelter Tool kit]],Table_NFI[Shelter Tool kit])</f>
        <v>10</v>
      </c>
      <c r="AP41" s="331">
        <f>IF(NFI_Expiration=1,IF($A41&lt;VLOOKUP(V$5,NFI,5,0),1,0)*Table_NFI[[#This Row],[Tent]],Table_NFI[Tent])</f>
        <v>0</v>
      </c>
      <c r="AQ41" s="473" t="str">
        <f>IFERROR(VLOOKUP(Table_NFI[[#This Row],[Camp Name]],CL,2,0),"")</f>
        <v>MMR001CMP059</v>
      </c>
      <c r="AR41" s="468">
        <f ca="1">IF(Table_NFI[[#This Row],[Pcode]]="","",IF(OFFSET(CampList[Opening Date],MATCH(Table_NFI[[#This Row],[Pcode]],CampList[CP_Pcode],0)-1,0,1,1)&gt;=NFI_Monitor_Date,1,0))</f>
        <v>0</v>
      </c>
      <c r="AS41" s="473" t="str">
        <f>IFERROR(VLOOKUP(Table_NFI[[#This Row],[Camp Name]],CL,3,0),"")</f>
        <v>Closed</v>
      </c>
      <c r="AT41" s="294" t="str">
        <f ca="1">IF(Table_NFI[[#This Row],[Pcode]]="","",OFFSET(CampList[Priority],MATCH(Table_NFI[[#This Row],[Pcode]],CampList[CP_Pcode],0)-1,0,1,1))</f>
        <v>P4</v>
      </c>
      <c r="AU41" s="293" t="str">
        <f>IFERROR(Table_NFI[[#This Row],[Kitchen Set]]/VLOOKUP(Table_NFI[[#This Row],[Camp Name]],CL,4,0),"")</f>
        <v/>
      </c>
      <c r="AV41" s="466"/>
      <c r="AW41" s="469"/>
    </row>
    <row r="42" spans="1:49" s="470" customFormat="1" x14ac:dyDescent="0.25">
      <c r="A42" s="297">
        <f t="shared" si="0"/>
        <v>6.2</v>
      </c>
      <c r="B42" s="465">
        <v>42489</v>
      </c>
      <c r="C42" s="466" t="s">
        <v>905</v>
      </c>
      <c r="D42" s="466" t="s">
        <v>905</v>
      </c>
      <c r="E42" s="466" t="s">
        <v>380</v>
      </c>
      <c r="F42" s="466" t="s">
        <v>5</v>
      </c>
      <c r="G42" s="466" t="s">
        <v>366</v>
      </c>
      <c r="H42" s="291"/>
      <c r="I42" s="291"/>
      <c r="J42" s="291"/>
      <c r="K42" s="291"/>
      <c r="L42" s="292"/>
      <c r="M42" s="292"/>
      <c r="N42" s="292"/>
      <c r="O42" s="292"/>
      <c r="P42" s="294"/>
      <c r="Q42" s="294"/>
      <c r="R42" s="294"/>
      <c r="S42" s="294"/>
      <c r="T42" s="294"/>
      <c r="U42" s="294"/>
      <c r="V42" s="431"/>
      <c r="W42" s="331">
        <v>48</v>
      </c>
      <c r="X42" s="331"/>
      <c r="Y42" s="294">
        <f>IF(NFI_Expiration=1,IF($A42&lt;VLOOKUP(H$5,NFI,5,0),1,0)*Table_NFI[[#This Row],[Hygiene Kit]],Table_NFI[Hygiene Kit])</f>
        <v>0</v>
      </c>
      <c r="Z42" s="294">
        <f>IF(NFI_Expiration=1,IF($A42&lt;VLOOKUP(I$5,NFI,5,0),1,0)*Table_NFI[[#This Row],[NFI Core Kit]],Table_NFI[NFI Core Kit])</f>
        <v>0</v>
      </c>
      <c r="AA42" s="294">
        <f>IF(NFI_Expiration=1,IF($A42&lt;VLOOKUP(J$5,NFI,5,0),1,0)*Table_NFI[[#This Row],[Sanitary Kit]],Table_NFI[Sanitary Kit])</f>
        <v>0</v>
      </c>
      <c r="AB42" s="294">
        <f>IF(NFI_Expiration=1,IF($A42&lt;VLOOKUP(K$5,NFI,5,0),1,0)*Table_NFI[[#This Row],[Mosquito net]],Table_NFI[Mosquito net])</f>
        <v>0</v>
      </c>
      <c r="AC42" s="294">
        <f>IF(NFI_Expiration=1,IF($A42&lt;VLOOKUP(L$5,NFI,5,0),1,0)*Table_NFI[[#This Row],[Tarpaulin]],Table_NFI[[#This Row],[Tarpaulin]])</f>
        <v>0</v>
      </c>
      <c r="AD42" s="294">
        <f>IF(NFI_Expiration=1,IF($A42&lt;VLOOKUP(M$5,NFI,5,0),1,0)*Table_NFI[[#This Row],[Blanket]],Table_NFI[[#This Row],[Blanket]])</f>
        <v>0</v>
      </c>
      <c r="AE42" s="294">
        <f>IF(NFI_Expiration=1,IF($A42&lt;VLOOKUP(N$5,NFI,5,0),1,0)*Table_NFI[[#This Row],[Kitchen Set]],Table_NFI[Kitchen Set])</f>
        <v>0</v>
      </c>
      <c r="AF42" s="294">
        <f>IF(NFI_Expiration=1,IF($A42&lt;VLOOKUP(O$5,NFI,5,0),1,0)*Table_NFI[[#This Row],[Clothes Kit]],Table_NFI[Clothes Kit])</f>
        <v>0</v>
      </c>
      <c r="AG42" s="294">
        <f>IF(NFI_Expiration=1,IF($A42&lt;VLOOKUP(P$5,NFI,5,0),1,0)*Table_NFI[[#This Row],[Plastic Bucket]],Table_NFI[Plastic Bucket])</f>
        <v>0</v>
      </c>
      <c r="AH42" s="294">
        <f>IF(NFI_Expiration=1,IF($A42&lt;VLOOKUP(Q$5,NFI,5,0),1,0)*Table_NFI[[#This Row],[Plastic Mat]],Table_NFI[Plastic Mat])*IF(Table_NFI[[#This Row],[Distribution Date]]&gt;"2014-04-01",1,2.5)</f>
        <v>0</v>
      </c>
      <c r="AI42" s="294">
        <f>IF(NFI_Expiration=1,IF($A42&lt;VLOOKUP(R$5,NFI,5,0),1,0)*Table_NFI[[#This Row],[Winter Clothes Adult]],Table_NFI[Winter Clothes Adult])</f>
        <v>0</v>
      </c>
      <c r="AJ42" s="294">
        <f>IF(NFI_Expiration=1,IF($A42&lt;VLOOKUP(S$5,NFI,5,0),1,0)*Table_NFI[[#This Row],[Winter Clothes Children]],Table_NFI[Winter Clothes Children])</f>
        <v>0</v>
      </c>
      <c r="AK42" s="294">
        <f>IF(NFI_Expiration=1,IF($A42&lt;VLOOKUP(T$5,NFI,5,0),1,0)*Table_NFI[[#This Row],[Winter Items Other]],Table_NFI[Winter Items Other])</f>
        <v>0</v>
      </c>
      <c r="AL42" s="294">
        <f>IF(NFI_Expiration=1,IF($A42&lt;VLOOKUP(M$5,NFI,5,0),1,0)*Table_NFI[[#This Row],[Winter Blanket]],Table_NFI[[#This Row],[Winter Blanket]])</f>
        <v>0</v>
      </c>
      <c r="AM42" s="294">
        <f>IF(Table_NFI[[#This Row],[Winter Clothes Adult]]+Table_NFI[[#This Row],[Winter Clothes Children]]+Table_NFI[[#This Row],[Winter Items Other]]+Table_NFI[[#This Row],[Winter Blanket]]&gt;0,1,0)</f>
        <v>0</v>
      </c>
      <c r="AN42" s="331">
        <f>IF(NFI_Expiration=1,IF($A42&lt;VLOOKUP(V$5,NFI,5,0),1,0)*Table_NFI[[#This Row],[Jerry Can]],Table_NFI[Jerry Can])</f>
        <v>0</v>
      </c>
      <c r="AO42" s="331">
        <f>IF(NFI_Expiration=1,IF($A42&lt;VLOOKUP(V$5,NFI,5,0),1,0)*Table_NFI[[#This Row],[Shelter Tool kit]],Table_NFI[Shelter Tool kit])</f>
        <v>48</v>
      </c>
      <c r="AP42" s="331">
        <f>IF(NFI_Expiration=1,IF($A42&lt;VLOOKUP(V$5,NFI,5,0),1,0)*Table_NFI[[#This Row],[Tent]],Table_NFI[Tent])</f>
        <v>0</v>
      </c>
      <c r="AQ42" s="473" t="str">
        <f>IFERROR(VLOOKUP(Table_NFI[[#This Row],[Camp Name]],CL,2,0),"")</f>
        <v>MMR001CMP193</v>
      </c>
      <c r="AR42" s="468">
        <f ca="1">IF(Table_NFI[[#This Row],[Pcode]]="","",IF(OFFSET(CampList[Opening Date],MATCH(Table_NFI[[#This Row],[Pcode]],CampList[CP_Pcode],0)-1,0,1,1)&gt;=NFI_Monitor_Date,1,0))</f>
        <v>0</v>
      </c>
      <c r="AS42" s="473" t="str">
        <f>IFERROR(VLOOKUP(Table_NFI[[#This Row],[Camp Name]],CL,3,0),"")</f>
        <v>Open</v>
      </c>
      <c r="AT42" s="294" t="str">
        <f ca="1">IF(Table_NFI[[#This Row],[Pcode]]="","",OFFSET(CampList[Priority],MATCH(Table_NFI[[#This Row],[Pcode]],CampList[CP_Pcode],0)-1,0,1,1))</f>
        <v>P4</v>
      </c>
      <c r="AU42" s="293">
        <f>IFERROR(Table_NFI[[#This Row],[Kitchen Set]]/VLOOKUP(Table_NFI[[#This Row],[Camp Name]],CL,4,0),"")</f>
        <v>0</v>
      </c>
      <c r="AV42" s="466"/>
      <c r="AW42" s="469"/>
    </row>
    <row r="43" spans="1:49" s="470" customFormat="1" ht="14.45" customHeight="1" x14ac:dyDescent="0.2">
      <c r="A43" s="297">
        <f t="shared" si="0"/>
        <v>6.2</v>
      </c>
      <c r="B43" s="465">
        <v>42489</v>
      </c>
      <c r="C43" s="466" t="s">
        <v>905</v>
      </c>
      <c r="D43" s="467" t="s">
        <v>905</v>
      </c>
      <c r="E43" s="466" t="s">
        <v>380</v>
      </c>
      <c r="F43" s="290" t="s">
        <v>5</v>
      </c>
      <c r="G43" s="290" t="s">
        <v>22</v>
      </c>
      <c r="H43" s="291"/>
      <c r="I43" s="291"/>
      <c r="J43" s="291"/>
      <c r="K43" s="291"/>
      <c r="L43" s="292"/>
      <c r="M43" s="292"/>
      <c r="N43" s="292"/>
      <c r="O43" s="292"/>
      <c r="P43" s="294"/>
      <c r="Q43" s="294"/>
      <c r="R43" s="294"/>
      <c r="S43" s="294"/>
      <c r="T43" s="294"/>
      <c r="U43" s="294"/>
      <c r="V43" s="431"/>
      <c r="W43" s="585">
        <v>152</v>
      </c>
      <c r="X43" s="294"/>
      <c r="Y43" s="294">
        <f>IF(NFI_Expiration=1,IF($A43&lt;VLOOKUP(H$5,NFI,5,0),1,0)*Table_NFI[[#This Row],[Hygiene Kit]],Table_NFI[Hygiene Kit])</f>
        <v>0</v>
      </c>
      <c r="Z43" s="294">
        <f>IF(NFI_Expiration=1,IF($A43&lt;VLOOKUP(I$5,NFI,5,0),1,0)*Table_NFI[[#This Row],[NFI Core Kit]],Table_NFI[NFI Core Kit])</f>
        <v>0</v>
      </c>
      <c r="AA43" s="294">
        <f>IF(NFI_Expiration=1,IF($A43&lt;VLOOKUP(J$5,NFI,5,0),1,0)*Table_NFI[[#This Row],[Sanitary Kit]],Table_NFI[Sanitary Kit])</f>
        <v>0</v>
      </c>
      <c r="AB43" s="294">
        <f>IF(NFI_Expiration=1,IF($A43&lt;VLOOKUP(K$5,NFI,5,0),1,0)*Table_NFI[[#This Row],[Mosquito net]],Table_NFI[Mosquito net])</f>
        <v>0</v>
      </c>
      <c r="AC43" s="294">
        <f>IF(NFI_Expiration=1,IF($A43&lt;VLOOKUP(L$5,NFI,5,0),1,0)*Table_NFI[[#This Row],[Tarpaulin]],Table_NFI[[#This Row],[Tarpaulin]])</f>
        <v>0</v>
      </c>
      <c r="AD43" s="294">
        <f>IF(NFI_Expiration=1,IF($A43&lt;VLOOKUP(M$5,NFI,5,0),1,0)*Table_NFI[[#This Row],[Blanket]],Table_NFI[[#This Row],[Blanket]])</f>
        <v>0</v>
      </c>
      <c r="AE43" s="294">
        <f>IF(NFI_Expiration=1,IF($A43&lt;VLOOKUP(N$5,NFI,5,0),1,0)*Table_NFI[[#This Row],[Kitchen Set]],Table_NFI[Kitchen Set])</f>
        <v>0</v>
      </c>
      <c r="AF43" s="294">
        <f>IF(NFI_Expiration=1,IF($A43&lt;VLOOKUP(O$5,NFI,5,0),1,0)*Table_NFI[[#This Row],[Clothes Kit]],Table_NFI[Clothes Kit])</f>
        <v>0</v>
      </c>
      <c r="AG43" s="294">
        <f>IF(NFI_Expiration=1,IF($A43&lt;VLOOKUP(P$5,NFI,5,0),1,0)*Table_NFI[[#This Row],[Plastic Bucket]],Table_NFI[Plastic Bucket])</f>
        <v>0</v>
      </c>
      <c r="AH43" s="294">
        <f>IF(NFI_Expiration=1,IF($A43&lt;VLOOKUP(Q$5,NFI,5,0),1,0)*Table_NFI[[#This Row],[Plastic Mat]],Table_NFI[Plastic Mat])*IF(Table_NFI[[#This Row],[Distribution Date]]&gt;"2014-04-01",1,2.5)</f>
        <v>0</v>
      </c>
      <c r="AI43" s="294">
        <f>IF(NFI_Expiration=1,IF($A43&lt;VLOOKUP(R$5,NFI,5,0),1,0)*Table_NFI[[#This Row],[Winter Clothes Adult]],Table_NFI[Winter Clothes Adult])</f>
        <v>0</v>
      </c>
      <c r="AJ43" s="294">
        <f>IF(NFI_Expiration=1,IF($A43&lt;VLOOKUP(S$5,NFI,5,0),1,0)*Table_NFI[[#This Row],[Winter Clothes Children]],Table_NFI[Winter Clothes Children])</f>
        <v>0</v>
      </c>
      <c r="AK43" s="294">
        <f>IF(NFI_Expiration=1,IF($A43&lt;VLOOKUP(T$5,NFI,5,0),1,0)*Table_NFI[[#This Row],[Winter Items Other]],Table_NFI[Winter Items Other])</f>
        <v>0</v>
      </c>
      <c r="AL43" s="294">
        <f>IF(NFI_Expiration=1,IF($A43&lt;VLOOKUP(M$5,NFI,5,0),1,0)*Table_NFI[[#This Row],[Winter Blanket]],Table_NFI[[#This Row],[Winter Blanket]])</f>
        <v>0</v>
      </c>
      <c r="AM43" s="294">
        <f>IF(Table_NFI[[#This Row],[Winter Clothes Adult]]+Table_NFI[[#This Row],[Winter Clothes Children]]+Table_NFI[[#This Row],[Winter Items Other]]+Table_NFI[[#This Row],[Winter Blanket]]&gt;0,1,0)</f>
        <v>0</v>
      </c>
      <c r="AN43" s="331">
        <f>IF(NFI_Expiration=1,IF($A43&lt;VLOOKUP(V$5,NFI,5,0),1,0)*Table_NFI[[#This Row],[Jerry Can]],Table_NFI[Jerry Can])</f>
        <v>0</v>
      </c>
      <c r="AO43" s="331">
        <f>IF(NFI_Expiration=1,IF($A43&lt;VLOOKUP(V$5,NFI,5,0),1,0)*Table_NFI[[#This Row],[Shelter Tool kit]],Table_NFI[Shelter Tool kit])</f>
        <v>152</v>
      </c>
      <c r="AP43" s="331">
        <f>IF(NFI_Expiration=1,IF($A43&lt;VLOOKUP(V$5,NFI,5,0),1,0)*Table_NFI[[#This Row],[Tent]],Table_NFI[Tent])</f>
        <v>0</v>
      </c>
      <c r="AQ43" s="473" t="str">
        <f>IFERROR(VLOOKUP(Table_NFI[[#This Row],[Camp Name]],CL,2,0),"")</f>
        <v>MMR001CMP047</v>
      </c>
      <c r="AR43" s="468">
        <f ca="1">IF(Table_NFI[[#This Row],[Pcode]]="","",IF(OFFSET(CampList[Opening Date],MATCH(Table_NFI[[#This Row],[Pcode]],CampList[CP_Pcode],0)-1,0,1,1)&gt;=NFI_Monitor_Date,1,0))</f>
        <v>0</v>
      </c>
      <c r="AS43" s="473" t="str">
        <f>IFERROR(VLOOKUP(Table_NFI[[#This Row],[Camp Name]],CL,3,0),"")</f>
        <v>Open</v>
      </c>
      <c r="AT43" s="294" t="str">
        <f ca="1">IF(Table_NFI[[#This Row],[Pcode]]="","",OFFSET(CampList[Priority],MATCH(Table_NFI[[#This Row],[Pcode]],CampList[CP_Pcode],0)-1,0,1,1))</f>
        <v>P4</v>
      </c>
      <c r="AU43" s="293">
        <f>IFERROR(Table_NFI[[#This Row],[Kitchen Set]]/VLOOKUP(Table_NFI[[#This Row],[Camp Name]],CL,4,0),"")</f>
        <v>0</v>
      </c>
      <c r="AV43" s="466"/>
      <c r="AW43" s="469"/>
    </row>
    <row r="44" spans="1:49" s="470" customFormat="1" ht="15" customHeight="1" x14ac:dyDescent="0.25">
      <c r="A44" s="297">
        <f t="shared" si="0"/>
        <v>6.2</v>
      </c>
      <c r="B44" s="465">
        <v>42489</v>
      </c>
      <c r="C44" s="466" t="s">
        <v>905</v>
      </c>
      <c r="D44" s="466" t="s">
        <v>905</v>
      </c>
      <c r="E44" s="466" t="s">
        <v>380</v>
      </c>
      <c r="F44" s="466" t="s">
        <v>5</v>
      </c>
      <c r="G44" s="466" t="s">
        <v>24</v>
      </c>
      <c r="H44" s="291"/>
      <c r="I44" s="291"/>
      <c r="J44" s="292"/>
      <c r="K44" s="291"/>
      <c r="L44" s="292"/>
      <c r="M44" s="292"/>
      <c r="N44" s="292"/>
      <c r="O44" s="292"/>
      <c r="P44" s="294"/>
      <c r="Q44" s="294"/>
      <c r="R44" s="294"/>
      <c r="S44" s="294"/>
      <c r="T44" s="294"/>
      <c r="U44" s="294"/>
      <c r="V44" s="431"/>
      <c r="W44" s="294">
        <v>10</v>
      </c>
      <c r="X44" s="294"/>
      <c r="Y44" s="294">
        <f>IF(NFI_Expiration=1,IF($A44&lt;VLOOKUP(H$5,NFI,5,0),1,0)*Table_NFI[[#This Row],[Hygiene Kit]],Table_NFI[Hygiene Kit])</f>
        <v>0</v>
      </c>
      <c r="Z44" s="294">
        <f>IF(NFI_Expiration=1,IF($A44&lt;VLOOKUP(I$5,NFI,5,0),1,0)*Table_NFI[[#This Row],[NFI Core Kit]],Table_NFI[NFI Core Kit])</f>
        <v>0</v>
      </c>
      <c r="AA44" s="294">
        <f>IF(NFI_Expiration=1,IF($A44&lt;VLOOKUP(J$5,NFI,5,0),1,0)*Table_NFI[[#This Row],[Sanitary Kit]],Table_NFI[Sanitary Kit])</f>
        <v>0</v>
      </c>
      <c r="AB44" s="294">
        <f>IF(NFI_Expiration=1,IF($A44&lt;VLOOKUP(K$5,NFI,5,0),1,0)*Table_NFI[[#This Row],[Mosquito net]],Table_NFI[Mosquito net])</f>
        <v>0</v>
      </c>
      <c r="AC44" s="294">
        <f>IF(NFI_Expiration=1,IF($A44&lt;VLOOKUP(L$5,NFI,5,0),1,0)*Table_NFI[[#This Row],[Tarpaulin]],Table_NFI[[#This Row],[Tarpaulin]])</f>
        <v>0</v>
      </c>
      <c r="AD44" s="294">
        <f>IF(NFI_Expiration=1,IF($A44&lt;VLOOKUP(M$5,NFI,5,0),1,0)*Table_NFI[[#This Row],[Blanket]],Table_NFI[[#This Row],[Blanket]])</f>
        <v>0</v>
      </c>
      <c r="AE44" s="294">
        <f>IF(NFI_Expiration=1,IF($A44&lt;VLOOKUP(N$5,NFI,5,0),1,0)*Table_NFI[[#This Row],[Kitchen Set]],Table_NFI[Kitchen Set])</f>
        <v>0</v>
      </c>
      <c r="AF44" s="294">
        <f>IF(NFI_Expiration=1,IF($A44&lt;VLOOKUP(O$5,NFI,5,0),1,0)*Table_NFI[[#This Row],[Clothes Kit]],Table_NFI[Clothes Kit])</f>
        <v>0</v>
      </c>
      <c r="AG44" s="294">
        <f>IF(NFI_Expiration=1,IF($A44&lt;VLOOKUP(P$5,NFI,5,0),1,0)*Table_NFI[[#This Row],[Plastic Bucket]],Table_NFI[Plastic Bucket])</f>
        <v>0</v>
      </c>
      <c r="AH44" s="294">
        <f>IF(NFI_Expiration=1,IF($A44&lt;VLOOKUP(Q$5,NFI,5,0),1,0)*Table_NFI[[#This Row],[Plastic Mat]],Table_NFI[Plastic Mat])*IF(Table_NFI[[#This Row],[Distribution Date]]&gt;"2014-04-01",1,2.5)</f>
        <v>0</v>
      </c>
      <c r="AI44" s="294">
        <f>IF(NFI_Expiration=1,IF($A44&lt;VLOOKUP(R$5,NFI,5,0),1,0)*Table_NFI[[#This Row],[Winter Clothes Adult]],Table_NFI[Winter Clothes Adult])</f>
        <v>0</v>
      </c>
      <c r="AJ44" s="294">
        <f>IF(NFI_Expiration=1,IF($A44&lt;VLOOKUP(S$5,NFI,5,0),1,0)*Table_NFI[[#This Row],[Winter Clothes Children]],Table_NFI[Winter Clothes Children])</f>
        <v>0</v>
      </c>
      <c r="AK44" s="294">
        <f>IF(NFI_Expiration=1,IF($A44&lt;VLOOKUP(T$5,NFI,5,0),1,0)*Table_NFI[[#This Row],[Winter Items Other]],Table_NFI[Winter Items Other])</f>
        <v>0</v>
      </c>
      <c r="AL44" s="294">
        <f>IF(NFI_Expiration=1,IF($A44&lt;VLOOKUP(M$5,NFI,5,0),1,0)*Table_NFI[[#This Row],[Winter Blanket]],Table_NFI[[#This Row],[Winter Blanket]])</f>
        <v>0</v>
      </c>
      <c r="AM44" s="294">
        <f>IF(Table_NFI[[#This Row],[Winter Clothes Adult]]+Table_NFI[[#This Row],[Winter Clothes Children]]+Table_NFI[[#This Row],[Winter Items Other]]+Table_NFI[[#This Row],[Winter Blanket]]&gt;0,1,0)</f>
        <v>0</v>
      </c>
      <c r="AN44" s="331">
        <f>IF(NFI_Expiration=1,IF($A44&lt;VLOOKUP(V$5,NFI,5,0),1,0)*Table_NFI[[#This Row],[Jerry Can]],Table_NFI[Jerry Can])</f>
        <v>0</v>
      </c>
      <c r="AO44" s="331">
        <f>IF(NFI_Expiration=1,IF($A44&lt;VLOOKUP(V$5,NFI,5,0),1,0)*Table_NFI[[#This Row],[Shelter Tool kit]],Table_NFI[Shelter Tool kit])</f>
        <v>10</v>
      </c>
      <c r="AP44" s="331">
        <f>IF(NFI_Expiration=1,IF($A44&lt;VLOOKUP(V$5,NFI,5,0),1,0)*Table_NFI[[#This Row],[Tent]],Table_NFI[Tent])</f>
        <v>0</v>
      </c>
      <c r="AQ44" s="473" t="str">
        <f>IFERROR(VLOOKUP(Table_NFI[[#This Row],[Camp Name]],CL,2,0),"")</f>
        <v>MMR001CMP055</v>
      </c>
      <c r="AR44" s="468">
        <f ca="1">IF(Table_NFI[[#This Row],[Pcode]]="","",IF(OFFSET(CampList[Opening Date],MATCH(Table_NFI[[#This Row],[Pcode]],CampList[CP_Pcode],0)-1,0,1,1)&gt;=NFI_Monitor_Date,1,0))</f>
        <v>0</v>
      </c>
      <c r="AS44" s="473" t="str">
        <f>IFERROR(VLOOKUP(Table_NFI[[#This Row],[Camp Name]],CL,3,0),"")</f>
        <v>Open</v>
      </c>
      <c r="AT44" s="294" t="str">
        <f ca="1">IF(Table_NFI[[#This Row],[Pcode]]="","",OFFSET(CampList[Priority],MATCH(Table_NFI[[#This Row],[Pcode]],CampList[CP_Pcode],0)-1,0,1,1))</f>
        <v>P4</v>
      </c>
      <c r="AU44" s="293">
        <f>IFERROR(Table_NFI[[#This Row],[Kitchen Set]]/VLOOKUP(Table_NFI[[#This Row],[Camp Name]],CL,4,0),"")</f>
        <v>0</v>
      </c>
      <c r="AV44" s="466"/>
      <c r="AW44" s="469"/>
    </row>
    <row r="45" spans="1:49" s="470" customFormat="1" ht="14.45" customHeight="1" x14ac:dyDescent="0.25">
      <c r="A45" s="499">
        <f t="shared" si="0"/>
        <v>6.8</v>
      </c>
      <c r="B45" s="465">
        <v>42471</v>
      </c>
      <c r="C45" s="471" t="s">
        <v>452</v>
      </c>
      <c r="D45" s="471" t="s">
        <v>460</v>
      </c>
      <c r="E45" s="466" t="s">
        <v>553</v>
      </c>
      <c r="F45" s="466" t="s">
        <v>289</v>
      </c>
      <c r="G45" s="471" t="s">
        <v>1391</v>
      </c>
      <c r="H45" s="501"/>
      <c r="I45" s="501"/>
      <c r="J45" s="501"/>
      <c r="K45" s="501">
        <v>126</v>
      </c>
      <c r="L45" s="501"/>
      <c r="M45" s="501">
        <v>126</v>
      </c>
      <c r="N45" s="501">
        <v>64</v>
      </c>
      <c r="O45" s="501"/>
      <c r="P45" s="502"/>
      <c r="Q45" s="502">
        <v>122</v>
      </c>
      <c r="R45" s="502"/>
      <c r="S45" s="502"/>
      <c r="T45" s="502"/>
      <c r="U45" s="502"/>
      <c r="V45" s="504">
        <v>64</v>
      </c>
      <c r="W45" s="502"/>
      <c r="X45" s="502"/>
      <c r="Y45" s="502">
        <f>IF(NFI_Expiration=1,IF($A45&lt;VLOOKUP(H$5,NFI,5,0),1,0)*Table_NFI[[#This Row],[Hygiene Kit]],Table_NFI[Hygiene Kit])</f>
        <v>0</v>
      </c>
      <c r="Z45" s="502">
        <f>IF(NFI_Expiration=1,IF($A45&lt;VLOOKUP(I$5,NFI,5,0),1,0)*Table_NFI[[#This Row],[NFI Core Kit]],Table_NFI[NFI Core Kit])</f>
        <v>0</v>
      </c>
      <c r="AA45" s="502">
        <f>IF(NFI_Expiration=1,IF($A45&lt;VLOOKUP(J$5,NFI,5,0),1,0)*Table_NFI[[#This Row],[Sanitary Kit]],Table_NFI[Sanitary Kit])</f>
        <v>0</v>
      </c>
      <c r="AB45" s="502">
        <f>IF(NFI_Expiration=1,IF($A45&lt;VLOOKUP(K$5,NFI,5,0),1,0)*Table_NFI[[#This Row],[Mosquito net]],Table_NFI[Mosquito net])</f>
        <v>126</v>
      </c>
      <c r="AC45" s="502">
        <f>IF(NFI_Expiration=1,IF($A45&lt;VLOOKUP(L$5,NFI,5,0),1,0)*Table_NFI[[#This Row],[Tarpaulin]],Table_NFI[[#This Row],[Tarpaulin]])</f>
        <v>0</v>
      </c>
      <c r="AD45" s="502">
        <f>IF(NFI_Expiration=1,IF($A45&lt;VLOOKUP(M$5,NFI,5,0),1,0)*Table_NFI[[#This Row],[Blanket]],Table_NFI[[#This Row],[Blanket]])</f>
        <v>126</v>
      </c>
      <c r="AE45" s="502">
        <f>IF(NFI_Expiration=1,IF($A45&lt;VLOOKUP(N$5,NFI,5,0),1,0)*Table_NFI[[#This Row],[Kitchen Set]],Table_NFI[Kitchen Set])</f>
        <v>64</v>
      </c>
      <c r="AF45" s="502">
        <f>IF(NFI_Expiration=1,IF($A45&lt;VLOOKUP(O$5,NFI,5,0),1,0)*Table_NFI[[#This Row],[Clothes Kit]],Table_NFI[Clothes Kit])</f>
        <v>0</v>
      </c>
      <c r="AG45" s="502">
        <f>IF(NFI_Expiration=1,IF($A45&lt;VLOOKUP(P$5,NFI,5,0),1,0)*Table_NFI[[#This Row],[Plastic Bucket]],Table_NFI[Plastic Bucket])</f>
        <v>0</v>
      </c>
      <c r="AH45" s="502">
        <f>IF(NFI_Expiration=1,IF($A45&lt;VLOOKUP(Q$5,NFI,5,0),1,0)*Table_NFI[[#This Row],[Plastic Mat]],Table_NFI[Plastic Mat])*IF(Table_NFI[[#This Row],[Distribution Date]]&gt;"2014-04-01",1,2.5)</f>
        <v>305</v>
      </c>
      <c r="AI45" s="502">
        <f>IF(NFI_Expiration=1,IF($A45&lt;VLOOKUP(R$5,NFI,5,0),1,0)*Table_NFI[[#This Row],[Winter Clothes Adult]],Table_NFI[Winter Clothes Adult])</f>
        <v>0</v>
      </c>
      <c r="AJ45" s="502">
        <f>IF(NFI_Expiration=1,IF($A45&lt;VLOOKUP(S$5,NFI,5,0),1,0)*Table_NFI[[#This Row],[Winter Clothes Children]],Table_NFI[Winter Clothes Children])</f>
        <v>0</v>
      </c>
      <c r="AK45" s="502">
        <f>IF(NFI_Expiration=1,IF($A45&lt;VLOOKUP(T$5,NFI,5,0),1,0)*Table_NFI[[#This Row],[Winter Items Other]],Table_NFI[Winter Items Other])</f>
        <v>0</v>
      </c>
      <c r="AL45" s="502">
        <f>IF(NFI_Expiration=1,IF($A45&lt;VLOOKUP(M$5,NFI,5,0),1,0)*Table_NFI[[#This Row],[Winter Blanket]],Table_NFI[[#This Row],[Winter Blanket]])</f>
        <v>0</v>
      </c>
      <c r="AM45" s="502">
        <f>IF(Table_NFI[[#This Row],[Winter Clothes Adult]]+Table_NFI[[#This Row],[Winter Clothes Children]]+Table_NFI[[#This Row],[Winter Items Other]]+Table_NFI[[#This Row],[Winter Blanket]]&gt;0,1,0)</f>
        <v>0</v>
      </c>
      <c r="AN45" s="504">
        <f>IF(NFI_Expiration=1,IF($A45&lt;VLOOKUP(V$5,NFI,5,0),1,0)*Table_NFI[[#This Row],[Jerry Can]],Table_NFI[Jerry Can])</f>
        <v>64</v>
      </c>
      <c r="AO45" s="504">
        <f>IF(NFI_Expiration=1,IF($A45&lt;VLOOKUP(V$5,NFI,5,0),1,0)*Table_NFI[[#This Row],[Shelter Tool kit]],Table_NFI[Shelter Tool kit])</f>
        <v>0</v>
      </c>
      <c r="AP45" s="504">
        <f>IF(NFI_Expiration=1,IF($A45&lt;VLOOKUP(V$5,NFI,5,0),1,0)*Table_NFI[[#This Row],[Tent]],Table_NFI[Tent])</f>
        <v>0</v>
      </c>
      <c r="AQ45" s="505" t="str">
        <f>IFERROR(VLOOKUP(Table_NFI[[#This Row],[Camp Name]],CL,2,0),"")</f>
        <v/>
      </c>
      <c r="AR45" s="506" t="str">
        <f ca="1">IF(Table_NFI[[#This Row],[Pcode]]="","",IF(OFFSET(CampList[Opening Date],MATCH(Table_NFI[[#This Row],[Pcode]],CampList[CP_Pcode],0)-1,0,1,1)&gt;=NFI_Monitor_Date,1,0))</f>
        <v/>
      </c>
      <c r="AS45" s="671" t="str">
        <f>IFERROR(VLOOKUP(Table_NFI[[#This Row],[Camp Name]],CL,3,0),"")</f>
        <v/>
      </c>
      <c r="AT45" s="502" t="str">
        <f ca="1">IF(Table_NFI[[#This Row],[Pcode]]="","",OFFSET(CampList[Priority],MATCH(Table_NFI[[#This Row],[Pcode]],CampList[CP_Pcode],0)-1,0,1,1))</f>
        <v/>
      </c>
      <c r="AU45" s="507" t="str">
        <f>IFERROR(Table_NFI[[#This Row],[Kitchen Set]]/VLOOKUP(Table_NFI[[#This Row],[Camp Name]],CL,4,0),"")</f>
        <v/>
      </c>
      <c r="AV45" s="500"/>
      <c r="AW45" s="511"/>
    </row>
    <row r="46" spans="1:49" s="470" customFormat="1" ht="14.45" customHeight="1" x14ac:dyDescent="0.25">
      <c r="A46" s="499">
        <f t="shared" si="0"/>
        <v>6.9</v>
      </c>
      <c r="B46" s="465">
        <v>42468</v>
      </c>
      <c r="C46" s="466" t="s">
        <v>452</v>
      </c>
      <c r="D46" s="466" t="s">
        <v>460</v>
      </c>
      <c r="E46" s="466" t="s">
        <v>380</v>
      </c>
      <c r="F46" s="466" t="s">
        <v>5</v>
      </c>
      <c r="G46" s="466" t="s">
        <v>18</v>
      </c>
      <c r="H46" s="501"/>
      <c r="I46" s="501"/>
      <c r="J46" s="501"/>
      <c r="K46" s="501"/>
      <c r="L46" s="501">
        <v>10</v>
      </c>
      <c r="M46" s="501"/>
      <c r="N46" s="501"/>
      <c r="O46" s="501"/>
      <c r="P46" s="502"/>
      <c r="Q46" s="502"/>
      <c r="R46" s="502"/>
      <c r="S46" s="502"/>
      <c r="T46" s="502"/>
      <c r="U46" s="502"/>
      <c r="V46" s="503"/>
      <c r="W46" s="502"/>
      <c r="X46" s="502"/>
      <c r="Y46" s="502">
        <f>IF(NFI_Expiration=1,IF($A46&lt;VLOOKUP(H$5,NFI,5,0),1,0)*Table_NFI[[#This Row],[Hygiene Kit]],Table_NFI[Hygiene Kit])</f>
        <v>0</v>
      </c>
      <c r="Z46" s="502">
        <f>IF(NFI_Expiration=1,IF($A46&lt;VLOOKUP(I$5,NFI,5,0),1,0)*Table_NFI[[#This Row],[NFI Core Kit]],Table_NFI[NFI Core Kit])</f>
        <v>0</v>
      </c>
      <c r="AA46" s="502">
        <f>IF(NFI_Expiration=1,IF($A46&lt;VLOOKUP(J$5,NFI,5,0),1,0)*Table_NFI[[#This Row],[Sanitary Kit]],Table_NFI[Sanitary Kit])</f>
        <v>0</v>
      </c>
      <c r="AB46" s="502">
        <f>IF(NFI_Expiration=1,IF($A46&lt;VLOOKUP(K$5,NFI,5,0),1,0)*Table_NFI[[#This Row],[Mosquito net]],Table_NFI[Mosquito net])</f>
        <v>0</v>
      </c>
      <c r="AC46" s="502">
        <f>IF(NFI_Expiration=1,IF($A46&lt;VLOOKUP(L$5,NFI,5,0),1,0)*Table_NFI[[#This Row],[Tarpaulin]],Table_NFI[[#This Row],[Tarpaulin]])</f>
        <v>10</v>
      </c>
      <c r="AD46" s="502">
        <f>IF(NFI_Expiration=1,IF($A46&lt;VLOOKUP(M$5,NFI,5,0),1,0)*Table_NFI[[#This Row],[Blanket]],Table_NFI[[#This Row],[Blanket]])</f>
        <v>0</v>
      </c>
      <c r="AE46" s="502">
        <f>IF(NFI_Expiration=1,IF($A46&lt;VLOOKUP(N$5,NFI,5,0),1,0)*Table_NFI[[#This Row],[Kitchen Set]],Table_NFI[Kitchen Set])</f>
        <v>0</v>
      </c>
      <c r="AF46" s="502">
        <f>IF(NFI_Expiration=1,IF($A46&lt;VLOOKUP(O$5,NFI,5,0),1,0)*Table_NFI[[#This Row],[Clothes Kit]],Table_NFI[Clothes Kit])</f>
        <v>0</v>
      </c>
      <c r="AG46" s="502">
        <f>IF(NFI_Expiration=1,IF($A46&lt;VLOOKUP(P$5,NFI,5,0),1,0)*Table_NFI[[#This Row],[Plastic Bucket]],Table_NFI[Plastic Bucket])</f>
        <v>0</v>
      </c>
      <c r="AH46" s="502">
        <f>IF(NFI_Expiration=1,IF($A46&lt;VLOOKUP(Q$5,NFI,5,0),1,0)*Table_NFI[[#This Row],[Plastic Mat]],Table_NFI[Plastic Mat])*IF(Table_NFI[[#This Row],[Distribution Date]]&gt;"2014-04-01",1,2.5)</f>
        <v>0</v>
      </c>
      <c r="AI46" s="502">
        <f>IF(NFI_Expiration=1,IF($A46&lt;VLOOKUP(R$5,NFI,5,0),1,0)*Table_NFI[[#This Row],[Winter Clothes Adult]],Table_NFI[Winter Clothes Adult])</f>
        <v>0</v>
      </c>
      <c r="AJ46" s="502">
        <f>IF(NFI_Expiration=1,IF($A46&lt;VLOOKUP(S$5,NFI,5,0),1,0)*Table_NFI[[#This Row],[Winter Clothes Children]],Table_NFI[Winter Clothes Children])</f>
        <v>0</v>
      </c>
      <c r="AK46" s="502">
        <f>IF(NFI_Expiration=1,IF($A46&lt;VLOOKUP(T$5,NFI,5,0),1,0)*Table_NFI[[#This Row],[Winter Items Other]],Table_NFI[Winter Items Other])</f>
        <v>0</v>
      </c>
      <c r="AL46" s="502">
        <f>IF(NFI_Expiration=1,IF($A46&lt;VLOOKUP(M$5,NFI,5,0),1,0)*Table_NFI[[#This Row],[Winter Blanket]],Table_NFI[[#This Row],[Winter Blanket]])</f>
        <v>0</v>
      </c>
      <c r="AM46" s="502">
        <f>IF(Table_NFI[[#This Row],[Winter Clothes Adult]]+Table_NFI[[#This Row],[Winter Clothes Children]]+Table_NFI[[#This Row],[Winter Items Other]]+Table_NFI[[#This Row],[Winter Blanket]]&gt;0,1,0)</f>
        <v>0</v>
      </c>
      <c r="AN46" s="504">
        <f>IF(NFI_Expiration=1,IF($A46&lt;VLOOKUP(V$5,NFI,5,0),1,0)*Table_NFI[[#This Row],[Jerry Can]],Table_NFI[Jerry Can])</f>
        <v>0</v>
      </c>
      <c r="AO46" s="504">
        <f>IF(NFI_Expiration=1,IF($A46&lt;VLOOKUP(V$5,NFI,5,0),1,0)*Table_NFI[[#This Row],[Shelter Tool kit]],Table_NFI[Shelter Tool kit])</f>
        <v>0</v>
      </c>
      <c r="AP46" s="504">
        <f>IF(NFI_Expiration=1,IF($A46&lt;VLOOKUP(V$5,NFI,5,0),1,0)*Table_NFI[[#This Row],[Tent]],Table_NFI[Tent])</f>
        <v>0</v>
      </c>
      <c r="AQ46" s="505" t="str">
        <f>IFERROR(VLOOKUP(Table_NFI[[#This Row],[Camp Name]],CL,2,0),"")</f>
        <v>MMR001CMP049</v>
      </c>
      <c r="AR46" s="506">
        <f ca="1">IF(Table_NFI[[#This Row],[Pcode]]="","",IF(OFFSET(CampList[Opening Date],MATCH(Table_NFI[[#This Row],[Pcode]],CampList[CP_Pcode],0)-1,0,1,1)&gt;=NFI_Monitor_Date,1,0))</f>
        <v>0</v>
      </c>
      <c r="AS46" s="505" t="str">
        <f>IFERROR(VLOOKUP(Table_NFI[[#This Row],[Camp Name]],CL,3,0),"")</f>
        <v>Open</v>
      </c>
      <c r="AT46" s="502" t="str">
        <f ca="1">IF(Table_NFI[[#This Row],[Pcode]]="","",OFFSET(CampList[Priority],MATCH(Table_NFI[[#This Row],[Pcode]],CampList[CP_Pcode],0)-1,0,1,1))</f>
        <v>P4</v>
      </c>
      <c r="AU46" s="507">
        <f>IFERROR(Table_NFI[[#This Row],[Kitchen Set]]/VLOOKUP(Table_NFI[[#This Row],[Camp Name]],CL,4,0),"")</f>
        <v>0</v>
      </c>
      <c r="AV46" s="500"/>
      <c r="AW46" s="508"/>
    </row>
    <row r="47" spans="1:49" s="98" customFormat="1" ht="14.45" customHeight="1" x14ac:dyDescent="0.25">
      <c r="A47" s="499">
        <f t="shared" si="0"/>
        <v>7.166666666666667</v>
      </c>
      <c r="B47" s="465">
        <v>42460</v>
      </c>
      <c r="C47" s="466" t="s">
        <v>452</v>
      </c>
      <c r="D47" s="466" t="s">
        <v>505</v>
      </c>
      <c r="E47" s="466" t="s">
        <v>380</v>
      </c>
      <c r="F47" s="466" t="s">
        <v>5</v>
      </c>
      <c r="G47" s="466" t="s">
        <v>8</v>
      </c>
      <c r="H47" s="501"/>
      <c r="I47" s="501"/>
      <c r="J47" s="501"/>
      <c r="K47" s="501"/>
      <c r="L47" s="501">
        <v>4</v>
      </c>
      <c r="M47" s="501"/>
      <c r="N47" s="501"/>
      <c r="O47" s="501"/>
      <c r="P47" s="502"/>
      <c r="Q47" s="502"/>
      <c r="R47" s="502"/>
      <c r="S47" s="502"/>
      <c r="T47" s="502"/>
      <c r="U47" s="502"/>
      <c r="V47" s="503"/>
      <c r="W47" s="502"/>
      <c r="X47" s="502"/>
      <c r="Y47" s="502">
        <f>IF(NFI_Expiration=1,IF($A47&lt;VLOOKUP(H$5,NFI,5,0),1,0)*Table_NFI[[#This Row],[Hygiene Kit]],Table_NFI[Hygiene Kit])</f>
        <v>0</v>
      </c>
      <c r="Z47" s="502">
        <f>IF(NFI_Expiration=1,IF($A47&lt;VLOOKUP(I$5,NFI,5,0),1,0)*Table_NFI[[#This Row],[NFI Core Kit]],Table_NFI[NFI Core Kit])</f>
        <v>0</v>
      </c>
      <c r="AA47" s="502">
        <f>IF(NFI_Expiration=1,IF($A47&lt;VLOOKUP(J$5,NFI,5,0),1,0)*Table_NFI[[#This Row],[Sanitary Kit]],Table_NFI[Sanitary Kit])</f>
        <v>0</v>
      </c>
      <c r="AB47" s="502">
        <f>IF(NFI_Expiration=1,IF($A47&lt;VLOOKUP(K$5,NFI,5,0),1,0)*Table_NFI[[#This Row],[Mosquito net]],Table_NFI[Mosquito net])</f>
        <v>0</v>
      </c>
      <c r="AC47" s="502">
        <f>IF(NFI_Expiration=1,IF($A47&lt;VLOOKUP(L$5,NFI,5,0),1,0)*Table_NFI[[#This Row],[Tarpaulin]],Table_NFI[[#This Row],[Tarpaulin]])</f>
        <v>4</v>
      </c>
      <c r="AD47" s="502">
        <f>IF(NFI_Expiration=1,IF($A47&lt;VLOOKUP(M$5,NFI,5,0),1,0)*Table_NFI[[#This Row],[Blanket]],Table_NFI[[#This Row],[Blanket]])</f>
        <v>0</v>
      </c>
      <c r="AE47" s="502">
        <f>IF(NFI_Expiration=1,IF($A47&lt;VLOOKUP(N$5,NFI,5,0),1,0)*Table_NFI[[#This Row],[Kitchen Set]],Table_NFI[Kitchen Set])</f>
        <v>0</v>
      </c>
      <c r="AF47" s="502">
        <f>IF(NFI_Expiration=1,IF($A47&lt;VLOOKUP(O$5,NFI,5,0),1,0)*Table_NFI[[#This Row],[Clothes Kit]],Table_NFI[Clothes Kit])</f>
        <v>0</v>
      </c>
      <c r="AG47" s="502">
        <f>IF(NFI_Expiration=1,IF($A47&lt;VLOOKUP(P$5,NFI,5,0),1,0)*Table_NFI[[#This Row],[Plastic Bucket]],Table_NFI[Plastic Bucket])</f>
        <v>0</v>
      </c>
      <c r="AH47" s="502">
        <f>IF(NFI_Expiration=1,IF($A47&lt;VLOOKUP(Q$5,NFI,5,0),1,0)*Table_NFI[[#This Row],[Plastic Mat]],Table_NFI[Plastic Mat])*IF(Table_NFI[[#This Row],[Distribution Date]]&gt;"2014-04-01",1,2.5)</f>
        <v>0</v>
      </c>
      <c r="AI47" s="502">
        <f>IF(NFI_Expiration=1,IF($A47&lt;VLOOKUP(R$5,NFI,5,0),1,0)*Table_NFI[[#This Row],[Winter Clothes Adult]],Table_NFI[Winter Clothes Adult])</f>
        <v>0</v>
      </c>
      <c r="AJ47" s="502">
        <f>IF(NFI_Expiration=1,IF($A47&lt;VLOOKUP(S$5,NFI,5,0),1,0)*Table_NFI[[#This Row],[Winter Clothes Children]],Table_NFI[Winter Clothes Children])</f>
        <v>0</v>
      </c>
      <c r="AK47" s="502">
        <f>IF(NFI_Expiration=1,IF($A47&lt;VLOOKUP(T$5,NFI,5,0),1,0)*Table_NFI[[#This Row],[Winter Items Other]],Table_NFI[Winter Items Other])</f>
        <v>0</v>
      </c>
      <c r="AL47" s="502">
        <f>IF(NFI_Expiration=1,IF($A47&lt;VLOOKUP(M$5,NFI,5,0),1,0)*Table_NFI[[#This Row],[Winter Blanket]],Table_NFI[[#This Row],[Winter Blanket]])</f>
        <v>0</v>
      </c>
      <c r="AM47" s="502">
        <f>IF(Table_NFI[[#This Row],[Winter Clothes Adult]]+Table_NFI[[#This Row],[Winter Clothes Children]]+Table_NFI[[#This Row],[Winter Items Other]]+Table_NFI[[#This Row],[Winter Blanket]]&gt;0,1,0)</f>
        <v>0</v>
      </c>
      <c r="AN47" s="504">
        <f>IF(NFI_Expiration=1,IF($A47&lt;VLOOKUP(V$5,NFI,5,0),1,0)*Table_NFI[[#This Row],[Jerry Can]],Table_NFI[Jerry Can])</f>
        <v>0</v>
      </c>
      <c r="AO47" s="504">
        <f>IF(NFI_Expiration=1,IF($A47&lt;VLOOKUP(V$5,NFI,5,0),1,0)*Table_NFI[[#This Row],[Shelter Tool kit]],Table_NFI[Shelter Tool kit])</f>
        <v>0</v>
      </c>
      <c r="AP47" s="504">
        <f>IF(NFI_Expiration=1,IF($A47&lt;VLOOKUP(V$5,NFI,5,0),1,0)*Table_NFI[[#This Row],[Tent]],Table_NFI[Tent])</f>
        <v>0</v>
      </c>
      <c r="AQ47" s="505" t="str">
        <f>IFERROR(VLOOKUP(Table_NFI[[#This Row],[Camp Name]],CL,2,0),"")</f>
        <v>MMR001CMP051</v>
      </c>
      <c r="AR47" s="506">
        <f ca="1">IF(Table_NFI[[#This Row],[Pcode]]="","",IF(OFFSET(CampList[Opening Date],MATCH(Table_NFI[[#This Row],[Pcode]],CampList[CP_Pcode],0)-1,0,1,1)&gt;=NFI_Monitor_Date,1,0))</f>
        <v>0</v>
      </c>
      <c r="AS47" s="505" t="str">
        <f>IFERROR(VLOOKUP(Table_NFI[[#This Row],[Camp Name]],CL,3,0),"")</f>
        <v>Open</v>
      </c>
      <c r="AT47" s="502" t="str">
        <f ca="1">IF(Table_NFI[[#This Row],[Pcode]]="","",OFFSET(CampList[Priority],MATCH(Table_NFI[[#This Row],[Pcode]],CampList[CP_Pcode],0)-1,0,1,1))</f>
        <v>P4</v>
      </c>
      <c r="AU47" s="507">
        <f>IFERROR(Table_NFI[[#This Row],[Kitchen Set]]/VLOOKUP(Table_NFI[[#This Row],[Camp Name]],CL,4,0),"")</f>
        <v>0</v>
      </c>
      <c r="AV47" s="500"/>
      <c r="AW47" s="508"/>
    </row>
    <row r="48" spans="1:49" s="470" customFormat="1" ht="14.45" customHeight="1" x14ac:dyDescent="0.2">
      <c r="A48" s="297">
        <f t="shared" si="0"/>
        <v>7.6333333333333337</v>
      </c>
      <c r="B48" s="465">
        <v>42446</v>
      </c>
      <c r="C48" s="466" t="s">
        <v>905</v>
      </c>
      <c r="D48" s="467" t="s">
        <v>905</v>
      </c>
      <c r="E48" s="466" t="s">
        <v>380</v>
      </c>
      <c r="F48" s="290" t="s">
        <v>5</v>
      </c>
      <c r="G48" s="290" t="s">
        <v>22</v>
      </c>
      <c r="H48" s="291"/>
      <c r="I48" s="291"/>
      <c r="J48" s="291"/>
      <c r="K48" s="291"/>
      <c r="L48" s="292"/>
      <c r="M48" s="292"/>
      <c r="N48" s="292"/>
      <c r="O48" s="292"/>
      <c r="P48" s="294"/>
      <c r="Q48" s="294"/>
      <c r="R48" s="294"/>
      <c r="S48" s="294"/>
      <c r="T48" s="294"/>
      <c r="U48" s="294"/>
      <c r="V48" s="621">
        <v>1</v>
      </c>
      <c r="W48" s="294"/>
      <c r="X48" s="294"/>
      <c r="Y48" s="294">
        <f>IF(NFI_Expiration=1,IF($A48&lt;VLOOKUP(H$5,NFI,5,0),1,0)*Table_NFI[[#This Row],[Hygiene Kit]],Table_NFI[Hygiene Kit])</f>
        <v>0</v>
      </c>
      <c r="Z48" s="294">
        <f>IF(NFI_Expiration=1,IF($A48&lt;VLOOKUP(I$5,NFI,5,0),1,0)*Table_NFI[[#This Row],[NFI Core Kit]],Table_NFI[NFI Core Kit])</f>
        <v>0</v>
      </c>
      <c r="AA48" s="294">
        <f>IF(NFI_Expiration=1,IF($A48&lt;VLOOKUP(J$5,NFI,5,0),1,0)*Table_NFI[[#This Row],[Sanitary Kit]],Table_NFI[Sanitary Kit])</f>
        <v>0</v>
      </c>
      <c r="AB48" s="294">
        <f>IF(NFI_Expiration=1,IF($A48&lt;VLOOKUP(K$5,NFI,5,0),1,0)*Table_NFI[[#This Row],[Mosquito net]],Table_NFI[Mosquito net])</f>
        <v>0</v>
      </c>
      <c r="AC48" s="294">
        <f>IF(NFI_Expiration=1,IF($A48&lt;VLOOKUP(L$5,NFI,5,0),1,0)*Table_NFI[[#This Row],[Tarpaulin]],Table_NFI[[#This Row],[Tarpaulin]])</f>
        <v>0</v>
      </c>
      <c r="AD48" s="294">
        <f>IF(NFI_Expiration=1,IF($A48&lt;VLOOKUP(M$5,NFI,5,0),1,0)*Table_NFI[[#This Row],[Blanket]],Table_NFI[[#This Row],[Blanket]])</f>
        <v>0</v>
      </c>
      <c r="AE48" s="294">
        <f>IF(NFI_Expiration=1,IF($A48&lt;VLOOKUP(N$5,NFI,5,0),1,0)*Table_NFI[[#This Row],[Kitchen Set]],Table_NFI[Kitchen Set])</f>
        <v>0</v>
      </c>
      <c r="AF48" s="294">
        <f>IF(NFI_Expiration=1,IF($A48&lt;VLOOKUP(O$5,NFI,5,0),1,0)*Table_NFI[[#This Row],[Clothes Kit]],Table_NFI[Clothes Kit])</f>
        <v>0</v>
      </c>
      <c r="AG48" s="294">
        <f>IF(NFI_Expiration=1,IF($A48&lt;VLOOKUP(P$5,NFI,5,0),1,0)*Table_NFI[[#This Row],[Plastic Bucket]],Table_NFI[Plastic Bucket])</f>
        <v>0</v>
      </c>
      <c r="AH48" s="294">
        <f>IF(NFI_Expiration=1,IF($A48&lt;VLOOKUP(Q$5,NFI,5,0),1,0)*Table_NFI[[#This Row],[Plastic Mat]],Table_NFI[Plastic Mat])*IF(Table_NFI[[#This Row],[Distribution Date]]&gt;"2014-04-01",1,2.5)</f>
        <v>0</v>
      </c>
      <c r="AI48" s="294">
        <f>IF(NFI_Expiration=1,IF($A48&lt;VLOOKUP(R$5,NFI,5,0),1,0)*Table_NFI[[#This Row],[Winter Clothes Adult]],Table_NFI[Winter Clothes Adult])</f>
        <v>0</v>
      </c>
      <c r="AJ48" s="294">
        <f>IF(NFI_Expiration=1,IF($A48&lt;VLOOKUP(S$5,NFI,5,0),1,0)*Table_NFI[[#This Row],[Winter Clothes Children]],Table_NFI[Winter Clothes Children])</f>
        <v>0</v>
      </c>
      <c r="AK48" s="294">
        <f>IF(NFI_Expiration=1,IF($A48&lt;VLOOKUP(T$5,NFI,5,0),1,0)*Table_NFI[[#This Row],[Winter Items Other]],Table_NFI[Winter Items Other])</f>
        <v>0</v>
      </c>
      <c r="AL48" s="294">
        <f>IF(NFI_Expiration=1,IF($A48&lt;VLOOKUP(M$5,NFI,5,0),1,0)*Table_NFI[[#This Row],[Winter Blanket]],Table_NFI[[#This Row],[Winter Blanket]])</f>
        <v>0</v>
      </c>
      <c r="AM48" s="294">
        <f>IF(Table_NFI[[#This Row],[Winter Clothes Adult]]+Table_NFI[[#This Row],[Winter Clothes Children]]+Table_NFI[[#This Row],[Winter Items Other]]+Table_NFI[[#This Row],[Winter Blanket]]&gt;0,1,0)</f>
        <v>0</v>
      </c>
      <c r="AN48" s="331">
        <f>IF(NFI_Expiration=1,IF($A48&lt;VLOOKUP(V$5,NFI,5,0),1,0)*Table_NFI[[#This Row],[Jerry Can]],Table_NFI[Jerry Can])</f>
        <v>1</v>
      </c>
      <c r="AO48" s="331">
        <f>IF(NFI_Expiration=1,IF($A48&lt;VLOOKUP(V$5,NFI,5,0),1,0)*Table_NFI[[#This Row],[Shelter Tool kit]],Table_NFI[Shelter Tool kit])</f>
        <v>0</v>
      </c>
      <c r="AP48" s="331">
        <f>IF(NFI_Expiration=1,IF($A48&lt;VLOOKUP(V$5,NFI,5,0),1,0)*Table_NFI[[#This Row],[Tent]],Table_NFI[Tent])</f>
        <v>0</v>
      </c>
      <c r="AQ48" s="473" t="str">
        <f>IFERROR(VLOOKUP(Table_NFI[[#This Row],[Camp Name]],CL,2,0),"")</f>
        <v>MMR001CMP047</v>
      </c>
      <c r="AR48" s="468">
        <f ca="1">IF(Table_NFI[[#This Row],[Pcode]]="","",IF(OFFSET(CampList[Opening Date],MATCH(Table_NFI[[#This Row],[Pcode]],CampList[CP_Pcode],0)-1,0,1,1)&gt;=NFI_Monitor_Date,1,0))</f>
        <v>0</v>
      </c>
      <c r="AS48" s="473" t="str">
        <f>IFERROR(VLOOKUP(Table_NFI[[#This Row],[Camp Name]],CL,3,0),"")</f>
        <v>Open</v>
      </c>
      <c r="AT48" s="294" t="str">
        <f ca="1">IF(Table_NFI[[#This Row],[Pcode]]="","",OFFSET(CampList[Priority],MATCH(Table_NFI[[#This Row],[Pcode]],CampList[CP_Pcode],0)-1,0,1,1))</f>
        <v>P4</v>
      </c>
      <c r="AU48" s="293">
        <f>IFERROR(Table_NFI[[#This Row],[Kitchen Set]]/VLOOKUP(Table_NFI[[#This Row],[Camp Name]],CL,4,0),"")</f>
        <v>0</v>
      </c>
      <c r="AV48" s="466"/>
      <c r="AW48" s="469"/>
    </row>
    <row r="49" spans="1:49" s="470" customFormat="1" ht="14.45" customHeight="1" x14ac:dyDescent="0.2">
      <c r="A49" s="297">
        <f t="shared" si="0"/>
        <v>7.666666666666667</v>
      </c>
      <c r="B49" s="465">
        <v>42445</v>
      </c>
      <c r="C49" s="466" t="s">
        <v>905</v>
      </c>
      <c r="D49" s="466" t="s">
        <v>905</v>
      </c>
      <c r="E49" s="466" t="s">
        <v>380</v>
      </c>
      <c r="F49" s="466" t="s">
        <v>185</v>
      </c>
      <c r="G49" s="290" t="s">
        <v>217</v>
      </c>
      <c r="H49" s="291"/>
      <c r="I49" s="291"/>
      <c r="J49" s="292"/>
      <c r="K49" s="291"/>
      <c r="L49" s="292"/>
      <c r="M49" s="292"/>
      <c r="N49" s="292"/>
      <c r="O49" s="292"/>
      <c r="P49" s="294"/>
      <c r="Q49" s="294"/>
      <c r="R49" s="294"/>
      <c r="S49" s="294"/>
      <c r="T49" s="294"/>
      <c r="U49" s="294"/>
      <c r="V49" s="621">
        <v>1</v>
      </c>
      <c r="W49" s="294"/>
      <c r="X49" s="294"/>
      <c r="Y49" s="294">
        <f>IF(NFI_Expiration=1,IF($A49&lt;VLOOKUP(H$5,NFI,5,0),1,0)*Table_NFI[[#This Row],[Hygiene Kit]],Table_NFI[Hygiene Kit])</f>
        <v>0</v>
      </c>
      <c r="Z49" s="294">
        <f>IF(NFI_Expiration=1,IF($A49&lt;VLOOKUP(I$5,NFI,5,0),1,0)*Table_NFI[[#This Row],[NFI Core Kit]],Table_NFI[NFI Core Kit])</f>
        <v>0</v>
      </c>
      <c r="AA49" s="294">
        <f>IF(NFI_Expiration=1,IF($A49&lt;VLOOKUP(J$5,NFI,5,0),1,0)*Table_NFI[[#This Row],[Sanitary Kit]],Table_NFI[Sanitary Kit])</f>
        <v>0</v>
      </c>
      <c r="AB49" s="294">
        <f>IF(NFI_Expiration=1,IF($A49&lt;VLOOKUP(K$5,NFI,5,0),1,0)*Table_NFI[[#This Row],[Mosquito net]],Table_NFI[Mosquito net])</f>
        <v>0</v>
      </c>
      <c r="AC49" s="294">
        <f>IF(NFI_Expiration=1,IF($A49&lt;VLOOKUP(L$5,NFI,5,0),1,0)*Table_NFI[[#This Row],[Tarpaulin]],Table_NFI[[#This Row],[Tarpaulin]])</f>
        <v>0</v>
      </c>
      <c r="AD49" s="294">
        <f>IF(NFI_Expiration=1,IF($A49&lt;VLOOKUP(M$5,NFI,5,0),1,0)*Table_NFI[[#This Row],[Blanket]],Table_NFI[[#This Row],[Blanket]])</f>
        <v>0</v>
      </c>
      <c r="AE49" s="294">
        <f>IF(NFI_Expiration=1,IF($A49&lt;VLOOKUP(N$5,NFI,5,0),1,0)*Table_NFI[[#This Row],[Kitchen Set]],Table_NFI[Kitchen Set])</f>
        <v>0</v>
      </c>
      <c r="AF49" s="294">
        <f>IF(NFI_Expiration=1,IF($A49&lt;VLOOKUP(O$5,NFI,5,0),1,0)*Table_NFI[[#This Row],[Clothes Kit]],Table_NFI[Clothes Kit])</f>
        <v>0</v>
      </c>
      <c r="AG49" s="294">
        <f>IF(NFI_Expiration=1,IF($A49&lt;VLOOKUP(P$5,NFI,5,0),1,0)*Table_NFI[[#This Row],[Plastic Bucket]],Table_NFI[Plastic Bucket])</f>
        <v>0</v>
      </c>
      <c r="AH49" s="294">
        <f>IF(NFI_Expiration=1,IF($A49&lt;VLOOKUP(Q$5,NFI,5,0),1,0)*Table_NFI[[#This Row],[Plastic Mat]],Table_NFI[Plastic Mat])*IF(Table_NFI[[#This Row],[Distribution Date]]&gt;"2014-04-01",1,2.5)</f>
        <v>0</v>
      </c>
      <c r="AI49" s="294">
        <f>IF(NFI_Expiration=1,IF($A49&lt;VLOOKUP(R$5,NFI,5,0),1,0)*Table_NFI[[#This Row],[Winter Clothes Adult]],Table_NFI[Winter Clothes Adult])</f>
        <v>0</v>
      </c>
      <c r="AJ49" s="294">
        <f>IF(NFI_Expiration=1,IF($A49&lt;VLOOKUP(S$5,NFI,5,0),1,0)*Table_NFI[[#This Row],[Winter Clothes Children]],Table_NFI[Winter Clothes Children])</f>
        <v>0</v>
      </c>
      <c r="AK49" s="294">
        <f>IF(NFI_Expiration=1,IF($A49&lt;VLOOKUP(T$5,NFI,5,0),1,0)*Table_NFI[[#This Row],[Winter Items Other]],Table_NFI[Winter Items Other])</f>
        <v>0</v>
      </c>
      <c r="AL49" s="294">
        <f>IF(NFI_Expiration=1,IF($A49&lt;VLOOKUP(M$5,NFI,5,0),1,0)*Table_NFI[[#This Row],[Winter Blanket]],Table_NFI[[#This Row],[Winter Blanket]])</f>
        <v>0</v>
      </c>
      <c r="AM49" s="294">
        <f>IF(Table_NFI[[#This Row],[Winter Clothes Adult]]+Table_NFI[[#This Row],[Winter Clothes Children]]+Table_NFI[[#This Row],[Winter Items Other]]+Table_NFI[[#This Row],[Winter Blanket]]&gt;0,1,0)</f>
        <v>0</v>
      </c>
      <c r="AN49" s="331">
        <f>IF(NFI_Expiration=1,IF($A49&lt;VLOOKUP(V$5,NFI,5,0),1,0)*Table_NFI[[#This Row],[Jerry Can]],Table_NFI[Jerry Can])</f>
        <v>1</v>
      </c>
      <c r="AO49" s="331">
        <f>IF(NFI_Expiration=1,IF($A49&lt;VLOOKUP(V$5,NFI,5,0),1,0)*Table_NFI[[#This Row],[Shelter Tool kit]],Table_NFI[Shelter Tool kit])</f>
        <v>0</v>
      </c>
      <c r="AP49" s="331">
        <f>IF(NFI_Expiration=1,IF($A49&lt;VLOOKUP(V$5,NFI,5,0),1,0)*Table_NFI[[#This Row],[Tent]],Table_NFI[Tent])</f>
        <v>0</v>
      </c>
      <c r="AQ49" s="473" t="str">
        <f>IFERROR(VLOOKUP(Table_NFI[[#This Row],[Camp Name]],CL,2,0),"")</f>
        <v>MMR001CMP059</v>
      </c>
      <c r="AR49" s="468">
        <f ca="1">IF(Table_NFI[[#This Row],[Pcode]]="","",IF(OFFSET(CampList[Opening Date],MATCH(Table_NFI[[#This Row],[Pcode]],CampList[CP_Pcode],0)-1,0,1,1)&gt;=NFI_Monitor_Date,1,0))</f>
        <v>0</v>
      </c>
      <c r="AS49" s="473" t="str">
        <f>IFERROR(VLOOKUP(Table_NFI[[#This Row],[Camp Name]],CL,3,0),"")</f>
        <v>Closed</v>
      </c>
      <c r="AT49" s="294" t="str">
        <f ca="1">IF(Table_NFI[[#This Row],[Pcode]]="","",OFFSET(CampList[Priority],MATCH(Table_NFI[[#This Row],[Pcode]],CampList[CP_Pcode],0)-1,0,1,1))</f>
        <v>P4</v>
      </c>
      <c r="AU49" s="293" t="str">
        <f>IFERROR(Table_NFI[[#This Row],[Kitchen Set]]/VLOOKUP(Table_NFI[[#This Row],[Camp Name]],CL,4,0),"")</f>
        <v/>
      </c>
      <c r="AV49" s="466"/>
      <c r="AW49" s="469"/>
    </row>
    <row r="50" spans="1:49" s="470" customFormat="1" ht="15" customHeight="1" x14ac:dyDescent="0.2">
      <c r="A50" s="297">
        <f t="shared" si="0"/>
        <v>7.666666666666667</v>
      </c>
      <c r="B50" s="465">
        <v>42445</v>
      </c>
      <c r="C50" s="466" t="s">
        <v>905</v>
      </c>
      <c r="D50" s="466" t="s">
        <v>905</v>
      </c>
      <c r="E50" s="466" t="s">
        <v>380</v>
      </c>
      <c r="F50" s="466" t="s">
        <v>5</v>
      </c>
      <c r="G50" s="466" t="s">
        <v>366</v>
      </c>
      <c r="H50" s="291"/>
      <c r="I50" s="291"/>
      <c r="J50" s="291"/>
      <c r="K50" s="291"/>
      <c r="L50" s="292"/>
      <c r="M50" s="292"/>
      <c r="N50" s="292"/>
      <c r="O50" s="292"/>
      <c r="P50" s="294"/>
      <c r="Q50" s="294"/>
      <c r="R50" s="294"/>
      <c r="S50" s="294"/>
      <c r="T50" s="294"/>
      <c r="U50" s="294"/>
      <c r="V50" s="621">
        <v>4</v>
      </c>
      <c r="W50" s="294"/>
      <c r="X50" s="294"/>
      <c r="Y50" s="294">
        <f>IF(NFI_Expiration=1,IF($A50&lt;VLOOKUP(H$5,NFI,5,0),1,0)*Table_NFI[[#This Row],[Hygiene Kit]],Table_NFI[Hygiene Kit])</f>
        <v>0</v>
      </c>
      <c r="Z50" s="294">
        <f>IF(NFI_Expiration=1,IF($A50&lt;VLOOKUP(I$5,NFI,5,0),1,0)*Table_NFI[[#This Row],[NFI Core Kit]],Table_NFI[NFI Core Kit])</f>
        <v>0</v>
      </c>
      <c r="AA50" s="294">
        <f>IF(NFI_Expiration=1,IF($A50&lt;VLOOKUP(J$5,NFI,5,0),1,0)*Table_NFI[[#This Row],[Sanitary Kit]],Table_NFI[Sanitary Kit])</f>
        <v>0</v>
      </c>
      <c r="AB50" s="294">
        <f>IF(NFI_Expiration=1,IF($A50&lt;VLOOKUP(K$5,NFI,5,0),1,0)*Table_NFI[[#This Row],[Mosquito net]],Table_NFI[Mosquito net])</f>
        <v>0</v>
      </c>
      <c r="AC50" s="294">
        <f>IF(NFI_Expiration=1,IF($A50&lt;VLOOKUP(L$5,NFI,5,0),1,0)*Table_NFI[[#This Row],[Tarpaulin]],Table_NFI[[#This Row],[Tarpaulin]])</f>
        <v>0</v>
      </c>
      <c r="AD50" s="294">
        <f>IF(NFI_Expiration=1,IF($A50&lt;VLOOKUP(M$5,NFI,5,0),1,0)*Table_NFI[[#This Row],[Blanket]],Table_NFI[[#This Row],[Blanket]])</f>
        <v>0</v>
      </c>
      <c r="AE50" s="294">
        <f>IF(NFI_Expiration=1,IF($A50&lt;VLOOKUP(N$5,NFI,5,0),1,0)*Table_NFI[[#This Row],[Kitchen Set]],Table_NFI[Kitchen Set])</f>
        <v>0</v>
      </c>
      <c r="AF50" s="294">
        <f>IF(NFI_Expiration=1,IF($A50&lt;VLOOKUP(O$5,NFI,5,0),1,0)*Table_NFI[[#This Row],[Clothes Kit]],Table_NFI[Clothes Kit])</f>
        <v>0</v>
      </c>
      <c r="AG50" s="294">
        <f>IF(NFI_Expiration=1,IF($A50&lt;VLOOKUP(P$5,NFI,5,0),1,0)*Table_NFI[[#This Row],[Plastic Bucket]],Table_NFI[Plastic Bucket])</f>
        <v>0</v>
      </c>
      <c r="AH50" s="294">
        <f>IF(NFI_Expiration=1,IF($A50&lt;VLOOKUP(Q$5,NFI,5,0),1,0)*Table_NFI[[#This Row],[Plastic Mat]],Table_NFI[Plastic Mat])*IF(Table_NFI[[#This Row],[Distribution Date]]&gt;"2014-04-01",1,2.5)</f>
        <v>0</v>
      </c>
      <c r="AI50" s="294">
        <f>IF(NFI_Expiration=1,IF($A50&lt;VLOOKUP(R$5,NFI,5,0),1,0)*Table_NFI[[#This Row],[Winter Clothes Adult]],Table_NFI[Winter Clothes Adult])</f>
        <v>0</v>
      </c>
      <c r="AJ50" s="294">
        <f>IF(NFI_Expiration=1,IF($A50&lt;VLOOKUP(S$5,NFI,5,0),1,0)*Table_NFI[[#This Row],[Winter Clothes Children]],Table_NFI[Winter Clothes Children])</f>
        <v>0</v>
      </c>
      <c r="AK50" s="294">
        <f>IF(NFI_Expiration=1,IF($A50&lt;VLOOKUP(T$5,NFI,5,0),1,0)*Table_NFI[[#This Row],[Winter Items Other]],Table_NFI[Winter Items Other])</f>
        <v>0</v>
      </c>
      <c r="AL50" s="294">
        <f>IF(NFI_Expiration=1,IF($A50&lt;VLOOKUP(M$5,NFI,5,0),1,0)*Table_NFI[[#This Row],[Winter Blanket]],Table_NFI[[#This Row],[Winter Blanket]])</f>
        <v>0</v>
      </c>
      <c r="AM50" s="294">
        <f>IF(Table_NFI[[#This Row],[Winter Clothes Adult]]+Table_NFI[[#This Row],[Winter Clothes Children]]+Table_NFI[[#This Row],[Winter Items Other]]+Table_NFI[[#This Row],[Winter Blanket]]&gt;0,1,0)</f>
        <v>0</v>
      </c>
      <c r="AN50" s="331">
        <f>IF(NFI_Expiration=1,IF($A50&lt;VLOOKUP(V$5,NFI,5,0),1,0)*Table_NFI[[#This Row],[Jerry Can]],Table_NFI[Jerry Can])</f>
        <v>4</v>
      </c>
      <c r="AO50" s="331">
        <f>IF(NFI_Expiration=1,IF($A50&lt;VLOOKUP(V$5,NFI,5,0),1,0)*Table_NFI[[#This Row],[Shelter Tool kit]],Table_NFI[Shelter Tool kit])</f>
        <v>0</v>
      </c>
      <c r="AP50" s="331">
        <f>IF(NFI_Expiration=1,IF($A50&lt;VLOOKUP(V$5,NFI,5,0),1,0)*Table_NFI[[#This Row],[Tent]],Table_NFI[Tent])</f>
        <v>0</v>
      </c>
      <c r="AQ50" s="473" t="str">
        <f>IFERROR(VLOOKUP(Table_NFI[[#This Row],[Camp Name]],CL,2,0),"")</f>
        <v>MMR001CMP193</v>
      </c>
      <c r="AR50" s="468">
        <f ca="1">IF(Table_NFI[[#This Row],[Pcode]]="","",IF(OFFSET(CampList[Opening Date],MATCH(Table_NFI[[#This Row],[Pcode]],CampList[CP_Pcode],0)-1,0,1,1)&gt;=NFI_Monitor_Date,1,0))</f>
        <v>0</v>
      </c>
      <c r="AS50" s="473" t="str">
        <f>IFERROR(VLOOKUP(Table_NFI[[#This Row],[Camp Name]],CL,3,0),"")</f>
        <v>Open</v>
      </c>
      <c r="AT50" s="294" t="str">
        <f ca="1">IF(Table_NFI[[#This Row],[Pcode]]="","",OFFSET(CampList[Priority],MATCH(Table_NFI[[#This Row],[Pcode]],CampList[CP_Pcode],0)-1,0,1,1))</f>
        <v>P4</v>
      </c>
      <c r="AU50" s="293">
        <f>IFERROR(Table_NFI[[#This Row],[Kitchen Set]]/VLOOKUP(Table_NFI[[#This Row],[Camp Name]],CL,4,0),"")</f>
        <v>0</v>
      </c>
      <c r="AV50" s="466"/>
      <c r="AW50" s="469"/>
    </row>
    <row r="51" spans="1:49" s="470" customFormat="1" ht="14.45" customHeight="1" x14ac:dyDescent="0.25">
      <c r="A51" s="297">
        <f t="shared" si="0"/>
        <v>7.9333333333333336</v>
      </c>
      <c r="B51" s="465">
        <v>42437</v>
      </c>
      <c r="C51" s="471" t="s">
        <v>452</v>
      </c>
      <c r="D51" s="471" t="s">
        <v>1353</v>
      </c>
      <c r="E51" s="466" t="s">
        <v>553</v>
      </c>
      <c r="F51" s="466" t="s">
        <v>146</v>
      </c>
      <c r="G51" s="471"/>
      <c r="H51" s="292"/>
      <c r="I51" s="292"/>
      <c r="J51" s="292"/>
      <c r="K51" s="292">
        <v>600</v>
      </c>
      <c r="L51" s="292"/>
      <c r="M51" s="292"/>
      <c r="N51" s="292"/>
      <c r="O51" s="292"/>
      <c r="P51" s="294"/>
      <c r="Q51" s="294"/>
      <c r="R51" s="294"/>
      <c r="S51" s="294"/>
      <c r="T51" s="294"/>
      <c r="U51" s="294"/>
      <c r="V51" s="431"/>
      <c r="W51" s="294"/>
      <c r="X51" s="294"/>
      <c r="Y51" s="294">
        <f>IF(NFI_Expiration=1,IF($A51&lt;VLOOKUP(H$5,NFI,5,0),1,0)*Table_NFI[[#This Row],[Hygiene Kit]],Table_NFI[Hygiene Kit])</f>
        <v>0</v>
      </c>
      <c r="Z51" s="294">
        <f>IF(NFI_Expiration=1,IF($A51&lt;VLOOKUP(I$5,NFI,5,0),1,0)*Table_NFI[[#This Row],[NFI Core Kit]],Table_NFI[NFI Core Kit])</f>
        <v>0</v>
      </c>
      <c r="AA51" s="294">
        <f>IF(NFI_Expiration=1,IF($A51&lt;VLOOKUP(J$5,NFI,5,0),1,0)*Table_NFI[[#This Row],[Sanitary Kit]],Table_NFI[Sanitary Kit])</f>
        <v>0</v>
      </c>
      <c r="AB51" s="294">
        <f>IF(NFI_Expiration=1,IF($A51&lt;VLOOKUP(K$5,NFI,5,0),1,0)*Table_NFI[[#This Row],[Mosquito net]],Table_NFI[Mosquito net])</f>
        <v>600</v>
      </c>
      <c r="AC51" s="294">
        <f>IF(NFI_Expiration=1,IF($A51&lt;VLOOKUP(L$5,NFI,5,0),1,0)*Table_NFI[[#This Row],[Tarpaulin]],Table_NFI[[#This Row],[Tarpaulin]])</f>
        <v>0</v>
      </c>
      <c r="AD51" s="294">
        <f>IF(NFI_Expiration=1,IF($A51&lt;VLOOKUP(M$5,NFI,5,0),1,0)*Table_NFI[[#This Row],[Blanket]],Table_NFI[[#This Row],[Blanket]])</f>
        <v>0</v>
      </c>
      <c r="AE51" s="294">
        <f>IF(NFI_Expiration=1,IF($A51&lt;VLOOKUP(N$5,NFI,5,0),1,0)*Table_NFI[[#This Row],[Kitchen Set]],Table_NFI[Kitchen Set])</f>
        <v>0</v>
      </c>
      <c r="AF51" s="294">
        <f>IF(NFI_Expiration=1,IF($A51&lt;VLOOKUP(O$5,NFI,5,0),1,0)*Table_NFI[[#This Row],[Clothes Kit]],Table_NFI[Clothes Kit])</f>
        <v>0</v>
      </c>
      <c r="AG51" s="294">
        <f>IF(NFI_Expiration=1,IF($A51&lt;VLOOKUP(P$5,NFI,5,0),1,0)*Table_NFI[[#This Row],[Plastic Bucket]],Table_NFI[Plastic Bucket])</f>
        <v>0</v>
      </c>
      <c r="AH51" s="294">
        <f>IF(NFI_Expiration=1,IF($A51&lt;VLOOKUP(Q$5,NFI,5,0),1,0)*Table_NFI[[#This Row],[Plastic Mat]],Table_NFI[Plastic Mat])*IF(Table_NFI[[#This Row],[Distribution Date]]&gt;"2014-04-01",1,2.5)</f>
        <v>0</v>
      </c>
      <c r="AI51" s="294">
        <f>IF(NFI_Expiration=1,IF($A51&lt;VLOOKUP(R$5,NFI,5,0),1,0)*Table_NFI[[#This Row],[Winter Clothes Adult]],Table_NFI[Winter Clothes Adult])</f>
        <v>0</v>
      </c>
      <c r="AJ51" s="294">
        <f>IF(NFI_Expiration=1,IF($A51&lt;VLOOKUP(S$5,NFI,5,0),1,0)*Table_NFI[[#This Row],[Winter Clothes Children]],Table_NFI[Winter Clothes Children])</f>
        <v>0</v>
      </c>
      <c r="AK51" s="294">
        <f>IF(NFI_Expiration=1,IF($A51&lt;VLOOKUP(T$5,NFI,5,0),1,0)*Table_NFI[[#This Row],[Winter Items Other]],Table_NFI[Winter Items Other])</f>
        <v>0</v>
      </c>
      <c r="AL51" s="294">
        <f>IF(NFI_Expiration=1,IF($A51&lt;VLOOKUP(M$5,NFI,5,0),1,0)*Table_NFI[[#This Row],[Winter Blanket]],Table_NFI[[#This Row],[Winter Blanket]])</f>
        <v>0</v>
      </c>
      <c r="AM51" s="294">
        <f>IF(Table_NFI[[#This Row],[Winter Clothes Adult]]+Table_NFI[[#This Row],[Winter Clothes Children]]+Table_NFI[[#This Row],[Winter Items Other]]+Table_NFI[[#This Row],[Winter Blanket]]&gt;0,1,0)</f>
        <v>0</v>
      </c>
      <c r="AN51" s="331">
        <f>IF(NFI_Expiration=1,IF($A51&lt;VLOOKUP(V$5,NFI,5,0),1,0)*Table_NFI[[#This Row],[Jerry Can]],Table_NFI[Jerry Can])</f>
        <v>0</v>
      </c>
      <c r="AO51" s="331">
        <f>IF(NFI_Expiration=1,IF($A51&lt;VLOOKUP(V$5,NFI,5,0),1,0)*Table_NFI[[#This Row],[Shelter Tool kit]],Table_NFI[Shelter Tool kit])</f>
        <v>0</v>
      </c>
      <c r="AP51" s="331">
        <f>IF(NFI_Expiration=1,IF($A51&lt;VLOOKUP(V$5,NFI,5,0),1,0)*Table_NFI[[#This Row],[Tent]],Table_NFI[Tent])</f>
        <v>0</v>
      </c>
      <c r="AQ51" s="473" t="str">
        <f>IFERROR(VLOOKUP(Table_NFI[[#This Row],[Camp Name]],CL,2,0),"")</f>
        <v/>
      </c>
      <c r="AR51" s="468" t="str">
        <f ca="1">IF(Table_NFI[[#This Row],[Pcode]]="","",IF(OFFSET(CampList[Opening Date],MATCH(Table_NFI[[#This Row],[Pcode]],CampList[CP_Pcode],0)-1,0,1,1)&gt;=NFI_Monitor_Date,1,0))</f>
        <v/>
      </c>
      <c r="AS51" s="670" t="str">
        <f>IFERROR(VLOOKUP(Table_NFI[[#This Row],[Camp Name]],CL,3,0),"")</f>
        <v/>
      </c>
      <c r="AT51" s="294" t="str">
        <f ca="1">IF(Table_NFI[[#This Row],[Pcode]]="","",OFFSET(CampList[Priority],MATCH(Table_NFI[[#This Row],[Pcode]],CampList[CP_Pcode],0)-1,0,1,1))</f>
        <v/>
      </c>
      <c r="AU51" s="507" t="str">
        <f>IFERROR(Table_NFI[[#This Row],[Kitchen Set]]/VLOOKUP(Table_NFI[[#This Row],[Camp Name]],CL,4,0),"")</f>
        <v/>
      </c>
      <c r="AV51" s="471"/>
      <c r="AW51" s="474" t="s">
        <v>1354</v>
      </c>
    </row>
    <row r="52" spans="1:49" s="470" customFormat="1" ht="14.45" customHeight="1" x14ac:dyDescent="0.25">
      <c r="A52" s="297">
        <f t="shared" si="0"/>
        <v>8.1999999999999993</v>
      </c>
      <c r="B52" s="465">
        <v>42429</v>
      </c>
      <c r="C52" s="466" t="s">
        <v>905</v>
      </c>
      <c r="D52" s="467" t="s">
        <v>905</v>
      </c>
      <c r="E52" s="466" t="s">
        <v>380</v>
      </c>
      <c r="F52" s="290" t="s">
        <v>185</v>
      </c>
      <c r="G52" s="290" t="s">
        <v>1437</v>
      </c>
      <c r="H52" s="291"/>
      <c r="I52" s="291"/>
      <c r="J52" s="292"/>
      <c r="K52" s="291"/>
      <c r="L52" s="292"/>
      <c r="M52" s="292"/>
      <c r="N52" s="292"/>
      <c r="O52" s="292"/>
      <c r="P52" s="294"/>
      <c r="Q52" s="294"/>
      <c r="R52" s="294"/>
      <c r="S52" s="294"/>
      <c r="T52" s="294"/>
      <c r="U52" s="294"/>
      <c r="V52" s="431"/>
      <c r="W52" s="294"/>
      <c r="X52" s="294"/>
      <c r="Y52" s="294">
        <f>IF(NFI_Expiration=1,IF($A52&lt;VLOOKUP(H$5,NFI,5,0),1,0)*Table_NFI[[#This Row],[Hygiene Kit]],Table_NFI[Hygiene Kit])</f>
        <v>0</v>
      </c>
      <c r="Z52" s="294">
        <f>IF(NFI_Expiration=1,IF($A52&lt;VLOOKUP(I$5,NFI,5,0),1,0)*Table_NFI[[#This Row],[NFI Core Kit]],Table_NFI[NFI Core Kit])</f>
        <v>0</v>
      </c>
      <c r="AA52" s="294">
        <f>IF(NFI_Expiration=1,IF($A52&lt;VLOOKUP(J$5,NFI,5,0),1,0)*Table_NFI[[#This Row],[Sanitary Kit]],Table_NFI[Sanitary Kit])</f>
        <v>0</v>
      </c>
      <c r="AB52" s="294">
        <f>IF(NFI_Expiration=1,IF($A52&lt;VLOOKUP(K$5,NFI,5,0),1,0)*Table_NFI[[#This Row],[Mosquito net]],Table_NFI[Mosquito net])</f>
        <v>0</v>
      </c>
      <c r="AC52" s="294">
        <f>IF(NFI_Expiration=1,IF($A52&lt;VLOOKUP(L$5,NFI,5,0),1,0)*Table_NFI[[#This Row],[Tarpaulin]],Table_NFI[[#This Row],[Tarpaulin]])</f>
        <v>0</v>
      </c>
      <c r="AD52" s="294">
        <f>IF(NFI_Expiration=1,IF($A52&lt;VLOOKUP(M$5,NFI,5,0),1,0)*Table_NFI[[#This Row],[Blanket]],Table_NFI[[#This Row],[Blanket]])</f>
        <v>0</v>
      </c>
      <c r="AE52" s="294">
        <f>IF(NFI_Expiration=1,IF($A52&lt;VLOOKUP(N$5,NFI,5,0),1,0)*Table_NFI[[#This Row],[Kitchen Set]],Table_NFI[Kitchen Set])</f>
        <v>0</v>
      </c>
      <c r="AF52" s="294">
        <f>IF(NFI_Expiration=1,IF($A52&lt;VLOOKUP(O$5,NFI,5,0),1,0)*Table_NFI[[#This Row],[Clothes Kit]],Table_NFI[Clothes Kit])</f>
        <v>0</v>
      </c>
      <c r="AG52" s="294">
        <f>IF(NFI_Expiration=1,IF($A52&lt;VLOOKUP(P$5,NFI,5,0),1,0)*Table_NFI[[#This Row],[Plastic Bucket]],Table_NFI[Plastic Bucket])</f>
        <v>0</v>
      </c>
      <c r="AH52" s="294">
        <f>IF(NFI_Expiration=1,IF($A52&lt;VLOOKUP(Q$5,NFI,5,0),1,0)*Table_NFI[[#This Row],[Plastic Mat]],Table_NFI[Plastic Mat])*IF(Table_NFI[[#This Row],[Distribution Date]]&gt;"2014-04-01",1,2.5)</f>
        <v>0</v>
      </c>
      <c r="AI52" s="294">
        <f>IF(NFI_Expiration=1,IF($A52&lt;VLOOKUP(R$5,NFI,5,0),1,0)*Table_NFI[[#This Row],[Winter Clothes Adult]],Table_NFI[Winter Clothes Adult])</f>
        <v>0</v>
      </c>
      <c r="AJ52" s="294">
        <f>IF(NFI_Expiration=1,IF($A52&lt;VLOOKUP(S$5,NFI,5,0),1,0)*Table_NFI[[#This Row],[Winter Clothes Children]],Table_NFI[Winter Clothes Children])</f>
        <v>0</v>
      </c>
      <c r="AK52" s="294">
        <f>IF(NFI_Expiration=1,IF($A52&lt;VLOOKUP(T$5,NFI,5,0),1,0)*Table_NFI[[#This Row],[Winter Items Other]],Table_NFI[Winter Items Other])</f>
        <v>0</v>
      </c>
      <c r="AL52" s="294">
        <f>IF(NFI_Expiration=1,IF($A52&lt;VLOOKUP(M$5,NFI,5,0),1,0)*Table_NFI[[#This Row],[Winter Blanket]],Table_NFI[[#This Row],[Winter Blanket]])</f>
        <v>0</v>
      </c>
      <c r="AM52" s="294">
        <f>IF(Table_NFI[[#This Row],[Winter Clothes Adult]]+Table_NFI[[#This Row],[Winter Clothes Children]]+Table_NFI[[#This Row],[Winter Items Other]]+Table_NFI[[#This Row],[Winter Blanket]]&gt;0,1,0)</f>
        <v>0</v>
      </c>
      <c r="AN52" s="331">
        <f>IF(NFI_Expiration=1,IF($A52&lt;VLOOKUP(V$5,NFI,5,0),1,0)*Table_NFI[[#This Row],[Jerry Can]],Table_NFI[Jerry Can])</f>
        <v>0</v>
      </c>
      <c r="AO52" s="331">
        <f>IF(NFI_Expiration=1,IF($A52&lt;VLOOKUP(V$5,NFI,5,0),1,0)*Table_NFI[[#This Row],[Shelter Tool kit]],Table_NFI[Shelter Tool kit])</f>
        <v>0</v>
      </c>
      <c r="AP52" s="331">
        <f>IF(NFI_Expiration=1,IF($A52&lt;VLOOKUP(V$5,NFI,5,0),1,0)*Table_NFI[[#This Row],[Tent]],Table_NFI[Tent])</f>
        <v>0</v>
      </c>
      <c r="AQ52" s="473" t="str">
        <f>IFERROR(VLOOKUP(Table_NFI[[#This Row],[Camp Name]],CL,2,0),"")</f>
        <v/>
      </c>
      <c r="AR52" s="468" t="str">
        <f ca="1">IF(Table_NFI[[#This Row],[Pcode]]="","",IF(OFFSET(CampList[Opening Date],MATCH(Table_NFI[[#This Row],[Pcode]],CampList[CP_Pcode],0)-1,0,1,1)&gt;=NFI_Monitor_Date,1,0))</f>
        <v/>
      </c>
      <c r="AS52" s="670" t="str">
        <f>IFERROR(VLOOKUP(Table_NFI[[#This Row],[Camp Name]],CL,3,0),"")</f>
        <v/>
      </c>
      <c r="AT52" s="294" t="str">
        <f ca="1">IF(Table_NFI[[#This Row],[Pcode]]="","",OFFSET(CampList[Priority],MATCH(Table_NFI[[#This Row],[Pcode]],CampList[CP_Pcode],0)-1,0,1,1))</f>
        <v/>
      </c>
      <c r="AU52" s="293" t="str">
        <f>IFERROR(Table_NFI[[#This Row],[Kitchen Set]]/VLOOKUP(Table_NFI[[#This Row],[Camp Name]],CL,4,0),"")</f>
        <v/>
      </c>
      <c r="AV52" s="466"/>
      <c r="AW52" s="469"/>
    </row>
    <row r="53" spans="1:49" s="470" customFormat="1" ht="15" customHeight="1" x14ac:dyDescent="0.25">
      <c r="A53" s="297">
        <f t="shared" si="0"/>
        <v>8.1999999999999993</v>
      </c>
      <c r="B53" s="465">
        <v>42429</v>
      </c>
      <c r="C53" s="466" t="s">
        <v>905</v>
      </c>
      <c r="D53" s="466" t="s">
        <v>905</v>
      </c>
      <c r="E53" s="466" t="s">
        <v>380</v>
      </c>
      <c r="F53" s="466" t="s">
        <v>185</v>
      </c>
      <c r="G53" s="290" t="s">
        <v>217</v>
      </c>
      <c r="H53" s="291"/>
      <c r="I53" s="291"/>
      <c r="J53" s="292"/>
      <c r="K53" s="291"/>
      <c r="L53" s="292"/>
      <c r="M53" s="292"/>
      <c r="N53" s="292"/>
      <c r="O53" s="292"/>
      <c r="P53" s="294"/>
      <c r="Q53" s="294"/>
      <c r="R53" s="294"/>
      <c r="S53" s="294"/>
      <c r="T53" s="294"/>
      <c r="U53" s="294"/>
      <c r="V53" s="431"/>
      <c r="W53" s="294"/>
      <c r="X53" s="294"/>
      <c r="Y53" s="294">
        <f>IF(NFI_Expiration=1,IF($A53&lt;VLOOKUP(H$5,NFI,5,0),1,0)*Table_NFI[[#This Row],[Hygiene Kit]],Table_NFI[Hygiene Kit])</f>
        <v>0</v>
      </c>
      <c r="Z53" s="294">
        <f>IF(NFI_Expiration=1,IF($A53&lt;VLOOKUP(I$5,NFI,5,0),1,0)*Table_NFI[[#This Row],[NFI Core Kit]],Table_NFI[NFI Core Kit])</f>
        <v>0</v>
      </c>
      <c r="AA53" s="294">
        <f>IF(NFI_Expiration=1,IF($A53&lt;VLOOKUP(J$5,NFI,5,0),1,0)*Table_NFI[[#This Row],[Sanitary Kit]],Table_NFI[Sanitary Kit])</f>
        <v>0</v>
      </c>
      <c r="AB53" s="294">
        <f>IF(NFI_Expiration=1,IF($A53&lt;VLOOKUP(K$5,NFI,5,0),1,0)*Table_NFI[[#This Row],[Mosquito net]],Table_NFI[Mosquito net])</f>
        <v>0</v>
      </c>
      <c r="AC53" s="294">
        <f>IF(NFI_Expiration=1,IF($A53&lt;VLOOKUP(L$5,NFI,5,0),1,0)*Table_NFI[[#This Row],[Tarpaulin]],Table_NFI[[#This Row],[Tarpaulin]])</f>
        <v>0</v>
      </c>
      <c r="AD53" s="294">
        <f>IF(NFI_Expiration=1,IF($A53&lt;VLOOKUP(M$5,NFI,5,0),1,0)*Table_NFI[[#This Row],[Blanket]],Table_NFI[[#This Row],[Blanket]])</f>
        <v>0</v>
      </c>
      <c r="AE53" s="294">
        <f>IF(NFI_Expiration=1,IF($A53&lt;VLOOKUP(N$5,NFI,5,0),1,0)*Table_NFI[[#This Row],[Kitchen Set]],Table_NFI[Kitchen Set])</f>
        <v>0</v>
      </c>
      <c r="AF53" s="294">
        <f>IF(NFI_Expiration=1,IF($A53&lt;VLOOKUP(O$5,NFI,5,0),1,0)*Table_NFI[[#This Row],[Clothes Kit]],Table_NFI[Clothes Kit])</f>
        <v>0</v>
      </c>
      <c r="AG53" s="294">
        <f>IF(NFI_Expiration=1,IF($A53&lt;VLOOKUP(P$5,NFI,5,0),1,0)*Table_NFI[[#This Row],[Plastic Bucket]],Table_NFI[Plastic Bucket])</f>
        <v>0</v>
      </c>
      <c r="AH53" s="294">
        <f>IF(NFI_Expiration=1,IF($A53&lt;VLOOKUP(Q$5,NFI,5,0),1,0)*Table_NFI[[#This Row],[Plastic Mat]],Table_NFI[Plastic Mat])*IF(Table_NFI[[#This Row],[Distribution Date]]&gt;"2014-04-01",1,2.5)</f>
        <v>0</v>
      </c>
      <c r="AI53" s="294">
        <f>IF(NFI_Expiration=1,IF($A53&lt;VLOOKUP(R$5,NFI,5,0),1,0)*Table_NFI[[#This Row],[Winter Clothes Adult]],Table_NFI[Winter Clothes Adult])</f>
        <v>0</v>
      </c>
      <c r="AJ53" s="294">
        <f>IF(NFI_Expiration=1,IF($A53&lt;VLOOKUP(S$5,NFI,5,0),1,0)*Table_NFI[[#This Row],[Winter Clothes Children]],Table_NFI[Winter Clothes Children])</f>
        <v>0</v>
      </c>
      <c r="AK53" s="294">
        <f>IF(NFI_Expiration=1,IF($A53&lt;VLOOKUP(T$5,NFI,5,0),1,0)*Table_NFI[[#This Row],[Winter Items Other]],Table_NFI[Winter Items Other])</f>
        <v>0</v>
      </c>
      <c r="AL53" s="294">
        <f>IF(NFI_Expiration=1,IF($A53&lt;VLOOKUP(M$5,NFI,5,0),1,0)*Table_NFI[[#This Row],[Winter Blanket]],Table_NFI[[#This Row],[Winter Blanket]])</f>
        <v>0</v>
      </c>
      <c r="AM53" s="294">
        <f>IF(Table_NFI[[#This Row],[Winter Clothes Adult]]+Table_NFI[[#This Row],[Winter Clothes Children]]+Table_NFI[[#This Row],[Winter Items Other]]+Table_NFI[[#This Row],[Winter Blanket]]&gt;0,1,0)</f>
        <v>0</v>
      </c>
      <c r="AN53" s="331">
        <f>IF(NFI_Expiration=1,IF($A53&lt;VLOOKUP(V$5,NFI,5,0),1,0)*Table_NFI[[#This Row],[Jerry Can]],Table_NFI[Jerry Can])</f>
        <v>0</v>
      </c>
      <c r="AO53" s="331">
        <f>IF(NFI_Expiration=1,IF($A53&lt;VLOOKUP(V$5,NFI,5,0),1,0)*Table_NFI[[#This Row],[Shelter Tool kit]],Table_NFI[Shelter Tool kit])</f>
        <v>0</v>
      </c>
      <c r="AP53" s="331">
        <f>IF(NFI_Expiration=1,IF($A53&lt;VLOOKUP(V$5,NFI,5,0),1,0)*Table_NFI[[#This Row],[Tent]],Table_NFI[Tent])</f>
        <v>0</v>
      </c>
      <c r="AQ53" s="473" t="str">
        <f>IFERROR(VLOOKUP(Table_NFI[[#This Row],[Camp Name]],CL,2,0),"")</f>
        <v>MMR001CMP059</v>
      </c>
      <c r="AR53" s="468">
        <f ca="1">IF(Table_NFI[[#This Row],[Pcode]]="","",IF(OFFSET(CampList[Opening Date],MATCH(Table_NFI[[#This Row],[Pcode]],CampList[CP_Pcode],0)-1,0,1,1)&gt;=NFI_Monitor_Date,1,0))</f>
        <v>0</v>
      </c>
      <c r="AS53" s="473" t="str">
        <f>IFERROR(VLOOKUP(Table_NFI[[#This Row],[Camp Name]],CL,3,0),"")</f>
        <v>Closed</v>
      </c>
      <c r="AT53" s="294" t="str">
        <f ca="1">IF(Table_NFI[[#This Row],[Pcode]]="","",OFFSET(CampList[Priority],MATCH(Table_NFI[[#This Row],[Pcode]],CampList[CP_Pcode],0)-1,0,1,1))</f>
        <v>P4</v>
      </c>
      <c r="AU53" s="293" t="str">
        <f>IFERROR(Table_NFI[[#This Row],[Kitchen Set]]/VLOOKUP(Table_NFI[[#This Row],[Camp Name]],CL,4,0),"")</f>
        <v/>
      </c>
      <c r="AV53" s="466"/>
      <c r="AW53" s="469"/>
    </row>
    <row r="54" spans="1:49" s="470" customFormat="1" ht="14.45" customHeight="1" x14ac:dyDescent="0.25">
      <c r="A54" s="499">
        <f t="shared" si="0"/>
        <v>8.2333333333333325</v>
      </c>
      <c r="B54" s="465">
        <v>42428</v>
      </c>
      <c r="C54" s="471" t="s">
        <v>452</v>
      </c>
      <c r="D54" s="471" t="s">
        <v>460</v>
      </c>
      <c r="E54" s="466" t="s">
        <v>380</v>
      </c>
      <c r="F54" s="466" t="s">
        <v>27</v>
      </c>
      <c r="G54" s="471" t="s">
        <v>364</v>
      </c>
      <c r="H54" s="501"/>
      <c r="I54" s="501"/>
      <c r="J54" s="501"/>
      <c r="K54" s="501"/>
      <c r="L54" s="501"/>
      <c r="M54" s="501">
        <v>345</v>
      </c>
      <c r="N54" s="501"/>
      <c r="O54" s="501"/>
      <c r="P54" s="502"/>
      <c r="Q54" s="502"/>
      <c r="R54" s="502"/>
      <c r="S54" s="502">
        <v>765</v>
      </c>
      <c r="T54" s="502"/>
      <c r="U54" s="502"/>
      <c r="V54" s="503"/>
      <c r="W54" s="502"/>
      <c r="X54" s="502"/>
      <c r="Y54" s="502">
        <f>IF(NFI_Expiration=1,IF($A54&lt;VLOOKUP(H$5,NFI,5,0),1,0)*Table_NFI[[#This Row],[Hygiene Kit]],Table_NFI[Hygiene Kit])</f>
        <v>0</v>
      </c>
      <c r="Z54" s="502">
        <f>IF(NFI_Expiration=1,IF($A54&lt;VLOOKUP(I$5,NFI,5,0),1,0)*Table_NFI[[#This Row],[NFI Core Kit]],Table_NFI[NFI Core Kit])</f>
        <v>0</v>
      </c>
      <c r="AA54" s="502">
        <f>IF(NFI_Expiration=1,IF($A54&lt;VLOOKUP(J$5,NFI,5,0),1,0)*Table_NFI[[#This Row],[Sanitary Kit]],Table_NFI[Sanitary Kit])</f>
        <v>0</v>
      </c>
      <c r="AB54" s="502">
        <f>IF(NFI_Expiration=1,IF($A54&lt;VLOOKUP(K$5,NFI,5,0),1,0)*Table_NFI[[#This Row],[Mosquito net]],Table_NFI[Mosquito net])</f>
        <v>0</v>
      </c>
      <c r="AC54" s="502">
        <f>IF(NFI_Expiration=1,IF($A54&lt;VLOOKUP(L$5,NFI,5,0),1,0)*Table_NFI[[#This Row],[Tarpaulin]],Table_NFI[[#This Row],[Tarpaulin]])</f>
        <v>0</v>
      </c>
      <c r="AD54" s="502">
        <f>IF(NFI_Expiration=1,IF($A54&lt;VLOOKUP(M$5,NFI,5,0),1,0)*Table_NFI[[#This Row],[Blanket]],Table_NFI[[#This Row],[Blanket]])</f>
        <v>345</v>
      </c>
      <c r="AE54" s="502">
        <f>IF(NFI_Expiration=1,IF($A54&lt;VLOOKUP(N$5,NFI,5,0),1,0)*Table_NFI[[#This Row],[Kitchen Set]],Table_NFI[Kitchen Set])</f>
        <v>0</v>
      </c>
      <c r="AF54" s="502">
        <f>IF(NFI_Expiration=1,IF($A54&lt;VLOOKUP(O$5,NFI,5,0),1,0)*Table_NFI[[#This Row],[Clothes Kit]],Table_NFI[Clothes Kit])</f>
        <v>0</v>
      </c>
      <c r="AG54" s="502">
        <f>IF(NFI_Expiration=1,IF($A54&lt;VLOOKUP(P$5,NFI,5,0),1,0)*Table_NFI[[#This Row],[Plastic Bucket]],Table_NFI[Plastic Bucket])</f>
        <v>0</v>
      </c>
      <c r="AH54" s="502">
        <f>IF(NFI_Expiration=1,IF($A54&lt;VLOOKUP(Q$5,NFI,5,0),1,0)*Table_NFI[[#This Row],[Plastic Mat]],Table_NFI[Plastic Mat])*IF(Table_NFI[[#This Row],[Distribution Date]]&gt;"2014-04-01",1,2.5)</f>
        <v>0</v>
      </c>
      <c r="AI54" s="502">
        <f>IF(NFI_Expiration=1,IF($A54&lt;VLOOKUP(R$5,NFI,5,0),1,0)*Table_NFI[[#This Row],[Winter Clothes Adult]],Table_NFI[Winter Clothes Adult])</f>
        <v>0</v>
      </c>
      <c r="AJ54" s="502">
        <f>IF(NFI_Expiration=1,IF($A54&lt;VLOOKUP(S$5,NFI,5,0),1,0)*Table_NFI[[#This Row],[Winter Clothes Children]],Table_NFI[Winter Clothes Children])</f>
        <v>765</v>
      </c>
      <c r="AK54" s="502">
        <f>IF(NFI_Expiration=1,IF($A54&lt;VLOOKUP(T$5,NFI,5,0),1,0)*Table_NFI[[#This Row],[Winter Items Other]],Table_NFI[Winter Items Other])</f>
        <v>0</v>
      </c>
      <c r="AL54" s="502">
        <f>IF(NFI_Expiration=1,IF($A54&lt;VLOOKUP(M$5,NFI,5,0),1,0)*Table_NFI[[#This Row],[Winter Blanket]],Table_NFI[[#This Row],[Winter Blanket]])</f>
        <v>0</v>
      </c>
      <c r="AM54" s="502">
        <f>IF(Table_NFI[[#This Row],[Winter Clothes Adult]]+Table_NFI[[#This Row],[Winter Clothes Children]]+Table_NFI[[#This Row],[Winter Items Other]]+Table_NFI[[#This Row],[Winter Blanket]]&gt;0,1,0)</f>
        <v>1</v>
      </c>
      <c r="AN54" s="504">
        <f>IF(NFI_Expiration=1,IF($A54&lt;VLOOKUP(V$5,NFI,5,0),1,0)*Table_NFI[[#This Row],[Jerry Can]],Table_NFI[Jerry Can])</f>
        <v>0</v>
      </c>
      <c r="AO54" s="504">
        <f>IF(NFI_Expiration=1,IF($A54&lt;VLOOKUP(V$5,NFI,5,0),1,0)*Table_NFI[[#This Row],[Shelter Tool kit]],Table_NFI[Shelter Tool kit])</f>
        <v>0</v>
      </c>
      <c r="AP54" s="504">
        <f>IF(NFI_Expiration=1,IF($A54&lt;VLOOKUP(V$5,NFI,5,0),1,0)*Table_NFI[[#This Row],[Tent]],Table_NFI[Tent])</f>
        <v>0</v>
      </c>
      <c r="AQ54" s="505" t="str">
        <f>IFERROR(VLOOKUP(Table_NFI[[#This Row],[Camp Name]],CL,2,0),"")</f>
        <v>MMR001CMP043</v>
      </c>
      <c r="AR54" s="506">
        <f ca="1">IF(Table_NFI[[#This Row],[Pcode]]="","",IF(OFFSET(CampList[Opening Date],MATCH(Table_NFI[[#This Row],[Pcode]],CampList[CP_Pcode],0)-1,0,1,1)&gt;=NFI_Monitor_Date,1,0))</f>
        <v>0</v>
      </c>
      <c r="AS54" s="505" t="str">
        <f>IFERROR(VLOOKUP(Table_NFI[[#This Row],[Camp Name]],CL,3,0),"")</f>
        <v>Open</v>
      </c>
      <c r="AT54" s="502" t="str">
        <f ca="1">IF(Table_NFI[[#This Row],[Pcode]]="","",OFFSET(CampList[Priority],MATCH(Table_NFI[[#This Row],[Pcode]],CampList[CP_Pcode],0)-1,0,1,1))</f>
        <v>P1</v>
      </c>
      <c r="AU54" s="507">
        <f>IFERROR(Table_NFI[[#This Row],[Kitchen Set]]/VLOOKUP(Table_NFI[[#This Row],[Camp Name]],CL,4,0),"")</f>
        <v>0</v>
      </c>
      <c r="AV54" s="500"/>
      <c r="AW54" s="511"/>
    </row>
    <row r="55" spans="1:49" s="470" customFormat="1" ht="14.45" customHeight="1" x14ac:dyDescent="0.25">
      <c r="A55" s="297">
        <f t="shared" si="0"/>
        <v>8.2666666666666675</v>
      </c>
      <c r="B55" s="465">
        <v>42427</v>
      </c>
      <c r="C55" s="466" t="s">
        <v>452</v>
      </c>
      <c r="D55" s="466" t="s">
        <v>460</v>
      </c>
      <c r="E55" s="466" t="s">
        <v>380</v>
      </c>
      <c r="F55" s="466" t="s">
        <v>310</v>
      </c>
      <c r="G55" s="290" t="s">
        <v>364</v>
      </c>
      <c r="H55" s="291"/>
      <c r="I55" s="292"/>
      <c r="J55" s="294"/>
      <c r="K55" s="294"/>
      <c r="L55" s="292"/>
      <c r="M55" s="292"/>
      <c r="N55" s="292"/>
      <c r="O55" s="292"/>
      <c r="P55" s="294"/>
      <c r="Q55" s="294"/>
      <c r="R55" s="294">
        <v>380</v>
      </c>
      <c r="S55" s="294">
        <v>380</v>
      </c>
      <c r="T55" s="294"/>
      <c r="U55" s="294"/>
      <c r="V55" s="431"/>
      <c r="W55" s="294"/>
      <c r="X55" s="294"/>
      <c r="Y55" s="294">
        <f>IF(NFI_Expiration=1,IF($A55&lt;VLOOKUP(H$5,NFI,5,0),1,0)*Table_NFI[[#This Row],[Hygiene Kit]],Table_NFI[Hygiene Kit])</f>
        <v>0</v>
      </c>
      <c r="Z55" s="294">
        <f>IF(NFI_Expiration=1,IF($A55&lt;VLOOKUP(I$5,NFI,5,0),1,0)*Table_NFI[[#This Row],[NFI Core Kit]],Table_NFI[NFI Core Kit])</f>
        <v>0</v>
      </c>
      <c r="AA55" s="294">
        <f>IF(NFI_Expiration=1,IF($A55&lt;VLOOKUP(J$5,NFI,5,0),1,0)*Table_NFI[[#This Row],[Sanitary Kit]],Table_NFI[Sanitary Kit])</f>
        <v>0</v>
      </c>
      <c r="AB55" s="294">
        <f>IF(NFI_Expiration=1,IF($A55&lt;VLOOKUP(K$5,NFI,5,0),1,0)*Table_NFI[[#This Row],[Mosquito net]],Table_NFI[Mosquito net])</f>
        <v>0</v>
      </c>
      <c r="AC55" s="294">
        <f>IF(NFI_Expiration=1,IF($A55&lt;VLOOKUP(L$5,NFI,5,0),1,0)*Table_NFI[[#This Row],[Tarpaulin]],Table_NFI[[#This Row],[Tarpaulin]])</f>
        <v>0</v>
      </c>
      <c r="AD55" s="294">
        <f>IF(NFI_Expiration=1,IF($A55&lt;VLOOKUP(M$5,NFI,5,0),1,0)*Table_NFI[[#This Row],[Blanket]],Table_NFI[[#This Row],[Blanket]])</f>
        <v>0</v>
      </c>
      <c r="AE55" s="294">
        <f>IF(NFI_Expiration=1,IF($A55&lt;VLOOKUP(N$5,NFI,5,0),1,0)*Table_NFI[[#This Row],[Kitchen Set]],Table_NFI[Kitchen Set])</f>
        <v>0</v>
      </c>
      <c r="AF55" s="294">
        <f>IF(NFI_Expiration=1,IF($A55&lt;VLOOKUP(O$5,NFI,5,0),1,0)*Table_NFI[[#This Row],[Clothes Kit]],Table_NFI[Clothes Kit])</f>
        <v>0</v>
      </c>
      <c r="AG55" s="294">
        <f>IF(NFI_Expiration=1,IF($A55&lt;VLOOKUP(P$5,NFI,5,0),1,0)*Table_NFI[[#This Row],[Plastic Bucket]],Table_NFI[Plastic Bucket])</f>
        <v>0</v>
      </c>
      <c r="AH55" s="294">
        <f>IF(NFI_Expiration=1,IF($A55&lt;VLOOKUP(Q$5,NFI,5,0),1,0)*Table_NFI[[#This Row],[Plastic Mat]],Table_NFI[Plastic Mat])*IF(Table_NFI[[#This Row],[Distribution Date]]&gt;"2014-04-01",1,2.5)</f>
        <v>0</v>
      </c>
      <c r="AI55" s="294">
        <f>IF(NFI_Expiration=1,IF($A55&lt;VLOOKUP(R$5,NFI,5,0),1,0)*Table_NFI[[#This Row],[Winter Clothes Adult]],Table_NFI[Winter Clothes Adult])</f>
        <v>380</v>
      </c>
      <c r="AJ55" s="294">
        <f>IF(NFI_Expiration=1,IF($A55&lt;VLOOKUP(S$5,NFI,5,0),1,0)*Table_NFI[[#This Row],[Winter Clothes Children]],Table_NFI[Winter Clothes Children])</f>
        <v>380</v>
      </c>
      <c r="AK55" s="294">
        <f>IF(NFI_Expiration=1,IF($A55&lt;VLOOKUP(T$5,NFI,5,0),1,0)*Table_NFI[[#This Row],[Winter Items Other]],Table_NFI[Winter Items Other])</f>
        <v>0</v>
      </c>
      <c r="AL55" s="294">
        <f>IF(NFI_Expiration=1,IF($A55&lt;VLOOKUP(M$5,NFI,5,0),1,0)*Table_NFI[[#This Row],[Winter Blanket]],Table_NFI[[#This Row],[Winter Blanket]])</f>
        <v>0</v>
      </c>
      <c r="AM55" s="294">
        <f>IF(Table_NFI[[#This Row],[Winter Clothes Adult]]+Table_NFI[[#This Row],[Winter Clothes Children]]+Table_NFI[[#This Row],[Winter Items Other]]+Table_NFI[[#This Row],[Winter Blanket]]&gt;0,1,0)</f>
        <v>1</v>
      </c>
      <c r="AN55" s="331">
        <f>IF(NFI_Expiration=1,IF($A55&lt;VLOOKUP(V$5,NFI,5,0),1,0)*Table_NFI[[#This Row],[Jerry Can]],Table_NFI[Jerry Can])</f>
        <v>0</v>
      </c>
      <c r="AO55" s="331">
        <f>IF(NFI_Expiration=1,IF($A55&lt;VLOOKUP(V$5,NFI,5,0),1,0)*Table_NFI[[#This Row],[Shelter Tool kit]],Table_NFI[Shelter Tool kit])</f>
        <v>0</v>
      </c>
      <c r="AP55" s="331">
        <f>IF(NFI_Expiration=1,IF($A55&lt;VLOOKUP(V$5,NFI,5,0),1,0)*Table_NFI[[#This Row],[Tent]],Table_NFI[Tent])</f>
        <v>0</v>
      </c>
      <c r="AQ55" s="473" t="str">
        <f>IFERROR(VLOOKUP(Table_NFI[[#This Row],[Camp Name]],CL,2,0),"")</f>
        <v>MMR001CMP043</v>
      </c>
      <c r="AR55" s="468">
        <f ca="1">IF(Table_NFI[[#This Row],[Pcode]]="","",IF(OFFSET(CampList[Opening Date],MATCH(Table_NFI[[#This Row],[Pcode]],CampList[CP_Pcode],0)-1,0,1,1)&gt;=NFI_Monitor_Date,1,0))</f>
        <v>0</v>
      </c>
      <c r="AS55" s="473" t="str">
        <f>IFERROR(VLOOKUP(Table_NFI[[#This Row],[Camp Name]],CL,3,0),"")</f>
        <v>Open</v>
      </c>
      <c r="AT55" s="294" t="str">
        <f ca="1">IF(Table_NFI[[#This Row],[Pcode]]="","",OFFSET(CampList[Priority],MATCH(Table_NFI[[#This Row],[Pcode]],CampList[CP_Pcode],0)-1,0,1,1))</f>
        <v>P1</v>
      </c>
      <c r="AU55" s="507">
        <f>IFERROR(Table_NFI[[#This Row],[Kitchen Set]]/VLOOKUP(Table_NFI[[#This Row],[Camp Name]],CL,4,0),"")</f>
        <v>0</v>
      </c>
      <c r="AV55" s="471"/>
      <c r="AW55" s="510" t="s">
        <v>1360</v>
      </c>
    </row>
    <row r="56" spans="1:49" s="470" customFormat="1" ht="14.45" customHeight="1" x14ac:dyDescent="0.25">
      <c r="A56" s="499">
        <f t="shared" si="0"/>
        <v>8.2666666666666675</v>
      </c>
      <c r="B56" s="465">
        <v>42427</v>
      </c>
      <c r="C56" s="466" t="s">
        <v>452</v>
      </c>
      <c r="D56" s="466" t="s">
        <v>460</v>
      </c>
      <c r="E56" s="466" t="s">
        <v>380</v>
      </c>
      <c r="F56" s="466" t="s">
        <v>310</v>
      </c>
      <c r="G56" s="466" t="s">
        <v>1243</v>
      </c>
      <c r="H56" s="501"/>
      <c r="I56" s="501"/>
      <c r="J56" s="501"/>
      <c r="K56" s="501"/>
      <c r="L56" s="501"/>
      <c r="M56" s="501"/>
      <c r="N56" s="501"/>
      <c r="O56" s="501"/>
      <c r="P56" s="502"/>
      <c r="Q56" s="502"/>
      <c r="R56" s="502">
        <v>330</v>
      </c>
      <c r="S56" s="502">
        <v>330</v>
      </c>
      <c r="T56" s="502"/>
      <c r="U56" s="502">
        <v>346</v>
      </c>
      <c r="V56" s="503"/>
      <c r="W56" s="502"/>
      <c r="X56" s="502"/>
      <c r="Y56" s="502">
        <f>IF(NFI_Expiration=1,IF($A56&lt;VLOOKUP(H$5,NFI,5,0),1,0)*Table_NFI[[#This Row],[Hygiene Kit]],Table_NFI[Hygiene Kit])</f>
        <v>0</v>
      </c>
      <c r="Z56" s="502">
        <f>IF(NFI_Expiration=1,IF($A56&lt;VLOOKUP(I$5,NFI,5,0),1,0)*Table_NFI[[#This Row],[NFI Core Kit]],Table_NFI[NFI Core Kit])</f>
        <v>0</v>
      </c>
      <c r="AA56" s="502">
        <f>IF(NFI_Expiration=1,IF($A56&lt;VLOOKUP(J$5,NFI,5,0),1,0)*Table_NFI[[#This Row],[Sanitary Kit]],Table_NFI[Sanitary Kit])</f>
        <v>0</v>
      </c>
      <c r="AB56" s="502">
        <f>IF(NFI_Expiration=1,IF($A56&lt;VLOOKUP(K$5,NFI,5,0),1,0)*Table_NFI[[#This Row],[Mosquito net]],Table_NFI[Mosquito net])</f>
        <v>0</v>
      </c>
      <c r="AC56" s="502">
        <f>IF(NFI_Expiration=1,IF($A56&lt;VLOOKUP(L$5,NFI,5,0),1,0)*Table_NFI[[#This Row],[Tarpaulin]],Table_NFI[[#This Row],[Tarpaulin]])</f>
        <v>0</v>
      </c>
      <c r="AD56" s="502">
        <f>IF(NFI_Expiration=1,IF($A56&lt;VLOOKUP(M$5,NFI,5,0),1,0)*Table_NFI[[#This Row],[Blanket]],Table_NFI[[#This Row],[Blanket]])</f>
        <v>0</v>
      </c>
      <c r="AE56" s="502">
        <f>IF(NFI_Expiration=1,IF($A56&lt;VLOOKUP(N$5,NFI,5,0),1,0)*Table_NFI[[#This Row],[Kitchen Set]],Table_NFI[Kitchen Set])</f>
        <v>0</v>
      </c>
      <c r="AF56" s="502">
        <f>IF(NFI_Expiration=1,IF($A56&lt;VLOOKUP(O$5,NFI,5,0),1,0)*Table_NFI[[#This Row],[Clothes Kit]],Table_NFI[Clothes Kit])</f>
        <v>0</v>
      </c>
      <c r="AG56" s="502">
        <f>IF(NFI_Expiration=1,IF($A56&lt;VLOOKUP(P$5,NFI,5,0),1,0)*Table_NFI[[#This Row],[Plastic Bucket]],Table_NFI[Plastic Bucket])</f>
        <v>0</v>
      </c>
      <c r="AH56" s="502">
        <f>IF(NFI_Expiration=1,IF($A56&lt;VLOOKUP(Q$5,NFI,5,0),1,0)*Table_NFI[[#This Row],[Plastic Mat]],Table_NFI[Plastic Mat])*IF(Table_NFI[[#This Row],[Distribution Date]]&gt;"2014-04-01",1,2.5)</f>
        <v>0</v>
      </c>
      <c r="AI56" s="502">
        <f>IF(NFI_Expiration=1,IF($A56&lt;VLOOKUP(R$5,NFI,5,0),1,0)*Table_NFI[[#This Row],[Winter Clothes Adult]],Table_NFI[Winter Clothes Adult])</f>
        <v>330</v>
      </c>
      <c r="AJ56" s="502">
        <f>IF(NFI_Expiration=1,IF($A56&lt;VLOOKUP(S$5,NFI,5,0),1,0)*Table_NFI[[#This Row],[Winter Clothes Children]],Table_NFI[Winter Clothes Children])</f>
        <v>330</v>
      </c>
      <c r="AK56" s="502">
        <f>IF(NFI_Expiration=1,IF($A56&lt;VLOOKUP(T$5,NFI,5,0),1,0)*Table_NFI[[#This Row],[Winter Items Other]],Table_NFI[Winter Items Other])</f>
        <v>0</v>
      </c>
      <c r="AL56" s="502">
        <f>IF(NFI_Expiration=1,IF($A56&lt;VLOOKUP(M$5,NFI,5,0),1,0)*Table_NFI[[#This Row],[Winter Blanket]],Table_NFI[[#This Row],[Winter Blanket]])</f>
        <v>346</v>
      </c>
      <c r="AM56" s="502">
        <f>IF(Table_NFI[[#This Row],[Winter Clothes Adult]]+Table_NFI[[#This Row],[Winter Clothes Children]]+Table_NFI[[#This Row],[Winter Items Other]]+Table_NFI[[#This Row],[Winter Blanket]]&gt;0,1,0)</f>
        <v>1</v>
      </c>
      <c r="AN56" s="504">
        <f>IF(NFI_Expiration=1,IF($A56&lt;VLOOKUP(V$5,NFI,5,0),1,0)*Table_NFI[[#This Row],[Jerry Can]],Table_NFI[Jerry Can])</f>
        <v>0</v>
      </c>
      <c r="AO56" s="504">
        <f>IF(NFI_Expiration=1,IF($A56&lt;VLOOKUP(V$5,NFI,5,0),1,0)*Table_NFI[[#This Row],[Shelter Tool kit]],Table_NFI[Shelter Tool kit])</f>
        <v>0</v>
      </c>
      <c r="AP56" s="504">
        <f>IF(NFI_Expiration=1,IF($A56&lt;VLOOKUP(V$5,NFI,5,0),1,0)*Table_NFI[[#This Row],[Tent]],Table_NFI[Tent])</f>
        <v>0</v>
      </c>
      <c r="AQ56" s="505" t="str">
        <f>IFERROR(VLOOKUP(Table_NFI[[#This Row],[Camp Name]],CL,2,0),"")</f>
        <v>MMR001CMP120</v>
      </c>
      <c r="AR56" s="506">
        <f ca="1">IF(Table_NFI[[#This Row],[Pcode]]="","",IF(OFFSET(CampList[Opening Date],MATCH(Table_NFI[[#This Row],[Pcode]],CampList[CP_Pcode],0)-1,0,1,1)&gt;=NFI_Monitor_Date,1,0))</f>
        <v>0</v>
      </c>
      <c r="AS56" s="505" t="str">
        <f>IFERROR(VLOOKUP(Table_NFI[[#This Row],[Camp Name]],CL,3,0),"")</f>
        <v>Open</v>
      </c>
      <c r="AT56" s="502" t="str">
        <f ca="1">IF(Table_NFI[[#This Row],[Pcode]]="","",OFFSET(CampList[Priority],MATCH(Table_NFI[[#This Row],[Pcode]],CampList[CP_Pcode],0)-1,0,1,1))</f>
        <v>P1</v>
      </c>
      <c r="AU56" s="507">
        <f>IFERROR(Table_NFI[[#This Row],[Kitchen Set]]/VLOOKUP(Table_NFI[[#This Row],[Camp Name]],CL,4,0),"")</f>
        <v>0</v>
      </c>
      <c r="AV56" s="500"/>
      <c r="AW56" s="511" t="s">
        <v>1361</v>
      </c>
    </row>
    <row r="57" spans="1:49" s="470" customFormat="1" ht="14.45" customHeight="1" x14ac:dyDescent="0.25">
      <c r="A57" s="499">
        <f t="shared" si="0"/>
        <v>8.2666666666666675</v>
      </c>
      <c r="B57" s="465">
        <v>42427</v>
      </c>
      <c r="C57" s="471" t="s">
        <v>452</v>
      </c>
      <c r="D57" s="471" t="s">
        <v>460</v>
      </c>
      <c r="E57" s="466" t="s">
        <v>380</v>
      </c>
      <c r="F57" s="466" t="s">
        <v>310</v>
      </c>
      <c r="G57" s="471" t="s">
        <v>1243</v>
      </c>
      <c r="H57" s="501"/>
      <c r="I57" s="501"/>
      <c r="J57" s="501"/>
      <c r="K57" s="501"/>
      <c r="L57" s="501"/>
      <c r="M57" s="501">
        <v>670</v>
      </c>
      <c r="N57" s="501"/>
      <c r="O57" s="501"/>
      <c r="P57" s="502">
        <v>345</v>
      </c>
      <c r="Q57" s="502"/>
      <c r="R57" s="502"/>
      <c r="S57" s="502"/>
      <c r="T57" s="502"/>
      <c r="U57" s="502"/>
      <c r="V57" s="503"/>
      <c r="W57" s="502"/>
      <c r="X57" s="502"/>
      <c r="Y57" s="502">
        <f>IF(NFI_Expiration=1,IF($A57&lt;VLOOKUP(H$5,NFI,5,0),1,0)*Table_NFI[[#This Row],[Hygiene Kit]],Table_NFI[Hygiene Kit])</f>
        <v>0</v>
      </c>
      <c r="Z57" s="502">
        <f>IF(NFI_Expiration=1,IF($A57&lt;VLOOKUP(I$5,NFI,5,0),1,0)*Table_NFI[[#This Row],[NFI Core Kit]],Table_NFI[NFI Core Kit])</f>
        <v>0</v>
      </c>
      <c r="AA57" s="502">
        <f>IF(NFI_Expiration=1,IF($A57&lt;VLOOKUP(J$5,NFI,5,0),1,0)*Table_NFI[[#This Row],[Sanitary Kit]],Table_NFI[Sanitary Kit])</f>
        <v>0</v>
      </c>
      <c r="AB57" s="502">
        <f>IF(NFI_Expiration=1,IF($A57&lt;VLOOKUP(K$5,NFI,5,0),1,0)*Table_NFI[[#This Row],[Mosquito net]],Table_NFI[Mosquito net])</f>
        <v>0</v>
      </c>
      <c r="AC57" s="502">
        <f>IF(NFI_Expiration=1,IF($A57&lt;VLOOKUP(L$5,NFI,5,0),1,0)*Table_NFI[[#This Row],[Tarpaulin]],Table_NFI[[#This Row],[Tarpaulin]])</f>
        <v>0</v>
      </c>
      <c r="AD57" s="502">
        <f>IF(NFI_Expiration=1,IF($A57&lt;VLOOKUP(M$5,NFI,5,0),1,0)*Table_NFI[[#This Row],[Blanket]],Table_NFI[[#This Row],[Blanket]])</f>
        <v>670</v>
      </c>
      <c r="AE57" s="502">
        <f>IF(NFI_Expiration=1,IF($A57&lt;VLOOKUP(N$5,NFI,5,0),1,0)*Table_NFI[[#This Row],[Kitchen Set]],Table_NFI[Kitchen Set])</f>
        <v>0</v>
      </c>
      <c r="AF57" s="502">
        <f>IF(NFI_Expiration=1,IF($A57&lt;VLOOKUP(O$5,NFI,5,0),1,0)*Table_NFI[[#This Row],[Clothes Kit]],Table_NFI[Clothes Kit])</f>
        <v>0</v>
      </c>
      <c r="AG57" s="502">
        <f>IF(NFI_Expiration=1,IF($A57&lt;VLOOKUP(P$5,NFI,5,0),1,0)*Table_NFI[[#This Row],[Plastic Bucket]],Table_NFI[Plastic Bucket])</f>
        <v>345</v>
      </c>
      <c r="AH57" s="502">
        <f>IF(NFI_Expiration=1,IF($A57&lt;VLOOKUP(Q$5,NFI,5,0),1,0)*Table_NFI[[#This Row],[Plastic Mat]],Table_NFI[Plastic Mat])*IF(Table_NFI[[#This Row],[Distribution Date]]&gt;"2014-04-01",1,2.5)</f>
        <v>0</v>
      </c>
      <c r="AI57" s="502">
        <f>IF(NFI_Expiration=1,IF($A57&lt;VLOOKUP(R$5,NFI,5,0),1,0)*Table_NFI[[#This Row],[Winter Clothes Adult]],Table_NFI[Winter Clothes Adult])</f>
        <v>0</v>
      </c>
      <c r="AJ57" s="502">
        <f>IF(NFI_Expiration=1,IF($A57&lt;VLOOKUP(S$5,NFI,5,0),1,0)*Table_NFI[[#This Row],[Winter Clothes Children]],Table_NFI[Winter Clothes Children])</f>
        <v>0</v>
      </c>
      <c r="AK57" s="502">
        <f>IF(NFI_Expiration=1,IF($A57&lt;VLOOKUP(T$5,NFI,5,0),1,0)*Table_NFI[[#This Row],[Winter Items Other]],Table_NFI[Winter Items Other])</f>
        <v>0</v>
      </c>
      <c r="AL57" s="502">
        <f>IF(NFI_Expiration=1,IF($A57&lt;VLOOKUP(M$5,NFI,5,0),1,0)*Table_NFI[[#This Row],[Winter Blanket]],Table_NFI[[#This Row],[Winter Blanket]])</f>
        <v>0</v>
      </c>
      <c r="AM57" s="502">
        <f>IF(Table_NFI[[#This Row],[Winter Clothes Adult]]+Table_NFI[[#This Row],[Winter Clothes Children]]+Table_NFI[[#This Row],[Winter Items Other]]+Table_NFI[[#This Row],[Winter Blanket]]&gt;0,1,0)</f>
        <v>0</v>
      </c>
      <c r="AN57" s="504">
        <f>IF(NFI_Expiration=1,IF($A57&lt;VLOOKUP(V$5,NFI,5,0),1,0)*Table_NFI[[#This Row],[Jerry Can]],Table_NFI[Jerry Can])</f>
        <v>0</v>
      </c>
      <c r="AO57" s="504">
        <f>IF(NFI_Expiration=1,IF($A57&lt;VLOOKUP(V$5,NFI,5,0),1,0)*Table_NFI[[#This Row],[Shelter Tool kit]],Table_NFI[Shelter Tool kit])</f>
        <v>0</v>
      </c>
      <c r="AP57" s="504">
        <f>IF(NFI_Expiration=1,IF($A57&lt;VLOOKUP(V$5,NFI,5,0),1,0)*Table_NFI[[#This Row],[Tent]],Table_NFI[Tent])</f>
        <v>0</v>
      </c>
      <c r="AQ57" s="505" t="str">
        <f>IFERROR(VLOOKUP(Table_NFI[[#This Row],[Camp Name]],CL,2,0),"")</f>
        <v>MMR001CMP120</v>
      </c>
      <c r="AR57" s="506">
        <f ca="1">IF(Table_NFI[[#This Row],[Pcode]]="","",IF(OFFSET(CampList[Opening Date],MATCH(Table_NFI[[#This Row],[Pcode]],CampList[CP_Pcode],0)-1,0,1,1)&gt;=NFI_Monitor_Date,1,0))</f>
        <v>0</v>
      </c>
      <c r="AS57" s="505" t="str">
        <f>IFERROR(VLOOKUP(Table_NFI[[#This Row],[Camp Name]],CL,3,0),"")</f>
        <v>Open</v>
      </c>
      <c r="AT57" s="502" t="str">
        <f ca="1">IF(Table_NFI[[#This Row],[Pcode]]="","",OFFSET(CampList[Priority],MATCH(Table_NFI[[#This Row],[Pcode]],CampList[CP_Pcode],0)-1,0,1,1))</f>
        <v>P1</v>
      </c>
      <c r="AU57" s="507">
        <f>IFERROR(Table_NFI[[#This Row],[Kitchen Set]]/VLOOKUP(Table_NFI[[#This Row],[Camp Name]],CL,4,0),"")</f>
        <v>0</v>
      </c>
      <c r="AV57" s="500"/>
      <c r="AW57" s="511"/>
    </row>
    <row r="58" spans="1:49" s="470" customFormat="1" ht="14.45" customHeight="1" x14ac:dyDescent="0.25">
      <c r="A58" s="297">
        <f t="shared" si="0"/>
        <v>8.3000000000000007</v>
      </c>
      <c r="B58" s="465">
        <v>42426</v>
      </c>
      <c r="C58" s="466" t="s">
        <v>905</v>
      </c>
      <c r="D58" s="466" t="s">
        <v>905</v>
      </c>
      <c r="E58" s="466" t="s">
        <v>380</v>
      </c>
      <c r="F58" s="290" t="s">
        <v>5</v>
      </c>
      <c r="G58" s="290" t="s">
        <v>6</v>
      </c>
      <c r="H58" s="291"/>
      <c r="I58" s="291"/>
      <c r="J58" s="291"/>
      <c r="K58" s="291"/>
      <c r="L58" s="292"/>
      <c r="M58" s="292"/>
      <c r="N58" s="292"/>
      <c r="O58" s="292"/>
      <c r="P58" s="294"/>
      <c r="Q58" s="294"/>
      <c r="R58" s="294"/>
      <c r="S58" s="294"/>
      <c r="T58" s="294"/>
      <c r="U58" s="294"/>
      <c r="V58" s="431"/>
      <c r="W58" s="294"/>
      <c r="X58" s="294"/>
      <c r="Y58" s="294">
        <f>IF(NFI_Expiration=1,IF($A58&lt;VLOOKUP(H$5,NFI,5,0),1,0)*Table_NFI[[#This Row],[Hygiene Kit]],Table_NFI[Hygiene Kit])</f>
        <v>0</v>
      </c>
      <c r="Z58" s="294">
        <f>IF(NFI_Expiration=1,IF($A58&lt;VLOOKUP(I$5,NFI,5,0),1,0)*Table_NFI[[#This Row],[NFI Core Kit]],Table_NFI[NFI Core Kit])</f>
        <v>0</v>
      </c>
      <c r="AA58" s="294">
        <f>IF(NFI_Expiration=1,IF($A58&lt;VLOOKUP(J$5,NFI,5,0),1,0)*Table_NFI[[#This Row],[Sanitary Kit]],Table_NFI[Sanitary Kit])</f>
        <v>0</v>
      </c>
      <c r="AB58" s="294">
        <f>IF(NFI_Expiration=1,IF($A58&lt;VLOOKUP(K$5,NFI,5,0),1,0)*Table_NFI[[#This Row],[Mosquito net]],Table_NFI[Mosquito net])</f>
        <v>0</v>
      </c>
      <c r="AC58" s="294">
        <f>IF(NFI_Expiration=1,IF($A58&lt;VLOOKUP(L$5,NFI,5,0),1,0)*Table_NFI[[#This Row],[Tarpaulin]],Table_NFI[[#This Row],[Tarpaulin]])</f>
        <v>0</v>
      </c>
      <c r="AD58" s="294">
        <f>IF(NFI_Expiration=1,IF($A58&lt;VLOOKUP(M$5,NFI,5,0),1,0)*Table_NFI[[#This Row],[Blanket]],Table_NFI[[#This Row],[Blanket]])</f>
        <v>0</v>
      </c>
      <c r="AE58" s="294">
        <f>IF(NFI_Expiration=1,IF($A58&lt;VLOOKUP(N$5,NFI,5,0),1,0)*Table_NFI[[#This Row],[Kitchen Set]],Table_NFI[Kitchen Set])</f>
        <v>0</v>
      </c>
      <c r="AF58" s="294">
        <f>IF(NFI_Expiration=1,IF($A58&lt;VLOOKUP(O$5,NFI,5,0),1,0)*Table_NFI[[#This Row],[Clothes Kit]],Table_NFI[Clothes Kit])</f>
        <v>0</v>
      </c>
      <c r="AG58" s="294">
        <f>IF(NFI_Expiration=1,IF($A58&lt;VLOOKUP(P$5,NFI,5,0),1,0)*Table_NFI[[#This Row],[Plastic Bucket]],Table_NFI[Plastic Bucket])</f>
        <v>0</v>
      </c>
      <c r="AH58" s="294">
        <f>IF(NFI_Expiration=1,IF($A58&lt;VLOOKUP(Q$5,NFI,5,0),1,0)*Table_NFI[[#This Row],[Plastic Mat]],Table_NFI[Plastic Mat])*IF(Table_NFI[[#This Row],[Distribution Date]]&gt;"2014-04-01",1,2.5)</f>
        <v>0</v>
      </c>
      <c r="AI58" s="294">
        <f>IF(NFI_Expiration=1,IF($A58&lt;VLOOKUP(R$5,NFI,5,0),1,0)*Table_NFI[[#This Row],[Winter Clothes Adult]],Table_NFI[Winter Clothes Adult])</f>
        <v>0</v>
      </c>
      <c r="AJ58" s="294">
        <f>IF(NFI_Expiration=1,IF($A58&lt;VLOOKUP(S$5,NFI,5,0),1,0)*Table_NFI[[#This Row],[Winter Clothes Children]],Table_NFI[Winter Clothes Children])</f>
        <v>0</v>
      </c>
      <c r="AK58" s="294">
        <f>IF(NFI_Expiration=1,IF($A58&lt;VLOOKUP(T$5,NFI,5,0),1,0)*Table_NFI[[#This Row],[Winter Items Other]],Table_NFI[Winter Items Other])</f>
        <v>0</v>
      </c>
      <c r="AL58" s="294">
        <f>IF(NFI_Expiration=1,IF($A58&lt;VLOOKUP(M$5,NFI,5,0),1,0)*Table_NFI[[#This Row],[Winter Blanket]],Table_NFI[[#This Row],[Winter Blanket]])</f>
        <v>0</v>
      </c>
      <c r="AM58" s="294">
        <f>IF(Table_NFI[[#This Row],[Winter Clothes Adult]]+Table_NFI[[#This Row],[Winter Clothes Children]]+Table_NFI[[#This Row],[Winter Items Other]]+Table_NFI[[#This Row],[Winter Blanket]]&gt;0,1,0)</f>
        <v>0</v>
      </c>
      <c r="AN58" s="331">
        <f>IF(NFI_Expiration=1,IF($A58&lt;VLOOKUP(V$5,NFI,5,0),1,0)*Table_NFI[[#This Row],[Jerry Can]],Table_NFI[Jerry Can])</f>
        <v>0</v>
      </c>
      <c r="AO58" s="331">
        <f>IF(NFI_Expiration=1,IF($A58&lt;VLOOKUP(V$5,NFI,5,0),1,0)*Table_NFI[[#This Row],[Shelter Tool kit]],Table_NFI[Shelter Tool kit])</f>
        <v>0</v>
      </c>
      <c r="AP58" s="331">
        <f>IF(NFI_Expiration=1,IF($A58&lt;VLOOKUP(V$5,NFI,5,0),1,0)*Table_NFI[[#This Row],[Tent]],Table_NFI[Tent])</f>
        <v>0</v>
      </c>
      <c r="AQ58" s="473" t="str">
        <f>IFERROR(VLOOKUP(Table_NFI[[#This Row],[Camp Name]],CL,2,0),"")</f>
        <v>MMR001CMP050</v>
      </c>
      <c r="AR58" s="468">
        <f ca="1">IF(Table_NFI[[#This Row],[Pcode]]="","",IF(OFFSET(CampList[Opening Date],MATCH(Table_NFI[[#This Row],[Pcode]],CampList[CP_Pcode],0)-1,0,1,1)&gt;=NFI_Monitor_Date,1,0))</f>
        <v>0</v>
      </c>
      <c r="AS58" s="473" t="str">
        <f>IFERROR(VLOOKUP(Table_NFI[[#This Row],[Camp Name]],CL,3,0),"")</f>
        <v>Open</v>
      </c>
      <c r="AT58" s="294" t="str">
        <f ca="1">IF(Table_NFI[[#This Row],[Pcode]]="","",OFFSET(CampList[Priority],MATCH(Table_NFI[[#This Row],[Pcode]],CampList[CP_Pcode],0)-1,0,1,1))</f>
        <v>P4</v>
      </c>
      <c r="AU58" s="293">
        <f>IFERROR(Table_NFI[[#This Row],[Kitchen Set]]/VLOOKUP(Table_NFI[[#This Row],[Camp Name]],CL,4,0),"")</f>
        <v>0</v>
      </c>
      <c r="AV58" s="466"/>
      <c r="AW58" s="469"/>
    </row>
    <row r="59" spans="1:49" s="470" customFormat="1" ht="14.45" customHeight="1" x14ac:dyDescent="0.25">
      <c r="A59" s="297">
        <f t="shared" si="0"/>
        <v>8.3000000000000007</v>
      </c>
      <c r="B59" s="465">
        <v>42426</v>
      </c>
      <c r="C59" s="466" t="s">
        <v>905</v>
      </c>
      <c r="D59" s="466" t="s">
        <v>905</v>
      </c>
      <c r="E59" s="466" t="s">
        <v>380</v>
      </c>
      <c r="F59" s="466" t="s">
        <v>5</v>
      </c>
      <c r="G59" s="466" t="s">
        <v>24</v>
      </c>
      <c r="H59" s="291"/>
      <c r="I59" s="291"/>
      <c r="J59" s="292"/>
      <c r="K59" s="291"/>
      <c r="L59" s="292"/>
      <c r="M59" s="292"/>
      <c r="N59" s="292"/>
      <c r="O59" s="292"/>
      <c r="P59" s="294"/>
      <c r="Q59" s="294"/>
      <c r="R59" s="294"/>
      <c r="S59" s="294"/>
      <c r="T59" s="294"/>
      <c r="U59" s="294"/>
      <c r="V59" s="431"/>
      <c r="W59" s="294"/>
      <c r="X59" s="294"/>
      <c r="Y59" s="294">
        <f>IF(NFI_Expiration=1,IF($A59&lt;VLOOKUP(H$5,NFI,5,0),1,0)*Table_NFI[[#This Row],[Hygiene Kit]],Table_NFI[Hygiene Kit])</f>
        <v>0</v>
      </c>
      <c r="Z59" s="294">
        <f>IF(NFI_Expiration=1,IF($A59&lt;VLOOKUP(I$5,NFI,5,0),1,0)*Table_NFI[[#This Row],[NFI Core Kit]],Table_NFI[NFI Core Kit])</f>
        <v>0</v>
      </c>
      <c r="AA59" s="294">
        <f>IF(NFI_Expiration=1,IF($A59&lt;VLOOKUP(J$5,NFI,5,0),1,0)*Table_NFI[[#This Row],[Sanitary Kit]],Table_NFI[Sanitary Kit])</f>
        <v>0</v>
      </c>
      <c r="AB59" s="294">
        <f>IF(NFI_Expiration=1,IF($A59&lt;VLOOKUP(K$5,NFI,5,0),1,0)*Table_NFI[[#This Row],[Mosquito net]],Table_NFI[Mosquito net])</f>
        <v>0</v>
      </c>
      <c r="AC59" s="294">
        <f>IF(NFI_Expiration=1,IF($A59&lt;VLOOKUP(L$5,NFI,5,0),1,0)*Table_NFI[[#This Row],[Tarpaulin]],Table_NFI[[#This Row],[Tarpaulin]])</f>
        <v>0</v>
      </c>
      <c r="AD59" s="294">
        <f>IF(NFI_Expiration=1,IF($A59&lt;VLOOKUP(M$5,NFI,5,0),1,0)*Table_NFI[[#This Row],[Blanket]],Table_NFI[[#This Row],[Blanket]])</f>
        <v>0</v>
      </c>
      <c r="AE59" s="294">
        <f>IF(NFI_Expiration=1,IF($A59&lt;VLOOKUP(N$5,NFI,5,0),1,0)*Table_NFI[[#This Row],[Kitchen Set]],Table_NFI[Kitchen Set])</f>
        <v>0</v>
      </c>
      <c r="AF59" s="294">
        <f>IF(NFI_Expiration=1,IF($A59&lt;VLOOKUP(O$5,NFI,5,0),1,0)*Table_NFI[[#This Row],[Clothes Kit]],Table_NFI[Clothes Kit])</f>
        <v>0</v>
      </c>
      <c r="AG59" s="294">
        <f>IF(NFI_Expiration=1,IF($A59&lt;VLOOKUP(P$5,NFI,5,0),1,0)*Table_NFI[[#This Row],[Plastic Bucket]],Table_NFI[Plastic Bucket])</f>
        <v>0</v>
      </c>
      <c r="AH59" s="294">
        <f>IF(NFI_Expiration=1,IF($A59&lt;VLOOKUP(Q$5,NFI,5,0),1,0)*Table_NFI[[#This Row],[Plastic Mat]],Table_NFI[Plastic Mat])*IF(Table_NFI[[#This Row],[Distribution Date]]&gt;"2014-04-01",1,2.5)</f>
        <v>0</v>
      </c>
      <c r="AI59" s="294">
        <f>IF(NFI_Expiration=1,IF($A59&lt;VLOOKUP(R$5,NFI,5,0),1,0)*Table_NFI[[#This Row],[Winter Clothes Adult]],Table_NFI[Winter Clothes Adult])</f>
        <v>0</v>
      </c>
      <c r="AJ59" s="294">
        <f>IF(NFI_Expiration=1,IF($A59&lt;VLOOKUP(S$5,NFI,5,0),1,0)*Table_NFI[[#This Row],[Winter Clothes Children]],Table_NFI[Winter Clothes Children])</f>
        <v>0</v>
      </c>
      <c r="AK59" s="294">
        <f>IF(NFI_Expiration=1,IF($A59&lt;VLOOKUP(T$5,NFI,5,0),1,0)*Table_NFI[[#This Row],[Winter Items Other]],Table_NFI[Winter Items Other])</f>
        <v>0</v>
      </c>
      <c r="AL59" s="294">
        <f>IF(NFI_Expiration=1,IF($A59&lt;VLOOKUP(M$5,NFI,5,0),1,0)*Table_NFI[[#This Row],[Winter Blanket]],Table_NFI[[#This Row],[Winter Blanket]])</f>
        <v>0</v>
      </c>
      <c r="AM59" s="294">
        <f>IF(Table_NFI[[#This Row],[Winter Clothes Adult]]+Table_NFI[[#This Row],[Winter Clothes Children]]+Table_NFI[[#This Row],[Winter Items Other]]+Table_NFI[[#This Row],[Winter Blanket]]&gt;0,1,0)</f>
        <v>0</v>
      </c>
      <c r="AN59" s="331">
        <f>IF(NFI_Expiration=1,IF($A59&lt;VLOOKUP(V$5,NFI,5,0),1,0)*Table_NFI[[#This Row],[Jerry Can]],Table_NFI[Jerry Can])</f>
        <v>0</v>
      </c>
      <c r="AO59" s="331">
        <f>IF(NFI_Expiration=1,IF($A59&lt;VLOOKUP(V$5,NFI,5,0),1,0)*Table_NFI[[#This Row],[Shelter Tool kit]],Table_NFI[Shelter Tool kit])</f>
        <v>0</v>
      </c>
      <c r="AP59" s="331">
        <f>IF(NFI_Expiration=1,IF($A59&lt;VLOOKUP(V$5,NFI,5,0),1,0)*Table_NFI[[#This Row],[Tent]],Table_NFI[Tent])</f>
        <v>0</v>
      </c>
      <c r="AQ59" s="473" t="str">
        <f>IFERROR(VLOOKUP(Table_NFI[[#This Row],[Camp Name]],CL,2,0),"")</f>
        <v>MMR001CMP055</v>
      </c>
      <c r="AR59" s="468">
        <f ca="1">IF(Table_NFI[[#This Row],[Pcode]]="","",IF(OFFSET(CampList[Opening Date],MATCH(Table_NFI[[#This Row],[Pcode]],CampList[CP_Pcode],0)-1,0,1,1)&gt;=NFI_Monitor_Date,1,0))</f>
        <v>0</v>
      </c>
      <c r="AS59" s="473" t="str">
        <f>IFERROR(VLOOKUP(Table_NFI[[#This Row],[Camp Name]],CL,3,0),"")</f>
        <v>Open</v>
      </c>
      <c r="AT59" s="294" t="str">
        <f ca="1">IF(Table_NFI[[#This Row],[Pcode]]="","",OFFSET(CampList[Priority],MATCH(Table_NFI[[#This Row],[Pcode]],CampList[CP_Pcode],0)-1,0,1,1))</f>
        <v>P4</v>
      </c>
      <c r="AU59" s="293">
        <f>IFERROR(Table_NFI[[#This Row],[Kitchen Set]]/VLOOKUP(Table_NFI[[#This Row],[Camp Name]],CL,4,0),"")</f>
        <v>0</v>
      </c>
      <c r="AV59" s="466"/>
      <c r="AW59" s="469"/>
    </row>
    <row r="60" spans="1:49" s="470" customFormat="1" ht="14.45" customHeight="1" x14ac:dyDescent="0.25">
      <c r="A60" s="297">
        <f t="shared" si="0"/>
        <v>8.3333333333333339</v>
      </c>
      <c r="B60" s="465">
        <v>42425</v>
      </c>
      <c r="C60" s="466" t="s">
        <v>905</v>
      </c>
      <c r="D60" s="466" t="s">
        <v>905</v>
      </c>
      <c r="E60" s="466" t="s">
        <v>380</v>
      </c>
      <c r="F60" s="466" t="s">
        <v>5</v>
      </c>
      <c r="G60" s="466" t="s">
        <v>366</v>
      </c>
      <c r="H60" s="291"/>
      <c r="I60" s="291"/>
      <c r="J60" s="291"/>
      <c r="K60" s="291"/>
      <c r="L60" s="292"/>
      <c r="M60" s="292"/>
      <c r="N60" s="292"/>
      <c r="O60" s="292"/>
      <c r="P60" s="294"/>
      <c r="Q60" s="294"/>
      <c r="R60" s="294"/>
      <c r="S60" s="294"/>
      <c r="T60" s="294"/>
      <c r="U60" s="294"/>
      <c r="V60" s="431"/>
      <c r="W60" s="294"/>
      <c r="X60" s="294"/>
      <c r="Y60" s="294">
        <f>IF(NFI_Expiration=1,IF($A60&lt;VLOOKUP(H$5,NFI,5,0),1,0)*Table_NFI[[#This Row],[Hygiene Kit]],Table_NFI[Hygiene Kit])</f>
        <v>0</v>
      </c>
      <c r="Z60" s="294">
        <f>IF(NFI_Expiration=1,IF($A60&lt;VLOOKUP(I$5,NFI,5,0),1,0)*Table_NFI[[#This Row],[NFI Core Kit]],Table_NFI[NFI Core Kit])</f>
        <v>0</v>
      </c>
      <c r="AA60" s="294">
        <f>IF(NFI_Expiration=1,IF($A60&lt;VLOOKUP(J$5,NFI,5,0),1,0)*Table_NFI[[#This Row],[Sanitary Kit]],Table_NFI[Sanitary Kit])</f>
        <v>0</v>
      </c>
      <c r="AB60" s="294">
        <f>IF(NFI_Expiration=1,IF($A60&lt;VLOOKUP(K$5,NFI,5,0),1,0)*Table_NFI[[#This Row],[Mosquito net]],Table_NFI[Mosquito net])</f>
        <v>0</v>
      </c>
      <c r="AC60" s="294">
        <f>IF(NFI_Expiration=1,IF($A60&lt;VLOOKUP(L$5,NFI,5,0),1,0)*Table_NFI[[#This Row],[Tarpaulin]],Table_NFI[[#This Row],[Tarpaulin]])</f>
        <v>0</v>
      </c>
      <c r="AD60" s="294">
        <f>IF(NFI_Expiration=1,IF($A60&lt;VLOOKUP(M$5,NFI,5,0),1,0)*Table_NFI[[#This Row],[Blanket]],Table_NFI[[#This Row],[Blanket]])</f>
        <v>0</v>
      </c>
      <c r="AE60" s="294">
        <f>IF(NFI_Expiration=1,IF($A60&lt;VLOOKUP(N$5,NFI,5,0),1,0)*Table_NFI[[#This Row],[Kitchen Set]],Table_NFI[Kitchen Set])</f>
        <v>0</v>
      </c>
      <c r="AF60" s="294">
        <f>IF(NFI_Expiration=1,IF($A60&lt;VLOOKUP(O$5,NFI,5,0),1,0)*Table_NFI[[#This Row],[Clothes Kit]],Table_NFI[Clothes Kit])</f>
        <v>0</v>
      </c>
      <c r="AG60" s="294">
        <f>IF(NFI_Expiration=1,IF($A60&lt;VLOOKUP(P$5,NFI,5,0),1,0)*Table_NFI[[#This Row],[Plastic Bucket]],Table_NFI[Plastic Bucket])</f>
        <v>0</v>
      </c>
      <c r="AH60" s="294">
        <f>IF(NFI_Expiration=1,IF($A60&lt;VLOOKUP(Q$5,NFI,5,0),1,0)*Table_NFI[[#This Row],[Plastic Mat]],Table_NFI[Plastic Mat])*IF(Table_NFI[[#This Row],[Distribution Date]]&gt;"2014-04-01",1,2.5)</f>
        <v>0</v>
      </c>
      <c r="AI60" s="294">
        <f>IF(NFI_Expiration=1,IF($A60&lt;VLOOKUP(R$5,NFI,5,0),1,0)*Table_NFI[[#This Row],[Winter Clothes Adult]],Table_NFI[Winter Clothes Adult])</f>
        <v>0</v>
      </c>
      <c r="AJ60" s="294">
        <f>IF(NFI_Expiration=1,IF($A60&lt;VLOOKUP(S$5,NFI,5,0),1,0)*Table_NFI[[#This Row],[Winter Clothes Children]],Table_NFI[Winter Clothes Children])</f>
        <v>0</v>
      </c>
      <c r="AK60" s="294">
        <f>IF(NFI_Expiration=1,IF($A60&lt;VLOOKUP(T$5,NFI,5,0),1,0)*Table_NFI[[#This Row],[Winter Items Other]],Table_NFI[Winter Items Other])</f>
        <v>0</v>
      </c>
      <c r="AL60" s="294">
        <f>IF(NFI_Expiration=1,IF($A60&lt;VLOOKUP(M$5,NFI,5,0),1,0)*Table_NFI[[#This Row],[Winter Blanket]],Table_NFI[[#This Row],[Winter Blanket]])</f>
        <v>0</v>
      </c>
      <c r="AM60" s="294">
        <f>IF(Table_NFI[[#This Row],[Winter Clothes Adult]]+Table_NFI[[#This Row],[Winter Clothes Children]]+Table_NFI[[#This Row],[Winter Items Other]]+Table_NFI[[#This Row],[Winter Blanket]]&gt;0,1,0)</f>
        <v>0</v>
      </c>
      <c r="AN60" s="331">
        <f>IF(NFI_Expiration=1,IF($A60&lt;VLOOKUP(V$5,NFI,5,0),1,0)*Table_NFI[[#This Row],[Jerry Can]],Table_NFI[Jerry Can])</f>
        <v>0</v>
      </c>
      <c r="AO60" s="331">
        <f>IF(NFI_Expiration=1,IF($A60&lt;VLOOKUP(V$5,NFI,5,0),1,0)*Table_NFI[[#This Row],[Shelter Tool kit]],Table_NFI[Shelter Tool kit])</f>
        <v>0</v>
      </c>
      <c r="AP60" s="331">
        <f>IF(NFI_Expiration=1,IF($A60&lt;VLOOKUP(V$5,NFI,5,0),1,0)*Table_NFI[[#This Row],[Tent]],Table_NFI[Tent])</f>
        <v>0</v>
      </c>
      <c r="AQ60" s="473" t="str">
        <f>IFERROR(VLOOKUP(Table_NFI[[#This Row],[Camp Name]],CL,2,0),"")</f>
        <v>MMR001CMP193</v>
      </c>
      <c r="AR60" s="468">
        <f ca="1">IF(Table_NFI[[#This Row],[Pcode]]="","",IF(OFFSET(CampList[Opening Date],MATCH(Table_NFI[[#This Row],[Pcode]],CampList[CP_Pcode],0)-1,0,1,1)&gt;=NFI_Monitor_Date,1,0))</f>
        <v>0</v>
      </c>
      <c r="AS60" s="473" t="str">
        <f>IFERROR(VLOOKUP(Table_NFI[[#This Row],[Camp Name]],CL,3,0),"")</f>
        <v>Open</v>
      </c>
      <c r="AT60" s="294" t="str">
        <f ca="1">IF(Table_NFI[[#This Row],[Pcode]]="","",OFFSET(CampList[Priority],MATCH(Table_NFI[[#This Row],[Pcode]],CampList[CP_Pcode],0)-1,0,1,1))</f>
        <v>P4</v>
      </c>
      <c r="AU60" s="293">
        <f>IFERROR(Table_NFI[[#This Row],[Kitchen Set]]/VLOOKUP(Table_NFI[[#This Row],[Camp Name]],CL,4,0),"")</f>
        <v>0</v>
      </c>
      <c r="AV60" s="466"/>
      <c r="AW60" s="469"/>
    </row>
    <row r="61" spans="1:49" s="470" customFormat="1" ht="15" customHeight="1" x14ac:dyDescent="0.2">
      <c r="A61" s="297">
        <f t="shared" si="0"/>
        <v>8.3333333333333339</v>
      </c>
      <c r="B61" s="465">
        <v>42425</v>
      </c>
      <c r="C61" s="466" t="s">
        <v>905</v>
      </c>
      <c r="D61" s="467" t="s">
        <v>905</v>
      </c>
      <c r="E61" s="466" t="s">
        <v>380</v>
      </c>
      <c r="F61" s="290" t="s">
        <v>5</v>
      </c>
      <c r="G61" s="290" t="s">
        <v>22</v>
      </c>
      <c r="H61" s="291"/>
      <c r="I61" s="291"/>
      <c r="J61" s="291"/>
      <c r="K61" s="291"/>
      <c r="L61" s="292"/>
      <c r="M61" s="292"/>
      <c r="N61" s="292"/>
      <c r="O61" s="292"/>
      <c r="P61" s="294"/>
      <c r="Q61" s="294"/>
      <c r="R61" s="294"/>
      <c r="S61" s="294"/>
      <c r="T61" s="294"/>
      <c r="U61" s="294"/>
      <c r="V61" s="431"/>
      <c r="W61" s="585"/>
      <c r="X61" s="294"/>
      <c r="Y61" s="294">
        <f>IF(NFI_Expiration=1,IF($A61&lt;VLOOKUP(H$5,NFI,5,0),1,0)*Table_NFI[[#This Row],[Hygiene Kit]],Table_NFI[Hygiene Kit])</f>
        <v>0</v>
      </c>
      <c r="Z61" s="294">
        <f>IF(NFI_Expiration=1,IF($A61&lt;VLOOKUP(I$5,NFI,5,0),1,0)*Table_NFI[[#This Row],[NFI Core Kit]],Table_NFI[NFI Core Kit])</f>
        <v>0</v>
      </c>
      <c r="AA61" s="294">
        <f>IF(NFI_Expiration=1,IF($A61&lt;VLOOKUP(J$5,NFI,5,0),1,0)*Table_NFI[[#This Row],[Sanitary Kit]],Table_NFI[Sanitary Kit])</f>
        <v>0</v>
      </c>
      <c r="AB61" s="294">
        <f>IF(NFI_Expiration=1,IF($A61&lt;VLOOKUP(K$5,NFI,5,0),1,0)*Table_NFI[[#This Row],[Mosquito net]],Table_NFI[Mosquito net])</f>
        <v>0</v>
      </c>
      <c r="AC61" s="294">
        <f>IF(NFI_Expiration=1,IF($A61&lt;VLOOKUP(L$5,NFI,5,0),1,0)*Table_NFI[[#This Row],[Tarpaulin]],Table_NFI[[#This Row],[Tarpaulin]])</f>
        <v>0</v>
      </c>
      <c r="AD61" s="294">
        <f>IF(NFI_Expiration=1,IF($A61&lt;VLOOKUP(M$5,NFI,5,0),1,0)*Table_NFI[[#This Row],[Blanket]],Table_NFI[[#This Row],[Blanket]])</f>
        <v>0</v>
      </c>
      <c r="AE61" s="294">
        <f>IF(NFI_Expiration=1,IF($A61&lt;VLOOKUP(N$5,NFI,5,0),1,0)*Table_NFI[[#This Row],[Kitchen Set]],Table_NFI[Kitchen Set])</f>
        <v>0</v>
      </c>
      <c r="AF61" s="294">
        <f>IF(NFI_Expiration=1,IF($A61&lt;VLOOKUP(O$5,NFI,5,0),1,0)*Table_NFI[[#This Row],[Clothes Kit]],Table_NFI[Clothes Kit])</f>
        <v>0</v>
      </c>
      <c r="AG61" s="294">
        <f>IF(NFI_Expiration=1,IF($A61&lt;VLOOKUP(P$5,NFI,5,0),1,0)*Table_NFI[[#This Row],[Plastic Bucket]],Table_NFI[Plastic Bucket])</f>
        <v>0</v>
      </c>
      <c r="AH61" s="294">
        <f>IF(NFI_Expiration=1,IF($A61&lt;VLOOKUP(Q$5,NFI,5,0),1,0)*Table_NFI[[#This Row],[Plastic Mat]],Table_NFI[Plastic Mat])*IF(Table_NFI[[#This Row],[Distribution Date]]&gt;"2014-04-01",1,2.5)</f>
        <v>0</v>
      </c>
      <c r="AI61" s="294">
        <f>IF(NFI_Expiration=1,IF($A61&lt;VLOOKUP(R$5,NFI,5,0),1,0)*Table_NFI[[#This Row],[Winter Clothes Adult]],Table_NFI[Winter Clothes Adult])</f>
        <v>0</v>
      </c>
      <c r="AJ61" s="294">
        <f>IF(NFI_Expiration=1,IF($A61&lt;VLOOKUP(S$5,NFI,5,0),1,0)*Table_NFI[[#This Row],[Winter Clothes Children]],Table_NFI[Winter Clothes Children])</f>
        <v>0</v>
      </c>
      <c r="AK61" s="294">
        <f>IF(NFI_Expiration=1,IF($A61&lt;VLOOKUP(T$5,NFI,5,0),1,0)*Table_NFI[[#This Row],[Winter Items Other]],Table_NFI[Winter Items Other])</f>
        <v>0</v>
      </c>
      <c r="AL61" s="294">
        <f>IF(NFI_Expiration=1,IF($A61&lt;VLOOKUP(M$5,NFI,5,0),1,0)*Table_NFI[[#This Row],[Winter Blanket]],Table_NFI[[#This Row],[Winter Blanket]])</f>
        <v>0</v>
      </c>
      <c r="AM61" s="294">
        <f>IF(Table_NFI[[#This Row],[Winter Clothes Adult]]+Table_NFI[[#This Row],[Winter Clothes Children]]+Table_NFI[[#This Row],[Winter Items Other]]+Table_NFI[[#This Row],[Winter Blanket]]&gt;0,1,0)</f>
        <v>0</v>
      </c>
      <c r="AN61" s="331">
        <f>IF(NFI_Expiration=1,IF($A61&lt;VLOOKUP(V$5,NFI,5,0),1,0)*Table_NFI[[#This Row],[Jerry Can]],Table_NFI[Jerry Can])</f>
        <v>0</v>
      </c>
      <c r="AO61" s="331">
        <f>IF(NFI_Expiration=1,IF($A61&lt;VLOOKUP(V$5,NFI,5,0),1,0)*Table_NFI[[#This Row],[Shelter Tool kit]],Table_NFI[Shelter Tool kit])</f>
        <v>0</v>
      </c>
      <c r="AP61" s="331">
        <f>IF(NFI_Expiration=1,IF($A61&lt;VLOOKUP(V$5,NFI,5,0),1,0)*Table_NFI[[#This Row],[Tent]],Table_NFI[Tent])</f>
        <v>0</v>
      </c>
      <c r="AQ61" s="473" t="str">
        <f>IFERROR(VLOOKUP(Table_NFI[[#This Row],[Camp Name]],CL,2,0),"")</f>
        <v>MMR001CMP047</v>
      </c>
      <c r="AR61" s="468">
        <f ca="1">IF(Table_NFI[[#This Row],[Pcode]]="","",IF(OFFSET(CampList[Opening Date],MATCH(Table_NFI[[#This Row],[Pcode]],CampList[CP_Pcode],0)-1,0,1,1)&gt;=NFI_Monitor_Date,1,0))</f>
        <v>0</v>
      </c>
      <c r="AS61" s="473" t="str">
        <f>IFERROR(VLOOKUP(Table_NFI[[#This Row],[Camp Name]],CL,3,0),"")</f>
        <v>Open</v>
      </c>
      <c r="AT61" s="294" t="str">
        <f ca="1">IF(Table_NFI[[#This Row],[Pcode]]="","",OFFSET(CampList[Priority],MATCH(Table_NFI[[#This Row],[Pcode]],CampList[CP_Pcode],0)-1,0,1,1))</f>
        <v>P4</v>
      </c>
      <c r="AU61" s="293">
        <f>IFERROR(Table_NFI[[#This Row],[Kitchen Set]]/VLOOKUP(Table_NFI[[#This Row],[Camp Name]],CL,4,0),"")</f>
        <v>0</v>
      </c>
      <c r="AV61" s="466"/>
      <c r="AW61" s="469"/>
    </row>
    <row r="62" spans="1:49" s="470" customFormat="1" ht="14.45" customHeight="1" x14ac:dyDescent="0.25">
      <c r="A62" s="297">
        <f t="shared" si="0"/>
        <v>8.3666666666666671</v>
      </c>
      <c r="B62" s="465">
        <v>42424</v>
      </c>
      <c r="C62" s="466" t="s">
        <v>905</v>
      </c>
      <c r="D62" s="466" t="s">
        <v>460</v>
      </c>
      <c r="E62" s="466" t="s">
        <v>380</v>
      </c>
      <c r="F62" s="290" t="s">
        <v>185</v>
      </c>
      <c r="G62" s="290" t="s">
        <v>196</v>
      </c>
      <c r="H62" s="291"/>
      <c r="I62" s="291"/>
      <c r="J62" s="292"/>
      <c r="K62" s="291"/>
      <c r="L62" s="292"/>
      <c r="M62" s="292"/>
      <c r="N62" s="292"/>
      <c r="O62" s="292"/>
      <c r="P62" s="294"/>
      <c r="Q62" s="294"/>
      <c r="R62" s="294"/>
      <c r="S62" s="294"/>
      <c r="T62" s="294"/>
      <c r="U62" s="294"/>
      <c r="V62" s="431"/>
      <c r="W62" s="294"/>
      <c r="X62" s="294"/>
      <c r="Y62" s="294">
        <f>IF(NFI_Expiration=1,IF($A62&lt;VLOOKUP(H$5,NFI,5,0),1,0)*Table_NFI[[#This Row],[Hygiene Kit]],Table_NFI[Hygiene Kit])</f>
        <v>0</v>
      </c>
      <c r="Z62" s="294">
        <f>IF(NFI_Expiration=1,IF($A62&lt;VLOOKUP(I$5,NFI,5,0),1,0)*Table_NFI[[#This Row],[NFI Core Kit]],Table_NFI[NFI Core Kit])</f>
        <v>0</v>
      </c>
      <c r="AA62" s="294">
        <f>IF(NFI_Expiration=1,IF($A62&lt;VLOOKUP(J$5,NFI,5,0),1,0)*Table_NFI[[#This Row],[Sanitary Kit]],Table_NFI[Sanitary Kit])</f>
        <v>0</v>
      </c>
      <c r="AB62" s="294">
        <f>IF(NFI_Expiration=1,IF($A62&lt;VLOOKUP(K$5,NFI,5,0),1,0)*Table_NFI[[#This Row],[Mosquito net]],Table_NFI[Mosquito net])</f>
        <v>0</v>
      </c>
      <c r="AC62" s="294">
        <f>IF(NFI_Expiration=1,IF($A62&lt;VLOOKUP(L$5,NFI,5,0),1,0)*Table_NFI[[#This Row],[Tarpaulin]],Table_NFI[[#This Row],[Tarpaulin]])</f>
        <v>0</v>
      </c>
      <c r="AD62" s="294">
        <f>IF(NFI_Expiration=1,IF($A62&lt;VLOOKUP(M$5,NFI,5,0),1,0)*Table_NFI[[#This Row],[Blanket]],Table_NFI[[#This Row],[Blanket]])</f>
        <v>0</v>
      </c>
      <c r="AE62" s="294">
        <f>IF(NFI_Expiration=1,IF($A62&lt;VLOOKUP(N$5,NFI,5,0),1,0)*Table_NFI[[#This Row],[Kitchen Set]],Table_NFI[Kitchen Set])</f>
        <v>0</v>
      </c>
      <c r="AF62" s="294">
        <f>IF(NFI_Expiration=1,IF($A62&lt;VLOOKUP(O$5,NFI,5,0),1,0)*Table_NFI[[#This Row],[Clothes Kit]],Table_NFI[Clothes Kit])</f>
        <v>0</v>
      </c>
      <c r="AG62" s="294">
        <f>IF(NFI_Expiration=1,IF($A62&lt;VLOOKUP(P$5,NFI,5,0),1,0)*Table_NFI[[#This Row],[Plastic Bucket]],Table_NFI[Plastic Bucket])</f>
        <v>0</v>
      </c>
      <c r="AH62" s="294">
        <f>IF(NFI_Expiration=1,IF($A62&lt;VLOOKUP(Q$5,NFI,5,0),1,0)*Table_NFI[[#This Row],[Plastic Mat]],Table_NFI[Plastic Mat])*IF(Table_NFI[[#This Row],[Distribution Date]]&gt;"2014-04-01",1,2.5)</f>
        <v>0</v>
      </c>
      <c r="AI62" s="294">
        <f>IF(NFI_Expiration=1,IF($A62&lt;VLOOKUP(R$5,NFI,5,0),1,0)*Table_NFI[[#This Row],[Winter Clothes Adult]],Table_NFI[Winter Clothes Adult])</f>
        <v>0</v>
      </c>
      <c r="AJ62" s="294">
        <f>IF(NFI_Expiration=1,IF($A62&lt;VLOOKUP(S$5,NFI,5,0),1,0)*Table_NFI[[#This Row],[Winter Clothes Children]],Table_NFI[Winter Clothes Children])</f>
        <v>0</v>
      </c>
      <c r="AK62" s="294">
        <f>IF(NFI_Expiration=1,IF($A62&lt;VLOOKUP(T$5,NFI,5,0),1,0)*Table_NFI[[#This Row],[Winter Items Other]],Table_NFI[Winter Items Other])</f>
        <v>0</v>
      </c>
      <c r="AL62" s="294">
        <f>IF(NFI_Expiration=1,IF($A62&lt;VLOOKUP(M$5,NFI,5,0),1,0)*Table_NFI[[#This Row],[Winter Blanket]],Table_NFI[[#This Row],[Winter Blanket]])</f>
        <v>0</v>
      </c>
      <c r="AM62" s="294">
        <f>IF(Table_NFI[[#This Row],[Winter Clothes Adult]]+Table_NFI[[#This Row],[Winter Clothes Children]]+Table_NFI[[#This Row],[Winter Items Other]]+Table_NFI[[#This Row],[Winter Blanket]]&gt;0,1,0)</f>
        <v>0</v>
      </c>
      <c r="AN62" s="331">
        <f>IF(NFI_Expiration=1,IF($A62&lt;VLOOKUP(V$5,NFI,5,0),1,0)*Table_NFI[[#This Row],[Jerry Can]],Table_NFI[Jerry Can])</f>
        <v>0</v>
      </c>
      <c r="AO62" s="331">
        <f>IF(NFI_Expiration=1,IF($A62&lt;VLOOKUP(V$5,NFI,5,0),1,0)*Table_NFI[[#This Row],[Shelter Tool kit]],Table_NFI[Shelter Tool kit])</f>
        <v>0</v>
      </c>
      <c r="AP62" s="331">
        <f>IF(NFI_Expiration=1,IF($A62&lt;VLOOKUP(V$5,NFI,5,0),1,0)*Table_NFI[[#This Row],[Tent]],Table_NFI[Tent])</f>
        <v>0</v>
      </c>
      <c r="AQ62" s="473" t="str">
        <f>IFERROR(VLOOKUP(Table_NFI[[#This Row],[Camp Name]],CL,2,0),"")</f>
        <v>MMR001CMP121</v>
      </c>
      <c r="AR62" s="468">
        <f ca="1">IF(Table_NFI[[#This Row],[Pcode]]="","",IF(OFFSET(CampList[Opening Date],MATCH(Table_NFI[[#This Row],[Pcode]],CampList[CP_Pcode],0)-1,0,1,1)&gt;=NFI_Monitor_Date,1,0))</f>
        <v>0</v>
      </c>
      <c r="AS62" s="473" t="str">
        <f>IFERROR(VLOOKUP(Table_NFI[[#This Row],[Camp Name]],CL,3,0),"")</f>
        <v>Open</v>
      </c>
      <c r="AT62" s="294" t="str">
        <f ca="1">IF(Table_NFI[[#This Row],[Pcode]]="","",OFFSET(CampList[Priority],MATCH(Table_NFI[[#This Row],[Pcode]],CampList[CP_Pcode],0)-1,0,1,1))</f>
        <v>P2</v>
      </c>
      <c r="AU62" s="293">
        <f>IFERROR(Table_NFI[[#This Row],[Kitchen Set]]/VLOOKUP(Table_NFI[[#This Row],[Camp Name]],CL,4,0),"")</f>
        <v>0</v>
      </c>
      <c r="AV62" s="466"/>
      <c r="AW62" s="469"/>
    </row>
    <row r="63" spans="1:49" s="470" customFormat="1" ht="15" customHeight="1" x14ac:dyDescent="0.2">
      <c r="A63" s="297">
        <f t="shared" si="0"/>
        <v>8.4</v>
      </c>
      <c r="B63" s="465">
        <v>42423</v>
      </c>
      <c r="C63" s="466" t="s">
        <v>905</v>
      </c>
      <c r="D63" s="466" t="s">
        <v>460</v>
      </c>
      <c r="E63" s="466" t="s">
        <v>380</v>
      </c>
      <c r="F63" s="466" t="s">
        <v>185</v>
      </c>
      <c r="G63" s="290" t="s">
        <v>196</v>
      </c>
      <c r="H63" s="291"/>
      <c r="I63" s="291"/>
      <c r="J63" s="584">
        <v>1807</v>
      </c>
      <c r="K63" s="291"/>
      <c r="L63" s="292"/>
      <c r="M63" s="292"/>
      <c r="N63" s="292"/>
      <c r="O63" s="292"/>
      <c r="P63" s="294"/>
      <c r="Q63" s="294"/>
      <c r="R63" s="294"/>
      <c r="S63" s="294"/>
      <c r="T63" s="294"/>
      <c r="U63" s="294"/>
      <c r="V63" s="431"/>
      <c r="W63" s="294"/>
      <c r="X63" s="294"/>
      <c r="Y63" s="294">
        <f>IF(NFI_Expiration=1,IF($A63&lt;VLOOKUP(H$5,NFI,5,0),1,0)*Table_NFI[[#This Row],[Hygiene Kit]],Table_NFI[Hygiene Kit])</f>
        <v>0</v>
      </c>
      <c r="Z63" s="294">
        <f>IF(NFI_Expiration=1,IF($A63&lt;VLOOKUP(I$5,NFI,5,0),1,0)*Table_NFI[[#This Row],[NFI Core Kit]],Table_NFI[NFI Core Kit])</f>
        <v>0</v>
      </c>
      <c r="AA63" s="294">
        <f>IF(NFI_Expiration=1,IF($A63&lt;VLOOKUP(J$5,NFI,5,0),1,0)*Table_NFI[[#This Row],[Sanitary Kit]],Table_NFI[Sanitary Kit])</f>
        <v>1807</v>
      </c>
      <c r="AB63" s="294">
        <f>IF(NFI_Expiration=1,IF($A63&lt;VLOOKUP(K$5,NFI,5,0),1,0)*Table_NFI[[#This Row],[Mosquito net]],Table_NFI[Mosquito net])</f>
        <v>0</v>
      </c>
      <c r="AC63" s="294">
        <f>IF(NFI_Expiration=1,IF($A63&lt;VLOOKUP(L$5,NFI,5,0),1,0)*Table_NFI[[#This Row],[Tarpaulin]],Table_NFI[[#This Row],[Tarpaulin]])</f>
        <v>0</v>
      </c>
      <c r="AD63" s="294">
        <f>IF(NFI_Expiration=1,IF($A63&lt;VLOOKUP(M$5,NFI,5,0),1,0)*Table_NFI[[#This Row],[Blanket]],Table_NFI[[#This Row],[Blanket]])</f>
        <v>0</v>
      </c>
      <c r="AE63" s="294">
        <f>IF(NFI_Expiration=1,IF($A63&lt;VLOOKUP(N$5,NFI,5,0),1,0)*Table_NFI[[#This Row],[Kitchen Set]],Table_NFI[Kitchen Set])</f>
        <v>0</v>
      </c>
      <c r="AF63" s="294">
        <f>IF(NFI_Expiration=1,IF($A63&lt;VLOOKUP(O$5,NFI,5,0),1,0)*Table_NFI[[#This Row],[Clothes Kit]],Table_NFI[Clothes Kit])</f>
        <v>0</v>
      </c>
      <c r="AG63" s="294">
        <f>IF(NFI_Expiration=1,IF($A63&lt;VLOOKUP(P$5,NFI,5,0),1,0)*Table_NFI[[#This Row],[Plastic Bucket]],Table_NFI[Plastic Bucket])</f>
        <v>0</v>
      </c>
      <c r="AH63" s="294">
        <f>IF(NFI_Expiration=1,IF($A63&lt;VLOOKUP(Q$5,NFI,5,0),1,0)*Table_NFI[[#This Row],[Plastic Mat]],Table_NFI[Plastic Mat])*IF(Table_NFI[[#This Row],[Distribution Date]]&gt;"2014-04-01",1,2.5)</f>
        <v>0</v>
      </c>
      <c r="AI63" s="294">
        <f>IF(NFI_Expiration=1,IF($A63&lt;VLOOKUP(R$5,NFI,5,0),1,0)*Table_NFI[[#This Row],[Winter Clothes Adult]],Table_NFI[Winter Clothes Adult])</f>
        <v>0</v>
      </c>
      <c r="AJ63" s="294">
        <f>IF(NFI_Expiration=1,IF($A63&lt;VLOOKUP(S$5,NFI,5,0),1,0)*Table_NFI[[#This Row],[Winter Clothes Children]],Table_NFI[Winter Clothes Children])</f>
        <v>0</v>
      </c>
      <c r="AK63" s="294">
        <f>IF(NFI_Expiration=1,IF($A63&lt;VLOOKUP(T$5,NFI,5,0),1,0)*Table_NFI[[#This Row],[Winter Items Other]],Table_NFI[Winter Items Other])</f>
        <v>0</v>
      </c>
      <c r="AL63" s="294">
        <f>IF(NFI_Expiration=1,IF($A63&lt;VLOOKUP(M$5,NFI,5,0),1,0)*Table_NFI[[#This Row],[Winter Blanket]],Table_NFI[[#This Row],[Winter Blanket]])</f>
        <v>0</v>
      </c>
      <c r="AM63" s="294">
        <f>IF(Table_NFI[[#This Row],[Winter Clothes Adult]]+Table_NFI[[#This Row],[Winter Clothes Children]]+Table_NFI[[#This Row],[Winter Items Other]]+Table_NFI[[#This Row],[Winter Blanket]]&gt;0,1,0)</f>
        <v>0</v>
      </c>
      <c r="AN63" s="331">
        <f>IF(NFI_Expiration=1,IF($A63&lt;VLOOKUP(V$5,NFI,5,0),1,0)*Table_NFI[[#This Row],[Jerry Can]],Table_NFI[Jerry Can])</f>
        <v>0</v>
      </c>
      <c r="AO63" s="331">
        <f>IF(NFI_Expiration=1,IF($A63&lt;VLOOKUP(V$5,NFI,5,0),1,0)*Table_NFI[[#This Row],[Shelter Tool kit]],Table_NFI[Shelter Tool kit])</f>
        <v>0</v>
      </c>
      <c r="AP63" s="331">
        <f>IF(NFI_Expiration=1,IF($A63&lt;VLOOKUP(V$5,NFI,5,0),1,0)*Table_NFI[[#This Row],[Tent]],Table_NFI[Tent])</f>
        <v>0</v>
      </c>
      <c r="AQ63" s="473" t="str">
        <f>IFERROR(VLOOKUP(Table_NFI[[#This Row],[Camp Name]],CL,2,0),"")</f>
        <v>MMR001CMP121</v>
      </c>
      <c r="AR63" s="468">
        <f ca="1">IF(Table_NFI[[#This Row],[Pcode]]="","",IF(OFFSET(CampList[Opening Date],MATCH(Table_NFI[[#This Row],[Pcode]],CampList[CP_Pcode],0)-1,0,1,1)&gt;=NFI_Monitor_Date,1,0))</f>
        <v>0</v>
      </c>
      <c r="AS63" s="473" t="str">
        <f>IFERROR(VLOOKUP(Table_NFI[[#This Row],[Camp Name]],CL,3,0),"")</f>
        <v>Open</v>
      </c>
      <c r="AT63" s="294" t="str">
        <f ca="1">IF(Table_NFI[[#This Row],[Pcode]]="","",OFFSET(CampList[Priority],MATCH(Table_NFI[[#This Row],[Pcode]],CampList[CP_Pcode],0)-1,0,1,1))</f>
        <v>P2</v>
      </c>
      <c r="AU63" s="293">
        <f>IFERROR(Table_NFI[[#This Row],[Kitchen Set]]/VLOOKUP(Table_NFI[[#This Row],[Camp Name]],CL,4,0),"")</f>
        <v>0</v>
      </c>
      <c r="AV63" s="466"/>
      <c r="AW63" s="469"/>
    </row>
    <row r="64" spans="1:49" s="470" customFormat="1" ht="14.45" customHeight="1" x14ac:dyDescent="0.25">
      <c r="A64" s="499">
        <f t="shared" si="0"/>
        <v>8.4333333333333336</v>
      </c>
      <c r="B64" s="465">
        <v>42422</v>
      </c>
      <c r="C64" s="466" t="s">
        <v>452</v>
      </c>
      <c r="D64" s="466" t="s">
        <v>460</v>
      </c>
      <c r="E64" s="466" t="s">
        <v>553</v>
      </c>
      <c r="F64" s="466" t="s">
        <v>146</v>
      </c>
      <c r="G64" s="466"/>
      <c r="H64" s="501"/>
      <c r="I64" s="501"/>
      <c r="J64" s="501"/>
      <c r="K64" s="501"/>
      <c r="L64" s="501"/>
      <c r="M64" s="501"/>
      <c r="N64" s="501"/>
      <c r="O64" s="501"/>
      <c r="P64" s="502"/>
      <c r="Q64" s="502"/>
      <c r="R64" s="502"/>
      <c r="S64" s="502"/>
      <c r="T64" s="502"/>
      <c r="U64" s="502"/>
      <c r="V64" s="503"/>
      <c r="W64" s="502"/>
      <c r="X64" s="502">
        <v>71</v>
      </c>
      <c r="Y64" s="502">
        <f>IF(NFI_Expiration=1,IF($A64&lt;VLOOKUP(H$5,NFI,5,0),1,0)*Table_NFI[[#This Row],[Hygiene Kit]],Table_NFI[Hygiene Kit])</f>
        <v>0</v>
      </c>
      <c r="Z64" s="502">
        <f>IF(NFI_Expiration=1,IF($A64&lt;VLOOKUP(I$5,NFI,5,0),1,0)*Table_NFI[[#This Row],[NFI Core Kit]],Table_NFI[NFI Core Kit])</f>
        <v>0</v>
      </c>
      <c r="AA64" s="502">
        <f>IF(NFI_Expiration=1,IF($A64&lt;VLOOKUP(J$5,NFI,5,0),1,0)*Table_NFI[[#This Row],[Sanitary Kit]],Table_NFI[Sanitary Kit])</f>
        <v>0</v>
      </c>
      <c r="AB64" s="502">
        <f>IF(NFI_Expiration=1,IF($A64&lt;VLOOKUP(K$5,NFI,5,0),1,0)*Table_NFI[[#This Row],[Mosquito net]],Table_NFI[Mosquito net])</f>
        <v>0</v>
      </c>
      <c r="AC64" s="502">
        <f>IF(NFI_Expiration=1,IF($A64&lt;VLOOKUP(L$5,NFI,5,0),1,0)*Table_NFI[[#This Row],[Tarpaulin]],Table_NFI[[#This Row],[Tarpaulin]])</f>
        <v>0</v>
      </c>
      <c r="AD64" s="502">
        <f>IF(NFI_Expiration=1,IF($A64&lt;VLOOKUP(M$5,NFI,5,0),1,0)*Table_NFI[[#This Row],[Blanket]],Table_NFI[[#This Row],[Blanket]])</f>
        <v>0</v>
      </c>
      <c r="AE64" s="502">
        <f>IF(NFI_Expiration=1,IF($A64&lt;VLOOKUP(N$5,NFI,5,0),1,0)*Table_NFI[[#This Row],[Kitchen Set]],Table_NFI[Kitchen Set])</f>
        <v>0</v>
      </c>
      <c r="AF64" s="502">
        <f>IF(NFI_Expiration=1,IF($A64&lt;VLOOKUP(O$5,NFI,5,0),1,0)*Table_NFI[[#This Row],[Clothes Kit]],Table_NFI[Clothes Kit])</f>
        <v>0</v>
      </c>
      <c r="AG64" s="502">
        <f>IF(NFI_Expiration=1,IF($A64&lt;VLOOKUP(P$5,NFI,5,0),1,0)*Table_NFI[[#This Row],[Plastic Bucket]],Table_NFI[Plastic Bucket])</f>
        <v>0</v>
      </c>
      <c r="AH64" s="502">
        <f>IF(NFI_Expiration=1,IF($A64&lt;VLOOKUP(Q$5,NFI,5,0),1,0)*Table_NFI[[#This Row],[Plastic Mat]],Table_NFI[Plastic Mat])*IF(Table_NFI[[#This Row],[Distribution Date]]&gt;"2014-04-01",1,2.5)</f>
        <v>0</v>
      </c>
      <c r="AI64" s="502">
        <f>IF(NFI_Expiration=1,IF($A64&lt;VLOOKUP(R$5,NFI,5,0),1,0)*Table_NFI[[#This Row],[Winter Clothes Adult]],Table_NFI[Winter Clothes Adult])</f>
        <v>0</v>
      </c>
      <c r="AJ64" s="502">
        <f>IF(NFI_Expiration=1,IF($A64&lt;VLOOKUP(S$5,NFI,5,0),1,0)*Table_NFI[[#This Row],[Winter Clothes Children]],Table_NFI[Winter Clothes Children])</f>
        <v>0</v>
      </c>
      <c r="AK64" s="502">
        <f>IF(NFI_Expiration=1,IF($A64&lt;VLOOKUP(T$5,NFI,5,0),1,0)*Table_NFI[[#This Row],[Winter Items Other]],Table_NFI[Winter Items Other])</f>
        <v>0</v>
      </c>
      <c r="AL64" s="502">
        <f>IF(NFI_Expiration=1,IF($A64&lt;VLOOKUP(M$5,NFI,5,0),1,0)*Table_NFI[[#This Row],[Winter Blanket]],Table_NFI[[#This Row],[Winter Blanket]])</f>
        <v>0</v>
      </c>
      <c r="AM64" s="502">
        <f>IF(Table_NFI[[#This Row],[Winter Clothes Adult]]+Table_NFI[[#This Row],[Winter Clothes Children]]+Table_NFI[[#This Row],[Winter Items Other]]+Table_NFI[[#This Row],[Winter Blanket]]&gt;0,1,0)</f>
        <v>0</v>
      </c>
      <c r="AN64" s="504">
        <f>IF(NFI_Expiration=1,IF($A64&lt;VLOOKUP(V$5,NFI,5,0),1,0)*Table_NFI[[#This Row],[Jerry Can]],Table_NFI[Jerry Can])</f>
        <v>0</v>
      </c>
      <c r="AO64" s="504">
        <f>IF(NFI_Expiration=1,IF($A64&lt;VLOOKUP(V$5,NFI,5,0),1,0)*Table_NFI[[#This Row],[Shelter Tool kit]],Table_NFI[Shelter Tool kit])</f>
        <v>0</v>
      </c>
      <c r="AP64" s="504">
        <f>IF(NFI_Expiration=1,IF($A64&lt;VLOOKUP(V$5,NFI,5,0),1,0)*Table_NFI[[#This Row],[Tent]],Table_NFI[Tent])</f>
        <v>71</v>
      </c>
      <c r="AQ64" s="505" t="str">
        <f>IFERROR(VLOOKUP(Table_NFI[[#This Row],[Camp Name]],CL,2,0),"")</f>
        <v/>
      </c>
      <c r="AR64" s="506" t="str">
        <f ca="1">IF(Table_NFI[[#This Row],[Pcode]]="","",IF(OFFSET(CampList[Opening Date],MATCH(Table_NFI[[#This Row],[Pcode]],CampList[CP_Pcode],0)-1,0,1,1)&gt;=NFI_Monitor_Date,1,0))</f>
        <v/>
      </c>
      <c r="AS64" s="671" t="str">
        <f>IFERROR(VLOOKUP(Table_NFI[[#This Row],[Camp Name]],CL,3,0),"")</f>
        <v/>
      </c>
      <c r="AT64" s="502" t="str">
        <f ca="1">IF(Table_NFI[[#This Row],[Pcode]]="","",OFFSET(CampList[Priority],MATCH(Table_NFI[[#This Row],[Pcode]],CampList[CP_Pcode],0)-1,0,1,1))</f>
        <v/>
      </c>
      <c r="AU64" s="507" t="str">
        <f>IFERROR(Table_NFI[[#This Row],[Kitchen Set]]/VLOOKUP(Table_NFI[[#This Row],[Camp Name]],CL,4,0),"")</f>
        <v/>
      </c>
      <c r="AV64" s="500"/>
      <c r="AW64" s="511" t="s">
        <v>1362</v>
      </c>
    </row>
    <row r="65" spans="1:49" s="470" customFormat="1" ht="14.45" customHeight="1" x14ac:dyDescent="0.2">
      <c r="A65" s="297">
        <f t="shared" si="0"/>
        <v>8.9</v>
      </c>
      <c r="B65" s="465">
        <v>42408</v>
      </c>
      <c r="C65" s="466" t="s">
        <v>905</v>
      </c>
      <c r="D65" s="466" t="s">
        <v>905</v>
      </c>
      <c r="E65" s="466" t="s">
        <v>380</v>
      </c>
      <c r="F65" s="290" t="s">
        <v>185</v>
      </c>
      <c r="G65" s="290" t="s">
        <v>229</v>
      </c>
      <c r="H65" s="291"/>
      <c r="I65" s="291"/>
      <c r="J65" s="584">
        <v>82</v>
      </c>
      <c r="K65" s="291"/>
      <c r="L65" s="292"/>
      <c r="M65" s="292"/>
      <c r="N65" s="292"/>
      <c r="O65" s="292"/>
      <c r="P65" s="294"/>
      <c r="Q65" s="294"/>
      <c r="R65" s="294"/>
      <c r="S65" s="294"/>
      <c r="T65" s="294"/>
      <c r="U65" s="294"/>
      <c r="V65" s="431"/>
      <c r="W65" s="294"/>
      <c r="X65" s="294"/>
      <c r="Y65" s="294">
        <f>IF(NFI_Expiration=1,IF($A65&lt;VLOOKUP(H$5,NFI,5,0),1,0)*Table_NFI[[#This Row],[Hygiene Kit]],Table_NFI[Hygiene Kit])</f>
        <v>0</v>
      </c>
      <c r="Z65" s="294">
        <f>IF(NFI_Expiration=1,IF($A65&lt;VLOOKUP(I$5,NFI,5,0),1,0)*Table_NFI[[#This Row],[NFI Core Kit]],Table_NFI[NFI Core Kit])</f>
        <v>0</v>
      </c>
      <c r="AA65" s="294">
        <f>IF(NFI_Expiration=1,IF($A65&lt;VLOOKUP(J$5,NFI,5,0),1,0)*Table_NFI[[#This Row],[Sanitary Kit]],Table_NFI[Sanitary Kit])</f>
        <v>82</v>
      </c>
      <c r="AB65" s="294">
        <f>IF(NFI_Expiration=1,IF($A65&lt;VLOOKUP(K$5,NFI,5,0),1,0)*Table_NFI[[#This Row],[Mosquito net]],Table_NFI[Mosquito net])</f>
        <v>0</v>
      </c>
      <c r="AC65" s="294">
        <f>IF(NFI_Expiration=1,IF($A65&lt;VLOOKUP(L$5,NFI,5,0),1,0)*Table_NFI[[#This Row],[Tarpaulin]],Table_NFI[[#This Row],[Tarpaulin]])</f>
        <v>0</v>
      </c>
      <c r="AD65" s="294">
        <f>IF(NFI_Expiration=1,IF($A65&lt;VLOOKUP(M$5,NFI,5,0),1,0)*Table_NFI[[#This Row],[Blanket]],Table_NFI[[#This Row],[Blanket]])</f>
        <v>0</v>
      </c>
      <c r="AE65" s="294">
        <f>IF(NFI_Expiration=1,IF($A65&lt;VLOOKUP(N$5,NFI,5,0),1,0)*Table_NFI[[#This Row],[Kitchen Set]],Table_NFI[Kitchen Set])</f>
        <v>0</v>
      </c>
      <c r="AF65" s="294">
        <f>IF(NFI_Expiration=1,IF($A65&lt;VLOOKUP(O$5,NFI,5,0),1,0)*Table_NFI[[#This Row],[Clothes Kit]],Table_NFI[Clothes Kit])</f>
        <v>0</v>
      </c>
      <c r="AG65" s="294">
        <f>IF(NFI_Expiration=1,IF($A65&lt;VLOOKUP(P$5,NFI,5,0),1,0)*Table_NFI[[#This Row],[Plastic Bucket]],Table_NFI[Plastic Bucket])</f>
        <v>0</v>
      </c>
      <c r="AH65" s="294">
        <f>IF(NFI_Expiration=1,IF($A65&lt;VLOOKUP(Q$5,NFI,5,0),1,0)*Table_NFI[[#This Row],[Plastic Mat]],Table_NFI[Plastic Mat])*IF(Table_NFI[[#This Row],[Distribution Date]]&gt;"2014-04-01",1,2.5)</f>
        <v>0</v>
      </c>
      <c r="AI65" s="294">
        <f>IF(NFI_Expiration=1,IF($A65&lt;VLOOKUP(R$5,NFI,5,0),1,0)*Table_NFI[[#This Row],[Winter Clothes Adult]],Table_NFI[Winter Clothes Adult])</f>
        <v>0</v>
      </c>
      <c r="AJ65" s="294">
        <f>IF(NFI_Expiration=1,IF($A65&lt;VLOOKUP(S$5,NFI,5,0),1,0)*Table_NFI[[#This Row],[Winter Clothes Children]],Table_NFI[Winter Clothes Children])</f>
        <v>0</v>
      </c>
      <c r="AK65" s="294">
        <f>IF(NFI_Expiration=1,IF($A65&lt;VLOOKUP(T$5,NFI,5,0),1,0)*Table_NFI[[#This Row],[Winter Items Other]],Table_NFI[Winter Items Other])</f>
        <v>0</v>
      </c>
      <c r="AL65" s="294">
        <f>IF(NFI_Expiration=1,IF($A65&lt;VLOOKUP(M$5,NFI,5,0),1,0)*Table_NFI[[#This Row],[Winter Blanket]],Table_NFI[[#This Row],[Winter Blanket]])</f>
        <v>0</v>
      </c>
      <c r="AM65" s="294">
        <f>IF(Table_NFI[[#This Row],[Winter Clothes Adult]]+Table_NFI[[#This Row],[Winter Clothes Children]]+Table_NFI[[#This Row],[Winter Items Other]]+Table_NFI[[#This Row],[Winter Blanket]]&gt;0,1,0)</f>
        <v>0</v>
      </c>
      <c r="AN65" s="331">
        <f>IF(NFI_Expiration=1,IF($A65&lt;VLOOKUP(V$5,NFI,5,0),1,0)*Table_NFI[[#This Row],[Jerry Can]],Table_NFI[Jerry Can])</f>
        <v>0</v>
      </c>
      <c r="AO65" s="331">
        <f>IF(NFI_Expiration=1,IF($A65&lt;VLOOKUP(V$5,NFI,5,0),1,0)*Table_NFI[[#This Row],[Shelter Tool kit]],Table_NFI[Shelter Tool kit])</f>
        <v>0</v>
      </c>
      <c r="AP65" s="331">
        <f>IF(NFI_Expiration=1,IF($A65&lt;VLOOKUP(V$5,NFI,5,0),1,0)*Table_NFI[[#This Row],[Tent]],Table_NFI[Tent])</f>
        <v>0</v>
      </c>
      <c r="AQ65" s="473" t="str">
        <f>IFERROR(VLOOKUP(Table_NFI[[#This Row],[Camp Name]],CL,2,0),"")</f>
        <v>MMR001CMP072</v>
      </c>
      <c r="AR65" s="468">
        <f ca="1">IF(Table_NFI[[#This Row],[Pcode]]="","",IF(OFFSET(CampList[Opening Date],MATCH(Table_NFI[[#This Row],[Pcode]],CampList[CP_Pcode],0)-1,0,1,1)&gt;=NFI_Monitor_Date,1,0))</f>
        <v>0</v>
      </c>
      <c r="AS65" s="473" t="str">
        <f>IFERROR(VLOOKUP(Table_NFI[[#This Row],[Camp Name]],CL,3,0),"")</f>
        <v>Open</v>
      </c>
      <c r="AT65" s="294" t="str">
        <f ca="1">IF(Table_NFI[[#This Row],[Pcode]]="","",OFFSET(CampList[Priority],MATCH(Table_NFI[[#This Row],[Pcode]],CampList[CP_Pcode],0)-1,0,1,1))</f>
        <v>P3</v>
      </c>
      <c r="AU65" s="293">
        <f>IFERROR(Table_NFI[[#This Row],[Kitchen Set]]/VLOOKUP(Table_NFI[[#This Row],[Camp Name]],CL,4,0),"")</f>
        <v>0</v>
      </c>
      <c r="AV65" s="466"/>
      <c r="AW65" s="469"/>
    </row>
    <row r="66" spans="1:49" s="470" customFormat="1" ht="15" customHeight="1" x14ac:dyDescent="0.2">
      <c r="A66" s="297">
        <f t="shared" si="0"/>
        <v>8.9</v>
      </c>
      <c r="B66" s="465">
        <v>42408</v>
      </c>
      <c r="C66" s="466" t="s">
        <v>905</v>
      </c>
      <c r="D66" s="467" t="s">
        <v>905</v>
      </c>
      <c r="E66" s="466" t="s">
        <v>380</v>
      </c>
      <c r="F66" s="290" t="s">
        <v>5</v>
      </c>
      <c r="G66" s="290" t="s">
        <v>22</v>
      </c>
      <c r="H66" s="291"/>
      <c r="I66" s="291"/>
      <c r="J66" s="584">
        <v>996</v>
      </c>
      <c r="K66" s="291"/>
      <c r="L66" s="292"/>
      <c r="M66" s="292"/>
      <c r="N66" s="292"/>
      <c r="O66" s="292"/>
      <c r="P66" s="294"/>
      <c r="Q66" s="294"/>
      <c r="R66" s="294"/>
      <c r="S66" s="294"/>
      <c r="T66" s="294"/>
      <c r="U66" s="294"/>
      <c r="V66" s="431"/>
      <c r="W66" s="294"/>
      <c r="X66" s="294"/>
      <c r="Y66" s="294">
        <f>IF(NFI_Expiration=1,IF($A66&lt;VLOOKUP(H$5,NFI,5,0),1,0)*Table_NFI[[#This Row],[Hygiene Kit]],Table_NFI[Hygiene Kit])</f>
        <v>0</v>
      </c>
      <c r="Z66" s="294">
        <f>IF(NFI_Expiration=1,IF($A66&lt;VLOOKUP(I$5,NFI,5,0),1,0)*Table_NFI[[#This Row],[NFI Core Kit]],Table_NFI[NFI Core Kit])</f>
        <v>0</v>
      </c>
      <c r="AA66" s="294">
        <f>IF(NFI_Expiration=1,IF($A66&lt;VLOOKUP(J$5,NFI,5,0),1,0)*Table_NFI[[#This Row],[Sanitary Kit]],Table_NFI[Sanitary Kit])</f>
        <v>996</v>
      </c>
      <c r="AB66" s="294">
        <f>IF(NFI_Expiration=1,IF($A66&lt;VLOOKUP(K$5,NFI,5,0),1,0)*Table_NFI[[#This Row],[Mosquito net]],Table_NFI[Mosquito net])</f>
        <v>0</v>
      </c>
      <c r="AC66" s="294">
        <f>IF(NFI_Expiration=1,IF($A66&lt;VLOOKUP(L$5,NFI,5,0),1,0)*Table_NFI[[#This Row],[Tarpaulin]],Table_NFI[[#This Row],[Tarpaulin]])</f>
        <v>0</v>
      </c>
      <c r="AD66" s="294">
        <f>IF(NFI_Expiration=1,IF($A66&lt;VLOOKUP(M$5,NFI,5,0),1,0)*Table_NFI[[#This Row],[Blanket]],Table_NFI[[#This Row],[Blanket]])</f>
        <v>0</v>
      </c>
      <c r="AE66" s="294">
        <f>IF(NFI_Expiration=1,IF($A66&lt;VLOOKUP(N$5,NFI,5,0),1,0)*Table_NFI[[#This Row],[Kitchen Set]],Table_NFI[Kitchen Set])</f>
        <v>0</v>
      </c>
      <c r="AF66" s="294">
        <f>IF(NFI_Expiration=1,IF($A66&lt;VLOOKUP(O$5,NFI,5,0),1,0)*Table_NFI[[#This Row],[Clothes Kit]],Table_NFI[Clothes Kit])</f>
        <v>0</v>
      </c>
      <c r="AG66" s="294">
        <f>IF(NFI_Expiration=1,IF($A66&lt;VLOOKUP(P$5,NFI,5,0),1,0)*Table_NFI[[#This Row],[Plastic Bucket]],Table_NFI[Plastic Bucket])</f>
        <v>0</v>
      </c>
      <c r="AH66" s="294">
        <f>IF(NFI_Expiration=1,IF($A66&lt;VLOOKUP(Q$5,NFI,5,0),1,0)*Table_NFI[[#This Row],[Plastic Mat]],Table_NFI[Plastic Mat])*IF(Table_NFI[[#This Row],[Distribution Date]]&gt;"2014-04-01",1,2.5)</f>
        <v>0</v>
      </c>
      <c r="AI66" s="294">
        <f>IF(NFI_Expiration=1,IF($A66&lt;VLOOKUP(R$5,NFI,5,0),1,0)*Table_NFI[[#This Row],[Winter Clothes Adult]],Table_NFI[Winter Clothes Adult])</f>
        <v>0</v>
      </c>
      <c r="AJ66" s="294">
        <f>IF(NFI_Expiration=1,IF($A66&lt;VLOOKUP(S$5,NFI,5,0),1,0)*Table_NFI[[#This Row],[Winter Clothes Children]],Table_NFI[Winter Clothes Children])</f>
        <v>0</v>
      </c>
      <c r="AK66" s="294">
        <f>IF(NFI_Expiration=1,IF($A66&lt;VLOOKUP(T$5,NFI,5,0),1,0)*Table_NFI[[#This Row],[Winter Items Other]],Table_NFI[Winter Items Other])</f>
        <v>0</v>
      </c>
      <c r="AL66" s="294">
        <f>IF(NFI_Expiration=1,IF($A66&lt;VLOOKUP(M$5,NFI,5,0),1,0)*Table_NFI[[#This Row],[Winter Blanket]],Table_NFI[[#This Row],[Winter Blanket]])</f>
        <v>0</v>
      </c>
      <c r="AM66" s="294">
        <f>IF(Table_NFI[[#This Row],[Winter Clothes Adult]]+Table_NFI[[#This Row],[Winter Clothes Children]]+Table_NFI[[#This Row],[Winter Items Other]]+Table_NFI[[#This Row],[Winter Blanket]]&gt;0,1,0)</f>
        <v>0</v>
      </c>
      <c r="AN66" s="331">
        <f>IF(NFI_Expiration=1,IF($A66&lt;VLOOKUP(V$5,NFI,5,0),1,0)*Table_NFI[[#This Row],[Jerry Can]],Table_NFI[Jerry Can])</f>
        <v>0</v>
      </c>
      <c r="AO66" s="331">
        <f>IF(NFI_Expiration=1,IF($A66&lt;VLOOKUP(V$5,NFI,5,0),1,0)*Table_NFI[[#This Row],[Shelter Tool kit]],Table_NFI[Shelter Tool kit])</f>
        <v>0</v>
      </c>
      <c r="AP66" s="331">
        <f>IF(NFI_Expiration=1,IF($A66&lt;VLOOKUP(V$5,NFI,5,0),1,0)*Table_NFI[[#This Row],[Tent]],Table_NFI[Tent])</f>
        <v>0</v>
      </c>
      <c r="AQ66" s="473" t="str">
        <f>IFERROR(VLOOKUP(Table_NFI[[#This Row],[Camp Name]],CL,2,0),"")</f>
        <v>MMR001CMP047</v>
      </c>
      <c r="AR66" s="468">
        <f ca="1">IF(Table_NFI[[#This Row],[Pcode]]="","",IF(OFFSET(CampList[Opening Date],MATCH(Table_NFI[[#This Row],[Pcode]],CampList[CP_Pcode],0)-1,0,1,1)&gt;=NFI_Monitor_Date,1,0))</f>
        <v>0</v>
      </c>
      <c r="AS66" s="473" t="str">
        <f>IFERROR(VLOOKUP(Table_NFI[[#This Row],[Camp Name]],CL,3,0),"")</f>
        <v>Open</v>
      </c>
      <c r="AT66" s="294" t="str">
        <f ca="1">IF(Table_NFI[[#This Row],[Pcode]]="","",OFFSET(CampList[Priority],MATCH(Table_NFI[[#This Row],[Pcode]],CampList[CP_Pcode],0)-1,0,1,1))</f>
        <v>P4</v>
      </c>
      <c r="AU66" s="293">
        <f>IFERROR(Table_NFI[[#This Row],[Kitchen Set]]/VLOOKUP(Table_NFI[[#This Row],[Camp Name]],CL,4,0),"")</f>
        <v>0</v>
      </c>
      <c r="AV66" s="466"/>
      <c r="AW66" s="469"/>
    </row>
    <row r="67" spans="1:49" s="98" customFormat="1" ht="15" customHeight="1" x14ac:dyDescent="0.2">
      <c r="A67" s="297">
        <f t="shared" si="0"/>
        <v>8.9</v>
      </c>
      <c r="B67" s="465">
        <v>42408</v>
      </c>
      <c r="C67" s="466" t="s">
        <v>905</v>
      </c>
      <c r="D67" s="467" t="s">
        <v>905</v>
      </c>
      <c r="E67" s="466" t="s">
        <v>380</v>
      </c>
      <c r="F67" s="290" t="s">
        <v>185</v>
      </c>
      <c r="G67" s="290" t="s">
        <v>225</v>
      </c>
      <c r="H67" s="291"/>
      <c r="I67" s="291"/>
      <c r="J67" s="584">
        <v>62</v>
      </c>
      <c r="K67" s="291"/>
      <c r="L67" s="292"/>
      <c r="M67" s="292"/>
      <c r="N67" s="292"/>
      <c r="O67" s="292"/>
      <c r="P67" s="294"/>
      <c r="Q67" s="294"/>
      <c r="R67" s="294"/>
      <c r="S67" s="294"/>
      <c r="T67" s="294"/>
      <c r="U67" s="294"/>
      <c r="V67" s="431"/>
      <c r="W67" s="294"/>
      <c r="X67" s="294"/>
      <c r="Y67" s="294">
        <f>IF(NFI_Expiration=1,IF($A67&lt;VLOOKUP(H$5,NFI,5,0),1,0)*Table_NFI[[#This Row],[Hygiene Kit]],Table_NFI[Hygiene Kit])</f>
        <v>0</v>
      </c>
      <c r="Z67" s="294">
        <f>IF(NFI_Expiration=1,IF($A67&lt;VLOOKUP(I$5,NFI,5,0),1,0)*Table_NFI[[#This Row],[NFI Core Kit]],Table_NFI[NFI Core Kit])</f>
        <v>0</v>
      </c>
      <c r="AA67" s="294">
        <f>IF(NFI_Expiration=1,IF($A67&lt;VLOOKUP(J$5,NFI,5,0),1,0)*Table_NFI[[#This Row],[Sanitary Kit]],Table_NFI[Sanitary Kit])</f>
        <v>62</v>
      </c>
      <c r="AB67" s="294">
        <f>IF(NFI_Expiration=1,IF($A67&lt;VLOOKUP(K$5,NFI,5,0),1,0)*Table_NFI[[#This Row],[Mosquito net]],Table_NFI[Mosquito net])</f>
        <v>0</v>
      </c>
      <c r="AC67" s="294">
        <f>IF(NFI_Expiration=1,IF($A67&lt;VLOOKUP(L$5,NFI,5,0),1,0)*Table_NFI[[#This Row],[Tarpaulin]],Table_NFI[[#This Row],[Tarpaulin]])</f>
        <v>0</v>
      </c>
      <c r="AD67" s="294">
        <f>IF(NFI_Expiration=1,IF($A67&lt;VLOOKUP(M$5,NFI,5,0),1,0)*Table_NFI[[#This Row],[Blanket]],Table_NFI[[#This Row],[Blanket]])</f>
        <v>0</v>
      </c>
      <c r="AE67" s="294">
        <f>IF(NFI_Expiration=1,IF($A67&lt;VLOOKUP(N$5,NFI,5,0),1,0)*Table_NFI[[#This Row],[Kitchen Set]],Table_NFI[Kitchen Set])</f>
        <v>0</v>
      </c>
      <c r="AF67" s="294">
        <f>IF(NFI_Expiration=1,IF($A67&lt;VLOOKUP(O$5,NFI,5,0),1,0)*Table_NFI[[#This Row],[Clothes Kit]],Table_NFI[Clothes Kit])</f>
        <v>0</v>
      </c>
      <c r="AG67" s="294">
        <f>IF(NFI_Expiration=1,IF($A67&lt;VLOOKUP(P$5,NFI,5,0),1,0)*Table_NFI[[#This Row],[Plastic Bucket]],Table_NFI[Plastic Bucket])</f>
        <v>0</v>
      </c>
      <c r="AH67" s="294">
        <f>IF(NFI_Expiration=1,IF($A67&lt;VLOOKUP(Q$5,NFI,5,0),1,0)*Table_NFI[[#This Row],[Plastic Mat]],Table_NFI[Plastic Mat])*IF(Table_NFI[[#This Row],[Distribution Date]]&gt;"2014-04-01",1,2.5)</f>
        <v>0</v>
      </c>
      <c r="AI67" s="294">
        <f>IF(NFI_Expiration=1,IF($A67&lt;VLOOKUP(R$5,NFI,5,0),1,0)*Table_NFI[[#This Row],[Winter Clothes Adult]],Table_NFI[Winter Clothes Adult])</f>
        <v>0</v>
      </c>
      <c r="AJ67" s="294">
        <f>IF(NFI_Expiration=1,IF($A67&lt;VLOOKUP(S$5,NFI,5,0),1,0)*Table_NFI[[#This Row],[Winter Clothes Children]],Table_NFI[Winter Clothes Children])</f>
        <v>0</v>
      </c>
      <c r="AK67" s="294">
        <f>IF(NFI_Expiration=1,IF($A67&lt;VLOOKUP(T$5,NFI,5,0),1,0)*Table_NFI[[#This Row],[Winter Items Other]],Table_NFI[Winter Items Other])</f>
        <v>0</v>
      </c>
      <c r="AL67" s="294">
        <f>IF(NFI_Expiration=1,IF($A67&lt;VLOOKUP(M$5,NFI,5,0),1,0)*Table_NFI[[#This Row],[Winter Blanket]],Table_NFI[[#This Row],[Winter Blanket]])</f>
        <v>0</v>
      </c>
      <c r="AM67" s="294">
        <f>IF(Table_NFI[[#This Row],[Winter Clothes Adult]]+Table_NFI[[#This Row],[Winter Clothes Children]]+Table_NFI[[#This Row],[Winter Items Other]]+Table_NFI[[#This Row],[Winter Blanket]]&gt;0,1,0)</f>
        <v>0</v>
      </c>
      <c r="AN67" s="331">
        <f>IF(NFI_Expiration=1,IF($A67&lt;VLOOKUP(V$5,NFI,5,0),1,0)*Table_NFI[[#This Row],[Jerry Can]],Table_NFI[Jerry Can])</f>
        <v>0</v>
      </c>
      <c r="AO67" s="331">
        <f>IF(NFI_Expiration=1,IF($A67&lt;VLOOKUP(V$5,NFI,5,0),1,0)*Table_NFI[[#This Row],[Shelter Tool kit]],Table_NFI[Shelter Tool kit])</f>
        <v>0</v>
      </c>
      <c r="AP67" s="331">
        <f>IF(NFI_Expiration=1,IF($A67&lt;VLOOKUP(V$5,NFI,5,0),1,0)*Table_NFI[[#This Row],[Tent]],Table_NFI[Tent])</f>
        <v>0</v>
      </c>
      <c r="AQ67" s="473" t="str">
        <f>IFERROR(VLOOKUP(Table_NFI[[#This Row],[Camp Name]],CL,2,0),"")</f>
        <v>MMR001CMP073</v>
      </c>
      <c r="AR67" s="468">
        <f ca="1">IF(Table_NFI[[#This Row],[Pcode]]="","",IF(OFFSET(CampList[Opening Date],MATCH(Table_NFI[[#This Row],[Pcode]],CampList[CP_Pcode],0)-1,0,1,1)&gt;=NFI_Monitor_Date,1,0))</f>
        <v>0</v>
      </c>
      <c r="AS67" s="473" t="str">
        <f>IFERROR(VLOOKUP(Table_NFI[[#This Row],[Camp Name]],CL,3,0),"")</f>
        <v>Open</v>
      </c>
      <c r="AT67" s="294" t="str">
        <f ca="1">IF(Table_NFI[[#This Row],[Pcode]]="","",OFFSET(CampList[Priority],MATCH(Table_NFI[[#This Row],[Pcode]],CampList[CP_Pcode],0)-1,0,1,1))</f>
        <v>P3</v>
      </c>
      <c r="AU67" s="293">
        <f>IFERROR(Table_NFI[[#This Row],[Kitchen Set]]/VLOOKUP(Table_NFI[[#This Row],[Camp Name]],CL,4,0),"")</f>
        <v>0</v>
      </c>
      <c r="AV67" s="466"/>
      <c r="AW67" s="469"/>
    </row>
    <row r="68" spans="1:49" s="470" customFormat="1" ht="14.45" customHeight="1" x14ac:dyDescent="0.2">
      <c r="A68" s="297">
        <f t="shared" si="0"/>
        <v>9</v>
      </c>
      <c r="B68" s="465">
        <v>42405</v>
      </c>
      <c r="C68" s="466" t="s">
        <v>905</v>
      </c>
      <c r="D68" s="467" t="s">
        <v>905</v>
      </c>
      <c r="E68" s="466" t="s">
        <v>380</v>
      </c>
      <c r="F68" s="290" t="s">
        <v>185</v>
      </c>
      <c r="G68" s="290" t="s">
        <v>190</v>
      </c>
      <c r="H68" s="291"/>
      <c r="I68" s="291"/>
      <c r="J68" s="584">
        <v>258</v>
      </c>
      <c r="K68" s="291"/>
      <c r="L68" s="292"/>
      <c r="M68" s="292"/>
      <c r="N68" s="292"/>
      <c r="O68" s="292"/>
      <c r="P68" s="294"/>
      <c r="Q68" s="294"/>
      <c r="R68" s="294"/>
      <c r="S68" s="294"/>
      <c r="T68" s="294"/>
      <c r="U68" s="294"/>
      <c r="V68" s="431"/>
      <c r="W68" s="294"/>
      <c r="X68" s="294"/>
      <c r="Y68" s="294">
        <f>IF(NFI_Expiration=1,IF($A68&lt;VLOOKUP(H$5,NFI,5,0),1,0)*Table_NFI[[#This Row],[Hygiene Kit]],Table_NFI[Hygiene Kit])</f>
        <v>0</v>
      </c>
      <c r="Z68" s="294">
        <f>IF(NFI_Expiration=1,IF($A68&lt;VLOOKUP(I$5,NFI,5,0),1,0)*Table_NFI[[#This Row],[NFI Core Kit]],Table_NFI[NFI Core Kit])</f>
        <v>0</v>
      </c>
      <c r="AA68" s="294">
        <f>IF(NFI_Expiration=1,IF($A68&lt;VLOOKUP(J$5,NFI,5,0),1,0)*Table_NFI[[#This Row],[Sanitary Kit]],Table_NFI[Sanitary Kit])</f>
        <v>258</v>
      </c>
      <c r="AB68" s="294">
        <f>IF(NFI_Expiration=1,IF($A68&lt;VLOOKUP(K$5,NFI,5,0),1,0)*Table_NFI[[#This Row],[Mosquito net]],Table_NFI[Mosquito net])</f>
        <v>0</v>
      </c>
      <c r="AC68" s="294">
        <f>IF(NFI_Expiration=1,IF($A68&lt;VLOOKUP(L$5,NFI,5,0),1,0)*Table_NFI[[#This Row],[Tarpaulin]],Table_NFI[[#This Row],[Tarpaulin]])</f>
        <v>0</v>
      </c>
      <c r="AD68" s="294">
        <f>IF(NFI_Expiration=1,IF($A68&lt;VLOOKUP(M$5,NFI,5,0),1,0)*Table_NFI[[#This Row],[Blanket]],Table_NFI[[#This Row],[Blanket]])</f>
        <v>0</v>
      </c>
      <c r="AE68" s="294">
        <f>IF(NFI_Expiration=1,IF($A68&lt;VLOOKUP(N$5,NFI,5,0),1,0)*Table_NFI[[#This Row],[Kitchen Set]],Table_NFI[Kitchen Set])</f>
        <v>0</v>
      </c>
      <c r="AF68" s="294">
        <f>IF(NFI_Expiration=1,IF($A68&lt;VLOOKUP(O$5,NFI,5,0),1,0)*Table_NFI[[#This Row],[Clothes Kit]],Table_NFI[Clothes Kit])</f>
        <v>0</v>
      </c>
      <c r="AG68" s="294">
        <f>IF(NFI_Expiration=1,IF($A68&lt;VLOOKUP(P$5,NFI,5,0),1,0)*Table_NFI[[#This Row],[Plastic Bucket]],Table_NFI[Plastic Bucket])</f>
        <v>0</v>
      </c>
      <c r="AH68" s="294">
        <f>IF(NFI_Expiration=1,IF($A68&lt;VLOOKUP(Q$5,NFI,5,0),1,0)*Table_NFI[[#This Row],[Plastic Mat]],Table_NFI[Plastic Mat])*IF(Table_NFI[[#This Row],[Distribution Date]]&gt;"2014-04-01",1,2.5)</f>
        <v>0</v>
      </c>
      <c r="AI68" s="294">
        <f>IF(NFI_Expiration=1,IF($A68&lt;VLOOKUP(R$5,NFI,5,0),1,0)*Table_NFI[[#This Row],[Winter Clothes Adult]],Table_NFI[Winter Clothes Adult])</f>
        <v>0</v>
      </c>
      <c r="AJ68" s="294">
        <f>IF(NFI_Expiration=1,IF($A68&lt;VLOOKUP(S$5,NFI,5,0),1,0)*Table_NFI[[#This Row],[Winter Clothes Children]],Table_NFI[Winter Clothes Children])</f>
        <v>0</v>
      </c>
      <c r="AK68" s="294">
        <f>IF(NFI_Expiration=1,IF($A68&lt;VLOOKUP(T$5,NFI,5,0),1,0)*Table_NFI[[#This Row],[Winter Items Other]],Table_NFI[Winter Items Other])</f>
        <v>0</v>
      </c>
      <c r="AL68" s="294">
        <f>IF(NFI_Expiration=1,IF($A68&lt;VLOOKUP(M$5,NFI,5,0),1,0)*Table_NFI[[#This Row],[Winter Blanket]],Table_NFI[[#This Row],[Winter Blanket]])</f>
        <v>0</v>
      </c>
      <c r="AM68" s="294">
        <f>IF(Table_NFI[[#This Row],[Winter Clothes Adult]]+Table_NFI[[#This Row],[Winter Clothes Children]]+Table_NFI[[#This Row],[Winter Items Other]]+Table_NFI[[#This Row],[Winter Blanket]]&gt;0,1,0)</f>
        <v>0</v>
      </c>
      <c r="AN68" s="331">
        <f>IF(NFI_Expiration=1,IF($A68&lt;VLOOKUP(V$5,NFI,5,0),1,0)*Table_NFI[[#This Row],[Jerry Can]],Table_NFI[Jerry Can])</f>
        <v>0</v>
      </c>
      <c r="AO68" s="331">
        <f>IF(NFI_Expiration=1,IF($A68&lt;VLOOKUP(V$5,NFI,5,0),1,0)*Table_NFI[[#This Row],[Shelter Tool kit]],Table_NFI[Shelter Tool kit])</f>
        <v>0</v>
      </c>
      <c r="AP68" s="331">
        <f>IF(NFI_Expiration=1,IF($A68&lt;VLOOKUP(V$5,NFI,5,0),1,0)*Table_NFI[[#This Row],[Tent]],Table_NFI[Tent])</f>
        <v>0</v>
      </c>
      <c r="AQ68" s="473" t="str">
        <f>IFERROR(VLOOKUP(Table_NFI[[#This Row],[Camp Name]],CL,2,0),"")</f>
        <v>MMR001CMP070</v>
      </c>
      <c r="AR68" s="468">
        <f ca="1">IF(Table_NFI[[#This Row],[Pcode]]="","",IF(OFFSET(CampList[Opening Date],MATCH(Table_NFI[[#This Row],[Pcode]],CampList[CP_Pcode],0)-1,0,1,1)&gt;=NFI_Monitor_Date,1,0))</f>
        <v>0</v>
      </c>
      <c r="AS68" s="473" t="str">
        <f>IFERROR(VLOOKUP(Table_NFI[[#This Row],[Camp Name]],CL,3,0),"")</f>
        <v>Open</v>
      </c>
      <c r="AT68" s="294" t="str">
        <f ca="1">IF(Table_NFI[[#This Row],[Pcode]]="","",OFFSET(CampList[Priority],MATCH(Table_NFI[[#This Row],[Pcode]],CampList[CP_Pcode],0)-1,0,1,1))</f>
        <v>P3</v>
      </c>
      <c r="AU68" s="293">
        <f>IFERROR(Table_NFI[[#This Row],[Kitchen Set]]/VLOOKUP(Table_NFI[[#This Row],[Camp Name]],CL,4,0),"")</f>
        <v>0</v>
      </c>
      <c r="AV68" s="466"/>
      <c r="AW68" s="469"/>
    </row>
    <row r="69" spans="1:49" s="470" customFormat="1" ht="14.45" customHeight="1" x14ac:dyDescent="0.25">
      <c r="A69" s="297">
        <f t="shared" si="0"/>
        <v>9.0333333333333332</v>
      </c>
      <c r="B69" s="465">
        <v>42404</v>
      </c>
      <c r="C69" s="466" t="s">
        <v>905</v>
      </c>
      <c r="D69" s="466" t="s">
        <v>905</v>
      </c>
      <c r="E69" s="466" t="s">
        <v>380</v>
      </c>
      <c r="F69" s="290" t="s">
        <v>185</v>
      </c>
      <c r="G69" s="290" t="s">
        <v>1437</v>
      </c>
      <c r="H69" s="291"/>
      <c r="I69" s="291"/>
      <c r="J69" s="294">
        <v>96</v>
      </c>
      <c r="K69" s="291"/>
      <c r="L69" s="292"/>
      <c r="M69" s="292"/>
      <c r="N69" s="292"/>
      <c r="O69" s="292"/>
      <c r="P69" s="294"/>
      <c r="Q69" s="294"/>
      <c r="R69" s="294"/>
      <c r="S69" s="294"/>
      <c r="T69" s="294"/>
      <c r="U69" s="294"/>
      <c r="V69" s="431"/>
      <c r="W69" s="294"/>
      <c r="X69" s="294"/>
      <c r="Y69" s="294">
        <f>IF(NFI_Expiration=1,IF($A69&lt;VLOOKUP(H$5,NFI,5,0),1,0)*Table_NFI[[#This Row],[Hygiene Kit]],Table_NFI[Hygiene Kit])</f>
        <v>0</v>
      </c>
      <c r="Z69" s="294">
        <f>IF(NFI_Expiration=1,IF($A69&lt;VLOOKUP(I$5,NFI,5,0),1,0)*Table_NFI[[#This Row],[NFI Core Kit]],Table_NFI[NFI Core Kit])</f>
        <v>0</v>
      </c>
      <c r="AA69" s="294">
        <f>IF(NFI_Expiration=1,IF($A69&lt;VLOOKUP(J$5,NFI,5,0),1,0)*Table_NFI[[#This Row],[Sanitary Kit]],Table_NFI[Sanitary Kit])</f>
        <v>96</v>
      </c>
      <c r="AB69" s="294">
        <f>IF(NFI_Expiration=1,IF($A69&lt;VLOOKUP(K$5,NFI,5,0),1,0)*Table_NFI[[#This Row],[Mosquito net]],Table_NFI[Mosquito net])</f>
        <v>0</v>
      </c>
      <c r="AC69" s="294">
        <f>IF(NFI_Expiration=1,IF($A69&lt;VLOOKUP(L$5,NFI,5,0),1,0)*Table_NFI[[#This Row],[Tarpaulin]],Table_NFI[[#This Row],[Tarpaulin]])</f>
        <v>0</v>
      </c>
      <c r="AD69" s="294">
        <f>IF(NFI_Expiration=1,IF($A69&lt;VLOOKUP(M$5,NFI,5,0),1,0)*Table_NFI[[#This Row],[Blanket]],Table_NFI[[#This Row],[Blanket]])</f>
        <v>0</v>
      </c>
      <c r="AE69" s="294">
        <f>IF(NFI_Expiration=1,IF($A69&lt;VLOOKUP(N$5,NFI,5,0),1,0)*Table_NFI[[#This Row],[Kitchen Set]],Table_NFI[Kitchen Set])</f>
        <v>0</v>
      </c>
      <c r="AF69" s="294">
        <f>IF(NFI_Expiration=1,IF($A69&lt;VLOOKUP(O$5,NFI,5,0),1,0)*Table_NFI[[#This Row],[Clothes Kit]],Table_NFI[Clothes Kit])</f>
        <v>0</v>
      </c>
      <c r="AG69" s="294">
        <f>IF(NFI_Expiration=1,IF($A69&lt;VLOOKUP(P$5,NFI,5,0),1,0)*Table_NFI[[#This Row],[Plastic Bucket]],Table_NFI[Plastic Bucket])</f>
        <v>0</v>
      </c>
      <c r="AH69" s="294">
        <f>IF(NFI_Expiration=1,IF($A69&lt;VLOOKUP(Q$5,NFI,5,0),1,0)*Table_NFI[[#This Row],[Plastic Mat]],Table_NFI[Plastic Mat])*IF(Table_NFI[[#This Row],[Distribution Date]]&gt;"2014-04-01",1,2.5)</f>
        <v>0</v>
      </c>
      <c r="AI69" s="294">
        <f>IF(NFI_Expiration=1,IF($A69&lt;VLOOKUP(R$5,NFI,5,0),1,0)*Table_NFI[[#This Row],[Winter Clothes Adult]],Table_NFI[Winter Clothes Adult])</f>
        <v>0</v>
      </c>
      <c r="AJ69" s="294">
        <f>IF(NFI_Expiration=1,IF($A69&lt;VLOOKUP(S$5,NFI,5,0),1,0)*Table_NFI[[#This Row],[Winter Clothes Children]],Table_NFI[Winter Clothes Children])</f>
        <v>0</v>
      </c>
      <c r="AK69" s="294">
        <f>IF(NFI_Expiration=1,IF($A69&lt;VLOOKUP(T$5,NFI,5,0),1,0)*Table_NFI[[#This Row],[Winter Items Other]],Table_NFI[Winter Items Other])</f>
        <v>0</v>
      </c>
      <c r="AL69" s="294">
        <f>IF(NFI_Expiration=1,IF($A69&lt;VLOOKUP(M$5,NFI,5,0),1,0)*Table_NFI[[#This Row],[Winter Blanket]],Table_NFI[[#This Row],[Winter Blanket]])</f>
        <v>0</v>
      </c>
      <c r="AM69" s="294">
        <f>IF(Table_NFI[[#This Row],[Winter Clothes Adult]]+Table_NFI[[#This Row],[Winter Clothes Children]]+Table_NFI[[#This Row],[Winter Items Other]]+Table_NFI[[#This Row],[Winter Blanket]]&gt;0,1,0)</f>
        <v>0</v>
      </c>
      <c r="AN69" s="331">
        <f>IF(NFI_Expiration=1,IF($A69&lt;VLOOKUP(V$5,NFI,5,0),1,0)*Table_NFI[[#This Row],[Jerry Can]],Table_NFI[Jerry Can])</f>
        <v>0</v>
      </c>
      <c r="AO69" s="331">
        <f>IF(NFI_Expiration=1,IF($A69&lt;VLOOKUP(V$5,NFI,5,0),1,0)*Table_NFI[[#This Row],[Shelter Tool kit]],Table_NFI[Shelter Tool kit])</f>
        <v>0</v>
      </c>
      <c r="AP69" s="331">
        <f>IF(NFI_Expiration=1,IF($A69&lt;VLOOKUP(V$5,NFI,5,0),1,0)*Table_NFI[[#This Row],[Tent]],Table_NFI[Tent])</f>
        <v>0</v>
      </c>
      <c r="AQ69" s="473" t="str">
        <f>IFERROR(VLOOKUP(Table_NFI[[#This Row],[Camp Name]],CL,2,0),"")</f>
        <v/>
      </c>
      <c r="AR69" s="468" t="str">
        <f ca="1">IF(Table_NFI[[#This Row],[Pcode]]="","",IF(OFFSET(CampList[Opening Date],MATCH(Table_NFI[[#This Row],[Pcode]],CampList[CP_Pcode],0)-1,0,1,1)&gt;=NFI_Monitor_Date,1,0))</f>
        <v/>
      </c>
      <c r="AS69" s="670" t="str">
        <f>IFERROR(VLOOKUP(Table_NFI[[#This Row],[Camp Name]],CL,3,0),"")</f>
        <v/>
      </c>
      <c r="AT69" s="294" t="str">
        <f ca="1">IF(Table_NFI[[#This Row],[Pcode]]="","",OFFSET(CampList[Priority],MATCH(Table_NFI[[#This Row],[Pcode]],CampList[CP_Pcode],0)-1,0,1,1))</f>
        <v/>
      </c>
      <c r="AU69" s="293" t="str">
        <f>IFERROR(Table_NFI[[#This Row],[Kitchen Set]]/VLOOKUP(Table_NFI[[#This Row],[Camp Name]],CL,4,0),"")</f>
        <v/>
      </c>
      <c r="AV69" s="466"/>
      <c r="AW69" s="469"/>
    </row>
    <row r="70" spans="1:49" s="98" customFormat="1" ht="14.45" customHeight="1" x14ac:dyDescent="0.2">
      <c r="A70" s="297">
        <f t="shared" ref="A70:A133" si="1">IF(ISBLANK(B70),"",(Report_Date-B70)/30)</f>
        <v>9.0333333333333332</v>
      </c>
      <c r="B70" s="465">
        <v>42404</v>
      </c>
      <c r="C70" s="466" t="s">
        <v>905</v>
      </c>
      <c r="D70" s="467" t="s">
        <v>905</v>
      </c>
      <c r="E70" s="466" t="s">
        <v>380</v>
      </c>
      <c r="F70" s="290" t="s">
        <v>185</v>
      </c>
      <c r="G70" s="290" t="s">
        <v>186</v>
      </c>
      <c r="H70" s="291"/>
      <c r="I70" s="291"/>
      <c r="J70" s="584">
        <v>55</v>
      </c>
      <c r="K70" s="291"/>
      <c r="L70" s="292"/>
      <c r="M70" s="292"/>
      <c r="N70" s="292"/>
      <c r="O70" s="292"/>
      <c r="P70" s="294"/>
      <c r="Q70" s="294"/>
      <c r="R70" s="294"/>
      <c r="S70" s="294"/>
      <c r="T70" s="294"/>
      <c r="U70" s="294"/>
      <c r="V70" s="431"/>
      <c r="W70" s="294"/>
      <c r="X70" s="294"/>
      <c r="Y70" s="294">
        <f>IF(NFI_Expiration=1,IF($A70&lt;VLOOKUP(H$5,NFI,5,0),1,0)*Table_NFI[[#This Row],[Hygiene Kit]],Table_NFI[Hygiene Kit])</f>
        <v>0</v>
      </c>
      <c r="Z70" s="294">
        <f>IF(NFI_Expiration=1,IF($A70&lt;VLOOKUP(I$5,NFI,5,0),1,0)*Table_NFI[[#This Row],[NFI Core Kit]],Table_NFI[NFI Core Kit])</f>
        <v>0</v>
      </c>
      <c r="AA70" s="294">
        <f>IF(NFI_Expiration=1,IF($A70&lt;VLOOKUP(J$5,NFI,5,0),1,0)*Table_NFI[[#This Row],[Sanitary Kit]],Table_NFI[Sanitary Kit])</f>
        <v>55</v>
      </c>
      <c r="AB70" s="294">
        <f>IF(NFI_Expiration=1,IF($A70&lt;VLOOKUP(K$5,NFI,5,0),1,0)*Table_NFI[[#This Row],[Mosquito net]],Table_NFI[Mosquito net])</f>
        <v>0</v>
      </c>
      <c r="AC70" s="294">
        <f>IF(NFI_Expiration=1,IF($A70&lt;VLOOKUP(L$5,NFI,5,0),1,0)*Table_NFI[[#This Row],[Tarpaulin]],Table_NFI[[#This Row],[Tarpaulin]])</f>
        <v>0</v>
      </c>
      <c r="AD70" s="294">
        <f>IF(NFI_Expiration=1,IF($A70&lt;VLOOKUP(M$5,NFI,5,0),1,0)*Table_NFI[[#This Row],[Blanket]],Table_NFI[[#This Row],[Blanket]])</f>
        <v>0</v>
      </c>
      <c r="AE70" s="294">
        <f>IF(NFI_Expiration=1,IF($A70&lt;VLOOKUP(N$5,NFI,5,0),1,0)*Table_NFI[[#This Row],[Kitchen Set]],Table_NFI[Kitchen Set])</f>
        <v>0</v>
      </c>
      <c r="AF70" s="294">
        <f>IF(NFI_Expiration=1,IF($A70&lt;VLOOKUP(O$5,NFI,5,0),1,0)*Table_NFI[[#This Row],[Clothes Kit]],Table_NFI[Clothes Kit])</f>
        <v>0</v>
      </c>
      <c r="AG70" s="294">
        <f>IF(NFI_Expiration=1,IF($A70&lt;VLOOKUP(P$5,NFI,5,0),1,0)*Table_NFI[[#This Row],[Plastic Bucket]],Table_NFI[Plastic Bucket])</f>
        <v>0</v>
      </c>
      <c r="AH70" s="294">
        <f>IF(NFI_Expiration=1,IF($A70&lt;VLOOKUP(Q$5,NFI,5,0),1,0)*Table_NFI[[#This Row],[Plastic Mat]],Table_NFI[Plastic Mat])*IF(Table_NFI[[#This Row],[Distribution Date]]&gt;"2014-04-01",1,2.5)</f>
        <v>0</v>
      </c>
      <c r="AI70" s="294">
        <f>IF(NFI_Expiration=1,IF($A70&lt;VLOOKUP(R$5,NFI,5,0),1,0)*Table_NFI[[#This Row],[Winter Clothes Adult]],Table_NFI[Winter Clothes Adult])</f>
        <v>0</v>
      </c>
      <c r="AJ70" s="294">
        <f>IF(NFI_Expiration=1,IF($A70&lt;VLOOKUP(S$5,NFI,5,0),1,0)*Table_NFI[[#This Row],[Winter Clothes Children]],Table_NFI[Winter Clothes Children])</f>
        <v>0</v>
      </c>
      <c r="AK70" s="294">
        <f>IF(NFI_Expiration=1,IF($A70&lt;VLOOKUP(T$5,NFI,5,0),1,0)*Table_NFI[[#This Row],[Winter Items Other]],Table_NFI[Winter Items Other])</f>
        <v>0</v>
      </c>
      <c r="AL70" s="294">
        <f>IF(NFI_Expiration=1,IF($A70&lt;VLOOKUP(M$5,NFI,5,0),1,0)*Table_NFI[[#This Row],[Winter Blanket]],Table_NFI[[#This Row],[Winter Blanket]])</f>
        <v>0</v>
      </c>
      <c r="AM70" s="294">
        <f>IF(Table_NFI[[#This Row],[Winter Clothes Adult]]+Table_NFI[[#This Row],[Winter Clothes Children]]+Table_NFI[[#This Row],[Winter Items Other]]+Table_NFI[[#This Row],[Winter Blanket]]&gt;0,1,0)</f>
        <v>0</v>
      </c>
      <c r="AN70" s="331">
        <f>IF(NFI_Expiration=1,IF($A70&lt;VLOOKUP(V$5,NFI,5,0),1,0)*Table_NFI[[#This Row],[Jerry Can]],Table_NFI[Jerry Can])</f>
        <v>0</v>
      </c>
      <c r="AO70" s="331">
        <f>IF(NFI_Expiration=1,IF($A70&lt;VLOOKUP(V$5,NFI,5,0),1,0)*Table_NFI[[#This Row],[Shelter Tool kit]],Table_NFI[Shelter Tool kit])</f>
        <v>0</v>
      </c>
      <c r="AP70" s="331">
        <f>IF(NFI_Expiration=1,IF($A70&lt;VLOOKUP(V$5,NFI,5,0),1,0)*Table_NFI[[#This Row],[Tent]],Table_NFI[Tent])</f>
        <v>0</v>
      </c>
      <c r="AQ70" s="473" t="str">
        <f>IFERROR(VLOOKUP(Table_NFI[[#This Row],[Camp Name]],CL,2,0),"")</f>
        <v>MMR001CMP071</v>
      </c>
      <c r="AR70" s="468">
        <f ca="1">IF(Table_NFI[[#This Row],[Pcode]]="","",IF(OFFSET(CampList[Opening Date],MATCH(Table_NFI[[#This Row],[Pcode]],CampList[CP_Pcode],0)-1,0,1,1)&gt;=NFI_Monitor_Date,1,0))</f>
        <v>0</v>
      </c>
      <c r="AS70" s="473" t="str">
        <f>IFERROR(VLOOKUP(Table_NFI[[#This Row],[Camp Name]],CL,3,0),"")</f>
        <v>Open</v>
      </c>
      <c r="AT70" s="294" t="str">
        <f ca="1">IF(Table_NFI[[#This Row],[Pcode]]="","",OFFSET(CampList[Priority],MATCH(Table_NFI[[#This Row],[Pcode]],CampList[CP_Pcode],0)-1,0,1,1))</f>
        <v>P3</v>
      </c>
      <c r="AU70" s="293">
        <f>IFERROR(Table_NFI[[#This Row],[Kitchen Set]]/VLOOKUP(Table_NFI[[#This Row],[Camp Name]],CL,4,0),"")</f>
        <v>0</v>
      </c>
      <c r="AV70" s="466"/>
      <c r="AW70" s="469"/>
    </row>
    <row r="71" spans="1:49" s="470" customFormat="1" ht="14.45" customHeight="1" x14ac:dyDescent="0.2">
      <c r="A71" s="297">
        <f t="shared" si="1"/>
        <v>9.0333333333333332</v>
      </c>
      <c r="B71" s="465">
        <v>42404</v>
      </c>
      <c r="C71" s="466" t="s">
        <v>905</v>
      </c>
      <c r="D71" s="467" t="s">
        <v>905</v>
      </c>
      <c r="E71" s="466" t="s">
        <v>380</v>
      </c>
      <c r="F71" s="290" t="s">
        <v>185</v>
      </c>
      <c r="G71" s="290" t="s">
        <v>186</v>
      </c>
      <c r="H71" s="291"/>
      <c r="I71" s="291"/>
      <c r="J71" s="584"/>
      <c r="K71" s="291"/>
      <c r="L71" s="292"/>
      <c r="M71" s="292"/>
      <c r="N71" s="292"/>
      <c r="O71" s="292"/>
      <c r="P71" s="294"/>
      <c r="Q71" s="294"/>
      <c r="R71" s="294"/>
      <c r="S71" s="294"/>
      <c r="T71" s="294"/>
      <c r="U71" s="294"/>
      <c r="V71" s="431"/>
      <c r="W71" s="294"/>
      <c r="X71" s="294"/>
      <c r="Y71" s="294">
        <f>IF(NFI_Expiration=1,IF($A71&lt;VLOOKUP(H$5,NFI,5,0),1,0)*Table_NFI[[#This Row],[Hygiene Kit]],Table_NFI[Hygiene Kit])</f>
        <v>0</v>
      </c>
      <c r="Z71" s="294">
        <f>IF(NFI_Expiration=1,IF($A71&lt;VLOOKUP(I$5,NFI,5,0),1,0)*Table_NFI[[#This Row],[NFI Core Kit]],Table_NFI[NFI Core Kit])</f>
        <v>0</v>
      </c>
      <c r="AA71" s="294">
        <f>IF(NFI_Expiration=1,IF($A71&lt;VLOOKUP(J$5,NFI,5,0),1,0)*Table_NFI[[#This Row],[Sanitary Kit]],Table_NFI[Sanitary Kit])</f>
        <v>0</v>
      </c>
      <c r="AB71" s="294">
        <f>IF(NFI_Expiration=1,IF($A71&lt;VLOOKUP(K$5,NFI,5,0),1,0)*Table_NFI[[#This Row],[Mosquito net]],Table_NFI[Mosquito net])</f>
        <v>0</v>
      </c>
      <c r="AC71" s="294">
        <f>IF(NFI_Expiration=1,IF($A71&lt;VLOOKUP(L$5,NFI,5,0),1,0)*Table_NFI[[#This Row],[Tarpaulin]],Table_NFI[[#This Row],[Tarpaulin]])</f>
        <v>0</v>
      </c>
      <c r="AD71" s="294">
        <f>IF(NFI_Expiration=1,IF($A71&lt;VLOOKUP(M$5,NFI,5,0),1,0)*Table_NFI[[#This Row],[Blanket]],Table_NFI[[#This Row],[Blanket]])</f>
        <v>0</v>
      </c>
      <c r="AE71" s="294">
        <f>IF(NFI_Expiration=1,IF($A71&lt;VLOOKUP(N$5,NFI,5,0),1,0)*Table_NFI[[#This Row],[Kitchen Set]],Table_NFI[Kitchen Set])</f>
        <v>0</v>
      </c>
      <c r="AF71" s="294">
        <f>IF(NFI_Expiration=1,IF($A71&lt;VLOOKUP(O$5,NFI,5,0),1,0)*Table_NFI[[#This Row],[Clothes Kit]],Table_NFI[Clothes Kit])</f>
        <v>0</v>
      </c>
      <c r="AG71" s="294">
        <f>IF(NFI_Expiration=1,IF($A71&lt;VLOOKUP(P$5,NFI,5,0),1,0)*Table_NFI[[#This Row],[Plastic Bucket]],Table_NFI[Plastic Bucket])</f>
        <v>0</v>
      </c>
      <c r="AH71" s="294">
        <f>IF(NFI_Expiration=1,IF($A71&lt;VLOOKUP(Q$5,NFI,5,0),1,0)*Table_NFI[[#This Row],[Plastic Mat]],Table_NFI[Plastic Mat])*IF(Table_NFI[[#This Row],[Distribution Date]]&gt;"2014-04-01",1,2.5)</f>
        <v>0</v>
      </c>
      <c r="AI71" s="294">
        <f>IF(NFI_Expiration=1,IF($A71&lt;VLOOKUP(R$5,NFI,5,0),1,0)*Table_NFI[[#This Row],[Winter Clothes Adult]],Table_NFI[Winter Clothes Adult])</f>
        <v>0</v>
      </c>
      <c r="AJ71" s="294">
        <f>IF(NFI_Expiration=1,IF($A71&lt;VLOOKUP(S$5,NFI,5,0),1,0)*Table_NFI[[#This Row],[Winter Clothes Children]],Table_NFI[Winter Clothes Children])</f>
        <v>0</v>
      </c>
      <c r="AK71" s="294">
        <f>IF(NFI_Expiration=1,IF($A71&lt;VLOOKUP(T$5,NFI,5,0),1,0)*Table_NFI[[#This Row],[Winter Items Other]],Table_NFI[Winter Items Other])</f>
        <v>0</v>
      </c>
      <c r="AL71" s="294">
        <f>IF(NFI_Expiration=1,IF($A71&lt;VLOOKUP(M$5,NFI,5,0),1,0)*Table_NFI[[#This Row],[Winter Blanket]],Table_NFI[[#This Row],[Winter Blanket]])</f>
        <v>0</v>
      </c>
      <c r="AM71" s="294">
        <f>IF(Table_NFI[[#This Row],[Winter Clothes Adult]]+Table_NFI[[#This Row],[Winter Clothes Children]]+Table_NFI[[#This Row],[Winter Items Other]]+Table_NFI[[#This Row],[Winter Blanket]]&gt;0,1,0)</f>
        <v>0</v>
      </c>
      <c r="AN71" s="331">
        <f>IF(NFI_Expiration=1,IF($A71&lt;VLOOKUP(V$5,NFI,5,0),1,0)*Table_NFI[[#This Row],[Jerry Can]],Table_NFI[Jerry Can])</f>
        <v>0</v>
      </c>
      <c r="AO71" s="331">
        <f>IF(NFI_Expiration=1,IF($A71&lt;VLOOKUP(V$5,NFI,5,0),1,0)*Table_NFI[[#This Row],[Shelter Tool kit]],Table_NFI[Shelter Tool kit])</f>
        <v>0</v>
      </c>
      <c r="AP71" s="331">
        <f>IF(NFI_Expiration=1,IF($A71&lt;VLOOKUP(V$5,NFI,5,0),1,0)*Table_NFI[[#This Row],[Tent]],Table_NFI[Tent])</f>
        <v>0</v>
      </c>
      <c r="AQ71" s="473" t="str">
        <f>IFERROR(VLOOKUP(Table_NFI[[#This Row],[Camp Name]],CL,2,0),"")</f>
        <v>MMR001CMP071</v>
      </c>
      <c r="AR71" s="468">
        <f ca="1">IF(Table_NFI[[#This Row],[Pcode]]="","",IF(OFFSET(CampList[Opening Date],MATCH(Table_NFI[[#This Row],[Pcode]],CampList[CP_Pcode],0)-1,0,1,1)&gt;=NFI_Monitor_Date,1,0))</f>
        <v>0</v>
      </c>
      <c r="AS71" s="473" t="str">
        <f>IFERROR(VLOOKUP(Table_NFI[[#This Row],[Camp Name]],CL,3,0),"")</f>
        <v>Open</v>
      </c>
      <c r="AT71" s="294" t="str">
        <f ca="1">IF(Table_NFI[[#This Row],[Pcode]]="","",OFFSET(CampList[Priority],MATCH(Table_NFI[[#This Row],[Pcode]],CampList[CP_Pcode],0)-1,0,1,1))</f>
        <v>P3</v>
      </c>
      <c r="AU71" s="293">
        <f>IFERROR(Table_NFI[[#This Row],[Kitchen Set]]/VLOOKUP(Table_NFI[[#This Row],[Camp Name]],CL,4,0),"")</f>
        <v>0</v>
      </c>
      <c r="AV71" s="466"/>
      <c r="AW71" s="469"/>
    </row>
    <row r="72" spans="1:49" s="470" customFormat="1" x14ac:dyDescent="0.25">
      <c r="A72" s="297">
        <f t="shared" si="1"/>
        <v>9.0333333333333332</v>
      </c>
      <c r="B72" s="465">
        <v>42404</v>
      </c>
      <c r="C72" s="466" t="s">
        <v>905</v>
      </c>
      <c r="D72" s="466" t="s">
        <v>905</v>
      </c>
      <c r="E72" s="466" t="s">
        <v>380</v>
      </c>
      <c r="F72" s="466" t="s">
        <v>185</v>
      </c>
      <c r="G72" s="290" t="s">
        <v>223</v>
      </c>
      <c r="H72" s="291"/>
      <c r="I72" s="291"/>
      <c r="J72" s="292">
        <v>71</v>
      </c>
      <c r="K72" s="291"/>
      <c r="L72" s="292"/>
      <c r="M72" s="292"/>
      <c r="N72" s="292"/>
      <c r="O72" s="292"/>
      <c r="P72" s="294"/>
      <c r="Q72" s="294"/>
      <c r="R72" s="294"/>
      <c r="S72" s="294"/>
      <c r="T72" s="294"/>
      <c r="U72" s="294"/>
      <c r="V72" s="431"/>
      <c r="W72" s="294"/>
      <c r="X72" s="294"/>
      <c r="Y72" s="294">
        <f>IF(NFI_Expiration=1,IF($A72&lt;VLOOKUP(H$5,NFI,5,0),1,0)*Table_NFI[[#This Row],[Hygiene Kit]],Table_NFI[Hygiene Kit])</f>
        <v>0</v>
      </c>
      <c r="Z72" s="294">
        <f>IF(NFI_Expiration=1,IF($A72&lt;VLOOKUP(I$5,NFI,5,0),1,0)*Table_NFI[[#This Row],[NFI Core Kit]],Table_NFI[NFI Core Kit])</f>
        <v>0</v>
      </c>
      <c r="AA72" s="294">
        <f>IF(NFI_Expiration=1,IF($A72&lt;VLOOKUP(J$5,NFI,5,0),1,0)*Table_NFI[[#This Row],[Sanitary Kit]],Table_NFI[Sanitary Kit])</f>
        <v>71</v>
      </c>
      <c r="AB72" s="294">
        <f>IF(NFI_Expiration=1,IF($A72&lt;VLOOKUP(K$5,NFI,5,0),1,0)*Table_NFI[[#This Row],[Mosquito net]],Table_NFI[Mosquito net])</f>
        <v>0</v>
      </c>
      <c r="AC72" s="294">
        <f>IF(NFI_Expiration=1,IF($A72&lt;VLOOKUP(L$5,NFI,5,0),1,0)*Table_NFI[[#This Row],[Tarpaulin]],Table_NFI[[#This Row],[Tarpaulin]])</f>
        <v>0</v>
      </c>
      <c r="AD72" s="294">
        <f>IF(NFI_Expiration=1,IF($A72&lt;VLOOKUP(M$5,NFI,5,0),1,0)*Table_NFI[[#This Row],[Blanket]],Table_NFI[[#This Row],[Blanket]])</f>
        <v>0</v>
      </c>
      <c r="AE72" s="294">
        <f>IF(NFI_Expiration=1,IF($A72&lt;VLOOKUP(N$5,NFI,5,0),1,0)*Table_NFI[[#This Row],[Kitchen Set]],Table_NFI[Kitchen Set])</f>
        <v>0</v>
      </c>
      <c r="AF72" s="294">
        <f>IF(NFI_Expiration=1,IF($A72&lt;VLOOKUP(O$5,NFI,5,0),1,0)*Table_NFI[[#This Row],[Clothes Kit]],Table_NFI[Clothes Kit])</f>
        <v>0</v>
      </c>
      <c r="AG72" s="294">
        <f>IF(NFI_Expiration=1,IF($A72&lt;VLOOKUP(P$5,NFI,5,0),1,0)*Table_NFI[[#This Row],[Plastic Bucket]],Table_NFI[Plastic Bucket])</f>
        <v>0</v>
      </c>
      <c r="AH72" s="294">
        <f>IF(NFI_Expiration=1,IF($A72&lt;VLOOKUP(Q$5,NFI,5,0),1,0)*Table_NFI[[#This Row],[Plastic Mat]],Table_NFI[Plastic Mat])*IF(Table_NFI[[#This Row],[Distribution Date]]&gt;"2014-04-01",1,2.5)</f>
        <v>0</v>
      </c>
      <c r="AI72" s="294">
        <f>IF(NFI_Expiration=1,IF($A72&lt;VLOOKUP(R$5,NFI,5,0),1,0)*Table_NFI[[#This Row],[Winter Clothes Adult]],Table_NFI[Winter Clothes Adult])</f>
        <v>0</v>
      </c>
      <c r="AJ72" s="294">
        <f>IF(NFI_Expiration=1,IF($A72&lt;VLOOKUP(S$5,NFI,5,0),1,0)*Table_NFI[[#This Row],[Winter Clothes Children]],Table_NFI[Winter Clothes Children])</f>
        <v>0</v>
      </c>
      <c r="AK72" s="294">
        <f>IF(NFI_Expiration=1,IF($A72&lt;VLOOKUP(T$5,NFI,5,0),1,0)*Table_NFI[[#This Row],[Winter Items Other]],Table_NFI[Winter Items Other])</f>
        <v>0</v>
      </c>
      <c r="AL72" s="294">
        <f>IF(NFI_Expiration=1,IF($A72&lt;VLOOKUP(M$5,NFI,5,0),1,0)*Table_NFI[[#This Row],[Winter Blanket]],Table_NFI[[#This Row],[Winter Blanket]])</f>
        <v>0</v>
      </c>
      <c r="AM72" s="294">
        <f>IF(Table_NFI[[#This Row],[Winter Clothes Adult]]+Table_NFI[[#This Row],[Winter Clothes Children]]+Table_NFI[[#This Row],[Winter Items Other]]+Table_NFI[[#This Row],[Winter Blanket]]&gt;0,1,0)</f>
        <v>0</v>
      </c>
      <c r="AN72" s="331">
        <f>IF(NFI_Expiration=1,IF($A72&lt;VLOOKUP(V$5,NFI,5,0),1,0)*Table_NFI[[#This Row],[Jerry Can]],Table_NFI[Jerry Can])</f>
        <v>0</v>
      </c>
      <c r="AO72" s="331">
        <f>IF(NFI_Expiration=1,IF($A72&lt;VLOOKUP(V$5,NFI,5,0),1,0)*Table_NFI[[#This Row],[Shelter Tool kit]],Table_NFI[Shelter Tool kit])</f>
        <v>0</v>
      </c>
      <c r="AP72" s="331">
        <f>IF(NFI_Expiration=1,IF($A72&lt;VLOOKUP(V$5,NFI,5,0),1,0)*Table_NFI[[#This Row],[Tent]],Table_NFI[Tent])</f>
        <v>0</v>
      </c>
      <c r="AQ72" s="473" t="str">
        <f>IFERROR(VLOOKUP(Table_NFI[[#This Row],[Camp Name]],CL,2,0),"")</f>
        <v>MMR001CMP069</v>
      </c>
      <c r="AR72" s="468">
        <f ca="1">IF(Table_NFI[[#This Row],[Pcode]]="","",IF(OFFSET(CampList[Opening Date],MATCH(Table_NFI[[#This Row],[Pcode]],CampList[CP_Pcode],0)-1,0,1,1)&gt;=NFI_Monitor_Date,1,0))</f>
        <v>0</v>
      </c>
      <c r="AS72" s="473" t="str">
        <f>IFERROR(VLOOKUP(Table_NFI[[#This Row],[Camp Name]],CL,3,0),"")</f>
        <v>Open</v>
      </c>
      <c r="AT72" s="294" t="str">
        <f ca="1">IF(Table_NFI[[#This Row],[Pcode]]="","",OFFSET(CampList[Priority],MATCH(Table_NFI[[#This Row],[Pcode]],CampList[CP_Pcode],0)-1,0,1,1))</f>
        <v>P3</v>
      </c>
      <c r="AU72" s="293">
        <f>IFERROR(Table_NFI[[#This Row],[Kitchen Set]]/VLOOKUP(Table_NFI[[#This Row],[Camp Name]],CL,4,0),"")</f>
        <v>0</v>
      </c>
      <c r="AV72" s="466"/>
      <c r="AW72" s="469"/>
    </row>
    <row r="73" spans="1:49" s="470" customFormat="1" ht="15" customHeight="1" x14ac:dyDescent="0.2">
      <c r="A73" s="297">
        <f t="shared" si="1"/>
        <v>9.0333333333333332</v>
      </c>
      <c r="B73" s="465">
        <v>42404</v>
      </c>
      <c r="C73" s="466" t="s">
        <v>905</v>
      </c>
      <c r="D73" s="466" t="s">
        <v>905</v>
      </c>
      <c r="E73" s="466" t="s">
        <v>380</v>
      </c>
      <c r="F73" s="466" t="s">
        <v>185</v>
      </c>
      <c r="G73" s="290" t="s">
        <v>217</v>
      </c>
      <c r="H73" s="291"/>
      <c r="I73" s="291"/>
      <c r="J73" s="584">
        <v>33</v>
      </c>
      <c r="K73" s="291"/>
      <c r="L73" s="292"/>
      <c r="M73" s="292"/>
      <c r="N73" s="292"/>
      <c r="O73" s="292"/>
      <c r="P73" s="294"/>
      <c r="Q73" s="294"/>
      <c r="R73" s="294"/>
      <c r="S73" s="294"/>
      <c r="T73" s="294"/>
      <c r="U73" s="294"/>
      <c r="V73" s="431"/>
      <c r="W73" s="294"/>
      <c r="X73" s="294"/>
      <c r="Y73" s="294">
        <f>IF(NFI_Expiration=1,IF($A73&lt;VLOOKUP(H$5,NFI,5,0),1,0)*Table_NFI[[#This Row],[Hygiene Kit]],Table_NFI[Hygiene Kit])</f>
        <v>0</v>
      </c>
      <c r="Z73" s="294">
        <f>IF(NFI_Expiration=1,IF($A73&lt;VLOOKUP(I$5,NFI,5,0),1,0)*Table_NFI[[#This Row],[NFI Core Kit]],Table_NFI[NFI Core Kit])</f>
        <v>0</v>
      </c>
      <c r="AA73" s="294">
        <f>IF(NFI_Expiration=1,IF($A73&lt;VLOOKUP(J$5,NFI,5,0),1,0)*Table_NFI[[#This Row],[Sanitary Kit]],Table_NFI[Sanitary Kit])</f>
        <v>33</v>
      </c>
      <c r="AB73" s="294">
        <f>IF(NFI_Expiration=1,IF($A73&lt;VLOOKUP(K$5,NFI,5,0),1,0)*Table_NFI[[#This Row],[Mosquito net]],Table_NFI[Mosquito net])</f>
        <v>0</v>
      </c>
      <c r="AC73" s="294">
        <f>IF(NFI_Expiration=1,IF($A73&lt;VLOOKUP(L$5,NFI,5,0),1,0)*Table_NFI[[#This Row],[Tarpaulin]],Table_NFI[[#This Row],[Tarpaulin]])</f>
        <v>0</v>
      </c>
      <c r="AD73" s="294">
        <f>IF(NFI_Expiration=1,IF($A73&lt;VLOOKUP(M$5,NFI,5,0),1,0)*Table_NFI[[#This Row],[Blanket]],Table_NFI[[#This Row],[Blanket]])</f>
        <v>0</v>
      </c>
      <c r="AE73" s="294">
        <f>IF(NFI_Expiration=1,IF($A73&lt;VLOOKUP(N$5,NFI,5,0),1,0)*Table_NFI[[#This Row],[Kitchen Set]],Table_NFI[Kitchen Set])</f>
        <v>0</v>
      </c>
      <c r="AF73" s="294">
        <f>IF(NFI_Expiration=1,IF($A73&lt;VLOOKUP(O$5,NFI,5,0),1,0)*Table_NFI[[#This Row],[Clothes Kit]],Table_NFI[Clothes Kit])</f>
        <v>0</v>
      </c>
      <c r="AG73" s="294">
        <f>IF(NFI_Expiration=1,IF($A73&lt;VLOOKUP(P$5,NFI,5,0),1,0)*Table_NFI[[#This Row],[Plastic Bucket]],Table_NFI[Plastic Bucket])</f>
        <v>0</v>
      </c>
      <c r="AH73" s="294">
        <f>IF(NFI_Expiration=1,IF($A73&lt;VLOOKUP(Q$5,NFI,5,0),1,0)*Table_NFI[[#This Row],[Plastic Mat]],Table_NFI[Plastic Mat])*IF(Table_NFI[[#This Row],[Distribution Date]]&gt;"2014-04-01",1,2.5)</f>
        <v>0</v>
      </c>
      <c r="AI73" s="294">
        <f>IF(NFI_Expiration=1,IF($A73&lt;VLOOKUP(R$5,NFI,5,0),1,0)*Table_NFI[[#This Row],[Winter Clothes Adult]],Table_NFI[Winter Clothes Adult])</f>
        <v>0</v>
      </c>
      <c r="AJ73" s="294">
        <f>IF(NFI_Expiration=1,IF($A73&lt;VLOOKUP(S$5,NFI,5,0),1,0)*Table_NFI[[#This Row],[Winter Clothes Children]],Table_NFI[Winter Clothes Children])</f>
        <v>0</v>
      </c>
      <c r="AK73" s="294">
        <f>IF(NFI_Expiration=1,IF($A73&lt;VLOOKUP(T$5,NFI,5,0),1,0)*Table_NFI[[#This Row],[Winter Items Other]],Table_NFI[Winter Items Other])</f>
        <v>0</v>
      </c>
      <c r="AL73" s="294">
        <f>IF(NFI_Expiration=1,IF($A73&lt;VLOOKUP(M$5,NFI,5,0),1,0)*Table_NFI[[#This Row],[Winter Blanket]],Table_NFI[[#This Row],[Winter Blanket]])</f>
        <v>0</v>
      </c>
      <c r="AM73" s="294">
        <f>IF(Table_NFI[[#This Row],[Winter Clothes Adult]]+Table_NFI[[#This Row],[Winter Clothes Children]]+Table_NFI[[#This Row],[Winter Items Other]]+Table_NFI[[#This Row],[Winter Blanket]]&gt;0,1,0)</f>
        <v>0</v>
      </c>
      <c r="AN73" s="331">
        <f>IF(NFI_Expiration=1,IF($A73&lt;VLOOKUP(V$5,NFI,5,0),1,0)*Table_NFI[[#This Row],[Jerry Can]],Table_NFI[Jerry Can])</f>
        <v>0</v>
      </c>
      <c r="AO73" s="331">
        <f>IF(NFI_Expiration=1,IF($A73&lt;VLOOKUP(V$5,NFI,5,0),1,0)*Table_NFI[[#This Row],[Shelter Tool kit]],Table_NFI[Shelter Tool kit])</f>
        <v>0</v>
      </c>
      <c r="AP73" s="331">
        <f>IF(NFI_Expiration=1,IF($A73&lt;VLOOKUP(V$5,NFI,5,0),1,0)*Table_NFI[[#This Row],[Tent]],Table_NFI[Tent])</f>
        <v>0</v>
      </c>
      <c r="AQ73" s="473" t="str">
        <f>IFERROR(VLOOKUP(Table_NFI[[#This Row],[Camp Name]],CL,2,0),"")</f>
        <v>MMR001CMP059</v>
      </c>
      <c r="AR73" s="468">
        <f ca="1">IF(Table_NFI[[#This Row],[Pcode]]="","",IF(OFFSET(CampList[Opening Date],MATCH(Table_NFI[[#This Row],[Pcode]],CampList[CP_Pcode],0)-1,0,1,1)&gt;=NFI_Monitor_Date,1,0))</f>
        <v>0</v>
      </c>
      <c r="AS73" s="473" t="str">
        <f>IFERROR(VLOOKUP(Table_NFI[[#This Row],[Camp Name]],CL,3,0),"")</f>
        <v>Closed</v>
      </c>
      <c r="AT73" s="294" t="str">
        <f ca="1">IF(Table_NFI[[#This Row],[Pcode]]="","",OFFSET(CampList[Priority],MATCH(Table_NFI[[#This Row],[Pcode]],CampList[CP_Pcode],0)-1,0,1,1))</f>
        <v>P4</v>
      </c>
      <c r="AU73" s="293" t="str">
        <f>IFERROR(Table_NFI[[#This Row],[Kitchen Set]]/VLOOKUP(Table_NFI[[#This Row],[Camp Name]],CL,4,0),"")</f>
        <v/>
      </c>
      <c r="AV73" s="466"/>
      <c r="AW73" s="469"/>
    </row>
    <row r="74" spans="1:49" s="98" customFormat="1" ht="14.45" customHeight="1" x14ac:dyDescent="0.2">
      <c r="A74" s="297">
        <f t="shared" si="1"/>
        <v>9.0333333333333332</v>
      </c>
      <c r="B74" s="465">
        <v>42404</v>
      </c>
      <c r="C74" s="466" t="s">
        <v>905</v>
      </c>
      <c r="D74" s="466" t="s">
        <v>905</v>
      </c>
      <c r="E74" s="466" t="s">
        <v>380</v>
      </c>
      <c r="F74" s="466" t="s">
        <v>5</v>
      </c>
      <c r="G74" s="466" t="s">
        <v>24</v>
      </c>
      <c r="H74" s="291"/>
      <c r="I74" s="291"/>
      <c r="J74" s="584">
        <v>29</v>
      </c>
      <c r="K74" s="291"/>
      <c r="L74" s="292"/>
      <c r="M74" s="292"/>
      <c r="N74" s="292"/>
      <c r="O74" s="292"/>
      <c r="P74" s="294"/>
      <c r="Q74" s="294"/>
      <c r="R74" s="294"/>
      <c r="S74" s="294"/>
      <c r="T74" s="294"/>
      <c r="U74" s="294"/>
      <c r="V74" s="431"/>
      <c r="W74" s="294"/>
      <c r="X74" s="294"/>
      <c r="Y74" s="294">
        <f>IF(NFI_Expiration=1,IF($A74&lt;VLOOKUP(H$5,NFI,5,0),1,0)*Table_NFI[[#This Row],[Hygiene Kit]],Table_NFI[Hygiene Kit])</f>
        <v>0</v>
      </c>
      <c r="Z74" s="294">
        <f>IF(NFI_Expiration=1,IF($A74&lt;VLOOKUP(I$5,NFI,5,0),1,0)*Table_NFI[[#This Row],[NFI Core Kit]],Table_NFI[NFI Core Kit])</f>
        <v>0</v>
      </c>
      <c r="AA74" s="294">
        <f>IF(NFI_Expiration=1,IF($A74&lt;VLOOKUP(J$5,NFI,5,0),1,0)*Table_NFI[[#This Row],[Sanitary Kit]],Table_NFI[Sanitary Kit])</f>
        <v>29</v>
      </c>
      <c r="AB74" s="294">
        <f>IF(NFI_Expiration=1,IF($A74&lt;VLOOKUP(K$5,NFI,5,0),1,0)*Table_NFI[[#This Row],[Mosquito net]],Table_NFI[Mosquito net])</f>
        <v>0</v>
      </c>
      <c r="AC74" s="294">
        <f>IF(NFI_Expiration=1,IF($A74&lt;VLOOKUP(L$5,NFI,5,0),1,0)*Table_NFI[[#This Row],[Tarpaulin]],Table_NFI[[#This Row],[Tarpaulin]])</f>
        <v>0</v>
      </c>
      <c r="AD74" s="294">
        <f>IF(NFI_Expiration=1,IF($A74&lt;VLOOKUP(M$5,NFI,5,0),1,0)*Table_NFI[[#This Row],[Blanket]],Table_NFI[[#This Row],[Blanket]])</f>
        <v>0</v>
      </c>
      <c r="AE74" s="294">
        <f>IF(NFI_Expiration=1,IF($A74&lt;VLOOKUP(N$5,NFI,5,0),1,0)*Table_NFI[[#This Row],[Kitchen Set]],Table_NFI[Kitchen Set])</f>
        <v>0</v>
      </c>
      <c r="AF74" s="294">
        <f>IF(NFI_Expiration=1,IF($A74&lt;VLOOKUP(O$5,NFI,5,0),1,0)*Table_NFI[[#This Row],[Clothes Kit]],Table_NFI[Clothes Kit])</f>
        <v>0</v>
      </c>
      <c r="AG74" s="294">
        <f>IF(NFI_Expiration=1,IF($A74&lt;VLOOKUP(P$5,NFI,5,0),1,0)*Table_NFI[[#This Row],[Plastic Bucket]],Table_NFI[Plastic Bucket])</f>
        <v>0</v>
      </c>
      <c r="AH74" s="294">
        <f>IF(NFI_Expiration=1,IF($A74&lt;VLOOKUP(Q$5,NFI,5,0),1,0)*Table_NFI[[#This Row],[Plastic Mat]],Table_NFI[Plastic Mat])*IF(Table_NFI[[#This Row],[Distribution Date]]&gt;"2014-04-01",1,2.5)</f>
        <v>0</v>
      </c>
      <c r="AI74" s="294">
        <f>IF(NFI_Expiration=1,IF($A74&lt;VLOOKUP(R$5,NFI,5,0),1,0)*Table_NFI[[#This Row],[Winter Clothes Adult]],Table_NFI[Winter Clothes Adult])</f>
        <v>0</v>
      </c>
      <c r="AJ74" s="294">
        <f>IF(NFI_Expiration=1,IF($A74&lt;VLOOKUP(S$5,NFI,5,0),1,0)*Table_NFI[[#This Row],[Winter Clothes Children]],Table_NFI[Winter Clothes Children])</f>
        <v>0</v>
      </c>
      <c r="AK74" s="294">
        <f>IF(NFI_Expiration=1,IF($A74&lt;VLOOKUP(T$5,NFI,5,0),1,0)*Table_NFI[[#This Row],[Winter Items Other]],Table_NFI[Winter Items Other])</f>
        <v>0</v>
      </c>
      <c r="AL74" s="294">
        <f>IF(NFI_Expiration=1,IF($A74&lt;VLOOKUP(M$5,NFI,5,0),1,0)*Table_NFI[[#This Row],[Winter Blanket]],Table_NFI[[#This Row],[Winter Blanket]])</f>
        <v>0</v>
      </c>
      <c r="AM74" s="294">
        <f>IF(Table_NFI[[#This Row],[Winter Clothes Adult]]+Table_NFI[[#This Row],[Winter Clothes Children]]+Table_NFI[[#This Row],[Winter Items Other]]+Table_NFI[[#This Row],[Winter Blanket]]&gt;0,1,0)</f>
        <v>0</v>
      </c>
      <c r="AN74" s="331">
        <f>IF(NFI_Expiration=1,IF($A74&lt;VLOOKUP(V$5,NFI,5,0),1,0)*Table_NFI[[#This Row],[Jerry Can]],Table_NFI[Jerry Can])</f>
        <v>0</v>
      </c>
      <c r="AO74" s="331">
        <f>IF(NFI_Expiration=1,IF($A74&lt;VLOOKUP(V$5,NFI,5,0),1,0)*Table_NFI[[#This Row],[Shelter Tool kit]],Table_NFI[Shelter Tool kit])</f>
        <v>0</v>
      </c>
      <c r="AP74" s="331">
        <f>IF(NFI_Expiration=1,IF($A74&lt;VLOOKUP(V$5,NFI,5,0),1,0)*Table_NFI[[#This Row],[Tent]],Table_NFI[Tent])</f>
        <v>0</v>
      </c>
      <c r="AQ74" s="473" t="str">
        <f>IFERROR(VLOOKUP(Table_NFI[[#This Row],[Camp Name]],CL,2,0),"")</f>
        <v>MMR001CMP055</v>
      </c>
      <c r="AR74" s="468">
        <f ca="1">IF(Table_NFI[[#This Row],[Pcode]]="","",IF(OFFSET(CampList[Opening Date],MATCH(Table_NFI[[#This Row],[Pcode]],CampList[CP_Pcode],0)-1,0,1,1)&gt;=NFI_Monitor_Date,1,0))</f>
        <v>0</v>
      </c>
      <c r="AS74" s="473" t="str">
        <f>IFERROR(VLOOKUP(Table_NFI[[#This Row],[Camp Name]],CL,3,0),"")</f>
        <v>Open</v>
      </c>
      <c r="AT74" s="294" t="str">
        <f ca="1">IF(Table_NFI[[#This Row],[Pcode]]="","",OFFSET(CampList[Priority],MATCH(Table_NFI[[#This Row],[Pcode]],CampList[CP_Pcode],0)-1,0,1,1))</f>
        <v>P4</v>
      </c>
      <c r="AU74" s="293">
        <f>IFERROR(Table_NFI[[#This Row],[Kitchen Set]]/VLOOKUP(Table_NFI[[#This Row],[Camp Name]],CL,4,0),"")</f>
        <v>0</v>
      </c>
      <c r="AV74" s="466"/>
      <c r="AW74" s="469"/>
    </row>
    <row r="75" spans="1:49" s="98" customFormat="1" ht="14.45" customHeight="1" x14ac:dyDescent="0.25">
      <c r="A75" s="297">
        <f t="shared" si="1"/>
        <v>9.1</v>
      </c>
      <c r="B75" s="465">
        <v>42402</v>
      </c>
      <c r="C75" s="466" t="s">
        <v>905</v>
      </c>
      <c r="D75" s="466" t="s">
        <v>905</v>
      </c>
      <c r="E75" s="466" t="s">
        <v>380</v>
      </c>
      <c r="F75" s="290" t="s">
        <v>5</v>
      </c>
      <c r="G75" s="290" t="s">
        <v>6</v>
      </c>
      <c r="H75" s="291"/>
      <c r="I75" s="291"/>
      <c r="J75" s="294">
        <v>310</v>
      </c>
      <c r="K75" s="291"/>
      <c r="L75" s="292"/>
      <c r="M75" s="292"/>
      <c r="N75" s="292"/>
      <c r="O75" s="292"/>
      <c r="P75" s="294"/>
      <c r="Q75" s="294"/>
      <c r="R75" s="294"/>
      <c r="S75" s="294"/>
      <c r="T75" s="294"/>
      <c r="U75" s="294"/>
      <c r="V75" s="431"/>
      <c r="W75" s="294"/>
      <c r="X75" s="294"/>
      <c r="Y75" s="294">
        <f>IF(NFI_Expiration=1,IF($A75&lt;VLOOKUP(H$5,NFI,5,0),1,0)*Table_NFI[[#This Row],[Hygiene Kit]],Table_NFI[Hygiene Kit])</f>
        <v>0</v>
      </c>
      <c r="Z75" s="294">
        <f>IF(NFI_Expiration=1,IF($A75&lt;VLOOKUP(I$5,NFI,5,0),1,0)*Table_NFI[[#This Row],[NFI Core Kit]],Table_NFI[NFI Core Kit])</f>
        <v>0</v>
      </c>
      <c r="AA75" s="294">
        <f>IF(NFI_Expiration=1,IF($A75&lt;VLOOKUP(J$5,NFI,5,0),1,0)*Table_NFI[[#This Row],[Sanitary Kit]],Table_NFI[Sanitary Kit])</f>
        <v>310</v>
      </c>
      <c r="AB75" s="294">
        <f>IF(NFI_Expiration=1,IF($A75&lt;VLOOKUP(K$5,NFI,5,0),1,0)*Table_NFI[[#This Row],[Mosquito net]],Table_NFI[Mosquito net])</f>
        <v>0</v>
      </c>
      <c r="AC75" s="294">
        <f>IF(NFI_Expiration=1,IF($A75&lt;VLOOKUP(L$5,NFI,5,0),1,0)*Table_NFI[[#This Row],[Tarpaulin]],Table_NFI[[#This Row],[Tarpaulin]])</f>
        <v>0</v>
      </c>
      <c r="AD75" s="294">
        <f>IF(NFI_Expiration=1,IF($A75&lt;VLOOKUP(M$5,NFI,5,0),1,0)*Table_NFI[[#This Row],[Blanket]],Table_NFI[[#This Row],[Blanket]])</f>
        <v>0</v>
      </c>
      <c r="AE75" s="294">
        <f>IF(NFI_Expiration=1,IF($A75&lt;VLOOKUP(N$5,NFI,5,0),1,0)*Table_NFI[[#This Row],[Kitchen Set]],Table_NFI[Kitchen Set])</f>
        <v>0</v>
      </c>
      <c r="AF75" s="294">
        <f>IF(NFI_Expiration=1,IF($A75&lt;VLOOKUP(O$5,NFI,5,0),1,0)*Table_NFI[[#This Row],[Clothes Kit]],Table_NFI[Clothes Kit])</f>
        <v>0</v>
      </c>
      <c r="AG75" s="294">
        <f>IF(NFI_Expiration=1,IF($A75&lt;VLOOKUP(P$5,NFI,5,0),1,0)*Table_NFI[[#This Row],[Plastic Bucket]],Table_NFI[Plastic Bucket])</f>
        <v>0</v>
      </c>
      <c r="AH75" s="294">
        <f>IF(NFI_Expiration=1,IF($A75&lt;VLOOKUP(Q$5,NFI,5,0),1,0)*Table_NFI[[#This Row],[Plastic Mat]],Table_NFI[Plastic Mat])*IF(Table_NFI[[#This Row],[Distribution Date]]&gt;"2014-04-01",1,2.5)</f>
        <v>0</v>
      </c>
      <c r="AI75" s="294">
        <f>IF(NFI_Expiration=1,IF($A75&lt;VLOOKUP(R$5,NFI,5,0),1,0)*Table_NFI[[#This Row],[Winter Clothes Adult]],Table_NFI[Winter Clothes Adult])</f>
        <v>0</v>
      </c>
      <c r="AJ75" s="294">
        <f>IF(NFI_Expiration=1,IF($A75&lt;VLOOKUP(S$5,NFI,5,0),1,0)*Table_NFI[[#This Row],[Winter Clothes Children]],Table_NFI[Winter Clothes Children])</f>
        <v>0</v>
      </c>
      <c r="AK75" s="294">
        <f>IF(NFI_Expiration=1,IF($A75&lt;VLOOKUP(T$5,NFI,5,0),1,0)*Table_NFI[[#This Row],[Winter Items Other]],Table_NFI[Winter Items Other])</f>
        <v>0</v>
      </c>
      <c r="AL75" s="294">
        <f>IF(NFI_Expiration=1,IF($A75&lt;VLOOKUP(M$5,NFI,5,0),1,0)*Table_NFI[[#This Row],[Winter Blanket]],Table_NFI[[#This Row],[Winter Blanket]])</f>
        <v>0</v>
      </c>
      <c r="AM75" s="294">
        <f>IF(Table_NFI[[#This Row],[Winter Clothes Adult]]+Table_NFI[[#This Row],[Winter Clothes Children]]+Table_NFI[[#This Row],[Winter Items Other]]+Table_NFI[[#This Row],[Winter Blanket]]&gt;0,1,0)</f>
        <v>0</v>
      </c>
      <c r="AN75" s="331">
        <f>IF(NFI_Expiration=1,IF($A75&lt;VLOOKUP(V$5,NFI,5,0),1,0)*Table_NFI[[#This Row],[Jerry Can]],Table_NFI[Jerry Can])</f>
        <v>0</v>
      </c>
      <c r="AO75" s="331">
        <f>IF(NFI_Expiration=1,IF($A75&lt;VLOOKUP(V$5,NFI,5,0),1,0)*Table_NFI[[#This Row],[Shelter Tool kit]],Table_NFI[Shelter Tool kit])</f>
        <v>0</v>
      </c>
      <c r="AP75" s="331">
        <f>IF(NFI_Expiration=1,IF($A75&lt;VLOOKUP(V$5,NFI,5,0),1,0)*Table_NFI[[#This Row],[Tent]],Table_NFI[Tent])</f>
        <v>0</v>
      </c>
      <c r="AQ75" s="473" t="str">
        <f>IFERROR(VLOOKUP(Table_NFI[[#This Row],[Camp Name]],CL,2,0),"")</f>
        <v>MMR001CMP050</v>
      </c>
      <c r="AR75" s="468">
        <f ca="1">IF(Table_NFI[[#This Row],[Pcode]]="","",IF(OFFSET(CampList[Opening Date],MATCH(Table_NFI[[#This Row],[Pcode]],CampList[CP_Pcode],0)-1,0,1,1)&gt;=NFI_Monitor_Date,1,0))</f>
        <v>0</v>
      </c>
      <c r="AS75" s="473" t="str">
        <f>IFERROR(VLOOKUP(Table_NFI[[#This Row],[Camp Name]],CL,3,0),"")</f>
        <v>Open</v>
      </c>
      <c r="AT75" s="294" t="str">
        <f ca="1">IF(Table_NFI[[#This Row],[Pcode]]="","",OFFSET(CampList[Priority],MATCH(Table_NFI[[#This Row],[Pcode]],CampList[CP_Pcode],0)-1,0,1,1))</f>
        <v>P4</v>
      </c>
      <c r="AU75" s="293">
        <f>IFERROR(Table_NFI[[#This Row],[Kitchen Set]]/VLOOKUP(Table_NFI[[#This Row],[Camp Name]],CL,4,0),"")</f>
        <v>0</v>
      </c>
      <c r="AV75" s="466"/>
      <c r="AW75" s="469"/>
    </row>
    <row r="76" spans="1:49" s="98" customFormat="1" ht="14.45" customHeight="1" x14ac:dyDescent="0.2">
      <c r="A76" s="297">
        <f t="shared" si="1"/>
        <v>9.1</v>
      </c>
      <c r="B76" s="465">
        <v>42402</v>
      </c>
      <c r="C76" s="466" t="s">
        <v>905</v>
      </c>
      <c r="D76" s="466" t="s">
        <v>905</v>
      </c>
      <c r="E76" s="466" t="s">
        <v>380</v>
      </c>
      <c r="F76" s="466" t="s">
        <v>5</v>
      </c>
      <c r="G76" s="466" t="s">
        <v>366</v>
      </c>
      <c r="H76" s="291"/>
      <c r="I76" s="291"/>
      <c r="J76" s="584">
        <v>204</v>
      </c>
      <c r="K76" s="291"/>
      <c r="L76" s="292"/>
      <c r="M76" s="292"/>
      <c r="N76" s="292"/>
      <c r="O76" s="292"/>
      <c r="P76" s="294"/>
      <c r="Q76" s="294"/>
      <c r="R76" s="294"/>
      <c r="S76" s="294"/>
      <c r="T76" s="294"/>
      <c r="U76" s="294"/>
      <c r="V76" s="431"/>
      <c r="W76" s="294"/>
      <c r="X76" s="294"/>
      <c r="Y76" s="294">
        <f>IF(NFI_Expiration=1,IF($A76&lt;VLOOKUP(H$5,NFI,5,0),1,0)*Table_NFI[[#This Row],[Hygiene Kit]],Table_NFI[Hygiene Kit])</f>
        <v>0</v>
      </c>
      <c r="Z76" s="294">
        <f>IF(NFI_Expiration=1,IF($A76&lt;VLOOKUP(I$5,NFI,5,0),1,0)*Table_NFI[[#This Row],[NFI Core Kit]],Table_NFI[NFI Core Kit])</f>
        <v>0</v>
      </c>
      <c r="AA76" s="294">
        <f>IF(NFI_Expiration=1,IF($A76&lt;VLOOKUP(J$5,NFI,5,0),1,0)*Table_NFI[[#This Row],[Sanitary Kit]],Table_NFI[Sanitary Kit])</f>
        <v>204</v>
      </c>
      <c r="AB76" s="294">
        <f>IF(NFI_Expiration=1,IF($A76&lt;VLOOKUP(K$5,NFI,5,0),1,0)*Table_NFI[[#This Row],[Mosquito net]],Table_NFI[Mosquito net])</f>
        <v>0</v>
      </c>
      <c r="AC76" s="294">
        <f>IF(NFI_Expiration=1,IF($A76&lt;VLOOKUP(L$5,NFI,5,0),1,0)*Table_NFI[[#This Row],[Tarpaulin]],Table_NFI[[#This Row],[Tarpaulin]])</f>
        <v>0</v>
      </c>
      <c r="AD76" s="294">
        <f>IF(NFI_Expiration=1,IF($A76&lt;VLOOKUP(M$5,NFI,5,0),1,0)*Table_NFI[[#This Row],[Blanket]],Table_NFI[[#This Row],[Blanket]])</f>
        <v>0</v>
      </c>
      <c r="AE76" s="294">
        <f>IF(NFI_Expiration=1,IF($A76&lt;VLOOKUP(N$5,NFI,5,0),1,0)*Table_NFI[[#This Row],[Kitchen Set]],Table_NFI[Kitchen Set])</f>
        <v>0</v>
      </c>
      <c r="AF76" s="294">
        <f>IF(NFI_Expiration=1,IF($A76&lt;VLOOKUP(O$5,NFI,5,0),1,0)*Table_NFI[[#This Row],[Clothes Kit]],Table_NFI[Clothes Kit])</f>
        <v>0</v>
      </c>
      <c r="AG76" s="294">
        <f>IF(NFI_Expiration=1,IF($A76&lt;VLOOKUP(P$5,NFI,5,0),1,0)*Table_NFI[[#This Row],[Plastic Bucket]],Table_NFI[Plastic Bucket])</f>
        <v>0</v>
      </c>
      <c r="AH76" s="294">
        <f>IF(NFI_Expiration=1,IF($A76&lt;VLOOKUP(Q$5,NFI,5,0),1,0)*Table_NFI[[#This Row],[Plastic Mat]],Table_NFI[Plastic Mat])*IF(Table_NFI[[#This Row],[Distribution Date]]&gt;"2014-04-01",1,2.5)</f>
        <v>0</v>
      </c>
      <c r="AI76" s="294">
        <f>IF(NFI_Expiration=1,IF($A76&lt;VLOOKUP(R$5,NFI,5,0),1,0)*Table_NFI[[#This Row],[Winter Clothes Adult]],Table_NFI[Winter Clothes Adult])</f>
        <v>0</v>
      </c>
      <c r="AJ76" s="294">
        <f>IF(NFI_Expiration=1,IF($A76&lt;VLOOKUP(S$5,NFI,5,0),1,0)*Table_NFI[[#This Row],[Winter Clothes Children]],Table_NFI[Winter Clothes Children])</f>
        <v>0</v>
      </c>
      <c r="AK76" s="294">
        <f>IF(NFI_Expiration=1,IF($A76&lt;VLOOKUP(T$5,NFI,5,0),1,0)*Table_NFI[[#This Row],[Winter Items Other]],Table_NFI[Winter Items Other])</f>
        <v>0</v>
      </c>
      <c r="AL76" s="294">
        <f>IF(NFI_Expiration=1,IF($A76&lt;VLOOKUP(M$5,NFI,5,0),1,0)*Table_NFI[[#This Row],[Winter Blanket]],Table_NFI[[#This Row],[Winter Blanket]])</f>
        <v>0</v>
      </c>
      <c r="AM76" s="294">
        <f>IF(Table_NFI[[#This Row],[Winter Clothes Adult]]+Table_NFI[[#This Row],[Winter Clothes Children]]+Table_NFI[[#This Row],[Winter Items Other]]+Table_NFI[[#This Row],[Winter Blanket]]&gt;0,1,0)</f>
        <v>0</v>
      </c>
      <c r="AN76" s="331">
        <f>IF(NFI_Expiration=1,IF($A76&lt;VLOOKUP(V$5,NFI,5,0),1,0)*Table_NFI[[#This Row],[Jerry Can]],Table_NFI[Jerry Can])</f>
        <v>0</v>
      </c>
      <c r="AO76" s="331">
        <f>IF(NFI_Expiration=1,IF($A76&lt;VLOOKUP(V$5,NFI,5,0),1,0)*Table_NFI[[#This Row],[Shelter Tool kit]],Table_NFI[Shelter Tool kit])</f>
        <v>0</v>
      </c>
      <c r="AP76" s="331">
        <f>IF(NFI_Expiration=1,IF($A76&lt;VLOOKUP(V$5,NFI,5,0),1,0)*Table_NFI[[#This Row],[Tent]],Table_NFI[Tent])</f>
        <v>0</v>
      </c>
      <c r="AQ76" s="473" t="str">
        <f>IFERROR(VLOOKUP(Table_NFI[[#This Row],[Camp Name]],CL,2,0),"")</f>
        <v>MMR001CMP193</v>
      </c>
      <c r="AR76" s="468">
        <f ca="1">IF(Table_NFI[[#This Row],[Pcode]]="","",IF(OFFSET(CampList[Opening Date],MATCH(Table_NFI[[#This Row],[Pcode]],CampList[CP_Pcode],0)-1,0,1,1)&gt;=NFI_Monitor_Date,1,0))</f>
        <v>0</v>
      </c>
      <c r="AS76" s="473" t="str">
        <f>IFERROR(VLOOKUP(Table_NFI[[#This Row],[Camp Name]],CL,3,0),"")</f>
        <v>Open</v>
      </c>
      <c r="AT76" s="294" t="str">
        <f ca="1">IF(Table_NFI[[#This Row],[Pcode]]="","",OFFSET(CampList[Priority],MATCH(Table_NFI[[#This Row],[Pcode]],CampList[CP_Pcode],0)-1,0,1,1))</f>
        <v>P4</v>
      </c>
      <c r="AU76" s="293">
        <f>IFERROR(Table_NFI[[#This Row],[Kitchen Set]]/VLOOKUP(Table_NFI[[#This Row],[Camp Name]],CL,4,0),"")</f>
        <v>0</v>
      </c>
      <c r="AV76" s="466"/>
      <c r="AW76" s="469"/>
    </row>
    <row r="77" spans="1:49" s="470" customFormat="1" ht="14.45" customHeight="1" x14ac:dyDescent="0.2">
      <c r="A77" s="297">
        <f t="shared" si="1"/>
        <v>9.2333333333333325</v>
      </c>
      <c r="B77" s="465">
        <v>42398</v>
      </c>
      <c r="C77" s="466" t="s">
        <v>905</v>
      </c>
      <c r="D77" s="467" t="s">
        <v>905</v>
      </c>
      <c r="E77" s="466" t="s">
        <v>380</v>
      </c>
      <c r="F77" s="290" t="s">
        <v>185</v>
      </c>
      <c r="G77" s="290" t="s">
        <v>186</v>
      </c>
      <c r="H77" s="291"/>
      <c r="I77" s="291"/>
      <c r="J77" s="292"/>
      <c r="K77" s="291"/>
      <c r="L77" s="292"/>
      <c r="M77" s="292"/>
      <c r="N77" s="292"/>
      <c r="O77" s="292"/>
      <c r="P77" s="294"/>
      <c r="Q77" s="294"/>
      <c r="R77" s="294"/>
      <c r="S77" s="294"/>
      <c r="T77" s="294"/>
      <c r="U77" s="294"/>
      <c r="V77" s="621">
        <v>2</v>
      </c>
      <c r="W77" s="294"/>
      <c r="X77" s="294"/>
      <c r="Y77" s="294">
        <f>IF(NFI_Expiration=1,IF($A77&lt;VLOOKUP(H$5,NFI,5,0),1,0)*Table_NFI[[#This Row],[Hygiene Kit]],Table_NFI[Hygiene Kit])</f>
        <v>0</v>
      </c>
      <c r="Z77" s="294">
        <f>IF(NFI_Expiration=1,IF($A77&lt;VLOOKUP(I$5,NFI,5,0),1,0)*Table_NFI[[#This Row],[NFI Core Kit]],Table_NFI[NFI Core Kit])</f>
        <v>0</v>
      </c>
      <c r="AA77" s="294">
        <f>IF(NFI_Expiration=1,IF($A77&lt;VLOOKUP(J$5,NFI,5,0),1,0)*Table_NFI[[#This Row],[Sanitary Kit]],Table_NFI[Sanitary Kit])</f>
        <v>0</v>
      </c>
      <c r="AB77" s="294">
        <f>IF(NFI_Expiration=1,IF($A77&lt;VLOOKUP(K$5,NFI,5,0),1,0)*Table_NFI[[#This Row],[Mosquito net]],Table_NFI[Mosquito net])</f>
        <v>0</v>
      </c>
      <c r="AC77" s="294">
        <f>IF(NFI_Expiration=1,IF($A77&lt;VLOOKUP(L$5,NFI,5,0),1,0)*Table_NFI[[#This Row],[Tarpaulin]],Table_NFI[[#This Row],[Tarpaulin]])</f>
        <v>0</v>
      </c>
      <c r="AD77" s="294">
        <f>IF(NFI_Expiration=1,IF($A77&lt;VLOOKUP(M$5,NFI,5,0),1,0)*Table_NFI[[#This Row],[Blanket]],Table_NFI[[#This Row],[Blanket]])</f>
        <v>0</v>
      </c>
      <c r="AE77" s="294">
        <f>IF(NFI_Expiration=1,IF($A77&lt;VLOOKUP(N$5,NFI,5,0),1,0)*Table_NFI[[#This Row],[Kitchen Set]],Table_NFI[Kitchen Set])</f>
        <v>0</v>
      </c>
      <c r="AF77" s="294">
        <f>IF(NFI_Expiration=1,IF($A77&lt;VLOOKUP(O$5,NFI,5,0),1,0)*Table_NFI[[#This Row],[Clothes Kit]],Table_NFI[Clothes Kit])</f>
        <v>0</v>
      </c>
      <c r="AG77" s="294">
        <f>IF(NFI_Expiration=1,IF($A77&lt;VLOOKUP(P$5,NFI,5,0),1,0)*Table_NFI[[#This Row],[Plastic Bucket]],Table_NFI[Plastic Bucket])</f>
        <v>0</v>
      </c>
      <c r="AH77" s="294">
        <f>IF(NFI_Expiration=1,IF($A77&lt;VLOOKUP(Q$5,NFI,5,0),1,0)*Table_NFI[[#This Row],[Plastic Mat]],Table_NFI[Plastic Mat])*IF(Table_NFI[[#This Row],[Distribution Date]]&gt;"2014-04-01",1,2.5)</f>
        <v>0</v>
      </c>
      <c r="AI77" s="294">
        <f>IF(NFI_Expiration=1,IF($A77&lt;VLOOKUP(R$5,NFI,5,0),1,0)*Table_NFI[[#This Row],[Winter Clothes Adult]],Table_NFI[Winter Clothes Adult])</f>
        <v>0</v>
      </c>
      <c r="AJ77" s="294">
        <f>IF(NFI_Expiration=1,IF($A77&lt;VLOOKUP(S$5,NFI,5,0),1,0)*Table_NFI[[#This Row],[Winter Clothes Children]],Table_NFI[Winter Clothes Children])</f>
        <v>0</v>
      </c>
      <c r="AK77" s="294">
        <f>IF(NFI_Expiration=1,IF($A77&lt;VLOOKUP(T$5,NFI,5,0),1,0)*Table_NFI[[#This Row],[Winter Items Other]],Table_NFI[Winter Items Other])</f>
        <v>0</v>
      </c>
      <c r="AL77" s="294">
        <f>IF(NFI_Expiration=1,IF($A77&lt;VLOOKUP(M$5,NFI,5,0),1,0)*Table_NFI[[#This Row],[Winter Blanket]],Table_NFI[[#This Row],[Winter Blanket]])</f>
        <v>0</v>
      </c>
      <c r="AM77" s="294">
        <f>IF(Table_NFI[[#This Row],[Winter Clothes Adult]]+Table_NFI[[#This Row],[Winter Clothes Children]]+Table_NFI[[#This Row],[Winter Items Other]]+Table_NFI[[#This Row],[Winter Blanket]]&gt;0,1,0)</f>
        <v>0</v>
      </c>
      <c r="AN77" s="331">
        <f>IF(NFI_Expiration=1,IF($A77&lt;VLOOKUP(V$5,NFI,5,0),1,0)*Table_NFI[[#This Row],[Jerry Can]],Table_NFI[Jerry Can])</f>
        <v>2</v>
      </c>
      <c r="AO77" s="331">
        <f>IF(NFI_Expiration=1,IF($A77&lt;VLOOKUP(V$5,NFI,5,0),1,0)*Table_NFI[[#This Row],[Shelter Tool kit]],Table_NFI[Shelter Tool kit])</f>
        <v>0</v>
      </c>
      <c r="AP77" s="331">
        <f>IF(NFI_Expiration=1,IF($A77&lt;VLOOKUP(V$5,NFI,5,0),1,0)*Table_NFI[[#This Row],[Tent]],Table_NFI[Tent])</f>
        <v>0</v>
      </c>
      <c r="AQ77" s="473" t="str">
        <f>IFERROR(VLOOKUP(Table_NFI[[#This Row],[Camp Name]],CL,2,0),"")</f>
        <v>MMR001CMP071</v>
      </c>
      <c r="AR77" s="468">
        <f ca="1">IF(Table_NFI[[#This Row],[Pcode]]="","",IF(OFFSET(CampList[Opening Date],MATCH(Table_NFI[[#This Row],[Pcode]],CampList[CP_Pcode],0)-1,0,1,1)&gt;=NFI_Monitor_Date,1,0))</f>
        <v>0</v>
      </c>
      <c r="AS77" s="473" t="str">
        <f>IFERROR(VLOOKUP(Table_NFI[[#This Row],[Camp Name]],CL,3,0),"")</f>
        <v>Open</v>
      </c>
      <c r="AT77" s="294" t="str">
        <f ca="1">IF(Table_NFI[[#This Row],[Pcode]]="","",OFFSET(CampList[Priority],MATCH(Table_NFI[[#This Row],[Pcode]],CampList[CP_Pcode],0)-1,0,1,1))</f>
        <v>P3</v>
      </c>
      <c r="AU77" s="293">
        <f>IFERROR(Table_NFI[[#This Row],[Kitchen Set]]/VLOOKUP(Table_NFI[[#This Row],[Camp Name]],CL,4,0),"")</f>
        <v>0</v>
      </c>
      <c r="AV77" s="466"/>
      <c r="AW77" s="469"/>
    </row>
    <row r="78" spans="1:49" s="470" customFormat="1" ht="14.45" customHeight="1" x14ac:dyDescent="0.2">
      <c r="A78" s="297">
        <f t="shared" si="1"/>
        <v>9.2333333333333325</v>
      </c>
      <c r="B78" s="465">
        <v>42398</v>
      </c>
      <c r="C78" s="466" t="s">
        <v>905</v>
      </c>
      <c r="D78" s="467" t="s">
        <v>905</v>
      </c>
      <c r="E78" s="466" t="s">
        <v>380</v>
      </c>
      <c r="F78" s="290" t="s">
        <v>185</v>
      </c>
      <c r="G78" s="290" t="s">
        <v>190</v>
      </c>
      <c r="H78" s="291"/>
      <c r="I78" s="291"/>
      <c r="J78" s="292"/>
      <c r="K78" s="291"/>
      <c r="L78" s="292"/>
      <c r="M78" s="292"/>
      <c r="N78" s="292"/>
      <c r="O78" s="292"/>
      <c r="P78" s="294"/>
      <c r="Q78" s="294"/>
      <c r="R78" s="294"/>
      <c r="S78" s="294"/>
      <c r="T78" s="294"/>
      <c r="U78" s="294"/>
      <c r="V78" s="621">
        <v>3</v>
      </c>
      <c r="W78" s="294"/>
      <c r="X78" s="294"/>
      <c r="Y78" s="294">
        <f>IF(NFI_Expiration=1,IF($A78&lt;VLOOKUP(H$5,NFI,5,0),1,0)*Table_NFI[[#This Row],[Hygiene Kit]],Table_NFI[Hygiene Kit])</f>
        <v>0</v>
      </c>
      <c r="Z78" s="294">
        <f>IF(NFI_Expiration=1,IF($A78&lt;VLOOKUP(I$5,NFI,5,0),1,0)*Table_NFI[[#This Row],[NFI Core Kit]],Table_NFI[NFI Core Kit])</f>
        <v>0</v>
      </c>
      <c r="AA78" s="294">
        <f>IF(NFI_Expiration=1,IF($A78&lt;VLOOKUP(J$5,NFI,5,0),1,0)*Table_NFI[[#This Row],[Sanitary Kit]],Table_NFI[Sanitary Kit])</f>
        <v>0</v>
      </c>
      <c r="AB78" s="294">
        <f>IF(NFI_Expiration=1,IF($A78&lt;VLOOKUP(K$5,NFI,5,0),1,0)*Table_NFI[[#This Row],[Mosquito net]],Table_NFI[Mosquito net])</f>
        <v>0</v>
      </c>
      <c r="AC78" s="294">
        <f>IF(NFI_Expiration=1,IF($A78&lt;VLOOKUP(L$5,NFI,5,0),1,0)*Table_NFI[[#This Row],[Tarpaulin]],Table_NFI[[#This Row],[Tarpaulin]])</f>
        <v>0</v>
      </c>
      <c r="AD78" s="294">
        <f>IF(NFI_Expiration=1,IF($A78&lt;VLOOKUP(M$5,NFI,5,0),1,0)*Table_NFI[[#This Row],[Blanket]],Table_NFI[[#This Row],[Blanket]])</f>
        <v>0</v>
      </c>
      <c r="AE78" s="294">
        <f>IF(NFI_Expiration=1,IF($A78&lt;VLOOKUP(N$5,NFI,5,0),1,0)*Table_NFI[[#This Row],[Kitchen Set]],Table_NFI[Kitchen Set])</f>
        <v>0</v>
      </c>
      <c r="AF78" s="294">
        <f>IF(NFI_Expiration=1,IF($A78&lt;VLOOKUP(O$5,NFI,5,0),1,0)*Table_NFI[[#This Row],[Clothes Kit]],Table_NFI[Clothes Kit])</f>
        <v>0</v>
      </c>
      <c r="AG78" s="294">
        <f>IF(NFI_Expiration=1,IF($A78&lt;VLOOKUP(P$5,NFI,5,0),1,0)*Table_NFI[[#This Row],[Plastic Bucket]],Table_NFI[Plastic Bucket])</f>
        <v>0</v>
      </c>
      <c r="AH78" s="294">
        <f>IF(NFI_Expiration=1,IF($A78&lt;VLOOKUP(Q$5,NFI,5,0),1,0)*Table_NFI[[#This Row],[Plastic Mat]],Table_NFI[Plastic Mat])*IF(Table_NFI[[#This Row],[Distribution Date]]&gt;"2014-04-01",1,2.5)</f>
        <v>0</v>
      </c>
      <c r="AI78" s="294">
        <f>IF(NFI_Expiration=1,IF($A78&lt;VLOOKUP(R$5,NFI,5,0),1,0)*Table_NFI[[#This Row],[Winter Clothes Adult]],Table_NFI[Winter Clothes Adult])</f>
        <v>0</v>
      </c>
      <c r="AJ78" s="294">
        <f>IF(NFI_Expiration=1,IF($A78&lt;VLOOKUP(S$5,NFI,5,0),1,0)*Table_NFI[[#This Row],[Winter Clothes Children]],Table_NFI[Winter Clothes Children])</f>
        <v>0</v>
      </c>
      <c r="AK78" s="294">
        <f>IF(NFI_Expiration=1,IF($A78&lt;VLOOKUP(T$5,NFI,5,0),1,0)*Table_NFI[[#This Row],[Winter Items Other]],Table_NFI[Winter Items Other])</f>
        <v>0</v>
      </c>
      <c r="AL78" s="294">
        <f>IF(NFI_Expiration=1,IF($A78&lt;VLOOKUP(M$5,NFI,5,0),1,0)*Table_NFI[[#This Row],[Winter Blanket]],Table_NFI[[#This Row],[Winter Blanket]])</f>
        <v>0</v>
      </c>
      <c r="AM78" s="294">
        <f>IF(Table_NFI[[#This Row],[Winter Clothes Adult]]+Table_NFI[[#This Row],[Winter Clothes Children]]+Table_NFI[[#This Row],[Winter Items Other]]+Table_NFI[[#This Row],[Winter Blanket]]&gt;0,1,0)</f>
        <v>0</v>
      </c>
      <c r="AN78" s="331">
        <f>IF(NFI_Expiration=1,IF($A78&lt;VLOOKUP(V$5,NFI,5,0),1,0)*Table_NFI[[#This Row],[Jerry Can]],Table_NFI[Jerry Can])</f>
        <v>3</v>
      </c>
      <c r="AO78" s="331">
        <f>IF(NFI_Expiration=1,IF($A78&lt;VLOOKUP(V$5,NFI,5,0),1,0)*Table_NFI[[#This Row],[Shelter Tool kit]],Table_NFI[Shelter Tool kit])</f>
        <v>0</v>
      </c>
      <c r="AP78" s="331">
        <f>IF(NFI_Expiration=1,IF($A78&lt;VLOOKUP(V$5,NFI,5,0),1,0)*Table_NFI[[#This Row],[Tent]],Table_NFI[Tent])</f>
        <v>0</v>
      </c>
      <c r="AQ78" s="473" t="str">
        <f>IFERROR(VLOOKUP(Table_NFI[[#This Row],[Camp Name]],CL,2,0),"")</f>
        <v>MMR001CMP070</v>
      </c>
      <c r="AR78" s="468">
        <f ca="1">IF(Table_NFI[[#This Row],[Pcode]]="","",IF(OFFSET(CampList[Opening Date],MATCH(Table_NFI[[#This Row],[Pcode]],CampList[CP_Pcode],0)-1,0,1,1)&gt;=NFI_Monitor_Date,1,0))</f>
        <v>0</v>
      </c>
      <c r="AS78" s="473" t="str">
        <f>IFERROR(VLOOKUP(Table_NFI[[#This Row],[Camp Name]],CL,3,0),"")</f>
        <v>Open</v>
      </c>
      <c r="AT78" s="294" t="str">
        <f ca="1">IF(Table_NFI[[#This Row],[Pcode]]="","",OFFSET(CampList[Priority],MATCH(Table_NFI[[#This Row],[Pcode]],CampList[CP_Pcode],0)-1,0,1,1))</f>
        <v>P3</v>
      </c>
      <c r="AU78" s="293">
        <f>IFERROR(Table_NFI[[#This Row],[Kitchen Set]]/VLOOKUP(Table_NFI[[#This Row],[Camp Name]],CL,4,0),"")</f>
        <v>0</v>
      </c>
      <c r="AV78" s="466"/>
      <c r="AW78" s="469"/>
    </row>
    <row r="79" spans="1:49" s="470" customFormat="1" ht="14.45" customHeight="1" x14ac:dyDescent="0.2">
      <c r="A79" s="297">
        <f t="shared" si="1"/>
        <v>9.2333333333333325</v>
      </c>
      <c r="B79" s="465">
        <v>42398</v>
      </c>
      <c r="C79" s="466" t="s">
        <v>905</v>
      </c>
      <c r="D79" s="467" t="s">
        <v>905</v>
      </c>
      <c r="E79" s="466" t="s">
        <v>380</v>
      </c>
      <c r="F79" s="290" t="s">
        <v>185</v>
      </c>
      <c r="G79" s="290" t="s">
        <v>225</v>
      </c>
      <c r="H79" s="291"/>
      <c r="I79" s="291"/>
      <c r="J79" s="292"/>
      <c r="K79" s="291"/>
      <c r="L79" s="292"/>
      <c r="M79" s="292"/>
      <c r="N79" s="292"/>
      <c r="O79" s="292"/>
      <c r="P79" s="294"/>
      <c r="Q79" s="294"/>
      <c r="R79" s="294"/>
      <c r="S79" s="294"/>
      <c r="T79" s="294"/>
      <c r="U79" s="294"/>
      <c r="V79" s="621">
        <v>3</v>
      </c>
      <c r="W79" s="294"/>
      <c r="X79" s="294"/>
      <c r="Y79" s="294">
        <f>IF(NFI_Expiration=1,IF($A79&lt;VLOOKUP(H$5,NFI,5,0),1,0)*Table_NFI[[#This Row],[Hygiene Kit]],Table_NFI[Hygiene Kit])</f>
        <v>0</v>
      </c>
      <c r="Z79" s="294">
        <f>IF(NFI_Expiration=1,IF($A79&lt;VLOOKUP(I$5,NFI,5,0),1,0)*Table_NFI[[#This Row],[NFI Core Kit]],Table_NFI[NFI Core Kit])</f>
        <v>0</v>
      </c>
      <c r="AA79" s="294">
        <f>IF(NFI_Expiration=1,IF($A79&lt;VLOOKUP(J$5,NFI,5,0),1,0)*Table_NFI[[#This Row],[Sanitary Kit]],Table_NFI[Sanitary Kit])</f>
        <v>0</v>
      </c>
      <c r="AB79" s="294">
        <f>IF(NFI_Expiration=1,IF($A79&lt;VLOOKUP(K$5,NFI,5,0),1,0)*Table_NFI[[#This Row],[Mosquito net]],Table_NFI[Mosquito net])</f>
        <v>0</v>
      </c>
      <c r="AC79" s="294">
        <f>IF(NFI_Expiration=1,IF($A79&lt;VLOOKUP(L$5,NFI,5,0),1,0)*Table_NFI[[#This Row],[Tarpaulin]],Table_NFI[[#This Row],[Tarpaulin]])</f>
        <v>0</v>
      </c>
      <c r="AD79" s="294">
        <f>IF(NFI_Expiration=1,IF($A79&lt;VLOOKUP(M$5,NFI,5,0),1,0)*Table_NFI[[#This Row],[Blanket]],Table_NFI[[#This Row],[Blanket]])</f>
        <v>0</v>
      </c>
      <c r="AE79" s="294">
        <f>IF(NFI_Expiration=1,IF($A79&lt;VLOOKUP(N$5,NFI,5,0),1,0)*Table_NFI[[#This Row],[Kitchen Set]],Table_NFI[Kitchen Set])</f>
        <v>0</v>
      </c>
      <c r="AF79" s="294">
        <f>IF(NFI_Expiration=1,IF($A79&lt;VLOOKUP(O$5,NFI,5,0),1,0)*Table_NFI[[#This Row],[Clothes Kit]],Table_NFI[Clothes Kit])</f>
        <v>0</v>
      </c>
      <c r="AG79" s="294">
        <f>IF(NFI_Expiration=1,IF($A79&lt;VLOOKUP(P$5,NFI,5,0),1,0)*Table_NFI[[#This Row],[Plastic Bucket]],Table_NFI[Plastic Bucket])</f>
        <v>0</v>
      </c>
      <c r="AH79" s="294">
        <f>IF(NFI_Expiration=1,IF($A79&lt;VLOOKUP(Q$5,NFI,5,0),1,0)*Table_NFI[[#This Row],[Plastic Mat]],Table_NFI[Plastic Mat])*IF(Table_NFI[[#This Row],[Distribution Date]]&gt;"2014-04-01",1,2.5)</f>
        <v>0</v>
      </c>
      <c r="AI79" s="294">
        <f>IF(NFI_Expiration=1,IF($A79&lt;VLOOKUP(R$5,NFI,5,0),1,0)*Table_NFI[[#This Row],[Winter Clothes Adult]],Table_NFI[Winter Clothes Adult])</f>
        <v>0</v>
      </c>
      <c r="AJ79" s="294">
        <f>IF(NFI_Expiration=1,IF($A79&lt;VLOOKUP(S$5,NFI,5,0),1,0)*Table_NFI[[#This Row],[Winter Clothes Children]],Table_NFI[Winter Clothes Children])</f>
        <v>0</v>
      </c>
      <c r="AK79" s="294">
        <f>IF(NFI_Expiration=1,IF($A79&lt;VLOOKUP(T$5,NFI,5,0),1,0)*Table_NFI[[#This Row],[Winter Items Other]],Table_NFI[Winter Items Other])</f>
        <v>0</v>
      </c>
      <c r="AL79" s="294">
        <f>IF(NFI_Expiration=1,IF($A79&lt;VLOOKUP(M$5,NFI,5,0),1,0)*Table_NFI[[#This Row],[Winter Blanket]],Table_NFI[[#This Row],[Winter Blanket]])</f>
        <v>0</v>
      </c>
      <c r="AM79" s="294">
        <f>IF(Table_NFI[[#This Row],[Winter Clothes Adult]]+Table_NFI[[#This Row],[Winter Clothes Children]]+Table_NFI[[#This Row],[Winter Items Other]]+Table_NFI[[#This Row],[Winter Blanket]]&gt;0,1,0)</f>
        <v>0</v>
      </c>
      <c r="AN79" s="331">
        <f>IF(NFI_Expiration=1,IF($A79&lt;VLOOKUP(V$5,NFI,5,0),1,0)*Table_NFI[[#This Row],[Jerry Can]],Table_NFI[Jerry Can])</f>
        <v>3</v>
      </c>
      <c r="AO79" s="331">
        <f>IF(NFI_Expiration=1,IF($A79&lt;VLOOKUP(V$5,NFI,5,0),1,0)*Table_NFI[[#This Row],[Shelter Tool kit]],Table_NFI[Shelter Tool kit])</f>
        <v>0</v>
      </c>
      <c r="AP79" s="331">
        <f>IF(NFI_Expiration=1,IF($A79&lt;VLOOKUP(V$5,NFI,5,0),1,0)*Table_NFI[[#This Row],[Tent]],Table_NFI[Tent])</f>
        <v>0</v>
      </c>
      <c r="AQ79" s="473" t="str">
        <f>IFERROR(VLOOKUP(Table_NFI[[#This Row],[Camp Name]],CL,2,0),"")</f>
        <v>MMR001CMP073</v>
      </c>
      <c r="AR79" s="468">
        <f ca="1">IF(Table_NFI[[#This Row],[Pcode]]="","",IF(OFFSET(CampList[Opening Date],MATCH(Table_NFI[[#This Row],[Pcode]],CampList[CP_Pcode],0)-1,0,1,1)&gt;=NFI_Monitor_Date,1,0))</f>
        <v>0</v>
      </c>
      <c r="AS79" s="473" t="str">
        <f>IFERROR(VLOOKUP(Table_NFI[[#This Row],[Camp Name]],CL,3,0),"")</f>
        <v>Open</v>
      </c>
      <c r="AT79" s="294" t="str">
        <f ca="1">IF(Table_NFI[[#This Row],[Pcode]]="","",OFFSET(CampList[Priority],MATCH(Table_NFI[[#This Row],[Pcode]],CampList[CP_Pcode],0)-1,0,1,1))</f>
        <v>P3</v>
      </c>
      <c r="AU79" s="293">
        <f>IFERROR(Table_NFI[[#This Row],[Kitchen Set]]/VLOOKUP(Table_NFI[[#This Row],[Camp Name]],CL,4,0),"")</f>
        <v>0</v>
      </c>
      <c r="AV79" s="466"/>
      <c r="AW79" s="469"/>
    </row>
    <row r="80" spans="1:49" s="470" customFormat="1" ht="14.45" customHeight="1" x14ac:dyDescent="0.2">
      <c r="A80" s="297">
        <f t="shared" si="1"/>
        <v>9.3333333333333339</v>
      </c>
      <c r="B80" s="465">
        <v>42395</v>
      </c>
      <c r="C80" s="466" t="s">
        <v>905</v>
      </c>
      <c r="D80" s="467" t="s">
        <v>905</v>
      </c>
      <c r="E80" s="466" t="s">
        <v>380</v>
      </c>
      <c r="F80" s="290" t="s">
        <v>5</v>
      </c>
      <c r="G80" s="290" t="s">
        <v>22</v>
      </c>
      <c r="H80" s="291"/>
      <c r="I80" s="291"/>
      <c r="J80" s="291"/>
      <c r="K80" s="291"/>
      <c r="L80" s="292"/>
      <c r="M80" s="292"/>
      <c r="N80" s="292"/>
      <c r="O80" s="292"/>
      <c r="P80" s="294"/>
      <c r="Q80" s="294"/>
      <c r="R80" s="294"/>
      <c r="S80" s="294"/>
      <c r="T80" s="294"/>
      <c r="U80" s="294"/>
      <c r="V80" s="621">
        <v>5</v>
      </c>
      <c r="W80" s="294"/>
      <c r="X80" s="294"/>
      <c r="Y80" s="294">
        <f>IF(NFI_Expiration=1,IF($A80&lt;VLOOKUP(H$5,NFI,5,0),1,0)*Table_NFI[[#This Row],[Hygiene Kit]],Table_NFI[Hygiene Kit])</f>
        <v>0</v>
      </c>
      <c r="Z80" s="294">
        <f>IF(NFI_Expiration=1,IF($A80&lt;VLOOKUP(I$5,NFI,5,0),1,0)*Table_NFI[[#This Row],[NFI Core Kit]],Table_NFI[NFI Core Kit])</f>
        <v>0</v>
      </c>
      <c r="AA80" s="294">
        <f>IF(NFI_Expiration=1,IF($A80&lt;VLOOKUP(J$5,NFI,5,0),1,0)*Table_NFI[[#This Row],[Sanitary Kit]],Table_NFI[Sanitary Kit])</f>
        <v>0</v>
      </c>
      <c r="AB80" s="294">
        <f>IF(NFI_Expiration=1,IF($A80&lt;VLOOKUP(K$5,NFI,5,0),1,0)*Table_NFI[[#This Row],[Mosquito net]],Table_NFI[Mosquito net])</f>
        <v>0</v>
      </c>
      <c r="AC80" s="294">
        <f>IF(NFI_Expiration=1,IF($A80&lt;VLOOKUP(L$5,NFI,5,0),1,0)*Table_NFI[[#This Row],[Tarpaulin]],Table_NFI[[#This Row],[Tarpaulin]])</f>
        <v>0</v>
      </c>
      <c r="AD80" s="294">
        <f>IF(NFI_Expiration=1,IF($A80&lt;VLOOKUP(M$5,NFI,5,0),1,0)*Table_NFI[[#This Row],[Blanket]],Table_NFI[[#This Row],[Blanket]])</f>
        <v>0</v>
      </c>
      <c r="AE80" s="294">
        <f>IF(NFI_Expiration=1,IF($A80&lt;VLOOKUP(N$5,NFI,5,0),1,0)*Table_NFI[[#This Row],[Kitchen Set]],Table_NFI[Kitchen Set])</f>
        <v>0</v>
      </c>
      <c r="AF80" s="294">
        <f>IF(NFI_Expiration=1,IF($A80&lt;VLOOKUP(O$5,NFI,5,0),1,0)*Table_NFI[[#This Row],[Clothes Kit]],Table_NFI[Clothes Kit])</f>
        <v>0</v>
      </c>
      <c r="AG80" s="294">
        <f>IF(NFI_Expiration=1,IF($A80&lt;VLOOKUP(P$5,NFI,5,0),1,0)*Table_NFI[[#This Row],[Plastic Bucket]],Table_NFI[Plastic Bucket])</f>
        <v>0</v>
      </c>
      <c r="AH80" s="294">
        <f>IF(NFI_Expiration=1,IF($A80&lt;VLOOKUP(Q$5,NFI,5,0),1,0)*Table_NFI[[#This Row],[Plastic Mat]],Table_NFI[Plastic Mat])*IF(Table_NFI[[#This Row],[Distribution Date]]&gt;"2014-04-01",1,2.5)</f>
        <v>0</v>
      </c>
      <c r="AI80" s="294">
        <f>IF(NFI_Expiration=1,IF($A80&lt;VLOOKUP(R$5,NFI,5,0),1,0)*Table_NFI[[#This Row],[Winter Clothes Adult]],Table_NFI[Winter Clothes Adult])</f>
        <v>0</v>
      </c>
      <c r="AJ80" s="294">
        <f>IF(NFI_Expiration=1,IF($A80&lt;VLOOKUP(S$5,NFI,5,0),1,0)*Table_NFI[[#This Row],[Winter Clothes Children]],Table_NFI[Winter Clothes Children])</f>
        <v>0</v>
      </c>
      <c r="AK80" s="294">
        <f>IF(NFI_Expiration=1,IF($A80&lt;VLOOKUP(T$5,NFI,5,0),1,0)*Table_NFI[[#This Row],[Winter Items Other]],Table_NFI[Winter Items Other])</f>
        <v>0</v>
      </c>
      <c r="AL80" s="294">
        <f>IF(NFI_Expiration=1,IF($A80&lt;VLOOKUP(M$5,NFI,5,0),1,0)*Table_NFI[[#This Row],[Winter Blanket]],Table_NFI[[#This Row],[Winter Blanket]])</f>
        <v>0</v>
      </c>
      <c r="AM80" s="294">
        <f>IF(Table_NFI[[#This Row],[Winter Clothes Adult]]+Table_NFI[[#This Row],[Winter Clothes Children]]+Table_NFI[[#This Row],[Winter Items Other]]+Table_NFI[[#This Row],[Winter Blanket]]&gt;0,1,0)</f>
        <v>0</v>
      </c>
      <c r="AN80" s="331">
        <f>IF(NFI_Expiration=1,IF($A80&lt;VLOOKUP(V$5,NFI,5,0),1,0)*Table_NFI[[#This Row],[Jerry Can]],Table_NFI[Jerry Can])</f>
        <v>5</v>
      </c>
      <c r="AO80" s="331">
        <f>IF(NFI_Expiration=1,IF($A80&lt;VLOOKUP(V$5,NFI,5,0),1,0)*Table_NFI[[#This Row],[Shelter Tool kit]],Table_NFI[Shelter Tool kit])</f>
        <v>0</v>
      </c>
      <c r="AP80" s="331">
        <f>IF(NFI_Expiration=1,IF($A80&lt;VLOOKUP(V$5,NFI,5,0),1,0)*Table_NFI[[#This Row],[Tent]],Table_NFI[Tent])</f>
        <v>0</v>
      </c>
      <c r="AQ80" s="473" t="str">
        <f>IFERROR(VLOOKUP(Table_NFI[[#This Row],[Camp Name]],CL,2,0),"")</f>
        <v>MMR001CMP047</v>
      </c>
      <c r="AR80" s="468">
        <f ca="1">IF(Table_NFI[[#This Row],[Pcode]]="","",IF(OFFSET(CampList[Opening Date],MATCH(Table_NFI[[#This Row],[Pcode]],CampList[CP_Pcode],0)-1,0,1,1)&gt;=NFI_Monitor_Date,1,0))</f>
        <v>0</v>
      </c>
      <c r="AS80" s="473" t="str">
        <f>IFERROR(VLOOKUP(Table_NFI[[#This Row],[Camp Name]],CL,3,0),"")</f>
        <v>Open</v>
      </c>
      <c r="AT80" s="294" t="str">
        <f ca="1">IF(Table_NFI[[#This Row],[Pcode]]="","",OFFSET(CampList[Priority],MATCH(Table_NFI[[#This Row],[Pcode]],CampList[CP_Pcode],0)-1,0,1,1))</f>
        <v>P4</v>
      </c>
      <c r="AU80" s="293">
        <f>IFERROR(Table_NFI[[#This Row],[Kitchen Set]]/VLOOKUP(Table_NFI[[#This Row],[Camp Name]],CL,4,0),"")</f>
        <v>0</v>
      </c>
      <c r="AV80" s="466"/>
      <c r="AW80" s="469"/>
    </row>
    <row r="81" spans="1:49" s="470" customFormat="1" ht="14.45" customHeight="1" x14ac:dyDescent="0.2">
      <c r="A81" s="297">
        <f t="shared" si="1"/>
        <v>9.4666666666666668</v>
      </c>
      <c r="B81" s="465">
        <v>42391</v>
      </c>
      <c r="C81" s="466" t="s">
        <v>905</v>
      </c>
      <c r="D81" s="466" t="s">
        <v>905</v>
      </c>
      <c r="E81" s="466" t="s">
        <v>380</v>
      </c>
      <c r="F81" s="466" t="s">
        <v>5</v>
      </c>
      <c r="G81" s="466" t="s">
        <v>366</v>
      </c>
      <c r="H81" s="291"/>
      <c r="I81" s="291"/>
      <c r="J81" s="291"/>
      <c r="K81" s="291"/>
      <c r="L81" s="292"/>
      <c r="M81" s="292"/>
      <c r="N81" s="292"/>
      <c r="O81" s="292"/>
      <c r="P81" s="294"/>
      <c r="Q81" s="294"/>
      <c r="R81" s="294"/>
      <c r="S81" s="294"/>
      <c r="T81" s="294"/>
      <c r="U81" s="294"/>
      <c r="V81" s="621">
        <v>4</v>
      </c>
      <c r="W81" s="294"/>
      <c r="X81" s="294"/>
      <c r="Y81" s="294">
        <f>IF(NFI_Expiration=1,IF($A81&lt;VLOOKUP(H$5,NFI,5,0),1,0)*Table_NFI[[#This Row],[Hygiene Kit]],Table_NFI[Hygiene Kit])</f>
        <v>0</v>
      </c>
      <c r="Z81" s="294">
        <f>IF(NFI_Expiration=1,IF($A81&lt;VLOOKUP(I$5,NFI,5,0),1,0)*Table_NFI[[#This Row],[NFI Core Kit]],Table_NFI[NFI Core Kit])</f>
        <v>0</v>
      </c>
      <c r="AA81" s="294">
        <f>IF(NFI_Expiration=1,IF($A81&lt;VLOOKUP(J$5,NFI,5,0),1,0)*Table_NFI[[#This Row],[Sanitary Kit]],Table_NFI[Sanitary Kit])</f>
        <v>0</v>
      </c>
      <c r="AB81" s="294">
        <f>IF(NFI_Expiration=1,IF($A81&lt;VLOOKUP(K$5,NFI,5,0),1,0)*Table_NFI[[#This Row],[Mosquito net]],Table_NFI[Mosquito net])</f>
        <v>0</v>
      </c>
      <c r="AC81" s="294">
        <f>IF(NFI_Expiration=1,IF($A81&lt;VLOOKUP(L$5,NFI,5,0),1,0)*Table_NFI[[#This Row],[Tarpaulin]],Table_NFI[[#This Row],[Tarpaulin]])</f>
        <v>0</v>
      </c>
      <c r="AD81" s="294">
        <f>IF(NFI_Expiration=1,IF($A81&lt;VLOOKUP(M$5,NFI,5,0),1,0)*Table_NFI[[#This Row],[Blanket]],Table_NFI[[#This Row],[Blanket]])</f>
        <v>0</v>
      </c>
      <c r="AE81" s="294">
        <f>IF(NFI_Expiration=1,IF($A81&lt;VLOOKUP(N$5,NFI,5,0),1,0)*Table_NFI[[#This Row],[Kitchen Set]],Table_NFI[Kitchen Set])</f>
        <v>0</v>
      </c>
      <c r="AF81" s="294">
        <f>IF(NFI_Expiration=1,IF($A81&lt;VLOOKUP(O$5,NFI,5,0),1,0)*Table_NFI[[#This Row],[Clothes Kit]],Table_NFI[Clothes Kit])</f>
        <v>0</v>
      </c>
      <c r="AG81" s="294">
        <f>IF(NFI_Expiration=1,IF($A81&lt;VLOOKUP(P$5,NFI,5,0),1,0)*Table_NFI[[#This Row],[Plastic Bucket]],Table_NFI[Plastic Bucket])</f>
        <v>0</v>
      </c>
      <c r="AH81" s="294">
        <f>IF(NFI_Expiration=1,IF($A81&lt;VLOOKUP(Q$5,NFI,5,0),1,0)*Table_NFI[[#This Row],[Plastic Mat]],Table_NFI[Plastic Mat])*IF(Table_NFI[[#This Row],[Distribution Date]]&gt;"2014-04-01",1,2.5)</f>
        <v>0</v>
      </c>
      <c r="AI81" s="294">
        <f>IF(NFI_Expiration=1,IF($A81&lt;VLOOKUP(R$5,NFI,5,0),1,0)*Table_NFI[[#This Row],[Winter Clothes Adult]],Table_NFI[Winter Clothes Adult])</f>
        <v>0</v>
      </c>
      <c r="AJ81" s="294">
        <f>IF(NFI_Expiration=1,IF($A81&lt;VLOOKUP(S$5,NFI,5,0),1,0)*Table_NFI[[#This Row],[Winter Clothes Children]],Table_NFI[Winter Clothes Children])</f>
        <v>0</v>
      </c>
      <c r="AK81" s="294">
        <f>IF(NFI_Expiration=1,IF($A81&lt;VLOOKUP(T$5,NFI,5,0),1,0)*Table_NFI[[#This Row],[Winter Items Other]],Table_NFI[Winter Items Other])</f>
        <v>0</v>
      </c>
      <c r="AL81" s="294">
        <f>IF(NFI_Expiration=1,IF($A81&lt;VLOOKUP(M$5,NFI,5,0),1,0)*Table_NFI[[#This Row],[Winter Blanket]],Table_NFI[[#This Row],[Winter Blanket]])</f>
        <v>0</v>
      </c>
      <c r="AM81" s="294">
        <f>IF(Table_NFI[[#This Row],[Winter Clothes Adult]]+Table_NFI[[#This Row],[Winter Clothes Children]]+Table_NFI[[#This Row],[Winter Items Other]]+Table_NFI[[#This Row],[Winter Blanket]]&gt;0,1,0)</f>
        <v>0</v>
      </c>
      <c r="AN81" s="331">
        <f>IF(NFI_Expiration=1,IF($A81&lt;VLOOKUP(V$5,NFI,5,0),1,0)*Table_NFI[[#This Row],[Jerry Can]],Table_NFI[Jerry Can])</f>
        <v>4</v>
      </c>
      <c r="AO81" s="331">
        <f>IF(NFI_Expiration=1,IF($A81&lt;VLOOKUP(V$5,NFI,5,0),1,0)*Table_NFI[[#This Row],[Shelter Tool kit]],Table_NFI[Shelter Tool kit])</f>
        <v>0</v>
      </c>
      <c r="AP81" s="331">
        <f>IF(NFI_Expiration=1,IF($A81&lt;VLOOKUP(V$5,NFI,5,0),1,0)*Table_NFI[[#This Row],[Tent]],Table_NFI[Tent])</f>
        <v>0</v>
      </c>
      <c r="AQ81" s="473" t="str">
        <f>IFERROR(VLOOKUP(Table_NFI[[#This Row],[Camp Name]],CL,2,0),"")</f>
        <v>MMR001CMP193</v>
      </c>
      <c r="AR81" s="468">
        <f ca="1">IF(Table_NFI[[#This Row],[Pcode]]="","",IF(OFFSET(CampList[Opening Date],MATCH(Table_NFI[[#This Row],[Pcode]],CampList[CP_Pcode],0)-1,0,1,1)&gt;=NFI_Monitor_Date,1,0))</f>
        <v>0</v>
      </c>
      <c r="AS81" s="473" t="str">
        <f>IFERROR(VLOOKUP(Table_NFI[[#This Row],[Camp Name]],CL,3,0),"")</f>
        <v>Open</v>
      </c>
      <c r="AT81" s="294" t="str">
        <f ca="1">IF(Table_NFI[[#This Row],[Pcode]]="","",OFFSET(CampList[Priority],MATCH(Table_NFI[[#This Row],[Pcode]],CampList[CP_Pcode],0)-1,0,1,1))</f>
        <v>P4</v>
      </c>
      <c r="AU81" s="293">
        <f>IFERROR(Table_NFI[[#This Row],[Kitchen Set]]/VLOOKUP(Table_NFI[[#This Row],[Camp Name]],CL,4,0),"")</f>
        <v>0</v>
      </c>
      <c r="AV81" s="466"/>
      <c r="AW81" s="469"/>
    </row>
    <row r="82" spans="1:49" s="470" customFormat="1" ht="25.5" customHeight="1" x14ac:dyDescent="0.25">
      <c r="A82" s="499">
        <f t="shared" si="1"/>
        <v>9.9333333333333336</v>
      </c>
      <c r="B82" s="465">
        <v>42377</v>
      </c>
      <c r="C82" s="471" t="s">
        <v>452</v>
      </c>
      <c r="D82" s="471" t="s">
        <v>460</v>
      </c>
      <c r="E82" s="466" t="s">
        <v>553</v>
      </c>
      <c r="F82" s="466" t="s">
        <v>298</v>
      </c>
      <c r="G82" s="471" t="s">
        <v>821</v>
      </c>
      <c r="H82" s="501"/>
      <c r="I82" s="501"/>
      <c r="J82" s="501"/>
      <c r="K82" s="501">
        <v>35</v>
      </c>
      <c r="L82" s="501"/>
      <c r="M82" s="501">
        <v>35</v>
      </c>
      <c r="N82" s="501">
        <v>18</v>
      </c>
      <c r="O82" s="501"/>
      <c r="P82" s="502">
        <v>18</v>
      </c>
      <c r="Q82" s="502">
        <v>82</v>
      </c>
      <c r="R82" s="502"/>
      <c r="S82" s="502"/>
      <c r="T82" s="502"/>
      <c r="U82" s="502"/>
      <c r="V82" s="504">
        <v>18</v>
      </c>
      <c r="W82" s="502"/>
      <c r="X82" s="502"/>
      <c r="Y82" s="502">
        <f>IF(NFI_Expiration=1,IF($A82&lt;VLOOKUP(H$5,NFI,5,0),1,0)*Table_NFI[[#This Row],[Hygiene Kit]],Table_NFI[Hygiene Kit])</f>
        <v>0</v>
      </c>
      <c r="Z82" s="502">
        <f>IF(NFI_Expiration=1,IF($A82&lt;VLOOKUP(I$5,NFI,5,0),1,0)*Table_NFI[[#This Row],[NFI Core Kit]],Table_NFI[NFI Core Kit])</f>
        <v>0</v>
      </c>
      <c r="AA82" s="502">
        <f>IF(NFI_Expiration=1,IF($A82&lt;VLOOKUP(J$5,NFI,5,0),1,0)*Table_NFI[[#This Row],[Sanitary Kit]],Table_NFI[Sanitary Kit])</f>
        <v>0</v>
      </c>
      <c r="AB82" s="502">
        <f>IF(NFI_Expiration=1,IF($A82&lt;VLOOKUP(K$5,NFI,5,0),1,0)*Table_NFI[[#This Row],[Mosquito net]],Table_NFI[Mosquito net])</f>
        <v>35</v>
      </c>
      <c r="AC82" s="502">
        <f>IF(NFI_Expiration=1,IF($A82&lt;VLOOKUP(L$5,NFI,5,0),1,0)*Table_NFI[[#This Row],[Tarpaulin]],Table_NFI[[#This Row],[Tarpaulin]])</f>
        <v>0</v>
      </c>
      <c r="AD82" s="502">
        <f>IF(NFI_Expiration=1,IF($A82&lt;VLOOKUP(M$5,NFI,5,0),1,0)*Table_NFI[[#This Row],[Blanket]],Table_NFI[[#This Row],[Blanket]])</f>
        <v>35</v>
      </c>
      <c r="AE82" s="502">
        <f>IF(NFI_Expiration=1,IF($A82&lt;VLOOKUP(N$5,NFI,5,0),1,0)*Table_NFI[[#This Row],[Kitchen Set]],Table_NFI[Kitchen Set])</f>
        <v>18</v>
      </c>
      <c r="AF82" s="502">
        <f>IF(NFI_Expiration=1,IF($A82&lt;VLOOKUP(O$5,NFI,5,0),1,0)*Table_NFI[[#This Row],[Clothes Kit]],Table_NFI[Clothes Kit])</f>
        <v>0</v>
      </c>
      <c r="AG82" s="502">
        <f>IF(NFI_Expiration=1,IF($A82&lt;VLOOKUP(P$5,NFI,5,0),1,0)*Table_NFI[[#This Row],[Plastic Bucket]],Table_NFI[Plastic Bucket])</f>
        <v>18</v>
      </c>
      <c r="AH82" s="502">
        <f>IF(NFI_Expiration=1,IF($A82&lt;VLOOKUP(Q$5,NFI,5,0),1,0)*Table_NFI[[#This Row],[Plastic Mat]],Table_NFI[Plastic Mat])*IF(Table_NFI[[#This Row],[Distribution Date]]&gt;"2014-04-01",1,2.5)</f>
        <v>205</v>
      </c>
      <c r="AI82" s="502">
        <f>IF(NFI_Expiration=1,IF($A82&lt;VLOOKUP(R$5,NFI,5,0),1,0)*Table_NFI[[#This Row],[Winter Clothes Adult]],Table_NFI[Winter Clothes Adult])</f>
        <v>0</v>
      </c>
      <c r="AJ82" s="502">
        <f>IF(NFI_Expiration=1,IF($A82&lt;VLOOKUP(S$5,NFI,5,0),1,0)*Table_NFI[[#This Row],[Winter Clothes Children]],Table_NFI[Winter Clothes Children])</f>
        <v>0</v>
      </c>
      <c r="AK82" s="502">
        <f>IF(NFI_Expiration=1,IF($A82&lt;VLOOKUP(T$5,NFI,5,0),1,0)*Table_NFI[[#This Row],[Winter Items Other]],Table_NFI[Winter Items Other])</f>
        <v>0</v>
      </c>
      <c r="AL82" s="502">
        <f>IF(NFI_Expiration=1,IF($A82&lt;VLOOKUP(M$5,NFI,5,0),1,0)*Table_NFI[[#This Row],[Winter Blanket]],Table_NFI[[#This Row],[Winter Blanket]])</f>
        <v>0</v>
      </c>
      <c r="AM82" s="502">
        <f>IF(Table_NFI[[#This Row],[Winter Clothes Adult]]+Table_NFI[[#This Row],[Winter Clothes Children]]+Table_NFI[[#This Row],[Winter Items Other]]+Table_NFI[[#This Row],[Winter Blanket]]&gt;0,1,0)</f>
        <v>0</v>
      </c>
      <c r="AN82" s="504">
        <f>IF(NFI_Expiration=1,IF($A82&lt;VLOOKUP(V$5,NFI,5,0),1,0)*Table_NFI[[#This Row],[Jerry Can]],Table_NFI[Jerry Can])</f>
        <v>18</v>
      </c>
      <c r="AO82" s="504">
        <f>IF(NFI_Expiration=1,IF($A82&lt;VLOOKUP(V$5,NFI,5,0),1,0)*Table_NFI[[#This Row],[Shelter Tool kit]],Table_NFI[Shelter Tool kit])</f>
        <v>0</v>
      </c>
      <c r="AP82" s="504">
        <f>IF(NFI_Expiration=1,IF($A82&lt;VLOOKUP(V$5,NFI,5,0),1,0)*Table_NFI[[#This Row],[Tent]],Table_NFI[Tent])</f>
        <v>0</v>
      </c>
      <c r="AQ82" s="505" t="str">
        <f>IFERROR(VLOOKUP(Table_NFI[[#This Row],[Camp Name]],CL,2,0),"")</f>
        <v>MMR015CMP014</v>
      </c>
      <c r="AR82" s="506">
        <f ca="1">IF(Table_NFI[[#This Row],[Pcode]]="","",IF(OFFSET(CampList[Opening Date],MATCH(Table_NFI[[#This Row],[Pcode]],CampList[CP_Pcode],0)-1,0,1,1)&gt;=NFI_Monitor_Date,1,0))</f>
        <v>0</v>
      </c>
      <c r="AS82" s="505" t="str">
        <f>IFERROR(VLOOKUP(Table_NFI[[#This Row],[Camp Name]],CL,3,0),"")</f>
        <v>Open</v>
      </c>
      <c r="AT82" s="502" t="str">
        <f ca="1">IF(Table_NFI[[#This Row],[Pcode]]="","",OFFSET(CampList[Priority],MATCH(Table_NFI[[#This Row],[Pcode]],CampList[CP_Pcode],0)-1,0,1,1))</f>
        <v>P3</v>
      </c>
      <c r="AU82" s="507">
        <f>IFERROR(Table_NFI[[#This Row],[Kitchen Set]]/VLOOKUP(Table_NFI[[#This Row],[Camp Name]],CL,4,0),"")</f>
        <v>2.25</v>
      </c>
      <c r="AV82" s="500"/>
      <c r="AW82" s="511"/>
    </row>
    <row r="83" spans="1:49" s="470" customFormat="1" ht="15" customHeight="1" x14ac:dyDescent="0.25">
      <c r="A83" s="297">
        <f t="shared" si="1"/>
        <v>10.133333333333333</v>
      </c>
      <c r="B83" s="465">
        <v>42371</v>
      </c>
      <c r="C83" s="466" t="s">
        <v>452</v>
      </c>
      <c r="D83" s="466" t="s">
        <v>460</v>
      </c>
      <c r="E83" s="466" t="s">
        <v>553</v>
      </c>
      <c r="F83" s="466" t="s">
        <v>289</v>
      </c>
      <c r="G83" s="466"/>
      <c r="H83" s="291"/>
      <c r="I83" s="291"/>
      <c r="J83" s="291"/>
      <c r="K83" s="294"/>
      <c r="L83" s="292"/>
      <c r="M83" s="292"/>
      <c r="N83" s="292"/>
      <c r="O83" s="292"/>
      <c r="P83" s="294"/>
      <c r="Q83" s="294"/>
      <c r="R83" s="294"/>
      <c r="S83" s="294"/>
      <c r="T83" s="294"/>
      <c r="U83" s="294"/>
      <c r="V83" s="431"/>
      <c r="W83" s="294"/>
      <c r="X83" s="294">
        <v>37</v>
      </c>
      <c r="Y83" s="294">
        <f>IF(NFI_Expiration=1,IF($A83&lt;VLOOKUP(H$5,NFI,5,0),1,0)*Table_NFI[[#This Row],[Hygiene Kit]],Table_NFI[Hygiene Kit])</f>
        <v>0</v>
      </c>
      <c r="Z83" s="294">
        <f>IF(NFI_Expiration=1,IF($A83&lt;VLOOKUP(I$5,NFI,5,0),1,0)*Table_NFI[[#This Row],[NFI Core Kit]],Table_NFI[NFI Core Kit])</f>
        <v>0</v>
      </c>
      <c r="AA83" s="294">
        <f>IF(NFI_Expiration=1,IF($A83&lt;VLOOKUP(J$5,NFI,5,0),1,0)*Table_NFI[[#This Row],[Sanitary Kit]],Table_NFI[Sanitary Kit])</f>
        <v>0</v>
      </c>
      <c r="AB83" s="294">
        <f>IF(NFI_Expiration=1,IF($A83&lt;VLOOKUP(K$5,NFI,5,0),1,0)*Table_NFI[[#This Row],[Mosquito net]],Table_NFI[Mosquito net])</f>
        <v>0</v>
      </c>
      <c r="AC83" s="294">
        <f>IF(NFI_Expiration=1,IF($A83&lt;VLOOKUP(L$5,NFI,5,0),1,0)*Table_NFI[[#This Row],[Tarpaulin]],Table_NFI[[#This Row],[Tarpaulin]])</f>
        <v>0</v>
      </c>
      <c r="AD83" s="294">
        <f>IF(NFI_Expiration=1,IF($A83&lt;VLOOKUP(M$5,NFI,5,0),1,0)*Table_NFI[[#This Row],[Blanket]],Table_NFI[[#This Row],[Blanket]])</f>
        <v>0</v>
      </c>
      <c r="AE83" s="294">
        <f>IF(NFI_Expiration=1,IF($A83&lt;VLOOKUP(N$5,NFI,5,0),1,0)*Table_NFI[[#This Row],[Kitchen Set]],Table_NFI[Kitchen Set])</f>
        <v>0</v>
      </c>
      <c r="AF83" s="294">
        <f>IF(NFI_Expiration=1,IF($A83&lt;VLOOKUP(O$5,NFI,5,0),1,0)*Table_NFI[[#This Row],[Clothes Kit]],Table_NFI[Clothes Kit])</f>
        <v>0</v>
      </c>
      <c r="AG83" s="294">
        <f>IF(NFI_Expiration=1,IF($A83&lt;VLOOKUP(P$5,NFI,5,0),1,0)*Table_NFI[[#This Row],[Plastic Bucket]],Table_NFI[Plastic Bucket])</f>
        <v>0</v>
      </c>
      <c r="AH83" s="294">
        <f>IF(NFI_Expiration=1,IF($A83&lt;VLOOKUP(Q$5,NFI,5,0),1,0)*Table_NFI[[#This Row],[Plastic Mat]],Table_NFI[Plastic Mat])*IF(Table_NFI[[#This Row],[Distribution Date]]&gt;"2014-04-01",1,2.5)</f>
        <v>0</v>
      </c>
      <c r="AI83" s="294">
        <f>IF(NFI_Expiration=1,IF($A83&lt;VLOOKUP(R$5,NFI,5,0),1,0)*Table_NFI[[#This Row],[Winter Clothes Adult]],Table_NFI[Winter Clothes Adult])</f>
        <v>0</v>
      </c>
      <c r="AJ83" s="294">
        <f>IF(NFI_Expiration=1,IF($A83&lt;VLOOKUP(S$5,NFI,5,0),1,0)*Table_NFI[[#This Row],[Winter Clothes Children]],Table_NFI[Winter Clothes Children])</f>
        <v>0</v>
      </c>
      <c r="AK83" s="294">
        <f>IF(NFI_Expiration=1,IF($A83&lt;VLOOKUP(T$5,NFI,5,0),1,0)*Table_NFI[[#This Row],[Winter Items Other]],Table_NFI[Winter Items Other])</f>
        <v>0</v>
      </c>
      <c r="AL83" s="294">
        <f>IF(NFI_Expiration=1,IF($A83&lt;VLOOKUP(M$5,NFI,5,0),1,0)*Table_NFI[[#This Row],[Winter Blanket]],Table_NFI[[#This Row],[Winter Blanket]])</f>
        <v>0</v>
      </c>
      <c r="AM83" s="294">
        <f>IF(Table_NFI[[#This Row],[Winter Clothes Adult]]+Table_NFI[[#This Row],[Winter Clothes Children]]+Table_NFI[[#This Row],[Winter Items Other]]+Table_NFI[[#This Row],[Winter Blanket]]&gt;0,1,0)</f>
        <v>0</v>
      </c>
      <c r="AN83" s="331">
        <f>IF(NFI_Expiration=1,IF($A83&lt;VLOOKUP(V$5,NFI,5,0),1,0)*Table_NFI[[#This Row],[Jerry Can]],Table_NFI[Jerry Can])</f>
        <v>0</v>
      </c>
      <c r="AO83" s="331">
        <f>IF(NFI_Expiration=1,IF($A83&lt;VLOOKUP(V$5,NFI,5,0),1,0)*Table_NFI[[#This Row],[Shelter Tool kit]],Table_NFI[Shelter Tool kit])</f>
        <v>0</v>
      </c>
      <c r="AP83" s="331">
        <f>IF(NFI_Expiration=1,IF($A83&lt;VLOOKUP(V$5,NFI,5,0),1,0)*Table_NFI[[#This Row],[Tent]],Table_NFI[Tent])</f>
        <v>37</v>
      </c>
      <c r="AQ83" s="473" t="str">
        <f>IFERROR(VLOOKUP(Table_NFI[[#This Row],[Camp Name]],CL,2,0),"")</f>
        <v/>
      </c>
      <c r="AR83" s="468" t="str">
        <f ca="1">IF(Table_NFI[[#This Row],[Pcode]]="","",IF(OFFSET(CampList[Opening Date],MATCH(Table_NFI[[#This Row],[Pcode]],CampList[CP_Pcode],0)-1,0,1,1)&gt;=NFI_Monitor_Date,1,0))</f>
        <v/>
      </c>
      <c r="AS83" s="670" t="str">
        <f>IFERROR(VLOOKUP(Table_NFI[[#This Row],[Camp Name]],CL,3,0),"")</f>
        <v/>
      </c>
      <c r="AT83" s="294" t="str">
        <f ca="1">IF(Table_NFI[[#This Row],[Pcode]]="","",OFFSET(CampList[Priority],MATCH(Table_NFI[[#This Row],[Pcode]],CampList[CP_Pcode],0)-1,0,1,1))</f>
        <v/>
      </c>
      <c r="AU83" s="507" t="str">
        <f>IFERROR(Table_NFI[[#This Row],[Kitchen Set]]/VLOOKUP(Table_NFI[[#This Row],[Camp Name]],CL,4,0),"")</f>
        <v/>
      </c>
      <c r="AV83" s="466"/>
      <c r="AW83" s="469" t="s">
        <v>1352</v>
      </c>
    </row>
    <row r="84" spans="1:49" s="470" customFormat="1" ht="15" customHeight="1" x14ac:dyDescent="0.25">
      <c r="A84" s="297">
        <f t="shared" si="1"/>
        <v>10.633333333333333</v>
      </c>
      <c r="B84" s="465">
        <v>42356</v>
      </c>
      <c r="C84" s="466" t="s">
        <v>905</v>
      </c>
      <c r="D84" s="467" t="s">
        <v>905</v>
      </c>
      <c r="E84" s="466" t="s">
        <v>380</v>
      </c>
      <c r="F84" s="290" t="s">
        <v>185</v>
      </c>
      <c r="G84" s="290" t="s">
        <v>1437</v>
      </c>
      <c r="H84" s="291"/>
      <c r="I84" s="291"/>
      <c r="J84" s="292"/>
      <c r="K84" s="291"/>
      <c r="L84" s="292"/>
      <c r="M84" s="292"/>
      <c r="N84" s="292"/>
      <c r="O84" s="292"/>
      <c r="P84" s="294"/>
      <c r="Q84" s="294"/>
      <c r="R84" s="294"/>
      <c r="S84" s="294"/>
      <c r="T84" s="294"/>
      <c r="U84" s="294"/>
      <c r="V84" s="431"/>
      <c r="W84" s="294">
        <v>13</v>
      </c>
      <c r="X84" s="294"/>
      <c r="Y84" s="294">
        <f>IF(NFI_Expiration=1,IF($A84&lt;VLOOKUP(H$5,NFI,5,0),1,0)*Table_NFI[[#This Row],[Hygiene Kit]],Table_NFI[Hygiene Kit])</f>
        <v>0</v>
      </c>
      <c r="Z84" s="294">
        <f>IF(NFI_Expiration=1,IF($A84&lt;VLOOKUP(I$5,NFI,5,0),1,0)*Table_NFI[[#This Row],[NFI Core Kit]],Table_NFI[NFI Core Kit])</f>
        <v>0</v>
      </c>
      <c r="AA84" s="294">
        <f>IF(NFI_Expiration=1,IF($A84&lt;VLOOKUP(J$5,NFI,5,0),1,0)*Table_NFI[[#This Row],[Sanitary Kit]],Table_NFI[Sanitary Kit])</f>
        <v>0</v>
      </c>
      <c r="AB84" s="294">
        <f>IF(NFI_Expiration=1,IF($A84&lt;VLOOKUP(K$5,NFI,5,0),1,0)*Table_NFI[[#This Row],[Mosquito net]],Table_NFI[Mosquito net])</f>
        <v>0</v>
      </c>
      <c r="AC84" s="294">
        <f>IF(NFI_Expiration=1,IF($A84&lt;VLOOKUP(L$5,NFI,5,0),1,0)*Table_NFI[[#This Row],[Tarpaulin]],Table_NFI[[#This Row],[Tarpaulin]])</f>
        <v>0</v>
      </c>
      <c r="AD84" s="294">
        <f>IF(NFI_Expiration=1,IF($A84&lt;VLOOKUP(M$5,NFI,5,0),1,0)*Table_NFI[[#This Row],[Blanket]],Table_NFI[[#This Row],[Blanket]])</f>
        <v>0</v>
      </c>
      <c r="AE84" s="294">
        <f>IF(NFI_Expiration=1,IF($A84&lt;VLOOKUP(N$5,NFI,5,0),1,0)*Table_NFI[[#This Row],[Kitchen Set]],Table_NFI[Kitchen Set])</f>
        <v>0</v>
      </c>
      <c r="AF84" s="294">
        <f>IF(NFI_Expiration=1,IF($A84&lt;VLOOKUP(O$5,NFI,5,0),1,0)*Table_NFI[[#This Row],[Clothes Kit]],Table_NFI[Clothes Kit])</f>
        <v>0</v>
      </c>
      <c r="AG84" s="294">
        <f>IF(NFI_Expiration=1,IF($A84&lt;VLOOKUP(P$5,NFI,5,0),1,0)*Table_NFI[[#This Row],[Plastic Bucket]],Table_NFI[Plastic Bucket])</f>
        <v>0</v>
      </c>
      <c r="AH84" s="294">
        <f>IF(NFI_Expiration=1,IF($A84&lt;VLOOKUP(Q$5,NFI,5,0),1,0)*Table_NFI[[#This Row],[Plastic Mat]],Table_NFI[Plastic Mat])*IF(Table_NFI[[#This Row],[Distribution Date]]&gt;"2014-04-01",1,2.5)</f>
        <v>0</v>
      </c>
      <c r="AI84" s="294">
        <f>IF(NFI_Expiration=1,IF($A84&lt;VLOOKUP(R$5,NFI,5,0),1,0)*Table_NFI[[#This Row],[Winter Clothes Adult]],Table_NFI[Winter Clothes Adult])</f>
        <v>0</v>
      </c>
      <c r="AJ84" s="294">
        <f>IF(NFI_Expiration=1,IF($A84&lt;VLOOKUP(S$5,NFI,5,0),1,0)*Table_NFI[[#This Row],[Winter Clothes Children]],Table_NFI[Winter Clothes Children])</f>
        <v>0</v>
      </c>
      <c r="AK84" s="294">
        <f>IF(NFI_Expiration=1,IF($A84&lt;VLOOKUP(T$5,NFI,5,0),1,0)*Table_NFI[[#This Row],[Winter Items Other]],Table_NFI[Winter Items Other])</f>
        <v>0</v>
      </c>
      <c r="AL84" s="294">
        <f>IF(NFI_Expiration=1,IF($A84&lt;VLOOKUP(M$5,NFI,5,0),1,0)*Table_NFI[[#This Row],[Winter Blanket]],Table_NFI[[#This Row],[Winter Blanket]])</f>
        <v>0</v>
      </c>
      <c r="AM84" s="294">
        <f>IF(Table_NFI[[#This Row],[Winter Clothes Adult]]+Table_NFI[[#This Row],[Winter Clothes Children]]+Table_NFI[[#This Row],[Winter Items Other]]+Table_NFI[[#This Row],[Winter Blanket]]&gt;0,1,0)</f>
        <v>0</v>
      </c>
      <c r="AN84" s="331">
        <f>IF(NFI_Expiration=1,IF($A84&lt;VLOOKUP(V$5,NFI,5,0),1,0)*Table_NFI[[#This Row],[Jerry Can]],Table_NFI[Jerry Can])</f>
        <v>0</v>
      </c>
      <c r="AO84" s="331">
        <f>IF(NFI_Expiration=1,IF($A84&lt;VLOOKUP(V$5,NFI,5,0),1,0)*Table_NFI[[#This Row],[Shelter Tool kit]],Table_NFI[Shelter Tool kit])</f>
        <v>13</v>
      </c>
      <c r="AP84" s="331">
        <f>IF(NFI_Expiration=1,IF($A84&lt;VLOOKUP(V$5,NFI,5,0),1,0)*Table_NFI[[#This Row],[Tent]],Table_NFI[Tent])</f>
        <v>0</v>
      </c>
      <c r="AQ84" s="473" t="str">
        <f>IFERROR(VLOOKUP(Table_NFI[[#This Row],[Camp Name]],CL,2,0),"")</f>
        <v/>
      </c>
      <c r="AR84" s="468" t="str">
        <f ca="1">IF(Table_NFI[[#This Row],[Pcode]]="","",IF(OFFSET(CampList[Opening Date],MATCH(Table_NFI[[#This Row],[Pcode]],CampList[CP_Pcode],0)-1,0,1,1)&gt;=NFI_Monitor_Date,1,0))</f>
        <v/>
      </c>
      <c r="AS84" s="670" t="str">
        <f>IFERROR(VLOOKUP(Table_NFI[[#This Row],[Camp Name]],CL,3,0),"")</f>
        <v/>
      </c>
      <c r="AT84" s="294" t="str">
        <f ca="1">IF(Table_NFI[[#This Row],[Pcode]]="","",OFFSET(CampList[Priority],MATCH(Table_NFI[[#This Row],[Pcode]],CampList[CP_Pcode],0)-1,0,1,1))</f>
        <v/>
      </c>
      <c r="AU84" s="293" t="str">
        <f>IFERROR(Table_NFI[[#This Row],[Kitchen Set]]/VLOOKUP(Table_NFI[[#This Row],[Camp Name]],CL,4,0),"")</f>
        <v/>
      </c>
      <c r="AV84" s="466"/>
      <c r="AW84" s="469"/>
    </row>
    <row r="85" spans="1:49" s="98" customFormat="1" ht="15" customHeight="1" x14ac:dyDescent="0.25">
      <c r="A85" s="297">
        <f t="shared" si="1"/>
        <v>10.633333333333333</v>
      </c>
      <c r="B85" s="465">
        <v>42356</v>
      </c>
      <c r="C85" s="466" t="s">
        <v>905</v>
      </c>
      <c r="D85" s="466" t="s">
        <v>905</v>
      </c>
      <c r="E85" s="466" t="s">
        <v>380</v>
      </c>
      <c r="F85" s="466" t="s">
        <v>185</v>
      </c>
      <c r="G85" s="290" t="s">
        <v>217</v>
      </c>
      <c r="H85" s="291"/>
      <c r="I85" s="291"/>
      <c r="J85" s="292"/>
      <c r="K85" s="291"/>
      <c r="L85" s="292"/>
      <c r="M85" s="292"/>
      <c r="N85" s="292"/>
      <c r="O85" s="292"/>
      <c r="P85" s="294"/>
      <c r="Q85" s="294"/>
      <c r="R85" s="294"/>
      <c r="S85" s="294"/>
      <c r="T85" s="294"/>
      <c r="U85" s="294"/>
      <c r="V85" s="431"/>
      <c r="W85" s="294">
        <v>5</v>
      </c>
      <c r="X85" s="294"/>
      <c r="Y85" s="294">
        <f>IF(NFI_Expiration=1,IF($A85&lt;VLOOKUP(H$5,NFI,5,0),1,0)*Table_NFI[[#This Row],[Hygiene Kit]],Table_NFI[Hygiene Kit])</f>
        <v>0</v>
      </c>
      <c r="Z85" s="294">
        <f>IF(NFI_Expiration=1,IF($A85&lt;VLOOKUP(I$5,NFI,5,0),1,0)*Table_NFI[[#This Row],[NFI Core Kit]],Table_NFI[NFI Core Kit])</f>
        <v>0</v>
      </c>
      <c r="AA85" s="294">
        <f>IF(NFI_Expiration=1,IF($A85&lt;VLOOKUP(J$5,NFI,5,0),1,0)*Table_NFI[[#This Row],[Sanitary Kit]],Table_NFI[Sanitary Kit])</f>
        <v>0</v>
      </c>
      <c r="AB85" s="294">
        <f>IF(NFI_Expiration=1,IF($A85&lt;VLOOKUP(K$5,NFI,5,0),1,0)*Table_NFI[[#This Row],[Mosquito net]],Table_NFI[Mosquito net])</f>
        <v>0</v>
      </c>
      <c r="AC85" s="294">
        <f>IF(NFI_Expiration=1,IF($A85&lt;VLOOKUP(L$5,NFI,5,0),1,0)*Table_NFI[[#This Row],[Tarpaulin]],Table_NFI[[#This Row],[Tarpaulin]])</f>
        <v>0</v>
      </c>
      <c r="AD85" s="294">
        <f>IF(NFI_Expiration=1,IF($A85&lt;VLOOKUP(M$5,NFI,5,0),1,0)*Table_NFI[[#This Row],[Blanket]],Table_NFI[[#This Row],[Blanket]])</f>
        <v>0</v>
      </c>
      <c r="AE85" s="294">
        <f>IF(NFI_Expiration=1,IF($A85&lt;VLOOKUP(N$5,NFI,5,0),1,0)*Table_NFI[[#This Row],[Kitchen Set]],Table_NFI[Kitchen Set])</f>
        <v>0</v>
      </c>
      <c r="AF85" s="294">
        <f>IF(NFI_Expiration=1,IF($A85&lt;VLOOKUP(O$5,NFI,5,0),1,0)*Table_NFI[[#This Row],[Clothes Kit]],Table_NFI[Clothes Kit])</f>
        <v>0</v>
      </c>
      <c r="AG85" s="294">
        <f>IF(NFI_Expiration=1,IF($A85&lt;VLOOKUP(P$5,NFI,5,0),1,0)*Table_NFI[[#This Row],[Plastic Bucket]],Table_NFI[Plastic Bucket])</f>
        <v>0</v>
      </c>
      <c r="AH85" s="294">
        <f>IF(NFI_Expiration=1,IF($A85&lt;VLOOKUP(Q$5,NFI,5,0),1,0)*Table_NFI[[#This Row],[Plastic Mat]],Table_NFI[Plastic Mat])*IF(Table_NFI[[#This Row],[Distribution Date]]&gt;"2014-04-01",1,2.5)</f>
        <v>0</v>
      </c>
      <c r="AI85" s="294">
        <f>IF(NFI_Expiration=1,IF($A85&lt;VLOOKUP(R$5,NFI,5,0),1,0)*Table_NFI[[#This Row],[Winter Clothes Adult]],Table_NFI[Winter Clothes Adult])</f>
        <v>0</v>
      </c>
      <c r="AJ85" s="294">
        <f>IF(NFI_Expiration=1,IF($A85&lt;VLOOKUP(S$5,NFI,5,0),1,0)*Table_NFI[[#This Row],[Winter Clothes Children]],Table_NFI[Winter Clothes Children])</f>
        <v>0</v>
      </c>
      <c r="AK85" s="294">
        <f>IF(NFI_Expiration=1,IF($A85&lt;VLOOKUP(T$5,NFI,5,0),1,0)*Table_NFI[[#This Row],[Winter Items Other]],Table_NFI[Winter Items Other])</f>
        <v>0</v>
      </c>
      <c r="AL85" s="294">
        <f>IF(NFI_Expiration=1,IF($A85&lt;VLOOKUP(M$5,NFI,5,0),1,0)*Table_NFI[[#This Row],[Winter Blanket]],Table_NFI[[#This Row],[Winter Blanket]])</f>
        <v>0</v>
      </c>
      <c r="AM85" s="294">
        <f>IF(Table_NFI[[#This Row],[Winter Clothes Adult]]+Table_NFI[[#This Row],[Winter Clothes Children]]+Table_NFI[[#This Row],[Winter Items Other]]+Table_NFI[[#This Row],[Winter Blanket]]&gt;0,1,0)</f>
        <v>0</v>
      </c>
      <c r="AN85" s="331">
        <f>IF(NFI_Expiration=1,IF($A85&lt;VLOOKUP(V$5,NFI,5,0),1,0)*Table_NFI[[#This Row],[Jerry Can]],Table_NFI[Jerry Can])</f>
        <v>0</v>
      </c>
      <c r="AO85" s="331">
        <f>IF(NFI_Expiration=1,IF($A85&lt;VLOOKUP(V$5,NFI,5,0),1,0)*Table_NFI[[#This Row],[Shelter Tool kit]],Table_NFI[Shelter Tool kit])</f>
        <v>5</v>
      </c>
      <c r="AP85" s="331">
        <f>IF(NFI_Expiration=1,IF($A85&lt;VLOOKUP(V$5,NFI,5,0),1,0)*Table_NFI[[#This Row],[Tent]],Table_NFI[Tent])</f>
        <v>0</v>
      </c>
      <c r="AQ85" s="473" t="str">
        <f>IFERROR(VLOOKUP(Table_NFI[[#This Row],[Camp Name]],CL,2,0),"")</f>
        <v>MMR001CMP059</v>
      </c>
      <c r="AR85" s="468">
        <f ca="1">IF(Table_NFI[[#This Row],[Pcode]]="","",IF(OFFSET(CampList[Opening Date],MATCH(Table_NFI[[#This Row],[Pcode]],CampList[CP_Pcode],0)-1,0,1,1)&gt;=NFI_Monitor_Date,1,0))</f>
        <v>0</v>
      </c>
      <c r="AS85" s="473" t="str">
        <f>IFERROR(VLOOKUP(Table_NFI[[#This Row],[Camp Name]],CL,3,0),"")</f>
        <v>Closed</v>
      </c>
      <c r="AT85" s="294" t="str">
        <f ca="1">IF(Table_NFI[[#This Row],[Pcode]]="","",OFFSET(CampList[Priority],MATCH(Table_NFI[[#This Row],[Pcode]],CampList[CP_Pcode],0)-1,0,1,1))</f>
        <v>P4</v>
      </c>
      <c r="AU85" s="293" t="str">
        <f>IFERROR(Table_NFI[[#This Row],[Kitchen Set]]/VLOOKUP(Table_NFI[[#This Row],[Camp Name]],CL,4,0),"")</f>
        <v/>
      </c>
      <c r="AV85" s="466"/>
      <c r="AW85" s="469"/>
    </row>
    <row r="86" spans="1:49" s="470" customFormat="1" ht="15" customHeight="1" x14ac:dyDescent="0.25">
      <c r="A86" s="297">
        <f t="shared" si="1"/>
        <v>10.633333333333333</v>
      </c>
      <c r="B86" s="465">
        <v>42356</v>
      </c>
      <c r="C86" s="466" t="s">
        <v>905</v>
      </c>
      <c r="D86" s="466" t="s">
        <v>905</v>
      </c>
      <c r="E86" s="466" t="s">
        <v>380</v>
      </c>
      <c r="F86" s="466" t="s">
        <v>5</v>
      </c>
      <c r="G86" s="466" t="s">
        <v>366</v>
      </c>
      <c r="H86" s="291"/>
      <c r="I86" s="291"/>
      <c r="J86" s="291"/>
      <c r="K86" s="291"/>
      <c r="L86" s="292"/>
      <c r="M86" s="292"/>
      <c r="N86" s="292"/>
      <c r="O86" s="292"/>
      <c r="P86" s="294"/>
      <c r="Q86" s="294"/>
      <c r="R86" s="294"/>
      <c r="S86" s="294"/>
      <c r="T86" s="294"/>
      <c r="U86" s="294"/>
      <c r="V86" s="431"/>
      <c r="W86" s="294">
        <v>24</v>
      </c>
      <c r="X86" s="294"/>
      <c r="Y86" s="294">
        <f>IF(NFI_Expiration=1,IF($A86&lt;VLOOKUP(H$5,NFI,5,0),1,0)*Table_NFI[[#This Row],[Hygiene Kit]],Table_NFI[Hygiene Kit])</f>
        <v>0</v>
      </c>
      <c r="Z86" s="294">
        <f>IF(NFI_Expiration=1,IF($A86&lt;VLOOKUP(I$5,NFI,5,0),1,0)*Table_NFI[[#This Row],[NFI Core Kit]],Table_NFI[NFI Core Kit])</f>
        <v>0</v>
      </c>
      <c r="AA86" s="294">
        <f>IF(NFI_Expiration=1,IF($A86&lt;VLOOKUP(J$5,NFI,5,0),1,0)*Table_NFI[[#This Row],[Sanitary Kit]],Table_NFI[Sanitary Kit])</f>
        <v>0</v>
      </c>
      <c r="AB86" s="294">
        <f>IF(NFI_Expiration=1,IF($A86&lt;VLOOKUP(K$5,NFI,5,0),1,0)*Table_NFI[[#This Row],[Mosquito net]],Table_NFI[Mosquito net])</f>
        <v>0</v>
      </c>
      <c r="AC86" s="294">
        <f>IF(NFI_Expiration=1,IF($A86&lt;VLOOKUP(L$5,NFI,5,0),1,0)*Table_NFI[[#This Row],[Tarpaulin]],Table_NFI[[#This Row],[Tarpaulin]])</f>
        <v>0</v>
      </c>
      <c r="AD86" s="294">
        <f>IF(NFI_Expiration=1,IF($A86&lt;VLOOKUP(M$5,NFI,5,0),1,0)*Table_NFI[[#This Row],[Blanket]],Table_NFI[[#This Row],[Blanket]])</f>
        <v>0</v>
      </c>
      <c r="AE86" s="294">
        <f>IF(NFI_Expiration=1,IF($A86&lt;VLOOKUP(N$5,NFI,5,0),1,0)*Table_NFI[[#This Row],[Kitchen Set]],Table_NFI[Kitchen Set])</f>
        <v>0</v>
      </c>
      <c r="AF86" s="294">
        <f>IF(NFI_Expiration=1,IF($A86&lt;VLOOKUP(O$5,NFI,5,0),1,0)*Table_NFI[[#This Row],[Clothes Kit]],Table_NFI[Clothes Kit])</f>
        <v>0</v>
      </c>
      <c r="AG86" s="294">
        <f>IF(NFI_Expiration=1,IF($A86&lt;VLOOKUP(P$5,NFI,5,0),1,0)*Table_NFI[[#This Row],[Plastic Bucket]],Table_NFI[Plastic Bucket])</f>
        <v>0</v>
      </c>
      <c r="AH86" s="294">
        <f>IF(NFI_Expiration=1,IF($A86&lt;VLOOKUP(Q$5,NFI,5,0),1,0)*Table_NFI[[#This Row],[Plastic Mat]],Table_NFI[Plastic Mat])*IF(Table_NFI[[#This Row],[Distribution Date]]&gt;"2014-04-01",1,2.5)</f>
        <v>0</v>
      </c>
      <c r="AI86" s="294">
        <f>IF(NFI_Expiration=1,IF($A86&lt;VLOOKUP(R$5,NFI,5,0),1,0)*Table_NFI[[#This Row],[Winter Clothes Adult]],Table_NFI[Winter Clothes Adult])</f>
        <v>0</v>
      </c>
      <c r="AJ86" s="294">
        <f>IF(NFI_Expiration=1,IF($A86&lt;VLOOKUP(S$5,NFI,5,0),1,0)*Table_NFI[[#This Row],[Winter Clothes Children]],Table_NFI[Winter Clothes Children])</f>
        <v>0</v>
      </c>
      <c r="AK86" s="294">
        <f>IF(NFI_Expiration=1,IF($A86&lt;VLOOKUP(T$5,NFI,5,0),1,0)*Table_NFI[[#This Row],[Winter Items Other]],Table_NFI[Winter Items Other])</f>
        <v>0</v>
      </c>
      <c r="AL86" s="294">
        <f>IF(NFI_Expiration=1,IF($A86&lt;VLOOKUP(M$5,NFI,5,0),1,0)*Table_NFI[[#This Row],[Winter Blanket]],Table_NFI[[#This Row],[Winter Blanket]])</f>
        <v>0</v>
      </c>
      <c r="AM86" s="294">
        <f>IF(Table_NFI[[#This Row],[Winter Clothes Adult]]+Table_NFI[[#This Row],[Winter Clothes Children]]+Table_NFI[[#This Row],[Winter Items Other]]+Table_NFI[[#This Row],[Winter Blanket]]&gt;0,1,0)</f>
        <v>0</v>
      </c>
      <c r="AN86" s="331">
        <f>IF(NFI_Expiration=1,IF($A86&lt;VLOOKUP(V$5,NFI,5,0),1,0)*Table_NFI[[#This Row],[Jerry Can]],Table_NFI[Jerry Can])</f>
        <v>0</v>
      </c>
      <c r="AO86" s="331">
        <f>IF(NFI_Expiration=1,IF($A86&lt;VLOOKUP(V$5,NFI,5,0),1,0)*Table_NFI[[#This Row],[Shelter Tool kit]],Table_NFI[Shelter Tool kit])</f>
        <v>24</v>
      </c>
      <c r="AP86" s="331">
        <f>IF(NFI_Expiration=1,IF($A86&lt;VLOOKUP(V$5,NFI,5,0),1,0)*Table_NFI[[#This Row],[Tent]],Table_NFI[Tent])</f>
        <v>0</v>
      </c>
      <c r="AQ86" s="473" t="str">
        <f>IFERROR(VLOOKUP(Table_NFI[[#This Row],[Camp Name]],CL,2,0),"")</f>
        <v>MMR001CMP193</v>
      </c>
      <c r="AR86" s="468">
        <f ca="1">IF(Table_NFI[[#This Row],[Pcode]]="","",IF(OFFSET(CampList[Opening Date],MATCH(Table_NFI[[#This Row],[Pcode]],CampList[CP_Pcode],0)-1,0,1,1)&gt;=NFI_Monitor_Date,1,0))</f>
        <v>0</v>
      </c>
      <c r="AS86" s="473" t="str">
        <f>IFERROR(VLOOKUP(Table_NFI[[#This Row],[Camp Name]],CL,3,0),"")</f>
        <v>Open</v>
      </c>
      <c r="AT86" s="294" t="str">
        <f ca="1">IF(Table_NFI[[#This Row],[Pcode]]="","",OFFSET(CampList[Priority],MATCH(Table_NFI[[#This Row],[Pcode]],CampList[CP_Pcode],0)-1,0,1,1))</f>
        <v>P4</v>
      </c>
      <c r="AU86" s="293">
        <f>IFERROR(Table_NFI[[#This Row],[Kitchen Set]]/VLOOKUP(Table_NFI[[#This Row],[Camp Name]],CL,4,0),"")</f>
        <v>0</v>
      </c>
      <c r="AV86" s="466"/>
      <c r="AW86" s="469"/>
    </row>
    <row r="87" spans="1:49" s="98" customFormat="1" ht="15" customHeight="1" x14ac:dyDescent="0.25">
      <c r="A87" s="297">
        <f t="shared" si="1"/>
        <v>10.633333333333333</v>
      </c>
      <c r="B87" s="465">
        <v>42356</v>
      </c>
      <c r="C87" s="466" t="s">
        <v>905</v>
      </c>
      <c r="D87" s="466" t="s">
        <v>905</v>
      </c>
      <c r="E87" s="466" t="s">
        <v>380</v>
      </c>
      <c r="F87" s="466" t="s">
        <v>5</v>
      </c>
      <c r="G87" s="466" t="s">
        <v>24</v>
      </c>
      <c r="H87" s="291"/>
      <c r="I87" s="291"/>
      <c r="J87" s="292"/>
      <c r="K87" s="291"/>
      <c r="L87" s="292"/>
      <c r="M87" s="292"/>
      <c r="N87" s="292"/>
      <c r="O87" s="292"/>
      <c r="P87" s="294"/>
      <c r="Q87" s="294"/>
      <c r="R87" s="294"/>
      <c r="S87" s="294"/>
      <c r="T87" s="294"/>
      <c r="U87" s="294"/>
      <c r="V87" s="431"/>
      <c r="W87" s="294">
        <v>5</v>
      </c>
      <c r="X87" s="294"/>
      <c r="Y87" s="294">
        <f>IF(NFI_Expiration=1,IF($A87&lt;VLOOKUP(H$5,NFI,5,0),1,0)*Table_NFI[[#This Row],[Hygiene Kit]],Table_NFI[Hygiene Kit])</f>
        <v>0</v>
      </c>
      <c r="Z87" s="294">
        <f>IF(NFI_Expiration=1,IF($A87&lt;VLOOKUP(I$5,NFI,5,0),1,0)*Table_NFI[[#This Row],[NFI Core Kit]],Table_NFI[NFI Core Kit])</f>
        <v>0</v>
      </c>
      <c r="AA87" s="294">
        <f>IF(NFI_Expiration=1,IF($A87&lt;VLOOKUP(J$5,NFI,5,0),1,0)*Table_NFI[[#This Row],[Sanitary Kit]],Table_NFI[Sanitary Kit])</f>
        <v>0</v>
      </c>
      <c r="AB87" s="294">
        <f>IF(NFI_Expiration=1,IF($A87&lt;VLOOKUP(K$5,NFI,5,0),1,0)*Table_NFI[[#This Row],[Mosquito net]],Table_NFI[Mosquito net])</f>
        <v>0</v>
      </c>
      <c r="AC87" s="294">
        <f>IF(NFI_Expiration=1,IF($A87&lt;VLOOKUP(L$5,NFI,5,0),1,0)*Table_NFI[[#This Row],[Tarpaulin]],Table_NFI[[#This Row],[Tarpaulin]])</f>
        <v>0</v>
      </c>
      <c r="AD87" s="294">
        <f>IF(NFI_Expiration=1,IF($A87&lt;VLOOKUP(M$5,NFI,5,0),1,0)*Table_NFI[[#This Row],[Blanket]],Table_NFI[[#This Row],[Blanket]])</f>
        <v>0</v>
      </c>
      <c r="AE87" s="294">
        <f>IF(NFI_Expiration=1,IF($A87&lt;VLOOKUP(N$5,NFI,5,0),1,0)*Table_NFI[[#This Row],[Kitchen Set]],Table_NFI[Kitchen Set])</f>
        <v>0</v>
      </c>
      <c r="AF87" s="294">
        <f>IF(NFI_Expiration=1,IF($A87&lt;VLOOKUP(O$5,NFI,5,0),1,0)*Table_NFI[[#This Row],[Clothes Kit]],Table_NFI[Clothes Kit])</f>
        <v>0</v>
      </c>
      <c r="AG87" s="294">
        <f>IF(NFI_Expiration=1,IF($A87&lt;VLOOKUP(P$5,NFI,5,0),1,0)*Table_NFI[[#This Row],[Plastic Bucket]],Table_NFI[Plastic Bucket])</f>
        <v>0</v>
      </c>
      <c r="AH87" s="294">
        <f>IF(NFI_Expiration=1,IF($A87&lt;VLOOKUP(Q$5,NFI,5,0),1,0)*Table_NFI[[#This Row],[Plastic Mat]],Table_NFI[Plastic Mat])*IF(Table_NFI[[#This Row],[Distribution Date]]&gt;"2014-04-01",1,2.5)</f>
        <v>0</v>
      </c>
      <c r="AI87" s="294">
        <f>IF(NFI_Expiration=1,IF($A87&lt;VLOOKUP(R$5,NFI,5,0),1,0)*Table_NFI[[#This Row],[Winter Clothes Adult]],Table_NFI[Winter Clothes Adult])</f>
        <v>0</v>
      </c>
      <c r="AJ87" s="294">
        <f>IF(NFI_Expiration=1,IF($A87&lt;VLOOKUP(S$5,NFI,5,0),1,0)*Table_NFI[[#This Row],[Winter Clothes Children]],Table_NFI[Winter Clothes Children])</f>
        <v>0</v>
      </c>
      <c r="AK87" s="294">
        <f>IF(NFI_Expiration=1,IF($A87&lt;VLOOKUP(T$5,NFI,5,0),1,0)*Table_NFI[[#This Row],[Winter Items Other]],Table_NFI[Winter Items Other])</f>
        <v>0</v>
      </c>
      <c r="AL87" s="294">
        <f>IF(NFI_Expiration=1,IF($A87&lt;VLOOKUP(M$5,NFI,5,0),1,0)*Table_NFI[[#This Row],[Winter Blanket]],Table_NFI[[#This Row],[Winter Blanket]])</f>
        <v>0</v>
      </c>
      <c r="AM87" s="294">
        <f>IF(Table_NFI[[#This Row],[Winter Clothes Adult]]+Table_NFI[[#This Row],[Winter Clothes Children]]+Table_NFI[[#This Row],[Winter Items Other]]+Table_NFI[[#This Row],[Winter Blanket]]&gt;0,1,0)</f>
        <v>0</v>
      </c>
      <c r="AN87" s="331">
        <f>IF(NFI_Expiration=1,IF($A87&lt;VLOOKUP(V$5,NFI,5,0),1,0)*Table_NFI[[#This Row],[Jerry Can]],Table_NFI[Jerry Can])</f>
        <v>0</v>
      </c>
      <c r="AO87" s="331">
        <f>IF(NFI_Expiration=1,IF($A87&lt;VLOOKUP(V$5,NFI,5,0),1,0)*Table_NFI[[#This Row],[Shelter Tool kit]],Table_NFI[Shelter Tool kit])</f>
        <v>5</v>
      </c>
      <c r="AP87" s="331">
        <f>IF(NFI_Expiration=1,IF($A87&lt;VLOOKUP(V$5,NFI,5,0),1,0)*Table_NFI[[#This Row],[Tent]],Table_NFI[Tent])</f>
        <v>0</v>
      </c>
      <c r="AQ87" s="473" t="str">
        <f>IFERROR(VLOOKUP(Table_NFI[[#This Row],[Camp Name]],CL,2,0),"")</f>
        <v>MMR001CMP055</v>
      </c>
      <c r="AR87" s="468">
        <f ca="1">IF(Table_NFI[[#This Row],[Pcode]]="","",IF(OFFSET(CampList[Opening Date],MATCH(Table_NFI[[#This Row],[Pcode]],CampList[CP_Pcode],0)-1,0,1,1)&gt;=NFI_Monitor_Date,1,0))</f>
        <v>0</v>
      </c>
      <c r="AS87" s="473" t="str">
        <f>IFERROR(VLOOKUP(Table_NFI[[#This Row],[Camp Name]],CL,3,0),"")</f>
        <v>Open</v>
      </c>
      <c r="AT87" s="294" t="str">
        <f ca="1">IF(Table_NFI[[#This Row],[Pcode]]="","",OFFSET(CampList[Priority],MATCH(Table_NFI[[#This Row],[Pcode]],CampList[CP_Pcode],0)-1,0,1,1))</f>
        <v>P4</v>
      </c>
      <c r="AU87" s="293">
        <f>IFERROR(Table_NFI[[#This Row],[Kitchen Set]]/VLOOKUP(Table_NFI[[#This Row],[Camp Name]],CL,4,0),"")</f>
        <v>0</v>
      </c>
      <c r="AV87" s="466"/>
      <c r="AW87" s="469"/>
    </row>
    <row r="88" spans="1:49" s="470" customFormat="1" ht="15" customHeight="1" x14ac:dyDescent="0.25">
      <c r="A88" s="297">
        <f t="shared" si="1"/>
        <v>10.666666666666666</v>
      </c>
      <c r="B88" s="465">
        <v>42355</v>
      </c>
      <c r="C88" s="466" t="s">
        <v>905</v>
      </c>
      <c r="D88" s="466" t="s">
        <v>905</v>
      </c>
      <c r="E88" s="466" t="s">
        <v>380</v>
      </c>
      <c r="F88" s="290" t="s">
        <v>5</v>
      </c>
      <c r="G88" s="290" t="s">
        <v>6</v>
      </c>
      <c r="H88" s="291"/>
      <c r="I88" s="291"/>
      <c r="J88" s="291"/>
      <c r="K88" s="291"/>
      <c r="L88" s="292"/>
      <c r="M88" s="292"/>
      <c r="N88" s="292"/>
      <c r="O88" s="292"/>
      <c r="P88" s="294"/>
      <c r="Q88" s="294"/>
      <c r="R88" s="294"/>
      <c r="S88" s="294"/>
      <c r="T88" s="294"/>
      <c r="U88" s="294"/>
      <c r="V88" s="431"/>
      <c r="W88" s="294">
        <v>38</v>
      </c>
      <c r="X88" s="294"/>
      <c r="Y88" s="294">
        <f>IF(NFI_Expiration=1,IF($A88&lt;VLOOKUP(H$5,NFI,5,0),1,0)*Table_NFI[[#This Row],[Hygiene Kit]],Table_NFI[Hygiene Kit])</f>
        <v>0</v>
      </c>
      <c r="Z88" s="294">
        <f>IF(NFI_Expiration=1,IF($A88&lt;VLOOKUP(I$5,NFI,5,0),1,0)*Table_NFI[[#This Row],[NFI Core Kit]],Table_NFI[NFI Core Kit])</f>
        <v>0</v>
      </c>
      <c r="AA88" s="294">
        <f>IF(NFI_Expiration=1,IF($A88&lt;VLOOKUP(J$5,NFI,5,0),1,0)*Table_NFI[[#This Row],[Sanitary Kit]],Table_NFI[Sanitary Kit])</f>
        <v>0</v>
      </c>
      <c r="AB88" s="294">
        <f>IF(NFI_Expiration=1,IF($A88&lt;VLOOKUP(K$5,NFI,5,0),1,0)*Table_NFI[[#This Row],[Mosquito net]],Table_NFI[Mosquito net])</f>
        <v>0</v>
      </c>
      <c r="AC88" s="294">
        <f>IF(NFI_Expiration=1,IF($A88&lt;VLOOKUP(L$5,NFI,5,0),1,0)*Table_NFI[[#This Row],[Tarpaulin]],Table_NFI[[#This Row],[Tarpaulin]])</f>
        <v>0</v>
      </c>
      <c r="AD88" s="294">
        <f>IF(NFI_Expiration=1,IF($A88&lt;VLOOKUP(M$5,NFI,5,0),1,0)*Table_NFI[[#This Row],[Blanket]],Table_NFI[[#This Row],[Blanket]])</f>
        <v>0</v>
      </c>
      <c r="AE88" s="294">
        <f>IF(NFI_Expiration=1,IF($A88&lt;VLOOKUP(N$5,NFI,5,0),1,0)*Table_NFI[[#This Row],[Kitchen Set]],Table_NFI[Kitchen Set])</f>
        <v>0</v>
      </c>
      <c r="AF88" s="294">
        <f>IF(NFI_Expiration=1,IF($A88&lt;VLOOKUP(O$5,NFI,5,0),1,0)*Table_NFI[[#This Row],[Clothes Kit]],Table_NFI[Clothes Kit])</f>
        <v>0</v>
      </c>
      <c r="AG88" s="294">
        <f>IF(NFI_Expiration=1,IF($A88&lt;VLOOKUP(P$5,NFI,5,0),1,0)*Table_NFI[[#This Row],[Plastic Bucket]],Table_NFI[Plastic Bucket])</f>
        <v>0</v>
      </c>
      <c r="AH88" s="294">
        <f>IF(NFI_Expiration=1,IF($A88&lt;VLOOKUP(Q$5,NFI,5,0),1,0)*Table_NFI[[#This Row],[Plastic Mat]],Table_NFI[Plastic Mat])*IF(Table_NFI[[#This Row],[Distribution Date]]&gt;"2014-04-01",1,2.5)</f>
        <v>0</v>
      </c>
      <c r="AI88" s="294">
        <f>IF(NFI_Expiration=1,IF($A88&lt;VLOOKUP(R$5,NFI,5,0),1,0)*Table_NFI[[#This Row],[Winter Clothes Adult]],Table_NFI[Winter Clothes Adult])</f>
        <v>0</v>
      </c>
      <c r="AJ88" s="294">
        <f>IF(NFI_Expiration=1,IF($A88&lt;VLOOKUP(S$5,NFI,5,0),1,0)*Table_NFI[[#This Row],[Winter Clothes Children]],Table_NFI[Winter Clothes Children])</f>
        <v>0</v>
      </c>
      <c r="AK88" s="294">
        <f>IF(NFI_Expiration=1,IF($A88&lt;VLOOKUP(T$5,NFI,5,0),1,0)*Table_NFI[[#This Row],[Winter Items Other]],Table_NFI[Winter Items Other])</f>
        <v>0</v>
      </c>
      <c r="AL88" s="294">
        <f>IF(NFI_Expiration=1,IF($A88&lt;VLOOKUP(M$5,NFI,5,0),1,0)*Table_NFI[[#This Row],[Winter Blanket]],Table_NFI[[#This Row],[Winter Blanket]])</f>
        <v>0</v>
      </c>
      <c r="AM88" s="294">
        <f>IF(Table_NFI[[#This Row],[Winter Clothes Adult]]+Table_NFI[[#This Row],[Winter Clothes Children]]+Table_NFI[[#This Row],[Winter Items Other]]+Table_NFI[[#This Row],[Winter Blanket]]&gt;0,1,0)</f>
        <v>0</v>
      </c>
      <c r="AN88" s="331">
        <f>IF(NFI_Expiration=1,IF($A88&lt;VLOOKUP(V$5,NFI,5,0),1,0)*Table_NFI[[#This Row],[Jerry Can]],Table_NFI[Jerry Can])</f>
        <v>0</v>
      </c>
      <c r="AO88" s="331">
        <f>IF(NFI_Expiration=1,IF($A88&lt;VLOOKUP(V$5,NFI,5,0),1,0)*Table_NFI[[#This Row],[Shelter Tool kit]],Table_NFI[Shelter Tool kit])</f>
        <v>38</v>
      </c>
      <c r="AP88" s="331">
        <f>IF(NFI_Expiration=1,IF($A88&lt;VLOOKUP(V$5,NFI,5,0),1,0)*Table_NFI[[#This Row],[Tent]],Table_NFI[Tent])</f>
        <v>0</v>
      </c>
      <c r="AQ88" s="473" t="str">
        <f>IFERROR(VLOOKUP(Table_NFI[[#This Row],[Camp Name]],CL,2,0),"")</f>
        <v>MMR001CMP050</v>
      </c>
      <c r="AR88" s="468">
        <f ca="1">IF(Table_NFI[[#This Row],[Pcode]]="","",IF(OFFSET(CampList[Opening Date],MATCH(Table_NFI[[#This Row],[Pcode]],CampList[CP_Pcode],0)-1,0,1,1)&gt;=NFI_Monitor_Date,1,0))</f>
        <v>0</v>
      </c>
      <c r="AS88" s="473" t="str">
        <f>IFERROR(VLOOKUP(Table_NFI[[#This Row],[Camp Name]],CL,3,0),"")</f>
        <v>Open</v>
      </c>
      <c r="AT88" s="294" t="str">
        <f ca="1">IF(Table_NFI[[#This Row],[Pcode]]="","",OFFSET(CampList[Priority],MATCH(Table_NFI[[#This Row],[Pcode]],CampList[CP_Pcode],0)-1,0,1,1))</f>
        <v>P4</v>
      </c>
      <c r="AU88" s="293">
        <f>IFERROR(Table_NFI[[#This Row],[Kitchen Set]]/VLOOKUP(Table_NFI[[#This Row],[Camp Name]],CL,4,0),"")</f>
        <v>0</v>
      </c>
      <c r="AV88" s="466"/>
      <c r="AW88" s="469"/>
    </row>
    <row r="89" spans="1:49" s="98" customFormat="1" ht="15" customHeight="1" x14ac:dyDescent="0.2">
      <c r="A89" s="297">
        <f t="shared" si="1"/>
        <v>10.666666666666666</v>
      </c>
      <c r="B89" s="465">
        <v>42355</v>
      </c>
      <c r="C89" s="466" t="s">
        <v>905</v>
      </c>
      <c r="D89" s="467" t="s">
        <v>905</v>
      </c>
      <c r="E89" s="466" t="s">
        <v>380</v>
      </c>
      <c r="F89" s="290" t="s">
        <v>5</v>
      </c>
      <c r="G89" s="290" t="s">
        <v>22</v>
      </c>
      <c r="H89" s="291"/>
      <c r="I89" s="291"/>
      <c r="J89" s="291"/>
      <c r="K89" s="291"/>
      <c r="L89" s="292"/>
      <c r="M89" s="292"/>
      <c r="N89" s="292"/>
      <c r="O89" s="292"/>
      <c r="P89" s="294"/>
      <c r="Q89" s="294"/>
      <c r="R89" s="294"/>
      <c r="S89" s="294"/>
      <c r="T89" s="294"/>
      <c r="U89" s="294"/>
      <c r="V89" s="431"/>
      <c r="W89" s="585">
        <v>76</v>
      </c>
      <c r="X89" s="294"/>
      <c r="Y89" s="294">
        <f>IF(NFI_Expiration=1,IF($A89&lt;VLOOKUP(H$5,NFI,5,0),1,0)*Table_NFI[[#This Row],[Hygiene Kit]],Table_NFI[Hygiene Kit])</f>
        <v>0</v>
      </c>
      <c r="Z89" s="294">
        <f>IF(NFI_Expiration=1,IF($A89&lt;VLOOKUP(I$5,NFI,5,0),1,0)*Table_NFI[[#This Row],[NFI Core Kit]],Table_NFI[NFI Core Kit])</f>
        <v>0</v>
      </c>
      <c r="AA89" s="294">
        <f>IF(NFI_Expiration=1,IF($A89&lt;VLOOKUP(J$5,NFI,5,0),1,0)*Table_NFI[[#This Row],[Sanitary Kit]],Table_NFI[Sanitary Kit])</f>
        <v>0</v>
      </c>
      <c r="AB89" s="294">
        <f>IF(NFI_Expiration=1,IF($A89&lt;VLOOKUP(K$5,NFI,5,0),1,0)*Table_NFI[[#This Row],[Mosquito net]],Table_NFI[Mosquito net])</f>
        <v>0</v>
      </c>
      <c r="AC89" s="294">
        <f>IF(NFI_Expiration=1,IF($A89&lt;VLOOKUP(L$5,NFI,5,0),1,0)*Table_NFI[[#This Row],[Tarpaulin]],Table_NFI[[#This Row],[Tarpaulin]])</f>
        <v>0</v>
      </c>
      <c r="AD89" s="294">
        <f>IF(NFI_Expiration=1,IF($A89&lt;VLOOKUP(M$5,NFI,5,0),1,0)*Table_NFI[[#This Row],[Blanket]],Table_NFI[[#This Row],[Blanket]])</f>
        <v>0</v>
      </c>
      <c r="AE89" s="294">
        <f>IF(NFI_Expiration=1,IF($A89&lt;VLOOKUP(N$5,NFI,5,0),1,0)*Table_NFI[[#This Row],[Kitchen Set]],Table_NFI[Kitchen Set])</f>
        <v>0</v>
      </c>
      <c r="AF89" s="294">
        <f>IF(NFI_Expiration=1,IF($A89&lt;VLOOKUP(O$5,NFI,5,0),1,0)*Table_NFI[[#This Row],[Clothes Kit]],Table_NFI[Clothes Kit])</f>
        <v>0</v>
      </c>
      <c r="AG89" s="294">
        <f>IF(NFI_Expiration=1,IF($A89&lt;VLOOKUP(P$5,NFI,5,0),1,0)*Table_NFI[[#This Row],[Plastic Bucket]],Table_NFI[Plastic Bucket])</f>
        <v>0</v>
      </c>
      <c r="AH89" s="294">
        <f>IF(NFI_Expiration=1,IF($A89&lt;VLOOKUP(Q$5,NFI,5,0),1,0)*Table_NFI[[#This Row],[Plastic Mat]],Table_NFI[Plastic Mat])*IF(Table_NFI[[#This Row],[Distribution Date]]&gt;"2014-04-01",1,2.5)</f>
        <v>0</v>
      </c>
      <c r="AI89" s="294">
        <f>IF(NFI_Expiration=1,IF($A89&lt;VLOOKUP(R$5,NFI,5,0),1,0)*Table_NFI[[#This Row],[Winter Clothes Adult]],Table_NFI[Winter Clothes Adult])</f>
        <v>0</v>
      </c>
      <c r="AJ89" s="294">
        <f>IF(NFI_Expiration=1,IF($A89&lt;VLOOKUP(S$5,NFI,5,0),1,0)*Table_NFI[[#This Row],[Winter Clothes Children]],Table_NFI[Winter Clothes Children])</f>
        <v>0</v>
      </c>
      <c r="AK89" s="294">
        <f>IF(NFI_Expiration=1,IF($A89&lt;VLOOKUP(T$5,NFI,5,0),1,0)*Table_NFI[[#This Row],[Winter Items Other]],Table_NFI[Winter Items Other])</f>
        <v>0</v>
      </c>
      <c r="AL89" s="294">
        <f>IF(NFI_Expiration=1,IF($A89&lt;VLOOKUP(M$5,NFI,5,0),1,0)*Table_NFI[[#This Row],[Winter Blanket]],Table_NFI[[#This Row],[Winter Blanket]])</f>
        <v>0</v>
      </c>
      <c r="AM89" s="294">
        <f>IF(Table_NFI[[#This Row],[Winter Clothes Adult]]+Table_NFI[[#This Row],[Winter Clothes Children]]+Table_NFI[[#This Row],[Winter Items Other]]+Table_NFI[[#This Row],[Winter Blanket]]&gt;0,1,0)</f>
        <v>0</v>
      </c>
      <c r="AN89" s="331">
        <f>IF(NFI_Expiration=1,IF($A89&lt;VLOOKUP(V$5,NFI,5,0),1,0)*Table_NFI[[#This Row],[Jerry Can]],Table_NFI[Jerry Can])</f>
        <v>0</v>
      </c>
      <c r="AO89" s="331">
        <f>IF(NFI_Expiration=1,IF($A89&lt;VLOOKUP(V$5,NFI,5,0),1,0)*Table_NFI[[#This Row],[Shelter Tool kit]],Table_NFI[Shelter Tool kit])</f>
        <v>76</v>
      </c>
      <c r="AP89" s="331">
        <f>IF(NFI_Expiration=1,IF($A89&lt;VLOOKUP(V$5,NFI,5,0),1,0)*Table_NFI[[#This Row],[Tent]],Table_NFI[Tent])</f>
        <v>0</v>
      </c>
      <c r="AQ89" s="473" t="str">
        <f>IFERROR(VLOOKUP(Table_NFI[[#This Row],[Camp Name]],CL,2,0),"")</f>
        <v>MMR001CMP047</v>
      </c>
      <c r="AR89" s="468">
        <f ca="1">IF(Table_NFI[[#This Row],[Pcode]]="","",IF(OFFSET(CampList[Opening Date],MATCH(Table_NFI[[#This Row],[Pcode]],CampList[CP_Pcode],0)-1,0,1,1)&gt;=NFI_Monitor_Date,1,0))</f>
        <v>0</v>
      </c>
      <c r="AS89" s="473" t="str">
        <f>IFERROR(VLOOKUP(Table_NFI[[#This Row],[Camp Name]],CL,3,0),"")</f>
        <v>Open</v>
      </c>
      <c r="AT89" s="294" t="str">
        <f ca="1">IF(Table_NFI[[#This Row],[Pcode]]="","",OFFSET(CampList[Priority],MATCH(Table_NFI[[#This Row],[Pcode]],CampList[CP_Pcode],0)-1,0,1,1))</f>
        <v>P4</v>
      </c>
      <c r="AU89" s="293">
        <f>IFERROR(Table_NFI[[#This Row],[Kitchen Set]]/VLOOKUP(Table_NFI[[#This Row],[Camp Name]],CL,4,0),"")</f>
        <v>0</v>
      </c>
      <c r="AV89" s="466"/>
      <c r="AW89" s="469"/>
    </row>
    <row r="90" spans="1:49" s="98" customFormat="1" ht="15" customHeight="1" x14ac:dyDescent="0.25">
      <c r="A90" s="297">
        <f t="shared" si="1"/>
        <v>10.733333333333333</v>
      </c>
      <c r="B90" s="465">
        <v>42353</v>
      </c>
      <c r="C90" s="466" t="s">
        <v>905</v>
      </c>
      <c r="D90" s="467" t="s">
        <v>905</v>
      </c>
      <c r="E90" s="466" t="s">
        <v>380</v>
      </c>
      <c r="F90" s="290" t="s">
        <v>185</v>
      </c>
      <c r="G90" s="290" t="s">
        <v>186</v>
      </c>
      <c r="H90" s="291"/>
      <c r="I90" s="291"/>
      <c r="J90" s="292"/>
      <c r="K90" s="291"/>
      <c r="L90" s="292"/>
      <c r="M90" s="292"/>
      <c r="N90" s="292"/>
      <c r="O90" s="292"/>
      <c r="P90" s="294"/>
      <c r="Q90" s="294"/>
      <c r="R90" s="294"/>
      <c r="S90" s="294"/>
      <c r="T90" s="294"/>
      <c r="U90" s="294"/>
      <c r="V90" s="431"/>
      <c r="W90" s="294">
        <v>3</v>
      </c>
      <c r="X90" s="294"/>
      <c r="Y90" s="294">
        <f>IF(NFI_Expiration=1,IF($A90&lt;VLOOKUP(H$5,NFI,5,0),1,0)*Table_NFI[[#This Row],[Hygiene Kit]],Table_NFI[Hygiene Kit])</f>
        <v>0</v>
      </c>
      <c r="Z90" s="294">
        <f>IF(NFI_Expiration=1,IF($A90&lt;VLOOKUP(I$5,NFI,5,0),1,0)*Table_NFI[[#This Row],[NFI Core Kit]],Table_NFI[NFI Core Kit])</f>
        <v>0</v>
      </c>
      <c r="AA90" s="294">
        <f>IF(NFI_Expiration=1,IF($A90&lt;VLOOKUP(J$5,NFI,5,0),1,0)*Table_NFI[[#This Row],[Sanitary Kit]],Table_NFI[Sanitary Kit])</f>
        <v>0</v>
      </c>
      <c r="AB90" s="294">
        <f>IF(NFI_Expiration=1,IF($A90&lt;VLOOKUP(K$5,NFI,5,0),1,0)*Table_NFI[[#This Row],[Mosquito net]],Table_NFI[Mosquito net])</f>
        <v>0</v>
      </c>
      <c r="AC90" s="294">
        <f>IF(NFI_Expiration=1,IF($A90&lt;VLOOKUP(L$5,NFI,5,0),1,0)*Table_NFI[[#This Row],[Tarpaulin]],Table_NFI[[#This Row],[Tarpaulin]])</f>
        <v>0</v>
      </c>
      <c r="AD90" s="294">
        <f>IF(NFI_Expiration=1,IF($A90&lt;VLOOKUP(M$5,NFI,5,0),1,0)*Table_NFI[[#This Row],[Blanket]],Table_NFI[[#This Row],[Blanket]])</f>
        <v>0</v>
      </c>
      <c r="AE90" s="294">
        <f>IF(NFI_Expiration=1,IF($A90&lt;VLOOKUP(N$5,NFI,5,0),1,0)*Table_NFI[[#This Row],[Kitchen Set]],Table_NFI[Kitchen Set])</f>
        <v>0</v>
      </c>
      <c r="AF90" s="294">
        <f>IF(NFI_Expiration=1,IF($A90&lt;VLOOKUP(O$5,NFI,5,0),1,0)*Table_NFI[[#This Row],[Clothes Kit]],Table_NFI[Clothes Kit])</f>
        <v>0</v>
      </c>
      <c r="AG90" s="294">
        <f>IF(NFI_Expiration=1,IF($A90&lt;VLOOKUP(P$5,NFI,5,0),1,0)*Table_NFI[[#This Row],[Plastic Bucket]],Table_NFI[Plastic Bucket])</f>
        <v>0</v>
      </c>
      <c r="AH90" s="294">
        <f>IF(NFI_Expiration=1,IF($A90&lt;VLOOKUP(Q$5,NFI,5,0),1,0)*Table_NFI[[#This Row],[Plastic Mat]],Table_NFI[Plastic Mat])*IF(Table_NFI[[#This Row],[Distribution Date]]&gt;"2014-04-01",1,2.5)</f>
        <v>0</v>
      </c>
      <c r="AI90" s="294">
        <f>IF(NFI_Expiration=1,IF($A90&lt;VLOOKUP(R$5,NFI,5,0),1,0)*Table_NFI[[#This Row],[Winter Clothes Adult]],Table_NFI[Winter Clothes Adult])</f>
        <v>0</v>
      </c>
      <c r="AJ90" s="294">
        <f>IF(NFI_Expiration=1,IF($A90&lt;VLOOKUP(S$5,NFI,5,0),1,0)*Table_NFI[[#This Row],[Winter Clothes Children]],Table_NFI[Winter Clothes Children])</f>
        <v>0</v>
      </c>
      <c r="AK90" s="294">
        <f>IF(NFI_Expiration=1,IF($A90&lt;VLOOKUP(T$5,NFI,5,0),1,0)*Table_NFI[[#This Row],[Winter Items Other]],Table_NFI[Winter Items Other])</f>
        <v>0</v>
      </c>
      <c r="AL90" s="294">
        <f>IF(NFI_Expiration=1,IF($A90&lt;VLOOKUP(M$5,NFI,5,0),1,0)*Table_NFI[[#This Row],[Winter Blanket]],Table_NFI[[#This Row],[Winter Blanket]])</f>
        <v>0</v>
      </c>
      <c r="AM90" s="294">
        <f>IF(Table_NFI[[#This Row],[Winter Clothes Adult]]+Table_NFI[[#This Row],[Winter Clothes Children]]+Table_NFI[[#This Row],[Winter Items Other]]+Table_NFI[[#This Row],[Winter Blanket]]&gt;0,1,0)</f>
        <v>0</v>
      </c>
      <c r="AN90" s="331">
        <f>IF(NFI_Expiration=1,IF($A90&lt;VLOOKUP(V$5,NFI,5,0),1,0)*Table_NFI[[#This Row],[Jerry Can]],Table_NFI[Jerry Can])</f>
        <v>0</v>
      </c>
      <c r="AO90" s="331">
        <f>IF(NFI_Expiration=1,IF($A90&lt;VLOOKUP(V$5,NFI,5,0),1,0)*Table_NFI[[#This Row],[Shelter Tool kit]],Table_NFI[Shelter Tool kit])</f>
        <v>3</v>
      </c>
      <c r="AP90" s="331">
        <f>IF(NFI_Expiration=1,IF($A90&lt;VLOOKUP(V$5,NFI,5,0),1,0)*Table_NFI[[#This Row],[Tent]],Table_NFI[Tent])</f>
        <v>0</v>
      </c>
      <c r="AQ90" s="473" t="str">
        <f>IFERROR(VLOOKUP(Table_NFI[[#This Row],[Camp Name]],CL,2,0),"")</f>
        <v>MMR001CMP071</v>
      </c>
      <c r="AR90" s="468">
        <f ca="1">IF(Table_NFI[[#This Row],[Pcode]]="","",IF(OFFSET(CampList[Opening Date],MATCH(Table_NFI[[#This Row],[Pcode]],CampList[CP_Pcode],0)-1,0,1,1)&gt;=NFI_Monitor_Date,1,0))</f>
        <v>0</v>
      </c>
      <c r="AS90" s="473" t="str">
        <f>IFERROR(VLOOKUP(Table_NFI[[#This Row],[Camp Name]],CL,3,0),"")</f>
        <v>Open</v>
      </c>
      <c r="AT90" s="294" t="str">
        <f ca="1">IF(Table_NFI[[#This Row],[Pcode]]="","",OFFSET(CampList[Priority],MATCH(Table_NFI[[#This Row],[Pcode]],CampList[CP_Pcode],0)-1,0,1,1))</f>
        <v>P3</v>
      </c>
      <c r="AU90" s="293">
        <f>IFERROR(Table_NFI[[#This Row],[Kitchen Set]]/VLOOKUP(Table_NFI[[#This Row],[Camp Name]],CL,4,0),"")</f>
        <v>0</v>
      </c>
      <c r="AV90" s="466"/>
      <c r="AW90" s="469"/>
    </row>
    <row r="91" spans="1:49" s="98" customFormat="1" ht="15" customHeight="1" x14ac:dyDescent="0.25">
      <c r="A91" s="297">
        <f t="shared" si="1"/>
        <v>10.733333333333333</v>
      </c>
      <c r="B91" s="465">
        <v>42353</v>
      </c>
      <c r="C91" s="466" t="s">
        <v>905</v>
      </c>
      <c r="D91" s="467" t="s">
        <v>905</v>
      </c>
      <c r="E91" s="466" t="s">
        <v>380</v>
      </c>
      <c r="F91" s="290" t="s">
        <v>185</v>
      </c>
      <c r="G91" s="290" t="s">
        <v>186</v>
      </c>
      <c r="H91" s="291"/>
      <c r="I91" s="291"/>
      <c r="J91" s="292"/>
      <c r="K91" s="291"/>
      <c r="L91" s="292"/>
      <c r="M91" s="292"/>
      <c r="N91" s="292"/>
      <c r="O91" s="292"/>
      <c r="P91" s="294"/>
      <c r="Q91" s="294"/>
      <c r="R91" s="294"/>
      <c r="S91" s="294"/>
      <c r="T91" s="294"/>
      <c r="U91" s="294"/>
      <c r="V91" s="431"/>
      <c r="W91" s="294"/>
      <c r="X91" s="294"/>
      <c r="Y91" s="294">
        <f>IF(NFI_Expiration=1,IF($A91&lt;VLOOKUP(H$5,NFI,5,0),1,0)*Table_NFI[[#This Row],[Hygiene Kit]],Table_NFI[Hygiene Kit])</f>
        <v>0</v>
      </c>
      <c r="Z91" s="294">
        <f>IF(NFI_Expiration=1,IF($A91&lt;VLOOKUP(I$5,NFI,5,0),1,0)*Table_NFI[[#This Row],[NFI Core Kit]],Table_NFI[NFI Core Kit])</f>
        <v>0</v>
      </c>
      <c r="AA91" s="294">
        <f>IF(NFI_Expiration=1,IF($A91&lt;VLOOKUP(J$5,NFI,5,0),1,0)*Table_NFI[[#This Row],[Sanitary Kit]],Table_NFI[Sanitary Kit])</f>
        <v>0</v>
      </c>
      <c r="AB91" s="294">
        <f>IF(NFI_Expiration=1,IF($A91&lt;VLOOKUP(K$5,NFI,5,0),1,0)*Table_NFI[[#This Row],[Mosquito net]],Table_NFI[Mosquito net])</f>
        <v>0</v>
      </c>
      <c r="AC91" s="294">
        <f>IF(NFI_Expiration=1,IF($A91&lt;VLOOKUP(L$5,NFI,5,0),1,0)*Table_NFI[[#This Row],[Tarpaulin]],Table_NFI[[#This Row],[Tarpaulin]])</f>
        <v>0</v>
      </c>
      <c r="AD91" s="294">
        <f>IF(NFI_Expiration=1,IF($A91&lt;VLOOKUP(M$5,NFI,5,0),1,0)*Table_NFI[[#This Row],[Blanket]],Table_NFI[[#This Row],[Blanket]])</f>
        <v>0</v>
      </c>
      <c r="AE91" s="294">
        <f>IF(NFI_Expiration=1,IF($A91&lt;VLOOKUP(N$5,NFI,5,0),1,0)*Table_NFI[[#This Row],[Kitchen Set]],Table_NFI[Kitchen Set])</f>
        <v>0</v>
      </c>
      <c r="AF91" s="294">
        <f>IF(NFI_Expiration=1,IF($A91&lt;VLOOKUP(O$5,NFI,5,0),1,0)*Table_NFI[[#This Row],[Clothes Kit]],Table_NFI[Clothes Kit])</f>
        <v>0</v>
      </c>
      <c r="AG91" s="294">
        <f>IF(NFI_Expiration=1,IF($A91&lt;VLOOKUP(P$5,NFI,5,0),1,0)*Table_NFI[[#This Row],[Plastic Bucket]],Table_NFI[Plastic Bucket])</f>
        <v>0</v>
      </c>
      <c r="AH91" s="294">
        <f>IF(NFI_Expiration=1,IF($A91&lt;VLOOKUP(Q$5,NFI,5,0),1,0)*Table_NFI[[#This Row],[Plastic Mat]],Table_NFI[Plastic Mat])*IF(Table_NFI[[#This Row],[Distribution Date]]&gt;"2014-04-01",1,2.5)</f>
        <v>0</v>
      </c>
      <c r="AI91" s="294">
        <f>IF(NFI_Expiration=1,IF($A91&lt;VLOOKUP(R$5,NFI,5,0),1,0)*Table_NFI[[#This Row],[Winter Clothes Adult]],Table_NFI[Winter Clothes Adult])</f>
        <v>0</v>
      </c>
      <c r="AJ91" s="294">
        <f>IF(NFI_Expiration=1,IF($A91&lt;VLOOKUP(S$5,NFI,5,0),1,0)*Table_NFI[[#This Row],[Winter Clothes Children]],Table_NFI[Winter Clothes Children])</f>
        <v>0</v>
      </c>
      <c r="AK91" s="294">
        <f>IF(NFI_Expiration=1,IF($A91&lt;VLOOKUP(T$5,NFI,5,0),1,0)*Table_NFI[[#This Row],[Winter Items Other]],Table_NFI[Winter Items Other])</f>
        <v>0</v>
      </c>
      <c r="AL91" s="294">
        <f>IF(NFI_Expiration=1,IF($A91&lt;VLOOKUP(M$5,NFI,5,0),1,0)*Table_NFI[[#This Row],[Winter Blanket]],Table_NFI[[#This Row],[Winter Blanket]])</f>
        <v>0</v>
      </c>
      <c r="AM91" s="294">
        <f>IF(Table_NFI[[#This Row],[Winter Clothes Adult]]+Table_NFI[[#This Row],[Winter Clothes Children]]+Table_NFI[[#This Row],[Winter Items Other]]+Table_NFI[[#This Row],[Winter Blanket]]&gt;0,1,0)</f>
        <v>0</v>
      </c>
      <c r="AN91" s="331">
        <f>IF(NFI_Expiration=1,IF($A91&lt;VLOOKUP(V$5,NFI,5,0),1,0)*Table_NFI[[#This Row],[Jerry Can]],Table_NFI[Jerry Can])</f>
        <v>0</v>
      </c>
      <c r="AO91" s="331">
        <f>IF(NFI_Expiration=1,IF($A91&lt;VLOOKUP(V$5,NFI,5,0),1,0)*Table_NFI[[#This Row],[Shelter Tool kit]],Table_NFI[Shelter Tool kit])</f>
        <v>0</v>
      </c>
      <c r="AP91" s="331">
        <f>IF(NFI_Expiration=1,IF($A91&lt;VLOOKUP(V$5,NFI,5,0),1,0)*Table_NFI[[#This Row],[Tent]],Table_NFI[Tent])</f>
        <v>0</v>
      </c>
      <c r="AQ91" s="473" t="str">
        <f>IFERROR(VLOOKUP(Table_NFI[[#This Row],[Camp Name]],CL,2,0),"")</f>
        <v>MMR001CMP071</v>
      </c>
      <c r="AR91" s="468">
        <f ca="1">IF(Table_NFI[[#This Row],[Pcode]]="","",IF(OFFSET(CampList[Opening Date],MATCH(Table_NFI[[#This Row],[Pcode]],CampList[CP_Pcode],0)-1,0,1,1)&gt;=NFI_Monitor_Date,1,0))</f>
        <v>0</v>
      </c>
      <c r="AS91" s="473" t="str">
        <f>IFERROR(VLOOKUP(Table_NFI[[#This Row],[Camp Name]],CL,3,0),"")</f>
        <v>Open</v>
      </c>
      <c r="AT91" s="294" t="str">
        <f ca="1">IF(Table_NFI[[#This Row],[Pcode]]="","",OFFSET(CampList[Priority],MATCH(Table_NFI[[#This Row],[Pcode]],CampList[CP_Pcode],0)-1,0,1,1))</f>
        <v>P3</v>
      </c>
      <c r="AU91" s="293">
        <f>IFERROR(Table_NFI[[#This Row],[Kitchen Set]]/VLOOKUP(Table_NFI[[#This Row],[Camp Name]],CL,4,0),"")</f>
        <v>0</v>
      </c>
      <c r="AV91" s="466"/>
      <c r="AW91" s="469"/>
    </row>
    <row r="92" spans="1:49" s="98" customFormat="1" ht="15" customHeight="1" x14ac:dyDescent="0.25">
      <c r="A92" s="297">
        <f t="shared" si="1"/>
        <v>10.733333333333333</v>
      </c>
      <c r="B92" s="465">
        <v>42353</v>
      </c>
      <c r="C92" s="466" t="s">
        <v>905</v>
      </c>
      <c r="D92" s="467" t="s">
        <v>905</v>
      </c>
      <c r="E92" s="466" t="s">
        <v>380</v>
      </c>
      <c r="F92" s="290" t="s">
        <v>185</v>
      </c>
      <c r="G92" s="290" t="s">
        <v>223</v>
      </c>
      <c r="H92" s="291"/>
      <c r="I92" s="291"/>
      <c r="J92" s="292"/>
      <c r="K92" s="291"/>
      <c r="L92" s="292"/>
      <c r="M92" s="292"/>
      <c r="N92" s="292"/>
      <c r="O92" s="292"/>
      <c r="P92" s="294"/>
      <c r="Q92" s="294"/>
      <c r="R92" s="294"/>
      <c r="S92" s="294"/>
      <c r="T92" s="294"/>
      <c r="U92" s="294"/>
      <c r="V92" s="431"/>
      <c r="W92" s="294">
        <v>20</v>
      </c>
      <c r="X92" s="294"/>
      <c r="Y92" s="294">
        <f>IF(NFI_Expiration=1,IF($A92&lt;VLOOKUP(H$5,NFI,5,0),1,0)*Table_NFI[[#This Row],[Hygiene Kit]],Table_NFI[Hygiene Kit])</f>
        <v>0</v>
      </c>
      <c r="Z92" s="294">
        <f>IF(NFI_Expiration=1,IF($A92&lt;VLOOKUP(I$5,NFI,5,0),1,0)*Table_NFI[[#This Row],[NFI Core Kit]],Table_NFI[NFI Core Kit])</f>
        <v>0</v>
      </c>
      <c r="AA92" s="294">
        <f>IF(NFI_Expiration=1,IF($A92&lt;VLOOKUP(J$5,NFI,5,0),1,0)*Table_NFI[[#This Row],[Sanitary Kit]],Table_NFI[Sanitary Kit])</f>
        <v>0</v>
      </c>
      <c r="AB92" s="294">
        <f>IF(NFI_Expiration=1,IF($A92&lt;VLOOKUP(K$5,NFI,5,0),1,0)*Table_NFI[[#This Row],[Mosquito net]],Table_NFI[Mosquito net])</f>
        <v>0</v>
      </c>
      <c r="AC92" s="294">
        <f>IF(NFI_Expiration=1,IF($A92&lt;VLOOKUP(L$5,NFI,5,0),1,0)*Table_NFI[[#This Row],[Tarpaulin]],Table_NFI[[#This Row],[Tarpaulin]])</f>
        <v>0</v>
      </c>
      <c r="AD92" s="294">
        <f>IF(NFI_Expiration=1,IF($A92&lt;VLOOKUP(M$5,NFI,5,0),1,0)*Table_NFI[[#This Row],[Blanket]],Table_NFI[[#This Row],[Blanket]])</f>
        <v>0</v>
      </c>
      <c r="AE92" s="294">
        <f>IF(NFI_Expiration=1,IF($A92&lt;VLOOKUP(N$5,NFI,5,0),1,0)*Table_NFI[[#This Row],[Kitchen Set]],Table_NFI[Kitchen Set])</f>
        <v>0</v>
      </c>
      <c r="AF92" s="294">
        <f>IF(NFI_Expiration=1,IF($A92&lt;VLOOKUP(O$5,NFI,5,0),1,0)*Table_NFI[[#This Row],[Clothes Kit]],Table_NFI[Clothes Kit])</f>
        <v>0</v>
      </c>
      <c r="AG92" s="294">
        <f>IF(NFI_Expiration=1,IF($A92&lt;VLOOKUP(P$5,NFI,5,0),1,0)*Table_NFI[[#This Row],[Plastic Bucket]],Table_NFI[Plastic Bucket])</f>
        <v>0</v>
      </c>
      <c r="AH92" s="294">
        <f>IF(NFI_Expiration=1,IF($A92&lt;VLOOKUP(Q$5,NFI,5,0),1,0)*Table_NFI[[#This Row],[Plastic Mat]],Table_NFI[Plastic Mat])*IF(Table_NFI[[#This Row],[Distribution Date]]&gt;"2014-04-01",1,2.5)</f>
        <v>0</v>
      </c>
      <c r="AI92" s="294">
        <f>IF(NFI_Expiration=1,IF($A92&lt;VLOOKUP(R$5,NFI,5,0),1,0)*Table_NFI[[#This Row],[Winter Clothes Adult]],Table_NFI[Winter Clothes Adult])</f>
        <v>0</v>
      </c>
      <c r="AJ92" s="294">
        <f>IF(NFI_Expiration=1,IF($A92&lt;VLOOKUP(S$5,NFI,5,0),1,0)*Table_NFI[[#This Row],[Winter Clothes Children]],Table_NFI[Winter Clothes Children])</f>
        <v>0</v>
      </c>
      <c r="AK92" s="294">
        <f>IF(NFI_Expiration=1,IF($A92&lt;VLOOKUP(T$5,NFI,5,0),1,0)*Table_NFI[[#This Row],[Winter Items Other]],Table_NFI[Winter Items Other])</f>
        <v>0</v>
      </c>
      <c r="AL92" s="294">
        <f>IF(NFI_Expiration=1,IF($A92&lt;VLOOKUP(M$5,NFI,5,0),1,0)*Table_NFI[[#This Row],[Winter Blanket]],Table_NFI[[#This Row],[Winter Blanket]])</f>
        <v>0</v>
      </c>
      <c r="AM92" s="294">
        <f>IF(Table_NFI[[#This Row],[Winter Clothes Adult]]+Table_NFI[[#This Row],[Winter Clothes Children]]+Table_NFI[[#This Row],[Winter Items Other]]+Table_NFI[[#This Row],[Winter Blanket]]&gt;0,1,0)</f>
        <v>0</v>
      </c>
      <c r="AN92" s="331">
        <f>IF(NFI_Expiration=1,IF($A92&lt;VLOOKUP(V$5,NFI,5,0),1,0)*Table_NFI[[#This Row],[Jerry Can]],Table_NFI[Jerry Can])</f>
        <v>0</v>
      </c>
      <c r="AO92" s="331">
        <f>IF(NFI_Expiration=1,IF($A92&lt;VLOOKUP(V$5,NFI,5,0),1,0)*Table_NFI[[#This Row],[Shelter Tool kit]],Table_NFI[Shelter Tool kit])</f>
        <v>20</v>
      </c>
      <c r="AP92" s="331">
        <f>IF(NFI_Expiration=1,IF($A92&lt;VLOOKUP(V$5,NFI,5,0),1,0)*Table_NFI[[#This Row],[Tent]],Table_NFI[Tent])</f>
        <v>0</v>
      </c>
      <c r="AQ92" s="473" t="str">
        <f>IFERROR(VLOOKUP(Table_NFI[[#This Row],[Camp Name]],CL,2,0),"")</f>
        <v>MMR001CMP069</v>
      </c>
      <c r="AR92" s="468">
        <f ca="1">IF(Table_NFI[[#This Row],[Pcode]]="","",IF(OFFSET(CampList[Opening Date],MATCH(Table_NFI[[#This Row],[Pcode]],CampList[CP_Pcode],0)-1,0,1,1)&gt;=NFI_Monitor_Date,1,0))</f>
        <v>0</v>
      </c>
      <c r="AS92" s="473" t="str">
        <f>IFERROR(VLOOKUP(Table_NFI[[#This Row],[Camp Name]],CL,3,0),"")</f>
        <v>Open</v>
      </c>
      <c r="AT92" s="294" t="str">
        <f ca="1">IF(Table_NFI[[#This Row],[Pcode]]="","",OFFSET(CampList[Priority],MATCH(Table_NFI[[#This Row],[Pcode]],CampList[CP_Pcode],0)-1,0,1,1))</f>
        <v>P3</v>
      </c>
      <c r="AU92" s="293">
        <f>IFERROR(Table_NFI[[#This Row],[Kitchen Set]]/VLOOKUP(Table_NFI[[#This Row],[Camp Name]],CL,4,0),"")</f>
        <v>0</v>
      </c>
      <c r="AV92" s="466"/>
      <c r="AW92" s="469"/>
    </row>
    <row r="93" spans="1:49" s="98" customFormat="1" ht="15" customHeight="1" x14ac:dyDescent="0.25">
      <c r="A93" s="297">
        <f t="shared" si="1"/>
        <v>10.733333333333333</v>
      </c>
      <c r="B93" s="465">
        <v>42353</v>
      </c>
      <c r="C93" s="466" t="s">
        <v>905</v>
      </c>
      <c r="D93" s="467" t="s">
        <v>905</v>
      </c>
      <c r="E93" s="466" t="s">
        <v>380</v>
      </c>
      <c r="F93" s="290" t="s">
        <v>185</v>
      </c>
      <c r="G93" s="290" t="s">
        <v>190</v>
      </c>
      <c r="H93" s="291"/>
      <c r="I93" s="291"/>
      <c r="J93" s="292"/>
      <c r="K93" s="291"/>
      <c r="L93" s="292"/>
      <c r="M93" s="292"/>
      <c r="N93" s="292"/>
      <c r="O93" s="292"/>
      <c r="P93" s="294"/>
      <c r="Q93" s="294"/>
      <c r="R93" s="294"/>
      <c r="S93" s="294"/>
      <c r="T93" s="294"/>
      <c r="U93" s="294"/>
      <c r="V93" s="431"/>
      <c r="W93" s="294">
        <v>14</v>
      </c>
      <c r="X93" s="294"/>
      <c r="Y93" s="294">
        <f>IF(NFI_Expiration=1,IF($A93&lt;VLOOKUP(H$5,NFI,5,0),1,0)*Table_NFI[[#This Row],[Hygiene Kit]],Table_NFI[Hygiene Kit])</f>
        <v>0</v>
      </c>
      <c r="Z93" s="294">
        <f>IF(NFI_Expiration=1,IF($A93&lt;VLOOKUP(I$5,NFI,5,0),1,0)*Table_NFI[[#This Row],[NFI Core Kit]],Table_NFI[NFI Core Kit])</f>
        <v>0</v>
      </c>
      <c r="AA93" s="294">
        <f>IF(NFI_Expiration=1,IF($A93&lt;VLOOKUP(J$5,NFI,5,0),1,0)*Table_NFI[[#This Row],[Sanitary Kit]],Table_NFI[Sanitary Kit])</f>
        <v>0</v>
      </c>
      <c r="AB93" s="294">
        <f>IF(NFI_Expiration=1,IF($A93&lt;VLOOKUP(K$5,NFI,5,0),1,0)*Table_NFI[[#This Row],[Mosquito net]],Table_NFI[Mosquito net])</f>
        <v>0</v>
      </c>
      <c r="AC93" s="294">
        <f>IF(NFI_Expiration=1,IF($A93&lt;VLOOKUP(L$5,NFI,5,0),1,0)*Table_NFI[[#This Row],[Tarpaulin]],Table_NFI[[#This Row],[Tarpaulin]])</f>
        <v>0</v>
      </c>
      <c r="AD93" s="294">
        <f>IF(NFI_Expiration=1,IF($A93&lt;VLOOKUP(M$5,NFI,5,0),1,0)*Table_NFI[[#This Row],[Blanket]],Table_NFI[[#This Row],[Blanket]])</f>
        <v>0</v>
      </c>
      <c r="AE93" s="294">
        <f>IF(NFI_Expiration=1,IF($A93&lt;VLOOKUP(N$5,NFI,5,0),1,0)*Table_NFI[[#This Row],[Kitchen Set]],Table_NFI[Kitchen Set])</f>
        <v>0</v>
      </c>
      <c r="AF93" s="294">
        <f>IF(NFI_Expiration=1,IF($A93&lt;VLOOKUP(O$5,NFI,5,0),1,0)*Table_NFI[[#This Row],[Clothes Kit]],Table_NFI[Clothes Kit])</f>
        <v>0</v>
      </c>
      <c r="AG93" s="294">
        <f>IF(NFI_Expiration=1,IF($A93&lt;VLOOKUP(P$5,NFI,5,0),1,0)*Table_NFI[[#This Row],[Plastic Bucket]],Table_NFI[Plastic Bucket])</f>
        <v>0</v>
      </c>
      <c r="AH93" s="294">
        <f>IF(NFI_Expiration=1,IF($A93&lt;VLOOKUP(Q$5,NFI,5,0),1,0)*Table_NFI[[#This Row],[Plastic Mat]],Table_NFI[Plastic Mat])*IF(Table_NFI[[#This Row],[Distribution Date]]&gt;"2014-04-01",1,2.5)</f>
        <v>0</v>
      </c>
      <c r="AI93" s="294">
        <f>IF(NFI_Expiration=1,IF($A93&lt;VLOOKUP(R$5,NFI,5,0),1,0)*Table_NFI[[#This Row],[Winter Clothes Adult]],Table_NFI[Winter Clothes Adult])</f>
        <v>0</v>
      </c>
      <c r="AJ93" s="294">
        <f>IF(NFI_Expiration=1,IF($A93&lt;VLOOKUP(S$5,NFI,5,0),1,0)*Table_NFI[[#This Row],[Winter Clothes Children]],Table_NFI[Winter Clothes Children])</f>
        <v>0</v>
      </c>
      <c r="AK93" s="294">
        <f>IF(NFI_Expiration=1,IF($A93&lt;VLOOKUP(T$5,NFI,5,0),1,0)*Table_NFI[[#This Row],[Winter Items Other]],Table_NFI[Winter Items Other])</f>
        <v>0</v>
      </c>
      <c r="AL93" s="294">
        <f>IF(NFI_Expiration=1,IF($A93&lt;VLOOKUP(M$5,NFI,5,0),1,0)*Table_NFI[[#This Row],[Winter Blanket]],Table_NFI[[#This Row],[Winter Blanket]])</f>
        <v>0</v>
      </c>
      <c r="AM93" s="294">
        <f>IF(Table_NFI[[#This Row],[Winter Clothes Adult]]+Table_NFI[[#This Row],[Winter Clothes Children]]+Table_NFI[[#This Row],[Winter Items Other]]+Table_NFI[[#This Row],[Winter Blanket]]&gt;0,1,0)</f>
        <v>0</v>
      </c>
      <c r="AN93" s="331">
        <f>IF(NFI_Expiration=1,IF($A93&lt;VLOOKUP(V$5,NFI,5,0),1,0)*Table_NFI[[#This Row],[Jerry Can]],Table_NFI[Jerry Can])</f>
        <v>0</v>
      </c>
      <c r="AO93" s="331">
        <f>IF(NFI_Expiration=1,IF($A93&lt;VLOOKUP(V$5,NFI,5,0),1,0)*Table_NFI[[#This Row],[Shelter Tool kit]],Table_NFI[Shelter Tool kit])</f>
        <v>14</v>
      </c>
      <c r="AP93" s="331">
        <f>IF(NFI_Expiration=1,IF($A93&lt;VLOOKUP(V$5,NFI,5,0),1,0)*Table_NFI[[#This Row],[Tent]],Table_NFI[Tent])</f>
        <v>0</v>
      </c>
      <c r="AQ93" s="473" t="str">
        <f>IFERROR(VLOOKUP(Table_NFI[[#This Row],[Camp Name]],CL,2,0),"")</f>
        <v>MMR001CMP070</v>
      </c>
      <c r="AR93" s="468">
        <f ca="1">IF(Table_NFI[[#This Row],[Pcode]]="","",IF(OFFSET(CampList[Opening Date],MATCH(Table_NFI[[#This Row],[Pcode]],CampList[CP_Pcode],0)-1,0,1,1)&gt;=NFI_Monitor_Date,1,0))</f>
        <v>0</v>
      </c>
      <c r="AS93" s="473" t="str">
        <f>IFERROR(VLOOKUP(Table_NFI[[#This Row],[Camp Name]],CL,3,0),"")</f>
        <v>Open</v>
      </c>
      <c r="AT93" s="294" t="str">
        <f ca="1">IF(Table_NFI[[#This Row],[Pcode]]="","",OFFSET(CampList[Priority],MATCH(Table_NFI[[#This Row],[Pcode]],CampList[CP_Pcode],0)-1,0,1,1))</f>
        <v>P3</v>
      </c>
      <c r="AU93" s="293">
        <f>IFERROR(Table_NFI[[#This Row],[Kitchen Set]]/VLOOKUP(Table_NFI[[#This Row],[Camp Name]],CL,4,0),"")</f>
        <v>0</v>
      </c>
      <c r="AV93" s="466"/>
      <c r="AW93" s="469"/>
    </row>
    <row r="94" spans="1:49" s="98" customFormat="1" ht="14.45" customHeight="1" x14ac:dyDescent="0.25">
      <c r="A94" s="297">
        <f t="shared" si="1"/>
        <v>10.733333333333333</v>
      </c>
      <c r="B94" s="465">
        <v>42353</v>
      </c>
      <c r="C94" s="471" t="s">
        <v>452</v>
      </c>
      <c r="D94" s="471" t="s">
        <v>460</v>
      </c>
      <c r="E94" s="471" t="s">
        <v>380</v>
      </c>
      <c r="F94" s="471" t="s">
        <v>237</v>
      </c>
      <c r="G94" s="471" t="s">
        <v>261</v>
      </c>
      <c r="H94" s="292"/>
      <c r="I94" s="292"/>
      <c r="J94" s="292"/>
      <c r="K94" s="292">
        <v>7</v>
      </c>
      <c r="L94" s="292">
        <v>7</v>
      </c>
      <c r="M94" s="292"/>
      <c r="N94" s="292">
        <v>7</v>
      </c>
      <c r="O94" s="292"/>
      <c r="P94" s="294">
        <v>7</v>
      </c>
      <c r="Q94" s="294">
        <v>27</v>
      </c>
      <c r="R94" s="294"/>
      <c r="S94" s="294"/>
      <c r="T94" s="294"/>
      <c r="U94" s="294">
        <v>27</v>
      </c>
      <c r="V94" s="431">
        <v>7</v>
      </c>
      <c r="W94" s="294"/>
      <c r="X94" s="294"/>
      <c r="Y94" s="294">
        <f>IF(NFI_Expiration=1,IF($A94&lt;VLOOKUP(H$5,NFI,5,0),1,0)*Table_NFI[[#This Row],[Hygiene Kit]],Table_NFI[Hygiene Kit])</f>
        <v>0</v>
      </c>
      <c r="Z94" s="294">
        <f>IF(NFI_Expiration=1,IF($A94&lt;VLOOKUP(I$5,NFI,5,0),1,0)*Table_NFI[[#This Row],[NFI Core Kit]],Table_NFI[NFI Core Kit])</f>
        <v>0</v>
      </c>
      <c r="AA94" s="294">
        <f>IF(NFI_Expiration=1,IF($A94&lt;VLOOKUP(J$5,NFI,5,0),1,0)*Table_NFI[[#This Row],[Sanitary Kit]],Table_NFI[Sanitary Kit])</f>
        <v>0</v>
      </c>
      <c r="AB94" s="294">
        <f>IF(NFI_Expiration=1,IF($A94&lt;VLOOKUP(K$5,NFI,5,0),1,0)*Table_NFI[[#This Row],[Mosquito net]],Table_NFI[Mosquito net])</f>
        <v>7</v>
      </c>
      <c r="AC94" s="294">
        <f>IF(NFI_Expiration=1,IF($A94&lt;VLOOKUP(L$5,NFI,5,0),1,0)*Table_NFI[[#This Row],[Tarpaulin]],Table_NFI[[#This Row],[Tarpaulin]])</f>
        <v>7</v>
      </c>
      <c r="AD94" s="294">
        <f>IF(NFI_Expiration=1,IF($A94&lt;VLOOKUP(M$5,NFI,5,0),1,0)*Table_NFI[[#This Row],[Blanket]],Table_NFI[[#This Row],[Blanket]])</f>
        <v>0</v>
      </c>
      <c r="AE94" s="294">
        <f>IF(NFI_Expiration=1,IF($A94&lt;VLOOKUP(N$5,NFI,5,0),1,0)*Table_NFI[[#This Row],[Kitchen Set]],Table_NFI[Kitchen Set])</f>
        <v>7</v>
      </c>
      <c r="AF94" s="294">
        <f>IF(NFI_Expiration=1,IF($A94&lt;VLOOKUP(O$5,NFI,5,0),1,0)*Table_NFI[[#This Row],[Clothes Kit]],Table_NFI[Clothes Kit])</f>
        <v>0</v>
      </c>
      <c r="AG94" s="294">
        <f>IF(NFI_Expiration=1,IF($A94&lt;VLOOKUP(P$5,NFI,5,0),1,0)*Table_NFI[[#This Row],[Plastic Bucket]],Table_NFI[Plastic Bucket])</f>
        <v>7</v>
      </c>
      <c r="AH94" s="294">
        <f>IF(NFI_Expiration=1,IF($A94&lt;VLOOKUP(Q$5,NFI,5,0),1,0)*Table_NFI[[#This Row],[Plastic Mat]],Table_NFI[Plastic Mat])*IF(Table_NFI[[#This Row],[Distribution Date]]&gt;"2014-04-01",1,2.5)</f>
        <v>67.5</v>
      </c>
      <c r="AI94" s="294">
        <f>IF(NFI_Expiration=1,IF($A94&lt;VLOOKUP(R$5,NFI,5,0),1,0)*Table_NFI[[#This Row],[Winter Clothes Adult]],Table_NFI[Winter Clothes Adult])</f>
        <v>0</v>
      </c>
      <c r="AJ94" s="294">
        <f>IF(NFI_Expiration=1,IF($A94&lt;VLOOKUP(S$5,NFI,5,0),1,0)*Table_NFI[[#This Row],[Winter Clothes Children]],Table_NFI[Winter Clothes Children])</f>
        <v>0</v>
      </c>
      <c r="AK94" s="294">
        <f>IF(NFI_Expiration=1,IF($A94&lt;VLOOKUP(T$5,NFI,5,0),1,0)*Table_NFI[[#This Row],[Winter Items Other]],Table_NFI[Winter Items Other])</f>
        <v>0</v>
      </c>
      <c r="AL94" s="294">
        <f>IF(NFI_Expiration=1,IF($A94&lt;VLOOKUP(M$5,NFI,5,0),1,0)*Table_NFI[[#This Row],[Winter Blanket]],Table_NFI[[#This Row],[Winter Blanket]])</f>
        <v>27</v>
      </c>
      <c r="AM94" s="294">
        <f>IF(Table_NFI[[#This Row],[Winter Clothes Adult]]+Table_NFI[[#This Row],[Winter Clothes Children]]+Table_NFI[[#This Row],[Winter Items Other]]+Table_NFI[[#This Row],[Winter Blanket]]&gt;0,1,0)</f>
        <v>1</v>
      </c>
      <c r="AN94" s="331">
        <f>IF(NFI_Expiration=1,IF($A94&lt;VLOOKUP(V$5,NFI,5,0),1,0)*Table_NFI[[#This Row],[Jerry Can]],Table_NFI[Jerry Can])</f>
        <v>7</v>
      </c>
      <c r="AO94" s="331">
        <f>IF(NFI_Expiration=1,IF($A94&lt;VLOOKUP(V$5,NFI,5,0),1,0)*Table_NFI[[#This Row],[Shelter Tool kit]],Table_NFI[Shelter Tool kit])</f>
        <v>0</v>
      </c>
      <c r="AP94" s="331">
        <f>IF(NFI_Expiration=1,IF($A94&lt;VLOOKUP(V$5,NFI,5,0),1,0)*Table_NFI[[#This Row],[Tent]],Table_NFI[Tent])</f>
        <v>0</v>
      </c>
      <c r="AQ94" s="473" t="str">
        <f>IFERROR(VLOOKUP(Table_NFI[[#This Row],[Camp Name]],CL,2,0),"")</f>
        <v>MMR001CMP008</v>
      </c>
      <c r="AR94" s="468">
        <f ca="1">IF(Table_NFI[[#This Row],[Pcode]]="","",IF(OFFSET(CampList[Opening Date],MATCH(Table_NFI[[#This Row],[Pcode]],CampList[CP_Pcode],0)-1,0,1,1)&gt;=NFI_Monitor_Date,1,0))</f>
        <v>0</v>
      </c>
      <c r="AS94" s="670" t="str">
        <f>IFERROR(VLOOKUP(Table_NFI[[#This Row],[Camp Name]],CL,3,0),"")</f>
        <v>Open</v>
      </c>
      <c r="AT94" s="294" t="str">
        <f ca="1">IF(Table_NFI[[#This Row],[Pcode]]="","",OFFSET(CampList[Priority],MATCH(Table_NFI[[#This Row],[Pcode]],CampList[CP_Pcode],0)-1,0,1,1))</f>
        <v>P4</v>
      </c>
      <c r="AU94" s="293">
        <f>IFERROR(Table_NFI[[#This Row],[Kitchen Set]]/VLOOKUP(Table_NFI[[#This Row],[Camp Name]],CL,4,0),"")</f>
        <v>7.6086956521739135E-2</v>
      </c>
      <c r="AV94" s="466" t="s">
        <v>1092</v>
      </c>
      <c r="AW94" s="474"/>
    </row>
    <row r="95" spans="1:49" s="98" customFormat="1" ht="14.45" customHeight="1" x14ac:dyDescent="0.25">
      <c r="A95" s="297">
        <f t="shared" si="1"/>
        <v>10.733333333333333</v>
      </c>
      <c r="B95" s="465">
        <v>42353</v>
      </c>
      <c r="C95" s="466" t="s">
        <v>905</v>
      </c>
      <c r="D95" s="466" t="s">
        <v>905</v>
      </c>
      <c r="E95" s="466" t="s">
        <v>380</v>
      </c>
      <c r="F95" s="290" t="s">
        <v>185</v>
      </c>
      <c r="G95" s="290" t="s">
        <v>229</v>
      </c>
      <c r="H95" s="291"/>
      <c r="I95" s="291"/>
      <c r="J95" s="292"/>
      <c r="K95" s="291"/>
      <c r="L95" s="292"/>
      <c r="M95" s="292"/>
      <c r="N95" s="292"/>
      <c r="O95" s="292"/>
      <c r="P95" s="294"/>
      <c r="Q95" s="294"/>
      <c r="R95" s="294"/>
      <c r="S95" s="294"/>
      <c r="T95" s="294"/>
      <c r="U95" s="294"/>
      <c r="V95" s="431"/>
      <c r="W95" s="294">
        <v>5</v>
      </c>
      <c r="X95" s="294"/>
      <c r="Y95" s="294">
        <f>IF(NFI_Expiration=1,IF($A95&lt;VLOOKUP(H$5,NFI,5,0),1,0)*Table_NFI[[#This Row],[Hygiene Kit]],Table_NFI[Hygiene Kit])</f>
        <v>0</v>
      </c>
      <c r="Z95" s="294">
        <f>IF(NFI_Expiration=1,IF($A95&lt;VLOOKUP(I$5,NFI,5,0),1,0)*Table_NFI[[#This Row],[NFI Core Kit]],Table_NFI[NFI Core Kit])</f>
        <v>0</v>
      </c>
      <c r="AA95" s="294">
        <f>IF(NFI_Expiration=1,IF($A95&lt;VLOOKUP(J$5,NFI,5,0),1,0)*Table_NFI[[#This Row],[Sanitary Kit]],Table_NFI[Sanitary Kit])</f>
        <v>0</v>
      </c>
      <c r="AB95" s="294">
        <f>IF(NFI_Expiration=1,IF($A95&lt;VLOOKUP(K$5,NFI,5,0),1,0)*Table_NFI[[#This Row],[Mosquito net]],Table_NFI[Mosquito net])</f>
        <v>0</v>
      </c>
      <c r="AC95" s="294">
        <f>IF(NFI_Expiration=1,IF($A95&lt;VLOOKUP(L$5,NFI,5,0),1,0)*Table_NFI[[#This Row],[Tarpaulin]],Table_NFI[[#This Row],[Tarpaulin]])</f>
        <v>0</v>
      </c>
      <c r="AD95" s="294">
        <f>IF(NFI_Expiration=1,IF($A95&lt;VLOOKUP(M$5,NFI,5,0),1,0)*Table_NFI[[#This Row],[Blanket]],Table_NFI[[#This Row],[Blanket]])</f>
        <v>0</v>
      </c>
      <c r="AE95" s="294">
        <f>IF(NFI_Expiration=1,IF($A95&lt;VLOOKUP(N$5,NFI,5,0),1,0)*Table_NFI[[#This Row],[Kitchen Set]],Table_NFI[Kitchen Set])</f>
        <v>0</v>
      </c>
      <c r="AF95" s="294">
        <f>IF(NFI_Expiration=1,IF($A95&lt;VLOOKUP(O$5,NFI,5,0),1,0)*Table_NFI[[#This Row],[Clothes Kit]],Table_NFI[Clothes Kit])</f>
        <v>0</v>
      </c>
      <c r="AG95" s="294">
        <f>IF(NFI_Expiration=1,IF($A95&lt;VLOOKUP(P$5,NFI,5,0),1,0)*Table_NFI[[#This Row],[Plastic Bucket]],Table_NFI[Plastic Bucket])</f>
        <v>0</v>
      </c>
      <c r="AH95" s="294">
        <f>IF(NFI_Expiration=1,IF($A95&lt;VLOOKUP(Q$5,NFI,5,0),1,0)*Table_NFI[[#This Row],[Plastic Mat]],Table_NFI[Plastic Mat])*IF(Table_NFI[[#This Row],[Distribution Date]]&gt;"2014-04-01",1,2.5)</f>
        <v>0</v>
      </c>
      <c r="AI95" s="294">
        <f>IF(NFI_Expiration=1,IF($A95&lt;VLOOKUP(R$5,NFI,5,0),1,0)*Table_NFI[[#This Row],[Winter Clothes Adult]],Table_NFI[Winter Clothes Adult])</f>
        <v>0</v>
      </c>
      <c r="AJ95" s="294">
        <f>IF(NFI_Expiration=1,IF($A95&lt;VLOOKUP(S$5,NFI,5,0),1,0)*Table_NFI[[#This Row],[Winter Clothes Children]],Table_NFI[Winter Clothes Children])</f>
        <v>0</v>
      </c>
      <c r="AK95" s="294">
        <f>IF(NFI_Expiration=1,IF($A95&lt;VLOOKUP(T$5,NFI,5,0),1,0)*Table_NFI[[#This Row],[Winter Items Other]],Table_NFI[Winter Items Other])</f>
        <v>0</v>
      </c>
      <c r="AL95" s="294">
        <f>IF(NFI_Expiration=1,IF($A95&lt;VLOOKUP(M$5,NFI,5,0),1,0)*Table_NFI[[#This Row],[Winter Blanket]],Table_NFI[[#This Row],[Winter Blanket]])</f>
        <v>0</v>
      </c>
      <c r="AM95" s="294">
        <f>IF(Table_NFI[[#This Row],[Winter Clothes Adult]]+Table_NFI[[#This Row],[Winter Clothes Children]]+Table_NFI[[#This Row],[Winter Items Other]]+Table_NFI[[#This Row],[Winter Blanket]]&gt;0,1,0)</f>
        <v>0</v>
      </c>
      <c r="AN95" s="331">
        <f>IF(NFI_Expiration=1,IF($A95&lt;VLOOKUP(V$5,NFI,5,0),1,0)*Table_NFI[[#This Row],[Jerry Can]],Table_NFI[Jerry Can])</f>
        <v>0</v>
      </c>
      <c r="AO95" s="331">
        <f>IF(NFI_Expiration=1,IF($A95&lt;VLOOKUP(V$5,NFI,5,0),1,0)*Table_NFI[[#This Row],[Shelter Tool kit]],Table_NFI[Shelter Tool kit])</f>
        <v>5</v>
      </c>
      <c r="AP95" s="331">
        <f>IF(NFI_Expiration=1,IF($A95&lt;VLOOKUP(V$5,NFI,5,0),1,0)*Table_NFI[[#This Row],[Tent]],Table_NFI[Tent])</f>
        <v>0</v>
      </c>
      <c r="AQ95" s="473" t="str">
        <f>IFERROR(VLOOKUP(Table_NFI[[#This Row],[Camp Name]],CL,2,0),"")</f>
        <v>MMR001CMP072</v>
      </c>
      <c r="AR95" s="468">
        <f ca="1">IF(Table_NFI[[#This Row],[Pcode]]="","",IF(OFFSET(CampList[Opening Date],MATCH(Table_NFI[[#This Row],[Pcode]],CampList[CP_Pcode],0)-1,0,1,1)&gt;=NFI_Monitor_Date,1,0))</f>
        <v>0</v>
      </c>
      <c r="AS95" s="473" t="str">
        <f>IFERROR(VLOOKUP(Table_NFI[[#This Row],[Camp Name]],CL,3,0),"")</f>
        <v>Open</v>
      </c>
      <c r="AT95" s="294" t="str">
        <f ca="1">IF(Table_NFI[[#This Row],[Pcode]]="","",OFFSET(CampList[Priority],MATCH(Table_NFI[[#This Row],[Pcode]],CampList[CP_Pcode],0)-1,0,1,1))</f>
        <v>P3</v>
      </c>
      <c r="AU95" s="293">
        <f>IFERROR(Table_NFI[[#This Row],[Kitchen Set]]/VLOOKUP(Table_NFI[[#This Row],[Camp Name]],CL,4,0),"")</f>
        <v>0</v>
      </c>
      <c r="AV95" s="466"/>
      <c r="AW95" s="469"/>
    </row>
    <row r="96" spans="1:49" s="470" customFormat="1" ht="14.45" customHeight="1" x14ac:dyDescent="0.25">
      <c r="A96" s="297">
        <f t="shared" si="1"/>
        <v>10.733333333333333</v>
      </c>
      <c r="B96" s="465">
        <v>42353</v>
      </c>
      <c r="C96" s="466" t="s">
        <v>905</v>
      </c>
      <c r="D96" s="467" t="s">
        <v>905</v>
      </c>
      <c r="E96" s="466" t="s">
        <v>380</v>
      </c>
      <c r="F96" s="290" t="s">
        <v>185</v>
      </c>
      <c r="G96" s="290" t="s">
        <v>225</v>
      </c>
      <c r="H96" s="291"/>
      <c r="I96" s="291"/>
      <c r="J96" s="292"/>
      <c r="K96" s="291"/>
      <c r="L96" s="292"/>
      <c r="M96" s="292"/>
      <c r="N96" s="292"/>
      <c r="O96" s="292"/>
      <c r="P96" s="294"/>
      <c r="Q96" s="294"/>
      <c r="R96" s="294"/>
      <c r="S96" s="294"/>
      <c r="T96" s="294"/>
      <c r="U96" s="294"/>
      <c r="V96" s="431"/>
      <c r="W96" s="294">
        <v>4</v>
      </c>
      <c r="X96" s="294"/>
      <c r="Y96" s="294">
        <f>IF(NFI_Expiration=1,IF($A96&lt;VLOOKUP(H$5,NFI,5,0),1,0)*Table_NFI[[#This Row],[Hygiene Kit]],Table_NFI[Hygiene Kit])</f>
        <v>0</v>
      </c>
      <c r="Z96" s="294">
        <f>IF(NFI_Expiration=1,IF($A96&lt;VLOOKUP(I$5,NFI,5,0),1,0)*Table_NFI[[#This Row],[NFI Core Kit]],Table_NFI[NFI Core Kit])</f>
        <v>0</v>
      </c>
      <c r="AA96" s="294">
        <f>IF(NFI_Expiration=1,IF($A96&lt;VLOOKUP(J$5,NFI,5,0),1,0)*Table_NFI[[#This Row],[Sanitary Kit]],Table_NFI[Sanitary Kit])</f>
        <v>0</v>
      </c>
      <c r="AB96" s="294">
        <f>IF(NFI_Expiration=1,IF($A96&lt;VLOOKUP(K$5,NFI,5,0),1,0)*Table_NFI[[#This Row],[Mosquito net]],Table_NFI[Mosquito net])</f>
        <v>0</v>
      </c>
      <c r="AC96" s="294">
        <f>IF(NFI_Expiration=1,IF($A96&lt;VLOOKUP(L$5,NFI,5,0),1,0)*Table_NFI[[#This Row],[Tarpaulin]],Table_NFI[[#This Row],[Tarpaulin]])</f>
        <v>0</v>
      </c>
      <c r="AD96" s="294">
        <f>IF(NFI_Expiration=1,IF($A96&lt;VLOOKUP(M$5,NFI,5,0),1,0)*Table_NFI[[#This Row],[Blanket]],Table_NFI[[#This Row],[Blanket]])</f>
        <v>0</v>
      </c>
      <c r="AE96" s="294">
        <f>IF(NFI_Expiration=1,IF($A96&lt;VLOOKUP(N$5,NFI,5,0),1,0)*Table_NFI[[#This Row],[Kitchen Set]],Table_NFI[Kitchen Set])</f>
        <v>0</v>
      </c>
      <c r="AF96" s="294">
        <f>IF(NFI_Expiration=1,IF($A96&lt;VLOOKUP(O$5,NFI,5,0),1,0)*Table_NFI[[#This Row],[Clothes Kit]],Table_NFI[Clothes Kit])</f>
        <v>0</v>
      </c>
      <c r="AG96" s="294">
        <f>IF(NFI_Expiration=1,IF($A96&lt;VLOOKUP(P$5,NFI,5,0),1,0)*Table_NFI[[#This Row],[Plastic Bucket]],Table_NFI[Plastic Bucket])</f>
        <v>0</v>
      </c>
      <c r="AH96" s="294">
        <f>IF(NFI_Expiration=1,IF($A96&lt;VLOOKUP(Q$5,NFI,5,0),1,0)*Table_NFI[[#This Row],[Plastic Mat]],Table_NFI[Plastic Mat])*IF(Table_NFI[[#This Row],[Distribution Date]]&gt;"2014-04-01",1,2.5)</f>
        <v>0</v>
      </c>
      <c r="AI96" s="294">
        <f>IF(NFI_Expiration=1,IF($A96&lt;VLOOKUP(R$5,NFI,5,0),1,0)*Table_NFI[[#This Row],[Winter Clothes Adult]],Table_NFI[Winter Clothes Adult])</f>
        <v>0</v>
      </c>
      <c r="AJ96" s="294">
        <f>IF(NFI_Expiration=1,IF($A96&lt;VLOOKUP(S$5,NFI,5,0),1,0)*Table_NFI[[#This Row],[Winter Clothes Children]],Table_NFI[Winter Clothes Children])</f>
        <v>0</v>
      </c>
      <c r="AK96" s="294">
        <f>IF(NFI_Expiration=1,IF($A96&lt;VLOOKUP(T$5,NFI,5,0),1,0)*Table_NFI[[#This Row],[Winter Items Other]],Table_NFI[Winter Items Other])</f>
        <v>0</v>
      </c>
      <c r="AL96" s="294">
        <f>IF(NFI_Expiration=1,IF($A96&lt;VLOOKUP(M$5,NFI,5,0),1,0)*Table_NFI[[#This Row],[Winter Blanket]],Table_NFI[[#This Row],[Winter Blanket]])</f>
        <v>0</v>
      </c>
      <c r="AM96" s="294">
        <f>IF(Table_NFI[[#This Row],[Winter Clothes Adult]]+Table_NFI[[#This Row],[Winter Clothes Children]]+Table_NFI[[#This Row],[Winter Items Other]]+Table_NFI[[#This Row],[Winter Blanket]]&gt;0,1,0)</f>
        <v>0</v>
      </c>
      <c r="AN96" s="331">
        <f>IF(NFI_Expiration=1,IF($A96&lt;VLOOKUP(V$5,NFI,5,0),1,0)*Table_NFI[[#This Row],[Jerry Can]],Table_NFI[Jerry Can])</f>
        <v>0</v>
      </c>
      <c r="AO96" s="331">
        <f>IF(NFI_Expiration=1,IF($A96&lt;VLOOKUP(V$5,NFI,5,0),1,0)*Table_NFI[[#This Row],[Shelter Tool kit]],Table_NFI[Shelter Tool kit])</f>
        <v>4</v>
      </c>
      <c r="AP96" s="331">
        <f>IF(NFI_Expiration=1,IF($A96&lt;VLOOKUP(V$5,NFI,5,0),1,0)*Table_NFI[[#This Row],[Tent]],Table_NFI[Tent])</f>
        <v>0</v>
      </c>
      <c r="AQ96" s="473" t="str">
        <f>IFERROR(VLOOKUP(Table_NFI[[#This Row],[Camp Name]],CL,2,0),"")</f>
        <v>MMR001CMP073</v>
      </c>
      <c r="AR96" s="468">
        <f ca="1">IF(Table_NFI[[#This Row],[Pcode]]="","",IF(OFFSET(CampList[Opening Date],MATCH(Table_NFI[[#This Row],[Pcode]],CampList[CP_Pcode],0)-1,0,1,1)&gt;=NFI_Monitor_Date,1,0))</f>
        <v>0</v>
      </c>
      <c r="AS96" s="473" t="str">
        <f>IFERROR(VLOOKUP(Table_NFI[[#This Row],[Camp Name]],CL,3,0),"")</f>
        <v>Open</v>
      </c>
      <c r="AT96" s="294" t="str">
        <f ca="1">IF(Table_NFI[[#This Row],[Pcode]]="","",OFFSET(CampList[Priority],MATCH(Table_NFI[[#This Row],[Pcode]],CampList[CP_Pcode],0)-1,0,1,1))</f>
        <v>P3</v>
      </c>
      <c r="AU96" s="293">
        <f>IFERROR(Table_NFI[[#This Row],[Kitchen Set]]/VLOOKUP(Table_NFI[[#This Row],[Camp Name]],CL,4,0),"")</f>
        <v>0</v>
      </c>
      <c r="AV96" s="466"/>
      <c r="AW96" s="469"/>
    </row>
    <row r="97" spans="1:49" s="98" customFormat="1" ht="14.45" customHeight="1" x14ac:dyDescent="0.2">
      <c r="A97" s="297">
        <f t="shared" si="1"/>
        <v>10.766666666666667</v>
      </c>
      <c r="B97" s="465">
        <v>42352</v>
      </c>
      <c r="C97" s="466" t="s">
        <v>905</v>
      </c>
      <c r="D97" s="467" t="s">
        <v>905</v>
      </c>
      <c r="E97" s="466" t="s">
        <v>380</v>
      </c>
      <c r="F97" s="290" t="s">
        <v>5</v>
      </c>
      <c r="G97" s="290" t="s">
        <v>22</v>
      </c>
      <c r="H97" s="291"/>
      <c r="I97" s="291"/>
      <c r="J97" s="291"/>
      <c r="K97" s="291"/>
      <c r="L97" s="292"/>
      <c r="M97" s="292"/>
      <c r="N97" s="292"/>
      <c r="O97" s="292"/>
      <c r="P97" s="294"/>
      <c r="Q97" s="294"/>
      <c r="R97" s="294"/>
      <c r="S97" s="294"/>
      <c r="T97" s="294"/>
      <c r="U97" s="294"/>
      <c r="V97" s="621">
        <v>2</v>
      </c>
      <c r="W97" s="294"/>
      <c r="X97" s="294"/>
      <c r="Y97" s="294">
        <f>IF(NFI_Expiration=1,IF($A97&lt;VLOOKUP(H$5,NFI,5,0),1,0)*Table_NFI[[#This Row],[Hygiene Kit]],Table_NFI[Hygiene Kit])</f>
        <v>0</v>
      </c>
      <c r="Z97" s="294">
        <f>IF(NFI_Expiration=1,IF($A97&lt;VLOOKUP(I$5,NFI,5,0),1,0)*Table_NFI[[#This Row],[NFI Core Kit]],Table_NFI[NFI Core Kit])</f>
        <v>0</v>
      </c>
      <c r="AA97" s="294">
        <f>IF(NFI_Expiration=1,IF($A97&lt;VLOOKUP(J$5,NFI,5,0),1,0)*Table_NFI[[#This Row],[Sanitary Kit]],Table_NFI[Sanitary Kit])</f>
        <v>0</v>
      </c>
      <c r="AB97" s="294">
        <f>IF(NFI_Expiration=1,IF($A97&lt;VLOOKUP(K$5,NFI,5,0),1,0)*Table_NFI[[#This Row],[Mosquito net]],Table_NFI[Mosquito net])</f>
        <v>0</v>
      </c>
      <c r="AC97" s="294">
        <f>IF(NFI_Expiration=1,IF($A97&lt;VLOOKUP(L$5,NFI,5,0),1,0)*Table_NFI[[#This Row],[Tarpaulin]],Table_NFI[[#This Row],[Tarpaulin]])</f>
        <v>0</v>
      </c>
      <c r="AD97" s="294">
        <f>IF(NFI_Expiration=1,IF($A97&lt;VLOOKUP(M$5,NFI,5,0),1,0)*Table_NFI[[#This Row],[Blanket]],Table_NFI[[#This Row],[Blanket]])</f>
        <v>0</v>
      </c>
      <c r="AE97" s="294">
        <f>IF(NFI_Expiration=1,IF($A97&lt;VLOOKUP(N$5,NFI,5,0),1,0)*Table_NFI[[#This Row],[Kitchen Set]],Table_NFI[Kitchen Set])</f>
        <v>0</v>
      </c>
      <c r="AF97" s="294">
        <f>IF(NFI_Expiration=1,IF($A97&lt;VLOOKUP(O$5,NFI,5,0),1,0)*Table_NFI[[#This Row],[Clothes Kit]],Table_NFI[Clothes Kit])</f>
        <v>0</v>
      </c>
      <c r="AG97" s="294">
        <f>IF(NFI_Expiration=1,IF($A97&lt;VLOOKUP(P$5,NFI,5,0),1,0)*Table_NFI[[#This Row],[Plastic Bucket]],Table_NFI[Plastic Bucket])</f>
        <v>0</v>
      </c>
      <c r="AH97" s="294">
        <f>IF(NFI_Expiration=1,IF($A97&lt;VLOOKUP(Q$5,NFI,5,0),1,0)*Table_NFI[[#This Row],[Plastic Mat]],Table_NFI[Plastic Mat])*IF(Table_NFI[[#This Row],[Distribution Date]]&gt;"2014-04-01",1,2.5)</f>
        <v>0</v>
      </c>
      <c r="AI97" s="294">
        <f>IF(NFI_Expiration=1,IF($A97&lt;VLOOKUP(R$5,NFI,5,0),1,0)*Table_NFI[[#This Row],[Winter Clothes Adult]],Table_NFI[Winter Clothes Adult])</f>
        <v>0</v>
      </c>
      <c r="AJ97" s="294">
        <f>IF(NFI_Expiration=1,IF($A97&lt;VLOOKUP(S$5,NFI,5,0),1,0)*Table_NFI[[#This Row],[Winter Clothes Children]],Table_NFI[Winter Clothes Children])</f>
        <v>0</v>
      </c>
      <c r="AK97" s="294">
        <f>IF(NFI_Expiration=1,IF($A97&lt;VLOOKUP(T$5,NFI,5,0),1,0)*Table_NFI[[#This Row],[Winter Items Other]],Table_NFI[Winter Items Other])</f>
        <v>0</v>
      </c>
      <c r="AL97" s="294">
        <f>IF(NFI_Expiration=1,IF($A97&lt;VLOOKUP(M$5,NFI,5,0),1,0)*Table_NFI[[#This Row],[Winter Blanket]],Table_NFI[[#This Row],[Winter Blanket]])</f>
        <v>0</v>
      </c>
      <c r="AM97" s="294">
        <f>IF(Table_NFI[[#This Row],[Winter Clothes Adult]]+Table_NFI[[#This Row],[Winter Clothes Children]]+Table_NFI[[#This Row],[Winter Items Other]]+Table_NFI[[#This Row],[Winter Blanket]]&gt;0,1,0)</f>
        <v>0</v>
      </c>
      <c r="AN97" s="331">
        <f>IF(NFI_Expiration=1,IF($A97&lt;VLOOKUP(V$5,NFI,5,0),1,0)*Table_NFI[[#This Row],[Jerry Can]],Table_NFI[Jerry Can])</f>
        <v>2</v>
      </c>
      <c r="AO97" s="331">
        <f>IF(NFI_Expiration=1,IF($A97&lt;VLOOKUP(V$5,NFI,5,0),1,0)*Table_NFI[[#This Row],[Shelter Tool kit]],Table_NFI[Shelter Tool kit])</f>
        <v>0</v>
      </c>
      <c r="AP97" s="331">
        <f>IF(NFI_Expiration=1,IF($A97&lt;VLOOKUP(V$5,NFI,5,0),1,0)*Table_NFI[[#This Row],[Tent]],Table_NFI[Tent])</f>
        <v>0</v>
      </c>
      <c r="AQ97" s="473" t="str">
        <f>IFERROR(VLOOKUP(Table_NFI[[#This Row],[Camp Name]],CL,2,0),"")</f>
        <v>MMR001CMP047</v>
      </c>
      <c r="AR97" s="468">
        <f ca="1">IF(Table_NFI[[#This Row],[Pcode]]="","",IF(OFFSET(CampList[Opening Date],MATCH(Table_NFI[[#This Row],[Pcode]],CampList[CP_Pcode],0)-1,0,1,1)&gt;=NFI_Monitor_Date,1,0))</f>
        <v>0</v>
      </c>
      <c r="AS97" s="473" t="str">
        <f>IFERROR(VLOOKUP(Table_NFI[[#This Row],[Camp Name]],CL,3,0),"")</f>
        <v>Open</v>
      </c>
      <c r="AT97" s="294" t="str">
        <f ca="1">IF(Table_NFI[[#This Row],[Pcode]]="","",OFFSET(CampList[Priority],MATCH(Table_NFI[[#This Row],[Pcode]],CampList[CP_Pcode],0)-1,0,1,1))</f>
        <v>P4</v>
      </c>
      <c r="AU97" s="293">
        <f>IFERROR(Table_NFI[[#This Row],[Kitchen Set]]/VLOOKUP(Table_NFI[[#This Row],[Camp Name]],CL,4,0),"")</f>
        <v>0</v>
      </c>
      <c r="AV97" s="466"/>
      <c r="AW97" s="469"/>
    </row>
    <row r="98" spans="1:49" s="98" customFormat="1" ht="14.45" customHeight="1" x14ac:dyDescent="0.25">
      <c r="A98" s="297">
        <f t="shared" si="1"/>
        <v>10.866666666666667</v>
      </c>
      <c r="B98" s="465">
        <v>42349</v>
      </c>
      <c r="C98" s="471" t="s">
        <v>452</v>
      </c>
      <c r="D98" s="471" t="s">
        <v>505</v>
      </c>
      <c r="E98" s="471" t="s">
        <v>380</v>
      </c>
      <c r="F98" s="471" t="s">
        <v>237</v>
      </c>
      <c r="G98" s="471" t="s">
        <v>249</v>
      </c>
      <c r="H98" s="292"/>
      <c r="I98" s="292"/>
      <c r="J98" s="292"/>
      <c r="K98" s="292"/>
      <c r="L98" s="292"/>
      <c r="M98" s="292"/>
      <c r="N98" s="292"/>
      <c r="O98" s="292"/>
      <c r="P98" s="294"/>
      <c r="Q98" s="294"/>
      <c r="R98" s="294"/>
      <c r="S98" s="294"/>
      <c r="T98" s="294"/>
      <c r="U98" s="294">
        <v>11</v>
      </c>
      <c r="V98" s="431"/>
      <c r="W98" s="294"/>
      <c r="X98" s="294"/>
      <c r="Y98" s="294">
        <f>IF(NFI_Expiration=1,IF($A98&lt;VLOOKUP(H$5,NFI,5,0),1,0)*Table_NFI[[#This Row],[Hygiene Kit]],Table_NFI[Hygiene Kit])</f>
        <v>0</v>
      </c>
      <c r="Z98" s="294">
        <f>IF(NFI_Expiration=1,IF($A98&lt;VLOOKUP(I$5,NFI,5,0),1,0)*Table_NFI[[#This Row],[NFI Core Kit]],Table_NFI[NFI Core Kit])</f>
        <v>0</v>
      </c>
      <c r="AA98" s="294">
        <f>IF(NFI_Expiration=1,IF($A98&lt;VLOOKUP(J$5,NFI,5,0),1,0)*Table_NFI[[#This Row],[Sanitary Kit]],Table_NFI[Sanitary Kit])</f>
        <v>0</v>
      </c>
      <c r="AB98" s="294">
        <f>IF(NFI_Expiration=1,IF($A98&lt;VLOOKUP(K$5,NFI,5,0),1,0)*Table_NFI[[#This Row],[Mosquito net]],Table_NFI[Mosquito net])</f>
        <v>0</v>
      </c>
      <c r="AC98" s="294">
        <f>IF(NFI_Expiration=1,IF($A98&lt;VLOOKUP(L$5,NFI,5,0),1,0)*Table_NFI[[#This Row],[Tarpaulin]],Table_NFI[[#This Row],[Tarpaulin]])</f>
        <v>0</v>
      </c>
      <c r="AD98" s="294">
        <f>IF(NFI_Expiration=1,IF($A98&lt;VLOOKUP(M$5,NFI,5,0),1,0)*Table_NFI[[#This Row],[Blanket]],Table_NFI[[#This Row],[Blanket]])</f>
        <v>0</v>
      </c>
      <c r="AE98" s="294">
        <f>IF(NFI_Expiration=1,IF($A98&lt;VLOOKUP(N$5,NFI,5,0),1,0)*Table_NFI[[#This Row],[Kitchen Set]],Table_NFI[Kitchen Set])</f>
        <v>0</v>
      </c>
      <c r="AF98" s="294">
        <f>IF(NFI_Expiration=1,IF($A98&lt;VLOOKUP(O$5,NFI,5,0),1,0)*Table_NFI[[#This Row],[Clothes Kit]],Table_NFI[Clothes Kit])</f>
        <v>0</v>
      </c>
      <c r="AG98" s="294">
        <f>IF(NFI_Expiration=1,IF($A98&lt;VLOOKUP(P$5,NFI,5,0),1,0)*Table_NFI[[#This Row],[Plastic Bucket]],Table_NFI[Plastic Bucket])</f>
        <v>0</v>
      </c>
      <c r="AH98" s="294">
        <f>IF(NFI_Expiration=1,IF($A98&lt;VLOOKUP(Q$5,NFI,5,0),1,0)*Table_NFI[[#This Row],[Plastic Mat]],Table_NFI[Plastic Mat])*IF(Table_NFI[[#This Row],[Distribution Date]]&gt;"2014-04-01",1,2.5)</f>
        <v>0</v>
      </c>
      <c r="AI98" s="294">
        <f>IF(NFI_Expiration=1,IF($A98&lt;VLOOKUP(R$5,NFI,5,0),1,0)*Table_NFI[[#This Row],[Winter Clothes Adult]],Table_NFI[Winter Clothes Adult])</f>
        <v>0</v>
      </c>
      <c r="AJ98" s="294">
        <f>IF(NFI_Expiration=1,IF($A98&lt;VLOOKUP(S$5,NFI,5,0),1,0)*Table_NFI[[#This Row],[Winter Clothes Children]],Table_NFI[Winter Clothes Children])</f>
        <v>0</v>
      </c>
      <c r="AK98" s="294">
        <f>IF(NFI_Expiration=1,IF($A98&lt;VLOOKUP(T$5,NFI,5,0),1,0)*Table_NFI[[#This Row],[Winter Items Other]],Table_NFI[Winter Items Other])</f>
        <v>0</v>
      </c>
      <c r="AL98" s="294">
        <f>IF(NFI_Expiration=1,IF($A98&lt;VLOOKUP(M$5,NFI,5,0),1,0)*Table_NFI[[#This Row],[Winter Blanket]],Table_NFI[[#This Row],[Winter Blanket]])</f>
        <v>11</v>
      </c>
      <c r="AM98" s="294">
        <f>IF(Table_NFI[[#This Row],[Winter Clothes Adult]]+Table_NFI[[#This Row],[Winter Clothes Children]]+Table_NFI[[#This Row],[Winter Items Other]]+Table_NFI[[#This Row],[Winter Blanket]]&gt;0,1,0)</f>
        <v>1</v>
      </c>
      <c r="AN98" s="331">
        <f>IF(NFI_Expiration=1,IF($A98&lt;VLOOKUP(V$5,NFI,5,0),1,0)*Table_NFI[[#This Row],[Jerry Can]],Table_NFI[Jerry Can])</f>
        <v>0</v>
      </c>
      <c r="AO98" s="331">
        <f>IF(NFI_Expiration=1,IF($A98&lt;VLOOKUP(V$5,NFI,5,0),1,0)*Table_NFI[[#This Row],[Shelter Tool kit]],Table_NFI[Shelter Tool kit])</f>
        <v>0</v>
      </c>
      <c r="AP98" s="331">
        <f>IF(NFI_Expiration=1,IF($A98&lt;VLOOKUP(V$5,NFI,5,0),1,0)*Table_NFI[[#This Row],[Tent]],Table_NFI[Tent])</f>
        <v>0</v>
      </c>
      <c r="AQ98" s="473" t="str">
        <f>IFERROR(VLOOKUP(Table_NFI[[#This Row],[Camp Name]],CL,2,0),"")</f>
        <v>MMR001CMP004</v>
      </c>
      <c r="AR98" s="468">
        <f ca="1">IF(Table_NFI[[#This Row],[Pcode]]="","",IF(OFFSET(CampList[Opening Date],MATCH(Table_NFI[[#This Row],[Pcode]],CampList[CP_Pcode],0)-1,0,1,1)&gt;=NFI_Monitor_Date,1,0))</f>
        <v>0</v>
      </c>
      <c r="AS98" s="473" t="str">
        <f>IFERROR(VLOOKUP(Table_NFI[[#This Row],[Camp Name]],CL,3,0),"")</f>
        <v>Open</v>
      </c>
      <c r="AT98" s="294" t="str">
        <f ca="1">IF(Table_NFI[[#This Row],[Pcode]]="","",OFFSET(CampList[Priority],MATCH(Table_NFI[[#This Row],[Pcode]],CampList[CP_Pcode],0)-1,0,1,1))</f>
        <v>P4</v>
      </c>
      <c r="AU98" s="293">
        <f>IFERROR(Table_NFI[[#This Row],[Kitchen Set]]/VLOOKUP(Table_NFI[[#This Row],[Camp Name]],CL,4,0),"")</f>
        <v>0</v>
      </c>
      <c r="AV98" s="466" t="s">
        <v>1092</v>
      </c>
      <c r="AW98" s="474"/>
    </row>
    <row r="99" spans="1:49" s="98" customFormat="1" ht="14.45" customHeight="1" x14ac:dyDescent="0.25">
      <c r="A99" s="297">
        <f t="shared" si="1"/>
        <v>11.1</v>
      </c>
      <c r="B99" s="465">
        <v>42342</v>
      </c>
      <c r="C99" s="466" t="s">
        <v>905</v>
      </c>
      <c r="D99" s="466" t="s">
        <v>905</v>
      </c>
      <c r="E99" s="466" t="s">
        <v>380</v>
      </c>
      <c r="F99" s="290" t="s">
        <v>185</v>
      </c>
      <c r="G99" s="290" t="s">
        <v>1437</v>
      </c>
      <c r="H99" s="291"/>
      <c r="I99" s="291"/>
      <c r="J99" s="292"/>
      <c r="K99" s="291"/>
      <c r="L99" s="292"/>
      <c r="M99" s="292"/>
      <c r="N99" s="292"/>
      <c r="O99" s="292"/>
      <c r="P99" s="294"/>
      <c r="Q99" s="294"/>
      <c r="R99" s="294"/>
      <c r="S99" s="294"/>
      <c r="T99" s="294"/>
      <c r="U99" s="294"/>
      <c r="V99" s="331">
        <v>1</v>
      </c>
      <c r="W99" s="294"/>
      <c r="X99" s="294"/>
      <c r="Y99" s="294">
        <f>IF(NFI_Expiration=1,IF($A99&lt;VLOOKUP(H$5,NFI,5,0),1,0)*Table_NFI[[#This Row],[Hygiene Kit]],Table_NFI[Hygiene Kit])</f>
        <v>0</v>
      </c>
      <c r="Z99" s="294">
        <f>IF(NFI_Expiration=1,IF($A99&lt;VLOOKUP(I$5,NFI,5,0),1,0)*Table_NFI[[#This Row],[NFI Core Kit]],Table_NFI[NFI Core Kit])</f>
        <v>0</v>
      </c>
      <c r="AA99" s="294">
        <f>IF(NFI_Expiration=1,IF($A99&lt;VLOOKUP(J$5,NFI,5,0),1,0)*Table_NFI[[#This Row],[Sanitary Kit]],Table_NFI[Sanitary Kit])</f>
        <v>0</v>
      </c>
      <c r="AB99" s="294">
        <f>IF(NFI_Expiration=1,IF($A99&lt;VLOOKUP(K$5,NFI,5,0),1,0)*Table_NFI[[#This Row],[Mosquito net]],Table_NFI[Mosquito net])</f>
        <v>0</v>
      </c>
      <c r="AC99" s="294">
        <f>IF(NFI_Expiration=1,IF($A99&lt;VLOOKUP(L$5,NFI,5,0),1,0)*Table_NFI[[#This Row],[Tarpaulin]],Table_NFI[[#This Row],[Tarpaulin]])</f>
        <v>0</v>
      </c>
      <c r="AD99" s="294">
        <f>IF(NFI_Expiration=1,IF($A99&lt;VLOOKUP(M$5,NFI,5,0),1,0)*Table_NFI[[#This Row],[Blanket]],Table_NFI[[#This Row],[Blanket]])</f>
        <v>0</v>
      </c>
      <c r="AE99" s="294">
        <f>IF(NFI_Expiration=1,IF($A99&lt;VLOOKUP(N$5,NFI,5,0),1,0)*Table_NFI[[#This Row],[Kitchen Set]],Table_NFI[Kitchen Set])</f>
        <v>0</v>
      </c>
      <c r="AF99" s="294">
        <f>IF(NFI_Expiration=1,IF($A99&lt;VLOOKUP(O$5,NFI,5,0),1,0)*Table_NFI[[#This Row],[Clothes Kit]],Table_NFI[Clothes Kit])</f>
        <v>0</v>
      </c>
      <c r="AG99" s="294">
        <f>IF(NFI_Expiration=1,IF($A99&lt;VLOOKUP(P$5,NFI,5,0),1,0)*Table_NFI[[#This Row],[Plastic Bucket]],Table_NFI[Plastic Bucket])</f>
        <v>0</v>
      </c>
      <c r="AH99" s="294">
        <f>IF(NFI_Expiration=1,IF($A99&lt;VLOOKUP(Q$5,NFI,5,0),1,0)*Table_NFI[[#This Row],[Plastic Mat]],Table_NFI[Plastic Mat])*IF(Table_NFI[[#This Row],[Distribution Date]]&gt;"2014-04-01",1,2.5)</f>
        <v>0</v>
      </c>
      <c r="AI99" s="294">
        <f>IF(NFI_Expiration=1,IF($A99&lt;VLOOKUP(R$5,NFI,5,0),1,0)*Table_NFI[[#This Row],[Winter Clothes Adult]],Table_NFI[Winter Clothes Adult])</f>
        <v>0</v>
      </c>
      <c r="AJ99" s="294">
        <f>IF(NFI_Expiration=1,IF($A99&lt;VLOOKUP(S$5,NFI,5,0),1,0)*Table_NFI[[#This Row],[Winter Clothes Children]],Table_NFI[Winter Clothes Children])</f>
        <v>0</v>
      </c>
      <c r="AK99" s="294">
        <f>IF(NFI_Expiration=1,IF($A99&lt;VLOOKUP(T$5,NFI,5,0),1,0)*Table_NFI[[#This Row],[Winter Items Other]],Table_NFI[Winter Items Other])</f>
        <v>0</v>
      </c>
      <c r="AL99" s="294">
        <f>IF(NFI_Expiration=1,IF($A99&lt;VLOOKUP(M$5,NFI,5,0),1,0)*Table_NFI[[#This Row],[Winter Blanket]],Table_NFI[[#This Row],[Winter Blanket]])</f>
        <v>0</v>
      </c>
      <c r="AM99" s="294">
        <f>IF(Table_NFI[[#This Row],[Winter Clothes Adult]]+Table_NFI[[#This Row],[Winter Clothes Children]]+Table_NFI[[#This Row],[Winter Items Other]]+Table_NFI[[#This Row],[Winter Blanket]]&gt;0,1,0)</f>
        <v>0</v>
      </c>
      <c r="AN99" s="331">
        <f>IF(NFI_Expiration=1,IF($A99&lt;VLOOKUP(V$5,NFI,5,0),1,0)*Table_NFI[[#This Row],[Jerry Can]],Table_NFI[Jerry Can])</f>
        <v>1</v>
      </c>
      <c r="AO99" s="331">
        <f>IF(NFI_Expiration=1,IF($A99&lt;VLOOKUP(V$5,NFI,5,0),1,0)*Table_NFI[[#This Row],[Shelter Tool kit]],Table_NFI[Shelter Tool kit])</f>
        <v>0</v>
      </c>
      <c r="AP99" s="331">
        <f>IF(NFI_Expiration=1,IF($A99&lt;VLOOKUP(V$5,NFI,5,0),1,0)*Table_NFI[[#This Row],[Tent]],Table_NFI[Tent])</f>
        <v>0</v>
      </c>
      <c r="AQ99" s="473" t="str">
        <f>IFERROR(VLOOKUP(Table_NFI[[#This Row],[Camp Name]],CL,2,0),"")</f>
        <v/>
      </c>
      <c r="AR99" s="468" t="str">
        <f ca="1">IF(Table_NFI[[#This Row],[Pcode]]="","",IF(OFFSET(CampList[Opening Date],MATCH(Table_NFI[[#This Row],[Pcode]],CampList[CP_Pcode],0)-1,0,1,1)&gt;=NFI_Monitor_Date,1,0))</f>
        <v/>
      </c>
      <c r="AS99" s="670" t="str">
        <f>IFERROR(VLOOKUP(Table_NFI[[#This Row],[Camp Name]],CL,3,0),"")</f>
        <v/>
      </c>
      <c r="AT99" s="294" t="str">
        <f ca="1">IF(Table_NFI[[#This Row],[Pcode]]="","",OFFSET(CampList[Priority],MATCH(Table_NFI[[#This Row],[Pcode]],CampList[CP_Pcode],0)-1,0,1,1))</f>
        <v/>
      </c>
      <c r="AU99" s="293" t="str">
        <f>IFERROR(Table_NFI[[#This Row],[Kitchen Set]]/VLOOKUP(Table_NFI[[#This Row],[Camp Name]],CL,4,0),"")</f>
        <v/>
      </c>
      <c r="AV99" s="466"/>
      <c r="AW99" s="469"/>
    </row>
    <row r="100" spans="1:49" s="98" customFormat="1" ht="14.45" customHeight="1" x14ac:dyDescent="0.2">
      <c r="A100" s="297">
        <f t="shared" si="1"/>
        <v>11.1</v>
      </c>
      <c r="B100" s="465">
        <v>42342</v>
      </c>
      <c r="C100" s="466" t="s">
        <v>905</v>
      </c>
      <c r="D100" s="466" t="s">
        <v>905</v>
      </c>
      <c r="E100" s="466" t="s">
        <v>380</v>
      </c>
      <c r="F100" s="466" t="s">
        <v>5</v>
      </c>
      <c r="G100" s="466" t="s">
        <v>366</v>
      </c>
      <c r="H100" s="291"/>
      <c r="I100" s="291"/>
      <c r="J100" s="291"/>
      <c r="K100" s="291"/>
      <c r="L100" s="292"/>
      <c r="M100" s="292"/>
      <c r="N100" s="292"/>
      <c r="O100" s="292"/>
      <c r="P100" s="294"/>
      <c r="Q100" s="294"/>
      <c r="R100" s="294"/>
      <c r="S100" s="294"/>
      <c r="T100" s="294"/>
      <c r="U100" s="294"/>
      <c r="V100" s="621">
        <v>5</v>
      </c>
      <c r="W100" s="294"/>
      <c r="X100" s="294"/>
      <c r="Y100" s="294">
        <f>IF(NFI_Expiration=1,IF($A100&lt;VLOOKUP(H$5,NFI,5,0),1,0)*Table_NFI[[#This Row],[Hygiene Kit]],Table_NFI[Hygiene Kit])</f>
        <v>0</v>
      </c>
      <c r="Z100" s="294">
        <f>IF(NFI_Expiration=1,IF($A100&lt;VLOOKUP(I$5,NFI,5,0),1,0)*Table_NFI[[#This Row],[NFI Core Kit]],Table_NFI[NFI Core Kit])</f>
        <v>0</v>
      </c>
      <c r="AA100" s="294">
        <f>IF(NFI_Expiration=1,IF($A100&lt;VLOOKUP(J$5,NFI,5,0),1,0)*Table_NFI[[#This Row],[Sanitary Kit]],Table_NFI[Sanitary Kit])</f>
        <v>0</v>
      </c>
      <c r="AB100" s="294">
        <f>IF(NFI_Expiration=1,IF($A100&lt;VLOOKUP(K$5,NFI,5,0),1,0)*Table_NFI[[#This Row],[Mosquito net]],Table_NFI[Mosquito net])</f>
        <v>0</v>
      </c>
      <c r="AC100" s="294">
        <f>IF(NFI_Expiration=1,IF($A100&lt;VLOOKUP(L$5,NFI,5,0),1,0)*Table_NFI[[#This Row],[Tarpaulin]],Table_NFI[[#This Row],[Tarpaulin]])</f>
        <v>0</v>
      </c>
      <c r="AD100" s="294">
        <f>IF(NFI_Expiration=1,IF($A100&lt;VLOOKUP(M$5,NFI,5,0),1,0)*Table_NFI[[#This Row],[Blanket]],Table_NFI[[#This Row],[Blanket]])</f>
        <v>0</v>
      </c>
      <c r="AE100" s="294">
        <f>IF(NFI_Expiration=1,IF($A100&lt;VLOOKUP(N$5,NFI,5,0),1,0)*Table_NFI[[#This Row],[Kitchen Set]],Table_NFI[Kitchen Set])</f>
        <v>0</v>
      </c>
      <c r="AF100" s="294">
        <f>IF(NFI_Expiration=1,IF($A100&lt;VLOOKUP(O$5,NFI,5,0),1,0)*Table_NFI[[#This Row],[Clothes Kit]],Table_NFI[Clothes Kit])</f>
        <v>0</v>
      </c>
      <c r="AG100" s="294">
        <f>IF(NFI_Expiration=1,IF($A100&lt;VLOOKUP(P$5,NFI,5,0),1,0)*Table_NFI[[#This Row],[Plastic Bucket]],Table_NFI[Plastic Bucket])</f>
        <v>0</v>
      </c>
      <c r="AH100" s="294">
        <f>IF(NFI_Expiration=1,IF($A100&lt;VLOOKUP(Q$5,NFI,5,0),1,0)*Table_NFI[[#This Row],[Plastic Mat]],Table_NFI[Plastic Mat])*IF(Table_NFI[[#This Row],[Distribution Date]]&gt;"2014-04-01",1,2.5)</f>
        <v>0</v>
      </c>
      <c r="AI100" s="294">
        <f>IF(NFI_Expiration=1,IF($A100&lt;VLOOKUP(R$5,NFI,5,0),1,0)*Table_NFI[[#This Row],[Winter Clothes Adult]],Table_NFI[Winter Clothes Adult])</f>
        <v>0</v>
      </c>
      <c r="AJ100" s="294">
        <f>IF(NFI_Expiration=1,IF($A100&lt;VLOOKUP(S$5,NFI,5,0),1,0)*Table_NFI[[#This Row],[Winter Clothes Children]],Table_NFI[Winter Clothes Children])</f>
        <v>0</v>
      </c>
      <c r="AK100" s="294">
        <f>IF(NFI_Expiration=1,IF($A100&lt;VLOOKUP(T$5,NFI,5,0),1,0)*Table_NFI[[#This Row],[Winter Items Other]],Table_NFI[Winter Items Other])</f>
        <v>0</v>
      </c>
      <c r="AL100" s="294">
        <f>IF(NFI_Expiration=1,IF($A100&lt;VLOOKUP(M$5,NFI,5,0),1,0)*Table_NFI[[#This Row],[Winter Blanket]],Table_NFI[[#This Row],[Winter Blanket]])</f>
        <v>0</v>
      </c>
      <c r="AM100" s="294">
        <f>IF(Table_NFI[[#This Row],[Winter Clothes Adult]]+Table_NFI[[#This Row],[Winter Clothes Children]]+Table_NFI[[#This Row],[Winter Items Other]]+Table_NFI[[#This Row],[Winter Blanket]]&gt;0,1,0)</f>
        <v>0</v>
      </c>
      <c r="AN100" s="331">
        <f>IF(NFI_Expiration=1,IF($A100&lt;VLOOKUP(V$5,NFI,5,0),1,0)*Table_NFI[[#This Row],[Jerry Can]],Table_NFI[Jerry Can])</f>
        <v>5</v>
      </c>
      <c r="AO100" s="331">
        <f>IF(NFI_Expiration=1,IF($A100&lt;VLOOKUP(V$5,NFI,5,0),1,0)*Table_NFI[[#This Row],[Shelter Tool kit]],Table_NFI[Shelter Tool kit])</f>
        <v>0</v>
      </c>
      <c r="AP100" s="331">
        <f>IF(NFI_Expiration=1,IF($A100&lt;VLOOKUP(V$5,NFI,5,0),1,0)*Table_NFI[[#This Row],[Tent]],Table_NFI[Tent])</f>
        <v>0</v>
      </c>
      <c r="AQ100" s="473" t="str">
        <f>IFERROR(VLOOKUP(Table_NFI[[#This Row],[Camp Name]],CL,2,0),"")</f>
        <v>MMR001CMP193</v>
      </c>
      <c r="AR100" s="468">
        <f ca="1">IF(Table_NFI[[#This Row],[Pcode]]="","",IF(OFFSET(CampList[Opening Date],MATCH(Table_NFI[[#This Row],[Pcode]],CampList[CP_Pcode],0)-1,0,1,1)&gt;=NFI_Monitor_Date,1,0))</f>
        <v>0</v>
      </c>
      <c r="AS100" s="473" t="str">
        <f>IFERROR(VLOOKUP(Table_NFI[[#This Row],[Camp Name]],CL,3,0),"")</f>
        <v>Open</v>
      </c>
      <c r="AT100" s="294" t="str">
        <f ca="1">IF(Table_NFI[[#This Row],[Pcode]]="","",OFFSET(CampList[Priority],MATCH(Table_NFI[[#This Row],[Pcode]],CampList[CP_Pcode],0)-1,0,1,1))</f>
        <v>P4</v>
      </c>
      <c r="AU100" s="293">
        <f>IFERROR(Table_NFI[[#This Row],[Kitchen Set]]/VLOOKUP(Table_NFI[[#This Row],[Camp Name]],CL,4,0),"")</f>
        <v>0</v>
      </c>
      <c r="AV100" s="466"/>
      <c r="AW100" s="469"/>
    </row>
    <row r="101" spans="1:49" s="98" customFormat="1" ht="15" customHeight="1" x14ac:dyDescent="0.25">
      <c r="A101" s="297">
        <f t="shared" si="1"/>
        <v>11.2</v>
      </c>
      <c r="B101" s="465">
        <v>42339</v>
      </c>
      <c r="C101" s="466" t="s">
        <v>905</v>
      </c>
      <c r="D101" s="466" t="s">
        <v>905</v>
      </c>
      <c r="E101" s="466" t="s">
        <v>380</v>
      </c>
      <c r="F101" s="290" t="s">
        <v>185</v>
      </c>
      <c r="G101" s="290" t="s">
        <v>1438</v>
      </c>
      <c r="H101" s="291"/>
      <c r="I101" s="291"/>
      <c r="J101" s="292"/>
      <c r="K101" s="291"/>
      <c r="L101" s="292"/>
      <c r="M101" s="292"/>
      <c r="N101" s="292"/>
      <c r="O101" s="292"/>
      <c r="P101" s="294"/>
      <c r="Q101" s="294"/>
      <c r="R101" s="294"/>
      <c r="S101" s="294"/>
      <c r="T101" s="294"/>
      <c r="U101" s="294"/>
      <c r="V101" s="331">
        <v>44</v>
      </c>
      <c r="W101" s="294"/>
      <c r="X101" s="294"/>
      <c r="Y101" s="294">
        <f>IF(NFI_Expiration=1,IF($A101&lt;VLOOKUP(H$5,NFI,5,0),1,0)*Table_NFI[[#This Row],[Hygiene Kit]],Table_NFI[Hygiene Kit])</f>
        <v>0</v>
      </c>
      <c r="Z101" s="294">
        <f>IF(NFI_Expiration=1,IF($A101&lt;VLOOKUP(I$5,NFI,5,0),1,0)*Table_NFI[[#This Row],[NFI Core Kit]],Table_NFI[NFI Core Kit])</f>
        <v>0</v>
      </c>
      <c r="AA101" s="294">
        <f>IF(NFI_Expiration=1,IF($A101&lt;VLOOKUP(J$5,NFI,5,0),1,0)*Table_NFI[[#This Row],[Sanitary Kit]],Table_NFI[Sanitary Kit])</f>
        <v>0</v>
      </c>
      <c r="AB101" s="294">
        <f>IF(NFI_Expiration=1,IF($A101&lt;VLOOKUP(K$5,NFI,5,0),1,0)*Table_NFI[[#This Row],[Mosquito net]],Table_NFI[Mosquito net])</f>
        <v>0</v>
      </c>
      <c r="AC101" s="294">
        <f>IF(NFI_Expiration=1,IF($A101&lt;VLOOKUP(L$5,NFI,5,0),1,0)*Table_NFI[[#This Row],[Tarpaulin]],Table_NFI[[#This Row],[Tarpaulin]])</f>
        <v>0</v>
      </c>
      <c r="AD101" s="294">
        <f>IF(NFI_Expiration=1,IF($A101&lt;VLOOKUP(M$5,NFI,5,0),1,0)*Table_NFI[[#This Row],[Blanket]],Table_NFI[[#This Row],[Blanket]])</f>
        <v>0</v>
      </c>
      <c r="AE101" s="294">
        <f>IF(NFI_Expiration=1,IF($A101&lt;VLOOKUP(N$5,NFI,5,0),1,0)*Table_NFI[[#This Row],[Kitchen Set]],Table_NFI[Kitchen Set])</f>
        <v>0</v>
      </c>
      <c r="AF101" s="294">
        <f>IF(NFI_Expiration=1,IF($A101&lt;VLOOKUP(O$5,NFI,5,0),1,0)*Table_NFI[[#This Row],[Clothes Kit]],Table_NFI[Clothes Kit])</f>
        <v>0</v>
      </c>
      <c r="AG101" s="294">
        <f>IF(NFI_Expiration=1,IF($A101&lt;VLOOKUP(P$5,NFI,5,0),1,0)*Table_NFI[[#This Row],[Plastic Bucket]],Table_NFI[Plastic Bucket])</f>
        <v>0</v>
      </c>
      <c r="AH101" s="294">
        <f>IF(NFI_Expiration=1,IF($A101&lt;VLOOKUP(Q$5,NFI,5,0),1,0)*Table_NFI[[#This Row],[Plastic Mat]],Table_NFI[Plastic Mat])*IF(Table_NFI[[#This Row],[Distribution Date]]&gt;"2014-04-01",1,2.5)</f>
        <v>0</v>
      </c>
      <c r="AI101" s="294">
        <f>IF(NFI_Expiration=1,IF($A101&lt;VLOOKUP(R$5,NFI,5,0),1,0)*Table_NFI[[#This Row],[Winter Clothes Adult]],Table_NFI[Winter Clothes Adult])</f>
        <v>0</v>
      </c>
      <c r="AJ101" s="294">
        <f>IF(NFI_Expiration=1,IF($A101&lt;VLOOKUP(S$5,NFI,5,0),1,0)*Table_NFI[[#This Row],[Winter Clothes Children]],Table_NFI[Winter Clothes Children])</f>
        <v>0</v>
      </c>
      <c r="AK101" s="294">
        <f>IF(NFI_Expiration=1,IF($A101&lt;VLOOKUP(T$5,NFI,5,0),1,0)*Table_NFI[[#This Row],[Winter Items Other]],Table_NFI[Winter Items Other])</f>
        <v>0</v>
      </c>
      <c r="AL101" s="294">
        <f>IF(NFI_Expiration=1,IF($A101&lt;VLOOKUP(M$5,NFI,5,0),1,0)*Table_NFI[[#This Row],[Winter Blanket]],Table_NFI[[#This Row],[Winter Blanket]])</f>
        <v>0</v>
      </c>
      <c r="AM101" s="294">
        <f>IF(Table_NFI[[#This Row],[Winter Clothes Adult]]+Table_NFI[[#This Row],[Winter Clothes Children]]+Table_NFI[[#This Row],[Winter Items Other]]+Table_NFI[[#This Row],[Winter Blanket]]&gt;0,1,0)</f>
        <v>0</v>
      </c>
      <c r="AN101" s="331">
        <f>IF(NFI_Expiration=1,IF($A101&lt;VLOOKUP(V$5,NFI,5,0),1,0)*Table_NFI[[#This Row],[Jerry Can]],Table_NFI[Jerry Can])</f>
        <v>44</v>
      </c>
      <c r="AO101" s="331">
        <f>IF(NFI_Expiration=1,IF($A101&lt;VLOOKUP(V$5,NFI,5,0),1,0)*Table_NFI[[#This Row],[Shelter Tool kit]],Table_NFI[Shelter Tool kit])</f>
        <v>0</v>
      </c>
      <c r="AP101" s="331">
        <f>IF(NFI_Expiration=1,IF($A101&lt;VLOOKUP(V$5,NFI,5,0),1,0)*Table_NFI[[#This Row],[Tent]],Table_NFI[Tent])</f>
        <v>0</v>
      </c>
      <c r="AQ101" s="473" t="str">
        <f>IFERROR(VLOOKUP(Table_NFI[[#This Row],[Camp Name]],CL,2,0),"")</f>
        <v/>
      </c>
      <c r="AR101" s="468" t="str">
        <f ca="1">IF(Table_NFI[[#This Row],[Pcode]]="","",IF(OFFSET(CampList[Opening Date],MATCH(Table_NFI[[#This Row],[Pcode]],CampList[CP_Pcode],0)-1,0,1,1)&gt;=NFI_Monitor_Date,1,0))</f>
        <v/>
      </c>
      <c r="AS101" s="670" t="str">
        <f>IFERROR(VLOOKUP(Table_NFI[[#This Row],[Camp Name]],CL,3,0),"")</f>
        <v/>
      </c>
      <c r="AT101" s="294" t="str">
        <f ca="1">IF(Table_NFI[[#This Row],[Pcode]]="","",OFFSET(CampList[Priority],MATCH(Table_NFI[[#This Row],[Pcode]],CampList[CP_Pcode],0)-1,0,1,1))</f>
        <v/>
      </c>
      <c r="AU101" s="293" t="str">
        <f>IFERROR(Table_NFI[[#This Row],[Kitchen Set]]/VLOOKUP(Table_NFI[[#This Row],[Camp Name]],CL,4,0),"")</f>
        <v/>
      </c>
      <c r="AV101" s="466"/>
      <c r="AW101" s="469"/>
    </row>
    <row r="102" spans="1:49" s="470" customFormat="1" ht="14.45" customHeight="1" x14ac:dyDescent="0.25">
      <c r="A102" s="297">
        <f t="shared" si="1"/>
        <v>11.333333333333334</v>
      </c>
      <c r="B102" s="465">
        <v>42335</v>
      </c>
      <c r="C102" s="466" t="s">
        <v>452</v>
      </c>
      <c r="D102" s="466" t="s">
        <v>460</v>
      </c>
      <c r="E102" s="466" t="s">
        <v>380</v>
      </c>
      <c r="F102" s="466" t="s">
        <v>302</v>
      </c>
      <c r="G102" s="466" t="s">
        <v>306</v>
      </c>
      <c r="H102" s="291"/>
      <c r="I102" s="294"/>
      <c r="J102" s="294"/>
      <c r="K102" s="294"/>
      <c r="L102" s="292">
        <v>9</v>
      </c>
      <c r="M102" s="292">
        <v>23</v>
      </c>
      <c r="N102" s="292">
        <v>10</v>
      </c>
      <c r="O102" s="292"/>
      <c r="P102" s="294">
        <v>8</v>
      </c>
      <c r="Q102" s="294">
        <v>24</v>
      </c>
      <c r="R102" s="294"/>
      <c r="S102" s="294"/>
      <c r="T102" s="294"/>
      <c r="U102" s="294"/>
      <c r="V102" s="431">
        <v>6</v>
      </c>
      <c r="W102" s="294"/>
      <c r="X102" s="294"/>
      <c r="Y102" s="294">
        <f>IF(NFI_Expiration=1,IF($A102&lt;VLOOKUP(H$5,NFI,5,0),1,0)*Table_NFI[[#This Row],[Hygiene Kit]],Table_NFI[Hygiene Kit])</f>
        <v>0</v>
      </c>
      <c r="Z102" s="294">
        <f>IF(NFI_Expiration=1,IF($A102&lt;VLOOKUP(I$5,NFI,5,0),1,0)*Table_NFI[[#This Row],[NFI Core Kit]],Table_NFI[NFI Core Kit])</f>
        <v>0</v>
      </c>
      <c r="AA102" s="294">
        <f>IF(NFI_Expiration=1,IF($A102&lt;VLOOKUP(J$5,NFI,5,0),1,0)*Table_NFI[[#This Row],[Sanitary Kit]],Table_NFI[Sanitary Kit])</f>
        <v>0</v>
      </c>
      <c r="AB102" s="294">
        <f>IF(NFI_Expiration=1,IF($A102&lt;VLOOKUP(K$5,NFI,5,0),1,0)*Table_NFI[[#This Row],[Mosquito net]],Table_NFI[Mosquito net])</f>
        <v>0</v>
      </c>
      <c r="AC102" s="294">
        <f>IF(NFI_Expiration=1,IF($A102&lt;VLOOKUP(L$5,NFI,5,0),1,0)*Table_NFI[[#This Row],[Tarpaulin]],Table_NFI[[#This Row],[Tarpaulin]])</f>
        <v>9</v>
      </c>
      <c r="AD102" s="294">
        <f>IF(NFI_Expiration=1,IF($A102&lt;VLOOKUP(M$5,NFI,5,0),1,0)*Table_NFI[[#This Row],[Blanket]],Table_NFI[[#This Row],[Blanket]])</f>
        <v>23</v>
      </c>
      <c r="AE102" s="294">
        <f>IF(NFI_Expiration=1,IF($A102&lt;VLOOKUP(N$5,NFI,5,0),1,0)*Table_NFI[[#This Row],[Kitchen Set]],Table_NFI[Kitchen Set])</f>
        <v>10</v>
      </c>
      <c r="AF102" s="294">
        <f>IF(NFI_Expiration=1,IF($A102&lt;VLOOKUP(O$5,NFI,5,0),1,0)*Table_NFI[[#This Row],[Clothes Kit]],Table_NFI[Clothes Kit])</f>
        <v>0</v>
      </c>
      <c r="AG102" s="294">
        <f>IF(NFI_Expiration=1,IF($A102&lt;VLOOKUP(P$5,NFI,5,0),1,0)*Table_NFI[[#This Row],[Plastic Bucket]],Table_NFI[Plastic Bucket])</f>
        <v>8</v>
      </c>
      <c r="AH102" s="294">
        <f>IF(NFI_Expiration=1,IF($A102&lt;VLOOKUP(Q$5,NFI,5,0),1,0)*Table_NFI[[#This Row],[Plastic Mat]],Table_NFI[Plastic Mat])*IF(Table_NFI[[#This Row],[Distribution Date]]&gt;"2014-04-01",1,2.5)</f>
        <v>60</v>
      </c>
      <c r="AI102" s="294">
        <f>IF(NFI_Expiration=1,IF($A102&lt;VLOOKUP(R$5,NFI,5,0),1,0)*Table_NFI[[#This Row],[Winter Clothes Adult]],Table_NFI[Winter Clothes Adult])</f>
        <v>0</v>
      </c>
      <c r="AJ102" s="294">
        <f>IF(NFI_Expiration=1,IF($A102&lt;VLOOKUP(S$5,NFI,5,0),1,0)*Table_NFI[[#This Row],[Winter Clothes Children]],Table_NFI[Winter Clothes Children])</f>
        <v>0</v>
      </c>
      <c r="AK102" s="294">
        <f>IF(NFI_Expiration=1,IF($A102&lt;VLOOKUP(T$5,NFI,5,0),1,0)*Table_NFI[[#This Row],[Winter Items Other]],Table_NFI[Winter Items Other])</f>
        <v>0</v>
      </c>
      <c r="AL102" s="294">
        <f>IF(NFI_Expiration=1,IF($A102&lt;VLOOKUP(M$5,NFI,5,0),1,0)*Table_NFI[[#This Row],[Winter Blanket]],Table_NFI[[#This Row],[Winter Blanket]])</f>
        <v>0</v>
      </c>
      <c r="AM102" s="294">
        <f>IF(Table_NFI[[#This Row],[Winter Clothes Adult]]+Table_NFI[[#This Row],[Winter Clothes Children]]+Table_NFI[[#This Row],[Winter Items Other]]+Table_NFI[[#This Row],[Winter Blanket]]&gt;0,1,0)</f>
        <v>0</v>
      </c>
      <c r="AN102" s="331">
        <f>IF(NFI_Expiration=1,IF($A102&lt;VLOOKUP(V$5,NFI,5,0),1,0)*Table_NFI[[#This Row],[Jerry Can]],Table_NFI[Jerry Can])</f>
        <v>6</v>
      </c>
      <c r="AO102" s="331">
        <f>IF(NFI_Expiration=1,IF($A102&lt;VLOOKUP(V$5,NFI,5,0),1,0)*Table_NFI[[#This Row],[Shelter Tool kit]],Table_NFI[Shelter Tool kit])</f>
        <v>0</v>
      </c>
      <c r="AP102" s="331">
        <f>IF(NFI_Expiration=1,IF($A102&lt;VLOOKUP(V$5,NFI,5,0),1,0)*Table_NFI[[#This Row],[Tent]],Table_NFI[Tent])</f>
        <v>0</v>
      </c>
      <c r="AQ102" s="473" t="str">
        <f>IFERROR(VLOOKUP(Table_NFI[[#This Row],[Camp Name]],CL,2,0),"")</f>
        <v>MMR001CMP067</v>
      </c>
      <c r="AR102" s="468">
        <f ca="1">IF(Table_NFI[[#This Row],[Pcode]]="","",IF(OFFSET(CampList[Opening Date],MATCH(Table_NFI[[#This Row],[Pcode]],CampList[CP_Pcode],0)-1,0,1,1)&gt;=NFI_Monitor_Date,1,0))</f>
        <v>0</v>
      </c>
      <c r="AS102" s="670" t="str">
        <f>IFERROR(VLOOKUP(Table_NFI[[#This Row],[Camp Name]],CL,3,0),"")</f>
        <v>Open</v>
      </c>
      <c r="AT102" s="294" t="str">
        <f ca="1">IF(Table_NFI[[#This Row],[Pcode]]="","",OFFSET(CampList[Priority],MATCH(Table_NFI[[#This Row],[Pcode]],CampList[CP_Pcode],0)-1,0,1,1))</f>
        <v>P4</v>
      </c>
      <c r="AU102" s="293">
        <f>IFERROR(Table_NFI[[#This Row],[Kitchen Set]]/VLOOKUP(Table_NFI[[#This Row],[Camp Name]],CL,4,0),"")</f>
        <v>0.11627906976744186</v>
      </c>
      <c r="AV102" s="466" t="s">
        <v>1092</v>
      </c>
      <c r="AW102" s="490"/>
    </row>
    <row r="103" spans="1:49" s="98" customFormat="1" ht="14.45" customHeight="1" x14ac:dyDescent="0.25">
      <c r="A103" s="297">
        <f t="shared" si="1"/>
        <v>11.4</v>
      </c>
      <c r="B103" s="465">
        <v>42333</v>
      </c>
      <c r="C103" s="466" t="s">
        <v>452</v>
      </c>
      <c r="D103" s="466" t="s">
        <v>460</v>
      </c>
      <c r="E103" s="466" t="s">
        <v>380</v>
      </c>
      <c r="F103" s="466" t="s">
        <v>302</v>
      </c>
      <c r="G103" s="466" t="s">
        <v>306</v>
      </c>
      <c r="H103" s="291"/>
      <c r="I103" s="291"/>
      <c r="J103" s="291"/>
      <c r="K103" s="291"/>
      <c r="L103" s="292">
        <v>4</v>
      </c>
      <c r="M103" s="292">
        <v>16</v>
      </c>
      <c r="N103" s="292">
        <v>4</v>
      </c>
      <c r="O103" s="292"/>
      <c r="P103" s="294">
        <v>4</v>
      </c>
      <c r="Q103" s="294">
        <v>23</v>
      </c>
      <c r="R103" s="294"/>
      <c r="S103" s="294"/>
      <c r="T103" s="294"/>
      <c r="U103" s="294"/>
      <c r="V103" s="431">
        <v>7</v>
      </c>
      <c r="W103" s="294"/>
      <c r="X103" s="294"/>
      <c r="Y103" s="294">
        <f>IF(NFI_Expiration=1,IF($A103&lt;VLOOKUP(H$5,NFI,5,0),1,0)*Table_NFI[[#This Row],[Hygiene Kit]],Table_NFI[Hygiene Kit])</f>
        <v>0</v>
      </c>
      <c r="Z103" s="294">
        <f>IF(NFI_Expiration=1,IF($A103&lt;VLOOKUP(I$5,NFI,5,0),1,0)*Table_NFI[[#This Row],[NFI Core Kit]],Table_NFI[NFI Core Kit])</f>
        <v>0</v>
      </c>
      <c r="AA103" s="294">
        <f>IF(NFI_Expiration=1,IF($A103&lt;VLOOKUP(J$5,NFI,5,0),1,0)*Table_NFI[[#This Row],[Sanitary Kit]],Table_NFI[Sanitary Kit])</f>
        <v>0</v>
      </c>
      <c r="AB103" s="294">
        <f>IF(NFI_Expiration=1,IF($A103&lt;VLOOKUP(K$5,NFI,5,0),1,0)*Table_NFI[[#This Row],[Mosquito net]],Table_NFI[Mosquito net])</f>
        <v>0</v>
      </c>
      <c r="AC103" s="294">
        <f>IF(NFI_Expiration=1,IF($A103&lt;VLOOKUP(L$5,NFI,5,0),1,0)*Table_NFI[[#This Row],[Tarpaulin]],Table_NFI[[#This Row],[Tarpaulin]])</f>
        <v>4</v>
      </c>
      <c r="AD103" s="294">
        <f>IF(NFI_Expiration=1,IF($A103&lt;VLOOKUP(M$5,NFI,5,0),1,0)*Table_NFI[[#This Row],[Blanket]],Table_NFI[[#This Row],[Blanket]])</f>
        <v>16</v>
      </c>
      <c r="AE103" s="294">
        <f>IF(NFI_Expiration=1,IF($A103&lt;VLOOKUP(N$5,NFI,5,0),1,0)*Table_NFI[[#This Row],[Kitchen Set]],Table_NFI[Kitchen Set])</f>
        <v>4</v>
      </c>
      <c r="AF103" s="294">
        <f>IF(NFI_Expiration=1,IF($A103&lt;VLOOKUP(O$5,NFI,5,0),1,0)*Table_NFI[[#This Row],[Clothes Kit]],Table_NFI[Clothes Kit])</f>
        <v>0</v>
      </c>
      <c r="AG103" s="294">
        <f>IF(NFI_Expiration=1,IF($A103&lt;VLOOKUP(P$5,NFI,5,0),1,0)*Table_NFI[[#This Row],[Plastic Bucket]],Table_NFI[Plastic Bucket])</f>
        <v>4</v>
      </c>
      <c r="AH103" s="294">
        <f>IF(NFI_Expiration=1,IF($A103&lt;VLOOKUP(Q$5,NFI,5,0),1,0)*Table_NFI[[#This Row],[Plastic Mat]],Table_NFI[Plastic Mat])*IF(Table_NFI[[#This Row],[Distribution Date]]&gt;"2014-04-01",1,2.5)</f>
        <v>57.5</v>
      </c>
      <c r="AI103" s="294">
        <f>IF(NFI_Expiration=1,IF($A103&lt;VLOOKUP(R$5,NFI,5,0),1,0)*Table_NFI[[#This Row],[Winter Clothes Adult]],Table_NFI[Winter Clothes Adult])</f>
        <v>0</v>
      </c>
      <c r="AJ103" s="294">
        <f>IF(NFI_Expiration=1,IF($A103&lt;VLOOKUP(S$5,NFI,5,0),1,0)*Table_NFI[[#This Row],[Winter Clothes Children]],Table_NFI[Winter Clothes Children])</f>
        <v>0</v>
      </c>
      <c r="AK103" s="294">
        <f>IF(NFI_Expiration=1,IF($A103&lt;VLOOKUP(T$5,NFI,5,0),1,0)*Table_NFI[[#This Row],[Winter Items Other]],Table_NFI[Winter Items Other])</f>
        <v>0</v>
      </c>
      <c r="AL103" s="294">
        <f>IF(NFI_Expiration=1,IF($A103&lt;VLOOKUP(M$5,NFI,5,0),1,0)*Table_NFI[[#This Row],[Winter Blanket]],Table_NFI[[#This Row],[Winter Blanket]])</f>
        <v>0</v>
      </c>
      <c r="AM103" s="294">
        <f>IF(Table_NFI[[#This Row],[Winter Clothes Adult]]+Table_NFI[[#This Row],[Winter Clothes Children]]+Table_NFI[[#This Row],[Winter Items Other]]+Table_NFI[[#This Row],[Winter Blanket]]&gt;0,1,0)</f>
        <v>0</v>
      </c>
      <c r="AN103" s="331">
        <f>IF(NFI_Expiration=1,IF($A103&lt;VLOOKUP(V$5,NFI,5,0),1,0)*Table_NFI[[#This Row],[Jerry Can]],Table_NFI[Jerry Can])</f>
        <v>7</v>
      </c>
      <c r="AO103" s="331">
        <f>IF(NFI_Expiration=1,IF($A103&lt;VLOOKUP(V$5,NFI,5,0),1,0)*Table_NFI[[#This Row],[Shelter Tool kit]],Table_NFI[Shelter Tool kit])</f>
        <v>0</v>
      </c>
      <c r="AP103" s="331">
        <f>IF(NFI_Expiration=1,IF($A103&lt;VLOOKUP(V$5,NFI,5,0),1,0)*Table_NFI[[#This Row],[Tent]],Table_NFI[Tent])</f>
        <v>0</v>
      </c>
      <c r="AQ103" s="473" t="str">
        <f>IFERROR(VLOOKUP(Table_NFI[[#This Row],[Camp Name]],CL,2,0),"")</f>
        <v>MMR001CMP067</v>
      </c>
      <c r="AR103" s="468">
        <f ca="1">IF(Table_NFI[[#This Row],[Pcode]]="","",IF(OFFSET(CampList[Opening Date],MATCH(Table_NFI[[#This Row],[Pcode]],CampList[CP_Pcode],0)-1,0,1,1)&gt;=NFI_Monitor_Date,1,0))</f>
        <v>0</v>
      </c>
      <c r="AS103" s="473" t="str">
        <f>IFERROR(VLOOKUP(Table_NFI[[#This Row],[Camp Name]],CL,3,0),"")</f>
        <v>Open</v>
      </c>
      <c r="AT103" s="294" t="str">
        <f ca="1">IF(Table_NFI[[#This Row],[Pcode]]="","",OFFSET(CampList[Priority],MATCH(Table_NFI[[#This Row],[Pcode]],CampList[CP_Pcode],0)-1,0,1,1))</f>
        <v>P4</v>
      </c>
      <c r="AU103" s="293">
        <f>IFERROR(Table_NFI[[#This Row],[Kitchen Set]]/VLOOKUP(Table_NFI[[#This Row],[Camp Name]],CL,4,0),"")</f>
        <v>4.6511627906976744E-2</v>
      </c>
      <c r="AV103" s="466" t="s">
        <v>1092</v>
      </c>
      <c r="AW103" s="469"/>
    </row>
    <row r="104" spans="1:49" s="98" customFormat="1" ht="15" customHeight="1" x14ac:dyDescent="0.25">
      <c r="A104" s="297">
        <f t="shared" si="1"/>
        <v>11.4</v>
      </c>
      <c r="B104" s="465">
        <v>42333</v>
      </c>
      <c r="C104" s="466" t="s">
        <v>452</v>
      </c>
      <c r="D104" s="466" t="s">
        <v>460</v>
      </c>
      <c r="E104" s="466" t="s">
        <v>380</v>
      </c>
      <c r="F104" s="466" t="s">
        <v>302</v>
      </c>
      <c r="G104" s="466" t="s">
        <v>308</v>
      </c>
      <c r="H104" s="291"/>
      <c r="I104" s="294"/>
      <c r="J104" s="294"/>
      <c r="K104" s="294"/>
      <c r="L104" s="292">
        <v>4</v>
      </c>
      <c r="M104" s="292">
        <v>12</v>
      </c>
      <c r="N104" s="292">
        <v>3</v>
      </c>
      <c r="O104" s="292"/>
      <c r="P104" s="294">
        <v>4</v>
      </c>
      <c r="Q104" s="294">
        <v>14</v>
      </c>
      <c r="R104" s="294"/>
      <c r="S104" s="294"/>
      <c r="T104" s="294"/>
      <c r="U104" s="294"/>
      <c r="V104" s="431">
        <v>4</v>
      </c>
      <c r="W104" s="294"/>
      <c r="X104" s="294"/>
      <c r="Y104" s="294">
        <f>IF(NFI_Expiration=1,IF($A104&lt;VLOOKUP(H$5,NFI,5,0),1,0)*Table_NFI[[#This Row],[Hygiene Kit]],Table_NFI[Hygiene Kit])</f>
        <v>0</v>
      </c>
      <c r="Z104" s="294">
        <f>IF(NFI_Expiration=1,IF($A104&lt;VLOOKUP(I$5,NFI,5,0),1,0)*Table_NFI[[#This Row],[NFI Core Kit]],Table_NFI[NFI Core Kit])</f>
        <v>0</v>
      </c>
      <c r="AA104" s="294">
        <f>IF(NFI_Expiration=1,IF($A104&lt;VLOOKUP(J$5,NFI,5,0),1,0)*Table_NFI[[#This Row],[Sanitary Kit]],Table_NFI[Sanitary Kit])</f>
        <v>0</v>
      </c>
      <c r="AB104" s="294">
        <f>IF(NFI_Expiration=1,IF($A104&lt;VLOOKUP(K$5,NFI,5,0),1,0)*Table_NFI[[#This Row],[Mosquito net]],Table_NFI[Mosquito net])</f>
        <v>0</v>
      </c>
      <c r="AC104" s="294">
        <f>IF(NFI_Expiration=1,IF($A104&lt;VLOOKUP(L$5,NFI,5,0),1,0)*Table_NFI[[#This Row],[Tarpaulin]],Table_NFI[[#This Row],[Tarpaulin]])</f>
        <v>4</v>
      </c>
      <c r="AD104" s="294">
        <f>IF(NFI_Expiration=1,IF($A104&lt;VLOOKUP(M$5,NFI,5,0),1,0)*Table_NFI[[#This Row],[Blanket]],Table_NFI[[#This Row],[Blanket]])</f>
        <v>12</v>
      </c>
      <c r="AE104" s="294">
        <f>IF(NFI_Expiration=1,IF($A104&lt;VLOOKUP(N$5,NFI,5,0),1,0)*Table_NFI[[#This Row],[Kitchen Set]],Table_NFI[Kitchen Set])</f>
        <v>3</v>
      </c>
      <c r="AF104" s="294">
        <f>IF(NFI_Expiration=1,IF($A104&lt;VLOOKUP(O$5,NFI,5,0),1,0)*Table_NFI[[#This Row],[Clothes Kit]],Table_NFI[Clothes Kit])</f>
        <v>0</v>
      </c>
      <c r="AG104" s="294">
        <f>IF(NFI_Expiration=1,IF($A104&lt;VLOOKUP(P$5,NFI,5,0),1,0)*Table_NFI[[#This Row],[Plastic Bucket]],Table_NFI[Plastic Bucket])</f>
        <v>4</v>
      </c>
      <c r="AH104" s="294">
        <f>IF(NFI_Expiration=1,IF($A104&lt;VLOOKUP(Q$5,NFI,5,0),1,0)*Table_NFI[[#This Row],[Plastic Mat]],Table_NFI[Plastic Mat])*IF(Table_NFI[[#This Row],[Distribution Date]]&gt;"2014-04-01",1,2.5)</f>
        <v>35</v>
      </c>
      <c r="AI104" s="294">
        <f>IF(NFI_Expiration=1,IF($A104&lt;VLOOKUP(R$5,NFI,5,0),1,0)*Table_NFI[[#This Row],[Winter Clothes Adult]],Table_NFI[Winter Clothes Adult])</f>
        <v>0</v>
      </c>
      <c r="AJ104" s="294">
        <f>IF(NFI_Expiration=1,IF($A104&lt;VLOOKUP(S$5,NFI,5,0),1,0)*Table_NFI[[#This Row],[Winter Clothes Children]],Table_NFI[Winter Clothes Children])</f>
        <v>0</v>
      </c>
      <c r="AK104" s="294">
        <f>IF(NFI_Expiration=1,IF($A104&lt;VLOOKUP(T$5,NFI,5,0),1,0)*Table_NFI[[#This Row],[Winter Items Other]],Table_NFI[Winter Items Other])</f>
        <v>0</v>
      </c>
      <c r="AL104" s="294">
        <f>IF(NFI_Expiration=1,IF($A104&lt;VLOOKUP(M$5,NFI,5,0),1,0)*Table_NFI[[#This Row],[Winter Blanket]],Table_NFI[[#This Row],[Winter Blanket]])</f>
        <v>0</v>
      </c>
      <c r="AM104" s="294">
        <f>IF(Table_NFI[[#This Row],[Winter Clothes Adult]]+Table_NFI[[#This Row],[Winter Clothes Children]]+Table_NFI[[#This Row],[Winter Items Other]]+Table_NFI[[#This Row],[Winter Blanket]]&gt;0,1,0)</f>
        <v>0</v>
      </c>
      <c r="AN104" s="331">
        <f>IF(NFI_Expiration=1,IF($A104&lt;VLOOKUP(V$5,NFI,5,0),1,0)*Table_NFI[[#This Row],[Jerry Can]],Table_NFI[Jerry Can])</f>
        <v>4</v>
      </c>
      <c r="AO104" s="331">
        <f>IF(NFI_Expiration=1,IF($A104&lt;VLOOKUP(V$5,NFI,5,0),1,0)*Table_NFI[[#This Row],[Shelter Tool kit]],Table_NFI[Shelter Tool kit])</f>
        <v>0</v>
      </c>
      <c r="AP104" s="331">
        <f>IF(NFI_Expiration=1,IF($A104&lt;VLOOKUP(V$5,NFI,5,0),1,0)*Table_NFI[[#This Row],[Tent]],Table_NFI[Tent])</f>
        <v>0</v>
      </c>
      <c r="AQ104" s="473" t="str">
        <f>IFERROR(VLOOKUP(Table_NFI[[#This Row],[Camp Name]],CL,2,0),"")</f>
        <v>MMR001CMP068</v>
      </c>
      <c r="AR104" s="468">
        <f ca="1">IF(Table_NFI[[#This Row],[Pcode]]="","",IF(OFFSET(CampList[Opening Date],MATCH(Table_NFI[[#This Row],[Pcode]],CampList[CP_Pcode],0)-1,0,1,1)&gt;=NFI_Monitor_Date,1,0))</f>
        <v>0</v>
      </c>
      <c r="AS104" s="473" t="str">
        <f>IFERROR(VLOOKUP(Table_NFI[[#This Row],[Camp Name]],CL,3,0),"")</f>
        <v>Open</v>
      </c>
      <c r="AT104" s="294" t="str">
        <f ca="1">IF(Table_NFI[[#This Row],[Pcode]]="","",OFFSET(CampList[Priority],MATCH(Table_NFI[[#This Row],[Pcode]],CampList[CP_Pcode],0)-1,0,1,1))</f>
        <v>P4</v>
      </c>
      <c r="AU104" s="293">
        <f>IFERROR(Table_NFI[[#This Row],[Kitchen Set]]/VLOOKUP(Table_NFI[[#This Row],[Camp Name]],CL,4,0),"")</f>
        <v>7.4999999999999997E-2</v>
      </c>
      <c r="AV104" s="466" t="s">
        <v>1092</v>
      </c>
      <c r="AW104" s="490"/>
    </row>
    <row r="105" spans="1:49" s="98" customFormat="1" ht="14.45" customHeight="1" x14ac:dyDescent="0.25">
      <c r="A105" s="297">
        <f t="shared" si="1"/>
        <v>11.433333333333334</v>
      </c>
      <c r="B105" s="465">
        <v>42332</v>
      </c>
      <c r="C105" s="466" t="s">
        <v>452</v>
      </c>
      <c r="D105" s="466" t="s">
        <v>506</v>
      </c>
      <c r="E105" s="466" t="s">
        <v>380</v>
      </c>
      <c r="F105" s="466" t="s">
        <v>237</v>
      </c>
      <c r="G105" s="466" t="s">
        <v>273</v>
      </c>
      <c r="H105" s="291"/>
      <c r="I105" s="294"/>
      <c r="J105" s="294"/>
      <c r="K105" s="294"/>
      <c r="L105" s="292"/>
      <c r="M105" s="292"/>
      <c r="N105" s="292"/>
      <c r="O105" s="292"/>
      <c r="P105" s="294"/>
      <c r="Q105" s="294"/>
      <c r="R105" s="294"/>
      <c r="S105" s="294"/>
      <c r="T105" s="294"/>
      <c r="U105" s="294">
        <v>50</v>
      </c>
      <c r="V105" s="431"/>
      <c r="W105" s="294"/>
      <c r="X105" s="294"/>
      <c r="Y105" s="294">
        <f>IF(NFI_Expiration=1,IF($A105&lt;VLOOKUP(H$5,NFI,5,0),1,0)*Table_NFI[[#This Row],[Hygiene Kit]],Table_NFI[Hygiene Kit])</f>
        <v>0</v>
      </c>
      <c r="Z105" s="294">
        <f>IF(NFI_Expiration=1,IF($A105&lt;VLOOKUP(I$5,NFI,5,0),1,0)*Table_NFI[[#This Row],[NFI Core Kit]],Table_NFI[NFI Core Kit])</f>
        <v>0</v>
      </c>
      <c r="AA105" s="294">
        <f>IF(NFI_Expiration=1,IF($A105&lt;VLOOKUP(J$5,NFI,5,0),1,0)*Table_NFI[[#This Row],[Sanitary Kit]],Table_NFI[Sanitary Kit])</f>
        <v>0</v>
      </c>
      <c r="AB105" s="294">
        <f>IF(NFI_Expiration=1,IF($A105&lt;VLOOKUP(K$5,NFI,5,0),1,0)*Table_NFI[[#This Row],[Mosquito net]],Table_NFI[Mosquito net])</f>
        <v>0</v>
      </c>
      <c r="AC105" s="294">
        <f>IF(NFI_Expiration=1,IF($A105&lt;VLOOKUP(L$5,NFI,5,0),1,0)*Table_NFI[[#This Row],[Tarpaulin]],Table_NFI[[#This Row],[Tarpaulin]])</f>
        <v>0</v>
      </c>
      <c r="AD105" s="294">
        <f>IF(NFI_Expiration=1,IF($A105&lt;VLOOKUP(M$5,NFI,5,0),1,0)*Table_NFI[[#This Row],[Blanket]],Table_NFI[[#This Row],[Blanket]])</f>
        <v>0</v>
      </c>
      <c r="AE105" s="294">
        <f>IF(NFI_Expiration=1,IF($A105&lt;VLOOKUP(N$5,NFI,5,0),1,0)*Table_NFI[[#This Row],[Kitchen Set]],Table_NFI[Kitchen Set])</f>
        <v>0</v>
      </c>
      <c r="AF105" s="294">
        <f>IF(NFI_Expiration=1,IF($A105&lt;VLOOKUP(O$5,NFI,5,0),1,0)*Table_NFI[[#This Row],[Clothes Kit]],Table_NFI[Clothes Kit])</f>
        <v>0</v>
      </c>
      <c r="AG105" s="294">
        <f>IF(NFI_Expiration=1,IF($A105&lt;VLOOKUP(P$5,NFI,5,0),1,0)*Table_NFI[[#This Row],[Plastic Bucket]],Table_NFI[Plastic Bucket])</f>
        <v>0</v>
      </c>
      <c r="AH105" s="294">
        <f>IF(NFI_Expiration=1,IF($A105&lt;VLOOKUP(Q$5,NFI,5,0),1,0)*Table_NFI[[#This Row],[Plastic Mat]],Table_NFI[Plastic Mat])*IF(Table_NFI[[#This Row],[Distribution Date]]&gt;"2014-04-01",1,2.5)</f>
        <v>0</v>
      </c>
      <c r="AI105" s="294">
        <f>IF(NFI_Expiration=1,IF($A105&lt;VLOOKUP(R$5,NFI,5,0),1,0)*Table_NFI[[#This Row],[Winter Clothes Adult]],Table_NFI[Winter Clothes Adult])</f>
        <v>0</v>
      </c>
      <c r="AJ105" s="294">
        <f>IF(NFI_Expiration=1,IF($A105&lt;VLOOKUP(S$5,NFI,5,0),1,0)*Table_NFI[[#This Row],[Winter Clothes Children]],Table_NFI[Winter Clothes Children])</f>
        <v>0</v>
      </c>
      <c r="AK105" s="294">
        <f>IF(NFI_Expiration=1,IF($A105&lt;VLOOKUP(T$5,NFI,5,0),1,0)*Table_NFI[[#This Row],[Winter Items Other]],Table_NFI[Winter Items Other])</f>
        <v>0</v>
      </c>
      <c r="AL105" s="294">
        <f>IF(NFI_Expiration=1,IF($A105&lt;VLOOKUP(M$5,NFI,5,0),1,0)*Table_NFI[[#This Row],[Winter Blanket]],Table_NFI[[#This Row],[Winter Blanket]])</f>
        <v>50</v>
      </c>
      <c r="AM105" s="294">
        <f>IF(Table_NFI[[#This Row],[Winter Clothes Adult]]+Table_NFI[[#This Row],[Winter Clothes Children]]+Table_NFI[[#This Row],[Winter Items Other]]+Table_NFI[[#This Row],[Winter Blanket]]&gt;0,1,0)</f>
        <v>1</v>
      </c>
      <c r="AN105" s="331">
        <f>IF(NFI_Expiration=1,IF($A105&lt;VLOOKUP(V$5,NFI,5,0),1,0)*Table_NFI[[#This Row],[Jerry Can]],Table_NFI[Jerry Can])</f>
        <v>0</v>
      </c>
      <c r="AO105" s="331">
        <f>IF(NFI_Expiration=1,IF($A105&lt;VLOOKUP(V$5,NFI,5,0),1,0)*Table_NFI[[#This Row],[Shelter Tool kit]],Table_NFI[Shelter Tool kit])</f>
        <v>0</v>
      </c>
      <c r="AP105" s="331">
        <f>IF(NFI_Expiration=1,IF($A105&lt;VLOOKUP(V$5,NFI,5,0),1,0)*Table_NFI[[#This Row],[Tent]],Table_NFI[Tent])</f>
        <v>0</v>
      </c>
      <c r="AQ105" s="473" t="str">
        <f>IFERROR(VLOOKUP(Table_NFI[[#This Row],[Camp Name]],CL,2,0),"")</f>
        <v>MMR001CMP162</v>
      </c>
      <c r="AR105" s="468">
        <f ca="1">IF(Table_NFI[[#This Row],[Pcode]]="","",IF(OFFSET(CampList[Opening Date],MATCH(Table_NFI[[#This Row],[Pcode]],CampList[CP_Pcode],0)-1,0,1,1)&gt;=NFI_Monitor_Date,1,0))</f>
        <v>0</v>
      </c>
      <c r="AS105" s="473" t="str">
        <f>IFERROR(VLOOKUP(Table_NFI[[#This Row],[Camp Name]],CL,3,0),"")</f>
        <v>Open</v>
      </c>
      <c r="AT105" s="294" t="str">
        <f ca="1">IF(Table_NFI[[#This Row],[Pcode]]="","",OFFSET(CampList[Priority],MATCH(Table_NFI[[#This Row],[Pcode]],CampList[CP_Pcode],0)-1,0,1,1))</f>
        <v>P4</v>
      </c>
      <c r="AU105" s="293">
        <f>IFERROR(Table_NFI[[#This Row],[Kitchen Set]]/VLOOKUP(Table_NFI[[#This Row],[Camp Name]],CL,4,0),"")</f>
        <v>0</v>
      </c>
      <c r="AV105" s="466" t="s">
        <v>1092</v>
      </c>
      <c r="AW105" s="486"/>
    </row>
    <row r="106" spans="1:49" s="98" customFormat="1" ht="14.45" customHeight="1" x14ac:dyDescent="0.25">
      <c r="A106" s="297">
        <f t="shared" si="1"/>
        <v>12.166666666666666</v>
      </c>
      <c r="B106" s="465">
        <v>42310</v>
      </c>
      <c r="C106" s="466" t="s">
        <v>452</v>
      </c>
      <c r="D106" s="466" t="s">
        <v>460</v>
      </c>
      <c r="E106" s="466" t="s">
        <v>380</v>
      </c>
      <c r="F106" s="466" t="s">
        <v>151</v>
      </c>
      <c r="G106" s="466" t="s">
        <v>1328</v>
      </c>
      <c r="H106" s="291"/>
      <c r="I106" s="294"/>
      <c r="J106" s="294">
        <v>223</v>
      </c>
      <c r="K106" s="294"/>
      <c r="L106" s="292">
        <v>30</v>
      </c>
      <c r="M106" s="292"/>
      <c r="N106" s="292"/>
      <c r="O106" s="292"/>
      <c r="P106" s="294"/>
      <c r="Q106" s="294">
        <v>337</v>
      </c>
      <c r="R106" s="294"/>
      <c r="S106" s="294"/>
      <c r="T106" s="294"/>
      <c r="U106" s="294"/>
      <c r="V106" s="431"/>
      <c r="W106" s="294"/>
      <c r="X106" s="294"/>
      <c r="Y106" s="294">
        <f>IF(NFI_Expiration=1,IF($A106&lt;VLOOKUP(H$5,NFI,5,0),1,0)*Table_NFI[[#This Row],[Hygiene Kit]],Table_NFI[Hygiene Kit])</f>
        <v>0</v>
      </c>
      <c r="Z106" s="294">
        <f>IF(NFI_Expiration=1,IF($A106&lt;VLOOKUP(I$5,NFI,5,0),1,0)*Table_NFI[[#This Row],[NFI Core Kit]],Table_NFI[NFI Core Kit])</f>
        <v>0</v>
      </c>
      <c r="AA106" s="294">
        <f>IF(NFI_Expiration=1,IF($A106&lt;VLOOKUP(J$5,NFI,5,0),1,0)*Table_NFI[[#This Row],[Sanitary Kit]],Table_NFI[Sanitary Kit])</f>
        <v>0</v>
      </c>
      <c r="AB106" s="294">
        <f>IF(NFI_Expiration=1,IF($A106&lt;VLOOKUP(K$5,NFI,5,0),1,0)*Table_NFI[[#This Row],[Mosquito net]],Table_NFI[Mosquito net])</f>
        <v>0</v>
      </c>
      <c r="AC106" s="294">
        <f>IF(NFI_Expiration=1,IF($A106&lt;VLOOKUP(L$5,NFI,5,0),1,0)*Table_NFI[[#This Row],[Tarpaulin]],Table_NFI[[#This Row],[Tarpaulin]])</f>
        <v>0</v>
      </c>
      <c r="AD106" s="294">
        <f>IF(NFI_Expiration=1,IF($A106&lt;VLOOKUP(M$5,NFI,5,0),1,0)*Table_NFI[[#This Row],[Blanket]],Table_NFI[[#This Row],[Blanket]])</f>
        <v>0</v>
      </c>
      <c r="AE106" s="294">
        <f>IF(NFI_Expiration=1,IF($A106&lt;VLOOKUP(N$5,NFI,5,0),1,0)*Table_NFI[[#This Row],[Kitchen Set]],Table_NFI[Kitchen Set])</f>
        <v>0</v>
      </c>
      <c r="AF106" s="294">
        <f>IF(NFI_Expiration=1,IF($A106&lt;VLOOKUP(O$5,NFI,5,0),1,0)*Table_NFI[[#This Row],[Clothes Kit]],Table_NFI[Clothes Kit])</f>
        <v>0</v>
      </c>
      <c r="AG106" s="294">
        <f>IF(NFI_Expiration=1,IF($A106&lt;VLOOKUP(P$5,NFI,5,0),1,0)*Table_NFI[[#This Row],[Plastic Bucket]],Table_NFI[Plastic Bucket])</f>
        <v>0</v>
      </c>
      <c r="AH106" s="294">
        <f>IF(NFI_Expiration=1,IF($A106&lt;VLOOKUP(Q$5,NFI,5,0),1,0)*Table_NFI[[#This Row],[Plastic Mat]],Table_NFI[Plastic Mat])*IF(Table_NFI[[#This Row],[Distribution Date]]&gt;"2014-04-01",1,2.5)</f>
        <v>0</v>
      </c>
      <c r="AI106" s="294">
        <f>IF(NFI_Expiration=1,IF($A106&lt;VLOOKUP(R$5,NFI,5,0),1,0)*Table_NFI[[#This Row],[Winter Clothes Adult]],Table_NFI[Winter Clothes Adult])</f>
        <v>0</v>
      </c>
      <c r="AJ106" s="294">
        <f>IF(NFI_Expiration=1,IF($A106&lt;VLOOKUP(S$5,NFI,5,0),1,0)*Table_NFI[[#This Row],[Winter Clothes Children]],Table_NFI[Winter Clothes Children])</f>
        <v>0</v>
      </c>
      <c r="AK106" s="294">
        <f>IF(NFI_Expiration=1,IF($A106&lt;VLOOKUP(T$5,NFI,5,0),1,0)*Table_NFI[[#This Row],[Winter Items Other]],Table_NFI[Winter Items Other])</f>
        <v>0</v>
      </c>
      <c r="AL106" s="294">
        <f>IF(NFI_Expiration=1,IF($A106&lt;VLOOKUP(M$5,NFI,5,0),1,0)*Table_NFI[[#This Row],[Winter Blanket]],Table_NFI[[#This Row],[Winter Blanket]])</f>
        <v>0</v>
      </c>
      <c r="AM106" s="294">
        <f>IF(Table_NFI[[#This Row],[Winter Clothes Adult]]+Table_NFI[[#This Row],[Winter Clothes Children]]+Table_NFI[[#This Row],[Winter Items Other]]+Table_NFI[[#This Row],[Winter Blanket]]&gt;0,1,0)</f>
        <v>0</v>
      </c>
      <c r="AN106" s="331">
        <f>IF(NFI_Expiration=1,IF($A106&lt;VLOOKUP(V$5,NFI,5,0),1,0)*Table_NFI[[#This Row],[Jerry Can]],Table_NFI[Jerry Can])</f>
        <v>0</v>
      </c>
      <c r="AO106" s="331">
        <f>IF(NFI_Expiration=1,IF($A106&lt;VLOOKUP(V$5,NFI,5,0),1,0)*Table_NFI[[#This Row],[Shelter Tool kit]],Table_NFI[Shelter Tool kit])</f>
        <v>0</v>
      </c>
      <c r="AP106" s="331">
        <f>IF(NFI_Expiration=1,IF($A106&lt;VLOOKUP(V$5,NFI,5,0),1,0)*Table_NFI[[#This Row],[Tent]],Table_NFI[Tent])</f>
        <v>0</v>
      </c>
      <c r="AQ106" s="473" t="str">
        <f>IFERROR(VLOOKUP(Table_NFI[[#This Row],[Camp Name]],CL,2,0),"")</f>
        <v/>
      </c>
      <c r="AR106" s="468" t="str">
        <f ca="1">IF(Table_NFI[[#This Row],[Pcode]]="","",IF(OFFSET(CampList[Opening Date],MATCH(Table_NFI[[#This Row],[Pcode]],CampList[CP_Pcode],0)-1,0,1,1)&gt;=NFI_Monitor_Date,1,0))</f>
        <v/>
      </c>
      <c r="AS106" s="670" t="str">
        <f>IFERROR(VLOOKUP(Table_NFI[[#This Row],[Camp Name]],CL,3,0),"")</f>
        <v/>
      </c>
      <c r="AT106" s="294" t="str">
        <f ca="1">IF(Table_NFI[[#This Row],[Pcode]]="","",OFFSET(CampList[Priority],MATCH(Table_NFI[[#This Row],[Pcode]],CampList[CP_Pcode],0)-1,0,1,1))</f>
        <v/>
      </c>
      <c r="AU106" s="293" t="str">
        <f>IFERROR(Table_NFI[[#This Row],[Kitchen Set]]/VLOOKUP(Table_NFI[[#This Row],[Camp Name]],CL,4,0),"")</f>
        <v/>
      </c>
      <c r="AV106" s="466" t="s">
        <v>1092</v>
      </c>
      <c r="AW106" s="490"/>
    </row>
    <row r="107" spans="1:49" s="470" customFormat="1" ht="14.45" customHeight="1" x14ac:dyDescent="0.25">
      <c r="A107" s="297">
        <f t="shared" si="1"/>
        <v>13.233333333333333</v>
      </c>
      <c r="B107" s="465">
        <v>42278</v>
      </c>
      <c r="C107" s="466" t="s">
        <v>452</v>
      </c>
      <c r="D107" s="466" t="s">
        <v>460</v>
      </c>
      <c r="E107" s="466" t="s">
        <v>380</v>
      </c>
      <c r="F107" s="466" t="s">
        <v>151</v>
      </c>
      <c r="G107" s="466" t="s">
        <v>1328</v>
      </c>
      <c r="H107" s="291"/>
      <c r="I107" s="294">
        <v>77</v>
      </c>
      <c r="J107" s="294">
        <v>232</v>
      </c>
      <c r="K107" s="294">
        <v>200</v>
      </c>
      <c r="L107" s="292">
        <v>89</v>
      </c>
      <c r="M107" s="292">
        <v>200</v>
      </c>
      <c r="N107" s="292">
        <v>119</v>
      </c>
      <c r="O107" s="292"/>
      <c r="P107" s="294">
        <v>119</v>
      </c>
      <c r="Q107" s="294">
        <v>345</v>
      </c>
      <c r="R107" s="294"/>
      <c r="S107" s="294"/>
      <c r="T107" s="294"/>
      <c r="U107" s="294"/>
      <c r="V107" s="431">
        <v>119</v>
      </c>
      <c r="W107" s="294"/>
      <c r="X107" s="294">
        <v>45</v>
      </c>
      <c r="Y107" s="294">
        <f>IF(NFI_Expiration=1,IF($A107&lt;VLOOKUP(H$5,NFI,5,0),1,0)*Table_NFI[[#This Row],[Hygiene Kit]],Table_NFI[Hygiene Kit])</f>
        <v>0</v>
      </c>
      <c r="Z107" s="294">
        <f>IF(NFI_Expiration=1,IF($A107&lt;VLOOKUP(I$5,NFI,5,0),1,0)*Table_NFI[[#This Row],[NFI Core Kit]],Table_NFI[NFI Core Kit])</f>
        <v>0</v>
      </c>
      <c r="AA107" s="294">
        <f>IF(NFI_Expiration=1,IF($A107&lt;VLOOKUP(J$5,NFI,5,0),1,0)*Table_NFI[[#This Row],[Sanitary Kit]],Table_NFI[Sanitary Kit])</f>
        <v>0</v>
      </c>
      <c r="AB107" s="294">
        <f>IF(NFI_Expiration=1,IF($A107&lt;VLOOKUP(K$5,NFI,5,0),1,0)*Table_NFI[[#This Row],[Mosquito net]],Table_NFI[Mosquito net])</f>
        <v>0</v>
      </c>
      <c r="AC107" s="294">
        <f>IF(NFI_Expiration=1,IF($A107&lt;VLOOKUP(L$5,NFI,5,0),1,0)*Table_NFI[[#This Row],[Tarpaulin]],Table_NFI[[#This Row],[Tarpaulin]])</f>
        <v>0</v>
      </c>
      <c r="AD107" s="294">
        <f>IF(NFI_Expiration=1,IF($A107&lt;VLOOKUP(M$5,NFI,5,0),1,0)*Table_NFI[[#This Row],[Blanket]],Table_NFI[[#This Row],[Blanket]])</f>
        <v>0</v>
      </c>
      <c r="AE107" s="294">
        <f>IF(NFI_Expiration=1,IF($A107&lt;VLOOKUP(N$5,NFI,5,0),1,0)*Table_NFI[[#This Row],[Kitchen Set]],Table_NFI[Kitchen Set])</f>
        <v>0</v>
      </c>
      <c r="AF107" s="294">
        <f>IF(NFI_Expiration=1,IF($A107&lt;VLOOKUP(O$5,NFI,5,0),1,0)*Table_NFI[[#This Row],[Clothes Kit]],Table_NFI[Clothes Kit])</f>
        <v>0</v>
      </c>
      <c r="AG107" s="294">
        <f>IF(NFI_Expiration=1,IF($A107&lt;VLOOKUP(P$5,NFI,5,0),1,0)*Table_NFI[[#This Row],[Plastic Bucket]],Table_NFI[Plastic Bucket])</f>
        <v>0</v>
      </c>
      <c r="AH107" s="294">
        <f>IF(NFI_Expiration=1,IF($A107&lt;VLOOKUP(Q$5,NFI,5,0),1,0)*Table_NFI[[#This Row],[Plastic Mat]],Table_NFI[Plastic Mat])*IF(Table_NFI[[#This Row],[Distribution Date]]&gt;"2014-04-01",1,2.5)</f>
        <v>0</v>
      </c>
      <c r="AI107" s="294">
        <f>IF(NFI_Expiration=1,IF($A107&lt;VLOOKUP(R$5,NFI,5,0),1,0)*Table_NFI[[#This Row],[Winter Clothes Adult]],Table_NFI[Winter Clothes Adult])</f>
        <v>0</v>
      </c>
      <c r="AJ107" s="294">
        <f>IF(NFI_Expiration=1,IF($A107&lt;VLOOKUP(S$5,NFI,5,0),1,0)*Table_NFI[[#This Row],[Winter Clothes Children]],Table_NFI[Winter Clothes Children])</f>
        <v>0</v>
      </c>
      <c r="AK107" s="294">
        <f>IF(NFI_Expiration=1,IF($A107&lt;VLOOKUP(T$5,NFI,5,0),1,0)*Table_NFI[[#This Row],[Winter Items Other]],Table_NFI[Winter Items Other])</f>
        <v>0</v>
      </c>
      <c r="AL107" s="294">
        <f>IF(NFI_Expiration=1,IF($A107&lt;VLOOKUP(M$5,NFI,5,0),1,0)*Table_NFI[[#This Row],[Winter Blanket]],Table_NFI[[#This Row],[Winter Blanket]])</f>
        <v>0</v>
      </c>
      <c r="AM107" s="294">
        <f>IF(Table_NFI[[#This Row],[Winter Clothes Adult]]+Table_NFI[[#This Row],[Winter Clothes Children]]+Table_NFI[[#This Row],[Winter Items Other]]+Table_NFI[[#This Row],[Winter Blanket]]&gt;0,1,0)</f>
        <v>0</v>
      </c>
      <c r="AN107" s="331">
        <f>IF(NFI_Expiration=1,IF($A107&lt;VLOOKUP(V$5,NFI,5,0),1,0)*Table_NFI[[#This Row],[Jerry Can]],Table_NFI[Jerry Can])</f>
        <v>0</v>
      </c>
      <c r="AO107" s="331">
        <f>IF(NFI_Expiration=1,IF($A107&lt;VLOOKUP(V$5,NFI,5,0),1,0)*Table_NFI[[#This Row],[Shelter Tool kit]],Table_NFI[Shelter Tool kit])</f>
        <v>0</v>
      </c>
      <c r="AP107" s="331">
        <f>IF(NFI_Expiration=1,IF($A107&lt;VLOOKUP(V$5,NFI,5,0),1,0)*Table_NFI[[#This Row],[Tent]],Table_NFI[Tent])</f>
        <v>0</v>
      </c>
      <c r="AQ107" s="473" t="str">
        <f>IFERROR(VLOOKUP(Table_NFI[[#This Row],[Camp Name]],CL,2,0),"")</f>
        <v/>
      </c>
      <c r="AR107" s="468" t="str">
        <f ca="1">IF(Table_NFI[[#This Row],[Pcode]]="","",IF(OFFSET(CampList[Opening Date],MATCH(Table_NFI[[#This Row],[Pcode]],CampList[CP_Pcode],0)-1,0,1,1)&gt;=NFI_Monitor_Date,1,0))</f>
        <v/>
      </c>
      <c r="AS107" s="670" t="str">
        <f>IFERROR(VLOOKUP(Table_NFI[[#This Row],[Camp Name]],CL,3,0),"")</f>
        <v/>
      </c>
      <c r="AT107" s="294" t="str">
        <f ca="1">IF(Table_NFI[[#This Row],[Pcode]]="","",OFFSET(CampList[Priority],MATCH(Table_NFI[[#This Row],[Pcode]],CampList[CP_Pcode],0)-1,0,1,1))</f>
        <v/>
      </c>
      <c r="AU107" s="293" t="str">
        <f>IFERROR(Table_NFI[[#This Row],[Kitchen Set]]/VLOOKUP(Table_NFI[[#This Row],[Camp Name]],CL,4,0),"")</f>
        <v/>
      </c>
      <c r="AV107" s="466" t="s">
        <v>1092</v>
      </c>
      <c r="AW107" s="490"/>
    </row>
    <row r="108" spans="1:49" s="98" customFormat="1" ht="14.45" customHeight="1" x14ac:dyDescent="0.25">
      <c r="A108" s="297">
        <f t="shared" si="1"/>
        <v>13.533333333333333</v>
      </c>
      <c r="B108" s="465">
        <v>42269</v>
      </c>
      <c r="C108" s="466" t="s">
        <v>452</v>
      </c>
      <c r="D108" s="466" t="s">
        <v>460</v>
      </c>
      <c r="E108" s="466" t="s">
        <v>380</v>
      </c>
      <c r="F108" s="466" t="s">
        <v>151</v>
      </c>
      <c r="G108" s="466" t="s">
        <v>1328</v>
      </c>
      <c r="H108" s="291"/>
      <c r="I108" s="294"/>
      <c r="J108" s="294">
        <v>145</v>
      </c>
      <c r="K108" s="294">
        <v>132</v>
      </c>
      <c r="L108" s="292">
        <v>66</v>
      </c>
      <c r="M108" s="292">
        <v>132</v>
      </c>
      <c r="N108" s="292">
        <v>66</v>
      </c>
      <c r="O108" s="292"/>
      <c r="P108" s="294">
        <v>66</v>
      </c>
      <c r="Q108" s="294">
        <v>243</v>
      </c>
      <c r="R108" s="294"/>
      <c r="S108" s="294"/>
      <c r="T108" s="294"/>
      <c r="U108" s="294"/>
      <c r="V108" s="431">
        <v>66</v>
      </c>
      <c r="W108" s="294"/>
      <c r="X108" s="294"/>
      <c r="Y108" s="294">
        <f>IF(NFI_Expiration=1,IF($A108&lt;VLOOKUP(H$5,NFI,5,0),1,0)*Table_NFI[[#This Row],[Hygiene Kit]],Table_NFI[Hygiene Kit])</f>
        <v>0</v>
      </c>
      <c r="Z108" s="294">
        <f>IF(NFI_Expiration=1,IF($A108&lt;VLOOKUP(I$5,NFI,5,0),1,0)*Table_NFI[[#This Row],[NFI Core Kit]],Table_NFI[NFI Core Kit])</f>
        <v>0</v>
      </c>
      <c r="AA108" s="294">
        <f>IF(NFI_Expiration=1,IF($A108&lt;VLOOKUP(J$5,NFI,5,0),1,0)*Table_NFI[[#This Row],[Sanitary Kit]],Table_NFI[Sanitary Kit])</f>
        <v>0</v>
      </c>
      <c r="AB108" s="294">
        <f>IF(NFI_Expiration=1,IF($A108&lt;VLOOKUP(K$5,NFI,5,0),1,0)*Table_NFI[[#This Row],[Mosquito net]],Table_NFI[Mosquito net])</f>
        <v>0</v>
      </c>
      <c r="AC108" s="294">
        <f>IF(NFI_Expiration=1,IF($A108&lt;VLOOKUP(L$5,NFI,5,0),1,0)*Table_NFI[[#This Row],[Tarpaulin]],Table_NFI[[#This Row],[Tarpaulin]])</f>
        <v>0</v>
      </c>
      <c r="AD108" s="294">
        <f>IF(NFI_Expiration=1,IF($A108&lt;VLOOKUP(M$5,NFI,5,0),1,0)*Table_NFI[[#This Row],[Blanket]],Table_NFI[[#This Row],[Blanket]])</f>
        <v>0</v>
      </c>
      <c r="AE108" s="294">
        <f>IF(NFI_Expiration=1,IF($A108&lt;VLOOKUP(N$5,NFI,5,0),1,0)*Table_NFI[[#This Row],[Kitchen Set]],Table_NFI[Kitchen Set])</f>
        <v>0</v>
      </c>
      <c r="AF108" s="294">
        <f>IF(NFI_Expiration=1,IF($A108&lt;VLOOKUP(O$5,NFI,5,0),1,0)*Table_NFI[[#This Row],[Clothes Kit]],Table_NFI[Clothes Kit])</f>
        <v>0</v>
      </c>
      <c r="AG108" s="294">
        <f>IF(NFI_Expiration=1,IF($A108&lt;VLOOKUP(P$5,NFI,5,0),1,0)*Table_NFI[[#This Row],[Plastic Bucket]],Table_NFI[Plastic Bucket])</f>
        <v>0</v>
      </c>
      <c r="AH108" s="294">
        <f>IF(NFI_Expiration=1,IF($A108&lt;VLOOKUP(Q$5,NFI,5,0),1,0)*Table_NFI[[#This Row],[Plastic Mat]],Table_NFI[Plastic Mat])*IF(Table_NFI[[#This Row],[Distribution Date]]&gt;"2014-04-01",1,2.5)</f>
        <v>0</v>
      </c>
      <c r="AI108" s="294">
        <f>IF(NFI_Expiration=1,IF($A108&lt;VLOOKUP(R$5,NFI,5,0),1,0)*Table_NFI[[#This Row],[Winter Clothes Adult]],Table_NFI[Winter Clothes Adult])</f>
        <v>0</v>
      </c>
      <c r="AJ108" s="294">
        <f>IF(NFI_Expiration=1,IF($A108&lt;VLOOKUP(S$5,NFI,5,0),1,0)*Table_NFI[[#This Row],[Winter Clothes Children]],Table_NFI[Winter Clothes Children])</f>
        <v>0</v>
      </c>
      <c r="AK108" s="294">
        <f>IF(NFI_Expiration=1,IF($A108&lt;VLOOKUP(T$5,NFI,5,0),1,0)*Table_NFI[[#This Row],[Winter Items Other]],Table_NFI[Winter Items Other])</f>
        <v>0</v>
      </c>
      <c r="AL108" s="294">
        <f>IF(NFI_Expiration=1,IF($A108&lt;VLOOKUP(M$5,NFI,5,0),1,0)*Table_NFI[[#This Row],[Winter Blanket]],Table_NFI[[#This Row],[Winter Blanket]])</f>
        <v>0</v>
      </c>
      <c r="AM108" s="294">
        <f>IF(Table_NFI[[#This Row],[Winter Clothes Adult]]+Table_NFI[[#This Row],[Winter Clothes Children]]+Table_NFI[[#This Row],[Winter Items Other]]+Table_NFI[[#This Row],[Winter Blanket]]&gt;0,1,0)</f>
        <v>0</v>
      </c>
      <c r="AN108" s="331">
        <f>IF(NFI_Expiration=1,IF($A108&lt;VLOOKUP(V$5,NFI,5,0),1,0)*Table_NFI[[#This Row],[Jerry Can]],Table_NFI[Jerry Can])</f>
        <v>0</v>
      </c>
      <c r="AO108" s="331">
        <f>IF(NFI_Expiration=1,IF($A108&lt;VLOOKUP(V$5,NFI,5,0),1,0)*Table_NFI[[#This Row],[Shelter Tool kit]],Table_NFI[Shelter Tool kit])</f>
        <v>0</v>
      </c>
      <c r="AP108" s="331">
        <f>IF(NFI_Expiration=1,IF($A108&lt;VLOOKUP(V$5,NFI,5,0),1,0)*Table_NFI[[#This Row],[Tent]],Table_NFI[Tent])</f>
        <v>0</v>
      </c>
      <c r="AQ108" s="473" t="str">
        <f>IFERROR(VLOOKUP(Table_NFI[[#This Row],[Camp Name]],CL,2,0),"")</f>
        <v/>
      </c>
      <c r="AR108" s="468" t="str">
        <f ca="1">IF(Table_NFI[[#This Row],[Pcode]]="","",IF(OFFSET(CampList[Opening Date],MATCH(Table_NFI[[#This Row],[Pcode]],CampList[CP_Pcode],0)-1,0,1,1)&gt;=NFI_Monitor_Date,1,0))</f>
        <v/>
      </c>
      <c r="AS108" s="670" t="str">
        <f>IFERROR(VLOOKUP(Table_NFI[[#This Row],[Camp Name]],CL,3,0),"")</f>
        <v/>
      </c>
      <c r="AT108" s="294" t="str">
        <f ca="1">IF(Table_NFI[[#This Row],[Pcode]]="","",OFFSET(CampList[Priority],MATCH(Table_NFI[[#This Row],[Pcode]],CampList[CP_Pcode],0)-1,0,1,1))</f>
        <v/>
      </c>
      <c r="AU108" s="293" t="str">
        <f>IFERROR(Table_NFI[[#This Row],[Kitchen Set]]/VLOOKUP(Table_NFI[[#This Row],[Camp Name]],CL,4,0),"")</f>
        <v/>
      </c>
      <c r="AV108" s="466" t="s">
        <v>1092</v>
      </c>
      <c r="AW108" s="490"/>
    </row>
    <row r="109" spans="1:49" s="144" customFormat="1" ht="14.45" customHeight="1" x14ac:dyDescent="0.25">
      <c r="A109" s="297">
        <f t="shared" si="1"/>
        <v>13.566666666666666</v>
      </c>
      <c r="B109" s="465">
        <v>42268</v>
      </c>
      <c r="C109" s="471" t="s">
        <v>452</v>
      </c>
      <c r="D109" s="471" t="s">
        <v>506</v>
      </c>
      <c r="E109" s="471" t="s">
        <v>380</v>
      </c>
      <c r="F109" s="471" t="s">
        <v>310</v>
      </c>
      <c r="G109" s="471" t="s">
        <v>330</v>
      </c>
      <c r="H109" s="292"/>
      <c r="I109" s="292"/>
      <c r="J109" s="292"/>
      <c r="K109" s="292">
        <v>41</v>
      </c>
      <c r="L109" s="292">
        <v>16</v>
      </c>
      <c r="M109" s="292">
        <v>41</v>
      </c>
      <c r="N109" s="292">
        <v>16</v>
      </c>
      <c r="O109" s="292"/>
      <c r="P109" s="294">
        <v>16</v>
      </c>
      <c r="Q109" s="294">
        <v>80</v>
      </c>
      <c r="R109" s="294"/>
      <c r="S109" s="294"/>
      <c r="T109" s="294"/>
      <c r="U109" s="294"/>
      <c r="V109" s="431">
        <v>16</v>
      </c>
      <c r="W109" s="331"/>
      <c r="X109" s="331"/>
      <c r="Y109" s="294">
        <f>IF(NFI_Expiration=1,IF($A109&lt;VLOOKUP(H$5,NFI,5,0),1,0)*Table_NFI[[#This Row],[Hygiene Kit]],Table_NFI[Hygiene Kit])</f>
        <v>0</v>
      </c>
      <c r="Z109" s="294">
        <f>IF(NFI_Expiration=1,IF($A109&lt;VLOOKUP(I$5,NFI,5,0),1,0)*Table_NFI[[#This Row],[NFI Core Kit]],Table_NFI[NFI Core Kit])</f>
        <v>0</v>
      </c>
      <c r="AA109" s="294">
        <f>IF(NFI_Expiration=1,IF($A109&lt;VLOOKUP(J$5,NFI,5,0),1,0)*Table_NFI[[#This Row],[Sanitary Kit]],Table_NFI[Sanitary Kit])</f>
        <v>0</v>
      </c>
      <c r="AB109" s="294">
        <f>IF(NFI_Expiration=1,IF($A109&lt;VLOOKUP(K$5,NFI,5,0),1,0)*Table_NFI[[#This Row],[Mosquito net]],Table_NFI[Mosquito net])</f>
        <v>0</v>
      </c>
      <c r="AC109" s="294">
        <f>IF(NFI_Expiration=1,IF($A109&lt;VLOOKUP(L$5,NFI,5,0),1,0)*Table_NFI[[#This Row],[Tarpaulin]],Table_NFI[[#This Row],[Tarpaulin]])</f>
        <v>0</v>
      </c>
      <c r="AD109" s="294">
        <f>IF(NFI_Expiration=1,IF($A109&lt;VLOOKUP(M$5,NFI,5,0),1,0)*Table_NFI[[#This Row],[Blanket]],Table_NFI[[#This Row],[Blanket]])</f>
        <v>0</v>
      </c>
      <c r="AE109" s="294">
        <f>IF(NFI_Expiration=1,IF($A109&lt;VLOOKUP(N$5,NFI,5,0),1,0)*Table_NFI[[#This Row],[Kitchen Set]],Table_NFI[Kitchen Set])</f>
        <v>0</v>
      </c>
      <c r="AF109" s="294">
        <f>IF(NFI_Expiration=1,IF($A109&lt;VLOOKUP(O$5,NFI,5,0),1,0)*Table_NFI[[#This Row],[Clothes Kit]],Table_NFI[Clothes Kit])</f>
        <v>0</v>
      </c>
      <c r="AG109" s="294">
        <f>IF(NFI_Expiration=1,IF($A109&lt;VLOOKUP(P$5,NFI,5,0),1,0)*Table_NFI[[#This Row],[Plastic Bucket]],Table_NFI[Plastic Bucket])</f>
        <v>0</v>
      </c>
      <c r="AH109" s="294">
        <f>IF(NFI_Expiration=1,IF($A109&lt;VLOOKUP(Q$5,NFI,5,0),1,0)*Table_NFI[[#This Row],[Plastic Mat]],Table_NFI[Plastic Mat])*IF(Table_NFI[[#This Row],[Distribution Date]]&gt;"2014-04-01",1,2.5)</f>
        <v>0</v>
      </c>
      <c r="AI109" s="294">
        <f>IF(NFI_Expiration=1,IF($A109&lt;VLOOKUP(R$5,NFI,5,0),1,0)*Table_NFI[[#This Row],[Winter Clothes Adult]],Table_NFI[Winter Clothes Adult])</f>
        <v>0</v>
      </c>
      <c r="AJ109" s="294">
        <f>IF(NFI_Expiration=1,IF($A109&lt;VLOOKUP(S$5,NFI,5,0),1,0)*Table_NFI[[#This Row],[Winter Clothes Children]],Table_NFI[Winter Clothes Children])</f>
        <v>0</v>
      </c>
      <c r="AK109" s="294">
        <f>IF(NFI_Expiration=1,IF($A109&lt;VLOOKUP(T$5,NFI,5,0),1,0)*Table_NFI[[#This Row],[Winter Items Other]],Table_NFI[Winter Items Other])</f>
        <v>0</v>
      </c>
      <c r="AL109" s="294">
        <f>IF(NFI_Expiration=1,IF($A109&lt;VLOOKUP(M$5,NFI,5,0),1,0)*Table_NFI[[#This Row],[Winter Blanket]],Table_NFI[[#This Row],[Winter Blanket]])</f>
        <v>0</v>
      </c>
      <c r="AM109" s="294">
        <f>IF(Table_NFI[[#This Row],[Winter Clothes Adult]]+Table_NFI[[#This Row],[Winter Clothes Children]]+Table_NFI[[#This Row],[Winter Items Other]]+Table_NFI[[#This Row],[Winter Blanket]]&gt;0,1,0)</f>
        <v>0</v>
      </c>
      <c r="AN109" s="331">
        <f>IF(NFI_Expiration=1,IF($A109&lt;VLOOKUP(V$5,NFI,5,0),1,0)*Table_NFI[[#This Row],[Jerry Can]],Table_NFI[Jerry Can])</f>
        <v>0</v>
      </c>
      <c r="AO109" s="331">
        <f>IF(NFI_Expiration=1,IF($A109&lt;VLOOKUP(V$5,NFI,5,0),1,0)*Table_NFI[[#This Row],[Shelter Tool kit]],Table_NFI[Shelter Tool kit])</f>
        <v>0</v>
      </c>
      <c r="AP109" s="331">
        <f>IF(NFI_Expiration=1,IF($A109&lt;VLOOKUP(V$5,NFI,5,0),1,0)*Table_NFI[[#This Row],[Tent]],Table_NFI[Tent])</f>
        <v>0</v>
      </c>
      <c r="AQ109" s="473" t="str">
        <f>IFERROR(VLOOKUP(Table_NFI[[#This Row],[Camp Name]],CL,2,0),"")</f>
        <v>MMR001CMP029</v>
      </c>
      <c r="AR109" s="468">
        <f ca="1">IF(Table_NFI[[#This Row],[Pcode]]="","",IF(OFFSET(CampList[Opening Date],MATCH(Table_NFI[[#This Row],[Pcode]],CampList[CP_Pcode],0)-1,0,1,1)&gt;=NFI_Monitor_Date,1,0))</f>
        <v>0</v>
      </c>
      <c r="AS109" s="473" t="str">
        <f>IFERROR(VLOOKUP(Table_NFI[[#This Row],[Camp Name]],CL,3,0),"")</f>
        <v>Open</v>
      </c>
      <c r="AT109" s="294" t="str">
        <f ca="1">IF(Table_NFI[[#This Row],[Pcode]]="","",OFFSET(CampList[Priority],MATCH(Table_NFI[[#This Row],[Pcode]],CampList[CP_Pcode],0)-1,0,1,1))</f>
        <v>P4</v>
      </c>
      <c r="AU109" s="293">
        <f>IFERROR(Table_NFI[[#This Row],[Kitchen Set]]/VLOOKUP(Table_NFI[[#This Row],[Camp Name]],CL,4,0),"")</f>
        <v>7.1748878923766815E-2</v>
      </c>
      <c r="AV109" s="466" t="s">
        <v>1092</v>
      </c>
      <c r="AW109" s="474"/>
    </row>
    <row r="110" spans="1:49" s="98" customFormat="1" ht="14.45" customHeight="1" x14ac:dyDescent="0.25">
      <c r="A110" s="297">
        <f t="shared" si="1"/>
        <v>13.566666666666666</v>
      </c>
      <c r="B110" s="465">
        <v>42268</v>
      </c>
      <c r="C110" s="466" t="s">
        <v>452</v>
      </c>
      <c r="D110" s="466" t="s">
        <v>1341</v>
      </c>
      <c r="E110" s="466" t="s">
        <v>380</v>
      </c>
      <c r="F110" s="466" t="s">
        <v>237</v>
      </c>
      <c r="G110" s="290"/>
      <c r="H110" s="291"/>
      <c r="I110" s="292"/>
      <c r="J110" s="294"/>
      <c r="K110" s="294"/>
      <c r="L110" s="292"/>
      <c r="M110" s="292"/>
      <c r="N110" s="292"/>
      <c r="O110" s="292"/>
      <c r="P110" s="294"/>
      <c r="Q110" s="294"/>
      <c r="R110" s="294"/>
      <c r="S110" s="294"/>
      <c r="T110" s="294"/>
      <c r="U110" s="294"/>
      <c r="V110" s="431"/>
      <c r="W110" s="294"/>
      <c r="X110" s="294"/>
      <c r="Y110" s="294">
        <f>IF(NFI_Expiration=1,IF($A110&lt;VLOOKUP(H$5,NFI,5,0),1,0)*Table_NFI[[#This Row],[Hygiene Kit]],Table_NFI[Hygiene Kit])</f>
        <v>0</v>
      </c>
      <c r="Z110" s="294">
        <f>IF(NFI_Expiration=1,IF($A110&lt;VLOOKUP(I$5,NFI,5,0),1,0)*Table_NFI[[#This Row],[NFI Core Kit]],Table_NFI[NFI Core Kit])</f>
        <v>0</v>
      </c>
      <c r="AA110" s="294">
        <f>IF(NFI_Expiration=1,IF($A110&lt;VLOOKUP(J$5,NFI,5,0),1,0)*Table_NFI[[#This Row],[Sanitary Kit]],Table_NFI[Sanitary Kit])</f>
        <v>0</v>
      </c>
      <c r="AB110" s="294">
        <f>IF(NFI_Expiration=1,IF($A110&lt;VLOOKUP(K$5,NFI,5,0),1,0)*Table_NFI[[#This Row],[Mosquito net]],Table_NFI[Mosquito net])</f>
        <v>0</v>
      </c>
      <c r="AC110" s="294">
        <f>IF(NFI_Expiration=1,IF($A110&lt;VLOOKUP(L$5,NFI,5,0),1,0)*Table_NFI[[#This Row],[Tarpaulin]],Table_NFI[[#This Row],[Tarpaulin]])</f>
        <v>0</v>
      </c>
      <c r="AD110" s="294">
        <f>IF(NFI_Expiration=1,IF($A110&lt;VLOOKUP(M$5,NFI,5,0),1,0)*Table_NFI[[#This Row],[Blanket]],Table_NFI[[#This Row],[Blanket]])</f>
        <v>0</v>
      </c>
      <c r="AE110" s="294">
        <f>IF(NFI_Expiration=1,IF($A110&lt;VLOOKUP(N$5,NFI,5,0),1,0)*Table_NFI[[#This Row],[Kitchen Set]],Table_NFI[Kitchen Set])</f>
        <v>0</v>
      </c>
      <c r="AF110" s="294">
        <f>IF(NFI_Expiration=1,IF($A110&lt;VLOOKUP(O$5,NFI,5,0),1,0)*Table_NFI[[#This Row],[Clothes Kit]],Table_NFI[Clothes Kit])</f>
        <v>0</v>
      </c>
      <c r="AG110" s="294">
        <f>IF(NFI_Expiration=1,IF($A110&lt;VLOOKUP(P$5,NFI,5,0),1,0)*Table_NFI[[#This Row],[Plastic Bucket]],Table_NFI[Plastic Bucket])</f>
        <v>0</v>
      </c>
      <c r="AH110" s="294">
        <f>IF(NFI_Expiration=1,IF($A110&lt;VLOOKUP(Q$5,NFI,5,0),1,0)*Table_NFI[[#This Row],[Plastic Mat]],Table_NFI[Plastic Mat])*IF(Table_NFI[[#This Row],[Distribution Date]]&gt;"2014-04-01",1,2.5)</f>
        <v>0</v>
      </c>
      <c r="AI110" s="294">
        <f>IF(NFI_Expiration=1,IF($A110&lt;VLOOKUP(R$5,NFI,5,0),1,0)*Table_NFI[[#This Row],[Winter Clothes Adult]],Table_NFI[Winter Clothes Adult])</f>
        <v>0</v>
      </c>
      <c r="AJ110" s="294">
        <f>IF(NFI_Expiration=1,IF($A110&lt;VLOOKUP(S$5,NFI,5,0),1,0)*Table_NFI[[#This Row],[Winter Clothes Children]],Table_NFI[Winter Clothes Children])</f>
        <v>0</v>
      </c>
      <c r="AK110" s="294">
        <f>IF(NFI_Expiration=1,IF($A110&lt;VLOOKUP(T$5,NFI,5,0),1,0)*Table_NFI[[#This Row],[Winter Items Other]],Table_NFI[Winter Items Other])</f>
        <v>0</v>
      </c>
      <c r="AL110" s="294">
        <f>IF(NFI_Expiration=1,IF($A110&lt;VLOOKUP(M$5,NFI,5,0),1,0)*Table_NFI[[#This Row],[Winter Blanket]],Table_NFI[[#This Row],[Winter Blanket]])</f>
        <v>0</v>
      </c>
      <c r="AM110" s="294">
        <f>IF(Table_NFI[[#This Row],[Winter Clothes Adult]]+Table_NFI[[#This Row],[Winter Clothes Children]]+Table_NFI[[#This Row],[Winter Items Other]]+Table_NFI[[#This Row],[Winter Blanket]]&gt;0,1,0)</f>
        <v>0</v>
      </c>
      <c r="AN110" s="331">
        <f>IF(NFI_Expiration=1,IF($A110&lt;VLOOKUP(V$5,NFI,5,0),1,0)*Table_NFI[[#This Row],[Jerry Can]],Table_NFI[Jerry Can])</f>
        <v>0</v>
      </c>
      <c r="AO110" s="331">
        <f>IF(NFI_Expiration=1,IF($A110&lt;VLOOKUP(V$5,NFI,5,0),1,0)*Table_NFI[[#This Row],[Shelter Tool kit]],Table_NFI[Shelter Tool kit])</f>
        <v>0</v>
      </c>
      <c r="AP110" s="331">
        <f>IF(NFI_Expiration=1,IF($A110&lt;VLOOKUP(V$5,NFI,5,0),1,0)*Table_NFI[[#This Row],[Tent]],Table_NFI[Tent])</f>
        <v>0</v>
      </c>
      <c r="AQ110" s="473" t="str">
        <f>IFERROR(VLOOKUP(Table_NFI[[#This Row],[Camp Name]],CL,2,0),"")</f>
        <v/>
      </c>
      <c r="AR110" s="468" t="str">
        <f ca="1">IF(Table_NFI[[#This Row],[Pcode]]="","",IF(OFFSET(CampList[Opening Date],MATCH(Table_NFI[[#This Row],[Pcode]],CampList[CP_Pcode],0)-1,0,1,1)&gt;=NFI_Monitor_Date,1,0))</f>
        <v/>
      </c>
      <c r="AS110" s="670" t="str">
        <f>IFERROR(VLOOKUP(Table_NFI[[#This Row],[Camp Name]],CL,3,0),"")</f>
        <v/>
      </c>
      <c r="AT110" s="294" t="str">
        <f ca="1">IF(Table_NFI[[#This Row],[Pcode]]="","",OFFSET(CampList[Priority],MATCH(Table_NFI[[#This Row],[Pcode]],CampList[CP_Pcode],0)-1,0,1,1))</f>
        <v/>
      </c>
      <c r="AU110" s="293" t="str">
        <f>IFERROR(Table_NFI[[#This Row],[Kitchen Set]]/VLOOKUP(Table_NFI[[#This Row],[Camp Name]],CL,4,0),"")</f>
        <v/>
      </c>
      <c r="AV110" s="466" t="s">
        <v>1092</v>
      </c>
      <c r="AW110" s="486"/>
    </row>
    <row r="111" spans="1:49" s="470" customFormat="1" ht="14.45" customHeight="1" x14ac:dyDescent="0.25">
      <c r="A111" s="297">
        <f t="shared" si="1"/>
        <v>13.666666666666666</v>
      </c>
      <c r="B111" s="465">
        <v>42265</v>
      </c>
      <c r="C111" s="471" t="s">
        <v>452</v>
      </c>
      <c r="D111" s="471" t="s">
        <v>506</v>
      </c>
      <c r="E111" s="471" t="s">
        <v>380</v>
      </c>
      <c r="F111" s="471" t="s">
        <v>237</v>
      </c>
      <c r="G111" s="471" t="s">
        <v>273</v>
      </c>
      <c r="H111" s="292"/>
      <c r="I111" s="292">
        <v>11</v>
      </c>
      <c r="J111" s="292">
        <v>11</v>
      </c>
      <c r="K111" s="292">
        <v>21</v>
      </c>
      <c r="L111" s="292">
        <v>16</v>
      </c>
      <c r="M111" s="292">
        <v>21</v>
      </c>
      <c r="N111" s="292">
        <v>11</v>
      </c>
      <c r="O111" s="292"/>
      <c r="P111" s="294">
        <v>11</v>
      </c>
      <c r="Q111" s="294">
        <v>42</v>
      </c>
      <c r="R111" s="294"/>
      <c r="S111" s="294"/>
      <c r="T111" s="294"/>
      <c r="U111" s="294"/>
      <c r="V111" s="431">
        <v>11</v>
      </c>
      <c r="W111" s="294"/>
      <c r="X111" s="294">
        <v>6</v>
      </c>
      <c r="Y111" s="294">
        <f>IF(NFI_Expiration=1,IF($A111&lt;VLOOKUP(H$5,NFI,5,0),1,0)*Table_NFI[[#This Row],[Hygiene Kit]],Table_NFI[Hygiene Kit])</f>
        <v>0</v>
      </c>
      <c r="Z111" s="294">
        <f>IF(NFI_Expiration=1,IF($A111&lt;VLOOKUP(I$5,NFI,5,0),1,0)*Table_NFI[[#This Row],[NFI Core Kit]],Table_NFI[NFI Core Kit])</f>
        <v>0</v>
      </c>
      <c r="AA111" s="294">
        <f>IF(NFI_Expiration=1,IF($A111&lt;VLOOKUP(J$5,NFI,5,0),1,0)*Table_NFI[[#This Row],[Sanitary Kit]],Table_NFI[Sanitary Kit])</f>
        <v>0</v>
      </c>
      <c r="AB111" s="294">
        <f>IF(NFI_Expiration=1,IF($A111&lt;VLOOKUP(K$5,NFI,5,0),1,0)*Table_NFI[[#This Row],[Mosquito net]],Table_NFI[Mosquito net])</f>
        <v>0</v>
      </c>
      <c r="AC111" s="294">
        <f>IF(NFI_Expiration=1,IF($A111&lt;VLOOKUP(L$5,NFI,5,0),1,0)*Table_NFI[[#This Row],[Tarpaulin]],Table_NFI[[#This Row],[Tarpaulin]])</f>
        <v>0</v>
      </c>
      <c r="AD111" s="294">
        <f>IF(NFI_Expiration=1,IF($A111&lt;VLOOKUP(M$5,NFI,5,0),1,0)*Table_NFI[[#This Row],[Blanket]],Table_NFI[[#This Row],[Blanket]])</f>
        <v>0</v>
      </c>
      <c r="AE111" s="294">
        <f>IF(NFI_Expiration=1,IF($A111&lt;VLOOKUP(N$5,NFI,5,0),1,0)*Table_NFI[[#This Row],[Kitchen Set]],Table_NFI[Kitchen Set])</f>
        <v>0</v>
      </c>
      <c r="AF111" s="294">
        <f>IF(NFI_Expiration=1,IF($A111&lt;VLOOKUP(O$5,NFI,5,0),1,0)*Table_NFI[[#This Row],[Clothes Kit]],Table_NFI[Clothes Kit])</f>
        <v>0</v>
      </c>
      <c r="AG111" s="294">
        <f>IF(NFI_Expiration=1,IF($A111&lt;VLOOKUP(P$5,NFI,5,0),1,0)*Table_NFI[[#This Row],[Plastic Bucket]],Table_NFI[Plastic Bucket])</f>
        <v>0</v>
      </c>
      <c r="AH111" s="294">
        <f>IF(NFI_Expiration=1,IF($A111&lt;VLOOKUP(Q$5,NFI,5,0),1,0)*Table_NFI[[#This Row],[Plastic Mat]],Table_NFI[Plastic Mat])*IF(Table_NFI[[#This Row],[Distribution Date]]&gt;"2014-04-01",1,2.5)</f>
        <v>0</v>
      </c>
      <c r="AI111" s="294">
        <f>IF(NFI_Expiration=1,IF($A111&lt;VLOOKUP(R$5,NFI,5,0),1,0)*Table_NFI[[#This Row],[Winter Clothes Adult]],Table_NFI[Winter Clothes Adult])</f>
        <v>0</v>
      </c>
      <c r="AJ111" s="294">
        <f>IF(NFI_Expiration=1,IF($A111&lt;VLOOKUP(S$5,NFI,5,0),1,0)*Table_NFI[[#This Row],[Winter Clothes Children]],Table_NFI[Winter Clothes Children])</f>
        <v>0</v>
      </c>
      <c r="AK111" s="294">
        <f>IF(NFI_Expiration=1,IF($A111&lt;VLOOKUP(T$5,NFI,5,0),1,0)*Table_NFI[[#This Row],[Winter Items Other]],Table_NFI[Winter Items Other])</f>
        <v>0</v>
      </c>
      <c r="AL111" s="294">
        <f>IF(NFI_Expiration=1,IF($A111&lt;VLOOKUP(M$5,NFI,5,0),1,0)*Table_NFI[[#This Row],[Winter Blanket]],Table_NFI[[#This Row],[Winter Blanket]])</f>
        <v>0</v>
      </c>
      <c r="AM111" s="294">
        <f>IF(Table_NFI[[#This Row],[Winter Clothes Adult]]+Table_NFI[[#This Row],[Winter Clothes Children]]+Table_NFI[[#This Row],[Winter Items Other]]+Table_NFI[[#This Row],[Winter Blanket]]&gt;0,1,0)</f>
        <v>0</v>
      </c>
      <c r="AN111" s="331">
        <f>IF(NFI_Expiration=1,IF($A111&lt;VLOOKUP(V$5,NFI,5,0),1,0)*Table_NFI[[#This Row],[Jerry Can]],Table_NFI[Jerry Can])</f>
        <v>0</v>
      </c>
      <c r="AO111" s="331">
        <f>IF(NFI_Expiration=1,IF($A111&lt;VLOOKUP(V$5,NFI,5,0),1,0)*Table_NFI[[#This Row],[Shelter Tool kit]],Table_NFI[Shelter Tool kit])</f>
        <v>0</v>
      </c>
      <c r="AP111" s="331">
        <f>IF(NFI_Expiration=1,IF($A111&lt;VLOOKUP(V$5,NFI,5,0),1,0)*Table_NFI[[#This Row],[Tent]],Table_NFI[Tent])</f>
        <v>0</v>
      </c>
      <c r="AQ111" s="473" t="str">
        <f>IFERROR(VLOOKUP(Table_NFI[[#This Row],[Camp Name]],CL,2,0),"")</f>
        <v>MMR001CMP162</v>
      </c>
      <c r="AR111" s="468">
        <f ca="1">IF(Table_NFI[[#This Row],[Pcode]]="","",IF(OFFSET(CampList[Opening Date],MATCH(Table_NFI[[#This Row],[Pcode]],CampList[CP_Pcode],0)-1,0,1,1)&gt;=NFI_Monitor_Date,1,0))</f>
        <v>0</v>
      </c>
      <c r="AS111" s="473" t="str">
        <f>IFERROR(VLOOKUP(Table_NFI[[#This Row],[Camp Name]],CL,3,0),"")</f>
        <v>Open</v>
      </c>
      <c r="AT111" s="294" t="str">
        <f ca="1">IF(Table_NFI[[#This Row],[Pcode]]="","",OFFSET(CampList[Priority],MATCH(Table_NFI[[#This Row],[Pcode]],CampList[CP_Pcode],0)-1,0,1,1))</f>
        <v>P4</v>
      </c>
      <c r="AU111" s="293">
        <f>IFERROR(Table_NFI[[#This Row],[Kitchen Set]]/VLOOKUP(Table_NFI[[#This Row],[Camp Name]],CL,4,0),"")</f>
        <v>0.2391304347826087</v>
      </c>
      <c r="AV111" s="466" t="s">
        <v>1092</v>
      </c>
      <c r="AW111" s="474"/>
    </row>
    <row r="112" spans="1:49" s="470" customFormat="1" ht="14.45" customHeight="1" x14ac:dyDescent="0.25">
      <c r="A112" s="297">
        <f t="shared" si="1"/>
        <v>14.4</v>
      </c>
      <c r="B112" s="465">
        <v>42243</v>
      </c>
      <c r="C112" s="471" t="s">
        <v>452</v>
      </c>
      <c r="D112" s="471" t="s">
        <v>460</v>
      </c>
      <c r="E112" s="466" t="s">
        <v>380</v>
      </c>
      <c r="F112" s="466" t="s">
        <v>237</v>
      </c>
      <c r="G112" s="466"/>
      <c r="H112" s="292"/>
      <c r="I112" s="292"/>
      <c r="J112" s="292"/>
      <c r="K112" s="292"/>
      <c r="L112" s="292"/>
      <c r="M112" s="292"/>
      <c r="N112" s="292"/>
      <c r="O112" s="292"/>
      <c r="P112" s="294"/>
      <c r="Q112" s="294"/>
      <c r="R112" s="294"/>
      <c r="S112" s="294"/>
      <c r="T112" s="294"/>
      <c r="U112" s="294"/>
      <c r="V112" s="431"/>
      <c r="W112" s="294">
        <v>10</v>
      </c>
      <c r="X112" s="294"/>
      <c r="Y112" s="294">
        <f>IF(NFI_Expiration=1,IF($A112&lt;VLOOKUP(H$5,NFI,5,0),1,0)*Table_NFI[[#This Row],[Hygiene Kit]],Table_NFI[Hygiene Kit])</f>
        <v>0</v>
      </c>
      <c r="Z112" s="294">
        <f>IF(NFI_Expiration=1,IF($A112&lt;VLOOKUP(I$5,NFI,5,0),1,0)*Table_NFI[[#This Row],[NFI Core Kit]],Table_NFI[NFI Core Kit])</f>
        <v>0</v>
      </c>
      <c r="AA112" s="294">
        <f>IF(NFI_Expiration=1,IF($A112&lt;VLOOKUP(J$5,NFI,5,0),1,0)*Table_NFI[[#This Row],[Sanitary Kit]],Table_NFI[Sanitary Kit])</f>
        <v>0</v>
      </c>
      <c r="AB112" s="294">
        <f>IF(NFI_Expiration=1,IF($A112&lt;VLOOKUP(K$5,NFI,5,0),1,0)*Table_NFI[[#This Row],[Mosquito net]],Table_NFI[Mosquito net])</f>
        <v>0</v>
      </c>
      <c r="AC112" s="294">
        <f>IF(NFI_Expiration=1,IF($A112&lt;VLOOKUP(L$5,NFI,5,0),1,0)*Table_NFI[[#This Row],[Tarpaulin]],Table_NFI[[#This Row],[Tarpaulin]])</f>
        <v>0</v>
      </c>
      <c r="AD112" s="294">
        <f>IF(NFI_Expiration=1,IF($A112&lt;VLOOKUP(M$5,NFI,5,0),1,0)*Table_NFI[[#This Row],[Blanket]],Table_NFI[[#This Row],[Blanket]])</f>
        <v>0</v>
      </c>
      <c r="AE112" s="294">
        <f>IF(NFI_Expiration=1,IF($A112&lt;VLOOKUP(N$5,NFI,5,0),1,0)*Table_NFI[[#This Row],[Kitchen Set]],Table_NFI[Kitchen Set])</f>
        <v>0</v>
      </c>
      <c r="AF112" s="294">
        <f>IF(NFI_Expiration=1,IF($A112&lt;VLOOKUP(O$5,NFI,5,0),1,0)*Table_NFI[[#This Row],[Clothes Kit]],Table_NFI[Clothes Kit])</f>
        <v>0</v>
      </c>
      <c r="AG112" s="294">
        <f>IF(NFI_Expiration=1,IF($A112&lt;VLOOKUP(P$5,NFI,5,0),1,0)*Table_NFI[[#This Row],[Plastic Bucket]],Table_NFI[Plastic Bucket])</f>
        <v>0</v>
      </c>
      <c r="AH112" s="294">
        <f>IF(NFI_Expiration=1,IF($A112&lt;VLOOKUP(Q$5,NFI,5,0),1,0)*Table_NFI[[#This Row],[Plastic Mat]],Table_NFI[Plastic Mat])*IF(Table_NFI[[#This Row],[Distribution Date]]&gt;"2014-04-01",1,2.5)</f>
        <v>0</v>
      </c>
      <c r="AI112" s="294">
        <f>IF(NFI_Expiration=1,IF($A112&lt;VLOOKUP(R$5,NFI,5,0),1,0)*Table_NFI[[#This Row],[Winter Clothes Adult]],Table_NFI[Winter Clothes Adult])</f>
        <v>0</v>
      </c>
      <c r="AJ112" s="294">
        <f>IF(NFI_Expiration=1,IF($A112&lt;VLOOKUP(S$5,NFI,5,0),1,0)*Table_NFI[[#This Row],[Winter Clothes Children]],Table_NFI[Winter Clothes Children])</f>
        <v>0</v>
      </c>
      <c r="AK112" s="294">
        <f>IF(NFI_Expiration=1,IF($A112&lt;VLOOKUP(T$5,NFI,5,0),1,0)*Table_NFI[[#This Row],[Winter Items Other]],Table_NFI[Winter Items Other])</f>
        <v>0</v>
      </c>
      <c r="AL112" s="294">
        <f>IF(NFI_Expiration=1,IF($A112&lt;VLOOKUP(M$5,NFI,5,0),1,0)*Table_NFI[[#This Row],[Winter Blanket]],Table_NFI[[#This Row],[Winter Blanket]])</f>
        <v>0</v>
      </c>
      <c r="AM112" s="294">
        <f>IF(Table_NFI[[#This Row],[Winter Clothes Adult]]+Table_NFI[[#This Row],[Winter Clothes Children]]+Table_NFI[[#This Row],[Winter Items Other]]+Table_NFI[[#This Row],[Winter Blanket]]&gt;0,1,0)</f>
        <v>0</v>
      </c>
      <c r="AN112" s="331">
        <f>IF(NFI_Expiration=1,IF($A112&lt;VLOOKUP(V$5,NFI,5,0),1,0)*Table_NFI[[#This Row],[Jerry Can]],Table_NFI[Jerry Can])</f>
        <v>0</v>
      </c>
      <c r="AO112" s="331">
        <f>IF(NFI_Expiration=1,IF($A112&lt;VLOOKUP(V$5,NFI,5,0),1,0)*Table_NFI[[#This Row],[Shelter Tool kit]],Table_NFI[Shelter Tool kit])</f>
        <v>0</v>
      </c>
      <c r="AP112" s="331">
        <f>IF(NFI_Expiration=1,IF($A112&lt;VLOOKUP(V$5,NFI,5,0),1,0)*Table_NFI[[#This Row],[Tent]],Table_NFI[Tent])</f>
        <v>0</v>
      </c>
      <c r="AQ112" s="473" t="str">
        <f>IFERROR(VLOOKUP(Table_NFI[[#This Row],[Camp Name]],CL,2,0),"")</f>
        <v/>
      </c>
      <c r="AR112" s="468" t="str">
        <f ca="1">IF(Table_NFI[[#This Row],[Pcode]]="","",IF(OFFSET(CampList[Opening Date],MATCH(Table_NFI[[#This Row],[Pcode]],CampList[CP_Pcode],0)-1,0,1,1)&gt;=NFI_Monitor_Date,1,0))</f>
        <v/>
      </c>
      <c r="AS112" s="670" t="str">
        <f>IFERROR(VLOOKUP(Table_NFI[[#This Row],[Camp Name]],CL,3,0),"")</f>
        <v/>
      </c>
      <c r="AT112" s="294" t="str">
        <f ca="1">IF(Table_NFI[[#This Row],[Pcode]]="","",OFFSET(CampList[Priority],MATCH(Table_NFI[[#This Row],[Pcode]],CampList[CP_Pcode],0)-1,0,1,1))</f>
        <v/>
      </c>
      <c r="AU112" s="293" t="str">
        <f>IFERROR(Table_NFI[[#This Row],[Kitchen Set]]/VLOOKUP(Table_NFI[[#This Row],[Camp Name]],CL,4,0),"")</f>
        <v/>
      </c>
      <c r="AV112" s="466" t="s">
        <v>1092</v>
      </c>
      <c r="AW112" s="490"/>
    </row>
    <row r="113" spans="1:49" s="470" customFormat="1" ht="14.45" customHeight="1" x14ac:dyDescent="0.25">
      <c r="A113" s="297">
        <f t="shared" si="1"/>
        <v>14.4</v>
      </c>
      <c r="B113" s="465">
        <v>42243</v>
      </c>
      <c r="C113" s="471" t="s">
        <v>452</v>
      </c>
      <c r="D113" s="471" t="s">
        <v>1341</v>
      </c>
      <c r="E113" s="471" t="s">
        <v>380</v>
      </c>
      <c r="F113" s="471" t="s">
        <v>237</v>
      </c>
      <c r="G113" s="471"/>
      <c r="H113" s="292"/>
      <c r="I113" s="292"/>
      <c r="J113" s="292"/>
      <c r="K113" s="292"/>
      <c r="L113" s="292"/>
      <c r="M113" s="292"/>
      <c r="N113" s="292"/>
      <c r="O113" s="292"/>
      <c r="P113" s="294"/>
      <c r="Q113" s="294"/>
      <c r="R113" s="294"/>
      <c r="S113" s="294"/>
      <c r="T113" s="294"/>
      <c r="U113" s="294"/>
      <c r="V113" s="431"/>
      <c r="W113" s="294">
        <v>7</v>
      </c>
      <c r="X113" s="294"/>
      <c r="Y113" s="294">
        <f>IF(NFI_Expiration=1,IF($A113&lt;VLOOKUP(H$5,NFI,5,0),1,0)*Table_NFI[[#This Row],[Hygiene Kit]],Table_NFI[Hygiene Kit])</f>
        <v>0</v>
      </c>
      <c r="Z113" s="294">
        <f>IF(NFI_Expiration=1,IF($A113&lt;VLOOKUP(I$5,NFI,5,0),1,0)*Table_NFI[[#This Row],[NFI Core Kit]],Table_NFI[NFI Core Kit])</f>
        <v>0</v>
      </c>
      <c r="AA113" s="294">
        <f>IF(NFI_Expiration=1,IF($A113&lt;VLOOKUP(J$5,NFI,5,0),1,0)*Table_NFI[[#This Row],[Sanitary Kit]],Table_NFI[Sanitary Kit])</f>
        <v>0</v>
      </c>
      <c r="AB113" s="294">
        <f>IF(NFI_Expiration=1,IF($A113&lt;VLOOKUP(K$5,NFI,5,0),1,0)*Table_NFI[[#This Row],[Mosquito net]],Table_NFI[Mosquito net])</f>
        <v>0</v>
      </c>
      <c r="AC113" s="294">
        <f>IF(NFI_Expiration=1,IF($A113&lt;VLOOKUP(L$5,NFI,5,0),1,0)*Table_NFI[[#This Row],[Tarpaulin]],Table_NFI[[#This Row],[Tarpaulin]])</f>
        <v>0</v>
      </c>
      <c r="AD113" s="294">
        <f>IF(NFI_Expiration=1,IF($A113&lt;VLOOKUP(M$5,NFI,5,0),1,0)*Table_NFI[[#This Row],[Blanket]],Table_NFI[[#This Row],[Blanket]])</f>
        <v>0</v>
      </c>
      <c r="AE113" s="294">
        <f>IF(NFI_Expiration=1,IF($A113&lt;VLOOKUP(N$5,NFI,5,0),1,0)*Table_NFI[[#This Row],[Kitchen Set]],Table_NFI[Kitchen Set])</f>
        <v>0</v>
      </c>
      <c r="AF113" s="294">
        <f>IF(NFI_Expiration=1,IF($A113&lt;VLOOKUP(O$5,NFI,5,0),1,0)*Table_NFI[[#This Row],[Clothes Kit]],Table_NFI[Clothes Kit])</f>
        <v>0</v>
      </c>
      <c r="AG113" s="294">
        <f>IF(NFI_Expiration=1,IF($A113&lt;VLOOKUP(P$5,NFI,5,0),1,0)*Table_NFI[[#This Row],[Plastic Bucket]],Table_NFI[Plastic Bucket])</f>
        <v>0</v>
      </c>
      <c r="AH113" s="294">
        <f>IF(NFI_Expiration=1,IF($A113&lt;VLOOKUP(Q$5,NFI,5,0),1,0)*Table_NFI[[#This Row],[Plastic Mat]],Table_NFI[Plastic Mat])*IF(Table_NFI[[#This Row],[Distribution Date]]&gt;"2014-04-01",1,2.5)</f>
        <v>0</v>
      </c>
      <c r="AI113" s="294">
        <f>IF(NFI_Expiration=1,IF($A113&lt;VLOOKUP(R$5,NFI,5,0),1,0)*Table_NFI[[#This Row],[Winter Clothes Adult]],Table_NFI[Winter Clothes Adult])</f>
        <v>0</v>
      </c>
      <c r="AJ113" s="294">
        <f>IF(NFI_Expiration=1,IF($A113&lt;VLOOKUP(S$5,NFI,5,0),1,0)*Table_NFI[[#This Row],[Winter Clothes Children]],Table_NFI[Winter Clothes Children])</f>
        <v>0</v>
      </c>
      <c r="AK113" s="294">
        <f>IF(NFI_Expiration=1,IF($A113&lt;VLOOKUP(T$5,NFI,5,0),1,0)*Table_NFI[[#This Row],[Winter Items Other]],Table_NFI[Winter Items Other])</f>
        <v>0</v>
      </c>
      <c r="AL113" s="294">
        <f>IF(NFI_Expiration=1,IF($A113&lt;VLOOKUP(M$5,NFI,5,0),1,0)*Table_NFI[[#This Row],[Winter Blanket]],Table_NFI[[#This Row],[Winter Blanket]])</f>
        <v>0</v>
      </c>
      <c r="AM113" s="294">
        <f>IF(Table_NFI[[#This Row],[Winter Clothes Adult]]+Table_NFI[[#This Row],[Winter Clothes Children]]+Table_NFI[[#This Row],[Winter Items Other]]+Table_NFI[[#This Row],[Winter Blanket]]&gt;0,1,0)</f>
        <v>0</v>
      </c>
      <c r="AN113" s="331">
        <f>IF(NFI_Expiration=1,IF($A113&lt;VLOOKUP(V$5,NFI,5,0),1,0)*Table_NFI[[#This Row],[Jerry Can]],Table_NFI[Jerry Can])</f>
        <v>0</v>
      </c>
      <c r="AO113" s="331">
        <f>IF(NFI_Expiration=1,IF($A113&lt;VLOOKUP(V$5,NFI,5,0),1,0)*Table_NFI[[#This Row],[Shelter Tool kit]],Table_NFI[Shelter Tool kit])</f>
        <v>0</v>
      </c>
      <c r="AP113" s="331">
        <f>IF(NFI_Expiration=1,IF($A113&lt;VLOOKUP(V$5,NFI,5,0),1,0)*Table_NFI[[#This Row],[Tent]],Table_NFI[Tent])</f>
        <v>0</v>
      </c>
      <c r="AQ113" s="473" t="str">
        <f>IFERROR(VLOOKUP(Table_NFI[[#This Row],[Camp Name]],CL,2,0),"")</f>
        <v/>
      </c>
      <c r="AR113" s="468" t="str">
        <f ca="1">IF(Table_NFI[[#This Row],[Pcode]]="","",IF(OFFSET(CampList[Opening Date],MATCH(Table_NFI[[#This Row],[Pcode]],CampList[CP_Pcode],0)-1,0,1,1)&gt;=NFI_Monitor_Date,1,0))</f>
        <v/>
      </c>
      <c r="AS113" s="670" t="str">
        <f>IFERROR(VLOOKUP(Table_NFI[[#This Row],[Camp Name]],CL,3,0),"")</f>
        <v/>
      </c>
      <c r="AT113" s="294" t="str">
        <f ca="1">IF(Table_NFI[[#This Row],[Pcode]]="","",OFFSET(CampList[Priority],MATCH(Table_NFI[[#This Row],[Pcode]],CampList[CP_Pcode],0)-1,0,1,1))</f>
        <v/>
      </c>
      <c r="AU113" s="293" t="str">
        <f>IFERROR(Table_NFI[[#This Row],[Kitchen Set]]/VLOOKUP(Table_NFI[[#This Row],[Camp Name]],CL,4,0),"")</f>
        <v/>
      </c>
      <c r="AV113" s="466" t="s">
        <v>1092</v>
      </c>
      <c r="AW113" s="474"/>
    </row>
    <row r="114" spans="1:49" s="470" customFormat="1" ht="14.45" customHeight="1" x14ac:dyDescent="0.25">
      <c r="A114" s="297">
        <f t="shared" si="1"/>
        <v>14.4</v>
      </c>
      <c r="B114" s="465">
        <v>42243</v>
      </c>
      <c r="C114" s="471" t="s">
        <v>452</v>
      </c>
      <c r="D114" s="471" t="s">
        <v>505</v>
      </c>
      <c r="E114" s="471" t="s">
        <v>380</v>
      </c>
      <c r="F114" s="471" t="s">
        <v>237</v>
      </c>
      <c r="G114" s="471"/>
      <c r="H114" s="292"/>
      <c r="I114" s="292"/>
      <c r="J114" s="292"/>
      <c r="K114" s="292"/>
      <c r="L114" s="292"/>
      <c r="M114" s="292"/>
      <c r="N114" s="292"/>
      <c r="O114" s="292"/>
      <c r="P114" s="294"/>
      <c r="Q114" s="294"/>
      <c r="R114" s="294"/>
      <c r="S114" s="294"/>
      <c r="T114" s="294"/>
      <c r="U114" s="294"/>
      <c r="V114" s="431"/>
      <c r="W114" s="294">
        <v>8</v>
      </c>
      <c r="X114" s="294"/>
      <c r="Y114" s="294">
        <f>IF(NFI_Expiration=1,IF($A114&lt;VLOOKUP(H$5,NFI,5,0),1,0)*Table_NFI[[#This Row],[Hygiene Kit]],Table_NFI[Hygiene Kit])</f>
        <v>0</v>
      </c>
      <c r="Z114" s="294">
        <f>IF(NFI_Expiration=1,IF($A114&lt;VLOOKUP(I$5,NFI,5,0),1,0)*Table_NFI[[#This Row],[NFI Core Kit]],Table_NFI[NFI Core Kit])</f>
        <v>0</v>
      </c>
      <c r="AA114" s="294">
        <f>IF(NFI_Expiration=1,IF($A114&lt;VLOOKUP(J$5,NFI,5,0),1,0)*Table_NFI[[#This Row],[Sanitary Kit]],Table_NFI[Sanitary Kit])</f>
        <v>0</v>
      </c>
      <c r="AB114" s="294">
        <f>IF(NFI_Expiration=1,IF($A114&lt;VLOOKUP(K$5,NFI,5,0),1,0)*Table_NFI[[#This Row],[Mosquito net]],Table_NFI[Mosquito net])</f>
        <v>0</v>
      </c>
      <c r="AC114" s="294">
        <f>IF(NFI_Expiration=1,IF($A114&lt;VLOOKUP(L$5,NFI,5,0),1,0)*Table_NFI[[#This Row],[Tarpaulin]],Table_NFI[[#This Row],[Tarpaulin]])</f>
        <v>0</v>
      </c>
      <c r="AD114" s="294">
        <f>IF(NFI_Expiration=1,IF($A114&lt;VLOOKUP(M$5,NFI,5,0),1,0)*Table_NFI[[#This Row],[Blanket]],Table_NFI[[#This Row],[Blanket]])</f>
        <v>0</v>
      </c>
      <c r="AE114" s="294">
        <f>IF(NFI_Expiration=1,IF($A114&lt;VLOOKUP(N$5,NFI,5,0),1,0)*Table_NFI[[#This Row],[Kitchen Set]],Table_NFI[Kitchen Set])</f>
        <v>0</v>
      </c>
      <c r="AF114" s="294">
        <f>IF(NFI_Expiration=1,IF($A114&lt;VLOOKUP(O$5,NFI,5,0),1,0)*Table_NFI[[#This Row],[Clothes Kit]],Table_NFI[Clothes Kit])</f>
        <v>0</v>
      </c>
      <c r="AG114" s="294">
        <f>IF(NFI_Expiration=1,IF($A114&lt;VLOOKUP(P$5,NFI,5,0),1,0)*Table_NFI[[#This Row],[Plastic Bucket]],Table_NFI[Plastic Bucket])</f>
        <v>0</v>
      </c>
      <c r="AH114" s="294">
        <f>IF(NFI_Expiration=1,IF($A114&lt;VLOOKUP(Q$5,NFI,5,0),1,0)*Table_NFI[[#This Row],[Plastic Mat]],Table_NFI[Plastic Mat])*IF(Table_NFI[[#This Row],[Distribution Date]]&gt;"2014-04-01",1,2.5)</f>
        <v>0</v>
      </c>
      <c r="AI114" s="294">
        <f>IF(NFI_Expiration=1,IF($A114&lt;VLOOKUP(R$5,NFI,5,0),1,0)*Table_NFI[[#This Row],[Winter Clothes Adult]],Table_NFI[Winter Clothes Adult])</f>
        <v>0</v>
      </c>
      <c r="AJ114" s="294">
        <f>IF(NFI_Expiration=1,IF($A114&lt;VLOOKUP(S$5,NFI,5,0),1,0)*Table_NFI[[#This Row],[Winter Clothes Children]],Table_NFI[Winter Clothes Children])</f>
        <v>0</v>
      </c>
      <c r="AK114" s="294">
        <f>IF(NFI_Expiration=1,IF($A114&lt;VLOOKUP(T$5,NFI,5,0),1,0)*Table_NFI[[#This Row],[Winter Items Other]],Table_NFI[Winter Items Other])</f>
        <v>0</v>
      </c>
      <c r="AL114" s="294">
        <f>IF(NFI_Expiration=1,IF($A114&lt;VLOOKUP(M$5,NFI,5,0),1,0)*Table_NFI[[#This Row],[Winter Blanket]],Table_NFI[[#This Row],[Winter Blanket]])</f>
        <v>0</v>
      </c>
      <c r="AM114" s="294">
        <f>IF(Table_NFI[[#This Row],[Winter Clothes Adult]]+Table_NFI[[#This Row],[Winter Clothes Children]]+Table_NFI[[#This Row],[Winter Items Other]]+Table_NFI[[#This Row],[Winter Blanket]]&gt;0,1,0)</f>
        <v>0</v>
      </c>
      <c r="AN114" s="331">
        <f>IF(NFI_Expiration=1,IF($A114&lt;VLOOKUP(V$5,NFI,5,0),1,0)*Table_NFI[[#This Row],[Jerry Can]],Table_NFI[Jerry Can])</f>
        <v>0</v>
      </c>
      <c r="AO114" s="331">
        <f>IF(NFI_Expiration=1,IF($A114&lt;VLOOKUP(V$5,NFI,5,0),1,0)*Table_NFI[[#This Row],[Shelter Tool kit]],Table_NFI[Shelter Tool kit])</f>
        <v>0</v>
      </c>
      <c r="AP114" s="331">
        <f>IF(NFI_Expiration=1,IF($A114&lt;VLOOKUP(V$5,NFI,5,0),1,0)*Table_NFI[[#This Row],[Tent]],Table_NFI[Tent])</f>
        <v>0</v>
      </c>
      <c r="AQ114" s="473" t="str">
        <f>IFERROR(VLOOKUP(Table_NFI[[#This Row],[Camp Name]],CL,2,0),"")</f>
        <v/>
      </c>
      <c r="AR114" s="468" t="str">
        <f ca="1">IF(Table_NFI[[#This Row],[Pcode]]="","",IF(OFFSET(CampList[Opening Date],MATCH(Table_NFI[[#This Row],[Pcode]],CampList[CP_Pcode],0)-1,0,1,1)&gt;=NFI_Monitor_Date,1,0))</f>
        <v/>
      </c>
      <c r="AS114" s="670" t="str">
        <f>IFERROR(VLOOKUP(Table_NFI[[#This Row],[Camp Name]],CL,3,0),"")</f>
        <v/>
      </c>
      <c r="AT114" s="294" t="str">
        <f ca="1">IF(Table_NFI[[#This Row],[Pcode]]="","",OFFSET(CampList[Priority],MATCH(Table_NFI[[#This Row],[Pcode]],CampList[CP_Pcode],0)-1,0,1,1))</f>
        <v/>
      </c>
      <c r="AU114" s="293" t="str">
        <f>IFERROR(Table_NFI[[#This Row],[Kitchen Set]]/VLOOKUP(Table_NFI[[#This Row],[Camp Name]],CL,4,0),"")</f>
        <v/>
      </c>
      <c r="AV114" s="466" t="s">
        <v>1092</v>
      </c>
      <c r="AW114" s="474" t="s">
        <v>1322</v>
      </c>
    </row>
    <row r="115" spans="1:49" s="470" customFormat="1" ht="14.45" customHeight="1" x14ac:dyDescent="0.25">
      <c r="A115" s="297">
        <f t="shared" si="1"/>
        <v>14.933333333333334</v>
      </c>
      <c r="B115" s="465">
        <v>42227</v>
      </c>
      <c r="C115" s="466" t="s">
        <v>452</v>
      </c>
      <c r="D115" s="467" t="s">
        <v>460</v>
      </c>
      <c r="E115" s="466" t="s">
        <v>380</v>
      </c>
      <c r="F115" s="290" t="s">
        <v>173</v>
      </c>
      <c r="G115" s="290" t="s">
        <v>174</v>
      </c>
      <c r="H115" s="291"/>
      <c r="I115" s="292"/>
      <c r="J115" s="291"/>
      <c r="K115" s="294">
        <v>14</v>
      </c>
      <c r="L115" s="292">
        <v>14</v>
      </c>
      <c r="M115" s="292"/>
      <c r="N115" s="292"/>
      <c r="O115" s="292"/>
      <c r="P115" s="294"/>
      <c r="Q115" s="294"/>
      <c r="R115" s="294"/>
      <c r="S115" s="294"/>
      <c r="T115" s="294"/>
      <c r="U115" s="294"/>
      <c r="V115" s="431"/>
      <c r="W115" s="294"/>
      <c r="X115" s="294"/>
      <c r="Y115" s="294">
        <f>IF(NFI_Expiration=1,IF($A115&lt;VLOOKUP(H$5,NFI,5,0),1,0)*Table_NFI[[#This Row],[Hygiene Kit]],Table_NFI[Hygiene Kit])</f>
        <v>0</v>
      </c>
      <c r="Z115" s="294">
        <f>IF(NFI_Expiration=1,IF($A115&lt;VLOOKUP(I$5,NFI,5,0),1,0)*Table_NFI[[#This Row],[NFI Core Kit]],Table_NFI[NFI Core Kit])</f>
        <v>0</v>
      </c>
      <c r="AA115" s="294">
        <f>IF(NFI_Expiration=1,IF($A115&lt;VLOOKUP(J$5,NFI,5,0),1,0)*Table_NFI[[#This Row],[Sanitary Kit]],Table_NFI[Sanitary Kit])</f>
        <v>0</v>
      </c>
      <c r="AB115" s="294">
        <f>IF(NFI_Expiration=1,IF($A115&lt;VLOOKUP(K$5,NFI,5,0),1,0)*Table_NFI[[#This Row],[Mosquito net]],Table_NFI[Mosquito net])</f>
        <v>0</v>
      </c>
      <c r="AC115" s="294">
        <f>IF(NFI_Expiration=1,IF($A115&lt;VLOOKUP(L$5,NFI,5,0),1,0)*Table_NFI[[#This Row],[Tarpaulin]],Table_NFI[[#This Row],[Tarpaulin]])</f>
        <v>0</v>
      </c>
      <c r="AD115" s="294">
        <f>IF(NFI_Expiration=1,IF($A115&lt;VLOOKUP(M$5,NFI,5,0),1,0)*Table_NFI[[#This Row],[Blanket]],Table_NFI[[#This Row],[Blanket]])</f>
        <v>0</v>
      </c>
      <c r="AE115" s="294">
        <f>IF(NFI_Expiration=1,IF($A115&lt;VLOOKUP(N$5,NFI,5,0),1,0)*Table_NFI[[#This Row],[Kitchen Set]],Table_NFI[Kitchen Set])</f>
        <v>0</v>
      </c>
      <c r="AF115" s="294">
        <f>IF(NFI_Expiration=1,IF($A115&lt;VLOOKUP(O$5,NFI,5,0),1,0)*Table_NFI[[#This Row],[Clothes Kit]],Table_NFI[Clothes Kit])</f>
        <v>0</v>
      </c>
      <c r="AG115" s="294">
        <f>IF(NFI_Expiration=1,IF($A115&lt;VLOOKUP(P$5,NFI,5,0),1,0)*Table_NFI[[#This Row],[Plastic Bucket]],Table_NFI[Plastic Bucket])</f>
        <v>0</v>
      </c>
      <c r="AH115" s="294">
        <f>IF(NFI_Expiration=1,IF($A115&lt;VLOOKUP(Q$5,NFI,5,0),1,0)*Table_NFI[[#This Row],[Plastic Mat]],Table_NFI[Plastic Mat])*IF(Table_NFI[[#This Row],[Distribution Date]]&gt;"2014-04-01",1,2.5)</f>
        <v>0</v>
      </c>
      <c r="AI115" s="294">
        <f>IF(NFI_Expiration=1,IF($A115&lt;VLOOKUP(R$5,NFI,5,0),1,0)*Table_NFI[[#This Row],[Winter Clothes Adult]],Table_NFI[Winter Clothes Adult])</f>
        <v>0</v>
      </c>
      <c r="AJ115" s="294">
        <f>IF(NFI_Expiration=1,IF($A115&lt;VLOOKUP(S$5,NFI,5,0),1,0)*Table_NFI[[#This Row],[Winter Clothes Children]],Table_NFI[Winter Clothes Children])</f>
        <v>0</v>
      </c>
      <c r="AK115" s="294">
        <f>IF(NFI_Expiration=1,IF($A115&lt;VLOOKUP(T$5,NFI,5,0),1,0)*Table_NFI[[#This Row],[Winter Items Other]],Table_NFI[Winter Items Other])</f>
        <v>0</v>
      </c>
      <c r="AL115" s="294">
        <f>IF(NFI_Expiration=1,IF($A115&lt;VLOOKUP(M$5,NFI,5,0),1,0)*Table_NFI[[#This Row],[Winter Blanket]],Table_NFI[[#This Row],[Winter Blanket]])</f>
        <v>0</v>
      </c>
      <c r="AM115" s="294">
        <f>IF(Table_NFI[[#This Row],[Winter Clothes Adult]]+Table_NFI[[#This Row],[Winter Clothes Children]]+Table_NFI[[#This Row],[Winter Items Other]]+Table_NFI[[#This Row],[Winter Blanket]]&gt;0,1,0)</f>
        <v>0</v>
      </c>
      <c r="AN115" s="331">
        <f>IF(NFI_Expiration=1,IF($A115&lt;VLOOKUP(V$5,NFI,5,0),1,0)*Table_NFI[[#This Row],[Jerry Can]],Table_NFI[Jerry Can])</f>
        <v>0</v>
      </c>
      <c r="AO115" s="331">
        <f>IF(NFI_Expiration=1,IF($A115&lt;VLOOKUP(V$5,NFI,5,0),1,0)*Table_NFI[[#This Row],[Shelter Tool kit]],Table_NFI[Shelter Tool kit])</f>
        <v>0</v>
      </c>
      <c r="AP115" s="331">
        <f>IF(NFI_Expiration=1,IF($A115&lt;VLOOKUP(V$5,NFI,5,0),1,0)*Table_NFI[[#This Row],[Tent]],Table_NFI[Tent])</f>
        <v>0</v>
      </c>
      <c r="AQ115" s="473" t="str">
        <f>IFERROR(VLOOKUP(Table_NFI[[#This Row],[Camp Name]],CL,2,0),"")</f>
        <v>MMR001CMP078</v>
      </c>
      <c r="AR115" s="468">
        <f ca="1">IF(Table_NFI[[#This Row],[Pcode]]="","",IF(OFFSET(CampList[Opening Date],MATCH(Table_NFI[[#This Row],[Pcode]],CampList[CP_Pcode],0)-1,0,1,1)&gt;=NFI_Monitor_Date,1,0))</f>
        <v>0</v>
      </c>
      <c r="AS115" s="473" t="str">
        <f>IFERROR(VLOOKUP(Table_NFI[[#This Row],[Camp Name]],CL,3,0),"")</f>
        <v>Open</v>
      </c>
      <c r="AT115" s="294" t="str">
        <f ca="1">IF(Table_NFI[[#This Row],[Pcode]]="","",OFFSET(CampList[Priority],MATCH(Table_NFI[[#This Row],[Pcode]],CampList[CP_Pcode],0)-1,0,1,1))</f>
        <v>P4</v>
      </c>
      <c r="AU115" s="293">
        <f>IFERROR(Table_NFI[[#This Row],[Kitchen Set]]/VLOOKUP(Table_NFI[[#This Row],[Camp Name]],CL,4,0),"")</f>
        <v>0</v>
      </c>
      <c r="AV115" s="466" t="s">
        <v>1092</v>
      </c>
      <c r="AW115" s="486" t="s">
        <v>1343</v>
      </c>
    </row>
    <row r="116" spans="1:49" s="470" customFormat="1" ht="14.45" customHeight="1" x14ac:dyDescent="0.25">
      <c r="A116" s="297">
        <f t="shared" si="1"/>
        <v>14.933333333333334</v>
      </c>
      <c r="B116" s="465">
        <v>42227</v>
      </c>
      <c r="C116" s="471" t="s">
        <v>452</v>
      </c>
      <c r="D116" s="471" t="s">
        <v>505</v>
      </c>
      <c r="E116" s="471" t="s">
        <v>380</v>
      </c>
      <c r="F116" s="471" t="s">
        <v>237</v>
      </c>
      <c r="G116" s="471" t="s">
        <v>249</v>
      </c>
      <c r="H116" s="292"/>
      <c r="I116" s="292"/>
      <c r="J116" s="292"/>
      <c r="K116" s="292">
        <v>6</v>
      </c>
      <c r="L116" s="292">
        <v>4</v>
      </c>
      <c r="M116" s="292">
        <v>6</v>
      </c>
      <c r="N116" s="292">
        <v>4</v>
      </c>
      <c r="O116" s="292"/>
      <c r="P116" s="294">
        <v>4</v>
      </c>
      <c r="Q116" s="294">
        <v>10</v>
      </c>
      <c r="R116" s="294"/>
      <c r="S116" s="294"/>
      <c r="T116" s="294"/>
      <c r="U116" s="294"/>
      <c r="V116" s="431">
        <v>4</v>
      </c>
      <c r="W116" s="294"/>
      <c r="X116" s="294"/>
      <c r="Y116" s="294">
        <f>IF(NFI_Expiration=1,IF($A116&lt;VLOOKUP(H$5,NFI,5,0),1,0)*Table_NFI[[#This Row],[Hygiene Kit]],Table_NFI[Hygiene Kit])</f>
        <v>0</v>
      </c>
      <c r="Z116" s="294">
        <f>IF(NFI_Expiration=1,IF($A116&lt;VLOOKUP(I$5,NFI,5,0),1,0)*Table_NFI[[#This Row],[NFI Core Kit]],Table_NFI[NFI Core Kit])</f>
        <v>0</v>
      </c>
      <c r="AA116" s="294">
        <f>IF(NFI_Expiration=1,IF($A116&lt;VLOOKUP(J$5,NFI,5,0),1,0)*Table_NFI[[#This Row],[Sanitary Kit]],Table_NFI[Sanitary Kit])</f>
        <v>0</v>
      </c>
      <c r="AB116" s="294">
        <f>IF(NFI_Expiration=1,IF($A116&lt;VLOOKUP(K$5,NFI,5,0),1,0)*Table_NFI[[#This Row],[Mosquito net]],Table_NFI[Mosquito net])</f>
        <v>0</v>
      </c>
      <c r="AC116" s="294">
        <f>IF(NFI_Expiration=1,IF($A116&lt;VLOOKUP(L$5,NFI,5,0),1,0)*Table_NFI[[#This Row],[Tarpaulin]],Table_NFI[[#This Row],[Tarpaulin]])</f>
        <v>0</v>
      </c>
      <c r="AD116" s="294">
        <f>IF(NFI_Expiration=1,IF($A116&lt;VLOOKUP(M$5,NFI,5,0),1,0)*Table_NFI[[#This Row],[Blanket]],Table_NFI[[#This Row],[Blanket]])</f>
        <v>0</v>
      </c>
      <c r="AE116" s="294">
        <f>IF(NFI_Expiration=1,IF($A116&lt;VLOOKUP(N$5,NFI,5,0),1,0)*Table_NFI[[#This Row],[Kitchen Set]],Table_NFI[Kitchen Set])</f>
        <v>0</v>
      </c>
      <c r="AF116" s="294">
        <f>IF(NFI_Expiration=1,IF($A116&lt;VLOOKUP(O$5,NFI,5,0),1,0)*Table_NFI[[#This Row],[Clothes Kit]],Table_NFI[Clothes Kit])</f>
        <v>0</v>
      </c>
      <c r="AG116" s="294">
        <f>IF(NFI_Expiration=1,IF($A116&lt;VLOOKUP(P$5,NFI,5,0),1,0)*Table_NFI[[#This Row],[Plastic Bucket]],Table_NFI[Plastic Bucket])</f>
        <v>0</v>
      </c>
      <c r="AH116" s="294">
        <f>IF(NFI_Expiration=1,IF($A116&lt;VLOOKUP(Q$5,NFI,5,0),1,0)*Table_NFI[[#This Row],[Plastic Mat]],Table_NFI[Plastic Mat])*IF(Table_NFI[[#This Row],[Distribution Date]]&gt;"2014-04-01",1,2.5)</f>
        <v>0</v>
      </c>
      <c r="AI116" s="294">
        <f>IF(NFI_Expiration=1,IF($A116&lt;VLOOKUP(R$5,NFI,5,0),1,0)*Table_NFI[[#This Row],[Winter Clothes Adult]],Table_NFI[Winter Clothes Adult])</f>
        <v>0</v>
      </c>
      <c r="AJ116" s="294">
        <f>IF(NFI_Expiration=1,IF($A116&lt;VLOOKUP(S$5,NFI,5,0),1,0)*Table_NFI[[#This Row],[Winter Clothes Children]],Table_NFI[Winter Clothes Children])</f>
        <v>0</v>
      </c>
      <c r="AK116" s="294">
        <f>IF(NFI_Expiration=1,IF($A116&lt;VLOOKUP(T$5,NFI,5,0),1,0)*Table_NFI[[#This Row],[Winter Items Other]],Table_NFI[Winter Items Other])</f>
        <v>0</v>
      </c>
      <c r="AL116" s="294">
        <f>IF(NFI_Expiration=1,IF($A116&lt;VLOOKUP(M$5,NFI,5,0),1,0)*Table_NFI[[#This Row],[Winter Blanket]],Table_NFI[[#This Row],[Winter Blanket]])</f>
        <v>0</v>
      </c>
      <c r="AM116" s="294">
        <f>IF(Table_NFI[[#This Row],[Winter Clothes Adult]]+Table_NFI[[#This Row],[Winter Clothes Children]]+Table_NFI[[#This Row],[Winter Items Other]]+Table_NFI[[#This Row],[Winter Blanket]]&gt;0,1,0)</f>
        <v>0</v>
      </c>
      <c r="AN116" s="331">
        <f>IF(NFI_Expiration=1,IF($A116&lt;VLOOKUP(V$5,NFI,5,0),1,0)*Table_NFI[[#This Row],[Jerry Can]],Table_NFI[Jerry Can])</f>
        <v>0</v>
      </c>
      <c r="AO116" s="331">
        <f>IF(NFI_Expiration=1,IF($A116&lt;VLOOKUP(V$5,NFI,5,0),1,0)*Table_NFI[[#This Row],[Shelter Tool kit]],Table_NFI[Shelter Tool kit])</f>
        <v>0</v>
      </c>
      <c r="AP116" s="331">
        <f>IF(NFI_Expiration=1,IF($A116&lt;VLOOKUP(V$5,NFI,5,0),1,0)*Table_NFI[[#This Row],[Tent]],Table_NFI[Tent])</f>
        <v>0</v>
      </c>
      <c r="AQ116" s="473" t="str">
        <f>IFERROR(VLOOKUP(Table_NFI[[#This Row],[Camp Name]],CL,2,0),"")</f>
        <v>MMR001CMP004</v>
      </c>
      <c r="AR116" s="468">
        <f ca="1">IF(Table_NFI[[#This Row],[Pcode]]="","",IF(OFFSET(CampList[Opening Date],MATCH(Table_NFI[[#This Row],[Pcode]],CampList[CP_Pcode],0)-1,0,1,1)&gt;=NFI_Monitor_Date,1,0))</f>
        <v>0</v>
      </c>
      <c r="AS116" s="473" t="str">
        <f>IFERROR(VLOOKUP(Table_NFI[[#This Row],[Camp Name]],CL,3,0),"")</f>
        <v>Open</v>
      </c>
      <c r="AT116" s="294" t="str">
        <f ca="1">IF(Table_NFI[[#This Row],[Pcode]]="","",OFFSET(CampList[Priority],MATCH(Table_NFI[[#This Row],[Pcode]],CampList[CP_Pcode],0)-1,0,1,1))</f>
        <v>P4</v>
      </c>
      <c r="AU116" s="293">
        <f>IFERROR(Table_NFI[[#This Row],[Kitchen Set]]/VLOOKUP(Table_NFI[[#This Row],[Camp Name]],CL,4,0),"")</f>
        <v>1</v>
      </c>
      <c r="AV116" s="466" t="s">
        <v>1092</v>
      </c>
      <c r="AW116" s="474"/>
    </row>
    <row r="117" spans="1:49" s="470" customFormat="1" ht="14.45" customHeight="1" x14ac:dyDescent="0.25">
      <c r="A117" s="297">
        <f t="shared" si="1"/>
        <v>15.633333333333333</v>
      </c>
      <c r="B117" s="465">
        <v>42206</v>
      </c>
      <c r="C117" s="471" t="s">
        <v>452</v>
      </c>
      <c r="D117" s="471" t="s">
        <v>460</v>
      </c>
      <c r="E117" s="471" t="s">
        <v>380</v>
      </c>
      <c r="F117" s="471" t="s">
        <v>808</v>
      </c>
      <c r="G117" s="471" t="s">
        <v>808</v>
      </c>
      <c r="H117" s="292"/>
      <c r="I117" s="292"/>
      <c r="J117" s="292"/>
      <c r="K117" s="292"/>
      <c r="L117" s="292">
        <v>250</v>
      </c>
      <c r="M117" s="292"/>
      <c r="N117" s="292"/>
      <c r="O117" s="292"/>
      <c r="P117" s="294"/>
      <c r="Q117" s="294"/>
      <c r="R117" s="294"/>
      <c r="S117" s="294"/>
      <c r="T117" s="294"/>
      <c r="U117" s="294"/>
      <c r="V117" s="431"/>
      <c r="W117" s="294"/>
      <c r="X117" s="294"/>
      <c r="Y117" s="294">
        <f>IF(NFI_Expiration=1,IF($A117&lt;VLOOKUP(H$5,NFI,5,0),1,0)*Table_NFI[[#This Row],[Hygiene Kit]],Table_NFI[Hygiene Kit])</f>
        <v>0</v>
      </c>
      <c r="Z117" s="294">
        <f>IF(NFI_Expiration=1,IF($A117&lt;VLOOKUP(I$5,NFI,5,0),1,0)*Table_NFI[[#This Row],[NFI Core Kit]],Table_NFI[NFI Core Kit])</f>
        <v>0</v>
      </c>
      <c r="AA117" s="294">
        <f>IF(NFI_Expiration=1,IF($A117&lt;VLOOKUP(J$5,NFI,5,0),1,0)*Table_NFI[[#This Row],[Sanitary Kit]],Table_NFI[Sanitary Kit])</f>
        <v>0</v>
      </c>
      <c r="AB117" s="294">
        <f>IF(NFI_Expiration=1,IF($A117&lt;VLOOKUP(K$5,NFI,5,0),1,0)*Table_NFI[[#This Row],[Mosquito net]],Table_NFI[Mosquito net])</f>
        <v>0</v>
      </c>
      <c r="AC117" s="294">
        <f>IF(NFI_Expiration=1,IF($A117&lt;VLOOKUP(L$5,NFI,5,0),1,0)*Table_NFI[[#This Row],[Tarpaulin]],Table_NFI[[#This Row],[Tarpaulin]])</f>
        <v>0</v>
      </c>
      <c r="AD117" s="294">
        <f>IF(NFI_Expiration=1,IF($A117&lt;VLOOKUP(M$5,NFI,5,0),1,0)*Table_NFI[[#This Row],[Blanket]],Table_NFI[[#This Row],[Blanket]])</f>
        <v>0</v>
      </c>
      <c r="AE117" s="294">
        <f>IF(NFI_Expiration=1,IF($A117&lt;VLOOKUP(N$5,NFI,5,0),1,0)*Table_NFI[[#This Row],[Kitchen Set]],Table_NFI[Kitchen Set])</f>
        <v>0</v>
      </c>
      <c r="AF117" s="294">
        <f>IF(NFI_Expiration=1,IF($A117&lt;VLOOKUP(O$5,NFI,5,0),1,0)*Table_NFI[[#This Row],[Clothes Kit]],Table_NFI[Clothes Kit])</f>
        <v>0</v>
      </c>
      <c r="AG117" s="294">
        <f>IF(NFI_Expiration=1,IF($A117&lt;VLOOKUP(P$5,NFI,5,0),1,0)*Table_NFI[[#This Row],[Plastic Bucket]],Table_NFI[Plastic Bucket])</f>
        <v>0</v>
      </c>
      <c r="AH117" s="294">
        <f>IF(NFI_Expiration=1,IF($A117&lt;VLOOKUP(Q$5,NFI,5,0),1,0)*Table_NFI[[#This Row],[Plastic Mat]],Table_NFI[Plastic Mat])*IF(Table_NFI[[#This Row],[Distribution Date]]&gt;"2014-04-01",1,2.5)</f>
        <v>0</v>
      </c>
      <c r="AI117" s="294">
        <f>IF(NFI_Expiration=1,IF($A117&lt;VLOOKUP(R$5,NFI,5,0),1,0)*Table_NFI[[#This Row],[Winter Clothes Adult]],Table_NFI[Winter Clothes Adult])</f>
        <v>0</v>
      </c>
      <c r="AJ117" s="294">
        <f>IF(NFI_Expiration=1,IF($A117&lt;VLOOKUP(S$5,NFI,5,0),1,0)*Table_NFI[[#This Row],[Winter Clothes Children]],Table_NFI[Winter Clothes Children])</f>
        <v>0</v>
      </c>
      <c r="AK117" s="294">
        <f>IF(NFI_Expiration=1,IF($A117&lt;VLOOKUP(T$5,NFI,5,0),1,0)*Table_NFI[[#This Row],[Winter Items Other]],Table_NFI[Winter Items Other])</f>
        <v>0</v>
      </c>
      <c r="AL117" s="294">
        <f>IF(NFI_Expiration=1,IF($A117&lt;VLOOKUP(M$5,NFI,5,0),1,0)*Table_NFI[[#This Row],[Winter Blanket]],Table_NFI[[#This Row],[Winter Blanket]])</f>
        <v>0</v>
      </c>
      <c r="AM117" s="294">
        <f>IF(Table_NFI[[#This Row],[Winter Clothes Adult]]+Table_NFI[[#This Row],[Winter Clothes Children]]+Table_NFI[[#This Row],[Winter Items Other]]+Table_NFI[[#This Row],[Winter Blanket]]&gt;0,1,0)</f>
        <v>0</v>
      </c>
      <c r="AN117" s="331">
        <f>IF(NFI_Expiration=1,IF($A117&lt;VLOOKUP(V$5,NFI,5,0),1,0)*Table_NFI[[#This Row],[Jerry Can]],Table_NFI[Jerry Can])</f>
        <v>0</v>
      </c>
      <c r="AO117" s="331">
        <f>IF(NFI_Expiration=1,IF($A117&lt;VLOOKUP(V$5,NFI,5,0),1,0)*Table_NFI[[#This Row],[Shelter Tool kit]],Table_NFI[Shelter Tool kit])</f>
        <v>0</v>
      </c>
      <c r="AP117" s="331">
        <f>IF(NFI_Expiration=1,IF($A117&lt;VLOOKUP(V$5,NFI,5,0),1,0)*Table_NFI[[#This Row],[Tent]],Table_NFI[Tent])</f>
        <v>0</v>
      </c>
      <c r="AQ117" s="473" t="str">
        <f>IFERROR(VLOOKUP(Table_NFI[[#This Row],[Camp Name]],CL,2,0),"")</f>
        <v>MMR001CMP206</v>
      </c>
      <c r="AR117" s="468">
        <f ca="1">IF(Table_NFI[[#This Row],[Pcode]]="","",IF(OFFSET(CampList[Opening Date],MATCH(Table_NFI[[#This Row],[Pcode]],CampList[CP_Pcode],0)-1,0,1,1)&gt;=NFI_Monitor_Date,1,0))</f>
        <v>0</v>
      </c>
      <c r="AS117" s="473" t="str">
        <f>IFERROR(VLOOKUP(Table_NFI[[#This Row],[Camp Name]],CL,3,0),"")</f>
        <v>Open</v>
      </c>
      <c r="AT117" s="294" t="str">
        <f ca="1">IF(Table_NFI[[#This Row],[Pcode]]="","",OFFSET(CampList[Priority],MATCH(Table_NFI[[#This Row],[Pcode]],CampList[CP_Pcode],0)-1,0,1,1))</f>
        <v>P4</v>
      </c>
      <c r="AU117" s="293">
        <f>IFERROR(Table_NFI[[#This Row],[Kitchen Set]]/VLOOKUP(Table_NFI[[#This Row],[Camp Name]],CL,4,0),"")</f>
        <v>0</v>
      </c>
      <c r="AV117" s="466" t="s">
        <v>1092</v>
      </c>
      <c r="AW117" s="474" t="s">
        <v>1322</v>
      </c>
    </row>
    <row r="118" spans="1:49" s="470" customFormat="1" ht="14.45" customHeight="1" x14ac:dyDescent="0.25">
      <c r="A118" s="297">
        <f t="shared" si="1"/>
        <v>16.333333333333332</v>
      </c>
      <c r="B118" s="465">
        <v>42185</v>
      </c>
      <c r="C118" s="466" t="s">
        <v>905</v>
      </c>
      <c r="D118" s="466" t="s">
        <v>905</v>
      </c>
      <c r="E118" s="466" t="s">
        <v>380</v>
      </c>
      <c r="F118" s="290" t="s">
        <v>5</v>
      </c>
      <c r="G118" s="290" t="s">
        <v>6</v>
      </c>
      <c r="H118" s="291"/>
      <c r="I118" s="291"/>
      <c r="J118" s="294"/>
      <c r="K118" s="291"/>
      <c r="L118" s="292"/>
      <c r="M118" s="292"/>
      <c r="N118" s="292"/>
      <c r="O118" s="292"/>
      <c r="P118" s="294"/>
      <c r="Q118" s="294"/>
      <c r="R118" s="294"/>
      <c r="S118" s="294"/>
      <c r="T118" s="294"/>
      <c r="U118" s="294"/>
      <c r="V118" s="331">
        <v>3</v>
      </c>
      <c r="W118" s="294"/>
      <c r="X118" s="294"/>
      <c r="Y118" s="294">
        <f>IF(NFI_Expiration=1,IF($A118&lt;VLOOKUP(H$5,NFI,5,0),1,0)*Table_NFI[[#This Row],[Hygiene Kit]],Table_NFI[Hygiene Kit])</f>
        <v>0</v>
      </c>
      <c r="Z118" s="294">
        <f>IF(NFI_Expiration=1,IF($A118&lt;VLOOKUP(I$5,NFI,5,0),1,0)*Table_NFI[[#This Row],[NFI Core Kit]],Table_NFI[NFI Core Kit])</f>
        <v>0</v>
      </c>
      <c r="AA118" s="294">
        <f>IF(NFI_Expiration=1,IF($A118&lt;VLOOKUP(J$5,NFI,5,0),1,0)*Table_NFI[[#This Row],[Sanitary Kit]],Table_NFI[Sanitary Kit])</f>
        <v>0</v>
      </c>
      <c r="AB118" s="294">
        <f>IF(NFI_Expiration=1,IF($A118&lt;VLOOKUP(K$5,NFI,5,0),1,0)*Table_NFI[[#This Row],[Mosquito net]],Table_NFI[Mosquito net])</f>
        <v>0</v>
      </c>
      <c r="AC118" s="294">
        <f>IF(NFI_Expiration=1,IF($A118&lt;VLOOKUP(L$5,NFI,5,0),1,0)*Table_NFI[[#This Row],[Tarpaulin]],Table_NFI[[#This Row],[Tarpaulin]])</f>
        <v>0</v>
      </c>
      <c r="AD118" s="294">
        <f>IF(NFI_Expiration=1,IF($A118&lt;VLOOKUP(M$5,NFI,5,0),1,0)*Table_NFI[[#This Row],[Blanket]],Table_NFI[[#This Row],[Blanket]])</f>
        <v>0</v>
      </c>
      <c r="AE118" s="294">
        <f>IF(NFI_Expiration=1,IF($A118&lt;VLOOKUP(N$5,NFI,5,0),1,0)*Table_NFI[[#This Row],[Kitchen Set]],Table_NFI[Kitchen Set])</f>
        <v>0</v>
      </c>
      <c r="AF118" s="294">
        <f>IF(NFI_Expiration=1,IF($A118&lt;VLOOKUP(O$5,NFI,5,0),1,0)*Table_NFI[[#This Row],[Clothes Kit]],Table_NFI[Clothes Kit])</f>
        <v>0</v>
      </c>
      <c r="AG118" s="294">
        <f>IF(NFI_Expiration=1,IF($A118&lt;VLOOKUP(P$5,NFI,5,0),1,0)*Table_NFI[[#This Row],[Plastic Bucket]],Table_NFI[Plastic Bucket])</f>
        <v>0</v>
      </c>
      <c r="AH118" s="294">
        <f>IF(NFI_Expiration=1,IF($A118&lt;VLOOKUP(Q$5,NFI,5,0),1,0)*Table_NFI[[#This Row],[Plastic Mat]],Table_NFI[Plastic Mat])*IF(Table_NFI[[#This Row],[Distribution Date]]&gt;"2014-04-01",1,2.5)</f>
        <v>0</v>
      </c>
      <c r="AI118" s="294">
        <f>IF(NFI_Expiration=1,IF($A118&lt;VLOOKUP(R$5,NFI,5,0),1,0)*Table_NFI[[#This Row],[Winter Clothes Adult]],Table_NFI[Winter Clothes Adult])</f>
        <v>0</v>
      </c>
      <c r="AJ118" s="294">
        <f>IF(NFI_Expiration=1,IF($A118&lt;VLOOKUP(S$5,NFI,5,0),1,0)*Table_NFI[[#This Row],[Winter Clothes Children]],Table_NFI[Winter Clothes Children])</f>
        <v>0</v>
      </c>
      <c r="AK118" s="294">
        <f>IF(NFI_Expiration=1,IF($A118&lt;VLOOKUP(T$5,NFI,5,0),1,0)*Table_NFI[[#This Row],[Winter Items Other]],Table_NFI[Winter Items Other])</f>
        <v>0</v>
      </c>
      <c r="AL118" s="294">
        <f>IF(NFI_Expiration=1,IF($A118&lt;VLOOKUP(M$5,NFI,5,0),1,0)*Table_NFI[[#This Row],[Winter Blanket]],Table_NFI[[#This Row],[Winter Blanket]])</f>
        <v>0</v>
      </c>
      <c r="AM118" s="294">
        <f>IF(Table_NFI[[#This Row],[Winter Clothes Adult]]+Table_NFI[[#This Row],[Winter Clothes Children]]+Table_NFI[[#This Row],[Winter Items Other]]+Table_NFI[[#This Row],[Winter Blanket]]&gt;0,1,0)</f>
        <v>0</v>
      </c>
      <c r="AN118" s="331">
        <f>IF(NFI_Expiration=1,IF($A118&lt;VLOOKUP(V$5,NFI,5,0),1,0)*Table_NFI[[#This Row],[Jerry Can]],Table_NFI[Jerry Can])</f>
        <v>0</v>
      </c>
      <c r="AO118" s="331">
        <f>IF(NFI_Expiration=1,IF($A118&lt;VLOOKUP(V$5,NFI,5,0),1,0)*Table_NFI[[#This Row],[Shelter Tool kit]],Table_NFI[Shelter Tool kit])</f>
        <v>0</v>
      </c>
      <c r="AP118" s="331">
        <f>IF(NFI_Expiration=1,IF($A118&lt;VLOOKUP(V$5,NFI,5,0),1,0)*Table_NFI[[#This Row],[Tent]],Table_NFI[Tent])</f>
        <v>0</v>
      </c>
      <c r="AQ118" s="473" t="str">
        <f>IFERROR(VLOOKUP(Table_NFI[[#This Row],[Camp Name]],CL,2,0),"")</f>
        <v>MMR001CMP050</v>
      </c>
      <c r="AR118" s="468">
        <f ca="1">IF(Table_NFI[[#This Row],[Pcode]]="","",IF(OFFSET(CampList[Opening Date],MATCH(Table_NFI[[#This Row],[Pcode]],CampList[CP_Pcode],0)-1,0,1,1)&gt;=NFI_Monitor_Date,1,0))</f>
        <v>0</v>
      </c>
      <c r="AS118" s="473" t="str">
        <f>IFERROR(VLOOKUP(Table_NFI[[#This Row],[Camp Name]],CL,3,0),"")</f>
        <v>Open</v>
      </c>
      <c r="AT118" s="294" t="str">
        <f ca="1">IF(Table_NFI[[#This Row],[Pcode]]="","",OFFSET(CampList[Priority],MATCH(Table_NFI[[#This Row],[Pcode]],CampList[CP_Pcode],0)-1,0,1,1))</f>
        <v>P4</v>
      </c>
      <c r="AU118" s="293">
        <f>IFERROR(Table_NFI[[#This Row],[Kitchen Set]]/VLOOKUP(Table_NFI[[#This Row],[Camp Name]],CL,4,0),"")</f>
        <v>0</v>
      </c>
      <c r="AV118" s="466"/>
      <c r="AW118" s="469"/>
    </row>
    <row r="119" spans="1:49" s="470" customFormat="1" ht="14.45" customHeight="1" x14ac:dyDescent="0.2">
      <c r="A119" s="297">
        <f t="shared" si="1"/>
        <v>16.333333333333332</v>
      </c>
      <c r="B119" s="465">
        <v>42185</v>
      </c>
      <c r="C119" s="466" t="s">
        <v>905</v>
      </c>
      <c r="D119" s="467" t="s">
        <v>905</v>
      </c>
      <c r="E119" s="466" t="s">
        <v>380</v>
      </c>
      <c r="F119" s="290" t="s">
        <v>310</v>
      </c>
      <c r="G119" s="290" t="s">
        <v>1248</v>
      </c>
      <c r="H119" s="292"/>
      <c r="I119" s="292"/>
      <c r="J119" s="584">
        <v>825</v>
      </c>
      <c r="K119" s="292"/>
      <c r="L119" s="292"/>
      <c r="M119" s="292"/>
      <c r="N119" s="292"/>
      <c r="O119" s="292"/>
      <c r="P119" s="294"/>
      <c r="Q119" s="294"/>
      <c r="R119" s="294"/>
      <c r="S119" s="294"/>
      <c r="T119" s="294"/>
      <c r="U119" s="294"/>
      <c r="V119" s="431"/>
      <c r="W119" s="294"/>
      <c r="X119" s="294"/>
      <c r="Y119" s="294">
        <f>IF(NFI_Expiration=1,IF($A119&lt;VLOOKUP(H$5,NFI,5,0),1,0)*Table_NFI[[#This Row],[Hygiene Kit]],Table_NFI[Hygiene Kit])</f>
        <v>0</v>
      </c>
      <c r="Z119" s="294">
        <f>IF(NFI_Expiration=1,IF($A119&lt;VLOOKUP(I$5,NFI,5,0),1,0)*Table_NFI[[#This Row],[NFI Core Kit]],Table_NFI[NFI Core Kit])</f>
        <v>0</v>
      </c>
      <c r="AA119" s="294">
        <f>IF(NFI_Expiration=1,IF($A119&lt;VLOOKUP(J$5,NFI,5,0),1,0)*Table_NFI[[#This Row],[Sanitary Kit]],Table_NFI[Sanitary Kit])</f>
        <v>0</v>
      </c>
      <c r="AB119" s="294">
        <f>IF(NFI_Expiration=1,IF($A119&lt;VLOOKUP(K$5,NFI,5,0),1,0)*Table_NFI[[#This Row],[Mosquito net]],Table_NFI[Mosquito net])</f>
        <v>0</v>
      </c>
      <c r="AC119" s="294">
        <f>IF(NFI_Expiration=1,IF($A119&lt;VLOOKUP(L$5,NFI,5,0),1,0)*Table_NFI[[#This Row],[Tarpaulin]],Table_NFI[[#This Row],[Tarpaulin]])</f>
        <v>0</v>
      </c>
      <c r="AD119" s="294">
        <f>IF(NFI_Expiration=1,IF($A119&lt;VLOOKUP(M$5,NFI,5,0),1,0)*Table_NFI[[#This Row],[Blanket]],Table_NFI[[#This Row],[Blanket]])</f>
        <v>0</v>
      </c>
      <c r="AE119" s="294">
        <f>IF(NFI_Expiration=1,IF($A119&lt;VLOOKUP(N$5,NFI,5,0),1,0)*Table_NFI[[#This Row],[Kitchen Set]],Table_NFI[Kitchen Set])</f>
        <v>0</v>
      </c>
      <c r="AF119" s="294">
        <f>IF(NFI_Expiration=1,IF($A119&lt;VLOOKUP(O$5,NFI,5,0),1,0)*Table_NFI[[#This Row],[Clothes Kit]],Table_NFI[Clothes Kit])</f>
        <v>0</v>
      </c>
      <c r="AG119" s="294">
        <f>IF(NFI_Expiration=1,IF($A119&lt;VLOOKUP(P$5,NFI,5,0),1,0)*Table_NFI[[#This Row],[Plastic Bucket]],Table_NFI[Plastic Bucket])</f>
        <v>0</v>
      </c>
      <c r="AH119" s="294">
        <f>IF(NFI_Expiration=1,IF($A119&lt;VLOOKUP(Q$5,NFI,5,0),1,0)*Table_NFI[[#This Row],[Plastic Mat]],Table_NFI[Plastic Mat])*IF(Table_NFI[[#This Row],[Distribution Date]]&gt;"2014-04-01",1,2.5)</f>
        <v>0</v>
      </c>
      <c r="AI119" s="294">
        <f>IF(NFI_Expiration=1,IF($A119&lt;VLOOKUP(R$5,NFI,5,0),1,0)*Table_NFI[[#This Row],[Winter Clothes Adult]],Table_NFI[Winter Clothes Adult])</f>
        <v>0</v>
      </c>
      <c r="AJ119" s="294">
        <f>IF(NFI_Expiration=1,IF($A119&lt;VLOOKUP(S$5,NFI,5,0),1,0)*Table_NFI[[#This Row],[Winter Clothes Children]],Table_NFI[Winter Clothes Children])</f>
        <v>0</v>
      </c>
      <c r="AK119" s="294">
        <f>IF(NFI_Expiration=1,IF($A119&lt;VLOOKUP(T$5,NFI,5,0),1,0)*Table_NFI[[#This Row],[Winter Items Other]],Table_NFI[Winter Items Other])</f>
        <v>0</v>
      </c>
      <c r="AL119" s="294">
        <f>IF(NFI_Expiration=1,IF($A119&lt;VLOOKUP(M$5,NFI,5,0),1,0)*Table_NFI[[#This Row],[Winter Blanket]],Table_NFI[[#This Row],[Winter Blanket]])</f>
        <v>0</v>
      </c>
      <c r="AM119" s="294">
        <f>IF(Table_NFI[[#This Row],[Winter Clothes Adult]]+Table_NFI[[#This Row],[Winter Clothes Children]]+Table_NFI[[#This Row],[Winter Items Other]]+Table_NFI[[#This Row],[Winter Blanket]]&gt;0,1,0)</f>
        <v>0</v>
      </c>
      <c r="AN119" s="331">
        <f>IF(NFI_Expiration=1,IF($A119&lt;VLOOKUP(V$5,NFI,5,0),1,0)*Table_NFI[[#This Row],[Jerry Can]],Table_NFI[Jerry Can])</f>
        <v>0</v>
      </c>
      <c r="AO119" s="331">
        <f>IF(NFI_Expiration=1,IF($A119&lt;VLOOKUP(V$5,NFI,5,0),1,0)*Table_NFI[[#This Row],[Shelter Tool kit]],Table_NFI[Shelter Tool kit])</f>
        <v>0</v>
      </c>
      <c r="AP119" s="331">
        <f>IF(NFI_Expiration=1,IF($A119&lt;VLOOKUP(V$5,NFI,5,0),1,0)*Table_NFI[[#This Row],[Tent]],Table_NFI[Tent])</f>
        <v>0</v>
      </c>
      <c r="AQ119" s="473" t="str">
        <f>IFERROR(VLOOKUP(Table_NFI[[#This Row],[Camp Name]],CL,2,0),"")</f>
        <v>MMR001CMP117</v>
      </c>
      <c r="AR119" s="468">
        <f ca="1">IF(Table_NFI[[#This Row],[Pcode]]="","",IF(OFFSET(CampList[Opening Date],MATCH(Table_NFI[[#This Row],[Pcode]],CampList[CP_Pcode],0)-1,0,1,1)&gt;=NFI_Monitor_Date,1,0))</f>
        <v>0</v>
      </c>
      <c r="AS119" s="473" t="str">
        <f>IFERROR(VLOOKUP(Table_NFI[[#This Row],[Camp Name]],CL,3,0),"")</f>
        <v>Closed</v>
      </c>
      <c r="AT119" s="294" t="str">
        <f ca="1">IF(Table_NFI[[#This Row],[Pcode]]="","",OFFSET(CampList[Priority],MATCH(Table_NFI[[#This Row],[Pcode]],CampList[CP_Pcode],0)-1,0,1,1))</f>
        <v>P2</v>
      </c>
      <c r="AU119" s="293" t="str">
        <f>IFERROR(Table_NFI[[#This Row],[Kitchen Set]]/VLOOKUP(Table_NFI[[#This Row],[Camp Name]],CL,4,0),"")</f>
        <v/>
      </c>
      <c r="AV119" s="466"/>
      <c r="AW119" s="474"/>
    </row>
    <row r="120" spans="1:49" s="470" customFormat="1" ht="14.45" customHeight="1" x14ac:dyDescent="0.25">
      <c r="A120" s="297">
        <f t="shared" si="1"/>
        <v>16.333333333333332</v>
      </c>
      <c r="B120" s="465">
        <v>42185</v>
      </c>
      <c r="C120" s="466" t="s">
        <v>905</v>
      </c>
      <c r="D120" s="466" t="s">
        <v>905</v>
      </c>
      <c r="E120" s="466" t="s">
        <v>380</v>
      </c>
      <c r="F120" s="290" t="s">
        <v>185</v>
      </c>
      <c r="G120" s="290" t="s">
        <v>1437</v>
      </c>
      <c r="H120" s="291"/>
      <c r="I120" s="291"/>
      <c r="J120" s="292"/>
      <c r="K120" s="291"/>
      <c r="L120" s="292"/>
      <c r="M120" s="292"/>
      <c r="N120" s="292"/>
      <c r="O120" s="292"/>
      <c r="P120" s="294"/>
      <c r="Q120" s="294"/>
      <c r="R120" s="294"/>
      <c r="S120" s="294"/>
      <c r="T120" s="294"/>
      <c r="U120" s="294"/>
      <c r="V120" s="331">
        <v>2</v>
      </c>
      <c r="W120" s="294"/>
      <c r="X120" s="294"/>
      <c r="Y120" s="294">
        <f>IF(NFI_Expiration=1,IF($A120&lt;VLOOKUP(H$5,NFI,5,0),1,0)*Table_NFI[[#This Row],[Hygiene Kit]],Table_NFI[Hygiene Kit])</f>
        <v>0</v>
      </c>
      <c r="Z120" s="294">
        <f>IF(NFI_Expiration=1,IF($A120&lt;VLOOKUP(I$5,NFI,5,0),1,0)*Table_NFI[[#This Row],[NFI Core Kit]],Table_NFI[NFI Core Kit])</f>
        <v>0</v>
      </c>
      <c r="AA120" s="294">
        <f>IF(NFI_Expiration=1,IF($A120&lt;VLOOKUP(J$5,NFI,5,0),1,0)*Table_NFI[[#This Row],[Sanitary Kit]],Table_NFI[Sanitary Kit])</f>
        <v>0</v>
      </c>
      <c r="AB120" s="294">
        <f>IF(NFI_Expiration=1,IF($A120&lt;VLOOKUP(K$5,NFI,5,0),1,0)*Table_NFI[[#This Row],[Mosquito net]],Table_NFI[Mosquito net])</f>
        <v>0</v>
      </c>
      <c r="AC120" s="294">
        <f>IF(NFI_Expiration=1,IF($A120&lt;VLOOKUP(L$5,NFI,5,0),1,0)*Table_NFI[[#This Row],[Tarpaulin]],Table_NFI[[#This Row],[Tarpaulin]])</f>
        <v>0</v>
      </c>
      <c r="AD120" s="294">
        <f>IF(NFI_Expiration=1,IF($A120&lt;VLOOKUP(M$5,NFI,5,0),1,0)*Table_NFI[[#This Row],[Blanket]],Table_NFI[[#This Row],[Blanket]])</f>
        <v>0</v>
      </c>
      <c r="AE120" s="294">
        <f>IF(NFI_Expiration=1,IF($A120&lt;VLOOKUP(N$5,NFI,5,0),1,0)*Table_NFI[[#This Row],[Kitchen Set]],Table_NFI[Kitchen Set])</f>
        <v>0</v>
      </c>
      <c r="AF120" s="294">
        <f>IF(NFI_Expiration=1,IF($A120&lt;VLOOKUP(O$5,NFI,5,0),1,0)*Table_NFI[[#This Row],[Clothes Kit]],Table_NFI[Clothes Kit])</f>
        <v>0</v>
      </c>
      <c r="AG120" s="294">
        <f>IF(NFI_Expiration=1,IF($A120&lt;VLOOKUP(P$5,NFI,5,0),1,0)*Table_NFI[[#This Row],[Plastic Bucket]],Table_NFI[Plastic Bucket])</f>
        <v>0</v>
      </c>
      <c r="AH120" s="294">
        <f>IF(NFI_Expiration=1,IF($A120&lt;VLOOKUP(Q$5,NFI,5,0),1,0)*Table_NFI[[#This Row],[Plastic Mat]],Table_NFI[Plastic Mat])*IF(Table_NFI[[#This Row],[Distribution Date]]&gt;"2014-04-01",1,2.5)</f>
        <v>0</v>
      </c>
      <c r="AI120" s="294">
        <f>IF(NFI_Expiration=1,IF($A120&lt;VLOOKUP(R$5,NFI,5,0),1,0)*Table_NFI[[#This Row],[Winter Clothes Adult]],Table_NFI[Winter Clothes Adult])</f>
        <v>0</v>
      </c>
      <c r="AJ120" s="294">
        <f>IF(NFI_Expiration=1,IF($A120&lt;VLOOKUP(S$5,NFI,5,0),1,0)*Table_NFI[[#This Row],[Winter Clothes Children]],Table_NFI[Winter Clothes Children])</f>
        <v>0</v>
      </c>
      <c r="AK120" s="294">
        <f>IF(NFI_Expiration=1,IF($A120&lt;VLOOKUP(T$5,NFI,5,0),1,0)*Table_NFI[[#This Row],[Winter Items Other]],Table_NFI[Winter Items Other])</f>
        <v>0</v>
      </c>
      <c r="AL120" s="294">
        <f>IF(NFI_Expiration=1,IF($A120&lt;VLOOKUP(M$5,NFI,5,0),1,0)*Table_NFI[[#This Row],[Winter Blanket]],Table_NFI[[#This Row],[Winter Blanket]])</f>
        <v>0</v>
      </c>
      <c r="AM120" s="294">
        <f>IF(Table_NFI[[#This Row],[Winter Clothes Adult]]+Table_NFI[[#This Row],[Winter Clothes Children]]+Table_NFI[[#This Row],[Winter Items Other]]+Table_NFI[[#This Row],[Winter Blanket]]&gt;0,1,0)</f>
        <v>0</v>
      </c>
      <c r="AN120" s="331">
        <f>IF(NFI_Expiration=1,IF($A120&lt;VLOOKUP(V$5,NFI,5,0),1,0)*Table_NFI[[#This Row],[Jerry Can]],Table_NFI[Jerry Can])</f>
        <v>0</v>
      </c>
      <c r="AO120" s="331">
        <f>IF(NFI_Expiration=1,IF($A120&lt;VLOOKUP(V$5,NFI,5,0),1,0)*Table_NFI[[#This Row],[Shelter Tool kit]],Table_NFI[Shelter Tool kit])</f>
        <v>0</v>
      </c>
      <c r="AP120" s="331">
        <f>IF(NFI_Expiration=1,IF($A120&lt;VLOOKUP(V$5,NFI,5,0),1,0)*Table_NFI[[#This Row],[Tent]],Table_NFI[Tent])</f>
        <v>0</v>
      </c>
      <c r="AQ120" s="473" t="str">
        <f>IFERROR(VLOOKUP(Table_NFI[[#This Row],[Camp Name]],CL,2,0),"")</f>
        <v/>
      </c>
      <c r="AR120" s="468" t="str">
        <f ca="1">IF(Table_NFI[[#This Row],[Pcode]]="","",IF(OFFSET(CampList[Opening Date],MATCH(Table_NFI[[#This Row],[Pcode]],CampList[CP_Pcode],0)-1,0,1,1)&gt;=NFI_Monitor_Date,1,0))</f>
        <v/>
      </c>
      <c r="AS120" s="670" t="str">
        <f>IFERROR(VLOOKUP(Table_NFI[[#This Row],[Camp Name]],CL,3,0),"")</f>
        <v/>
      </c>
      <c r="AT120" s="294" t="str">
        <f ca="1">IF(Table_NFI[[#This Row],[Pcode]]="","",OFFSET(CampList[Priority],MATCH(Table_NFI[[#This Row],[Pcode]],CampList[CP_Pcode],0)-1,0,1,1))</f>
        <v/>
      </c>
      <c r="AU120" s="293" t="str">
        <f>IFERROR(Table_NFI[[#This Row],[Kitchen Set]]/VLOOKUP(Table_NFI[[#This Row],[Camp Name]],CL,4,0),"")</f>
        <v/>
      </c>
      <c r="AV120" s="466"/>
      <c r="AW120" s="469"/>
    </row>
    <row r="121" spans="1:49" s="470" customFormat="1" ht="14.45" customHeight="1" x14ac:dyDescent="0.2">
      <c r="A121" s="297">
        <f t="shared" si="1"/>
        <v>16.333333333333332</v>
      </c>
      <c r="B121" s="465">
        <v>42185</v>
      </c>
      <c r="C121" s="466" t="s">
        <v>905</v>
      </c>
      <c r="D121" s="466" t="s">
        <v>905</v>
      </c>
      <c r="E121" s="466" t="s">
        <v>380</v>
      </c>
      <c r="F121" s="466" t="s">
        <v>5</v>
      </c>
      <c r="G121" s="466" t="s">
        <v>366</v>
      </c>
      <c r="H121" s="291"/>
      <c r="I121" s="291"/>
      <c r="J121" s="291"/>
      <c r="K121" s="291"/>
      <c r="L121" s="292"/>
      <c r="M121" s="292"/>
      <c r="N121" s="292"/>
      <c r="O121" s="292"/>
      <c r="P121" s="294"/>
      <c r="Q121" s="294"/>
      <c r="R121" s="294"/>
      <c r="S121" s="294"/>
      <c r="T121" s="294"/>
      <c r="U121" s="294"/>
      <c r="V121" s="621">
        <v>5</v>
      </c>
      <c r="W121" s="294"/>
      <c r="X121" s="294"/>
      <c r="Y121" s="294">
        <f>IF(NFI_Expiration=1,IF($A121&lt;VLOOKUP(H$5,NFI,5,0),1,0)*Table_NFI[[#This Row],[Hygiene Kit]],Table_NFI[Hygiene Kit])</f>
        <v>0</v>
      </c>
      <c r="Z121" s="294">
        <f>IF(NFI_Expiration=1,IF($A121&lt;VLOOKUP(I$5,NFI,5,0),1,0)*Table_NFI[[#This Row],[NFI Core Kit]],Table_NFI[NFI Core Kit])</f>
        <v>0</v>
      </c>
      <c r="AA121" s="294">
        <f>IF(NFI_Expiration=1,IF($A121&lt;VLOOKUP(J$5,NFI,5,0),1,0)*Table_NFI[[#This Row],[Sanitary Kit]],Table_NFI[Sanitary Kit])</f>
        <v>0</v>
      </c>
      <c r="AB121" s="294">
        <f>IF(NFI_Expiration=1,IF($A121&lt;VLOOKUP(K$5,NFI,5,0),1,0)*Table_NFI[[#This Row],[Mosquito net]],Table_NFI[Mosquito net])</f>
        <v>0</v>
      </c>
      <c r="AC121" s="294">
        <f>IF(NFI_Expiration=1,IF($A121&lt;VLOOKUP(L$5,NFI,5,0),1,0)*Table_NFI[[#This Row],[Tarpaulin]],Table_NFI[[#This Row],[Tarpaulin]])</f>
        <v>0</v>
      </c>
      <c r="AD121" s="294">
        <f>IF(NFI_Expiration=1,IF($A121&lt;VLOOKUP(M$5,NFI,5,0),1,0)*Table_NFI[[#This Row],[Blanket]],Table_NFI[[#This Row],[Blanket]])</f>
        <v>0</v>
      </c>
      <c r="AE121" s="294">
        <f>IF(NFI_Expiration=1,IF($A121&lt;VLOOKUP(N$5,NFI,5,0),1,0)*Table_NFI[[#This Row],[Kitchen Set]],Table_NFI[Kitchen Set])</f>
        <v>0</v>
      </c>
      <c r="AF121" s="294">
        <f>IF(NFI_Expiration=1,IF($A121&lt;VLOOKUP(O$5,NFI,5,0),1,0)*Table_NFI[[#This Row],[Clothes Kit]],Table_NFI[Clothes Kit])</f>
        <v>0</v>
      </c>
      <c r="AG121" s="294">
        <f>IF(NFI_Expiration=1,IF($A121&lt;VLOOKUP(P$5,NFI,5,0),1,0)*Table_NFI[[#This Row],[Plastic Bucket]],Table_NFI[Plastic Bucket])</f>
        <v>0</v>
      </c>
      <c r="AH121" s="294">
        <f>IF(NFI_Expiration=1,IF($A121&lt;VLOOKUP(Q$5,NFI,5,0),1,0)*Table_NFI[[#This Row],[Plastic Mat]],Table_NFI[Plastic Mat])*IF(Table_NFI[[#This Row],[Distribution Date]]&gt;"2014-04-01",1,2.5)</f>
        <v>0</v>
      </c>
      <c r="AI121" s="294">
        <f>IF(NFI_Expiration=1,IF($A121&lt;VLOOKUP(R$5,NFI,5,0),1,0)*Table_NFI[[#This Row],[Winter Clothes Adult]],Table_NFI[Winter Clothes Adult])</f>
        <v>0</v>
      </c>
      <c r="AJ121" s="294">
        <f>IF(NFI_Expiration=1,IF($A121&lt;VLOOKUP(S$5,NFI,5,0),1,0)*Table_NFI[[#This Row],[Winter Clothes Children]],Table_NFI[Winter Clothes Children])</f>
        <v>0</v>
      </c>
      <c r="AK121" s="294">
        <f>IF(NFI_Expiration=1,IF($A121&lt;VLOOKUP(T$5,NFI,5,0),1,0)*Table_NFI[[#This Row],[Winter Items Other]],Table_NFI[Winter Items Other])</f>
        <v>0</v>
      </c>
      <c r="AL121" s="294">
        <f>IF(NFI_Expiration=1,IF($A121&lt;VLOOKUP(M$5,NFI,5,0),1,0)*Table_NFI[[#This Row],[Winter Blanket]],Table_NFI[[#This Row],[Winter Blanket]])</f>
        <v>0</v>
      </c>
      <c r="AM121" s="294">
        <f>IF(Table_NFI[[#This Row],[Winter Clothes Adult]]+Table_NFI[[#This Row],[Winter Clothes Children]]+Table_NFI[[#This Row],[Winter Items Other]]+Table_NFI[[#This Row],[Winter Blanket]]&gt;0,1,0)</f>
        <v>0</v>
      </c>
      <c r="AN121" s="331">
        <f>IF(NFI_Expiration=1,IF($A121&lt;VLOOKUP(V$5,NFI,5,0),1,0)*Table_NFI[[#This Row],[Jerry Can]],Table_NFI[Jerry Can])</f>
        <v>0</v>
      </c>
      <c r="AO121" s="331">
        <f>IF(NFI_Expiration=1,IF($A121&lt;VLOOKUP(V$5,NFI,5,0),1,0)*Table_NFI[[#This Row],[Shelter Tool kit]],Table_NFI[Shelter Tool kit])</f>
        <v>0</v>
      </c>
      <c r="AP121" s="331">
        <f>IF(NFI_Expiration=1,IF($A121&lt;VLOOKUP(V$5,NFI,5,0),1,0)*Table_NFI[[#This Row],[Tent]],Table_NFI[Tent])</f>
        <v>0</v>
      </c>
      <c r="AQ121" s="473" t="str">
        <f>IFERROR(VLOOKUP(Table_NFI[[#This Row],[Camp Name]],CL,2,0),"")</f>
        <v>MMR001CMP193</v>
      </c>
      <c r="AR121" s="468">
        <f ca="1">IF(Table_NFI[[#This Row],[Pcode]]="","",IF(OFFSET(CampList[Opening Date],MATCH(Table_NFI[[#This Row],[Pcode]],CampList[CP_Pcode],0)-1,0,1,1)&gt;=NFI_Monitor_Date,1,0))</f>
        <v>0</v>
      </c>
      <c r="AS121" s="473" t="str">
        <f>IFERROR(VLOOKUP(Table_NFI[[#This Row],[Camp Name]],CL,3,0),"")</f>
        <v>Open</v>
      </c>
      <c r="AT121" s="294" t="str">
        <f ca="1">IF(Table_NFI[[#This Row],[Pcode]]="","",OFFSET(CampList[Priority],MATCH(Table_NFI[[#This Row],[Pcode]],CampList[CP_Pcode],0)-1,0,1,1))</f>
        <v>P4</v>
      </c>
      <c r="AU121" s="293">
        <f>IFERROR(Table_NFI[[#This Row],[Kitchen Set]]/VLOOKUP(Table_NFI[[#This Row],[Camp Name]],CL,4,0),"")</f>
        <v>0</v>
      </c>
      <c r="AV121" s="466"/>
      <c r="AW121" s="469"/>
    </row>
    <row r="122" spans="1:49" s="470" customFormat="1" ht="14.45" customHeight="1" x14ac:dyDescent="0.2">
      <c r="A122" s="297">
        <f t="shared" si="1"/>
        <v>16.366666666666667</v>
      </c>
      <c r="B122" s="465">
        <v>42184</v>
      </c>
      <c r="C122" s="466" t="s">
        <v>905</v>
      </c>
      <c r="D122" s="466" t="s">
        <v>460</v>
      </c>
      <c r="E122" s="466" t="s">
        <v>380</v>
      </c>
      <c r="F122" s="466" t="s">
        <v>185</v>
      </c>
      <c r="G122" s="290" t="s">
        <v>196</v>
      </c>
      <c r="H122" s="291"/>
      <c r="I122" s="291"/>
      <c r="J122" s="584">
        <v>2350</v>
      </c>
      <c r="K122" s="291"/>
      <c r="L122" s="292"/>
      <c r="M122" s="292"/>
      <c r="N122" s="292"/>
      <c r="O122" s="292"/>
      <c r="P122" s="294"/>
      <c r="Q122" s="294"/>
      <c r="R122" s="294"/>
      <c r="S122" s="294"/>
      <c r="T122" s="294"/>
      <c r="U122" s="294"/>
      <c r="V122" s="431"/>
      <c r="W122" s="294"/>
      <c r="X122" s="294"/>
      <c r="Y122" s="294">
        <f>IF(NFI_Expiration=1,IF($A122&lt;VLOOKUP(H$5,NFI,5,0),1,0)*Table_NFI[[#This Row],[Hygiene Kit]],Table_NFI[Hygiene Kit])</f>
        <v>0</v>
      </c>
      <c r="Z122" s="294">
        <f>IF(NFI_Expiration=1,IF($A122&lt;VLOOKUP(I$5,NFI,5,0),1,0)*Table_NFI[[#This Row],[NFI Core Kit]],Table_NFI[NFI Core Kit])</f>
        <v>0</v>
      </c>
      <c r="AA122" s="294">
        <f>IF(NFI_Expiration=1,IF($A122&lt;VLOOKUP(J$5,NFI,5,0),1,0)*Table_NFI[[#This Row],[Sanitary Kit]],Table_NFI[Sanitary Kit])</f>
        <v>0</v>
      </c>
      <c r="AB122" s="294">
        <f>IF(NFI_Expiration=1,IF($A122&lt;VLOOKUP(K$5,NFI,5,0),1,0)*Table_NFI[[#This Row],[Mosquito net]],Table_NFI[Mosquito net])</f>
        <v>0</v>
      </c>
      <c r="AC122" s="294">
        <f>IF(NFI_Expiration=1,IF($A122&lt;VLOOKUP(L$5,NFI,5,0),1,0)*Table_NFI[[#This Row],[Tarpaulin]],Table_NFI[[#This Row],[Tarpaulin]])</f>
        <v>0</v>
      </c>
      <c r="AD122" s="294">
        <f>IF(NFI_Expiration=1,IF($A122&lt;VLOOKUP(M$5,NFI,5,0),1,0)*Table_NFI[[#This Row],[Blanket]],Table_NFI[[#This Row],[Blanket]])</f>
        <v>0</v>
      </c>
      <c r="AE122" s="294">
        <f>IF(NFI_Expiration=1,IF($A122&lt;VLOOKUP(N$5,NFI,5,0),1,0)*Table_NFI[[#This Row],[Kitchen Set]],Table_NFI[Kitchen Set])</f>
        <v>0</v>
      </c>
      <c r="AF122" s="294">
        <f>IF(NFI_Expiration=1,IF($A122&lt;VLOOKUP(O$5,NFI,5,0),1,0)*Table_NFI[[#This Row],[Clothes Kit]],Table_NFI[Clothes Kit])</f>
        <v>0</v>
      </c>
      <c r="AG122" s="294">
        <f>IF(NFI_Expiration=1,IF($A122&lt;VLOOKUP(P$5,NFI,5,0),1,0)*Table_NFI[[#This Row],[Plastic Bucket]],Table_NFI[Plastic Bucket])</f>
        <v>0</v>
      </c>
      <c r="AH122" s="294">
        <f>IF(NFI_Expiration=1,IF($A122&lt;VLOOKUP(Q$5,NFI,5,0),1,0)*Table_NFI[[#This Row],[Plastic Mat]],Table_NFI[Plastic Mat])*IF(Table_NFI[[#This Row],[Distribution Date]]&gt;"2014-04-01",1,2.5)</f>
        <v>0</v>
      </c>
      <c r="AI122" s="294">
        <f>IF(NFI_Expiration=1,IF($A122&lt;VLOOKUP(R$5,NFI,5,0),1,0)*Table_NFI[[#This Row],[Winter Clothes Adult]],Table_NFI[Winter Clothes Adult])</f>
        <v>0</v>
      </c>
      <c r="AJ122" s="294">
        <f>IF(NFI_Expiration=1,IF($A122&lt;VLOOKUP(S$5,NFI,5,0),1,0)*Table_NFI[[#This Row],[Winter Clothes Children]],Table_NFI[Winter Clothes Children])</f>
        <v>0</v>
      </c>
      <c r="AK122" s="294">
        <f>IF(NFI_Expiration=1,IF($A122&lt;VLOOKUP(T$5,NFI,5,0),1,0)*Table_NFI[[#This Row],[Winter Items Other]],Table_NFI[Winter Items Other])</f>
        <v>0</v>
      </c>
      <c r="AL122" s="294">
        <f>IF(NFI_Expiration=1,IF($A122&lt;VLOOKUP(M$5,NFI,5,0),1,0)*Table_NFI[[#This Row],[Winter Blanket]],Table_NFI[[#This Row],[Winter Blanket]])</f>
        <v>0</v>
      </c>
      <c r="AM122" s="294">
        <f>IF(Table_NFI[[#This Row],[Winter Clothes Adult]]+Table_NFI[[#This Row],[Winter Clothes Children]]+Table_NFI[[#This Row],[Winter Items Other]]+Table_NFI[[#This Row],[Winter Blanket]]&gt;0,1,0)</f>
        <v>0</v>
      </c>
      <c r="AN122" s="331">
        <f>IF(NFI_Expiration=1,IF($A122&lt;VLOOKUP(V$5,NFI,5,0),1,0)*Table_NFI[[#This Row],[Jerry Can]],Table_NFI[Jerry Can])</f>
        <v>0</v>
      </c>
      <c r="AO122" s="331">
        <f>IF(NFI_Expiration=1,IF($A122&lt;VLOOKUP(V$5,NFI,5,0),1,0)*Table_NFI[[#This Row],[Shelter Tool kit]],Table_NFI[Shelter Tool kit])</f>
        <v>0</v>
      </c>
      <c r="AP122" s="331">
        <f>IF(NFI_Expiration=1,IF($A122&lt;VLOOKUP(V$5,NFI,5,0),1,0)*Table_NFI[[#This Row],[Tent]],Table_NFI[Tent])</f>
        <v>0</v>
      </c>
      <c r="AQ122" s="473" t="str">
        <f>IFERROR(VLOOKUP(Table_NFI[[#This Row],[Camp Name]],CL,2,0),"")</f>
        <v>MMR001CMP121</v>
      </c>
      <c r="AR122" s="468">
        <f ca="1">IF(Table_NFI[[#This Row],[Pcode]]="","",IF(OFFSET(CampList[Opening Date],MATCH(Table_NFI[[#This Row],[Pcode]],CampList[CP_Pcode],0)-1,0,1,1)&gt;=NFI_Monitor_Date,1,0))</f>
        <v>0</v>
      </c>
      <c r="AS122" s="473" t="str">
        <f>IFERROR(VLOOKUP(Table_NFI[[#This Row],[Camp Name]],CL,3,0),"")</f>
        <v>Open</v>
      </c>
      <c r="AT122" s="294" t="str">
        <f ca="1">IF(Table_NFI[[#This Row],[Pcode]]="","",OFFSET(CampList[Priority],MATCH(Table_NFI[[#This Row],[Pcode]],CampList[CP_Pcode],0)-1,0,1,1))</f>
        <v>P2</v>
      </c>
      <c r="AU122" s="293">
        <f>IFERROR(Table_NFI[[#This Row],[Kitchen Set]]/VLOOKUP(Table_NFI[[#This Row],[Camp Name]],CL,4,0),"")</f>
        <v>0</v>
      </c>
      <c r="AV122" s="466"/>
      <c r="AW122" s="469"/>
    </row>
    <row r="123" spans="1:49" s="470" customFormat="1" ht="14.45" customHeight="1" x14ac:dyDescent="0.25">
      <c r="A123" s="297">
        <f t="shared" si="1"/>
        <v>17.2</v>
      </c>
      <c r="B123" s="465">
        <v>42159</v>
      </c>
      <c r="C123" s="467" t="s">
        <v>452</v>
      </c>
      <c r="D123" s="467" t="s">
        <v>460</v>
      </c>
      <c r="E123" s="466" t="s">
        <v>380</v>
      </c>
      <c r="F123" s="290" t="s">
        <v>5</v>
      </c>
      <c r="G123" s="290" t="s">
        <v>366</v>
      </c>
      <c r="H123" s="291"/>
      <c r="I123" s="291"/>
      <c r="J123" s="291"/>
      <c r="K123" s="291"/>
      <c r="L123" s="292">
        <v>37</v>
      </c>
      <c r="M123" s="292"/>
      <c r="N123" s="292"/>
      <c r="O123" s="292"/>
      <c r="P123" s="294"/>
      <c r="Q123" s="294"/>
      <c r="R123" s="294"/>
      <c r="S123" s="294"/>
      <c r="T123" s="294"/>
      <c r="U123" s="294"/>
      <c r="V123" s="431"/>
      <c r="W123" s="294"/>
      <c r="X123" s="294"/>
      <c r="Y123" s="294">
        <f>IF(NFI_Expiration=1,IF($A123&lt;VLOOKUP(H$5,NFI,5,0),1,0)*Table_NFI[[#This Row],[Hygiene Kit]],Table_NFI[Hygiene Kit])</f>
        <v>0</v>
      </c>
      <c r="Z123" s="294">
        <f>IF(NFI_Expiration=1,IF($A123&lt;VLOOKUP(I$5,NFI,5,0),1,0)*Table_NFI[[#This Row],[NFI Core Kit]],Table_NFI[NFI Core Kit])</f>
        <v>0</v>
      </c>
      <c r="AA123" s="294">
        <f>IF(NFI_Expiration=1,IF($A123&lt;VLOOKUP(J$5,NFI,5,0),1,0)*Table_NFI[[#This Row],[Sanitary Kit]],Table_NFI[Sanitary Kit])</f>
        <v>0</v>
      </c>
      <c r="AB123" s="294">
        <f>IF(NFI_Expiration=1,IF($A123&lt;VLOOKUP(K$5,NFI,5,0),1,0)*Table_NFI[[#This Row],[Mosquito net]],Table_NFI[Mosquito net])</f>
        <v>0</v>
      </c>
      <c r="AC123" s="294">
        <f>IF(NFI_Expiration=1,IF($A123&lt;VLOOKUP(L$5,NFI,5,0),1,0)*Table_NFI[[#This Row],[Tarpaulin]],Table_NFI[[#This Row],[Tarpaulin]])</f>
        <v>0</v>
      </c>
      <c r="AD123" s="294">
        <f>IF(NFI_Expiration=1,IF($A123&lt;VLOOKUP(M$5,NFI,5,0),1,0)*Table_NFI[[#This Row],[Blanket]],Table_NFI[[#This Row],[Blanket]])</f>
        <v>0</v>
      </c>
      <c r="AE123" s="294">
        <f>IF(NFI_Expiration=1,IF($A123&lt;VLOOKUP(N$5,NFI,5,0),1,0)*Table_NFI[[#This Row],[Kitchen Set]],Table_NFI[Kitchen Set])</f>
        <v>0</v>
      </c>
      <c r="AF123" s="294">
        <f>IF(NFI_Expiration=1,IF($A123&lt;VLOOKUP(O$5,NFI,5,0),1,0)*Table_NFI[[#This Row],[Clothes Kit]],Table_NFI[Clothes Kit])</f>
        <v>0</v>
      </c>
      <c r="AG123" s="294">
        <f>IF(NFI_Expiration=1,IF($A123&lt;VLOOKUP(P$5,NFI,5,0),1,0)*Table_NFI[[#This Row],[Plastic Bucket]],Table_NFI[Plastic Bucket])</f>
        <v>0</v>
      </c>
      <c r="AH123" s="294">
        <f>IF(NFI_Expiration=1,IF($A123&lt;VLOOKUP(Q$5,NFI,5,0),1,0)*Table_NFI[[#This Row],[Plastic Mat]],Table_NFI[Plastic Mat])*IF(Table_NFI[[#This Row],[Distribution Date]]&gt;"2014-04-01",1,2.5)</f>
        <v>0</v>
      </c>
      <c r="AI123" s="294">
        <f>IF(NFI_Expiration=1,IF($A123&lt;VLOOKUP(R$5,NFI,5,0),1,0)*Table_NFI[[#This Row],[Winter Clothes Adult]],Table_NFI[Winter Clothes Adult])</f>
        <v>0</v>
      </c>
      <c r="AJ123" s="294">
        <f>IF(NFI_Expiration=1,IF($A123&lt;VLOOKUP(S$5,NFI,5,0),1,0)*Table_NFI[[#This Row],[Winter Clothes Children]],Table_NFI[Winter Clothes Children])</f>
        <v>0</v>
      </c>
      <c r="AK123" s="294">
        <f>IF(NFI_Expiration=1,IF($A123&lt;VLOOKUP(T$5,NFI,5,0),1,0)*Table_NFI[[#This Row],[Winter Items Other]],Table_NFI[Winter Items Other])</f>
        <v>0</v>
      </c>
      <c r="AL123" s="294">
        <f>IF(NFI_Expiration=1,IF($A123&lt;VLOOKUP(M$5,NFI,5,0),1,0)*Table_NFI[[#This Row],[Winter Blanket]],Table_NFI[[#This Row],[Winter Blanket]])</f>
        <v>0</v>
      </c>
      <c r="AM123" s="294">
        <f>IF(Table_NFI[[#This Row],[Winter Clothes Adult]]+Table_NFI[[#This Row],[Winter Clothes Children]]+Table_NFI[[#This Row],[Winter Items Other]]+Table_NFI[[#This Row],[Winter Blanket]]&gt;0,1,0)</f>
        <v>0</v>
      </c>
      <c r="AN123" s="331">
        <f>IF(NFI_Expiration=1,IF($A123&lt;VLOOKUP(V$5,NFI,5,0),1,0)*Table_NFI[[#This Row],[Jerry Can]],Table_NFI[Jerry Can])</f>
        <v>0</v>
      </c>
      <c r="AO123" s="331">
        <f>IF(NFI_Expiration=1,IF($A123&lt;VLOOKUP(V$5,NFI,5,0),1,0)*Table_NFI[[#This Row],[Shelter Tool kit]],Table_NFI[Shelter Tool kit])</f>
        <v>0</v>
      </c>
      <c r="AP123" s="331">
        <f>IF(NFI_Expiration=1,IF($A123&lt;VLOOKUP(V$5,NFI,5,0),1,0)*Table_NFI[[#This Row],[Tent]],Table_NFI[Tent])</f>
        <v>0</v>
      </c>
      <c r="AQ123" s="473" t="str">
        <f>IFERROR(VLOOKUP(Table_NFI[[#This Row],[Camp Name]],CL,2,0),"")</f>
        <v>MMR001CMP193</v>
      </c>
      <c r="AR123" s="468">
        <f ca="1">IF(Table_NFI[[#This Row],[Pcode]]="","",IF(OFFSET(CampList[Opening Date],MATCH(Table_NFI[[#This Row],[Pcode]],CampList[CP_Pcode],0)-1,0,1,1)&gt;=NFI_Monitor_Date,1,0))</f>
        <v>0</v>
      </c>
      <c r="AS123" s="670" t="str">
        <f>IFERROR(VLOOKUP(Table_NFI[[#This Row],[Camp Name]],CL,3,0),"")</f>
        <v>Open</v>
      </c>
      <c r="AT123" s="294" t="str">
        <f ca="1">IF(Table_NFI[[#This Row],[Pcode]]="","",OFFSET(CampList[Priority],MATCH(Table_NFI[[#This Row],[Pcode]],CampList[CP_Pcode],0)-1,0,1,1))</f>
        <v>P4</v>
      </c>
      <c r="AU123" s="293">
        <f>IFERROR(Table_NFI[[#This Row],[Kitchen Set]]/VLOOKUP(Table_NFI[[#This Row],[Camp Name]],CL,4,0),"")</f>
        <v>0</v>
      </c>
      <c r="AV123" s="466" t="s">
        <v>1092</v>
      </c>
      <c r="AW123" s="469"/>
    </row>
    <row r="124" spans="1:49" s="470" customFormat="1" ht="14.45" customHeight="1" x14ac:dyDescent="0.2">
      <c r="A124" s="297">
        <f t="shared" si="1"/>
        <v>17.2</v>
      </c>
      <c r="B124" s="465">
        <v>42159</v>
      </c>
      <c r="C124" s="466" t="s">
        <v>905</v>
      </c>
      <c r="D124" s="467" t="s">
        <v>905</v>
      </c>
      <c r="E124" s="466" t="s">
        <v>380</v>
      </c>
      <c r="F124" s="290" t="s">
        <v>185</v>
      </c>
      <c r="G124" s="290" t="s">
        <v>186</v>
      </c>
      <c r="H124" s="291"/>
      <c r="I124" s="291"/>
      <c r="J124" s="584">
        <v>54</v>
      </c>
      <c r="K124" s="291"/>
      <c r="L124" s="292"/>
      <c r="M124" s="292"/>
      <c r="N124" s="292"/>
      <c r="O124" s="292"/>
      <c r="P124" s="294"/>
      <c r="Q124" s="294"/>
      <c r="R124" s="294"/>
      <c r="S124" s="294"/>
      <c r="T124" s="294"/>
      <c r="U124" s="294"/>
      <c r="V124" s="431"/>
      <c r="W124" s="294"/>
      <c r="X124" s="294"/>
      <c r="Y124" s="294">
        <f>IF(NFI_Expiration=1,IF($A124&lt;VLOOKUP(H$5,NFI,5,0),1,0)*Table_NFI[[#This Row],[Hygiene Kit]],Table_NFI[Hygiene Kit])</f>
        <v>0</v>
      </c>
      <c r="Z124" s="294">
        <f>IF(NFI_Expiration=1,IF($A124&lt;VLOOKUP(I$5,NFI,5,0),1,0)*Table_NFI[[#This Row],[NFI Core Kit]],Table_NFI[NFI Core Kit])</f>
        <v>0</v>
      </c>
      <c r="AA124" s="294">
        <f>IF(NFI_Expiration=1,IF($A124&lt;VLOOKUP(J$5,NFI,5,0),1,0)*Table_NFI[[#This Row],[Sanitary Kit]],Table_NFI[Sanitary Kit])</f>
        <v>0</v>
      </c>
      <c r="AB124" s="294">
        <f>IF(NFI_Expiration=1,IF($A124&lt;VLOOKUP(K$5,NFI,5,0),1,0)*Table_NFI[[#This Row],[Mosquito net]],Table_NFI[Mosquito net])</f>
        <v>0</v>
      </c>
      <c r="AC124" s="294">
        <f>IF(NFI_Expiration=1,IF($A124&lt;VLOOKUP(L$5,NFI,5,0),1,0)*Table_NFI[[#This Row],[Tarpaulin]],Table_NFI[[#This Row],[Tarpaulin]])</f>
        <v>0</v>
      </c>
      <c r="AD124" s="294">
        <f>IF(NFI_Expiration=1,IF($A124&lt;VLOOKUP(M$5,NFI,5,0),1,0)*Table_NFI[[#This Row],[Blanket]],Table_NFI[[#This Row],[Blanket]])</f>
        <v>0</v>
      </c>
      <c r="AE124" s="294">
        <f>IF(NFI_Expiration=1,IF($A124&lt;VLOOKUP(N$5,NFI,5,0),1,0)*Table_NFI[[#This Row],[Kitchen Set]],Table_NFI[Kitchen Set])</f>
        <v>0</v>
      </c>
      <c r="AF124" s="294">
        <f>IF(NFI_Expiration=1,IF($A124&lt;VLOOKUP(O$5,NFI,5,0),1,0)*Table_NFI[[#This Row],[Clothes Kit]],Table_NFI[Clothes Kit])</f>
        <v>0</v>
      </c>
      <c r="AG124" s="294">
        <f>IF(NFI_Expiration=1,IF($A124&lt;VLOOKUP(P$5,NFI,5,0),1,0)*Table_NFI[[#This Row],[Plastic Bucket]],Table_NFI[Plastic Bucket])</f>
        <v>0</v>
      </c>
      <c r="AH124" s="294">
        <f>IF(NFI_Expiration=1,IF($A124&lt;VLOOKUP(Q$5,NFI,5,0),1,0)*Table_NFI[[#This Row],[Plastic Mat]],Table_NFI[Plastic Mat])*IF(Table_NFI[[#This Row],[Distribution Date]]&gt;"2014-04-01",1,2.5)</f>
        <v>0</v>
      </c>
      <c r="AI124" s="294">
        <f>IF(NFI_Expiration=1,IF($A124&lt;VLOOKUP(R$5,NFI,5,0),1,0)*Table_NFI[[#This Row],[Winter Clothes Adult]],Table_NFI[Winter Clothes Adult])</f>
        <v>0</v>
      </c>
      <c r="AJ124" s="294">
        <f>IF(NFI_Expiration=1,IF($A124&lt;VLOOKUP(S$5,NFI,5,0),1,0)*Table_NFI[[#This Row],[Winter Clothes Children]],Table_NFI[Winter Clothes Children])</f>
        <v>0</v>
      </c>
      <c r="AK124" s="294">
        <f>IF(NFI_Expiration=1,IF($A124&lt;VLOOKUP(T$5,NFI,5,0),1,0)*Table_NFI[[#This Row],[Winter Items Other]],Table_NFI[Winter Items Other])</f>
        <v>0</v>
      </c>
      <c r="AL124" s="294">
        <f>IF(NFI_Expiration=1,IF($A124&lt;VLOOKUP(M$5,NFI,5,0),1,0)*Table_NFI[[#This Row],[Winter Blanket]],Table_NFI[[#This Row],[Winter Blanket]])</f>
        <v>0</v>
      </c>
      <c r="AM124" s="294">
        <f>IF(Table_NFI[[#This Row],[Winter Clothes Adult]]+Table_NFI[[#This Row],[Winter Clothes Children]]+Table_NFI[[#This Row],[Winter Items Other]]+Table_NFI[[#This Row],[Winter Blanket]]&gt;0,1,0)</f>
        <v>0</v>
      </c>
      <c r="AN124" s="331">
        <f>IF(NFI_Expiration=1,IF($A124&lt;VLOOKUP(V$5,NFI,5,0),1,0)*Table_NFI[[#This Row],[Jerry Can]],Table_NFI[Jerry Can])</f>
        <v>0</v>
      </c>
      <c r="AO124" s="331">
        <f>IF(NFI_Expiration=1,IF($A124&lt;VLOOKUP(V$5,NFI,5,0),1,0)*Table_NFI[[#This Row],[Shelter Tool kit]],Table_NFI[Shelter Tool kit])</f>
        <v>0</v>
      </c>
      <c r="AP124" s="331">
        <f>IF(NFI_Expiration=1,IF($A124&lt;VLOOKUP(V$5,NFI,5,0),1,0)*Table_NFI[[#This Row],[Tent]],Table_NFI[Tent])</f>
        <v>0</v>
      </c>
      <c r="AQ124" s="473" t="str">
        <f>IFERROR(VLOOKUP(Table_NFI[[#This Row],[Camp Name]],CL,2,0),"")</f>
        <v>MMR001CMP071</v>
      </c>
      <c r="AR124" s="468">
        <f ca="1">IF(Table_NFI[[#This Row],[Pcode]]="","",IF(OFFSET(CampList[Opening Date],MATCH(Table_NFI[[#This Row],[Pcode]],CampList[CP_Pcode],0)-1,0,1,1)&gt;=NFI_Monitor_Date,1,0))</f>
        <v>0</v>
      </c>
      <c r="AS124" s="473" t="str">
        <f>IFERROR(VLOOKUP(Table_NFI[[#This Row],[Camp Name]],CL,3,0),"")</f>
        <v>Open</v>
      </c>
      <c r="AT124" s="294" t="str">
        <f ca="1">IF(Table_NFI[[#This Row],[Pcode]]="","",OFFSET(CampList[Priority],MATCH(Table_NFI[[#This Row],[Pcode]],CampList[CP_Pcode],0)-1,0,1,1))</f>
        <v>P3</v>
      </c>
      <c r="AU124" s="293">
        <f>IFERROR(Table_NFI[[#This Row],[Kitchen Set]]/VLOOKUP(Table_NFI[[#This Row],[Camp Name]],CL,4,0),"")</f>
        <v>0</v>
      </c>
      <c r="AV124" s="466"/>
      <c r="AW124" s="469"/>
    </row>
    <row r="125" spans="1:49" s="470" customFormat="1" ht="14.45" customHeight="1" x14ac:dyDescent="0.25">
      <c r="A125" s="297">
        <f t="shared" si="1"/>
        <v>17.2</v>
      </c>
      <c r="B125" s="465">
        <v>42159</v>
      </c>
      <c r="C125" s="466" t="s">
        <v>452</v>
      </c>
      <c r="D125" s="466" t="s">
        <v>460</v>
      </c>
      <c r="E125" s="466" t="s">
        <v>380</v>
      </c>
      <c r="F125" s="466" t="s">
        <v>185</v>
      </c>
      <c r="G125" s="466" t="s">
        <v>190</v>
      </c>
      <c r="H125" s="291"/>
      <c r="I125" s="294"/>
      <c r="J125" s="294"/>
      <c r="K125" s="294"/>
      <c r="L125" s="292">
        <v>88</v>
      </c>
      <c r="M125" s="292">
        <v>27</v>
      </c>
      <c r="N125" s="292">
        <v>9</v>
      </c>
      <c r="O125" s="292"/>
      <c r="P125" s="294">
        <v>9</v>
      </c>
      <c r="Q125" s="294">
        <v>48</v>
      </c>
      <c r="R125" s="294"/>
      <c r="S125" s="294"/>
      <c r="T125" s="294"/>
      <c r="U125" s="294"/>
      <c r="V125" s="431">
        <v>9</v>
      </c>
      <c r="W125" s="294"/>
      <c r="X125" s="294"/>
      <c r="Y125" s="294">
        <f>IF(NFI_Expiration=1,IF($A125&lt;VLOOKUP(H$5,NFI,5,0),1,0)*Table_NFI[[#This Row],[Hygiene Kit]],Table_NFI[Hygiene Kit])</f>
        <v>0</v>
      </c>
      <c r="Z125" s="294">
        <f>IF(NFI_Expiration=1,IF($A125&lt;VLOOKUP(I$5,NFI,5,0),1,0)*Table_NFI[[#This Row],[NFI Core Kit]],Table_NFI[NFI Core Kit])</f>
        <v>0</v>
      </c>
      <c r="AA125" s="294">
        <f>IF(NFI_Expiration=1,IF($A125&lt;VLOOKUP(J$5,NFI,5,0),1,0)*Table_NFI[[#This Row],[Sanitary Kit]],Table_NFI[Sanitary Kit])</f>
        <v>0</v>
      </c>
      <c r="AB125" s="294">
        <f>IF(NFI_Expiration=1,IF($A125&lt;VLOOKUP(K$5,NFI,5,0),1,0)*Table_NFI[[#This Row],[Mosquito net]],Table_NFI[Mosquito net])</f>
        <v>0</v>
      </c>
      <c r="AC125" s="294">
        <f>IF(NFI_Expiration=1,IF($A125&lt;VLOOKUP(L$5,NFI,5,0),1,0)*Table_NFI[[#This Row],[Tarpaulin]],Table_NFI[[#This Row],[Tarpaulin]])</f>
        <v>0</v>
      </c>
      <c r="AD125" s="294">
        <f>IF(NFI_Expiration=1,IF($A125&lt;VLOOKUP(M$5,NFI,5,0),1,0)*Table_NFI[[#This Row],[Blanket]],Table_NFI[[#This Row],[Blanket]])</f>
        <v>0</v>
      </c>
      <c r="AE125" s="294">
        <f>IF(NFI_Expiration=1,IF($A125&lt;VLOOKUP(N$5,NFI,5,0),1,0)*Table_NFI[[#This Row],[Kitchen Set]],Table_NFI[Kitchen Set])</f>
        <v>0</v>
      </c>
      <c r="AF125" s="294">
        <f>IF(NFI_Expiration=1,IF($A125&lt;VLOOKUP(O$5,NFI,5,0),1,0)*Table_NFI[[#This Row],[Clothes Kit]],Table_NFI[Clothes Kit])</f>
        <v>0</v>
      </c>
      <c r="AG125" s="294">
        <f>IF(NFI_Expiration=1,IF($A125&lt;VLOOKUP(P$5,NFI,5,0),1,0)*Table_NFI[[#This Row],[Plastic Bucket]],Table_NFI[Plastic Bucket])</f>
        <v>0</v>
      </c>
      <c r="AH125" s="294">
        <f>IF(NFI_Expiration=1,IF($A125&lt;VLOOKUP(Q$5,NFI,5,0),1,0)*Table_NFI[[#This Row],[Plastic Mat]],Table_NFI[Plastic Mat])*IF(Table_NFI[[#This Row],[Distribution Date]]&gt;"2014-04-01",1,2.5)</f>
        <v>0</v>
      </c>
      <c r="AI125" s="294">
        <f>IF(NFI_Expiration=1,IF($A125&lt;VLOOKUP(R$5,NFI,5,0),1,0)*Table_NFI[[#This Row],[Winter Clothes Adult]],Table_NFI[Winter Clothes Adult])</f>
        <v>0</v>
      </c>
      <c r="AJ125" s="294">
        <f>IF(NFI_Expiration=1,IF($A125&lt;VLOOKUP(S$5,NFI,5,0),1,0)*Table_NFI[[#This Row],[Winter Clothes Children]],Table_NFI[Winter Clothes Children])</f>
        <v>0</v>
      </c>
      <c r="AK125" s="294">
        <f>IF(NFI_Expiration=1,IF($A125&lt;VLOOKUP(T$5,NFI,5,0),1,0)*Table_NFI[[#This Row],[Winter Items Other]],Table_NFI[Winter Items Other])</f>
        <v>0</v>
      </c>
      <c r="AL125" s="294">
        <f>IF(NFI_Expiration=1,IF($A125&lt;VLOOKUP(M$5,NFI,5,0),1,0)*Table_NFI[[#This Row],[Winter Blanket]],Table_NFI[[#This Row],[Winter Blanket]])</f>
        <v>0</v>
      </c>
      <c r="AM125" s="294">
        <f>IF(Table_NFI[[#This Row],[Winter Clothes Adult]]+Table_NFI[[#This Row],[Winter Clothes Children]]+Table_NFI[[#This Row],[Winter Items Other]]+Table_NFI[[#This Row],[Winter Blanket]]&gt;0,1,0)</f>
        <v>0</v>
      </c>
      <c r="AN125" s="331">
        <f>IF(NFI_Expiration=1,IF($A125&lt;VLOOKUP(V$5,NFI,5,0),1,0)*Table_NFI[[#This Row],[Jerry Can]],Table_NFI[Jerry Can])</f>
        <v>0</v>
      </c>
      <c r="AO125" s="331">
        <f>IF(NFI_Expiration=1,IF($A125&lt;VLOOKUP(V$5,NFI,5,0),1,0)*Table_NFI[[#This Row],[Shelter Tool kit]],Table_NFI[Shelter Tool kit])</f>
        <v>0</v>
      </c>
      <c r="AP125" s="331">
        <f>IF(NFI_Expiration=1,IF($A125&lt;VLOOKUP(V$5,NFI,5,0),1,0)*Table_NFI[[#This Row],[Tent]],Table_NFI[Tent])</f>
        <v>0</v>
      </c>
      <c r="AQ125" s="473" t="str">
        <f>IFERROR(VLOOKUP(Table_NFI[[#This Row],[Camp Name]],CL,2,0),"")</f>
        <v>MMR001CMP070</v>
      </c>
      <c r="AR125" s="468">
        <f ca="1">IF(Table_NFI[[#This Row],[Pcode]]="","",IF(OFFSET(CampList[Opening Date],MATCH(Table_NFI[[#This Row],[Pcode]],CampList[CP_Pcode],0)-1,0,1,1)&gt;=NFI_Monitor_Date,1,0))</f>
        <v>0</v>
      </c>
      <c r="AS125" s="473" t="str">
        <f>IFERROR(VLOOKUP(Table_NFI[[#This Row],[Camp Name]],CL,3,0),"")</f>
        <v>Open</v>
      </c>
      <c r="AT125" s="294" t="str">
        <f ca="1">IF(Table_NFI[[#This Row],[Pcode]]="","",OFFSET(CampList[Priority],MATCH(Table_NFI[[#This Row],[Pcode]],CampList[CP_Pcode],0)-1,0,1,1))</f>
        <v>P3</v>
      </c>
      <c r="AU125" s="293">
        <f>IFERROR(Table_NFI[[#This Row],[Kitchen Set]]/VLOOKUP(Table_NFI[[#This Row],[Camp Name]],CL,4,0),"")</f>
        <v>4.6875E-2</v>
      </c>
      <c r="AV125" s="466" t="s">
        <v>1092</v>
      </c>
      <c r="AW125" s="490"/>
    </row>
    <row r="126" spans="1:49" s="470" customFormat="1" ht="14.45" customHeight="1" x14ac:dyDescent="0.25">
      <c r="A126" s="297">
        <f t="shared" si="1"/>
        <v>17.2</v>
      </c>
      <c r="B126" s="465">
        <v>42159</v>
      </c>
      <c r="C126" s="466" t="s">
        <v>452</v>
      </c>
      <c r="D126" s="466" t="s">
        <v>460</v>
      </c>
      <c r="E126" s="466" t="s">
        <v>380</v>
      </c>
      <c r="F126" s="466" t="s">
        <v>185</v>
      </c>
      <c r="G126" s="466" t="s">
        <v>225</v>
      </c>
      <c r="H126" s="291"/>
      <c r="I126" s="294"/>
      <c r="J126" s="291"/>
      <c r="K126" s="294">
        <v>18</v>
      </c>
      <c r="L126" s="292">
        <v>35</v>
      </c>
      <c r="M126" s="292"/>
      <c r="N126" s="292"/>
      <c r="O126" s="292"/>
      <c r="P126" s="294"/>
      <c r="Q126" s="294"/>
      <c r="R126" s="294"/>
      <c r="S126" s="294"/>
      <c r="T126" s="294"/>
      <c r="U126" s="294"/>
      <c r="V126" s="431"/>
      <c r="W126" s="294"/>
      <c r="X126" s="294">
        <v>8</v>
      </c>
      <c r="Y126" s="294">
        <f>IF(NFI_Expiration=1,IF($A126&lt;VLOOKUP(H$5,NFI,5,0),1,0)*Table_NFI[[#This Row],[Hygiene Kit]],Table_NFI[Hygiene Kit])</f>
        <v>0</v>
      </c>
      <c r="Z126" s="294">
        <f>IF(NFI_Expiration=1,IF($A126&lt;VLOOKUP(I$5,NFI,5,0),1,0)*Table_NFI[[#This Row],[NFI Core Kit]],Table_NFI[NFI Core Kit])</f>
        <v>0</v>
      </c>
      <c r="AA126" s="294">
        <f>IF(NFI_Expiration=1,IF($A126&lt;VLOOKUP(J$5,NFI,5,0),1,0)*Table_NFI[[#This Row],[Sanitary Kit]],Table_NFI[Sanitary Kit])</f>
        <v>0</v>
      </c>
      <c r="AB126" s="294">
        <f>IF(NFI_Expiration=1,IF($A126&lt;VLOOKUP(K$5,NFI,5,0),1,0)*Table_NFI[[#This Row],[Mosquito net]],Table_NFI[Mosquito net])</f>
        <v>0</v>
      </c>
      <c r="AC126" s="294">
        <f>IF(NFI_Expiration=1,IF($A126&lt;VLOOKUP(L$5,NFI,5,0),1,0)*Table_NFI[[#This Row],[Tarpaulin]],Table_NFI[[#This Row],[Tarpaulin]])</f>
        <v>0</v>
      </c>
      <c r="AD126" s="294">
        <f>IF(NFI_Expiration=1,IF($A126&lt;VLOOKUP(M$5,NFI,5,0),1,0)*Table_NFI[[#This Row],[Blanket]],Table_NFI[[#This Row],[Blanket]])</f>
        <v>0</v>
      </c>
      <c r="AE126" s="294">
        <f>IF(NFI_Expiration=1,IF($A126&lt;VLOOKUP(N$5,NFI,5,0),1,0)*Table_NFI[[#This Row],[Kitchen Set]],Table_NFI[Kitchen Set])</f>
        <v>0</v>
      </c>
      <c r="AF126" s="294">
        <f>IF(NFI_Expiration=1,IF($A126&lt;VLOOKUP(O$5,NFI,5,0),1,0)*Table_NFI[[#This Row],[Clothes Kit]],Table_NFI[Clothes Kit])</f>
        <v>0</v>
      </c>
      <c r="AG126" s="294">
        <f>IF(NFI_Expiration=1,IF($A126&lt;VLOOKUP(P$5,NFI,5,0),1,0)*Table_NFI[[#This Row],[Plastic Bucket]],Table_NFI[Plastic Bucket])</f>
        <v>0</v>
      </c>
      <c r="AH126" s="294">
        <f>IF(NFI_Expiration=1,IF($A126&lt;VLOOKUP(Q$5,NFI,5,0),1,0)*Table_NFI[[#This Row],[Plastic Mat]],Table_NFI[Plastic Mat])*IF(Table_NFI[[#This Row],[Distribution Date]]&gt;"2014-04-01",1,2.5)</f>
        <v>0</v>
      </c>
      <c r="AI126" s="294">
        <f>IF(NFI_Expiration=1,IF($A126&lt;VLOOKUP(R$5,NFI,5,0),1,0)*Table_NFI[[#This Row],[Winter Clothes Adult]],Table_NFI[Winter Clothes Adult])</f>
        <v>0</v>
      </c>
      <c r="AJ126" s="294">
        <f>IF(NFI_Expiration=1,IF($A126&lt;VLOOKUP(S$5,NFI,5,0),1,0)*Table_NFI[[#This Row],[Winter Clothes Children]],Table_NFI[Winter Clothes Children])</f>
        <v>0</v>
      </c>
      <c r="AK126" s="294">
        <f>IF(NFI_Expiration=1,IF($A126&lt;VLOOKUP(T$5,NFI,5,0),1,0)*Table_NFI[[#This Row],[Winter Items Other]],Table_NFI[Winter Items Other])</f>
        <v>0</v>
      </c>
      <c r="AL126" s="294">
        <f>IF(NFI_Expiration=1,IF($A126&lt;VLOOKUP(M$5,NFI,5,0),1,0)*Table_NFI[[#This Row],[Winter Blanket]],Table_NFI[[#This Row],[Winter Blanket]])</f>
        <v>0</v>
      </c>
      <c r="AM126" s="294">
        <f>IF(Table_NFI[[#This Row],[Winter Clothes Adult]]+Table_NFI[[#This Row],[Winter Clothes Children]]+Table_NFI[[#This Row],[Winter Items Other]]+Table_NFI[[#This Row],[Winter Blanket]]&gt;0,1,0)</f>
        <v>0</v>
      </c>
      <c r="AN126" s="331">
        <f>IF(NFI_Expiration=1,IF($A126&lt;VLOOKUP(V$5,NFI,5,0),1,0)*Table_NFI[[#This Row],[Jerry Can]],Table_NFI[Jerry Can])</f>
        <v>0</v>
      </c>
      <c r="AO126" s="331">
        <f>IF(NFI_Expiration=1,IF($A126&lt;VLOOKUP(V$5,NFI,5,0),1,0)*Table_NFI[[#This Row],[Shelter Tool kit]],Table_NFI[Shelter Tool kit])</f>
        <v>0</v>
      </c>
      <c r="AP126" s="331">
        <f>IF(NFI_Expiration=1,IF($A126&lt;VLOOKUP(V$5,NFI,5,0),1,0)*Table_NFI[[#This Row],[Tent]],Table_NFI[Tent])</f>
        <v>0</v>
      </c>
      <c r="AQ126" s="473" t="str">
        <f>IFERROR(VLOOKUP(Table_NFI[[#This Row],[Camp Name]],CL,2,0),"")</f>
        <v>MMR001CMP073</v>
      </c>
      <c r="AR126" s="468">
        <f ca="1">IF(Table_NFI[[#This Row],[Pcode]]="","",IF(OFFSET(CampList[Opening Date],MATCH(Table_NFI[[#This Row],[Pcode]],CampList[CP_Pcode],0)-1,0,1,1)&gt;=NFI_Monitor_Date,1,0))</f>
        <v>0</v>
      </c>
      <c r="AS126" s="670" t="str">
        <f>IFERROR(VLOOKUP(Table_NFI[[#This Row],[Camp Name]],CL,3,0),"")</f>
        <v>Open</v>
      </c>
      <c r="AT126" s="294" t="str">
        <f ca="1">IF(Table_NFI[[#This Row],[Pcode]]="","",OFFSET(CampList[Priority],MATCH(Table_NFI[[#This Row],[Pcode]],CampList[CP_Pcode],0)-1,0,1,1))</f>
        <v>P3</v>
      </c>
      <c r="AU126" s="293">
        <f>IFERROR(Table_NFI[[#This Row],[Kitchen Set]]/VLOOKUP(Table_NFI[[#This Row],[Camp Name]],CL,4,0),"")</f>
        <v>0</v>
      </c>
      <c r="AV126" s="466" t="s">
        <v>1092</v>
      </c>
      <c r="AW126" s="469"/>
    </row>
    <row r="127" spans="1:49" s="470" customFormat="1" ht="14.45" customHeight="1" x14ac:dyDescent="0.25">
      <c r="A127" s="297">
        <f t="shared" si="1"/>
        <v>17.2</v>
      </c>
      <c r="B127" s="465">
        <v>42159</v>
      </c>
      <c r="C127" s="466" t="s">
        <v>452</v>
      </c>
      <c r="D127" s="466" t="s">
        <v>460</v>
      </c>
      <c r="E127" s="466" t="s">
        <v>380</v>
      </c>
      <c r="F127" s="466" t="s">
        <v>185</v>
      </c>
      <c r="G127" s="290" t="s">
        <v>209</v>
      </c>
      <c r="H127" s="291"/>
      <c r="I127" s="291"/>
      <c r="J127" s="291"/>
      <c r="K127" s="294"/>
      <c r="L127" s="292">
        <v>80</v>
      </c>
      <c r="M127" s="292"/>
      <c r="N127" s="292"/>
      <c r="O127" s="292"/>
      <c r="P127" s="294"/>
      <c r="Q127" s="294"/>
      <c r="R127" s="294"/>
      <c r="S127" s="294"/>
      <c r="T127" s="294"/>
      <c r="U127" s="294"/>
      <c r="V127" s="431"/>
      <c r="W127" s="294"/>
      <c r="X127" s="294"/>
      <c r="Y127" s="294">
        <f>IF(NFI_Expiration=1,IF($A127&lt;VLOOKUP(H$5,NFI,5,0),1,0)*Table_NFI[[#This Row],[Hygiene Kit]],Table_NFI[Hygiene Kit])</f>
        <v>0</v>
      </c>
      <c r="Z127" s="294">
        <f>IF(NFI_Expiration=1,IF($A127&lt;VLOOKUP(I$5,NFI,5,0),1,0)*Table_NFI[[#This Row],[NFI Core Kit]],Table_NFI[NFI Core Kit])</f>
        <v>0</v>
      </c>
      <c r="AA127" s="294">
        <f>IF(NFI_Expiration=1,IF($A127&lt;VLOOKUP(J$5,NFI,5,0),1,0)*Table_NFI[[#This Row],[Sanitary Kit]],Table_NFI[Sanitary Kit])</f>
        <v>0</v>
      </c>
      <c r="AB127" s="294">
        <f>IF(NFI_Expiration=1,IF($A127&lt;VLOOKUP(K$5,NFI,5,0),1,0)*Table_NFI[[#This Row],[Mosquito net]],Table_NFI[Mosquito net])</f>
        <v>0</v>
      </c>
      <c r="AC127" s="294">
        <f>IF(NFI_Expiration=1,IF($A127&lt;VLOOKUP(L$5,NFI,5,0),1,0)*Table_NFI[[#This Row],[Tarpaulin]],Table_NFI[[#This Row],[Tarpaulin]])</f>
        <v>0</v>
      </c>
      <c r="AD127" s="294">
        <f>IF(NFI_Expiration=1,IF($A127&lt;VLOOKUP(M$5,NFI,5,0),1,0)*Table_NFI[[#This Row],[Blanket]],Table_NFI[[#This Row],[Blanket]])</f>
        <v>0</v>
      </c>
      <c r="AE127" s="294">
        <f>IF(NFI_Expiration=1,IF($A127&lt;VLOOKUP(N$5,NFI,5,0),1,0)*Table_NFI[[#This Row],[Kitchen Set]],Table_NFI[Kitchen Set])</f>
        <v>0</v>
      </c>
      <c r="AF127" s="294">
        <f>IF(NFI_Expiration=1,IF($A127&lt;VLOOKUP(O$5,NFI,5,0),1,0)*Table_NFI[[#This Row],[Clothes Kit]],Table_NFI[Clothes Kit])</f>
        <v>0</v>
      </c>
      <c r="AG127" s="294">
        <f>IF(NFI_Expiration=1,IF($A127&lt;VLOOKUP(P$5,NFI,5,0),1,0)*Table_NFI[[#This Row],[Plastic Bucket]],Table_NFI[Plastic Bucket])</f>
        <v>0</v>
      </c>
      <c r="AH127" s="294">
        <f>IF(NFI_Expiration=1,IF($A127&lt;VLOOKUP(Q$5,NFI,5,0),1,0)*Table_NFI[[#This Row],[Plastic Mat]],Table_NFI[Plastic Mat])*IF(Table_NFI[[#This Row],[Distribution Date]]&gt;"2014-04-01",1,2.5)</f>
        <v>0</v>
      </c>
      <c r="AI127" s="294">
        <f>IF(NFI_Expiration=1,IF($A127&lt;VLOOKUP(R$5,NFI,5,0),1,0)*Table_NFI[[#This Row],[Winter Clothes Adult]],Table_NFI[Winter Clothes Adult])</f>
        <v>0</v>
      </c>
      <c r="AJ127" s="294">
        <f>IF(NFI_Expiration=1,IF($A127&lt;VLOOKUP(S$5,NFI,5,0),1,0)*Table_NFI[[#This Row],[Winter Clothes Children]],Table_NFI[Winter Clothes Children])</f>
        <v>0</v>
      </c>
      <c r="AK127" s="294">
        <f>IF(NFI_Expiration=1,IF($A127&lt;VLOOKUP(T$5,NFI,5,0),1,0)*Table_NFI[[#This Row],[Winter Items Other]],Table_NFI[Winter Items Other])</f>
        <v>0</v>
      </c>
      <c r="AL127" s="294">
        <f>IF(NFI_Expiration=1,IF($A127&lt;VLOOKUP(M$5,NFI,5,0),1,0)*Table_NFI[[#This Row],[Winter Blanket]],Table_NFI[[#This Row],[Winter Blanket]])</f>
        <v>0</v>
      </c>
      <c r="AM127" s="294">
        <f>IF(Table_NFI[[#This Row],[Winter Clothes Adult]]+Table_NFI[[#This Row],[Winter Clothes Children]]+Table_NFI[[#This Row],[Winter Items Other]]+Table_NFI[[#This Row],[Winter Blanket]]&gt;0,1,0)</f>
        <v>0</v>
      </c>
      <c r="AN127" s="331">
        <f>IF(NFI_Expiration=1,IF($A127&lt;VLOOKUP(V$5,NFI,5,0),1,0)*Table_NFI[[#This Row],[Jerry Can]],Table_NFI[Jerry Can])</f>
        <v>0</v>
      </c>
      <c r="AO127" s="331">
        <f>IF(NFI_Expiration=1,IF($A127&lt;VLOOKUP(V$5,NFI,5,0),1,0)*Table_NFI[[#This Row],[Shelter Tool kit]],Table_NFI[Shelter Tool kit])</f>
        <v>0</v>
      </c>
      <c r="AP127" s="331">
        <f>IF(NFI_Expiration=1,IF($A127&lt;VLOOKUP(V$5,NFI,5,0),1,0)*Table_NFI[[#This Row],[Tent]],Table_NFI[Tent])</f>
        <v>0</v>
      </c>
      <c r="AQ127" s="473" t="str">
        <f>IFERROR(VLOOKUP(Table_NFI[[#This Row],[Camp Name]],CL,2,0),"")</f>
        <v>MMR001CMP056</v>
      </c>
      <c r="AR127" s="468">
        <f ca="1">IF(Table_NFI[[#This Row],[Pcode]]="","",IF(OFFSET(CampList[Opening Date],MATCH(Table_NFI[[#This Row],[Pcode]],CampList[CP_Pcode],0)-1,0,1,1)&gt;=NFI_Monitor_Date,1,0))</f>
        <v>0</v>
      </c>
      <c r="AS127" s="473" t="str">
        <f>IFERROR(VLOOKUP(Table_NFI[[#This Row],[Camp Name]],CL,3,0),"")</f>
        <v>Open</v>
      </c>
      <c r="AT127" s="294" t="str">
        <f ca="1">IF(Table_NFI[[#This Row],[Pcode]]="","",OFFSET(CampList[Priority],MATCH(Table_NFI[[#This Row],[Pcode]],CampList[CP_Pcode],0)-1,0,1,1))</f>
        <v>P4</v>
      </c>
      <c r="AU127" s="293">
        <f>IFERROR(Table_NFI[[#This Row],[Kitchen Set]]/VLOOKUP(Table_NFI[[#This Row],[Camp Name]],CL,4,0),"")</f>
        <v>0</v>
      </c>
      <c r="AV127" s="466" t="s">
        <v>1092</v>
      </c>
      <c r="AW127" s="469"/>
    </row>
    <row r="128" spans="1:49" s="98" customFormat="1" ht="14.45" customHeight="1" x14ac:dyDescent="0.2">
      <c r="A128" s="297">
        <f t="shared" si="1"/>
        <v>17.2</v>
      </c>
      <c r="B128" s="465">
        <v>42159</v>
      </c>
      <c r="C128" s="466" t="s">
        <v>905</v>
      </c>
      <c r="D128" s="466" t="s">
        <v>905</v>
      </c>
      <c r="E128" s="466" t="s">
        <v>380</v>
      </c>
      <c r="F128" s="290" t="s">
        <v>185</v>
      </c>
      <c r="G128" s="290" t="s">
        <v>229</v>
      </c>
      <c r="H128" s="291"/>
      <c r="I128" s="291"/>
      <c r="J128" s="584">
        <v>87</v>
      </c>
      <c r="K128" s="291"/>
      <c r="L128" s="292"/>
      <c r="M128" s="292"/>
      <c r="N128" s="292"/>
      <c r="O128" s="292"/>
      <c r="P128" s="294"/>
      <c r="Q128" s="294"/>
      <c r="R128" s="294"/>
      <c r="S128" s="294"/>
      <c r="T128" s="294"/>
      <c r="U128" s="294"/>
      <c r="V128" s="431"/>
      <c r="W128" s="294"/>
      <c r="X128" s="294"/>
      <c r="Y128" s="294">
        <f>IF(NFI_Expiration=1,IF($A128&lt;VLOOKUP(H$5,NFI,5,0),1,0)*Table_NFI[[#This Row],[Hygiene Kit]],Table_NFI[Hygiene Kit])</f>
        <v>0</v>
      </c>
      <c r="Z128" s="294">
        <f>IF(NFI_Expiration=1,IF($A128&lt;VLOOKUP(I$5,NFI,5,0),1,0)*Table_NFI[[#This Row],[NFI Core Kit]],Table_NFI[NFI Core Kit])</f>
        <v>0</v>
      </c>
      <c r="AA128" s="294">
        <f>IF(NFI_Expiration=1,IF($A128&lt;VLOOKUP(J$5,NFI,5,0),1,0)*Table_NFI[[#This Row],[Sanitary Kit]],Table_NFI[Sanitary Kit])</f>
        <v>0</v>
      </c>
      <c r="AB128" s="294">
        <f>IF(NFI_Expiration=1,IF($A128&lt;VLOOKUP(K$5,NFI,5,0),1,0)*Table_NFI[[#This Row],[Mosquito net]],Table_NFI[Mosquito net])</f>
        <v>0</v>
      </c>
      <c r="AC128" s="294">
        <f>IF(NFI_Expiration=1,IF($A128&lt;VLOOKUP(L$5,NFI,5,0),1,0)*Table_NFI[[#This Row],[Tarpaulin]],Table_NFI[[#This Row],[Tarpaulin]])</f>
        <v>0</v>
      </c>
      <c r="AD128" s="294">
        <f>IF(NFI_Expiration=1,IF($A128&lt;VLOOKUP(M$5,NFI,5,0),1,0)*Table_NFI[[#This Row],[Blanket]],Table_NFI[[#This Row],[Blanket]])</f>
        <v>0</v>
      </c>
      <c r="AE128" s="294">
        <f>IF(NFI_Expiration=1,IF($A128&lt;VLOOKUP(N$5,NFI,5,0),1,0)*Table_NFI[[#This Row],[Kitchen Set]],Table_NFI[Kitchen Set])</f>
        <v>0</v>
      </c>
      <c r="AF128" s="294">
        <f>IF(NFI_Expiration=1,IF($A128&lt;VLOOKUP(O$5,NFI,5,0),1,0)*Table_NFI[[#This Row],[Clothes Kit]],Table_NFI[Clothes Kit])</f>
        <v>0</v>
      </c>
      <c r="AG128" s="294">
        <f>IF(NFI_Expiration=1,IF($A128&lt;VLOOKUP(P$5,NFI,5,0),1,0)*Table_NFI[[#This Row],[Plastic Bucket]],Table_NFI[Plastic Bucket])</f>
        <v>0</v>
      </c>
      <c r="AH128" s="294">
        <f>IF(NFI_Expiration=1,IF($A128&lt;VLOOKUP(Q$5,NFI,5,0),1,0)*Table_NFI[[#This Row],[Plastic Mat]],Table_NFI[Plastic Mat])*IF(Table_NFI[[#This Row],[Distribution Date]]&gt;"2014-04-01",1,2.5)</f>
        <v>0</v>
      </c>
      <c r="AI128" s="294">
        <f>IF(NFI_Expiration=1,IF($A128&lt;VLOOKUP(R$5,NFI,5,0),1,0)*Table_NFI[[#This Row],[Winter Clothes Adult]],Table_NFI[Winter Clothes Adult])</f>
        <v>0</v>
      </c>
      <c r="AJ128" s="294">
        <f>IF(NFI_Expiration=1,IF($A128&lt;VLOOKUP(S$5,NFI,5,0),1,0)*Table_NFI[[#This Row],[Winter Clothes Children]],Table_NFI[Winter Clothes Children])</f>
        <v>0</v>
      </c>
      <c r="AK128" s="294">
        <f>IF(NFI_Expiration=1,IF($A128&lt;VLOOKUP(T$5,NFI,5,0),1,0)*Table_NFI[[#This Row],[Winter Items Other]],Table_NFI[Winter Items Other])</f>
        <v>0</v>
      </c>
      <c r="AL128" s="294">
        <f>IF(NFI_Expiration=1,IF($A128&lt;VLOOKUP(M$5,NFI,5,0),1,0)*Table_NFI[[#This Row],[Winter Blanket]],Table_NFI[[#This Row],[Winter Blanket]])</f>
        <v>0</v>
      </c>
      <c r="AM128" s="294">
        <f>IF(Table_NFI[[#This Row],[Winter Clothes Adult]]+Table_NFI[[#This Row],[Winter Clothes Children]]+Table_NFI[[#This Row],[Winter Items Other]]+Table_NFI[[#This Row],[Winter Blanket]]&gt;0,1,0)</f>
        <v>0</v>
      </c>
      <c r="AN128" s="331">
        <f>IF(NFI_Expiration=1,IF($A128&lt;VLOOKUP(V$5,NFI,5,0),1,0)*Table_NFI[[#This Row],[Jerry Can]],Table_NFI[Jerry Can])</f>
        <v>0</v>
      </c>
      <c r="AO128" s="331">
        <f>IF(NFI_Expiration=1,IF($A128&lt;VLOOKUP(V$5,NFI,5,0),1,0)*Table_NFI[[#This Row],[Shelter Tool kit]],Table_NFI[Shelter Tool kit])</f>
        <v>0</v>
      </c>
      <c r="AP128" s="331">
        <f>IF(NFI_Expiration=1,IF($A128&lt;VLOOKUP(V$5,NFI,5,0),1,0)*Table_NFI[[#This Row],[Tent]],Table_NFI[Tent])</f>
        <v>0</v>
      </c>
      <c r="AQ128" s="473" t="str">
        <f>IFERROR(VLOOKUP(Table_NFI[[#This Row],[Camp Name]],CL,2,0),"")</f>
        <v>MMR001CMP072</v>
      </c>
      <c r="AR128" s="468">
        <f ca="1">IF(Table_NFI[[#This Row],[Pcode]]="","",IF(OFFSET(CampList[Opening Date],MATCH(Table_NFI[[#This Row],[Pcode]],CampList[CP_Pcode],0)-1,0,1,1)&gt;=NFI_Monitor_Date,1,0))</f>
        <v>0</v>
      </c>
      <c r="AS128" s="473" t="str">
        <f>IFERROR(VLOOKUP(Table_NFI[[#This Row],[Camp Name]],CL,3,0),"")</f>
        <v>Open</v>
      </c>
      <c r="AT128" s="294" t="str">
        <f ca="1">IF(Table_NFI[[#This Row],[Pcode]]="","",OFFSET(CampList[Priority],MATCH(Table_NFI[[#This Row],[Pcode]],CampList[CP_Pcode],0)-1,0,1,1))</f>
        <v>P3</v>
      </c>
      <c r="AU128" s="293">
        <f>IFERROR(Table_NFI[[#This Row],[Kitchen Set]]/VLOOKUP(Table_NFI[[#This Row],[Camp Name]],CL,4,0),"")</f>
        <v>0</v>
      </c>
      <c r="AV128" s="466"/>
      <c r="AW128" s="469"/>
    </row>
    <row r="129" spans="1:49" s="470" customFormat="1" ht="14.45" customHeight="1" x14ac:dyDescent="0.2">
      <c r="A129" s="297">
        <f t="shared" si="1"/>
        <v>17.2</v>
      </c>
      <c r="B129" s="465">
        <v>42159</v>
      </c>
      <c r="C129" s="466" t="s">
        <v>905</v>
      </c>
      <c r="D129" s="467" t="s">
        <v>905</v>
      </c>
      <c r="E129" s="466" t="s">
        <v>380</v>
      </c>
      <c r="F129" s="290" t="s">
        <v>185</v>
      </c>
      <c r="G129" s="290" t="s">
        <v>225</v>
      </c>
      <c r="H129" s="291"/>
      <c r="I129" s="291"/>
      <c r="J129" s="584">
        <v>73</v>
      </c>
      <c r="K129" s="291"/>
      <c r="L129" s="292"/>
      <c r="M129" s="292"/>
      <c r="N129" s="292"/>
      <c r="O129" s="292"/>
      <c r="P129" s="294"/>
      <c r="Q129" s="294"/>
      <c r="R129" s="294"/>
      <c r="S129" s="294"/>
      <c r="T129" s="294"/>
      <c r="U129" s="294"/>
      <c r="V129" s="431"/>
      <c r="W129" s="294"/>
      <c r="X129" s="294"/>
      <c r="Y129" s="294">
        <f>IF(NFI_Expiration=1,IF($A129&lt;VLOOKUP(H$5,NFI,5,0),1,0)*Table_NFI[[#This Row],[Hygiene Kit]],Table_NFI[Hygiene Kit])</f>
        <v>0</v>
      </c>
      <c r="Z129" s="294">
        <f>IF(NFI_Expiration=1,IF($A129&lt;VLOOKUP(I$5,NFI,5,0),1,0)*Table_NFI[[#This Row],[NFI Core Kit]],Table_NFI[NFI Core Kit])</f>
        <v>0</v>
      </c>
      <c r="AA129" s="294">
        <f>IF(NFI_Expiration=1,IF($A129&lt;VLOOKUP(J$5,NFI,5,0),1,0)*Table_NFI[[#This Row],[Sanitary Kit]],Table_NFI[Sanitary Kit])</f>
        <v>0</v>
      </c>
      <c r="AB129" s="294">
        <f>IF(NFI_Expiration=1,IF($A129&lt;VLOOKUP(K$5,NFI,5,0),1,0)*Table_NFI[[#This Row],[Mosquito net]],Table_NFI[Mosquito net])</f>
        <v>0</v>
      </c>
      <c r="AC129" s="294">
        <f>IF(NFI_Expiration=1,IF($A129&lt;VLOOKUP(L$5,NFI,5,0),1,0)*Table_NFI[[#This Row],[Tarpaulin]],Table_NFI[[#This Row],[Tarpaulin]])</f>
        <v>0</v>
      </c>
      <c r="AD129" s="294">
        <f>IF(NFI_Expiration=1,IF($A129&lt;VLOOKUP(M$5,NFI,5,0),1,0)*Table_NFI[[#This Row],[Blanket]],Table_NFI[[#This Row],[Blanket]])</f>
        <v>0</v>
      </c>
      <c r="AE129" s="294">
        <f>IF(NFI_Expiration=1,IF($A129&lt;VLOOKUP(N$5,NFI,5,0),1,0)*Table_NFI[[#This Row],[Kitchen Set]],Table_NFI[Kitchen Set])</f>
        <v>0</v>
      </c>
      <c r="AF129" s="294">
        <f>IF(NFI_Expiration=1,IF($A129&lt;VLOOKUP(O$5,NFI,5,0),1,0)*Table_NFI[[#This Row],[Clothes Kit]],Table_NFI[Clothes Kit])</f>
        <v>0</v>
      </c>
      <c r="AG129" s="294">
        <f>IF(NFI_Expiration=1,IF($A129&lt;VLOOKUP(P$5,NFI,5,0),1,0)*Table_NFI[[#This Row],[Plastic Bucket]],Table_NFI[Plastic Bucket])</f>
        <v>0</v>
      </c>
      <c r="AH129" s="294">
        <f>IF(NFI_Expiration=1,IF($A129&lt;VLOOKUP(Q$5,NFI,5,0),1,0)*Table_NFI[[#This Row],[Plastic Mat]],Table_NFI[Plastic Mat])*IF(Table_NFI[[#This Row],[Distribution Date]]&gt;"2014-04-01",1,2.5)</f>
        <v>0</v>
      </c>
      <c r="AI129" s="294">
        <f>IF(NFI_Expiration=1,IF($A129&lt;VLOOKUP(R$5,NFI,5,0),1,0)*Table_NFI[[#This Row],[Winter Clothes Adult]],Table_NFI[Winter Clothes Adult])</f>
        <v>0</v>
      </c>
      <c r="AJ129" s="294">
        <f>IF(NFI_Expiration=1,IF($A129&lt;VLOOKUP(S$5,NFI,5,0),1,0)*Table_NFI[[#This Row],[Winter Clothes Children]],Table_NFI[Winter Clothes Children])</f>
        <v>0</v>
      </c>
      <c r="AK129" s="294">
        <f>IF(NFI_Expiration=1,IF($A129&lt;VLOOKUP(T$5,NFI,5,0),1,0)*Table_NFI[[#This Row],[Winter Items Other]],Table_NFI[Winter Items Other])</f>
        <v>0</v>
      </c>
      <c r="AL129" s="294">
        <f>IF(NFI_Expiration=1,IF($A129&lt;VLOOKUP(M$5,NFI,5,0),1,0)*Table_NFI[[#This Row],[Winter Blanket]],Table_NFI[[#This Row],[Winter Blanket]])</f>
        <v>0</v>
      </c>
      <c r="AM129" s="294">
        <f>IF(Table_NFI[[#This Row],[Winter Clothes Adult]]+Table_NFI[[#This Row],[Winter Clothes Children]]+Table_NFI[[#This Row],[Winter Items Other]]+Table_NFI[[#This Row],[Winter Blanket]]&gt;0,1,0)</f>
        <v>0</v>
      </c>
      <c r="AN129" s="331">
        <f>IF(NFI_Expiration=1,IF($A129&lt;VLOOKUP(V$5,NFI,5,0),1,0)*Table_NFI[[#This Row],[Jerry Can]],Table_NFI[Jerry Can])</f>
        <v>0</v>
      </c>
      <c r="AO129" s="331">
        <f>IF(NFI_Expiration=1,IF($A129&lt;VLOOKUP(V$5,NFI,5,0),1,0)*Table_NFI[[#This Row],[Shelter Tool kit]],Table_NFI[Shelter Tool kit])</f>
        <v>0</v>
      </c>
      <c r="AP129" s="331">
        <f>IF(NFI_Expiration=1,IF($A129&lt;VLOOKUP(V$5,NFI,5,0),1,0)*Table_NFI[[#This Row],[Tent]],Table_NFI[Tent])</f>
        <v>0</v>
      </c>
      <c r="AQ129" s="473" t="str">
        <f>IFERROR(VLOOKUP(Table_NFI[[#This Row],[Camp Name]],CL,2,0),"")</f>
        <v>MMR001CMP073</v>
      </c>
      <c r="AR129" s="468">
        <f ca="1">IF(Table_NFI[[#This Row],[Pcode]]="","",IF(OFFSET(CampList[Opening Date],MATCH(Table_NFI[[#This Row],[Pcode]],CampList[CP_Pcode],0)-1,0,1,1)&gt;=NFI_Monitor_Date,1,0))</f>
        <v>0</v>
      </c>
      <c r="AS129" s="473" t="str">
        <f>IFERROR(VLOOKUP(Table_NFI[[#This Row],[Camp Name]],CL,3,0),"")</f>
        <v>Open</v>
      </c>
      <c r="AT129" s="294" t="str">
        <f ca="1">IF(Table_NFI[[#This Row],[Pcode]]="","",OFFSET(CampList[Priority],MATCH(Table_NFI[[#This Row],[Pcode]],CampList[CP_Pcode],0)-1,0,1,1))</f>
        <v>P3</v>
      </c>
      <c r="AU129" s="293">
        <f>IFERROR(Table_NFI[[#This Row],[Kitchen Set]]/VLOOKUP(Table_NFI[[#This Row],[Camp Name]],CL,4,0),"")</f>
        <v>0</v>
      </c>
      <c r="AV129" s="466"/>
      <c r="AW129" s="469"/>
    </row>
    <row r="130" spans="1:49" s="470" customFormat="1" ht="14.45" customHeight="1" x14ac:dyDescent="0.2">
      <c r="A130" s="297">
        <f t="shared" si="1"/>
        <v>17.233333333333334</v>
      </c>
      <c r="B130" s="465">
        <v>42158</v>
      </c>
      <c r="C130" s="466" t="s">
        <v>905</v>
      </c>
      <c r="D130" s="467" t="s">
        <v>905</v>
      </c>
      <c r="E130" s="466" t="s">
        <v>380</v>
      </c>
      <c r="F130" s="290" t="s">
        <v>185</v>
      </c>
      <c r="G130" s="290" t="s">
        <v>186</v>
      </c>
      <c r="H130" s="291"/>
      <c r="I130" s="291"/>
      <c r="J130" s="584"/>
      <c r="K130" s="291"/>
      <c r="L130" s="292"/>
      <c r="M130" s="292"/>
      <c r="N130" s="292"/>
      <c r="O130" s="292"/>
      <c r="P130" s="294"/>
      <c r="Q130" s="294"/>
      <c r="R130" s="294"/>
      <c r="S130" s="294"/>
      <c r="T130" s="294"/>
      <c r="U130" s="294"/>
      <c r="V130" s="431"/>
      <c r="W130" s="294"/>
      <c r="X130" s="294"/>
      <c r="Y130" s="294">
        <f>IF(NFI_Expiration=1,IF($A130&lt;VLOOKUP(H$5,NFI,5,0),1,0)*Table_NFI[[#This Row],[Hygiene Kit]],Table_NFI[Hygiene Kit])</f>
        <v>0</v>
      </c>
      <c r="Z130" s="294">
        <f>IF(NFI_Expiration=1,IF($A130&lt;VLOOKUP(I$5,NFI,5,0),1,0)*Table_NFI[[#This Row],[NFI Core Kit]],Table_NFI[NFI Core Kit])</f>
        <v>0</v>
      </c>
      <c r="AA130" s="294">
        <f>IF(NFI_Expiration=1,IF($A130&lt;VLOOKUP(J$5,NFI,5,0),1,0)*Table_NFI[[#This Row],[Sanitary Kit]],Table_NFI[Sanitary Kit])</f>
        <v>0</v>
      </c>
      <c r="AB130" s="294">
        <f>IF(NFI_Expiration=1,IF($A130&lt;VLOOKUP(K$5,NFI,5,0),1,0)*Table_NFI[[#This Row],[Mosquito net]],Table_NFI[Mosquito net])</f>
        <v>0</v>
      </c>
      <c r="AC130" s="294">
        <f>IF(NFI_Expiration=1,IF($A130&lt;VLOOKUP(L$5,NFI,5,0),1,0)*Table_NFI[[#This Row],[Tarpaulin]],Table_NFI[[#This Row],[Tarpaulin]])</f>
        <v>0</v>
      </c>
      <c r="AD130" s="294">
        <f>IF(NFI_Expiration=1,IF($A130&lt;VLOOKUP(M$5,NFI,5,0),1,0)*Table_NFI[[#This Row],[Blanket]],Table_NFI[[#This Row],[Blanket]])</f>
        <v>0</v>
      </c>
      <c r="AE130" s="294">
        <f>IF(NFI_Expiration=1,IF($A130&lt;VLOOKUP(N$5,NFI,5,0),1,0)*Table_NFI[[#This Row],[Kitchen Set]],Table_NFI[Kitchen Set])</f>
        <v>0</v>
      </c>
      <c r="AF130" s="294">
        <f>IF(NFI_Expiration=1,IF($A130&lt;VLOOKUP(O$5,NFI,5,0),1,0)*Table_NFI[[#This Row],[Clothes Kit]],Table_NFI[Clothes Kit])</f>
        <v>0</v>
      </c>
      <c r="AG130" s="294">
        <f>IF(NFI_Expiration=1,IF($A130&lt;VLOOKUP(P$5,NFI,5,0),1,0)*Table_NFI[[#This Row],[Plastic Bucket]],Table_NFI[Plastic Bucket])</f>
        <v>0</v>
      </c>
      <c r="AH130" s="294">
        <f>IF(NFI_Expiration=1,IF($A130&lt;VLOOKUP(Q$5,NFI,5,0),1,0)*Table_NFI[[#This Row],[Plastic Mat]],Table_NFI[Plastic Mat])*IF(Table_NFI[[#This Row],[Distribution Date]]&gt;"2014-04-01",1,2.5)</f>
        <v>0</v>
      </c>
      <c r="AI130" s="294">
        <f>IF(NFI_Expiration=1,IF($A130&lt;VLOOKUP(R$5,NFI,5,0),1,0)*Table_NFI[[#This Row],[Winter Clothes Adult]],Table_NFI[Winter Clothes Adult])</f>
        <v>0</v>
      </c>
      <c r="AJ130" s="294">
        <f>IF(NFI_Expiration=1,IF($A130&lt;VLOOKUP(S$5,NFI,5,0),1,0)*Table_NFI[[#This Row],[Winter Clothes Children]],Table_NFI[Winter Clothes Children])</f>
        <v>0</v>
      </c>
      <c r="AK130" s="294">
        <f>IF(NFI_Expiration=1,IF($A130&lt;VLOOKUP(T$5,NFI,5,0),1,0)*Table_NFI[[#This Row],[Winter Items Other]],Table_NFI[Winter Items Other])</f>
        <v>0</v>
      </c>
      <c r="AL130" s="294">
        <f>IF(NFI_Expiration=1,IF($A130&lt;VLOOKUP(M$5,NFI,5,0),1,0)*Table_NFI[[#This Row],[Winter Blanket]],Table_NFI[[#This Row],[Winter Blanket]])</f>
        <v>0</v>
      </c>
      <c r="AM130" s="294">
        <f>IF(Table_NFI[[#This Row],[Winter Clothes Adult]]+Table_NFI[[#This Row],[Winter Clothes Children]]+Table_NFI[[#This Row],[Winter Items Other]]+Table_NFI[[#This Row],[Winter Blanket]]&gt;0,1,0)</f>
        <v>0</v>
      </c>
      <c r="AN130" s="331">
        <f>IF(NFI_Expiration=1,IF($A130&lt;VLOOKUP(V$5,NFI,5,0),1,0)*Table_NFI[[#This Row],[Jerry Can]],Table_NFI[Jerry Can])</f>
        <v>0</v>
      </c>
      <c r="AO130" s="331">
        <f>IF(NFI_Expiration=1,IF($A130&lt;VLOOKUP(V$5,NFI,5,0),1,0)*Table_NFI[[#This Row],[Shelter Tool kit]],Table_NFI[Shelter Tool kit])</f>
        <v>0</v>
      </c>
      <c r="AP130" s="331">
        <f>IF(NFI_Expiration=1,IF($A130&lt;VLOOKUP(V$5,NFI,5,0),1,0)*Table_NFI[[#This Row],[Tent]],Table_NFI[Tent])</f>
        <v>0</v>
      </c>
      <c r="AQ130" s="473" t="str">
        <f>IFERROR(VLOOKUP(Table_NFI[[#This Row],[Camp Name]],CL,2,0),"")</f>
        <v>MMR001CMP071</v>
      </c>
      <c r="AR130" s="468">
        <f ca="1">IF(Table_NFI[[#This Row],[Pcode]]="","",IF(OFFSET(CampList[Opening Date],MATCH(Table_NFI[[#This Row],[Pcode]],CampList[CP_Pcode],0)-1,0,1,1)&gt;=NFI_Monitor_Date,1,0))</f>
        <v>0</v>
      </c>
      <c r="AS130" s="473" t="str">
        <f>IFERROR(VLOOKUP(Table_NFI[[#This Row],[Camp Name]],CL,3,0),"")</f>
        <v>Open</v>
      </c>
      <c r="AT130" s="294" t="str">
        <f ca="1">IF(Table_NFI[[#This Row],[Pcode]]="","",OFFSET(CampList[Priority],MATCH(Table_NFI[[#This Row],[Pcode]],CampList[CP_Pcode],0)-1,0,1,1))</f>
        <v>P3</v>
      </c>
      <c r="AU130" s="293">
        <f>IFERROR(Table_NFI[[#This Row],[Kitchen Set]]/VLOOKUP(Table_NFI[[#This Row],[Camp Name]],CL,4,0),"")</f>
        <v>0</v>
      </c>
      <c r="AV130" s="466"/>
      <c r="AW130" s="469"/>
    </row>
    <row r="131" spans="1:49" s="470" customFormat="1" ht="14.45" customHeight="1" x14ac:dyDescent="0.25">
      <c r="A131" s="297">
        <f t="shared" si="1"/>
        <v>17.233333333333334</v>
      </c>
      <c r="B131" s="465">
        <v>42158</v>
      </c>
      <c r="C131" s="466" t="s">
        <v>905</v>
      </c>
      <c r="D131" s="466" t="s">
        <v>905</v>
      </c>
      <c r="E131" s="466" t="s">
        <v>380</v>
      </c>
      <c r="F131" s="466" t="s">
        <v>185</v>
      </c>
      <c r="G131" s="290" t="s">
        <v>223</v>
      </c>
      <c r="H131" s="291"/>
      <c r="I131" s="291"/>
      <c r="J131" s="292">
        <v>115</v>
      </c>
      <c r="K131" s="291"/>
      <c r="L131" s="292"/>
      <c r="M131" s="292"/>
      <c r="N131" s="292"/>
      <c r="O131" s="292"/>
      <c r="P131" s="294"/>
      <c r="Q131" s="294"/>
      <c r="R131" s="294"/>
      <c r="S131" s="294"/>
      <c r="T131" s="294"/>
      <c r="U131" s="294"/>
      <c r="V131" s="431"/>
      <c r="W131" s="294"/>
      <c r="X131" s="294"/>
      <c r="Y131" s="294">
        <f>IF(NFI_Expiration=1,IF($A131&lt;VLOOKUP(H$5,NFI,5,0),1,0)*Table_NFI[[#This Row],[Hygiene Kit]],Table_NFI[Hygiene Kit])</f>
        <v>0</v>
      </c>
      <c r="Z131" s="294">
        <f>IF(NFI_Expiration=1,IF($A131&lt;VLOOKUP(I$5,NFI,5,0),1,0)*Table_NFI[[#This Row],[NFI Core Kit]],Table_NFI[NFI Core Kit])</f>
        <v>0</v>
      </c>
      <c r="AA131" s="294">
        <f>IF(NFI_Expiration=1,IF($A131&lt;VLOOKUP(J$5,NFI,5,0),1,0)*Table_NFI[[#This Row],[Sanitary Kit]],Table_NFI[Sanitary Kit])</f>
        <v>0</v>
      </c>
      <c r="AB131" s="294">
        <f>IF(NFI_Expiration=1,IF($A131&lt;VLOOKUP(K$5,NFI,5,0),1,0)*Table_NFI[[#This Row],[Mosquito net]],Table_NFI[Mosquito net])</f>
        <v>0</v>
      </c>
      <c r="AC131" s="294">
        <f>IF(NFI_Expiration=1,IF($A131&lt;VLOOKUP(L$5,NFI,5,0),1,0)*Table_NFI[[#This Row],[Tarpaulin]],Table_NFI[[#This Row],[Tarpaulin]])</f>
        <v>0</v>
      </c>
      <c r="AD131" s="294">
        <f>IF(NFI_Expiration=1,IF($A131&lt;VLOOKUP(M$5,NFI,5,0),1,0)*Table_NFI[[#This Row],[Blanket]],Table_NFI[[#This Row],[Blanket]])</f>
        <v>0</v>
      </c>
      <c r="AE131" s="294">
        <f>IF(NFI_Expiration=1,IF($A131&lt;VLOOKUP(N$5,NFI,5,0),1,0)*Table_NFI[[#This Row],[Kitchen Set]],Table_NFI[Kitchen Set])</f>
        <v>0</v>
      </c>
      <c r="AF131" s="294">
        <f>IF(NFI_Expiration=1,IF($A131&lt;VLOOKUP(O$5,NFI,5,0),1,0)*Table_NFI[[#This Row],[Clothes Kit]],Table_NFI[Clothes Kit])</f>
        <v>0</v>
      </c>
      <c r="AG131" s="294">
        <f>IF(NFI_Expiration=1,IF($A131&lt;VLOOKUP(P$5,NFI,5,0),1,0)*Table_NFI[[#This Row],[Plastic Bucket]],Table_NFI[Plastic Bucket])</f>
        <v>0</v>
      </c>
      <c r="AH131" s="294">
        <f>IF(NFI_Expiration=1,IF($A131&lt;VLOOKUP(Q$5,NFI,5,0),1,0)*Table_NFI[[#This Row],[Plastic Mat]],Table_NFI[Plastic Mat])*IF(Table_NFI[[#This Row],[Distribution Date]]&gt;"2014-04-01",1,2.5)</f>
        <v>0</v>
      </c>
      <c r="AI131" s="294">
        <f>IF(NFI_Expiration=1,IF($A131&lt;VLOOKUP(R$5,NFI,5,0),1,0)*Table_NFI[[#This Row],[Winter Clothes Adult]],Table_NFI[Winter Clothes Adult])</f>
        <v>0</v>
      </c>
      <c r="AJ131" s="294">
        <f>IF(NFI_Expiration=1,IF($A131&lt;VLOOKUP(S$5,NFI,5,0),1,0)*Table_NFI[[#This Row],[Winter Clothes Children]],Table_NFI[Winter Clothes Children])</f>
        <v>0</v>
      </c>
      <c r="AK131" s="294">
        <f>IF(NFI_Expiration=1,IF($A131&lt;VLOOKUP(T$5,NFI,5,0),1,0)*Table_NFI[[#This Row],[Winter Items Other]],Table_NFI[Winter Items Other])</f>
        <v>0</v>
      </c>
      <c r="AL131" s="294">
        <f>IF(NFI_Expiration=1,IF($A131&lt;VLOOKUP(M$5,NFI,5,0),1,0)*Table_NFI[[#This Row],[Winter Blanket]],Table_NFI[[#This Row],[Winter Blanket]])</f>
        <v>0</v>
      </c>
      <c r="AM131" s="294">
        <f>IF(Table_NFI[[#This Row],[Winter Clothes Adult]]+Table_NFI[[#This Row],[Winter Clothes Children]]+Table_NFI[[#This Row],[Winter Items Other]]+Table_NFI[[#This Row],[Winter Blanket]]&gt;0,1,0)</f>
        <v>0</v>
      </c>
      <c r="AN131" s="331">
        <f>IF(NFI_Expiration=1,IF($A131&lt;VLOOKUP(V$5,NFI,5,0),1,0)*Table_NFI[[#This Row],[Jerry Can]],Table_NFI[Jerry Can])</f>
        <v>0</v>
      </c>
      <c r="AO131" s="331">
        <f>IF(NFI_Expiration=1,IF($A131&lt;VLOOKUP(V$5,NFI,5,0),1,0)*Table_NFI[[#This Row],[Shelter Tool kit]],Table_NFI[Shelter Tool kit])</f>
        <v>0</v>
      </c>
      <c r="AP131" s="331">
        <f>IF(NFI_Expiration=1,IF($A131&lt;VLOOKUP(V$5,NFI,5,0),1,0)*Table_NFI[[#This Row],[Tent]],Table_NFI[Tent])</f>
        <v>0</v>
      </c>
      <c r="AQ131" s="473" t="str">
        <f>IFERROR(VLOOKUP(Table_NFI[[#This Row],[Camp Name]],CL,2,0),"")</f>
        <v>MMR001CMP069</v>
      </c>
      <c r="AR131" s="468">
        <f ca="1">IF(Table_NFI[[#This Row],[Pcode]]="","",IF(OFFSET(CampList[Opening Date],MATCH(Table_NFI[[#This Row],[Pcode]],CampList[CP_Pcode],0)-1,0,1,1)&gt;=NFI_Monitor_Date,1,0))</f>
        <v>0</v>
      </c>
      <c r="AS131" s="473" t="str">
        <f>IFERROR(VLOOKUP(Table_NFI[[#This Row],[Camp Name]],CL,3,0),"")</f>
        <v>Open</v>
      </c>
      <c r="AT131" s="294" t="str">
        <f ca="1">IF(Table_NFI[[#This Row],[Pcode]]="","",OFFSET(CampList[Priority],MATCH(Table_NFI[[#This Row],[Pcode]],CampList[CP_Pcode],0)-1,0,1,1))</f>
        <v>P3</v>
      </c>
      <c r="AU131" s="293">
        <f>IFERROR(Table_NFI[[#This Row],[Kitchen Set]]/VLOOKUP(Table_NFI[[#This Row],[Camp Name]],CL,4,0),"")</f>
        <v>0</v>
      </c>
      <c r="AV131" s="466"/>
      <c r="AW131" s="469"/>
    </row>
    <row r="132" spans="1:49" s="470" customFormat="1" ht="14.45" customHeight="1" x14ac:dyDescent="0.2">
      <c r="A132" s="297">
        <f t="shared" si="1"/>
        <v>17.233333333333334</v>
      </c>
      <c r="B132" s="465">
        <v>42158</v>
      </c>
      <c r="C132" s="466" t="s">
        <v>905</v>
      </c>
      <c r="D132" s="467" t="s">
        <v>905</v>
      </c>
      <c r="E132" s="466" t="s">
        <v>380</v>
      </c>
      <c r="F132" s="290" t="s">
        <v>185</v>
      </c>
      <c r="G132" s="290" t="s">
        <v>190</v>
      </c>
      <c r="H132" s="291"/>
      <c r="I132" s="291"/>
      <c r="J132" s="584">
        <v>270</v>
      </c>
      <c r="K132" s="291"/>
      <c r="L132" s="292"/>
      <c r="M132" s="292"/>
      <c r="N132" s="292"/>
      <c r="O132" s="292"/>
      <c r="P132" s="294"/>
      <c r="Q132" s="294"/>
      <c r="R132" s="294"/>
      <c r="S132" s="294"/>
      <c r="T132" s="294"/>
      <c r="U132" s="294"/>
      <c r="V132" s="431"/>
      <c r="W132" s="294"/>
      <c r="X132" s="294"/>
      <c r="Y132" s="294">
        <f>IF(NFI_Expiration=1,IF($A132&lt;VLOOKUP(H$5,NFI,5,0),1,0)*Table_NFI[[#This Row],[Hygiene Kit]],Table_NFI[Hygiene Kit])</f>
        <v>0</v>
      </c>
      <c r="Z132" s="294">
        <f>IF(NFI_Expiration=1,IF($A132&lt;VLOOKUP(I$5,NFI,5,0),1,0)*Table_NFI[[#This Row],[NFI Core Kit]],Table_NFI[NFI Core Kit])</f>
        <v>0</v>
      </c>
      <c r="AA132" s="294">
        <f>IF(NFI_Expiration=1,IF($A132&lt;VLOOKUP(J$5,NFI,5,0),1,0)*Table_NFI[[#This Row],[Sanitary Kit]],Table_NFI[Sanitary Kit])</f>
        <v>0</v>
      </c>
      <c r="AB132" s="294">
        <f>IF(NFI_Expiration=1,IF($A132&lt;VLOOKUP(K$5,NFI,5,0),1,0)*Table_NFI[[#This Row],[Mosquito net]],Table_NFI[Mosquito net])</f>
        <v>0</v>
      </c>
      <c r="AC132" s="294">
        <f>IF(NFI_Expiration=1,IF($A132&lt;VLOOKUP(L$5,NFI,5,0),1,0)*Table_NFI[[#This Row],[Tarpaulin]],Table_NFI[[#This Row],[Tarpaulin]])</f>
        <v>0</v>
      </c>
      <c r="AD132" s="294">
        <f>IF(NFI_Expiration=1,IF($A132&lt;VLOOKUP(M$5,NFI,5,0),1,0)*Table_NFI[[#This Row],[Blanket]],Table_NFI[[#This Row],[Blanket]])</f>
        <v>0</v>
      </c>
      <c r="AE132" s="294">
        <f>IF(NFI_Expiration=1,IF($A132&lt;VLOOKUP(N$5,NFI,5,0),1,0)*Table_NFI[[#This Row],[Kitchen Set]],Table_NFI[Kitchen Set])</f>
        <v>0</v>
      </c>
      <c r="AF132" s="294">
        <f>IF(NFI_Expiration=1,IF($A132&lt;VLOOKUP(O$5,NFI,5,0),1,0)*Table_NFI[[#This Row],[Clothes Kit]],Table_NFI[Clothes Kit])</f>
        <v>0</v>
      </c>
      <c r="AG132" s="294">
        <f>IF(NFI_Expiration=1,IF($A132&lt;VLOOKUP(P$5,NFI,5,0),1,0)*Table_NFI[[#This Row],[Plastic Bucket]],Table_NFI[Plastic Bucket])</f>
        <v>0</v>
      </c>
      <c r="AH132" s="294">
        <f>IF(NFI_Expiration=1,IF($A132&lt;VLOOKUP(Q$5,NFI,5,0),1,0)*Table_NFI[[#This Row],[Plastic Mat]],Table_NFI[Plastic Mat])*IF(Table_NFI[[#This Row],[Distribution Date]]&gt;"2014-04-01",1,2.5)</f>
        <v>0</v>
      </c>
      <c r="AI132" s="294">
        <f>IF(NFI_Expiration=1,IF($A132&lt;VLOOKUP(R$5,NFI,5,0),1,0)*Table_NFI[[#This Row],[Winter Clothes Adult]],Table_NFI[Winter Clothes Adult])</f>
        <v>0</v>
      </c>
      <c r="AJ132" s="294">
        <f>IF(NFI_Expiration=1,IF($A132&lt;VLOOKUP(S$5,NFI,5,0),1,0)*Table_NFI[[#This Row],[Winter Clothes Children]],Table_NFI[Winter Clothes Children])</f>
        <v>0</v>
      </c>
      <c r="AK132" s="294">
        <f>IF(NFI_Expiration=1,IF($A132&lt;VLOOKUP(T$5,NFI,5,0),1,0)*Table_NFI[[#This Row],[Winter Items Other]],Table_NFI[Winter Items Other])</f>
        <v>0</v>
      </c>
      <c r="AL132" s="294">
        <f>IF(NFI_Expiration=1,IF($A132&lt;VLOOKUP(M$5,NFI,5,0),1,0)*Table_NFI[[#This Row],[Winter Blanket]],Table_NFI[[#This Row],[Winter Blanket]])</f>
        <v>0</v>
      </c>
      <c r="AM132" s="294">
        <f>IF(Table_NFI[[#This Row],[Winter Clothes Adult]]+Table_NFI[[#This Row],[Winter Clothes Children]]+Table_NFI[[#This Row],[Winter Items Other]]+Table_NFI[[#This Row],[Winter Blanket]]&gt;0,1,0)</f>
        <v>0</v>
      </c>
      <c r="AN132" s="331">
        <f>IF(NFI_Expiration=1,IF($A132&lt;VLOOKUP(V$5,NFI,5,0),1,0)*Table_NFI[[#This Row],[Jerry Can]],Table_NFI[Jerry Can])</f>
        <v>0</v>
      </c>
      <c r="AO132" s="331">
        <f>IF(NFI_Expiration=1,IF($A132&lt;VLOOKUP(V$5,NFI,5,0),1,0)*Table_NFI[[#This Row],[Shelter Tool kit]],Table_NFI[Shelter Tool kit])</f>
        <v>0</v>
      </c>
      <c r="AP132" s="331">
        <f>IF(NFI_Expiration=1,IF($A132&lt;VLOOKUP(V$5,NFI,5,0),1,0)*Table_NFI[[#This Row],[Tent]],Table_NFI[Tent])</f>
        <v>0</v>
      </c>
      <c r="AQ132" s="473" t="str">
        <f>IFERROR(VLOOKUP(Table_NFI[[#This Row],[Camp Name]],CL,2,0),"")</f>
        <v>MMR001CMP070</v>
      </c>
      <c r="AR132" s="468">
        <f ca="1">IF(Table_NFI[[#This Row],[Pcode]]="","",IF(OFFSET(CampList[Opening Date],MATCH(Table_NFI[[#This Row],[Pcode]],CampList[CP_Pcode],0)-1,0,1,1)&gt;=NFI_Monitor_Date,1,0))</f>
        <v>0</v>
      </c>
      <c r="AS132" s="473" t="str">
        <f>IFERROR(VLOOKUP(Table_NFI[[#This Row],[Camp Name]],CL,3,0),"")</f>
        <v>Open</v>
      </c>
      <c r="AT132" s="294" t="str">
        <f ca="1">IF(Table_NFI[[#This Row],[Pcode]]="","",OFFSET(CampList[Priority],MATCH(Table_NFI[[#This Row],[Pcode]],CampList[CP_Pcode],0)-1,0,1,1))</f>
        <v>P3</v>
      </c>
      <c r="AU132" s="293">
        <f>IFERROR(Table_NFI[[#This Row],[Kitchen Set]]/VLOOKUP(Table_NFI[[#This Row],[Camp Name]],CL,4,0),"")</f>
        <v>0</v>
      </c>
      <c r="AV132" s="466"/>
      <c r="AW132" s="469"/>
    </row>
    <row r="133" spans="1:49" s="98" customFormat="1" ht="14.45" customHeight="1" x14ac:dyDescent="0.25">
      <c r="A133" s="297">
        <f t="shared" si="1"/>
        <v>17.233333333333334</v>
      </c>
      <c r="B133" s="465">
        <v>42158</v>
      </c>
      <c r="C133" s="466" t="s">
        <v>452</v>
      </c>
      <c r="D133" s="466" t="s">
        <v>460</v>
      </c>
      <c r="E133" s="466" t="s">
        <v>380</v>
      </c>
      <c r="F133" s="466" t="s">
        <v>151</v>
      </c>
      <c r="G133" s="290" t="s">
        <v>885</v>
      </c>
      <c r="H133" s="291"/>
      <c r="I133" s="291"/>
      <c r="J133" s="291"/>
      <c r="K133" s="291">
        <v>6</v>
      </c>
      <c r="L133" s="292">
        <v>12</v>
      </c>
      <c r="M133" s="292">
        <v>24</v>
      </c>
      <c r="N133" s="292">
        <v>3</v>
      </c>
      <c r="O133" s="292"/>
      <c r="P133" s="294">
        <v>3</v>
      </c>
      <c r="Q133" s="294">
        <v>9</v>
      </c>
      <c r="R133" s="294"/>
      <c r="S133" s="294"/>
      <c r="T133" s="294"/>
      <c r="U133" s="294"/>
      <c r="V133" s="431">
        <v>3</v>
      </c>
      <c r="W133" s="294"/>
      <c r="X133" s="294"/>
      <c r="Y133" s="294">
        <f>IF(NFI_Expiration=1,IF($A133&lt;VLOOKUP(H$5,NFI,5,0),1,0)*Table_NFI[[#This Row],[Hygiene Kit]],Table_NFI[Hygiene Kit])</f>
        <v>0</v>
      </c>
      <c r="Z133" s="294">
        <f>IF(NFI_Expiration=1,IF($A133&lt;VLOOKUP(I$5,NFI,5,0),1,0)*Table_NFI[[#This Row],[NFI Core Kit]],Table_NFI[NFI Core Kit])</f>
        <v>0</v>
      </c>
      <c r="AA133" s="294">
        <f>IF(NFI_Expiration=1,IF($A133&lt;VLOOKUP(J$5,NFI,5,0),1,0)*Table_NFI[[#This Row],[Sanitary Kit]],Table_NFI[Sanitary Kit])</f>
        <v>0</v>
      </c>
      <c r="AB133" s="294">
        <f>IF(NFI_Expiration=1,IF($A133&lt;VLOOKUP(K$5,NFI,5,0),1,0)*Table_NFI[[#This Row],[Mosquito net]],Table_NFI[Mosquito net])</f>
        <v>0</v>
      </c>
      <c r="AC133" s="294">
        <f>IF(NFI_Expiration=1,IF($A133&lt;VLOOKUP(L$5,NFI,5,0),1,0)*Table_NFI[[#This Row],[Tarpaulin]],Table_NFI[[#This Row],[Tarpaulin]])</f>
        <v>0</v>
      </c>
      <c r="AD133" s="294">
        <f>IF(NFI_Expiration=1,IF($A133&lt;VLOOKUP(M$5,NFI,5,0),1,0)*Table_NFI[[#This Row],[Blanket]],Table_NFI[[#This Row],[Blanket]])</f>
        <v>0</v>
      </c>
      <c r="AE133" s="294">
        <f>IF(NFI_Expiration=1,IF($A133&lt;VLOOKUP(N$5,NFI,5,0),1,0)*Table_NFI[[#This Row],[Kitchen Set]],Table_NFI[Kitchen Set])</f>
        <v>0</v>
      </c>
      <c r="AF133" s="294">
        <f>IF(NFI_Expiration=1,IF($A133&lt;VLOOKUP(O$5,NFI,5,0),1,0)*Table_NFI[[#This Row],[Clothes Kit]],Table_NFI[Clothes Kit])</f>
        <v>0</v>
      </c>
      <c r="AG133" s="294">
        <f>IF(NFI_Expiration=1,IF($A133&lt;VLOOKUP(P$5,NFI,5,0),1,0)*Table_NFI[[#This Row],[Plastic Bucket]],Table_NFI[Plastic Bucket])</f>
        <v>0</v>
      </c>
      <c r="AH133" s="294">
        <f>IF(NFI_Expiration=1,IF($A133&lt;VLOOKUP(Q$5,NFI,5,0),1,0)*Table_NFI[[#This Row],[Plastic Mat]],Table_NFI[Plastic Mat])*IF(Table_NFI[[#This Row],[Distribution Date]]&gt;"2014-04-01",1,2.5)</f>
        <v>0</v>
      </c>
      <c r="AI133" s="294">
        <f>IF(NFI_Expiration=1,IF($A133&lt;VLOOKUP(R$5,NFI,5,0),1,0)*Table_NFI[[#This Row],[Winter Clothes Adult]],Table_NFI[Winter Clothes Adult])</f>
        <v>0</v>
      </c>
      <c r="AJ133" s="294">
        <f>IF(NFI_Expiration=1,IF($A133&lt;VLOOKUP(S$5,NFI,5,0),1,0)*Table_NFI[[#This Row],[Winter Clothes Children]],Table_NFI[Winter Clothes Children])</f>
        <v>0</v>
      </c>
      <c r="AK133" s="294">
        <f>IF(NFI_Expiration=1,IF($A133&lt;VLOOKUP(T$5,NFI,5,0),1,0)*Table_NFI[[#This Row],[Winter Items Other]],Table_NFI[Winter Items Other])</f>
        <v>0</v>
      </c>
      <c r="AL133" s="294">
        <f>IF(NFI_Expiration=1,IF($A133&lt;VLOOKUP(M$5,NFI,5,0),1,0)*Table_NFI[[#This Row],[Winter Blanket]],Table_NFI[[#This Row],[Winter Blanket]])</f>
        <v>0</v>
      </c>
      <c r="AM133" s="294">
        <f>IF(Table_NFI[[#This Row],[Winter Clothes Adult]]+Table_NFI[[#This Row],[Winter Clothes Children]]+Table_NFI[[#This Row],[Winter Items Other]]+Table_NFI[[#This Row],[Winter Blanket]]&gt;0,1,0)</f>
        <v>0</v>
      </c>
      <c r="AN133" s="331">
        <f>IF(NFI_Expiration=1,IF($A133&lt;VLOOKUP(V$5,NFI,5,0),1,0)*Table_NFI[[#This Row],[Jerry Can]],Table_NFI[Jerry Can])</f>
        <v>0</v>
      </c>
      <c r="AO133" s="331">
        <f>IF(NFI_Expiration=1,IF($A133&lt;VLOOKUP(V$5,NFI,5,0),1,0)*Table_NFI[[#This Row],[Shelter Tool kit]],Table_NFI[Shelter Tool kit])</f>
        <v>0</v>
      </c>
      <c r="AP133" s="331">
        <f>IF(NFI_Expiration=1,IF($A133&lt;VLOOKUP(V$5,NFI,5,0),1,0)*Table_NFI[[#This Row],[Tent]],Table_NFI[Tent])</f>
        <v>0</v>
      </c>
      <c r="AQ133" s="473" t="str">
        <f>IFERROR(VLOOKUP(Table_NFI[[#This Row],[Camp Name]],CL,2,0),"")</f>
        <v>MMR001CMP218</v>
      </c>
      <c r="AR133" s="468">
        <f ca="1">IF(Table_NFI[[#This Row],[Pcode]]="","",IF(OFFSET(CampList[Opening Date],MATCH(Table_NFI[[#This Row],[Pcode]],CampList[CP_Pcode],0)-1,0,1,1)&gt;=NFI_Monitor_Date,1,0))</f>
        <v>0</v>
      </c>
      <c r="AS133" s="670" t="str">
        <f>IFERROR(VLOOKUP(Table_NFI[[#This Row],[Camp Name]],CL,3,0),"")</f>
        <v>Open</v>
      </c>
      <c r="AT133" s="294" t="str">
        <f ca="1">IF(Table_NFI[[#This Row],[Pcode]]="","",OFFSET(CampList[Priority],MATCH(Table_NFI[[#This Row],[Pcode]],CampList[CP_Pcode],0)-1,0,1,1))</f>
        <v>P4</v>
      </c>
      <c r="AU133" s="293">
        <f>IFERROR(Table_NFI[[#This Row],[Kitchen Set]]/VLOOKUP(Table_NFI[[#This Row],[Camp Name]],CL,4,0),"")</f>
        <v>8.0213903743315516E-3</v>
      </c>
      <c r="AV133" s="466" t="s">
        <v>1092</v>
      </c>
      <c r="AW133" s="469"/>
    </row>
    <row r="134" spans="1:49" s="470" customFormat="1" ht="14.45" customHeight="1" x14ac:dyDescent="0.2">
      <c r="A134" s="297">
        <f t="shared" ref="A134:A197" si="2">IF(ISBLANK(B134),"",(Report_Date-B134)/30)</f>
        <v>17.266666666666666</v>
      </c>
      <c r="B134" s="465">
        <v>42157</v>
      </c>
      <c r="C134" s="466" t="s">
        <v>905</v>
      </c>
      <c r="D134" s="467" t="s">
        <v>905</v>
      </c>
      <c r="E134" s="466" t="s">
        <v>380</v>
      </c>
      <c r="F134" s="290" t="s">
        <v>5</v>
      </c>
      <c r="G134" s="290" t="s">
        <v>22</v>
      </c>
      <c r="H134" s="291"/>
      <c r="I134" s="291"/>
      <c r="J134" s="584">
        <v>1048</v>
      </c>
      <c r="K134" s="291"/>
      <c r="L134" s="292"/>
      <c r="M134" s="292"/>
      <c r="N134" s="292"/>
      <c r="O134" s="292"/>
      <c r="P134" s="294"/>
      <c r="Q134" s="294"/>
      <c r="R134" s="294"/>
      <c r="S134" s="294"/>
      <c r="T134" s="294"/>
      <c r="U134" s="294"/>
      <c r="V134" s="431"/>
      <c r="W134" s="294"/>
      <c r="X134" s="294"/>
      <c r="Y134" s="294">
        <f>IF(NFI_Expiration=1,IF($A134&lt;VLOOKUP(H$5,NFI,5,0),1,0)*Table_NFI[[#This Row],[Hygiene Kit]],Table_NFI[Hygiene Kit])</f>
        <v>0</v>
      </c>
      <c r="Z134" s="294">
        <f>IF(NFI_Expiration=1,IF($A134&lt;VLOOKUP(I$5,NFI,5,0),1,0)*Table_NFI[[#This Row],[NFI Core Kit]],Table_NFI[NFI Core Kit])</f>
        <v>0</v>
      </c>
      <c r="AA134" s="294">
        <f>IF(NFI_Expiration=1,IF($A134&lt;VLOOKUP(J$5,NFI,5,0),1,0)*Table_NFI[[#This Row],[Sanitary Kit]],Table_NFI[Sanitary Kit])</f>
        <v>0</v>
      </c>
      <c r="AB134" s="294">
        <f>IF(NFI_Expiration=1,IF($A134&lt;VLOOKUP(K$5,NFI,5,0),1,0)*Table_NFI[[#This Row],[Mosquito net]],Table_NFI[Mosquito net])</f>
        <v>0</v>
      </c>
      <c r="AC134" s="294">
        <f>IF(NFI_Expiration=1,IF($A134&lt;VLOOKUP(L$5,NFI,5,0),1,0)*Table_NFI[[#This Row],[Tarpaulin]],Table_NFI[[#This Row],[Tarpaulin]])</f>
        <v>0</v>
      </c>
      <c r="AD134" s="294">
        <f>IF(NFI_Expiration=1,IF($A134&lt;VLOOKUP(M$5,NFI,5,0),1,0)*Table_NFI[[#This Row],[Blanket]],Table_NFI[[#This Row],[Blanket]])</f>
        <v>0</v>
      </c>
      <c r="AE134" s="294">
        <f>IF(NFI_Expiration=1,IF($A134&lt;VLOOKUP(N$5,NFI,5,0),1,0)*Table_NFI[[#This Row],[Kitchen Set]],Table_NFI[Kitchen Set])</f>
        <v>0</v>
      </c>
      <c r="AF134" s="294">
        <f>IF(NFI_Expiration=1,IF($A134&lt;VLOOKUP(O$5,NFI,5,0),1,0)*Table_NFI[[#This Row],[Clothes Kit]],Table_NFI[Clothes Kit])</f>
        <v>0</v>
      </c>
      <c r="AG134" s="294">
        <f>IF(NFI_Expiration=1,IF($A134&lt;VLOOKUP(P$5,NFI,5,0),1,0)*Table_NFI[[#This Row],[Plastic Bucket]],Table_NFI[Plastic Bucket])</f>
        <v>0</v>
      </c>
      <c r="AH134" s="294">
        <f>IF(NFI_Expiration=1,IF($A134&lt;VLOOKUP(Q$5,NFI,5,0),1,0)*Table_NFI[[#This Row],[Plastic Mat]],Table_NFI[Plastic Mat])*IF(Table_NFI[[#This Row],[Distribution Date]]&gt;"2014-04-01",1,2.5)</f>
        <v>0</v>
      </c>
      <c r="AI134" s="294">
        <f>IF(NFI_Expiration=1,IF($A134&lt;VLOOKUP(R$5,NFI,5,0),1,0)*Table_NFI[[#This Row],[Winter Clothes Adult]],Table_NFI[Winter Clothes Adult])</f>
        <v>0</v>
      </c>
      <c r="AJ134" s="294">
        <f>IF(NFI_Expiration=1,IF($A134&lt;VLOOKUP(S$5,NFI,5,0),1,0)*Table_NFI[[#This Row],[Winter Clothes Children]],Table_NFI[Winter Clothes Children])</f>
        <v>0</v>
      </c>
      <c r="AK134" s="294">
        <f>IF(NFI_Expiration=1,IF($A134&lt;VLOOKUP(T$5,NFI,5,0),1,0)*Table_NFI[[#This Row],[Winter Items Other]],Table_NFI[Winter Items Other])</f>
        <v>0</v>
      </c>
      <c r="AL134" s="294">
        <f>IF(NFI_Expiration=1,IF($A134&lt;VLOOKUP(M$5,NFI,5,0),1,0)*Table_NFI[[#This Row],[Winter Blanket]],Table_NFI[[#This Row],[Winter Blanket]])</f>
        <v>0</v>
      </c>
      <c r="AM134" s="294">
        <f>IF(Table_NFI[[#This Row],[Winter Clothes Adult]]+Table_NFI[[#This Row],[Winter Clothes Children]]+Table_NFI[[#This Row],[Winter Items Other]]+Table_NFI[[#This Row],[Winter Blanket]]&gt;0,1,0)</f>
        <v>0</v>
      </c>
      <c r="AN134" s="331">
        <f>IF(NFI_Expiration=1,IF($A134&lt;VLOOKUP(V$5,NFI,5,0),1,0)*Table_NFI[[#This Row],[Jerry Can]],Table_NFI[Jerry Can])</f>
        <v>0</v>
      </c>
      <c r="AO134" s="331">
        <f>IF(NFI_Expiration=1,IF($A134&lt;VLOOKUP(V$5,NFI,5,0),1,0)*Table_NFI[[#This Row],[Shelter Tool kit]],Table_NFI[Shelter Tool kit])</f>
        <v>0</v>
      </c>
      <c r="AP134" s="331">
        <f>IF(NFI_Expiration=1,IF($A134&lt;VLOOKUP(V$5,NFI,5,0),1,0)*Table_NFI[[#This Row],[Tent]],Table_NFI[Tent])</f>
        <v>0</v>
      </c>
      <c r="AQ134" s="473" t="str">
        <f>IFERROR(VLOOKUP(Table_NFI[[#This Row],[Camp Name]],CL,2,0),"")</f>
        <v>MMR001CMP047</v>
      </c>
      <c r="AR134" s="468">
        <f ca="1">IF(Table_NFI[[#This Row],[Pcode]]="","",IF(OFFSET(CampList[Opening Date],MATCH(Table_NFI[[#This Row],[Pcode]],CampList[CP_Pcode],0)-1,0,1,1)&gt;=NFI_Monitor_Date,1,0))</f>
        <v>0</v>
      </c>
      <c r="AS134" s="473" t="str">
        <f>IFERROR(VLOOKUP(Table_NFI[[#This Row],[Camp Name]],CL,3,0),"")</f>
        <v>Open</v>
      </c>
      <c r="AT134" s="294" t="str">
        <f ca="1">IF(Table_NFI[[#This Row],[Pcode]]="","",OFFSET(CampList[Priority],MATCH(Table_NFI[[#This Row],[Pcode]],CampList[CP_Pcode],0)-1,0,1,1))</f>
        <v>P4</v>
      </c>
      <c r="AU134" s="293">
        <f>IFERROR(Table_NFI[[#This Row],[Kitchen Set]]/VLOOKUP(Table_NFI[[#This Row],[Camp Name]],CL,4,0),"")</f>
        <v>0</v>
      </c>
      <c r="AV134" s="466"/>
      <c r="AW134" s="469"/>
    </row>
    <row r="135" spans="1:49" s="470" customFormat="1" ht="14.45" customHeight="1" x14ac:dyDescent="0.2">
      <c r="A135" s="297">
        <f t="shared" si="2"/>
        <v>17.333333333333332</v>
      </c>
      <c r="B135" s="465">
        <v>42155</v>
      </c>
      <c r="C135" s="466" t="s">
        <v>905</v>
      </c>
      <c r="D135" s="467" t="s">
        <v>905</v>
      </c>
      <c r="E135" s="466" t="s">
        <v>380</v>
      </c>
      <c r="F135" s="290" t="s">
        <v>185</v>
      </c>
      <c r="G135" s="290" t="s">
        <v>186</v>
      </c>
      <c r="H135" s="291"/>
      <c r="I135" s="291"/>
      <c r="J135" s="292"/>
      <c r="K135" s="291"/>
      <c r="L135" s="292"/>
      <c r="M135" s="292"/>
      <c r="N135" s="292"/>
      <c r="O135" s="292"/>
      <c r="P135" s="294"/>
      <c r="Q135" s="294"/>
      <c r="R135" s="294"/>
      <c r="S135" s="294"/>
      <c r="T135" s="294"/>
      <c r="U135" s="294"/>
      <c r="V135" s="621">
        <v>2</v>
      </c>
      <c r="W135" s="294"/>
      <c r="X135" s="294"/>
      <c r="Y135" s="294">
        <f>IF(NFI_Expiration=1,IF($A135&lt;VLOOKUP(H$5,NFI,5,0),1,0)*Table_NFI[[#This Row],[Hygiene Kit]],Table_NFI[Hygiene Kit])</f>
        <v>0</v>
      </c>
      <c r="Z135" s="294">
        <f>IF(NFI_Expiration=1,IF($A135&lt;VLOOKUP(I$5,NFI,5,0),1,0)*Table_NFI[[#This Row],[NFI Core Kit]],Table_NFI[NFI Core Kit])</f>
        <v>0</v>
      </c>
      <c r="AA135" s="294">
        <f>IF(NFI_Expiration=1,IF($A135&lt;VLOOKUP(J$5,NFI,5,0),1,0)*Table_NFI[[#This Row],[Sanitary Kit]],Table_NFI[Sanitary Kit])</f>
        <v>0</v>
      </c>
      <c r="AB135" s="294">
        <f>IF(NFI_Expiration=1,IF($A135&lt;VLOOKUP(K$5,NFI,5,0),1,0)*Table_NFI[[#This Row],[Mosquito net]],Table_NFI[Mosquito net])</f>
        <v>0</v>
      </c>
      <c r="AC135" s="294">
        <f>IF(NFI_Expiration=1,IF($A135&lt;VLOOKUP(L$5,NFI,5,0),1,0)*Table_NFI[[#This Row],[Tarpaulin]],Table_NFI[[#This Row],[Tarpaulin]])</f>
        <v>0</v>
      </c>
      <c r="AD135" s="294">
        <f>IF(NFI_Expiration=1,IF($A135&lt;VLOOKUP(M$5,NFI,5,0),1,0)*Table_NFI[[#This Row],[Blanket]],Table_NFI[[#This Row],[Blanket]])</f>
        <v>0</v>
      </c>
      <c r="AE135" s="294">
        <f>IF(NFI_Expiration=1,IF($A135&lt;VLOOKUP(N$5,NFI,5,0),1,0)*Table_NFI[[#This Row],[Kitchen Set]],Table_NFI[Kitchen Set])</f>
        <v>0</v>
      </c>
      <c r="AF135" s="294">
        <f>IF(NFI_Expiration=1,IF($A135&lt;VLOOKUP(O$5,NFI,5,0),1,0)*Table_NFI[[#This Row],[Clothes Kit]],Table_NFI[Clothes Kit])</f>
        <v>0</v>
      </c>
      <c r="AG135" s="294">
        <f>IF(NFI_Expiration=1,IF($A135&lt;VLOOKUP(P$5,NFI,5,0),1,0)*Table_NFI[[#This Row],[Plastic Bucket]],Table_NFI[Plastic Bucket])</f>
        <v>0</v>
      </c>
      <c r="AH135" s="294">
        <f>IF(NFI_Expiration=1,IF($A135&lt;VLOOKUP(Q$5,NFI,5,0),1,0)*Table_NFI[[#This Row],[Plastic Mat]],Table_NFI[Plastic Mat])*IF(Table_NFI[[#This Row],[Distribution Date]]&gt;"2014-04-01",1,2.5)</f>
        <v>0</v>
      </c>
      <c r="AI135" s="294">
        <f>IF(NFI_Expiration=1,IF($A135&lt;VLOOKUP(R$5,NFI,5,0),1,0)*Table_NFI[[#This Row],[Winter Clothes Adult]],Table_NFI[Winter Clothes Adult])</f>
        <v>0</v>
      </c>
      <c r="AJ135" s="294">
        <f>IF(NFI_Expiration=1,IF($A135&lt;VLOOKUP(S$5,NFI,5,0),1,0)*Table_NFI[[#This Row],[Winter Clothes Children]],Table_NFI[Winter Clothes Children])</f>
        <v>0</v>
      </c>
      <c r="AK135" s="294">
        <f>IF(NFI_Expiration=1,IF($A135&lt;VLOOKUP(T$5,NFI,5,0),1,0)*Table_NFI[[#This Row],[Winter Items Other]],Table_NFI[Winter Items Other])</f>
        <v>0</v>
      </c>
      <c r="AL135" s="294">
        <f>IF(NFI_Expiration=1,IF($A135&lt;VLOOKUP(M$5,NFI,5,0),1,0)*Table_NFI[[#This Row],[Winter Blanket]],Table_NFI[[#This Row],[Winter Blanket]])</f>
        <v>0</v>
      </c>
      <c r="AM135" s="294">
        <f>IF(Table_NFI[[#This Row],[Winter Clothes Adult]]+Table_NFI[[#This Row],[Winter Clothes Children]]+Table_NFI[[#This Row],[Winter Items Other]]+Table_NFI[[#This Row],[Winter Blanket]]&gt;0,1,0)</f>
        <v>0</v>
      </c>
      <c r="AN135" s="331">
        <f>IF(NFI_Expiration=1,IF($A135&lt;VLOOKUP(V$5,NFI,5,0),1,0)*Table_NFI[[#This Row],[Jerry Can]],Table_NFI[Jerry Can])</f>
        <v>0</v>
      </c>
      <c r="AO135" s="331">
        <f>IF(NFI_Expiration=1,IF($A135&lt;VLOOKUP(V$5,NFI,5,0),1,0)*Table_NFI[[#This Row],[Shelter Tool kit]],Table_NFI[Shelter Tool kit])</f>
        <v>0</v>
      </c>
      <c r="AP135" s="331">
        <f>IF(NFI_Expiration=1,IF($A135&lt;VLOOKUP(V$5,NFI,5,0),1,0)*Table_NFI[[#This Row],[Tent]],Table_NFI[Tent])</f>
        <v>0</v>
      </c>
      <c r="AQ135" s="473" t="str">
        <f>IFERROR(VLOOKUP(Table_NFI[[#This Row],[Camp Name]],CL,2,0),"")</f>
        <v>MMR001CMP071</v>
      </c>
      <c r="AR135" s="468">
        <f ca="1">IF(Table_NFI[[#This Row],[Pcode]]="","",IF(OFFSET(CampList[Opening Date],MATCH(Table_NFI[[#This Row],[Pcode]],CampList[CP_Pcode],0)-1,0,1,1)&gt;=NFI_Monitor_Date,1,0))</f>
        <v>0</v>
      </c>
      <c r="AS135" s="473" t="str">
        <f>IFERROR(VLOOKUP(Table_NFI[[#This Row],[Camp Name]],CL,3,0),"")</f>
        <v>Open</v>
      </c>
      <c r="AT135" s="294" t="str">
        <f ca="1">IF(Table_NFI[[#This Row],[Pcode]]="","",OFFSET(CampList[Priority],MATCH(Table_NFI[[#This Row],[Pcode]],CampList[CP_Pcode],0)-1,0,1,1))</f>
        <v>P3</v>
      </c>
      <c r="AU135" s="293">
        <f>IFERROR(Table_NFI[[#This Row],[Kitchen Set]]/VLOOKUP(Table_NFI[[#This Row],[Camp Name]],CL,4,0),"")</f>
        <v>0</v>
      </c>
      <c r="AV135" s="466"/>
      <c r="AW135" s="469"/>
    </row>
    <row r="136" spans="1:49" s="470" customFormat="1" ht="14.45" customHeight="1" x14ac:dyDescent="0.2">
      <c r="A136" s="297">
        <f t="shared" si="2"/>
        <v>17.333333333333332</v>
      </c>
      <c r="B136" s="465">
        <v>42155</v>
      </c>
      <c r="C136" s="466" t="s">
        <v>905</v>
      </c>
      <c r="D136" s="467" t="s">
        <v>905</v>
      </c>
      <c r="E136" s="466" t="s">
        <v>380</v>
      </c>
      <c r="F136" s="290" t="s">
        <v>185</v>
      </c>
      <c r="G136" s="290" t="s">
        <v>190</v>
      </c>
      <c r="H136" s="291"/>
      <c r="I136" s="291"/>
      <c r="J136" s="292"/>
      <c r="K136" s="291"/>
      <c r="L136" s="292"/>
      <c r="M136" s="292"/>
      <c r="N136" s="292"/>
      <c r="O136" s="292"/>
      <c r="P136" s="294"/>
      <c r="Q136" s="294"/>
      <c r="R136" s="294"/>
      <c r="S136" s="294"/>
      <c r="T136" s="294"/>
      <c r="U136" s="294"/>
      <c r="V136" s="621">
        <v>4</v>
      </c>
      <c r="W136" s="294"/>
      <c r="X136" s="294"/>
      <c r="Y136" s="294">
        <f>IF(NFI_Expiration=1,IF($A136&lt;VLOOKUP(H$5,NFI,5,0),1,0)*Table_NFI[[#This Row],[Hygiene Kit]],Table_NFI[Hygiene Kit])</f>
        <v>0</v>
      </c>
      <c r="Z136" s="294">
        <f>IF(NFI_Expiration=1,IF($A136&lt;VLOOKUP(I$5,NFI,5,0),1,0)*Table_NFI[[#This Row],[NFI Core Kit]],Table_NFI[NFI Core Kit])</f>
        <v>0</v>
      </c>
      <c r="AA136" s="294">
        <f>IF(NFI_Expiration=1,IF($A136&lt;VLOOKUP(J$5,NFI,5,0),1,0)*Table_NFI[[#This Row],[Sanitary Kit]],Table_NFI[Sanitary Kit])</f>
        <v>0</v>
      </c>
      <c r="AB136" s="294">
        <f>IF(NFI_Expiration=1,IF($A136&lt;VLOOKUP(K$5,NFI,5,0),1,0)*Table_NFI[[#This Row],[Mosquito net]],Table_NFI[Mosquito net])</f>
        <v>0</v>
      </c>
      <c r="AC136" s="294">
        <f>IF(NFI_Expiration=1,IF($A136&lt;VLOOKUP(L$5,NFI,5,0),1,0)*Table_NFI[[#This Row],[Tarpaulin]],Table_NFI[[#This Row],[Tarpaulin]])</f>
        <v>0</v>
      </c>
      <c r="AD136" s="294">
        <f>IF(NFI_Expiration=1,IF($A136&lt;VLOOKUP(M$5,NFI,5,0),1,0)*Table_NFI[[#This Row],[Blanket]],Table_NFI[[#This Row],[Blanket]])</f>
        <v>0</v>
      </c>
      <c r="AE136" s="294">
        <f>IF(NFI_Expiration=1,IF($A136&lt;VLOOKUP(N$5,NFI,5,0),1,0)*Table_NFI[[#This Row],[Kitchen Set]],Table_NFI[Kitchen Set])</f>
        <v>0</v>
      </c>
      <c r="AF136" s="294">
        <f>IF(NFI_Expiration=1,IF($A136&lt;VLOOKUP(O$5,NFI,5,0),1,0)*Table_NFI[[#This Row],[Clothes Kit]],Table_NFI[Clothes Kit])</f>
        <v>0</v>
      </c>
      <c r="AG136" s="294">
        <f>IF(NFI_Expiration=1,IF($A136&lt;VLOOKUP(P$5,NFI,5,0),1,0)*Table_NFI[[#This Row],[Plastic Bucket]],Table_NFI[Plastic Bucket])</f>
        <v>0</v>
      </c>
      <c r="AH136" s="294">
        <f>IF(NFI_Expiration=1,IF($A136&lt;VLOOKUP(Q$5,NFI,5,0),1,0)*Table_NFI[[#This Row],[Plastic Mat]],Table_NFI[Plastic Mat])*IF(Table_NFI[[#This Row],[Distribution Date]]&gt;"2014-04-01",1,2.5)</f>
        <v>0</v>
      </c>
      <c r="AI136" s="294">
        <f>IF(NFI_Expiration=1,IF($A136&lt;VLOOKUP(R$5,NFI,5,0),1,0)*Table_NFI[[#This Row],[Winter Clothes Adult]],Table_NFI[Winter Clothes Adult])</f>
        <v>0</v>
      </c>
      <c r="AJ136" s="294">
        <f>IF(NFI_Expiration=1,IF($A136&lt;VLOOKUP(S$5,NFI,5,0),1,0)*Table_NFI[[#This Row],[Winter Clothes Children]],Table_NFI[Winter Clothes Children])</f>
        <v>0</v>
      </c>
      <c r="AK136" s="294">
        <f>IF(NFI_Expiration=1,IF($A136&lt;VLOOKUP(T$5,NFI,5,0),1,0)*Table_NFI[[#This Row],[Winter Items Other]],Table_NFI[Winter Items Other])</f>
        <v>0</v>
      </c>
      <c r="AL136" s="294">
        <f>IF(NFI_Expiration=1,IF($A136&lt;VLOOKUP(M$5,NFI,5,0),1,0)*Table_NFI[[#This Row],[Winter Blanket]],Table_NFI[[#This Row],[Winter Blanket]])</f>
        <v>0</v>
      </c>
      <c r="AM136" s="294">
        <f>IF(Table_NFI[[#This Row],[Winter Clothes Adult]]+Table_NFI[[#This Row],[Winter Clothes Children]]+Table_NFI[[#This Row],[Winter Items Other]]+Table_NFI[[#This Row],[Winter Blanket]]&gt;0,1,0)</f>
        <v>0</v>
      </c>
      <c r="AN136" s="331">
        <f>IF(NFI_Expiration=1,IF($A136&lt;VLOOKUP(V$5,NFI,5,0),1,0)*Table_NFI[[#This Row],[Jerry Can]],Table_NFI[Jerry Can])</f>
        <v>0</v>
      </c>
      <c r="AO136" s="331">
        <f>IF(NFI_Expiration=1,IF($A136&lt;VLOOKUP(V$5,NFI,5,0),1,0)*Table_NFI[[#This Row],[Shelter Tool kit]],Table_NFI[Shelter Tool kit])</f>
        <v>0</v>
      </c>
      <c r="AP136" s="331">
        <f>IF(NFI_Expiration=1,IF($A136&lt;VLOOKUP(V$5,NFI,5,0),1,0)*Table_NFI[[#This Row],[Tent]],Table_NFI[Tent])</f>
        <v>0</v>
      </c>
      <c r="AQ136" s="473" t="str">
        <f>IFERROR(VLOOKUP(Table_NFI[[#This Row],[Camp Name]],CL,2,0),"")</f>
        <v>MMR001CMP070</v>
      </c>
      <c r="AR136" s="468">
        <f ca="1">IF(Table_NFI[[#This Row],[Pcode]]="","",IF(OFFSET(CampList[Opening Date],MATCH(Table_NFI[[#This Row],[Pcode]],CampList[CP_Pcode],0)-1,0,1,1)&gt;=NFI_Monitor_Date,1,0))</f>
        <v>0</v>
      </c>
      <c r="AS136" s="473" t="str">
        <f>IFERROR(VLOOKUP(Table_NFI[[#This Row],[Camp Name]],CL,3,0),"")</f>
        <v>Open</v>
      </c>
      <c r="AT136" s="294" t="str">
        <f ca="1">IF(Table_NFI[[#This Row],[Pcode]]="","",OFFSET(CampList[Priority],MATCH(Table_NFI[[#This Row],[Pcode]],CampList[CP_Pcode],0)-1,0,1,1))</f>
        <v>P3</v>
      </c>
      <c r="AU136" s="293">
        <f>IFERROR(Table_NFI[[#This Row],[Kitchen Set]]/VLOOKUP(Table_NFI[[#This Row],[Camp Name]],CL,4,0),"")</f>
        <v>0</v>
      </c>
      <c r="AV136" s="466"/>
      <c r="AW136" s="469"/>
    </row>
    <row r="137" spans="1:49" s="470" customFormat="1" ht="14.45" customHeight="1" x14ac:dyDescent="0.2">
      <c r="A137" s="297">
        <f t="shared" si="2"/>
        <v>17.333333333333332</v>
      </c>
      <c r="B137" s="465">
        <v>42155</v>
      </c>
      <c r="C137" s="466" t="s">
        <v>905</v>
      </c>
      <c r="D137" s="466" t="s">
        <v>905</v>
      </c>
      <c r="E137" s="466" t="s">
        <v>380</v>
      </c>
      <c r="F137" s="466" t="s">
        <v>185</v>
      </c>
      <c r="G137" s="290" t="s">
        <v>217</v>
      </c>
      <c r="H137" s="291"/>
      <c r="I137" s="291"/>
      <c r="J137" s="584">
        <v>34</v>
      </c>
      <c r="K137" s="291"/>
      <c r="L137" s="292"/>
      <c r="M137" s="292"/>
      <c r="N137" s="292"/>
      <c r="O137" s="292"/>
      <c r="P137" s="294"/>
      <c r="Q137" s="294"/>
      <c r="R137" s="294"/>
      <c r="S137" s="294"/>
      <c r="T137" s="294"/>
      <c r="U137" s="294"/>
      <c r="V137" s="431"/>
      <c r="W137" s="294"/>
      <c r="X137" s="294"/>
      <c r="Y137" s="294">
        <f>IF(NFI_Expiration=1,IF($A137&lt;VLOOKUP(H$5,NFI,5,0),1,0)*Table_NFI[[#This Row],[Hygiene Kit]],Table_NFI[Hygiene Kit])</f>
        <v>0</v>
      </c>
      <c r="Z137" s="294">
        <f>IF(NFI_Expiration=1,IF($A137&lt;VLOOKUP(I$5,NFI,5,0),1,0)*Table_NFI[[#This Row],[NFI Core Kit]],Table_NFI[NFI Core Kit])</f>
        <v>0</v>
      </c>
      <c r="AA137" s="294">
        <f>IF(NFI_Expiration=1,IF($A137&lt;VLOOKUP(J$5,NFI,5,0),1,0)*Table_NFI[[#This Row],[Sanitary Kit]],Table_NFI[Sanitary Kit])</f>
        <v>0</v>
      </c>
      <c r="AB137" s="294">
        <f>IF(NFI_Expiration=1,IF($A137&lt;VLOOKUP(K$5,NFI,5,0),1,0)*Table_NFI[[#This Row],[Mosquito net]],Table_NFI[Mosquito net])</f>
        <v>0</v>
      </c>
      <c r="AC137" s="294">
        <f>IF(NFI_Expiration=1,IF($A137&lt;VLOOKUP(L$5,NFI,5,0),1,0)*Table_NFI[[#This Row],[Tarpaulin]],Table_NFI[[#This Row],[Tarpaulin]])</f>
        <v>0</v>
      </c>
      <c r="AD137" s="294">
        <f>IF(NFI_Expiration=1,IF($A137&lt;VLOOKUP(M$5,NFI,5,0),1,0)*Table_NFI[[#This Row],[Blanket]],Table_NFI[[#This Row],[Blanket]])</f>
        <v>0</v>
      </c>
      <c r="AE137" s="294">
        <f>IF(NFI_Expiration=1,IF($A137&lt;VLOOKUP(N$5,NFI,5,0),1,0)*Table_NFI[[#This Row],[Kitchen Set]],Table_NFI[Kitchen Set])</f>
        <v>0</v>
      </c>
      <c r="AF137" s="294">
        <f>IF(NFI_Expiration=1,IF($A137&lt;VLOOKUP(O$5,NFI,5,0),1,0)*Table_NFI[[#This Row],[Clothes Kit]],Table_NFI[Clothes Kit])</f>
        <v>0</v>
      </c>
      <c r="AG137" s="294">
        <f>IF(NFI_Expiration=1,IF($A137&lt;VLOOKUP(P$5,NFI,5,0),1,0)*Table_NFI[[#This Row],[Plastic Bucket]],Table_NFI[Plastic Bucket])</f>
        <v>0</v>
      </c>
      <c r="AH137" s="294">
        <f>IF(NFI_Expiration=1,IF($A137&lt;VLOOKUP(Q$5,NFI,5,0),1,0)*Table_NFI[[#This Row],[Plastic Mat]],Table_NFI[Plastic Mat])*IF(Table_NFI[[#This Row],[Distribution Date]]&gt;"2014-04-01",1,2.5)</f>
        <v>0</v>
      </c>
      <c r="AI137" s="294">
        <f>IF(NFI_Expiration=1,IF($A137&lt;VLOOKUP(R$5,NFI,5,0),1,0)*Table_NFI[[#This Row],[Winter Clothes Adult]],Table_NFI[Winter Clothes Adult])</f>
        <v>0</v>
      </c>
      <c r="AJ137" s="294">
        <f>IF(NFI_Expiration=1,IF($A137&lt;VLOOKUP(S$5,NFI,5,0),1,0)*Table_NFI[[#This Row],[Winter Clothes Children]],Table_NFI[Winter Clothes Children])</f>
        <v>0</v>
      </c>
      <c r="AK137" s="294">
        <f>IF(NFI_Expiration=1,IF($A137&lt;VLOOKUP(T$5,NFI,5,0),1,0)*Table_NFI[[#This Row],[Winter Items Other]],Table_NFI[Winter Items Other])</f>
        <v>0</v>
      </c>
      <c r="AL137" s="294">
        <f>IF(NFI_Expiration=1,IF($A137&lt;VLOOKUP(M$5,NFI,5,0),1,0)*Table_NFI[[#This Row],[Winter Blanket]],Table_NFI[[#This Row],[Winter Blanket]])</f>
        <v>0</v>
      </c>
      <c r="AM137" s="294">
        <f>IF(Table_NFI[[#This Row],[Winter Clothes Adult]]+Table_NFI[[#This Row],[Winter Clothes Children]]+Table_NFI[[#This Row],[Winter Items Other]]+Table_NFI[[#This Row],[Winter Blanket]]&gt;0,1,0)</f>
        <v>0</v>
      </c>
      <c r="AN137" s="331">
        <f>IF(NFI_Expiration=1,IF($A137&lt;VLOOKUP(V$5,NFI,5,0),1,0)*Table_NFI[[#This Row],[Jerry Can]],Table_NFI[Jerry Can])</f>
        <v>0</v>
      </c>
      <c r="AO137" s="331">
        <f>IF(NFI_Expiration=1,IF($A137&lt;VLOOKUP(V$5,NFI,5,0),1,0)*Table_NFI[[#This Row],[Shelter Tool kit]],Table_NFI[Shelter Tool kit])</f>
        <v>0</v>
      </c>
      <c r="AP137" s="331">
        <f>IF(NFI_Expiration=1,IF($A137&lt;VLOOKUP(V$5,NFI,5,0),1,0)*Table_NFI[[#This Row],[Tent]],Table_NFI[Tent])</f>
        <v>0</v>
      </c>
      <c r="AQ137" s="473" t="str">
        <f>IFERROR(VLOOKUP(Table_NFI[[#This Row],[Camp Name]],CL,2,0),"")</f>
        <v>MMR001CMP059</v>
      </c>
      <c r="AR137" s="468">
        <f ca="1">IF(Table_NFI[[#This Row],[Pcode]]="","",IF(OFFSET(CampList[Opening Date],MATCH(Table_NFI[[#This Row],[Pcode]],CampList[CP_Pcode],0)-1,0,1,1)&gt;=NFI_Monitor_Date,1,0))</f>
        <v>0</v>
      </c>
      <c r="AS137" s="473" t="str">
        <f>IFERROR(VLOOKUP(Table_NFI[[#This Row],[Camp Name]],CL,3,0),"")</f>
        <v>Closed</v>
      </c>
      <c r="AT137" s="294" t="str">
        <f ca="1">IF(Table_NFI[[#This Row],[Pcode]]="","",OFFSET(CampList[Priority],MATCH(Table_NFI[[#This Row],[Pcode]],CampList[CP_Pcode],0)-1,0,1,1))</f>
        <v>P4</v>
      </c>
      <c r="AU137" s="293" t="str">
        <f>IFERROR(Table_NFI[[#This Row],[Kitchen Set]]/VLOOKUP(Table_NFI[[#This Row],[Camp Name]],CL,4,0),"")</f>
        <v/>
      </c>
      <c r="AV137" s="466"/>
      <c r="AW137" s="469"/>
    </row>
    <row r="138" spans="1:49" s="470" customFormat="1" ht="14.45" customHeight="1" x14ac:dyDescent="0.2">
      <c r="A138" s="297">
        <f t="shared" si="2"/>
        <v>17.333333333333332</v>
      </c>
      <c r="B138" s="465">
        <v>42155</v>
      </c>
      <c r="C138" s="466" t="s">
        <v>905</v>
      </c>
      <c r="D138" s="466" t="s">
        <v>905</v>
      </c>
      <c r="E138" s="466" t="s">
        <v>380</v>
      </c>
      <c r="F138" s="466" t="s">
        <v>5</v>
      </c>
      <c r="G138" s="466" t="s">
        <v>366</v>
      </c>
      <c r="H138" s="291"/>
      <c r="I138" s="291"/>
      <c r="J138" s="291"/>
      <c r="K138" s="291"/>
      <c r="L138" s="292"/>
      <c r="M138" s="292"/>
      <c r="N138" s="292"/>
      <c r="O138" s="292"/>
      <c r="P138" s="294"/>
      <c r="Q138" s="294"/>
      <c r="R138" s="294"/>
      <c r="S138" s="294"/>
      <c r="T138" s="294"/>
      <c r="U138" s="294"/>
      <c r="V138" s="621">
        <v>6</v>
      </c>
      <c r="W138" s="294"/>
      <c r="X138" s="294"/>
      <c r="Y138" s="294">
        <f>IF(NFI_Expiration=1,IF($A138&lt;VLOOKUP(H$5,NFI,5,0),1,0)*Table_NFI[[#This Row],[Hygiene Kit]],Table_NFI[Hygiene Kit])</f>
        <v>0</v>
      </c>
      <c r="Z138" s="294">
        <f>IF(NFI_Expiration=1,IF($A138&lt;VLOOKUP(I$5,NFI,5,0),1,0)*Table_NFI[[#This Row],[NFI Core Kit]],Table_NFI[NFI Core Kit])</f>
        <v>0</v>
      </c>
      <c r="AA138" s="294">
        <f>IF(NFI_Expiration=1,IF($A138&lt;VLOOKUP(J$5,NFI,5,0),1,0)*Table_NFI[[#This Row],[Sanitary Kit]],Table_NFI[Sanitary Kit])</f>
        <v>0</v>
      </c>
      <c r="AB138" s="294">
        <f>IF(NFI_Expiration=1,IF($A138&lt;VLOOKUP(K$5,NFI,5,0),1,0)*Table_NFI[[#This Row],[Mosquito net]],Table_NFI[Mosquito net])</f>
        <v>0</v>
      </c>
      <c r="AC138" s="294">
        <f>IF(NFI_Expiration=1,IF($A138&lt;VLOOKUP(L$5,NFI,5,0),1,0)*Table_NFI[[#This Row],[Tarpaulin]],Table_NFI[[#This Row],[Tarpaulin]])</f>
        <v>0</v>
      </c>
      <c r="AD138" s="294">
        <f>IF(NFI_Expiration=1,IF($A138&lt;VLOOKUP(M$5,NFI,5,0),1,0)*Table_NFI[[#This Row],[Blanket]],Table_NFI[[#This Row],[Blanket]])</f>
        <v>0</v>
      </c>
      <c r="AE138" s="294">
        <f>IF(NFI_Expiration=1,IF($A138&lt;VLOOKUP(N$5,NFI,5,0),1,0)*Table_NFI[[#This Row],[Kitchen Set]],Table_NFI[Kitchen Set])</f>
        <v>0</v>
      </c>
      <c r="AF138" s="294">
        <f>IF(NFI_Expiration=1,IF($A138&lt;VLOOKUP(O$5,NFI,5,0),1,0)*Table_NFI[[#This Row],[Clothes Kit]],Table_NFI[Clothes Kit])</f>
        <v>0</v>
      </c>
      <c r="AG138" s="294">
        <f>IF(NFI_Expiration=1,IF($A138&lt;VLOOKUP(P$5,NFI,5,0),1,0)*Table_NFI[[#This Row],[Plastic Bucket]],Table_NFI[Plastic Bucket])</f>
        <v>0</v>
      </c>
      <c r="AH138" s="294">
        <f>IF(NFI_Expiration=1,IF($A138&lt;VLOOKUP(Q$5,NFI,5,0),1,0)*Table_NFI[[#This Row],[Plastic Mat]],Table_NFI[Plastic Mat])*IF(Table_NFI[[#This Row],[Distribution Date]]&gt;"2014-04-01",1,2.5)</f>
        <v>0</v>
      </c>
      <c r="AI138" s="294">
        <f>IF(NFI_Expiration=1,IF($A138&lt;VLOOKUP(R$5,NFI,5,0),1,0)*Table_NFI[[#This Row],[Winter Clothes Adult]],Table_NFI[Winter Clothes Adult])</f>
        <v>0</v>
      </c>
      <c r="AJ138" s="294">
        <f>IF(NFI_Expiration=1,IF($A138&lt;VLOOKUP(S$5,NFI,5,0),1,0)*Table_NFI[[#This Row],[Winter Clothes Children]],Table_NFI[Winter Clothes Children])</f>
        <v>0</v>
      </c>
      <c r="AK138" s="294">
        <f>IF(NFI_Expiration=1,IF($A138&lt;VLOOKUP(T$5,NFI,5,0),1,0)*Table_NFI[[#This Row],[Winter Items Other]],Table_NFI[Winter Items Other])</f>
        <v>0</v>
      </c>
      <c r="AL138" s="294">
        <f>IF(NFI_Expiration=1,IF($A138&lt;VLOOKUP(M$5,NFI,5,0),1,0)*Table_NFI[[#This Row],[Winter Blanket]],Table_NFI[[#This Row],[Winter Blanket]])</f>
        <v>0</v>
      </c>
      <c r="AM138" s="294">
        <f>IF(Table_NFI[[#This Row],[Winter Clothes Adult]]+Table_NFI[[#This Row],[Winter Clothes Children]]+Table_NFI[[#This Row],[Winter Items Other]]+Table_NFI[[#This Row],[Winter Blanket]]&gt;0,1,0)</f>
        <v>0</v>
      </c>
      <c r="AN138" s="331">
        <f>IF(NFI_Expiration=1,IF($A138&lt;VLOOKUP(V$5,NFI,5,0),1,0)*Table_NFI[[#This Row],[Jerry Can]],Table_NFI[Jerry Can])</f>
        <v>0</v>
      </c>
      <c r="AO138" s="331">
        <f>IF(NFI_Expiration=1,IF($A138&lt;VLOOKUP(V$5,NFI,5,0),1,0)*Table_NFI[[#This Row],[Shelter Tool kit]],Table_NFI[Shelter Tool kit])</f>
        <v>0</v>
      </c>
      <c r="AP138" s="331">
        <f>IF(NFI_Expiration=1,IF($A138&lt;VLOOKUP(V$5,NFI,5,0),1,0)*Table_NFI[[#This Row],[Tent]],Table_NFI[Tent])</f>
        <v>0</v>
      </c>
      <c r="AQ138" s="473" t="str">
        <f>IFERROR(VLOOKUP(Table_NFI[[#This Row],[Camp Name]],CL,2,0),"")</f>
        <v>MMR001CMP193</v>
      </c>
      <c r="AR138" s="468">
        <f ca="1">IF(Table_NFI[[#This Row],[Pcode]]="","",IF(OFFSET(CampList[Opening Date],MATCH(Table_NFI[[#This Row],[Pcode]],CampList[CP_Pcode],0)-1,0,1,1)&gt;=NFI_Monitor_Date,1,0))</f>
        <v>0</v>
      </c>
      <c r="AS138" s="473" t="str">
        <f>IFERROR(VLOOKUP(Table_NFI[[#This Row],[Camp Name]],CL,3,0),"")</f>
        <v>Open</v>
      </c>
      <c r="AT138" s="294" t="str">
        <f ca="1">IF(Table_NFI[[#This Row],[Pcode]]="","",OFFSET(CampList[Priority],MATCH(Table_NFI[[#This Row],[Pcode]],CampList[CP_Pcode],0)-1,0,1,1))</f>
        <v>P4</v>
      </c>
      <c r="AU138" s="293">
        <f>IFERROR(Table_NFI[[#This Row],[Kitchen Set]]/VLOOKUP(Table_NFI[[#This Row],[Camp Name]],CL,4,0),"")</f>
        <v>0</v>
      </c>
      <c r="AV138" s="466"/>
      <c r="AW138" s="469"/>
    </row>
    <row r="139" spans="1:49" s="470" customFormat="1" ht="14.45" customHeight="1" x14ac:dyDescent="0.2">
      <c r="A139" s="297">
        <f t="shared" si="2"/>
        <v>17.333333333333332</v>
      </c>
      <c r="B139" s="465">
        <v>42155</v>
      </c>
      <c r="C139" s="466" t="s">
        <v>905</v>
      </c>
      <c r="D139" s="467" t="s">
        <v>905</v>
      </c>
      <c r="E139" s="466" t="s">
        <v>380</v>
      </c>
      <c r="F139" s="290" t="s">
        <v>185</v>
      </c>
      <c r="G139" s="290" t="s">
        <v>225</v>
      </c>
      <c r="H139" s="291"/>
      <c r="I139" s="291"/>
      <c r="J139" s="292"/>
      <c r="K139" s="291"/>
      <c r="L139" s="292"/>
      <c r="M139" s="292"/>
      <c r="N139" s="292"/>
      <c r="O139" s="292"/>
      <c r="P139" s="294"/>
      <c r="Q139" s="294"/>
      <c r="R139" s="294"/>
      <c r="S139" s="294"/>
      <c r="T139" s="294"/>
      <c r="U139" s="294"/>
      <c r="V139" s="621">
        <v>3</v>
      </c>
      <c r="W139" s="294"/>
      <c r="X139" s="294"/>
      <c r="Y139" s="294">
        <f>IF(NFI_Expiration=1,IF($A139&lt;VLOOKUP(H$5,NFI,5,0),1,0)*Table_NFI[[#This Row],[Hygiene Kit]],Table_NFI[Hygiene Kit])</f>
        <v>0</v>
      </c>
      <c r="Z139" s="294">
        <f>IF(NFI_Expiration=1,IF($A139&lt;VLOOKUP(I$5,NFI,5,0),1,0)*Table_NFI[[#This Row],[NFI Core Kit]],Table_NFI[NFI Core Kit])</f>
        <v>0</v>
      </c>
      <c r="AA139" s="294">
        <f>IF(NFI_Expiration=1,IF($A139&lt;VLOOKUP(J$5,NFI,5,0),1,0)*Table_NFI[[#This Row],[Sanitary Kit]],Table_NFI[Sanitary Kit])</f>
        <v>0</v>
      </c>
      <c r="AB139" s="294">
        <f>IF(NFI_Expiration=1,IF($A139&lt;VLOOKUP(K$5,NFI,5,0),1,0)*Table_NFI[[#This Row],[Mosquito net]],Table_NFI[Mosquito net])</f>
        <v>0</v>
      </c>
      <c r="AC139" s="294">
        <f>IF(NFI_Expiration=1,IF($A139&lt;VLOOKUP(L$5,NFI,5,0),1,0)*Table_NFI[[#This Row],[Tarpaulin]],Table_NFI[[#This Row],[Tarpaulin]])</f>
        <v>0</v>
      </c>
      <c r="AD139" s="294">
        <f>IF(NFI_Expiration=1,IF($A139&lt;VLOOKUP(M$5,NFI,5,0),1,0)*Table_NFI[[#This Row],[Blanket]],Table_NFI[[#This Row],[Blanket]])</f>
        <v>0</v>
      </c>
      <c r="AE139" s="294">
        <f>IF(NFI_Expiration=1,IF($A139&lt;VLOOKUP(N$5,NFI,5,0),1,0)*Table_NFI[[#This Row],[Kitchen Set]],Table_NFI[Kitchen Set])</f>
        <v>0</v>
      </c>
      <c r="AF139" s="294">
        <f>IF(NFI_Expiration=1,IF($A139&lt;VLOOKUP(O$5,NFI,5,0),1,0)*Table_NFI[[#This Row],[Clothes Kit]],Table_NFI[Clothes Kit])</f>
        <v>0</v>
      </c>
      <c r="AG139" s="294">
        <f>IF(NFI_Expiration=1,IF($A139&lt;VLOOKUP(P$5,NFI,5,0),1,0)*Table_NFI[[#This Row],[Plastic Bucket]],Table_NFI[Plastic Bucket])</f>
        <v>0</v>
      </c>
      <c r="AH139" s="294">
        <f>IF(NFI_Expiration=1,IF($A139&lt;VLOOKUP(Q$5,NFI,5,0),1,0)*Table_NFI[[#This Row],[Plastic Mat]],Table_NFI[Plastic Mat])*IF(Table_NFI[[#This Row],[Distribution Date]]&gt;"2014-04-01",1,2.5)</f>
        <v>0</v>
      </c>
      <c r="AI139" s="294">
        <f>IF(NFI_Expiration=1,IF($A139&lt;VLOOKUP(R$5,NFI,5,0),1,0)*Table_NFI[[#This Row],[Winter Clothes Adult]],Table_NFI[Winter Clothes Adult])</f>
        <v>0</v>
      </c>
      <c r="AJ139" s="294">
        <f>IF(NFI_Expiration=1,IF($A139&lt;VLOOKUP(S$5,NFI,5,0),1,0)*Table_NFI[[#This Row],[Winter Clothes Children]],Table_NFI[Winter Clothes Children])</f>
        <v>0</v>
      </c>
      <c r="AK139" s="294">
        <f>IF(NFI_Expiration=1,IF($A139&lt;VLOOKUP(T$5,NFI,5,0),1,0)*Table_NFI[[#This Row],[Winter Items Other]],Table_NFI[Winter Items Other])</f>
        <v>0</v>
      </c>
      <c r="AL139" s="294">
        <f>IF(NFI_Expiration=1,IF($A139&lt;VLOOKUP(M$5,NFI,5,0),1,0)*Table_NFI[[#This Row],[Winter Blanket]],Table_NFI[[#This Row],[Winter Blanket]])</f>
        <v>0</v>
      </c>
      <c r="AM139" s="294">
        <f>IF(Table_NFI[[#This Row],[Winter Clothes Adult]]+Table_NFI[[#This Row],[Winter Clothes Children]]+Table_NFI[[#This Row],[Winter Items Other]]+Table_NFI[[#This Row],[Winter Blanket]]&gt;0,1,0)</f>
        <v>0</v>
      </c>
      <c r="AN139" s="331">
        <f>IF(NFI_Expiration=1,IF($A139&lt;VLOOKUP(V$5,NFI,5,0),1,0)*Table_NFI[[#This Row],[Jerry Can]],Table_NFI[Jerry Can])</f>
        <v>0</v>
      </c>
      <c r="AO139" s="331">
        <f>IF(NFI_Expiration=1,IF($A139&lt;VLOOKUP(V$5,NFI,5,0),1,0)*Table_NFI[[#This Row],[Shelter Tool kit]],Table_NFI[Shelter Tool kit])</f>
        <v>0</v>
      </c>
      <c r="AP139" s="331">
        <f>IF(NFI_Expiration=1,IF($A139&lt;VLOOKUP(V$5,NFI,5,0),1,0)*Table_NFI[[#This Row],[Tent]],Table_NFI[Tent])</f>
        <v>0</v>
      </c>
      <c r="AQ139" s="473" t="str">
        <f>IFERROR(VLOOKUP(Table_NFI[[#This Row],[Camp Name]],CL,2,0),"")</f>
        <v>MMR001CMP073</v>
      </c>
      <c r="AR139" s="468">
        <f ca="1">IF(Table_NFI[[#This Row],[Pcode]]="","",IF(OFFSET(CampList[Opening Date],MATCH(Table_NFI[[#This Row],[Pcode]],CampList[CP_Pcode],0)-1,0,1,1)&gt;=NFI_Monitor_Date,1,0))</f>
        <v>0</v>
      </c>
      <c r="AS139" s="473" t="str">
        <f>IFERROR(VLOOKUP(Table_NFI[[#This Row],[Camp Name]],CL,3,0),"")</f>
        <v>Open</v>
      </c>
      <c r="AT139" s="294" t="str">
        <f ca="1">IF(Table_NFI[[#This Row],[Pcode]]="","",OFFSET(CampList[Priority],MATCH(Table_NFI[[#This Row],[Pcode]],CampList[CP_Pcode],0)-1,0,1,1))</f>
        <v>P3</v>
      </c>
      <c r="AU139" s="293">
        <f>IFERROR(Table_NFI[[#This Row],[Kitchen Set]]/VLOOKUP(Table_NFI[[#This Row],[Camp Name]],CL,4,0),"")</f>
        <v>0</v>
      </c>
      <c r="AV139" s="466"/>
      <c r="AW139" s="469"/>
    </row>
    <row r="140" spans="1:49" s="98" customFormat="1" ht="14.45" customHeight="1" x14ac:dyDescent="0.2">
      <c r="A140" s="297">
        <f t="shared" si="2"/>
        <v>17.366666666666667</v>
      </c>
      <c r="B140" s="465">
        <v>42154</v>
      </c>
      <c r="C140" s="466" t="s">
        <v>905</v>
      </c>
      <c r="D140" s="467" t="s">
        <v>905</v>
      </c>
      <c r="E140" s="466" t="s">
        <v>380</v>
      </c>
      <c r="F140" s="290" t="s">
        <v>5</v>
      </c>
      <c r="G140" s="290" t="s">
        <v>22</v>
      </c>
      <c r="H140" s="291"/>
      <c r="I140" s="291"/>
      <c r="J140" s="291"/>
      <c r="K140" s="291"/>
      <c r="L140" s="292"/>
      <c r="M140" s="292"/>
      <c r="N140" s="292"/>
      <c r="O140" s="292"/>
      <c r="P140" s="294"/>
      <c r="Q140" s="294"/>
      <c r="R140" s="294"/>
      <c r="S140" s="294"/>
      <c r="T140" s="294"/>
      <c r="U140" s="294"/>
      <c r="V140" s="621">
        <v>3</v>
      </c>
      <c r="W140" s="294"/>
      <c r="X140" s="294"/>
      <c r="Y140" s="294">
        <f>IF(NFI_Expiration=1,IF($A140&lt;VLOOKUP(H$5,NFI,5,0),1,0)*Table_NFI[[#This Row],[Hygiene Kit]],Table_NFI[Hygiene Kit])</f>
        <v>0</v>
      </c>
      <c r="Z140" s="294">
        <f>IF(NFI_Expiration=1,IF($A140&lt;VLOOKUP(I$5,NFI,5,0),1,0)*Table_NFI[[#This Row],[NFI Core Kit]],Table_NFI[NFI Core Kit])</f>
        <v>0</v>
      </c>
      <c r="AA140" s="294">
        <f>IF(NFI_Expiration=1,IF($A140&lt;VLOOKUP(J$5,NFI,5,0),1,0)*Table_NFI[[#This Row],[Sanitary Kit]],Table_NFI[Sanitary Kit])</f>
        <v>0</v>
      </c>
      <c r="AB140" s="294">
        <f>IF(NFI_Expiration=1,IF($A140&lt;VLOOKUP(K$5,NFI,5,0),1,0)*Table_NFI[[#This Row],[Mosquito net]],Table_NFI[Mosquito net])</f>
        <v>0</v>
      </c>
      <c r="AC140" s="294">
        <f>IF(NFI_Expiration=1,IF($A140&lt;VLOOKUP(L$5,NFI,5,0),1,0)*Table_NFI[[#This Row],[Tarpaulin]],Table_NFI[[#This Row],[Tarpaulin]])</f>
        <v>0</v>
      </c>
      <c r="AD140" s="294">
        <f>IF(NFI_Expiration=1,IF($A140&lt;VLOOKUP(M$5,NFI,5,0),1,0)*Table_NFI[[#This Row],[Blanket]],Table_NFI[[#This Row],[Blanket]])</f>
        <v>0</v>
      </c>
      <c r="AE140" s="294">
        <f>IF(NFI_Expiration=1,IF($A140&lt;VLOOKUP(N$5,NFI,5,0),1,0)*Table_NFI[[#This Row],[Kitchen Set]],Table_NFI[Kitchen Set])</f>
        <v>0</v>
      </c>
      <c r="AF140" s="294">
        <f>IF(NFI_Expiration=1,IF($A140&lt;VLOOKUP(O$5,NFI,5,0),1,0)*Table_NFI[[#This Row],[Clothes Kit]],Table_NFI[Clothes Kit])</f>
        <v>0</v>
      </c>
      <c r="AG140" s="294">
        <f>IF(NFI_Expiration=1,IF($A140&lt;VLOOKUP(P$5,NFI,5,0),1,0)*Table_NFI[[#This Row],[Plastic Bucket]],Table_NFI[Plastic Bucket])</f>
        <v>0</v>
      </c>
      <c r="AH140" s="294">
        <f>IF(NFI_Expiration=1,IF($A140&lt;VLOOKUP(Q$5,NFI,5,0),1,0)*Table_NFI[[#This Row],[Plastic Mat]],Table_NFI[Plastic Mat])*IF(Table_NFI[[#This Row],[Distribution Date]]&gt;"2014-04-01",1,2.5)</f>
        <v>0</v>
      </c>
      <c r="AI140" s="294">
        <f>IF(NFI_Expiration=1,IF($A140&lt;VLOOKUP(R$5,NFI,5,0),1,0)*Table_NFI[[#This Row],[Winter Clothes Adult]],Table_NFI[Winter Clothes Adult])</f>
        <v>0</v>
      </c>
      <c r="AJ140" s="294">
        <f>IF(NFI_Expiration=1,IF($A140&lt;VLOOKUP(S$5,NFI,5,0),1,0)*Table_NFI[[#This Row],[Winter Clothes Children]],Table_NFI[Winter Clothes Children])</f>
        <v>0</v>
      </c>
      <c r="AK140" s="294">
        <f>IF(NFI_Expiration=1,IF($A140&lt;VLOOKUP(T$5,NFI,5,0),1,0)*Table_NFI[[#This Row],[Winter Items Other]],Table_NFI[Winter Items Other])</f>
        <v>0</v>
      </c>
      <c r="AL140" s="294">
        <f>IF(NFI_Expiration=1,IF($A140&lt;VLOOKUP(M$5,NFI,5,0),1,0)*Table_NFI[[#This Row],[Winter Blanket]],Table_NFI[[#This Row],[Winter Blanket]])</f>
        <v>0</v>
      </c>
      <c r="AM140" s="294">
        <f>IF(Table_NFI[[#This Row],[Winter Clothes Adult]]+Table_NFI[[#This Row],[Winter Clothes Children]]+Table_NFI[[#This Row],[Winter Items Other]]+Table_NFI[[#This Row],[Winter Blanket]]&gt;0,1,0)</f>
        <v>0</v>
      </c>
      <c r="AN140" s="331">
        <f>IF(NFI_Expiration=1,IF($A140&lt;VLOOKUP(V$5,NFI,5,0),1,0)*Table_NFI[[#This Row],[Jerry Can]],Table_NFI[Jerry Can])</f>
        <v>0</v>
      </c>
      <c r="AO140" s="331">
        <f>IF(NFI_Expiration=1,IF($A140&lt;VLOOKUP(V$5,NFI,5,0),1,0)*Table_NFI[[#This Row],[Shelter Tool kit]],Table_NFI[Shelter Tool kit])</f>
        <v>0</v>
      </c>
      <c r="AP140" s="331">
        <f>IF(NFI_Expiration=1,IF($A140&lt;VLOOKUP(V$5,NFI,5,0),1,0)*Table_NFI[[#This Row],[Tent]],Table_NFI[Tent])</f>
        <v>0</v>
      </c>
      <c r="AQ140" s="473" t="str">
        <f>IFERROR(VLOOKUP(Table_NFI[[#This Row],[Camp Name]],CL,2,0),"")</f>
        <v>MMR001CMP047</v>
      </c>
      <c r="AR140" s="468">
        <f ca="1">IF(Table_NFI[[#This Row],[Pcode]]="","",IF(OFFSET(CampList[Opening Date],MATCH(Table_NFI[[#This Row],[Pcode]],CampList[CP_Pcode],0)-1,0,1,1)&gt;=NFI_Monitor_Date,1,0))</f>
        <v>0</v>
      </c>
      <c r="AS140" s="473" t="str">
        <f>IFERROR(VLOOKUP(Table_NFI[[#This Row],[Camp Name]],CL,3,0),"")</f>
        <v>Open</v>
      </c>
      <c r="AT140" s="294" t="str">
        <f ca="1">IF(Table_NFI[[#This Row],[Pcode]]="","",OFFSET(CampList[Priority],MATCH(Table_NFI[[#This Row],[Pcode]],CampList[CP_Pcode],0)-1,0,1,1))</f>
        <v>P4</v>
      </c>
      <c r="AU140" s="293">
        <f>IFERROR(Table_NFI[[#This Row],[Kitchen Set]]/VLOOKUP(Table_NFI[[#This Row],[Camp Name]],CL,4,0),"")</f>
        <v>0</v>
      </c>
      <c r="AV140" s="466"/>
      <c r="AW140" s="469"/>
    </row>
    <row r="141" spans="1:49" s="98" customFormat="1" ht="14.45" customHeight="1" x14ac:dyDescent="0.25">
      <c r="A141" s="297">
        <f t="shared" si="2"/>
        <v>17.399999999999999</v>
      </c>
      <c r="B141" s="465">
        <v>42153</v>
      </c>
      <c r="C141" s="466" t="s">
        <v>905</v>
      </c>
      <c r="D141" s="466" t="s">
        <v>905</v>
      </c>
      <c r="E141" s="466" t="s">
        <v>380</v>
      </c>
      <c r="F141" s="290" t="s">
        <v>185</v>
      </c>
      <c r="G141" s="290" t="s">
        <v>1437</v>
      </c>
      <c r="H141" s="291"/>
      <c r="I141" s="291"/>
      <c r="J141" s="294">
        <v>103</v>
      </c>
      <c r="K141" s="291"/>
      <c r="L141" s="292"/>
      <c r="M141" s="292"/>
      <c r="N141" s="292"/>
      <c r="O141" s="292"/>
      <c r="P141" s="294"/>
      <c r="Q141" s="294"/>
      <c r="R141" s="294"/>
      <c r="S141" s="294"/>
      <c r="T141" s="294"/>
      <c r="U141" s="294"/>
      <c r="V141" s="431"/>
      <c r="W141" s="294"/>
      <c r="X141" s="294"/>
      <c r="Y141" s="294">
        <f>IF(NFI_Expiration=1,IF($A141&lt;VLOOKUP(H$5,NFI,5,0),1,0)*Table_NFI[[#This Row],[Hygiene Kit]],Table_NFI[Hygiene Kit])</f>
        <v>0</v>
      </c>
      <c r="Z141" s="294">
        <f>IF(NFI_Expiration=1,IF($A141&lt;VLOOKUP(I$5,NFI,5,0),1,0)*Table_NFI[[#This Row],[NFI Core Kit]],Table_NFI[NFI Core Kit])</f>
        <v>0</v>
      </c>
      <c r="AA141" s="294">
        <f>IF(NFI_Expiration=1,IF($A141&lt;VLOOKUP(J$5,NFI,5,0),1,0)*Table_NFI[[#This Row],[Sanitary Kit]],Table_NFI[Sanitary Kit])</f>
        <v>0</v>
      </c>
      <c r="AB141" s="294">
        <f>IF(NFI_Expiration=1,IF($A141&lt;VLOOKUP(K$5,NFI,5,0),1,0)*Table_NFI[[#This Row],[Mosquito net]],Table_NFI[Mosquito net])</f>
        <v>0</v>
      </c>
      <c r="AC141" s="294">
        <f>IF(NFI_Expiration=1,IF($A141&lt;VLOOKUP(L$5,NFI,5,0),1,0)*Table_NFI[[#This Row],[Tarpaulin]],Table_NFI[[#This Row],[Tarpaulin]])</f>
        <v>0</v>
      </c>
      <c r="AD141" s="294">
        <f>IF(NFI_Expiration=1,IF($A141&lt;VLOOKUP(M$5,NFI,5,0),1,0)*Table_NFI[[#This Row],[Blanket]],Table_NFI[[#This Row],[Blanket]])</f>
        <v>0</v>
      </c>
      <c r="AE141" s="294">
        <f>IF(NFI_Expiration=1,IF($A141&lt;VLOOKUP(N$5,NFI,5,0),1,0)*Table_NFI[[#This Row],[Kitchen Set]],Table_NFI[Kitchen Set])</f>
        <v>0</v>
      </c>
      <c r="AF141" s="294">
        <f>IF(NFI_Expiration=1,IF($A141&lt;VLOOKUP(O$5,NFI,5,0),1,0)*Table_NFI[[#This Row],[Clothes Kit]],Table_NFI[Clothes Kit])</f>
        <v>0</v>
      </c>
      <c r="AG141" s="294">
        <f>IF(NFI_Expiration=1,IF($A141&lt;VLOOKUP(P$5,NFI,5,0),1,0)*Table_NFI[[#This Row],[Plastic Bucket]],Table_NFI[Plastic Bucket])</f>
        <v>0</v>
      </c>
      <c r="AH141" s="294">
        <f>IF(NFI_Expiration=1,IF($A141&lt;VLOOKUP(Q$5,NFI,5,0),1,0)*Table_NFI[[#This Row],[Plastic Mat]],Table_NFI[Plastic Mat])*IF(Table_NFI[[#This Row],[Distribution Date]]&gt;"2014-04-01",1,2.5)</f>
        <v>0</v>
      </c>
      <c r="AI141" s="294">
        <f>IF(NFI_Expiration=1,IF($A141&lt;VLOOKUP(R$5,NFI,5,0),1,0)*Table_NFI[[#This Row],[Winter Clothes Adult]],Table_NFI[Winter Clothes Adult])</f>
        <v>0</v>
      </c>
      <c r="AJ141" s="294">
        <f>IF(NFI_Expiration=1,IF($A141&lt;VLOOKUP(S$5,NFI,5,0),1,0)*Table_NFI[[#This Row],[Winter Clothes Children]],Table_NFI[Winter Clothes Children])</f>
        <v>0</v>
      </c>
      <c r="AK141" s="294">
        <f>IF(NFI_Expiration=1,IF($A141&lt;VLOOKUP(T$5,NFI,5,0),1,0)*Table_NFI[[#This Row],[Winter Items Other]],Table_NFI[Winter Items Other])</f>
        <v>0</v>
      </c>
      <c r="AL141" s="294">
        <f>IF(NFI_Expiration=1,IF($A141&lt;VLOOKUP(M$5,NFI,5,0),1,0)*Table_NFI[[#This Row],[Winter Blanket]],Table_NFI[[#This Row],[Winter Blanket]])</f>
        <v>0</v>
      </c>
      <c r="AM141" s="294">
        <f>IF(Table_NFI[[#This Row],[Winter Clothes Adult]]+Table_NFI[[#This Row],[Winter Clothes Children]]+Table_NFI[[#This Row],[Winter Items Other]]+Table_NFI[[#This Row],[Winter Blanket]]&gt;0,1,0)</f>
        <v>0</v>
      </c>
      <c r="AN141" s="331">
        <f>IF(NFI_Expiration=1,IF($A141&lt;VLOOKUP(V$5,NFI,5,0),1,0)*Table_NFI[[#This Row],[Jerry Can]],Table_NFI[Jerry Can])</f>
        <v>0</v>
      </c>
      <c r="AO141" s="331">
        <f>IF(NFI_Expiration=1,IF($A141&lt;VLOOKUP(V$5,NFI,5,0),1,0)*Table_NFI[[#This Row],[Shelter Tool kit]],Table_NFI[Shelter Tool kit])</f>
        <v>0</v>
      </c>
      <c r="AP141" s="331">
        <f>IF(NFI_Expiration=1,IF($A141&lt;VLOOKUP(V$5,NFI,5,0),1,0)*Table_NFI[[#This Row],[Tent]],Table_NFI[Tent])</f>
        <v>0</v>
      </c>
      <c r="AQ141" s="473" t="str">
        <f>IFERROR(VLOOKUP(Table_NFI[[#This Row],[Camp Name]],CL,2,0),"")</f>
        <v/>
      </c>
      <c r="AR141" s="468" t="str">
        <f ca="1">IF(Table_NFI[[#This Row],[Pcode]]="","",IF(OFFSET(CampList[Opening Date],MATCH(Table_NFI[[#This Row],[Pcode]],CampList[CP_Pcode],0)-1,0,1,1)&gt;=NFI_Monitor_Date,1,0))</f>
        <v/>
      </c>
      <c r="AS141" s="670" t="str">
        <f>IFERROR(VLOOKUP(Table_NFI[[#This Row],[Camp Name]],CL,3,0),"")</f>
        <v/>
      </c>
      <c r="AT141" s="294" t="str">
        <f ca="1">IF(Table_NFI[[#This Row],[Pcode]]="","",OFFSET(CampList[Priority],MATCH(Table_NFI[[#This Row],[Pcode]],CampList[CP_Pcode],0)-1,0,1,1))</f>
        <v/>
      </c>
      <c r="AU141" s="293" t="str">
        <f>IFERROR(Table_NFI[[#This Row],[Kitchen Set]]/VLOOKUP(Table_NFI[[#This Row],[Camp Name]],CL,4,0),"")</f>
        <v/>
      </c>
      <c r="AV141" s="466"/>
      <c r="AW141" s="469"/>
    </row>
    <row r="142" spans="1:49" s="98" customFormat="1" ht="14.45" customHeight="1" x14ac:dyDescent="0.2">
      <c r="A142" s="297">
        <f t="shared" si="2"/>
        <v>17.399999999999999</v>
      </c>
      <c r="B142" s="465">
        <v>42153</v>
      </c>
      <c r="C142" s="466" t="s">
        <v>905</v>
      </c>
      <c r="D142" s="466" t="s">
        <v>905</v>
      </c>
      <c r="E142" s="466" t="s">
        <v>380</v>
      </c>
      <c r="F142" s="466" t="s">
        <v>5</v>
      </c>
      <c r="G142" s="466" t="s">
        <v>366</v>
      </c>
      <c r="H142" s="291"/>
      <c r="I142" s="291"/>
      <c r="J142" s="584">
        <v>258</v>
      </c>
      <c r="K142" s="291"/>
      <c r="L142" s="292"/>
      <c r="M142" s="292"/>
      <c r="N142" s="292"/>
      <c r="O142" s="292"/>
      <c r="P142" s="294"/>
      <c r="Q142" s="294"/>
      <c r="R142" s="294"/>
      <c r="S142" s="294"/>
      <c r="T142" s="294"/>
      <c r="U142" s="294"/>
      <c r="V142" s="431"/>
      <c r="W142" s="294"/>
      <c r="X142" s="294"/>
      <c r="Y142" s="294">
        <f>IF(NFI_Expiration=1,IF($A142&lt;VLOOKUP(H$5,NFI,5,0),1,0)*Table_NFI[[#This Row],[Hygiene Kit]],Table_NFI[Hygiene Kit])</f>
        <v>0</v>
      </c>
      <c r="Z142" s="294">
        <f>IF(NFI_Expiration=1,IF($A142&lt;VLOOKUP(I$5,NFI,5,0),1,0)*Table_NFI[[#This Row],[NFI Core Kit]],Table_NFI[NFI Core Kit])</f>
        <v>0</v>
      </c>
      <c r="AA142" s="294">
        <f>IF(NFI_Expiration=1,IF($A142&lt;VLOOKUP(J$5,NFI,5,0),1,0)*Table_NFI[[#This Row],[Sanitary Kit]],Table_NFI[Sanitary Kit])</f>
        <v>0</v>
      </c>
      <c r="AB142" s="294">
        <f>IF(NFI_Expiration=1,IF($A142&lt;VLOOKUP(K$5,NFI,5,0),1,0)*Table_NFI[[#This Row],[Mosquito net]],Table_NFI[Mosquito net])</f>
        <v>0</v>
      </c>
      <c r="AC142" s="294">
        <f>IF(NFI_Expiration=1,IF($A142&lt;VLOOKUP(L$5,NFI,5,0),1,0)*Table_NFI[[#This Row],[Tarpaulin]],Table_NFI[[#This Row],[Tarpaulin]])</f>
        <v>0</v>
      </c>
      <c r="AD142" s="294">
        <f>IF(NFI_Expiration=1,IF($A142&lt;VLOOKUP(M$5,NFI,5,0),1,0)*Table_NFI[[#This Row],[Blanket]],Table_NFI[[#This Row],[Blanket]])</f>
        <v>0</v>
      </c>
      <c r="AE142" s="294">
        <f>IF(NFI_Expiration=1,IF($A142&lt;VLOOKUP(N$5,NFI,5,0),1,0)*Table_NFI[[#This Row],[Kitchen Set]],Table_NFI[Kitchen Set])</f>
        <v>0</v>
      </c>
      <c r="AF142" s="294">
        <f>IF(NFI_Expiration=1,IF($A142&lt;VLOOKUP(O$5,NFI,5,0),1,0)*Table_NFI[[#This Row],[Clothes Kit]],Table_NFI[Clothes Kit])</f>
        <v>0</v>
      </c>
      <c r="AG142" s="294">
        <f>IF(NFI_Expiration=1,IF($A142&lt;VLOOKUP(P$5,NFI,5,0),1,0)*Table_NFI[[#This Row],[Plastic Bucket]],Table_NFI[Plastic Bucket])</f>
        <v>0</v>
      </c>
      <c r="AH142" s="294">
        <f>IF(NFI_Expiration=1,IF($A142&lt;VLOOKUP(Q$5,NFI,5,0),1,0)*Table_NFI[[#This Row],[Plastic Mat]],Table_NFI[Plastic Mat])*IF(Table_NFI[[#This Row],[Distribution Date]]&gt;"2014-04-01",1,2.5)</f>
        <v>0</v>
      </c>
      <c r="AI142" s="294">
        <f>IF(NFI_Expiration=1,IF($A142&lt;VLOOKUP(R$5,NFI,5,0),1,0)*Table_NFI[[#This Row],[Winter Clothes Adult]],Table_NFI[Winter Clothes Adult])</f>
        <v>0</v>
      </c>
      <c r="AJ142" s="294">
        <f>IF(NFI_Expiration=1,IF($A142&lt;VLOOKUP(S$5,NFI,5,0),1,0)*Table_NFI[[#This Row],[Winter Clothes Children]],Table_NFI[Winter Clothes Children])</f>
        <v>0</v>
      </c>
      <c r="AK142" s="294">
        <f>IF(NFI_Expiration=1,IF($A142&lt;VLOOKUP(T$5,NFI,5,0),1,0)*Table_NFI[[#This Row],[Winter Items Other]],Table_NFI[Winter Items Other])</f>
        <v>0</v>
      </c>
      <c r="AL142" s="294">
        <f>IF(NFI_Expiration=1,IF($A142&lt;VLOOKUP(M$5,NFI,5,0),1,0)*Table_NFI[[#This Row],[Winter Blanket]],Table_NFI[[#This Row],[Winter Blanket]])</f>
        <v>0</v>
      </c>
      <c r="AM142" s="294">
        <f>IF(Table_NFI[[#This Row],[Winter Clothes Adult]]+Table_NFI[[#This Row],[Winter Clothes Children]]+Table_NFI[[#This Row],[Winter Items Other]]+Table_NFI[[#This Row],[Winter Blanket]]&gt;0,1,0)</f>
        <v>0</v>
      </c>
      <c r="AN142" s="331">
        <f>IF(NFI_Expiration=1,IF($A142&lt;VLOOKUP(V$5,NFI,5,0),1,0)*Table_NFI[[#This Row],[Jerry Can]],Table_NFI[Jerry Can])</f>
        <v>0</v>
      </c>
      <c r="AO142" s="331">
        <f>IF(NFI_Expiration=1,IF($A142&lt;VLOOKUP(V$5,NFI,5,0),1,0)*Table_NFI[[#This Row],[Shelter Tool kit]],Table_NFI[Shelter Tool kit])</f>
        <v>0</v>
      </c>
      <c r="AP142" s="331">
        <f>IF(NFI_Expiration=1,IF($A142&lt;VLOOKUP(V$5,NFI,5,0),1,0)*Table_NFI[[#This Row],[Tent]],Table_NFI[Tent])</f>
        <v>0</v>
      </c>
      <c r="AQ142" s="473" t="str">
        <f>IFERROR(VLOOKUP(Table_NFI[[#This Row],[Camp Name]],CL,2,0),"")</f>
        <v>MMR001CMP193</v>
      </c>
      <c r="AR142" s="468">
        <f ca="1">IF(Table_NFI[[#This Row],[Pcode]]="","",IF(OFFSET(CampList[Opening Date],MATCH(Table_NFI[[#This Row],[Pcode]],CampList[CP_Pcode],0)-1,0,1,1)&gt;=NFI_Monitor_Date,1,0))</f>
        <v>0</v>
      </c>
      <c r="AS142" s="473" t="str">
        <f>IFERROR(VLOOKUP(Table_NFI[[#This Row],[Camp Name]],CL,3,0),"")</f>
        <v>Open</v>
      </c>
      <c r="AT142" s="294" t="str">
        <f ca="1">IF(Table_NFI[[#This Row],[Pcode]]="","",OFFSET(CampList[Priority],MATCH(Table_NFI[[#This Row],[Pcode]],CampList[CP_Pcode],0)-1,0,1,1))</f>
        <v>P4</v>
      </c>
      <c r="AU142" s="293">
        <f>IFERROR(Table_NFI[[#This Row],[Kitchen Set]]/VLOOKUP(Table_NFI[[#This Row],[Camp Name]],CL,4,0),"")</f>
        <v>0</v>
      </c>
      <c r="AV142" s="466"/>
      <c r="AW142" s="469"/>
    </row>
    <row r="143" spans="1:49" s="98" customFormat="1" ht="14.45" customHeight="1" x14ac:dyDescent="0.2">
      <c r="A143" s="297">
        <f t="shared" si="2"/>
        <v>17.433333333333334</v>
      </c>
      <c r="B143" s="465">
        <v>42152</v>
      </c>
      <c r="C143" s="466" t="s">
        <v>905</v>
      </c>
      <c r="D143" s="466" t="s">
        <v>905</v>
      </c>
      <c r="E143" s="466" t="s">
        <v>380</v>
      </c>
      <c r="F143" s="466" t="s">
        <v>5</v>
      </c>
      <c r="G143" s="466" t="s">
        <v>24</v>
      </c>
      <c r="H143" s="291"/>
      <c r="I143" s="291"/>
      <c r="J143" s="584">
        <v>36</v>
      </c>
      <c r="K143" s="291"/>
      <c r="L143" s="292"/>
      <c r="M143" s="292"/>
      <c r="N143" s="292"/>
      <c r="O143" s="292"/>
      <c r="P143" s="294"/>
      <c r="Q143" s="294"/>
      <c r="R143" s="294"/>
      <c r="S143" s="294"/>
      <c r="T143" s="294"/>
      <c r="U143" s="294"/>
      <c r="V143" s="431"/>
      <c r="W143" s="294"/>
      <c r="X143" s="294"/>
      <c r="Y143" s="294">
        <f>IF(NFI_Expiration=1,IF($A143&lt;VLOOKUP(H$5,NFI,5,0),1,0)*Table_NFI[[#This Row],[Hygiene Kit]],Table_NFI[Hygiene Kit])</f>
        <v>0</v>
      </c>
      <c r="Z143" s="294">
        <f>IF(NFI_Expiration=1,IF($A143&lt;VLOOKUP(I$5,NFI,5,0),1,0)*Table_NFI[[#This Row],[NFI Core Kit]],Table_NFI[NFI Core Kit])</f>
        <v>0</v>
      </c>
      <c r="AA143" s="294">
        <f>IF(NFI_Expiration=1,IF($A143&lt;VLOOKUP(J$5,NFI,5,0),1,0)*Table_NFI[[#This Row],[Sanitary Kit]],Table_NFI[Sanitary Kit])</f>
        <v>0</v>
      </c>
      <c r="AB143" s="294">
        <f>IF(NFI_Expiration=1,IF($A143&lt;VLOOKUP(K$5,NFI,5,0),1,0)*Table_NFI[[#This Row],[Mosquito net]],Table_NFI[Mosquito net])</f>
        <v>0</v>
      </c>
      <c r="AC143" s="294">
        <f>IF(NFI_Expiration=1,IF($A143&lt;VLOOKUP(L$5,NFI,5,0),1,0)*Table_NFI[[#This Row],[Tarpaulin]],Table_NFI[[#This Row],[Tarpaulin]])</f>
        <v>0</v>
      </c>
      <c r="AD143" s="294">
        <f>IF(NFI_Expiration=1,IF($A143&lt;VLOOKUP(M$5,NFI,5,0),1,0)*Table_NFI[[#This Row],[Blanket]],Table_NFI[[#This Row],[Blanket]])</f>
        <v>0</v>
      </c>
      <c r="AE143" s="294">
        <f>IF(NFI_Expiration=1,IF($A143&lt;VLOOKUP(N$5,NFI,5,0),1,0)*Table_NFI[[#This Row],[Kitchen Set]],Table_NFI[Kitchen Set])</f>
        <v>0</v>
      </c>
      <c r="AF143" s="294">
        <f>IF(NFI_Expiration=1,IF($A143&lt;VLOOKUP(O$5,NFI,5,0),1,0)*Table_NFI[[#This Row],[Clothes Kit]],Table_NFI[Clothes Kit])</f>
        <v>0</v>
      </c>
      <c r="AG143" s="294">
        <f>IF(NFI_Expiration=1,IF($A143&lt;VLOOKUP(P$5,NFI,5,0),1,0)*Table_NFI[[#This Row],[Plastic Bucket]],Table_NFI[Plastic Bucket])</f>
        <v>0</v>
      </c>
      <c r="AH143" s="294">
        <f>IF(NFI_Expiration=1,IF($A143&lt;VLOOKUP(Q$5,NFI,5,0),1,0)*Table_NFI[[#This Row],[Plastic Mat]],Table_NFI[Plastic Mat])*IF(Table_NFI[[#This Row],[Distribution Date]]&gt;"2014-04-01",1,2.5)</f>
        <v>0</v>
      </c>
      <c r="AI143" s="294">
        <f>IF(NFI_Expiration=1,IF($A143&lt;VLOOKUP(R$5,NFI,5,0),1,0)*Table_NFI[[#This Row],[Winter Clothes Adult]],Table_NFI[Winter Clothes Adult])</f>
        <v>0</v>
      </c>
      <c r="AJ143" s="294">
        <f>IF(NFI_Expiration=1,IF($A143&lt;VLOOKUP(S$5,NFI,5,0),1,0)*Table_NFI[[#This Row],[Winter Clothes Children]],Table_NFI[Winter Clothes Children])</f>
        <v>0</v>
      </c>
      <c r="AK143" s="294">
        <f>IF(NFI_Expiration=1,IF($A143&lt;VLOOKUP(T$5,NFI,5,0),1,0)*Table_NFI[[#This Row],[Winter Items Other]],Table_NFI[Winter Items Other])</f>
        <v>0</v>
      </c>
      <c r="AL143" s="294">
        <f>IF(NFI_Expiration=1,IF($A143&lt;VLOOKUP(M$5,NFI,5,0),1,0)*Table_NFI[[#This Row],[Winter Blanket]],Table_NFI[[#This Row],[Winter Blanket]])</f>
        <v>0</v>
      </c>
      <c r="AM143" s="294">
        <f>IF(Table_NFI[[#This Row],[Winter Clothes Adult]]+Table_NFI[[#This Row],[Winter Clothes Children]]+Table_NFI[[#This Row],[Winter Items Other]]+Table_NFI[[#This Row],[Winter Blanket]]&gt;0,1,0)</f>
        <v>0</v>
      </c>
      <c r="AN143" s="331">
        <f>IF(NFI_Expiration=1,IF($A143&lt;VLOOKUP(V$5,NFI,5,0),1,0)*Table_NFI[[#This Row],[Jerry Can]],Table_NFI[Jerry Can])</f>
        <v>0</v>
      </c>
      <c r="AO143" s="331">
        <f>IF(NFI_Expiration=1,IF($A143&lt;VLOOKUP(V$5,NFI,5,0),1,0)*Table_NFI[[#This Row],[Shelter Tool kit]],Table_NFI[Shelter Tool kit])</f>
        <v>0</v>
      </c>
      <c r="AP143" s="331">
        <f>IF(NFI_Expiration=1,IF($A143&lt;VLOOKUP(V$5,NFI,5,0),1,0)*Table_NFI[[#This Row],[Tent]],Table_NFI[Tent])</f>
        <v>0</v>
      </c>
      <c r="AQ143" s="473" t="str">
        <f>IFERROR(VLOOKUP(Table_NFI[[#This Row],[Camp Name]],CL,2,0),"")</f>
        <v>MMR001CMP055</v>
      </c>
      <c r="AR143" s="468">
        <f ca="1">IF(Table_NFI[[#This Row],[Pcode]]="","",IF(OFFSET(CampList[Opening Date],MATCH(Table_NFI[[#This Row],[Pcode]],CampList[CP_Pcode],0)-1,0,1,1)&gt;=NFI_Monitor_Date,1,0))</f>
        <v>0</v>
      </c>
      <c r="AS143" s="473" t="str">
        <f>IFERROR(VLOOKUP(Table_NFI[[#This Row],[Camp Name]],CL,3,0),"")</f>
        <v>Open</v>
      </c>
      <c r="AT143" s="294" t="str">
        <f ca="1">IF(Table_NFI[[#This Row],[Pcode]]="","",OFFSET(CampList[Priority],MATCH(Table_NFI[[#This Row],[Pcode]],CampList[CP_Pcode],0)-1,0,1,1))</f>
        <v>P4</v>
      </c>
      <c r="AU143" s="293">
        <f>IFERROR(Table_NFI[[#This Row],[Kitchen Set]]/VLOOKUP(Table_NFI[[#This Row],[Camp Name]],CL,4,0),"")</f>
        <v>0</v>
      </c>
      <c r="AV143" s="466"/>
      <c r="AW143" s="469"/>
    </row>
    <row r="144" spans="1:49" s="98" customFormat="1" x14ac:dyDescent="0.25">
      <c r="A144" s="297">
        <f t="shared" si="2"/>
        <v>17.466666666666665</v>
      </c>
      <c r="B144" s="465">
        <v>42151</v>
      </c>
      <c r="C144" s="466" t="s">
        <v>905</v>
      </c>
      <c r="D144" s="466" t="s">
        <v>905</v>
      </c>
      <c r="E144" s="466" t="s">
        <v>380</v>
      </c>
      <c r="F144" s="290" t="s">
        <v>5</v>
      </c>
      <c r="G144" s="290" t="s">
        <v>6</v>
      </c>
      <c r="H144" s="291"/>
      <c r="I144" s="291"/>
      <c r="J144" s="294">
        <v>424</v>
      </c>
      <c r="K144" s="291"/>
      <c r="L144" s="292"/>
      <c r="M144" s="292"/>
      <c r="N144" s="292"/>
      <c r="O144" s="292"/>
      <c r="P144" s="294"/>
      <c r="Q144" s="294"/>
      <c r="R144" s="294"/>
      <c r="S144" s="294"/>
      <c r="T144" s="294"/>
      <c r="U144" s="294"/>
      <c r="V144" s="431"/>
      <c r="W144" s="294"/>
      <c r="X144" s="294"/>
      <c r="Y144" s="294">
        <f>IF(NFI_Expiration=1,IF($A144&lt;VLOOKUP(H$5,NFI,5,0),1,0)*Table_NFI[[#This Row],[Hygiene Kit]],Table_NFI[Hygiene Kit])</f>
        <v>0</v>
      </c>
      <c r="Z144" s="294">
        <f>IF(NFI_Expiration=1,IF($A144&lt;VLOOKUP(I$5,NFI,5,0),1,0)*Table_NFI[[#This Row],[NFI Core Kit]],Table_NFI[NFI Core Kit])</f>
        <v>0</v>
      </c>
      <c r="AA144" s="294">
        <f>IF(NFI_Expiration=1,IF($A144&lt;VLOOKUP(J$5,NFI,5,0),1,0)*Table_NFI[[#This Row],[Sanitary Kit]],Table_NFI[Sanitary Kit])</f>
        <v>0</v>
      </c>
      <c r="AB144" s="294">
        <f>IF(NFI_Expiration=1,IF($A144&lt;VLOOKUP(K$5,NFI,5,0),1,0)*Table_NFI[[#This Row],[Mosquito net]],Table_NFI[Mosquito net])</f>
        <v>0</v>
      </c>
      <c r="AC144" s="294">
        <f>IF(NFI_Expiration=1,IF($A144&lt;VLOOKUP(L$5,NFI,5,0),1,0)*Table_NFI[[#This Row],[Tarpaulin]],Table_NFI[[#This Row],[Tarpaulin]])</f>
        <v>0</v>
      </c>
      <c r="AD144" s="294">
        <f>IF(NFI_Expiration=1,IF($A144&lt;VLOOKUP(M$5,NFI,5,0),1,0)*Table_NFI[[#This Row],[Blanket]],Table_NFI[[#This Row],[Blanket]])</f>
        <v>0</v>
      </c>
      <c r="AE144" s="294">
        <f>IF(NFI_Expiration=1,IF($A144&lt;VLOOKUP(N$5,NFI,5,0),1,0)*Table_NFI[[#This Row],[Kitchen Set]],Table_NFI[Kitchen Set])</f>
        <v>0</v>
      </c>
      <c r="AF144" s="294">
        <f>IF(NFI_Expiration=1,IF($A144&lt;VLOOKUP(O$5,NFI,5,0),1,0)*Table_NFI[[#This Row],[Clothes Kit]],Table_NFI[Clothes Kit])</f>
        <v>0</v>
      </c>
      <c r="AG144" s="294">
        <f>IF(NFI_Expiration=1,IF($A144&lt;VLOOKUP(P$5,NFI,5,0),1,0)*Table_NFI[[#This Row],[Plastic Bucket]],Table_NFI[Plastic Bucket])</f>
        <v>0</v>
      </c>
      <c r="AH144" s="294">
        <f>IF(NFI_Expiration=1,IF($A144&lt;VLOOKUP(Q$5,NFI,5,0),1,0)*Table_NFI[[#This Row],[Plastic Mat]],Table_NFI[Plastic Mat])*IF(Table_NFI[[#This Row],[Distribution Date]]&gt;"2014-04-01",1,2.5)</f>
        <v>0</v>
      </c>
      <c r="AI144" s="294">
        <f>IF(NFI_Expiration=1,IF($A144&lt;VLOOKUP(R$5,NFI,5,0),1,0)*Table_NFI[[#This Row],[Winter Clothes Adult]],Table_NFI[Winter Clothes Adult])</f>
        <v>0</v>
      </c>
      <c r="AJ144" s="294">
        <f>IF(NFI_Expiration=1,IF($A144&lt;VLOOKUP(S$5,NFI,5,0),1,0)*Table_NFI[[#This Row],[Winter Clothes Children]],Table_NFI[Winter Clothes Children])</f>
        <v>0</v>
      </c>
      <c r="AK144" s="294">
        <f>IF(NFI_Expiration=1,IF($A144&lt;VLOOKUP(T$5,NFI,5,0),1,0)*Table_NFI[[#This Row],[Winter Items Other]],Table_NFI[Winter Items Other])</f>
        <v>0</v>
      </c>
      <c r="AL144" s="294">
        <f>IF(NFI_Expiration=1,IF($A144&lt;VLOOKUP(M$5,NFI,5,0),1,0)*Table_NFI[[#This Row],[Winter Blanket]],Table_NFI[[#This Row],[Winter Blanket]])</f>
        <v>0</v>
      </c>
      <c r="AM144" s="294">
        <f>IF(Table_NFI[[#This Row],[Winter Clothes Adult]]+Table_NFI[[#This Row],[Winter Clothes Children]]+Table_NFI[[#This Row],[Winter Items Other]]+Table_NFI[[#This Row],[Winter Blanket]]&gt;0,1,0)</f>
        <v>0</v>
      </c>
      <c r="AN144" s="331">
        <f>IF(NFI_Expiration=1,IF($A144&lt;VLOOKUP(V$5,NFI,5,0),1,0)*Table_NFI[[#This Row],[Jerry Can]],Table_NFI[Jerry Can])</f>
        <v>0</v>
      </c>
      <c r="AO144" s="331">
        <f>IF(NFI_Expiration=1,IF($A144&lt;VLOOKUP(V$5,NFI,5,0),1,0)*Table_NFI[[#This Row],[Shelter Tool kit]],Table_NFI[Shelter Tool kit])</f>
        <v>0</v>
      </c>
      <c r="AP144" s="331">
        <f>IF(NFI_Expiration=1,IF($A144&lt;VLOOKUP(V$5,NFI,5,0),1,0)*Table_NFI[[#This Row],[Tent]],Table_NFI[Tent])</f>
        <v>0</v>
      </c>
      <c r="AQ144" s="473" t="str">
        <f>IFERROR(VLOOKUP(Table_NFI[[#This Row],[Camp Name]],CL,2,0),"")</f>
        <v>MMR001CMP050</v>
      </c>
      <c r="AR144" s="468">
        <f ca="1">IF(Table_NFI[[#This Row],[Pcode]]="","",IF(OFFSET(CampList[Opening Date],MATCH(Table_NFI[[#This Row],[Pcode]],CampList[CP_Pcode],0)-1,0,1,1)&gt;=NFI_Monitor_Date,1,0))</f>
        <v>0</v>
      </c>
      <c r="AS144" s="473" t="str">
        <f>IFERROR(VLOOKUP(Table_NFI[[#This Row],[Camp Name]],CL,3,0),"")</f>
        <v>Open</v>
      </c>
      <c r="AT144" s="294" t="str">
        <f ca="1">IF(Table_NFI[[#This Row],[Pcode]]="","",OFFSET(CampList[Priority],MATCH(Table_NFI[[#This Row],[Pcode]],CampList[CP_Pcode],0)-1,0,1,1))</f>
        <v>P4</v>
      </c>
      <c r="AU144" s="293">
        <f>IFERROR(Table_NFI[[#This Row],[Kitchen Set]]/VLOOKUP(Table_NFI[[#This Row],[Camp Name]],CL,4,0),"")</f>
        <v>0</v>
      </c>
      <c r="AV144" s="466"/>
      <c r="AW144" s="469"/>
    </row>
    <row r="145" spans="1:49" s="98" customFormat="1" x14ac:dyDescent="0.25">
      <c r="A145" s="297">
        <f t="shared" si="2"/>
        <v>17.933333333333334</v>
      </c>
      <c r="B145" s="465">
        <v>42137</v>
      </c>
      <c r="C145" s="466" t="s">
        <v>452</v>
      </c>
      <c r="D145" s="466" t="s">
        <v>1089</v>
      </c>
      <c r="E145" s="466" t="s">
        <v>380</v>
      </c>
      <c r="F145" s="466" t="s">
        <v>185</v>
      </c>
      <c r="G145" s="290" t="s">
        <v>202</v>
      </c>
      <c r="H145" s="291"/>
      <c r="I145" s="291"/>
      <c r="J145" s="291"/>
      <c r="K145" s="291"/>
      <c r="L145" s="292"/>
      <c r="M145" s="292">
        <v>28</v>
      </c>
      <c r="N145" s="292"/>
      <c r="O145" s="292"/>
      <c r="P145" s="294"/>
      <c r="Q145" s="294"/>
      <c r="R145" s="294"/>
      <c r="S145" s="294"/>
      <c r="T145" s="294"/>
      <c r="U145" s="294"/>
      <c r="V145" s="431"/>
      <c r="W145" s="331"/>
      <c r="X145" s="331"/>
      <c r="Y145" s="294">
        <f>IF(NFI_Expiration=1,IF($A145&lt;VLOOKUP(H$5,NFI,5,0),1,0)*Table_NFI[[#This Row],[Hygiene Kit]],Table_NFI[Hygiene Kit])</f>
        <v>0</v>
      </c>
      <c r="Z145" s="294">
        <f>IF(NFI_Expiration=1,IF($A145&lt;VLOOKUP(I$5,NFI,5,0),1,0)*Table_NFI[[#This Row],[NFI Core Kit]],Table_NFI[NFI Core Kit])</f>
        <v>0</v>
      </c>
      <c r="AA145" s="294">
        <f>IF(NFI_Expiration=1,IF($A145&lt;VLOOKUP(J$5,NFI,5,0),1,0)*Table_NFI[[#This Row],[Sanitary Kit]],Table_NFI[Sanitary Kit])</f>
        <v>0</v>
      </c>
      <c r="AB145" s="294">
        <f>IF(NFI_Expiration=1,IF($A145&lt;VLOOKUP(K$5,NFI,5,0),1,0)*Table_NFI[[#This Row],[Mosquito net]],Table_NFI[Mosquito net])</f>
        <v>0</v>
      </c>
      <c r="AC145" s="294">
        <f>IF(NFI_Expiration=1,IF($A145&lt;VLOOKUP(L$5,NFI,5,0),1,0)*Table_NFI[[#This Row],[Tarpaulin]],Table_NFI[[#This Row],[Tarpaulin]])</f>
        <v>0</v>
      </c>
      <c r="AD145" s="294">
        <f>IF(NFI_Expiration=1,IF($A145&lt;VLOOKUP(M$5,NFI,5,0),1,0)*Table_NFI[[#This Row],[Blanket]],Table_NFI[[#This Row],[Blanket]])</f>
        <v>0</v>
      </c>
      <c r="AE145" s="294">
        <f>IF(NFI_Expiration=1,IF($A145&lt;VLOOKUP(N$5,NFI,5,0),1,0)*Table_NFI[[#This Row],[Kitchen Set]],Table_NFI[Kitchen Set])</f>
        <v>0</v>
      </c>
      <c r="AF145" s="294">
        <f>IF(NFI_Expiration=1,IF($A145&lt;VLOOKUP(O$5,NFI,5,0),1,0)*Table_NFI[[#This Row],[Clothes Kit]],Table_NFI[Clothes Kit])</f>
        <v>0</v>
      </c>
      <c r="AG145" s="294">
        <f>IF(NFI_Expiration=1,IF($A145&lt;VLOOKUP(P$5,NFI,5,0),1,0)*Table_NFI[[#This Row],[Plastic Bucket]],Table_NFI[Plastic Bucket])</f>
        <v>0</v>
      </c>
      <c r="AH145" s="294">
        <f>IF(NFI_Expiration=1,IF($A145&lt;VLOOKUP(Q$5,NFI,5,0),1,0)*Table_NFI[[#This Row],[Plastic Mat]],Table_NFI[Plastic Mat])*IF(Table_NFI[[#This Row],[Distribution Date]]&gt;"2014-04-01",1,2.5)</f>
        <v>0</v>
      </c>
      <c r="AI145" s="294">
        <f>IF(NFI_Expiration=1,IF($A145&lt;VLOOKUP(R$5,NFI,5,0),1,0)*Table_NFI[[#This Row],[Winter Clothes Adult]],Table_NFI[Winter Clothes Adult])</f>
        <v>0</v>
      </c>
      <c r="AJ145" s="294">
        <f>IF(NFI_Expiration=1,IF($A145&lt;VLOOKUP(S$5,NFI,5,0),1,0)*Table_NFI[[#This Row],[Winter Clothes Children]],Table_NFI[Winter Clothes Children])</f>
        <v>0</v>
      </c>
      <c r="AK145" s="294">
        <f>IF(NFI_Expiration=1,IF($A145&lt;VLOOKUP(T$5,NFI,5,0),1,0)*Table_NFI[[#This Row],[Winter Items Other]],Table_NFI[Winter Items Other])</f>
        <v>0</v>
      </c>
      <c r="AL145" s="294">
        <f>IF(NFI_Expiration=1,IF($A145&lt;VLOOKUP(M$5,NFI,5,0),1,0)*Table_NFI[[#This Row],[Winter Blanket]],Table_NFI[[#This Row],[Winter Blanket]])</f>
        <v>0</v>
      </c>
      <c r="AM145" s="294">
        <f>IF(Table_NFI[[#This Row],[Winter Clothes Adult]]+Table_NFI[[#This Row],[Winter Clothes Children]]+Table_NFI[[#This Row],[Winter Items Other]]+Table_NFI[[#This Row],[Winter Blanket]]&gt;0,1,0)</f>
        <v>0</v>
      </c>
      <c r="AN145" s="331">
        <f>IF(NFI_Expiration=1,IF($A145&lt;VLOOKUP(V$5,NFI,5,0),1,0)*Table_NFI[[#This Row],[Jerry Can]],Table_NFI[Jerry Can])</f>
        <v>0</v>
      </c>
      <c r="AO145" s="331">
        <f>IF(NFI_Expiration=1,IF($A145&lt;VLOOKUP(V$5,NFI,5,0),1,0)*Table_NFI[[#This Row],[Shelter Tool kit]],Table_NFI[Shelter Tool kit])</f>
        <v>0</v>
      </c>
      <c r="AP145" s="331">
        <f>IF(NFI_Expiration=1,IF($A145&lt;VLOOKUP(V$5,NFI,5,0),1,0)*Table_NFI[[#This Row],[Tent]],Table_NFI[Tent])</f>
        <v>0</v>
      </c>
      <c r="AQ145" s="473" t="str">
        <f>IFERROR(VLOOKUP(Table_NFI[[#This Row],[Camp Name]],CL,2,0),"")</f>
        <v>MMR001CMP062</v>
      </c>
      <c r="AR145" s="468">
        <f ca="1">IF(Table_NFI[[#This Row],[Pcode]]="","",IF(OFFSET(CampList[Opening Date],MATCH(Table_NFI[[#This Row],[Pcode]],CampList[CP_Pcode],0)-1,0,1,1)&gt;=NFI_Monitor_Date,1,0))</f>
        <v>0</v>
      </c>
      <c r="AS145" s="473" t="str">
        <f>IFERROR(VLOOKUP(Table_NFI[[#This Row],[Camp Name]],CL,3,0),"")</f>
        <v>Open</v>
      </c>
      <c r="AT145" s="294" t="str">
        <f ca="1">IF(Table_NFI[[#This Row],[Pcode]]="","",OFFSET(CampList[Priority],MATCH(Table_NFI[[#This Row],[Pcode]],CampList[CP_Pcode],0)-1,0,1,1))</f>
        <v>P4</v>
      </c>
      <c r="AU145" s="293">
        <f>IFERROR(Table_NFI[[#This Row],[Kitchen Set]]/VLOOKUP(Table_NFI[[#This Row],[Camp Name]],CL,4,0),"")</f>
        <v>0</v>
      </c>
      <c r="AV145" s="466" t="s">
        <v>1092</v>
      </c>
      <c r="AW145" s="469"/>
    </row>
    <row r="146" spans="1:49" s="98" customFormat="1" x14ac:dyDescent="0.25">
      <c r="A146" s="297">
        <f t="shared" si="2"/>
        <v>18.566666666666666</v>
      </c>
      <c r="B146" s="465">
        <v>42118</v>
      </c>
      <c r="C146" s="466" t="s">
        <v>452</v>
      </c>
      <c r="D146" s="466" t="s">
        <v>460</v>
      </c>
      <c r="E146" s="466" t="s">
        <v>380</v>
      </c>
      <c r="F146" s="466" t="s">
        <v>185</v>
      </c>
      <c r="G146" s="466" t="s">
        <v>190</v>
      </c>
      <c r="H146" s="291"/>
      <c r="I146" s="294"/>
      <c r="J146" s="294"/>
      <c r="K146" s="294"/>
      <c r="L146" s="292"/>
      <c r="M146" s="292"/>
      <c r="N146" s="292"/>
      <c r="O146" s="292"/>
      <c r="P146" s="294">
        <v>9</v>
      </c>
      <c r="Q146" s="294"/>
      <c r="R146" s="294"/>
      <c r="S146" s="294"/>
      <c r="T146" s="294"/>
      <c r="U146" s="294"/>
      <c r="V146" s="431"/>
      <c r="W146" s="294"/>
      <c r="X146" s="294"/>
      <c r="Y146" s="294">
        <f>IF(NFI_Expiration=1,IF($A146&lt;VLOOKUP(H$5,NFI,5,0),1,0)*Table_NFI[[#This Row],[Hygiene Kit]],Table_NFI[Hygiene Kit])</f>
        <v>0</v>
      </c>
      <c r="Z146" s="294">
        <f>IF(NFI_Expiration=1,IF($A146&lt;VLOOKUP(I$5,NFI,5,0),1,0)*Table_NFI[[#This Row],[NFI Core Kit]],Table_NFI[NFI Core Kit])</f>
        <v>0</v>
      </c>
      <c r="AA146" s="294">
        <f>IF(NFI_Expiration=1,IF($A146&lt;VLOOKUP(J$5,NFI,5,0),1,0)*Table_NFI[[#This Row],[Sanitary Kit]],Table_NFI[Sanitary Kit])</f>
        <v>0</v>
      </c>
      <c r="AB146" s="294">
        <f>IF(NFI_Expiration=1,IF($A146&lt;VLOOKUP(K$5,NFI,5,0),1,0)*Table_NFI[[#This Row],[Mosquito net]],Table_NFI[Mosquito net])</f>
        <v>0</v>
      </c>
      <c r="AC146" s="294">
        <f>IF(NFI_Expiration=1,IF($A146&lt;VLOOKUP(L$5,NFI,5,0),1,0)*Table_NFI[[#This Row],[Tarpaulin]],Table_NFI[[#This Row],[Tarpaulin]])</f>
        <v>0</v>
      </c>
      <c r="AD146" s="294">
        <f>IF(NFI_Expiration=1,IF($A146&lt;VLOOKUP(M$5,NFI,5,0),1,0)*Table_NFI[[#This Row],[Blanket]],Table_NFI[[#This Row],[Blanket]])</f>
        <v>0</v>
      </c>
      <c r="AE146" s="294">
        <f>IF(NFI_Expiration=1,IF($A146&lt;VLOOKUP(N$5,NFI,5,0),1,0)*Table_NFI[[#This Row],[Kitchen Set]],Table_NFI[Kitchen Set])</f>
        <v>0</v>
      </c>
      <c r="AF146" s="294">
        <f>IF(NFI_Expiration=1,IF($A146&lt;VLOOKUP(O$5,NFI,5,0),1,0)*Table_NFI[[#This Row],[Clothes Kit]],Table_NFI[Clothes Kit])</f>
        <v>0</v>
      </c>
      <c r="AG146" s="294">
        <f>IF(NFI_Expiration=1,IF($A146&lt;VLOOKUP(P$5,NFI,5,0),1,0)*Table_NFI[[#This Row],[Plastic Bucket]],Table_NFI[Plastic Bucket])</f>
        <v>0</v>
      </c>
      <c r="AH146" s="294">
        <f>IF(NFI_Expiration=1,IF($A146&lt;VLOOKUP(Q$5,NFI,5,0),1,0)*Table_NFI[[#This Row],[Plastic Mat]],Table_NFI[Plastic Mat])*IF(Table_NFI[[#This Row],[Distribution Date]]&gt;"2014-04-01",1,2.5)</f>
        <v>0</v>
      </c>
      <c r="AI146" s="294">
        <f>IF(NFI_Expiration=1,IF($A146&lt;VLOOKUP(R$5,NFI,5,0),1,0)*Table_NFI[[#This Row],[Winter Clothes Adult]],Table_NFI[Winter Clothes Adult])</f>
        <v>0</v>
      </c>
      <c r="AJ146" s="294">
        <f>IF(NFI_Expiration=1,IF($A146&lt;VLOOKUP(S$5,NFI,5,0),1,0)*Table_NFI[[#This Row],[Winter Clothes Children]],Table_NFI[Winter Clothes Children])</f>
        <v>0</v>
      </c>
      <c r="AK146" s="294">
        <f>IF(NFI_Expiration=1,IF($A146&lt;VLOOKUP(T$5,NFI,5,0),1,0)*Table_NFI[[#This Row],[Winter Items Other]],Table_NFI[Winter Items Other])</f>
        <v>0</v>
      </c>
      <c r="AL146" s="294">
        <f>IF(NFI_Expiration=1,IF($A146&lt;VLOOKUP(M$5,NFI,5,0),1,0)*Table_NFI[[#This Row],[Winter Blanket]],Table_NFI[[#This Row],[Winter Blanket]])</f>
        <v>0</v>
      </c>
      <c r="AM146" s="294">
        <f>IF(Table_NFI[[#This Row],[Winter Clothes Adult]]+Table_NFI[[#This Row],[Winter Clothes Children]]+Table_NFI[[#This Row],[Winter Items Other]]+Table_NFI[[#This Row],[Winter Blanket]]&gt;0,1,0)</f>
        <v>0</v>
      </c>
      <c r="AN146" s="331">
        <f>IF(NFI_Expiration=1,IF($A146&lt;VLOOKUP(V$5,NFI,5,0),1,0)*Table_NFI[[#This Row],[Jerry Can]],Table_NFI[Jerry Can])</f>
        <v>0</v>
      </c>
      <c r="AO146" s="331">
        <f>IF(NFI_Expiration=1,IF($A146&lt;VLOOKUP(V$5,NFI,5,0),1,0)*Table_NFI[[#This Row],[Shelter Tool kit]],Table_NFI[Shelter Tool kit])</f>
        <v>0</v>
      </c>
      <c r="AP146" s="331">
        <f>IF(NFI_Expiration=1,IF($A146&lt;VLOOKUP(V$5,NFI,5,0),1,0)*Table_NFI[[#This Row],[Tent]],Table_NFI[Tent])</f>
        <v>0</v>
      </c>
      <c r="AQ146" s="473" t="str">
        <f>IFERROR(VLOOKUP(Table_NFI[[#This Row],[Camp Name]],CL,2,0),"")</f>
        <v>MMR001CMP070</v>
      </c>
      <c r="AR146" s="468">
        <f ca="1">IF(Table_NFI[[#This Row],[Pcode]]="","",IF(OFFSET(CampList[Opening Date],MATCH(Table_NFI[[#This Row],[Pcode]],CampList[CP_Pcode],0)-1,0,1,1)&gt;=NFI_Monitor_Date,1,0))</f>
        <v>0</v>
      </c>
      <c r="AS146" s="473" t="str">
        <f>IFERROR(VLOOKUP(Table_NFI[[#This Row],[Camp Name]],CL,3,0),"")</f>
        <v>Open</v>
      </c>
      <c r="AT146" s="294" t="str">
        <f ca="1">IF(Table_NFI[[#This Row],[Pcode]]="","",OFFSET(CampList[Priority],MATCH(Table_NFI[[#This Row],[Pcode]],CampList[CP_Pcode],0)-1,0,1,1))</f>
        <v>P3</v>
      </c>
      <c r="AU146" s="293">
        <f>IFERROR(Table_NFI[[#This Row],[Kitchen Set]]/VLOOKUP(Table_NFI[[#This Row],[Camp Name]],CL,4,0),"")</f>
        <v>0</v>
      </c>
      <c r="AV146" s="466" t="s">
        <v>1092</v>
      </c>
      <c r="AW146" s="490"/>
    </row>
    <row r="147" spans="1:49" s="98" customFormat="1" ht="14.45" customHeight="1" x14ac:dyDescent="0.25">
      <c r="A147" s="297">
        <f t="shared" si="2"/>
        <v>18.566666666666666</v>
      </c>
      <c r="B147" s="465">
        <v>42118</v>
      </c>
      <c r="C147" s="466" t="s">
        <v>452</v>
      </c>
      <c r="D147" s="466" t="s">
        <v>1331</v>
      </c>
      <c r="E147" s="466" t="s">
        <v>380</v>
      </c>
      <c r="F147" s="466" t="s">
        <v>185</v>
      </c>
      <c r="G147" s="466" t="s">
        <v>225</v>
      </c>
      <c r="H147" s="291"/>
      <c r="I147" s="291"/>
      <c r="J147" s="294"/>
      <c r="K147" s="294">
        <v>36</v>
      </c>
      <c r="L147" s="292">
        <v>18</v>
      </c>
      <c r="M147" s="292">
        <v>90</v>
      </c>
      <c r="N147" s="292">
        <v>18</v>
      </c>
      <c r="O147" s="292"/>
      <c r="P147" s="294"/>
      <c r="Q147" s="294">
        <v>90</v>
      </c>
      <c r="R147" s="294"/>
      <c r="S147" s="294"/>
      <c r="T147" s="294"/>
      <c r="U147" s="294"/>
      <c r="V147" s="431">
        <v>18</v>
      </c>
      <c r="W147" s="294"/>
      <c r="X147" s="294"/>
      <c r="Y147" s="294">
        <f>IF(NFI_Expiration=1,IF($A147&lt;VLOOKUP(H$5,NFI,5,0),1,0)*Table_NFI[[#This Row],[Hygiene Kit]],Table_NFI[Hygiene Kit])</f>
        <v>0</v>
      </c>
      <c r="Z147" s="294">
        <f>IF(NFI_Expiration=1,IF($A147&lt;VLOOKUP(I$5,NFI,5,0),1,0)*Table_NFI[[#This Row],[NFI Core Kit]],Table_NFI[NFI Core Kit])</f>
        <v>0</v>
      </c>
      <c r="AA147" s="294">
        <f>IF(NFI_Expiration=1,IF($A147&lt;VLOOKUP(J$5,NFI,5,0),1,0)*Table_NFI[[#This Row],[Sanitary Kit]],Table_NFI[Sanitary Kit])</f>
        <v>0</v>
      </c>
      <c r="AB147" s="294">
        <f>IF(NFI_Expiration=1,IF($A147&lt;VLOOKUP(K$5,NFI,5,0),1,0)*Table_NFI[[#This Row],[Mosquito net]],Table_NFI[Mosquito net])</f>
        <v>0</v>
      </c>
      <c r="AC147" s="294">
        <f>IF(NFI_Expiration=1,IF($A147&lt;VLOOKUP(L$5,NFI,5,0),1,0)*Table_NFI[[#This Row],[Tarpaulin]],Table_NFI[[#This Row],[Tarpaulin]])</f>
        <v>0</v>
      </c>
      <c r="AD147" s="294">
        <f>IF(NFI_Expiration=1,IF($A147&lt;VLOOKUP(M$5,NFI,5,0),1,0)*Table_NFI[[#This Row],[Blanket]],Table_NFI[[#This Row],[Blanket]])</f>
        <v>0</v>
      </c>
      <c r="AE147" s="294">
        <f>IF(NFI_Expiration=1,IF($A147&lt;VLOOKUP(N$5,NFI,5,0),1,0)*Table_NFI[[#This Row],[Kitchen Set]],Table_NFI[Kitchen Set])</f>
        <v>0</v>
      </c>
      <c r="AF147" s="294">
        <f>IF(NFI_Expiration=1,IF($A147&lt;VLOOKUP(O$5,NFI,5,0),1,0)*Table_NFI[[#This Row],[Clothes Kit]],Table_NFI[Clothes Kit])</f>
        <v>0</v>
      </c>
      <c r="AG147" s="294">
        <f>IF(NFI_Expiration=1,IF($A147&lt;VLOOKUP(P$5,NFI,5,0),1,0)*Table_NFI[[#This Row],[Plastic Bucket]],Table_NFI[Plastic Bucket])</f>
        <v>0</v>
      </c>
      <c r="AH147" s="294">
        <f>IF(NFI_Expiration=1,IF($A147&lt;VLOOKUP(Q$5,NFI,5,0),1,0)*Table_NFI[[#This Row],[Plastic Mat]],Table_NFI[Plastic Mat])*IF(Table_NFI[[#This Row],[Distribution Date]]&gt;"2014-04-01",1,2.5)</f>
        <v>0</v>
      </c>
      <c r="AI147" s="294">
        <f>IF(NFI_Expiration=1,IF($A147&lt;VLOOKUP(R$5,NFI,5,0),1,0)*Table_NFI[[#This Row],[Winter Clothes Adult]],Table_NFI[Winter Clothes Adult])</f>
        <v>0</v>
      </c>
      <c r="AJ147" s="294">
        <f>IF(NFI_Expiration=1,IF($A147&lt;VLOOKUP(S$5,NFI,5,0),1,0)*Table_NFI[[#This Row],[Winter Clothes Children]],Table_NFI[Winter Clothes Children])</f>
        <v>0</v>
      </c>
      <c r="AK147" s="294">
        <f>IF(NFI_Expiration=1,IF($A147&lt;VLOOKUP(T$5,NFI,5,0),1,0)*Table_NFI[[#This Row],[Winter Items Other]],Table_NFI[Winter Items Other])</f>
        <v>0</v>
      </c>
      <c r="AL147" s="294">
        <f>IF(NFI_Expiration=1,IF($A147&lt;VLOOKUP(M$5,NFI,5,0),1,0)*Table_NFI[[#This Row],[Winter Blanket]],Table_NFI[[#This Row],[Winter Blanket]])</f>
        <v>0</v>
      </c>
      <c r="AM147" s="294">
        <f>IF(Table_NFI[[#This Row],[Winter Clothes Adult]]+Table_NFI[[#This Row],[Winter Clothes Children]]+Table_NFI[[#This Row],[Winter Items Other]]+Table_NFI[[#This Row],[Winter Blanket]]&gt;0,1,0)</f>
        <v>0</v>
      </c>
      <c r="AN147" s="331">
        <f>IF(NFI_Expiration=1,IF($A147&lt;VLOOKUP(V$5,NFI,5,0),1,0)*Table_NFI[[#This Row],[Jerry Can]],Table_NFI[Jerry Can])</f>
        <v>0</v>
      </c>
      <c r="AO147" s="331">
        <f>IF(NFI_Expiration=1,IF($A147&lt;VLOOKUP(V$5,NFI,5,0),1,0)*Table_NFI[[#This Row],[Shelter Tool kit]],Table_NFI[Shelter Tool kit])</f>
        <v>0</v>
      </c>
      <c r="AP147" s="331">
        <f>IF(NFI_Expiration=1,IF($A147&lt;VLOOKUP(V$5,NFI,5,0),1,0)*Table_NFI[[#This Row],[Tent]],Table_NFI[Tent])</f>
        <v>0</v>
      </c>
      <c r="AQ147" s="473" t="str">
        <f>IFERROR(VLOOKUP(Table_NFI[[#This Row],[Camp Name]],CL,2,0),"")</f>
        <v>MMR001CMP073</v>
      </c>
      <c r="AR147" s="468">
        <f ca="1">IF(Table_NFI[[#This Row],[Pcode]]="","",IF(OFFSET(CampList[Opening Date],MATCH(Table_NFI[[#This Row],[Pcode]],CampList[CP_Pcode],0)-1,0,1,1)&gt;=NFI_Monitor_Date,1,0))</f>
        <v>0</v>
      </c>
      <c r="AS147" s="670" t="str">
        <f>IFERROR(VLOOKUP(Table_NFI[[#This Row],[Camp Name]],CL,3,0),"")</f>
        <v>Open</v>
      </c>
      <c r="AT147" s="294" t="str">
        <f ca="1">IF(Table_NFI[[#This Row],[Pcode]]="","",OFFSET(CampList[Priority],MATCH(Table_NFI[[#This Row],[Pcode]],CampList[CP_Pcode],0)-1,0,1,1))</f>
        <v>P3</v>
      </c>
      <c r="AU147" s="293">
        <f>IFERROR(Table_NFI[[#This Row],[Kitchen Set]]/VLOOKUP(Table_NFI[[#This Row],[Camp Name]],CL,4,0),"")</f>
        <v>0.43902439024390244</v>
      </c>
      <c r="AV147" s="466" t="s">
        <v>1092</v>
      </c>
      <c r="AW147" s="469"/>
    </row>
    <row r="148" spans="1:49" s="470" customFormat="1" ht="14.45" customHeight="1" x14ac:dyDescent="0.25">
      <c r="A148" s="297">
        <f t="shared" si="2"/>
        <v>18.833333333333332</v>
      </c>
      <c r="B148" s="465">
        <v>42110</v>
      </c>
      <c r="C148" s="466" t="s">
        <v>452</v>
      </c>
      <c r="D148" s="466" t="s">
        <v>1262</v>
      </c>
      <c r="E148" s="466" t="s">
        <v>553</v>
      </c>
      <c r="F148" s="466" t="s">
        <v>146</v>
      </c>
      <c r="G148" s="466" t="s">
        <v>370</v>
      </c>
      <c r="H148" s="291"/>
      <c r="I148" s="291"/>
      <c r="J148" s="294"/>
      <c r="K148" s="294"/>
      <c r="L148" s="292"/>
      <c r="M148" s="292"/>
      <c r="N148" s="292"/>
      <c r="O148" s="292"/>
      <c r="P148" s="294"/>
      <c r="Q148" s="294">
        <v>69</v>
      </c>
      <c r="R148" s="294"/>
      <c r="S148" s="294"/>
      <c r="T148" s="294"/>
      <c r="U148" s="294"/>
      <c r="V148" s="431"/>
      <c r="W148" s="294"/>
      <c r="X148" s="294"/>
      <c r="Y148" s="294">
        <f>IF(NFI_Expiration=1,IF($A148&lt;VLOOKUP(H$5,NFI,5,0),1,0)*Table_NFI[[#This Row],[Hygiene Kit]],Table_NFI[Hygiene Kit])</f>
        <v>0</v>
      </c>
      <c r="Z148" s="294">
        <f>IF(NFI_Expiration=1,IF($A148&lt;VLOOKUP(I$5,NFI,5,0),1,0)*Table_NFI[[#This Row],[NFI Core Kit]],Table_NFI[NFI Core Kit])</f>
        <v>0</v>
      </c>
      <c r="AA148" s="294">
        <f>IF(NFI_Expiration=1,IF($A148&lt;VLOOKUP(J$5,NFI,5,0),1,0)*Table_NFI[[#This Row],[Sanitary Kit]],Table_NFI[Sanitary Kit])</f>
        <v>0</v>
      </c>
      <c r="AB148" s="294">
        <f>IF(NFI_Expiration=1,IF($A148&lt;VLOOKUP(K$5,NFI,5,0),1,0)*Table_NFI[[#This Row],[Mosquito net]],Table_NFI[Mosquito net])</f>
        <v>0</v>
      </c>
      <c r="AC148" s="294">
        <f>IF(NFI_Expiration=1,IF($A148&lt;VLOOKUP(L$5,NFI,5,0),1,0)*Table_NFI[[#This Row],[Tarpaulin]],Table_NFI[[#This Row],[Tarpaulin]])</f>
        <v>0</v>
      </c>
      <c r="AD148" s="294">
        <f>IF(NFI_Expiration=1,IF($A148&lt;VLOOKUP(M$5,NFI,5,0),1,0)*Table_NFI[[#This Row],[Blanket]],Table_NFI[[#This Row],[Blanket]])</f>
        <v>0</v>
      </c>
      <c r="AE148" s="294">
        <f>IF(NFI_Expiration=1,IF($A148&lt;VLOOKUP(N$5,NFI,5,0),1,0)*Table_NFI[[#This Row],[Kitchen Set]],Table_NFI[Kitchen Set])</f>
        <v>0</v>
      </c>
      <c r="AF148" s="294">
        <f>IF(NFI_Expiration=1,IF($A148&lt;VLOOKUP(O$5,NFI,5,0),1,0)*Table_NFI[[#This Row],[Clothes Kit]],Table_NFI[Clothes Kit])</f>
        <v>0</v>
      </c>
      <c r="AG148" s="294">
        <f>IF(NFI_Expiration=1,IF($A148&lt;VLOOKUP(P$5,NFI,5,0),1,0)*Table_NFI[[#This Row],[Plastic Bucket]],Table_NFI[Plastic Bucket])</f>
        <v>0</v>
      </c>
      <c r="AH148" s="294">
        <f>IF(NFI_Expiration=1,IF($A148&lt;VLOOKUP(Q$5,NFI,5,0),1,0)*Table_NFI[[#This Row],[Plastic Mat]],Table_NFI[Plastic Mat])*IF(Table_NFI[[#This Row],[Distribution Date]]&gt;"2014-04-01",1,2.5)</f>
        <v>0</v>
      </c>
      <c r="AI148" s="294">
        <f>IF(NFI_Expiration=1,IF($A148&lt;VLOOKUP(R$5,NFI,5,0),1,0)*Table_NFI[[#This Row],[Winter Clothes Adult]],Table_NFI[Winter Clothes Adult])</f>
        <v>0</v>
      </c>
      <c r="AJ148" s="294">
        <f>IF(NFI_Expiration=1,IF($A148&lt;VLOOKUP(S$5,NFI,5,0),1,0)*Table_NFI[[#This Row],[Winter Clothes Children]],Table_NFI[Winter Clothes Children])</f>
        <v>0</v>
      </c>
      <c r="AK148" s="294">
        <f>IF(NFI_Expiration=1,IF($A148&lt;VLOOKUP(T$5,NFI,5,0),1,0)*Table_NFI[[#This Row],[Winter Items Other]],Table_NFI[Winter Items Other])</f>
        <v>0</v>
      </c>
      <c r="AL148" s="294">
        <f>IF(NFI_Expiration=1,IF($A148&lt;VLOOKUP(M$5,NFI,5,0),1,0)*Table_NFI[[#This Row],[Winter Blanket]],Table_NFI[[#This Row],[Winter Blanket]])</f>
        <v>0</v>
      </c>
      <c r="AM148" s="294">
        <f>IF(Table_NFI[[#This Row],[Winter Clothes Adult]]+Table_NFI[[#This Row],[Winter Clothes Children]]+Table_NFI[[#This Row],[Winter Items Other]]+Table_NFI[[#This Row],[Winter Blanket]]&gt;0,1,0)</f>
        <v>0</v>
      </c>
      <c r="AN148" s="331">
        <f>IF(NFI_Expiration=1,IF($A148&lt;VLOOKUP(V$5,NFI,5,0),1,0)*Table_NFI[[#This Row],[Jerry Can]],Table_NFI[Jerry Can])</f>
        <v>0</v>
      </c>
      <c r="AO148" s="331">
        <f>IF(NFI_Expiration=1,IF($A148&lt;VLOOKUP(V$5,NFI,5,0),1,0)*Table_NFI[[#This Row],[Shelter Tool kit]],Table_NFI[Shelter Tool kit])</f>
        <v>0</v>
      </c>
      <c r="AP148" s="331">
        <f>IF(NFI_Expiration=1,IF($A148&lt;VLOOKUP(V$5,NFI,5,0),1,0)*Table_NFI[[#This Row],[Tent]],Table_NFI[Tent])</f>
        <v>0</v>
      </c>
      <c r="AQ148" s="473" t="str">
        <f>IFERROR(VLOOKUP(Table_NFI[[#This Row],[Camp Name]],CL,2,0),"")</f>
        <v>MMR015CMP017</v>
      </c>
      <c r="AR148" s="468">
        <f ca="1">IF(Table_NFI[[#This Row],[Pcode]]="","",IF(OFFSET(CampList[Opening Date],MATCH(Table_NFI[[#This Row],[Pcode]],CampList[CP_Pcode],0)-1,0,1,1)&gt;=NFI_Monitor_Date,1,0))</f>
        <v>0</v>
      </c>
      <c r="AS148" s="670" t="str">
        <f>IFERROR(VLOOKUP(Table_NFI[[#This Row],[Camp Name]],CL,3,0),"")</f>
        <v>Open</v>
      </c>
      <c r="AT148" s="294" t="str">
        <f ca="1">IF(Table_NFI[[#This Row],[Pcode]]="","",OFFSET(CampList[Priority],MATCH(Table_NFI[[#This Row],[Pcode]],CampList[CP_Pcode],0)-1,0,1,1))</f>
        <v>P3</v>
      </c>
      <c r="AU148" s="293">
        <f>IFERROR(Table_NFI[[#This Row],[Kitchen Set]]/VLOOKUP(Table_NFI[[#This Row],[Camp Name]],CL,4,0),"")</f>
        <v>0</v>
      </c>
      <c r="AV148" s="466" t="s">
        <v>1092</v>
      </c>
      <c r="AW148" s="469"/>
    </row>
    <row r="149" spans="1:49" s="98" customFormat="1" ht="14.45" customHeight="1" x14ac:dyDescent="0.25">
      <c r="A149" s="297">
        <f t="shared" si="2"/>
        <v>19.100000000000001</v>
      </c>
      <c r="B149" s="465">
        <v>42102</v>
      </c>
      <c r="C149" s="466" t="s">
        <v>905</v>
      </c>
      <c r="D149" s="466" t="s">
        <v>905</v>
      </c>
      <c r="E149" s="466" t="s">
        <v>380</v>
      </c>
      <c r="F149" s="290" t="s">
        <v>5</v>
      </c>
      <c r="G149" s="290" t="s">
        <v>6</v>
      </c>
      <c r="H149" s="291"/>
      <c r="I149" s="291"/>
      <c r="J149" s="291"/>
      <c r="K149" s="291"/>
      <c r="L149" s="292"/>
      <c r="M149" s="292"/>
      <c r="N149" s="292"/>
      <c r="O149" s="292"/>
      <c r="P149" s="294"/>
      <c r="Q149" s="294"/>
      <c r="R149" s="294"/>
      <c r="S149" s="294"/>
      <c r="T149" s="294"/>
      <c r="U149" s="294"/>
      <c r="V149" s="431"/>
      <c r="W149" s="294">
        <v>7</v>
      </c>
      <c r="X149" s="294"/>
      <c r="Y149" s="294">
        <f>IF(NFI_Expiration=1,IF($A149&lt;VLOOKUP(H$5,NFI,5,0),1,0)*Table_NFI[[#This Row],[Hygiene Kit]],Table_NFI[Hygiene Kit])</f>
        <v>0</v>
      </c>
      <c r="Z149" s="294">
        <f>IF(NFI_Expiration=1,IF($A149&lt;VLOOKUP(I$5,NFI,5,0),1,0)*Table_NFI[[#This Row],[NFI Core Kit]],Table_NFI[NFI Core Kit])</f>
        <v>0</v>
      </c>
      <c r="AA149" s="294">
        <f>IF(NFI_Expiration=1,IF($A149&lt;VLOOKUP(J$5,NFI,5,0),1,0)*Table_NFI[[#This Row],[Sanitary Kit]],Table_NFI[Sanitary Kit])</f>
        <v>0</v>
      </c>
      <c r="AB149" s="294">
        <f>IF(NFI_Expiration=1,IF($A149&lt;VLOOKUP(K$5,NFI,5,0),1,0)*Table_NFI[[#This Row],[Mosquito net]],Table_NFI[Mosquito net])</f>
        <v>0</v>
      </c>
      <c r="AC149" s="294">
        <f>IF(NFI_Expiration=1,IF($A149&lt;VLOOKUP(L$5,NFI,5,0),1,0)*Table_NFI[[#This Row],[Tarpaulin]],Table_NFI[[#This Row],[Tarpaulin]])</f>
        <v>0</v>
      </c>
      <c r="AD149" s="294">
        <f>IF(NFI_Expiration=1,IF($A149&lt;VLOOKUP(M$5,NFI,5,0),1,0)*Table_NFI[[#This Row],[Blanket]],Table_NFI[[#This Row],[Blanket]])</f>
        <v>0</v>
      </c>
      <c r="AE149" s="294">
        <f>IF(NFI_Expiration=1,IF($A149&lt;VLOOKUP(N$5,NFI,5,0),1,0)*Table_NFI[[#This Row],[Kitchen Set]],Table_NFI[Kitchen Set])</f>
        <v>0</v>
      </c>
      <c r="AF149" s="294">
        <f>IF(NFI_Expiration=1,IF($A149&lt;VLOOKUP(O$5,NFI,5,0),1,0)*Table_NFI[[#This Row],[Clothes Kit]],Table_NFI[Clothes Kit])</f>
        <v>0</v>
      </c>
      <c r="AG149" s="294">
        <f>IF(NFI_Expiration=1,IF($A149&lt;VLOOKUP(P$5,NFI,5,0),1,0)*Table_NFI[[#This Row],[Plastic Bucket]],Table_NFI[Plastic Bucket])</f>
        <v>0</v>
      </c>
      <c r="AH149" s="294">
        <f>IF(NFI_Expiration=1,IF($A149&lt;VLOOKUP(Q$5,NFI,5,0),1,0)*Table_NFI[[#This Row],[Plastic Mat]],Table_NFI[Plastic Mat])*IF(Table_NFI[[#This Row],[Distribution Date]]&gt;"2014-04-01",1,2.5)</f>
        <v>0</v>
      </c>
      <c r="AI149" s="294">
        <f>IF(NFI_Expiration=1,IF($A149&lt;VLOOKUP(R$5,NFI,5,0),1,0)*Table_NFI[[#This Row],[Winter Clothes Adult]],Table_NFI[Winter Clothes Adult])</f>
        <v>0</v>
      </c>
      <c r="AJ149" s="294">
        <f>IF(NFI_Expiration=1,IF($A149&lt;VLOOKUP(S$5,NFI,5,0),1,0)*Table_NFI[[#This Row],[Winter Clothes Children]],Table_NFI[Winter Clothes Children])</f>
        <v>0</v>
      </c>
      <c r="AK149" s="294">
        <f>IF(NFI_Expiration=1,IF($A149&lt;VLOOKUP(T$5,NFI,5,0),1,0)*Table_NFI[[#This Row],[Winter Items Other]],Table_NFI[Winter Items Other])</f>
        <v>0</v>
      </c>
      <c r="AL149" s="294">
        <f>IF(NFI_Expiration=1,IF($A149&lt;VLOOKUP(M$5,NFI,5,0),1,0)*Table_NFI[[#This Row],[Winter Blanket]],Table_NFI[[#This Row],[Winter Blanket]])</f>
        <v>0</v>
      </c>
      <c r="AM149" s="294">
        <f>IF(Table_NFI[[#This Row],[Winter Clothes Adult]]+Table_NFI[[#This Row],[Winter Clothes Children]]+Table_NFI[[#This Row],[Winter Items Other]]+Table_NFI[[#This Row],[Winter Blanket]]&gt;0,1,0)</f>
        <v>0</v>
      </c>
      <c r="AN149" s="331">
        <f>IF(NFI_Expiration=1,IF($A149&lt;VLOOKUP(V$5,NFI,5,0),1,0)*Table_NFI[[#This Row],[Jerry Can]],Table_NFI[Jerry Can])</f>
        <v>0</v>
      </c>
      <c r="AO149" s="331">
        <f>IF(NFI_Expiration=1,IF($A149&lt;VLOOKUP(V$5,NFI,5,0),1,0)*Table_NFI[[#This Row],[Shelter Tool kit]],Table_NFI[Shelter Tool kit])</f>
        <v>0</v>
      </c>
      <c r="AP149" s="331">
        <f>IF(NFI_Expiration=1,IF($A149&lt;VLOOKUP(V$5,NFI,5,0),1,0)*Table_NFI[[#This Row],[Tent]],Table_NFI[Tent])</f>
        <v>0</v>
      </c>
      <c r="AQ149" s="473" t="str">
        <f>IFERROR(VLOOKUP(Table_NFI[[#This Row],[Camp Name]],CL,2,0),"")</f>
        <v>MMR001CMP050</v>
      </c>
      <c r="AR149" s="468">
        <f ca="1">IF(Table_NFI[[#This Row],[Pcode]]="","",IF(OFFSET(CampList[Opening Date],MATCH(Table_NFI[[#This Row],[Pcode]],CampList[CP_Pcode],0)-1,0,1,1)&gt;=NFI_Monitor_Date,1,0))</f>
        <v>0</v>
      </c>
      <c r="AS149" s="473" t="str">
        <f>IFERROR(VLOOKUP(Table_NFI[[#This Row],[Camp Name]],CL,3,0),"")</f>
        <v>Open</v>
      </c>
      <c r="AT149" s="294" t="str">
        <f ca="1">IF(Table_NFI[[#This Row],[Pcode]]="","",OFFSET(CampList[Priority],MATCH(Table_NFI[[#This Row],[Pcode]],CampList[CP_Pcode],0)-1,0,1,1))</f>
        <v>P4</v>
      </c>
      <c r="AU149" s="293">
        <f>IFERROR(Table_NFI[[#This Row],[Kitchen Set]]/VLOOKUP(Table_NFI[[#This Row],[Camp Name]],CL,4,0),"")</f>
        <v>0</v>
      </c>
      <c r="AV149" s="466"/>
      <c r="AW149" s="469"/>
    </row>
    <row r="150" spans="1:49" s="98" customFormat="1" ht="14.45" customHeight="1" x14ac:dyDescent="0.25">
      <c r="A150" s="297">
        <f t="shared" si="2"/>
        <v>19.100000000000001</v>
      </c>
      <c r="B150" s="465">
        <v>42102</v>
      </c>
      <c r="C150" s="466" t="s">
        <v>452</v>
      </c>
      <c r="D150" s="466" t="s">
        <v>460</v>
      </c>
      <c r="E150" s="466" t="s">
        <v>380</v>
      </c>
      <c r="F150" s="466" t="s">
        <v>151</v>
      </c>
      <c r="G150" s="466" t="s">
        <v>885</v>
      </c>
      <c r="H150" s="291"/>
      <c r="I150" s="294"/>
      <c r="J150" s="294"/>
      <c r="K150" s="294">
        <v>8</v>
      </c>
      <c r="L150" s="292">
        <v>4</v>
      </c>
      <c r="M150" s="292"/>
      <c r="N150" s="292">
        <v>4</v>
      </c>
      <c r="O150" s="292"/>
      <c r="P150" s="294">
        <v>4</v>
      </c>
      <c r="Q150" s="294"/>
      <c r="R150" s="294"/>
      <c r="S150" s="294"/>
      <c r="T150" s="294"/>
      <c r="U150" s="294"/>
      <c r="V150" s="431"/>
      <c r="W150" s="294"/>
      <c r="X150" s="294"/>
      <c r="Y150" s="294">
        <f>IF(NFI_Expiration=1,IF($A150&lt;VLOOKUP(H$5,NFI,5,0),1,0)*Table_NFI[[#This Row],[Hygiene Kit]],Table_NFI[Hygiene Kit])</f>
        <v>0</v>
      </c>
      <c r="Z150" s="294">
        <f>IF(NFI_Expiration=1,IF($A150&lt;VLOOKUP(I$5,NFI,5,0),1,0)*Table_NFI[[#This Row],[NFI Core Kit]],Table_NFI[NFI Core Kit])</f>
        <v>0</v>
      </c>
      <c r="AA150" s="294">
        <f>IF(NFI_Expiration=1,IF($A150&lt;VLOOKUP(J$5,NFI,5,0),1,0)*Table_NFI[[#This Row],[Sanitary Kit]],Table_NFI[Sanitary Kit])</f>
        <v>0</v>
      </c>
      <c r="AB150" s="294">
        <f>IF(NFI_Expiration=1,IF($A150&lt;VLOOKUP(K$5,NFI,5,0),1,0)*Table_NFI[[#This Row],[Mosquito net]],Table_NFI[Mosquito net])</f>
        <v>0</v>
      </c>
      <c r="AC150" s="294">
        <f>IF(NFI_Expiration=1,IF($A150&lt;VLOOKUP(L$5,NFI,5,0),1,0)*Table_NFI[[#This Row],[Tarpaulin]],Table_NFI[[#This Row],[Tarpaulin]])</f>
        <v>0</v>
      </c>
      <c r="AD150" s="294">
        <f>IF(NFI_Expiration=1,IF($A150&lt;VLOOKUP(M$5,NFI,5,0),1,0)*Table_NFI[[#This Row],[Blanket]],Table_NFI[[#This Row],[Blanket]])</f>
        <v>0</v>
      </c>
      <c r="AE150" s="294">
        <f>IF(NFI_Expiration=1,IF($A150&lt;VLOOKUP(N$5,NFI,5,0),1,0)*Table_NFI[[#This Row],[Kitchen Set]],Table_NFI[Kitchen Set])</f>
        <v>0</v>
      </c>
      <c r="AF150" s="294">
        <f>IF(NFI_Expiration=1,IF($A150&lt;VLOOKUP(O$5,NFI,5,0),1,0)*Table_NFI[[#This Row],[Clothes Kit]],Table_NFI[Clothes Kit])</f>
        <v>0</v>
      </c>
      <c r="AG150" s="294">
        <f>IF(NFI_Expiration=1,IF($A150&lt;VLOOKUP(P$5,NFI,5,0),1,0)*Table_NFI[[#This Row],[Plastic Bucket]],Table_NFI[Plastic Bucket])</f>
        <v>0</v>
      </c>
      <c r="AH150" s="294">
        <f>IF(NFI_Expiration=1,IF($A150&lt;VLOOKUP(Q$5,NFI,5,0),1,0)*Table_NFI[[#This Row],[Plastic Mat]],Table_NFI[Plastic Mat])*IF(Table_NFI[[#This Row],[Distribution Date]]&gt;"2014-04-01",1,2.5)</f>
        <v>0</v>
      </c>
      <c r="AI150" s="294">
        <f>IF(NFI_Expiration=1,IF($A150&lt;VLOOKUP(R$5,NFI,5,0),1,0)*Table_NFI[[#This Row],[Winter Clothes Adult]],Table_NFI[Winter Clothes Adult])</f>
        <v>0</v>
      </c>
      <c r="AJ150" s="294">
        <f>IF(NFI_Expiration=1,IF($A150&lt;VLOOKUP(S$5,NFI,5,0),1,0)*Table_NFI[[#This Row],[Winter Clothes Children]],Table_NFI[Winter Clothes Children])</f>
        <v>0</v>
      </c>
      <c r="AK150" s="294">
        <f>IF(NFI_Expiration=1,IF($A150&lt;VLOOKUP(T$5,NFI,5,0),1,0)*Table_NFI[[#This Row],[Winter Items Other]],Table_NFI[Winter Items Other])</f>
        <v>0</v>
      </c>
      <c r="AL150" s="294">
        <f>IF(NFI_Expiration=1,IF($A150&lt;VLOOKUP(M$5,NFI,5,0),1,0)*Table_NFI[[#This Row],[Winter Blanket]],Table_NFI[[#This Row],[Winter Blanket]])</f>
        <v>0</v>
      </c>
      <c r="AM150" s="294">
        <f>IF(Table_NFI[[#This Row],[Winter Clothes Adult]]+Table_NFI[[#This Row],[Winter Clothes Children]]+Table_NFI[[#This Row],[Winter Items Other]]+Table_NFI[[#This Row],[Winter Blanket]]&gt;0,1,0)</f>
        <v>0</v>
      </c>
      <c r="AN150" s="331">
        <f>IF(NFI_Expiration=1,IF($A150&lt;VLOOKUP(V$5,NFI,5,0),1,0)*Table_NFI[[#This Row],[Jerry Can]],Table_NFI[Jerry Can])</f>
        <v>0</v>
      </c>
      <c r="AO150" s="331">
        <f>IF(NFI_Expiration=1,IF($A150&lt;VLOOKUP(V$5,NFI,5,0),1,0)*Table_NFI[[#This Row],[Shelter Tool kit]],Table_NFI[Shelter Tool kit])</f>
        <v>0</v>
      </c>
      <c r="AP150" s="331">
        <f>IF(NFI_Expiration=1,IF($A150&lt;VLOOKUP(V$5,NFI,5,0),1,0)*Table_NFI[[#This Row],[Tent]],Table_NFI[Tent])</f>
        <v>0</v>
      </c>
      <c r="AQ150" s="473" t="str">
        <f>IFERROR(VLOOKUP(Table_NFI[[#This Row],[Camp Name]],CL,2,0),"")</f>
        <v>MMR001CMP218</v>
      </c>
      <c r="AR150" s="468">
        <f ca="1">IF(Table_NFI[[#This Row],[Pcode]]="","",IF(OFFSET(CampList[Opening Date],MATCH(Table_NFI[[#This Row],[Pcode]],CampList[CP_Pcode],0)-1,0,1,1)&gt;=NFI_Monitor_Date,1,0))</f>
        <v>0</v>
      </c>
      <c r="AS150" s="670" t="str">
        <f>IFERROR(VLOOKUP(Table_NFI[[#This Row],[Camp Name]],CL,3,0),"")</f>
        <v>Open</v>
      </c>
      <c r="AT150" s="294" t="str">
        <f ca="1">IF(Table_NFI[[#This Row],[Pcode]]="","",OFFSET(CampList[Priority],MATCH(Table_NFI[[#This Row],[Pcode]],CampList[CP_Pcode],0)-1,0,1,1))</f>
        <v>P4</v>
      </c>
      <c r="AU150" s="293">
        <f>IFERROR(Table_NFI[[#This Row],[Kitchen Set]]/VLOOKUP(Table_NFI[[#This Row],[Camp Name]],CL,4,0),"")</f>
        <v>1.06951871657754E-2</v>
      </c>
      <c r="AV150" s="466" t="s">
        <v>1092</v>
      </c>
      <c r="AW150" s="490"/>
    </row>
    <row r="151" spans="1:49" s="98" customFormat="1" ht="14.45" customHeight="1" x14ac:dyDescent="0.25">
      <c r="A151" s="297">
        <f t="shared" si="2"/>
        <v>19.100000000000001</v>
      </c>
      <c r="B151" s="465">
        <v>42102</v>
      </c>
      <c r="C151" s="466" t="s">
        <v>905</v>
      </c>
      <c r="D151" s="466" t="s">
        <v>905</v>
      </c>
      <c r="E151" s="466" t="s">
        <v>380</v>
      </c>
      <c r="F151" s="466" t="s">
        <v>5</v>
      </c>
      <c r="G151" s="466" t="s">
        <v>24</v>
      </c>
      <c r="H151" s="291"/>
      <c r="I151" s="291"/>
      <c r="J151" s="292"/>
      <c r="K151" s="291"/>
      <c r="L151" s="292"/>
      <c r="M151" s="292"/>
      <c r="N151" s="292"/>
      <c r="O151" s="292"/>
      <c r="P151" s="294"/>
      <c r="Q151" s="294"/>
      <c r="R151" s="294"/>
      <c r="S151" s="294"/>
      <c r="T151" s="294"/>
      <c r="U151" s="294"/>
      <c r="V151" s="431"/>
      <c r="W151" s="294">
        <v>2</v>
      </c>
      <c r="X151" s="294"/>
      <c r="Y151" s="294">
        <f>IF(NFI_Expiration=1,IF($A151&lt;VLOOKUP(H$5,NFI,5,0),1,0)*Table_NFI[[#This Row],[Hygiene Kit]],Table_NFI[Hygiene Kit])</f>
        <v>0</v>
      </c>
      <c r="Z151" s="294">
        <f>IF(NFI_Expiration=1,IF($A151&lt;VLOOKUP(I$5,NFI,5,0),1,0)*Table_NFI[[#This Row],[NFI Core Kit]],Table_NFI[NFI Core Kit])</f>
        <v>0</v>
      </c>
      <c r="AA151" s="294">
        <f>IF(NFI_Expiration=1,IF($A151&lt;VLOOKUP(J$5,NFI,5,0),1,0)*Table_NFI[[#This Row],[Sanitary Kit]],Table_NFI[Sanitary Kit])</f>
        <v>0</v>
      </c>
      <c r="AB151" s="294">
        <f>IF(NFI_Expiration=1,IF($A151&lt;VLOOKUP(K$5,NFI,5,0),1,0)*Table_NFI[[#This Row],[Mosquito net]],Table_NFI[Mosquito net])</f>
        <v>0</v>
      </c>
      <c r="AC151" s="294">
        <f>IF(NFI_Expiration=1,IF($A151&lt;VLOOKUP(L$5,NFI,5,0),1,0)*Table_NFI[[#This Row],[Tarpaulin]],Table_NFI[[#This Row],[Tarpaulin]])</f>
        <v>0</v>
      </c>
      <c r="AD151" s="294">
        <f>IF(NFI_Expiration=1,IF($A151&lt;VLOOKUP(M$5,NFI,5,0),1,0)*Table_NFI[[#This Row],[Blanket]],Table_NFI[[#This Row],[Blanket]])</f>
        <v>0</v>
      </c>
      <c r="AE151" s="294">
        <f>IF(NFI_Expiration=1,IF($A151&lt;VLOOKUP(N$5,NFI,5,0),1,0)*Table_NFI[[#This Row],[Kitchen Set]],Table_NFI[Kitchen Set])</f>
        <v>0</v>
      </c>
      <c r="AF151" s="294">
        <f>IF(NFI_Expiration=1,IF($A151&lt;VLOOKUP(O$5,NFI,5,0),1,0)*Table_NFI[[#This Row],[Clothes Kit]],Table_NFI[Clothes Kit])</f>
        <v>0</v>
      </c>
      <c r="AG151" s="294">
        <f>IF(NFI_Expiration=1,IF($A151&lt;VLOOKUP(P$5,NFI,5,0),1,0)*Table_NFI[[#This Row],[Plastic Bucket]],Table_NFI[Plastic Bucket])</f>
        <v>0</v>
      </c>
      <c r="AH151" s="294">
        <f>IF(NFI_Expiration=1,IF($A151&lt;VLOOKUP(Q$5,NFI,5,0),1,0)*Table_NFI[[#This Row],[Plastic Mat]],Table_NFI[Plastic Mat])*IF(Table_NFI[[#This Row],[Distribution Date]]&gt;"2014-04-01",1,2.5)</f>
        <v>0</v>
      </c>
      <c r="AI151" s="294">
        <f>IF(NFI_Expiration=1,IF($A151&lt;VLOOKUP(R$5,NFI,5,0),1,0)*Table_NFI[[#This Row],[Winter Clothes Adult]],Table_NFI[Winter Clothes Adult])</f>
        <v>0</v>
      </c>
      <c r="AJ151" s="294">
        <f>IF(NFI_Expiration=1,IF($A151&lt;VLOOKUP(S$5,NFI,5,0),1,0)*Table_NFI[[#This Row],[Winter Clothes Children]],Table_NFI[Winter Clothes Children])</f>
        <v>0</v>
      </c>
      <c r="AK151" s="294">
        <f>IF(NFI_Expiration=1,IF($A151&lt;VLOOKUP(T$5,NFI,5,0),1,0)*Table_NFI[[#This Row],[Winter Items Other]],Table_NFI[Winter Items Other])</f>
        <v>0</v>
      </c>
      <c r="AL151" s="294">
        <f>IF(NFI_Expiration=1,IF($A151&lt;VLOOKUP(M$5,NFI,5,0),1,0)*Table_NFI[[#This Row],[Winter Blanket]],Table_NFI[[#This Row],[Winter Blanket]])</f>
        <v>0</v>
      </c>
      <c r="AM151" s="294">
        <f>IF(Table_NFI[[#This Row],[Winter Clothes Adult]]+Table_NFI[[#This Row],[Winter Clothes Children]]+Table_NFI[[#This Row],[Winter Items Other]]+Table_NFI[[#This Row],[Winter Blanket]]&gt;0,1,0)</f>
        <v>0</v>
      </c>
      <c r="AN151" s="331">
        <f>IF(NFI_Expiration=1,IF($A151&lt;VLOOKUP(V$5,NFI,5,0),1,0)*Table_NFI[[#This Row],[Jerry Can]],Table_NFI[Jerry Can])</f>
        <v>0</v>
      </c>
      <c r="AO151" s="331">
        <f>IF(NFI_Expiration=1,IF($A151&lt;VLOOKUP(V$5,NFI,5,0),1,0)*Table_NFI[[#This Row],[Shelter Tool kit]],Table_NFI[Shelter Tool kit])</f>
        <v>0</v>
      </c>
      <c r="AP151" s="331">
        <f>IF(NFI_Expiration=1,IF($A151&lt;VLOOKUP(V$5,NFI,5,0),1,0)*Table_NFI[[#This Row],[Tent]],Table_NFI[Tent])</f>
        <v>0</v>
      </c>
      <c r="AQ151" s="473" t="str">
        <f>IFERROR(VLOOKUP(Table_NFI[[#This Row],[Camp Name]],CL,2,0),"")</f>
        <v>MMR001CMP055</v>
      </c>
      <c r="AR151" s="468">
        <f ca="1">IF(Table_NFI[[#This Row],[Pcode]]="","",IF(OFFSET(CampList[Opening Date],MATCH(Table_NFI[[#This Row],[Pcode]],CampList[CP_Pcode],0)-1,0,1,1)&gt;=NFI_Monitor_Date,1,0))</f>
        <v>0</v>
      </c>
      <c r="AS151" s="473" t="str">
        <f>IFERROR(VLOOKUP(Table_NFI[[#This Row],[Camp Name]],CL,3,0),"")</f>
        <v>Open</v>
      </c>
      <c r="AT151" s="294" t="str">
        <f ca="1">IF(Table_NFI[[#This Row],[Pcode]]="","",OFFSET(CampList[Priority],MATCH(Table_NFI[[#This Row],[Pcode]],CampList[CP_Pcode],0)-1,0,1,1))</f>
        <v>P4</v>
      </c>
      <c r="AU151" s="293">
        <f>IFERROR(Table_NFI[[#This Row],[Kitchen Set]]/VLOOKUP(Table_NFI[[#This Row],[Camp Name]],CL,4,0),"")</f>
        <v>0</v>
      </c>
      <c r="AV151" s="466"/>
      <c r="AW151" s="469"/>
    </row>
    <row r="152" spans="1:49" s="98" customFormat="1" ht="14.45" customHeight="1" x14ac:dyDescent="0.25">
      <c r="A152" s="297">
        <f t="shared" si="2"/>
        <v>19.266666666666666</v>
      </c>
      <c r="B152" s="465">
        <v>42097</v>
      </c>
      <c r="C152" s="466" t="s">
        <v>452</v>
      </c>
      <c r="D152" s="466" t="s">
        <v>1332</v>
      </c>
      <c r="E152" s="466" t="s">
        <v>380</v>
      </c>
      <c r="F152" s="466" t="s">
        <v>5</v>
      </c>
      <c r="G152" s="466" t="s">
        <v>1333</v>
      </c>
      <c r="H152" s="291"/>
      <c r="I152" s="291"/>
      <c r="J152" s="291"/>
      <c r="K152" s="291"/>
      <c r="L152" s="292"/>
      <c r="M152" s="292">
        <v>15</v>
      </c>
      <c r="N152" s="292"/>
      <c r="O152" s="292"/>
      <c r="P152" s="294">
        <v>26</v>
      </c>
      <c r="Q152" s="294">
        <v>720</v>
      </c>
      <c r="R152" s="294"/>
      <c r="S152" s="294"/>
      <c r="T152" s="294"/>
      <c r="U152" s="294"/>
      <c r="V152" s="431">
        <v>26</v>
      </c>
      <c r="W152" s="294"/>
      <c r="X152" s="294"/>
      <c r="Y152" s="294">
        <f>IF(NFI_Expiration=1,IF($A152&lt;VLOOKUP(H$5,NFI,5,0),1,0)*Table_NFI[[#This Row],[Hygiene Kit]],Table_NFI[Hygiene Kit])</f>
        <v>0</v>
      </c>
      <c r="Z152" s="294">
        <f>IF(NFI_Expiration=1,IF($A152&lt;VLOOKUP(I$5,NFI,5,0),1,0)*Table_NFI[[#This Row],[NFI Core Kit]],Table_NFI[NFI Core Kit])</f>
        <v>0</v>
      </c>
      <c r="AA152" s="294">
        <f>IF(NFI_Expiration=1,IF($A152&lt;VLOOKUP(J$5,NFI,5,0),1,0)*Table_NFI[[#This Row],[Sanitary Kit]],Table_NFI[Sanitary Kit])</f>
        <v>0</v>
      </c>
      <c r="AB152" s="294">
        <f>IF(NFI_Expiration=1,IF($A152&lt;VLOOKUP(K$5,NFI,5,0),1,0)*Table_NFI[[#This Row],[Mosquito net]],Table_NFI[Mosquito net])</f>
        <v>0</v>
      </c>
      <c r="AC152" s="294">
        <f>IF(NFI_Expiration=1,IF($A152&lt;VLOOKUP(L$5,NFI,5,0),1,0)*Table_NFI[[#This Row],[Tarpaulin]],Table_NFI[[#This Row],[Tarpaulin]])</f>
        <v>0</v>
      </c>
      <c r="AD152" s="294">
        <f>IF(NFI_Expiration=1,IF($A152&lt;VLOOKUP(M$5,NFI,5,0),1,0)*Table_NFI[[#This Row],[Blanket]],Table_NFI[[#This Row],[Blanket]])</f>
        <v>0</v>
      </c>
      <c r="AE152" s="294">
        <f>IF(NFI_Expiration=1,IF($A152&lt;VLOOKUP(N$5,NFI,5,0),1,0)*Table_NFI[[#This Row],[Kitchen Set]],Table_NFI[Kitchen Set])</f>
        <v>0</v>
      </c>
      <c r="AF152" s="294">
        <f>IF(NFI_Expiration=1,IF($A152&lt;VLOOKUP(O$5,NFI,5,0),1,0)*Table_NFI[[#This Row],[Clothes Kit]],Table_NFI[Clothes Kit])</f>
        <v>0</v>
      </c>
      <c r="AG152" s="294">
        <f>IF(NFI_Expiration=1,IF($A152&lt;VLOOKUP(P$5,NFI,5,0),1,0)*Table_NFI[[#This Row],[Plastic Bucket]],Table_NFI[Plastic Bucket])</f>
        <v>0</v>
      </c>
      <c r="AH152" s="294">
        <f>IF(NFI_Expiration=1,IF($A152&lt;VLOOKUP(Q$5,NFI,5,0),1,0)*Table_NFI[[#This Row],[Plastic Mat]],Table_NFI[Plastic Mat])*IF(Table_NFI[[#This Row],[Distribution Date]]&gt;"2014-04-01",1,2.5)</f>
        <v>0</v>
      </c>
      <c r="AI152" s="294">
        <f>IF(NFI_Expiration=1,IF($A152&lt;VLOOKUP(R$5,NFI,5,0),1,0)*Table_NFI[[#This Row],[Winter Clothes Adult]],Table_NFI[Winter Clothes Adult])</f>
        <v>0</v>
      </c>
      <c r="AJ152" s="294">
        <f>IF(NFI_Expiration=1,IF($A152&lt;VLOOKUP(S$5,NFI,5,0),1,0)*Table_NFI[[#This Row],[Winter Clothes Children]],Table_NFI[Winter Clothes Children])</f>
        <v>0</v>
      </c>
      <c r="AK152" s="294">
        <f>IF(NFI_Expiration=1,IF($A152&lt;VLOOKUP(T$5,NFI,5,0),1,0)*Table_NFI[[#This Row],[Winter Items Other]],Table_NFI[Winter Items Other])</f>
        <v>0</v>
      </c>
      <c r="AL152" s="294">
        <f>IF(NFI_Expiration=1,IF($A152&lt;VLOOKUP(M$5,NFI,5,0),1,0)*Table_NFI[[#This Row],[Winter Blanket]],Table_NFI[[#This Row],[Winter Blanket]])</f>
        <v>0</v>
      </c>
      <c r="AM152" s="294">
        <f>IF(Table_NFI[[#This Row],[Winter Clothes Adult]]+Table_NFI[[#This Row],[Winter Clothes Children]]+Table_NFI[[#This Row],[Winter Items Other]]+Table_NFI[[#This Row],[Winter Blanket]]&gt;0,1,0)</f>
        <v>0</v>
      </c>
      <c r="AN152" s="331">
        <f>IF(NFI_Expiration=1,IF($A152&lt;VLOOKUP(V$5,NFI,5,0),1,0)*Table_NFI[[#This Row],[Jerry Can]],Table_NFI[Jerry Can])</f>
        <v>0</v>
      </c>
      <c r="AO152" s="331">
        <f>IF(NFI_Expiration=1,IF($A152&lt;VLOOKUP(V$5,NFI,5,0),1,0)*Table_NFI[[#This Row],[Shelter Tool kit]],Table_NFI[Shelter Tool kit])</f>
        <v>0</v>
      </c>
      <c r="AP152" s="331">
        <f>IF(NFI_Expiration=1,IF($A152&lt;VLOOKUP(V$5,NFI,5,0),1,0)*Table_NFI[[#This Row],[Tent]],Table_NFI[Tent])</f>
        <v>0</v>
      </c>
      <c r="AQ152" s="473" t="str">
        <f>IFERROR(VLOOKUP(Table_NFI[[#This Row],[Camp Name]],CL,2,0),"")</f>
        <v/>
      </c>
      <c r="AR152" s="468" t="str">
        <f ca="1">IF(Table_NFI[[#This Row],[Pcode]]="","",IF(OFFSET(CampList[Opening Date],MATCH(Table_NFI[[#This Row],[Pcode]],CampList[CP_Pcode],0)-1,0,1,1)&gt;=NFI_Monitor_Date,1,0))</f>
        <v/>
      </c>
      <c r="AS152" s="670" t="str">
        <f>IFERROR(VLOOKUP(Table_NFI[[#This Row],[Camp Name]],CL,3,0),"")</f>
        <v/>
      </c>
      <c r="AT152" s="294" t="str">
        <f ca="1">IF(Table_NFI[[#This Row],[Pcode]]="","",OFFSET(CampList[Priority],MATCH(Table_NFI[[#This Row],[Pcode]],CampList[CP_Pcode],0)-1,0,1,1))</f>
        <v/>
      </c>
      <c r="AU152" s="293" t="str">
        <f>IFERROR(Table_NFI[[#This Row],[Kitchen Set]]/VLOOKUP(Table_NFI[[#This Row],[Camp Name]],CL,4,0),"")</f>
        <v/>
      </c>
      <c r="AV152" s="466" t="s">
        <v>1092</v>
      </c>
      <c r="AW152" s="469"/>
    </row>
    <row r="153" spans="1:49" s="98" customFormat="1" ht="14.45" customHeight="1" x14ac:dyDescent="0.25">
      <c r="A153" s="297">
        <f t="shared" si="2"/>
        <v>19.266666666666666</v>
      </c>
      <c r="B153" s="465">
        <v>42097</v>
      </c>
      <c r="C153" s="466" t="s">
        <v>452</v>
      </c>
      <c r="D153" s="466" t="s">
        <v>505</v>
      </c>
      <c r="E153" s="466" t="s">
        <v>380</v>
      </c>
      <c r="F153" s="466" t="s">
        <v>185</v>
      </c>
      <c r="G153" s="466" t="s">
        <v>207</v>
      </c>
      <c r="H153" s="291"/>
      <c r="I153" s="291"/>
      <c r="J153" s="291"/>
      <c r="K153" s="294"/>
      <c r="L153" s="292"/>
      <c r="M153" s="292"/>
      <c r="N153" s="292"/>
      <c r="O153" s="292"/>
      <c r="P153" s="294"/>
      <c r="Q153" s="294"/>
      <c r="R153" s="294"/>
      <c r="S153" s="294"/>
      <c r="T153" s="294"/>
      <c r="U153" s="294"/>
      <c r="V153" s="431"/>
      <c r="W153" s="294"/>
      <c r="X153" s="294"/>
      <c r="Y153" s="294">
        <f>IF(NFI_Expiration=1,IF($A153&lt;VLOOKUP(H$5,NFI,5,0),1,0)*Table_NFI[[#This Row],[Hygiene Kit]],Table_NFI[Hygiene Kit])</f>
        <v>0</v>
      </c>
      <c r="Z153" s="294">
        <f>IF(NFI_Expiration=1,IF($A153&lt;VLOOKUP(I$5,NFI,5,0),1,0)*Table_NFI[[#This Row],[NFI Core Kit]],Table_NFI[NFI Core Kit])</f>
        <v>0</v>
      </c>
      <c r="AA153" s="294">
        <f>IF(NFI_Expiration=1,IF($A153&lt;VLOOKUP(J$5,NFI,5,0),1,0)*Table_NFI[[#This Row],[Sanitary Kit]],Table_NFI[Sanitary Kit])</f>
        <v>0</v>
      </c>
      <c r="AB153" s="294">
        <f>IF(NFI_Expiration=1,IF($A153&lt;VLOOKUP(K$5,NFI,5,0),1,0)*Table_NFI[[#This Row],[Mosquito net]],Table_NFI[Mosquito net])</f>
        <v>0</v>
      </c>
      <c r="AC153" s="294">
        <f>IF(NFI_Expiration=1,IF($A153&lt;VLOOKUP(L$5,NFI,5,0),1,0)*Table_NFI[[#This Row],[Tarpaulin]],Table_NFI[[#This Row],[Tarpaulin]])</f>
        <v>0</v>
      </c>
      <c r="AD153" s="294">
        <f>IF(NFI_Expiration=1,IF($A153&lt;VLOOKUP(M$5,NFI,5,0),1,0)*Table_NFI[[#This Row],[Blanket]],Table_NFI[[#This Row],[Blanket]])</f>
        <v>0</v>
      </c>
      <c r="AE153" s="294">
        <f>IF(NFI_Expiration=1,IF($A153&lt;VLOOKUP(N$5,NFI,5,0),1,0)*Table_NFI[[#This Row],[Kitchen Set]],Table_NFI[Kitchen Set])</f>
        <v>0</v>
      </c>
      <c r="AF153" s="294">
        <f>IF(NFI_Expiration=1,IF($A153&lt;VLOOKUP(O$5,NFI,5,0),1,0)*Table_NFI[[#This Row],[Clothes Kit]],Table_NFI[Clothes Kit])</f>
        <v>0</v>
      </c>
      <c r="AG153" s="294">
        <f>IF(NFI_Expiration=1,IF($A153&lt;VLOOKUP(P$5,NFI,5,0),1,0)*Table_NFI[[#This Row],[Plastic Bucket]],Table_NFI[Plastic Bucket])</f>
        <v>0</v>
      </c>
      <c r="AH153" s="294">
        <f>IF(NFI_Expiration=1,IF($A153&lt;VLOOKUP(Q$5,NFI,5,0),1,0)*Table_NFI[[#This Row],[Plastic Mat]],Table_NFI[Plastic Mat])*IF(Table_NFI[[#This Row],[Distribution Date]]&gt;"2014-04-01",1,2.5)</f>
        <v>0</v>
      </c>
      <c r="AI153" s="294">
        <f>IF(NFI_Expiration=1,IF($A153&lt;VLOOKUP(R$5,NFI,5,0),1,0)*Table_NFI[[#This Row],[Winter Clothes Adult]],Table_NFI[Winter Clothes Adult])</f>
        <v>0</v>
      </c>
      <c r="AJ153" s="294">
        <f>IF(NFI_Expiration=1,IF($A153&lt;VLOOKUP(S$5,NFI,5,0),1,0)*Table_NFI[[#This Row],[Winter Clothes Children]],Table_NFI[Winter Clothes Children])</f>
        <v>0</v>
      </c>
      <c r="AK153" s="294">
        <f>IF(NFI_Expiration=1,IF($A153&lt;VLOOKUP(T$5,NFI,5,0),1,0)*Table_NFI[[#This Row],[Winter Items Other]],Table_NFI[Winter Items Other])</f>
        <v>0</v>
      </c>
      <c r="AL153" s="294">
        <f>IF(NFI_Expiration=1,IF($A153&lt;VLOOKUP(M$5,NFI,5,0),1,0)*Table_NFI[[#This Row],[Winter Blanket]],Table_NFI[[#This Row],[Winter Blanket]])</f>
        <v>0</v>
      </c>
      <c r="AM153" s="294">
        <f>IF(Table_NFI[[#This Row],[Winter Clothes Adult]]+Table_NFI[[#This Row],[Winter Clothes Children]]+Table_NFI[[#This Row],[Winter Items Other]]+Table_NFI[[#This Row],[Winter Blanket]]&gt;0,1,0)</f>
        <v>0</v>
      </c>
      <c r="AN153" s="331">
        <f>IF(NFI_Expiration=1,IF($A153&lt;VLOOKUP(V$5,NFI,5,0),1,0)*Table_NFI[[#This Row],[Jerry Can]],Table_NFI[Jerry Can])</f>
        <v>0</v>
      </c>
      <c r="AO153" s="331">
        <f>IF(NFI_Expiration=1,IF($A153&lt;VLOOKUP(V$5,NFI,5,0),1,0)*Table_NFI[[#This Row],[Shelter Tool kit]],Table_NFI[Shelter Tool kit])</f>
        <v>0</v>
      </c>
      <c r="AP153" s="331">
        <f>IF(NFI_Expiration=1,IF($A153&lt;VLOOKUP(V$5,NFI,5,0),1,0)*Table_NFI[[#This Row],[Tent]],Table_NFI[Tent])</f>
        <v>0</v>
      </c>
      <c r="AQ153" s="473" t="str">
        <f>IFERROR(VLOOKUP(Table_NFI[[#This Row],[Camp Name]],CL,2,0),"")</f>
        <v>MMR001CMP058</v>
      </c>
      <c r="AR153" s="468">
        <f ca="1">IF(Table_NFI[[#This Row],[Pcode]]="","",IF(OFFSET(CampList[Opening Date],MATCH(Table_NFI[[#This Row],[Pcode]],CampList[CP_Pcode],0)-1,0,1,1)&gt;=NFI_Monitor_Date,1,0))</f>
        <v>0</v>
      </c>
      <c r="AS153" s="473" t="str">
        <f>IFERROR(VLOOKUP(Table_NFI[[#This Row],[Camp Name]],CL,3,0),"")</f>
        <v>Closed</v>
      </c>
      <c r="AT153" s="294" t="str">
        <f ca="1">IF(Table_NFI[[#This Row],[Pcode]]="","",OFFSET(CampList[Priority],MATCH(Table_NFI[[#This Row],[Pcode]],CampList[CP_Pcode],0)-1,0,1,1))</f>
        <v>P4</v>
      </c>
      <c r="AU153" s="293" t="str">
        <f>IFERROR(Table_NFI[[#This Row],[Kitchen Set]]/VLOOKUP(Table_NFI[[#This Row],[Camp Name]],CL,4,0),"")</f>
        <v/>
      </c>
      <c r="AV153" s="466" t="s">
        <v>1092</v>
      </c>
      <c r="AW153" s="469"/>
    </row>
    <row r="154" spans="1:49" s="98" customFormat="1" ht="14.45" customHeight="1" x14ac:dyDescent="0.25">
      <c r="A154" s="297">
        <f t="shared" si="2"/>
        <v>19.266666666666666</v>
      </c>
      <c r="B154" s="465">
        <v>42097</v>
      </c>
      <c r="C154" s="466" t="s">
        <v>452</v>
      </c>
      <c r="D154" s="466" t="s">
        <v>1332</v>
      </c>
      <c r="E154" s="466" t="s">
        <v>380</v>
      </c>
      <c r="F154" s="466" t="s">
        <v>5</v>
      </c>
      <c r="G154" s="466" t="s">
        <v>8</v>
      </c>
      <c r="H154" s="291"/>
      <c r="I154" s="291"/>
      <c r="J154" s="291"/>
      <c r="K154" s="291"/>
      <c r="L154" s="292">
        <v>3</v>
      </c>
      <c r="M154" s="292">
        <v>53</v>
      </c>
      <c r="N154" s="292"/>
      <c r="O154" s="292"/>
      <c r="P154" s="294">
        <v>3</v>
      </c>
      <c r="Q154" s="294">
        <v>11</v>
      </c>
      <c r="R154" s="294"/>
      <c r="S154" s="294"/>
      <c r="T154" s="294"/>
      <c r="U154" s="294"/>
      <c r="V154" s="431">
        <v>3</v>
      </c>
      <c r="W154" s="294"/>
      <c r="X154" s="294"/>
      <c r="Y154" s="294">
        <f>IF(NFI_Expiration=1,IF($A154&lt;VLOOKUP(H$5,NFI,5,0),1,0)*Table_NFI[[#This Row],[Hygiene Kit]],Table_NFI[Hygiene Kit])</f>
        <v>0</v>
      </c>
      <c r="Z154" s="294">
        <f>IF(NFI_Expiration=1,IF($A154&lt;VLOOKUP(I$5,NFI,5,0),1,0)*Table_NFI[[#This Row],[NFI Core Kit]],Table_NFI[NFI Core Kit])</f>
        <v>0</v>
      </c>
      <c r="AA154" s="294">
        <f>IF(NFI_Expiration=1,IF($A154&lt;VLOOKUP(J$5,NFI,5,0),1,0)*Table_NFI[[#This Row],[Sanitary Kit]],Table_NFI[Sanitary Kit])</f>
        <v>0</v>
      </c>
      <c r="AB154" s="294">
        <f>IF(NFI_Expiration=1,IF($A154&lt;VLOOKUP(K$5,NFI,5,0),1,0)*Table_NFI[[#This Row],[Mosquito net]],Table_NFI[Mosquito net])</f>
        <v>0</v>
      </c>
      <c r="AC154" s="294">
        <f>IF(NFI_Expiration=1,IF($A154&lt;VLOOKUP(L$5,NFI,5,0),1,0)*Table_NFI[[#This Row],[Tarpaulin]],Table_NFI[[#This Row],[Tarpaulin]])</f>
        <v>0</v>
      </c>
      <c r="AD154" s="294">
        <f>IF(NFI_Expiration=1,IF($A154&lt;VLOOKUP(M$5,NFI,5,0),1,0)*Table_NFI[[#This Row],[Blanket]],Table_NFI[[#This Row],[Blanket]])</f>
        <v>0</v>
      </c>
      <c r="AE154" s="294">
        <f>IF(NFI_Expiration=1,IF($A154&lt;VLOOKUP(N$5,NFI,5,0),1,0)*Table_NFI[[#This Row],[Kitchen Set]],Table_NFI[Kitchen Set])</f>
        <v>0</v>
      </c>
      <c r="AF154" s="294">
        <f>IF(NFI_Expiration=1,IF($A154&lt;VLOOKUP(O$5,NFI,5,0),1,0)*Table_NFI[[#This Row],[Clothes Kit]],Table_NFI[Clothes Kit])</f>
        <v>0</v>
      </c>
      <c r="AG154" s="294">
        <f>IF(NFI_Expiration=1,IF($A154&lt;VLOOKUP(P$5,NFI,5,0),1,0)*Table_NFI[[#This Row],[Plastic Bucket]],Table_NFI[Plastic Bucket])</f>
        <v>0</v>
      </c>
      <c r="AH154" s="294">
        <f>IF(NFI_Expiration=1,IF($A154&lt;VLOOKUP(Q$5,NFI,5,0),1,0)*Table_NFI[[#This Row],[Plastic Mat]],Table_NFI[Plastic Mat])*IF(Table_NFI[[#This Row],[Distribution Date]]&gt;"2014-04-01",1,2.5)</f>
        <v>0</v>
      </c>
      <c r="AI154" s="294">
        <f>IF(NFI_Expiration=1,IF($A154&lt;VLOOKUP(R$5,NFI,5,0),1,0)*Table_NFI[[#This Row],[Winter Clothes Adult]],Table_NFI[Winter Clothes Adult])</f>
        <v>0</v>
      </c>
      <c r="AJ154" s="294">
        <f>IF(NFI_Expiration=1,IF($A154&lt;VLOOKUP(S$5,NFI,5,0),1,0)*Table_NFI[[#This Row],[Winter Clothes Children]],Table_NFI[Winter Clothes Children])</f>
        <v>0</v>
      </c>
      <c r="AK154" s="294">
        <f>IF(NFI_Expiration=1,IF($A154&lt;VLOOKUP(T$5,NFI,5,0),1,0)*Table_NFI[[#This Row],[Winter Items Other]],Table_NFI[Winter Items Other])</f>
        <v>0</v>
      </c>
      <c r="AL154" s="294">
        <f>IF(NFI_Expiration=1,IF($A154&lt;VLOOKUP(M$5,NFI,5,0),1,0)*Table_NFI[[#This Row],[Winter Blanket]],Table_NFI[[#This Row],[Winter Blanket]])</f>
        <v>0</v>
      </c>
      <c r="AM154" s="294">
        <f>IF(Table_NFI[[#This Row],[Winter Clothes Adult]]+Table_NFI[[#This Row],[Winter Clothes Children]]+Table_NFI[[#This Row],[Winter Items Other]]+Table_NFI[[#This Row],[Winter Blanket]]&gt;0,1,0)</f>
        <v>0</v>
      </c>
      <c r="AN154" s="331">
        <f>IF(NFI_Expiration=1,IF($A154&lt;VLOOKUP(V$5,NFI,5,0),1,0)*Table_NFI[[#This Row],[Jerry Can]],Table_NFI[Jerry Can])</f>
        <v>0</v>
      </c>
      <c r="AO154" s="331">
        <f>IF(NFI_Expiration=1,IF($A154&lt;VLOOKUP(V$5,NFI,5,0),1,0)*Table_NFI[[#This Row],[Shelter Tool kit]],Table_NFI[Shelter Tool kit])</f>
        <v>0</v>
      </c>
      <c r="AP154" s="331">
        <f>IF(NFI_Expiration=1,IF($A154&lt;VLOOKUP(V$5,NFI,5,0),1,0)*Table_NFI[[#This Row],[Tent]],Table_NFI[Tent])</f>
        <v>0</v>
      </c>
      <c r="AQ154" s="473" t="str">
        <f>IFERROR(VLOOKUP(Table_NFI[[#This Row],[Camp Name]],CL,2,0),"")</f>
        <v>MMR001CMP051</v>
      </c>
      <c r="AR154" s="468">
        <f ca="1">IF(Table_NFI[[#This Row],[Pcode]]="","",IF(OFFSET(CampList[Opening Date],MATCH(Table_NFI[[#This Row],[Pcode]],CampList[CP_Pcode],0)-1,0,1,1)&gt;=NFI_Monitor_Date,1,0))</f>
        <v>0</v>
      </c>
      <c r="AS154" s="473" t="str">
        <f>IFERROR(VLOOKUP(Table_NFI[[#This Row],[Camp Name]],CL,3,0),"")</f>
        <v>Open</v>
      </c>
      <c r="AT154" s="294" t="str">
        <f ca="1">IF(Table_NFI[[#This Row],[Pcode]]="","",OFFSET(CampList[Priority],MATCH(Table_NFI[[#This Row],[Pcode]],CampList[CP_Pcode],0)-1,0,1,1))</f>
        <v>P4</v>
      </c>
      <c r="AU154" s="293">
        <f>IFERROR(Table_NFI[[#This Row],[Kitchen Set]]/VLOOKUP(Table_NFI[[#This Row],[Camp Name]],CL,4,0),"")</f>
        <v>0</v>
      </c>
      <c r="AV154" s="466" t="s">
        <v>1092</v>
      </c>
      <c r="AW154" s="469"/>
    </row>
    <row r="155" spans="1:49" s="98" customFormat="1" ht="14.45" customHeight="1" x14ac:dyDescent="0.25">
      <c r="A155" s="297">
        <f t="shared" si="2"/>
        <v>19.266666666666666</v>
      </c>
      <c r="B155" s="465">
        <v>42097</v>
      </c>
      <c r="C155" s="466" t="s">
        <v>452</v>
      </c>
      <c r="D155" s="466" t="s">
        <v>452</v>
      </c>
      <c r="E155" s="466" t="s">
        <v>380</v>
      </c>
      <c r="F155" s="466" t="s">
        <v>185</v>
      </c>
      <c r="G155" s="466" t="s">
        <v>215</v>
      </c>
      <c r="H155" s="291"/>
      <c r="I155" s="294"/>
      <c r="J155" s="294"/>
      <c r="K155" s="294"/>
      <c r="L155" s="292"/>
      <c r="M155" s="292"/>
      <c r="N155" s="292"/>
      <c r="O155" s="292"/>
      <c r="P155" s="294"/>
      <c r="Q155" s="294"/>
      <c r="R155" s="294"/>
      <c r="S155" s="294"/>
      <c r="T155" s="294"/>
      <c r="U155" s="294"/>
      <c r="V155" s="431">
        <v>405</v>
      </c>
      <c r="W155" s="294"/>
      <c r="X155" s="294"/>
      <c r="Y155" s="294">
        <f>IF(NFI_Expiration=1,IF($A155&lt;VLOOKUP(H$5,NFI,5,0),1,0)*Table_NFI[[#This Row],[Hygiene Kit]],Table_NFI[Hygiene Kit])</f>
        <v>0</v>
      </c>
      <c r="Z155" s="294">
        <f>IF(NFI_Expiration=1,IF($A155&lt;VLOOKUP(I$5,NFI,5,0),1,0)*Table_NFI[[#This Row],[NFI Core Kit]],Table_NFI[NFI Core Kit])</f>
        <v>0</v>
      </c>
      <c r="AA155" s="294">
        <f>IF(NFI_Expiration=1,IF($A155&lt;VLOOKUP(J$5,NFI,5,0),1,0)*Table_NFI[[#This Row],[Sanitary Kit]],Table_NFI[Sanitary Kit])</f>
        <v>0</v>
      </c>
      <c r="AB155" s="294">
        <f>IF(NFI_Expiration=1,IF($A155&lt;VLOOKUP(K$5,NFI,5,0),1,0)*Table_NFI[[#This Row],[Mosquito net]],Table_NFI[Mosquito net])</f>
        <v>0</v>
      </c>
      <c r="AC155" s="294">
        <f>IF(NFI_Expiration=1,IF($A155&lt;VLOOKUP(L$5,NFI,5,0),1,0)*Table_NFI[[#This Row],[Tarpaulin]],Table_NFI[[#This Row],[Tarpaulin]])</f>
        <v>0</v>
      </c>
      <c r="AD155" s="294">
        <f>IF(NFI_Expiration=1,IF($A155&lt;VLOOKUP(M$5,NFI,5,0),1,0)*Table_NFI[[#This Row],[Blanket]],Table_NFI[[#This Row],[Blanket]])</f>
        <v>0</v>
      </c>
      <c r="AE155" s="294">
        <f>IF(NFI_Expiration=1,IF($A155&lt;VLOOKUP(N$5,NFI,5,0),1,0)*Table_NFI[[#This Row],[Kitchen Set]],Table_NFI[Kitchen Set])</f>
        <v>0</v>
      </c>
      <c r="AF155" s="294">
        <f>IF(NFI_Expiration=1,IF($A155&lt;VLOOKUP(O$5,NFI,5,0),1,0)*Table_NFI[[#This Row],[Clothes Kit]],Table_NFI[Clothes Kit])</f>
        <v>0</v>
      </c>
      <c r="AG155" s="294">
        <f>IF(NFI_Expiration=1,IF($A155&lt;VLOOKUP(P$5,NFI,5,0),1,0)*Table_NFI[[#This Row],[Plastic Bucket]],Table_NFI[Plastic Bucket])</f>
        <v>0</v>
      </c>
      <c r="AH155" s="294">
        <f>IF(NFI_Expiration=1,IF($A155&lt;VLOOKUP(Q$5,NFI,5,0),1,0)*Table_NFI[[#This Row],[Plastic Mat]],Table_NFI[Plastic Mat])*IF(Table_NFI[[#This Row],[Distribution Date]]&gt;"2014-04-01",1,2.5)</f>
        <v>0</v>
      </c>
      <c r="AI155" s="294">
        <f>IF(NFI_Expiration=1,IF($A155&lt;VLOOKUP(R$5,NFI,5,0),1,0)*Table_NFI[[#This Row],[Winter Clothes Adult]],Table_NFI[Winter Clothes Adult])</f>
        <v>0</v>
      </c>
      <c r="AJ155" s="294">
        <f>IF(NFI_Expiration=1,IF($A155&lt;VLOOKUP(S$5,NFI,5,0),1,0)*Table_NFI[[#This Row],[Winter Clothes Children]],Table_NFI[Winter Clothes Children])</f>
        <v>0</v>
      </c>
      <c r="AK155" s="294">
        <f>IF(NFI_Expiration=1,IF($A155&lt;VLOOKUP(T$5,NFI,5,0),1,0)*Table_NFI[[#This Row],[Winter Items Other]],Table_NFI[Winter Items Other])</f>
        <v>0</v>
      </c>
      <c r="AL155" s="294">
        <f>IF(NFI_Expiration=1,IF($A155&lt;VLOOKUP(M$5,NFI,5,0),1,0)*Table_NFI[[#This Row],[Winter Blanket]],Table_NFI[[#This Row],[Winter Blanket]])</f>
        <v>0</v>
      </c>
      <c r="AM155" s="294">
        <f>IF(Table_NFI[[#This Row],[Winter Clothes Adult]]+Table_NFI[[#This Row],[Winter Clothes Children]]+Table_NFI[[#This Row],[Winter Items Other]]+Table_NFI[[#This Row],[Winter Blanket]]&gt;0,1,0)</f>
        <v>0</v>
      </c>
      <c r="AN155" s="331">
        <f>IF(NFI_Expiration=1,IF($A155&lt;VLOOKUP(V$5,NFI,5,0),1,0)*Table_NFI[[#This Row],[Jerry Can]],Table_NFI[Jerry Can])</f>
        <v>0</v>
      </c>
      <c r="AO155" s="331">
        <f>IF(NFI_Expiration=1,IF($A155&lt;VLOOKUP(V$5,NFI,5,0),1,0)*Table_NFI[[#This Row],[Shelter Tool kit]],Table_NFI[Shelter Tool kit])</f>
        <v>0</v>
      </c>
      <c r="AP155" s="331">
        <f>IF(NFI_Expiration=1,IF($A155&lt;VLOOKUP(V$5,NFI,5,0),1,0)*Table_NFI[[#This Row],[Tent]],Table_NFI[Tent])</f>
        <v>0</v>
      </c>
      <c r="AQ155" s="473" t="str">
        <f>IFERROR(VLOOKUP(Table_NFI[[#This Row],[Camp Name]],CL,2,0),"")</f>
        <v>MMR001CMP131</v>
      </c>
      <c r="AR155" s="468">
        <f ca="1">IF(Table_NFI[[#This Row],[Pcode]]="","",IF(OFFSET(CampList[Opening Date],MATCH(Table_NFI[[#This Row],[Pcode]],CampList[CP_Pcode],0)-1,0,1,1)&gt;=NFI_Monitor_Date,1,0))</f>
        <v>0</v>
      </c>
      <c r="AS155" s="473" t="str">
        <f>IFERROR(VLOOKUP(Table_NFI[[#This Row],[Camp Name]],CL,3,0),"")</f>
        <v>Open</v>
      </c>
      <c r="AT155" s="294" t="str">
        <f ca="1">IF(Table_NFI[[#This Row],[Pcode]]="","",OFFSET(CampList[Priority],MATCH(Table_NFI[[#This Row],[Pcode]],CampList[CP_Pcode],0)-1,0,1,1))</f>
        <v>P1</v>
      </c>
      <c r="AU155" s="293">
        <f>IFERROR(Table_NFI[[#This Row],[Kitchen Set]]/VLOOKUP(Table_NFI[[#This Row],[Camp Name]],CL,4,0),"")</f>
        <v>0</v>
      </c>
      <c r="AV155" s="466" t="s">
        <v>1092</v>
      </c>
      <c r="AW155" s="469"/>
    </row>
    <row r="156" spans="1:49" s="98" customFormat="1" ht="14.45" customHeight="1" x14ac:dyDescent="0.25">
      <c r="A156" s="297">
        <f t="shared" si="2"/>
        <v>19.266666666666666</v>
      </c>
      <c r="B156" s="465">
        <v>42097</v>
      </c>
      <c r="C156" s="466" t="s">
        <v>452</v>
      </c>
      <c r="D156" s="466" t="s">
        <v>505</v>
      </c>
      <c r="E156" s="466" t="s">
        <v>380</v>
      </c>
      <c r="F156" s="466" t="s">
        <v>185</v>
      </c>
      <c r="G156" s="466" t="s">
        <v>217</v>
      </c>
      <c r="H156" s="291"/>
      <c r="I156" s="294"/>
      <c r="J156" s="294"/>
      <c r="K156" s="294">
        <v>105</v>
      </c>
      <c r="L156" s="292">
        <v>26</v>
      </c>
      <c r="M156" s="292">
        <v>308</v>
      </c>
      <c r="N156" s="292">
        <v>29</v>
      </c>
      <c r="O156" s="292"/>
      <c r="P156" s="294"/>
      <c r="Q156" s="294">
        <v>69</v>
      </c>
      <c r="R156" s="294"/>
      <c r="S156" s="294"/>
      <c r="T156" s="294"/>
      <c r="U156" s="294"/>
      <c r="V156" s="431"/>
      <c r="W156" s="294"/>
      <c r="X156" s="294"/>
      <c r="Y156" s="294">
        <f>IF(NFI_Expiration=1,IF($A156&lt;VLOOKUP(H$5,NFI,5,0),1,0)*Table_NFI[[#This Row],[Hygiene Kit]],Table_NFI[Hygiene Kit])</f>
        <v>0</v>
      </c>
      <c r="Z156" s="294">
        <f>IF(NFI_Expiration=1,IF($A156&lt;VLOOKUP(I$5,NFI,5,0),1,0)*Table_NFI[[#This Row],[NFI Core Kit]],Table_NFI[NFI Core Kit])</f>
        <v>0</v>
      </c>
      <c r="AA156" s="294">
        <f>IF(NFI_Expiration=1,IF($A156&lt;VLOOKUP(J$5,NFI,5,0),1,0)*Table_NFI[[#This Row],[Sanitary Kit]],Table_NFI[Sanitary Kit])</f>
        <v>0</v>
      </c>
      <c r="AB156" s="294">
        <f>IF(NFI_Expiration=1,IF($A156&lt;VLOOKUP(K$5,NFI,5,0),1,0)*Table_NFI[[#This Row],[Mosquito net]],Table_NFI[Mosquito net])</f>
        <v>0</v>
      </c>
      <c r="AC156" s="294">
        <f>IF(NFI_Expiration=1,IF($A156&lt;VLOOKUP(L$5,NFI,5,0),1,0)*Table_NFI[[#This Row],[Tarpaulin]],Table_NFI[[#This Row],[Tarpaulin]])</f>
        <v>0</v>
      </c>
      <c r="AD156" s="294">
        <f>IF(NFI_Expiration=1,IF($A156&lt;VLOOKUP(M$5,NFI,5,0),1,0)*Table_NFI[[#This Row],[Blanket]],Table_NFI[[#This Row],[Blanket]])</f>
        <v>0</v>
      </c>
      <c r="AE156" s="294">
        <f>IF(NFI_Expiration=1,IF($A156&lt;VLOOKUP(N$5,NFI,5,0),1,0)*Table_NFI[[#This Row],[Kitchen Set]],Table_NFI[Kitchen Set])</f>
        <v>0</v>
      </c>
      <c r="AF156" s="294">
        <f>IF(NFI_Expiration=1,IF($A156&lt;VLOOKUP(O$5,NFI,5,0),1,0)*Table_NFI[[#This Row],[Clothes Kit]],Table_NFI[Clothes Kit])</f>
        <v>0</v>
      </c>
      <c r="AG156" s="294">
        <f>IF(NFI_Expiration=1,IF($A156&lt;VLOOKUP(P$5,NFI,5,0),1,0)*Table_NFI[[#This Row],[Plastic Bucket]],Table_NFI[Plastic Bucket])</f>
        <v>0</v>
      </c>
      <c r="AH156" s="294">
        <f>IF(NFI_Expiration=1,IF($A156&lt;VLOOKUP(Q$5,NFI,5,0),1,0)*Table_NFI[[#This Row],[Plastic Mat]],Table_NFI[Plastic Mat])*IF(Table_NFI[[#This Row],[Distribution Date]]&gt;"2014-04-01",1,2.5)</f>
        <v>0</v>
      </c>
      <c r="AI156" s="294">
        <f>IF(NFI_Expiration=1,IF($A156&lt;VLOOKUP(R$5,NFI,5,0),1,0)*Table_NFI[[#This Row],[Winter Clothes Adult]],Table_NFI[Winter Clothes Adult])</f>
        <v>0</v>
      </c>
      <c r="AJ156" s="294">
        <f>IF(NFI_Expiration=1,IF($A156&lt;VLOOKUP(S$5,NFI,5,0),1,0)*Table_NFI[[#This Row],[Winter Clothes Children]],Table_NFI[Winter Clothes Children])</f>
        <v>0</v>
      </c>
      <c r="AK156" s="294">
        <f>IF(NFI_Expiration=1,IF($A156&lt;VLOOKUP(T$5,NFI,5,0),1,0)*Table_NFI[[#This Row],[Winter Items Other]],Table_NFI[Winter Items Other])</f>
        <v>0</v>
      </c>
      <c r="AL156" s="294">
        <f>IF(NFI_Expiration=1,IF($A156&lt;VLOOKUP(M$5,NFI,5,0),1,0)*Table_NFI[[#This Row],[Winter Blanket]],Table_NFI[[#This Row],[Winter Blanket]])</f>
        <v>0</v>
      </c>
      <c r="AM156" s="294">
        <f>IF(Table_NFI[[#This Row],[Winter Clothes Adult]]+Table_NFI[[#This Row],[Winter Clothes Children]]+Table_NFI[[#This Row],[Winter Items Other]]+Table_NFI[[#This Row],[Winter Blanket]]&gt;0,1,0)</f>
        <v>0</v>
      </c>
      <c r="AN156" s="331">
        <f>IF(NFI_Expiration=1,IF($A156&lt;VLOOKUP(V$5,NFI,5,0),1,0)*Table_NFI[[#This Row],[Jerry Can]],Table_NFI[Jerry Can])</f>
        <v>0</v>
      </c>
      <c r="AO156" s="331">
        <f>IF(NFI_Expiration=1,IF($A156&lt;VLOOKUP(V$5,NFI,5,0),1,0)*Table_NFI[[#This Row],[Shelter Tool kit]],Table_NFI[Shelter Tool kit])</f>
        <v>0</v>
      </c>
      <c r="AP156" s="331">
        <f>IF(NFI_Expiration=1,IF($A156&lt;VLOOKUP(V$5,NFI,5,0),1,0)*Table_NFI[[#This Row],[Tent]],Table_NFI[Tent])</f>
        <v>0</v>
      </c>
      <c r="AQ156" s="473" t="str">
        <f>IFERROR(VLOOKUP(Table_NFI[[#This Row],[Camp Name]],CL,2,0),"")</f>
        <v>MMR001CMP059</v>
      </c>
      <c r="AR156" s="468">
        <f ca="1">IF(Table_NFI[[#This Row],[Pcode]]="","",IF(OFFSET(CampList[Opening Date],MATCH(Table_NFI[[#This Row],[Pcode]],CampList[CP_Pcode],0)-1,0,1,1)&gt;=NFI_Monitor_Date,1,0))</f>
        <v>0</v>
      </c>
      <c r="AS156" s="473" t="str">
        <f>IFERROR(VLOOKUP(Table_NFI[[#This Row],[Camp Name]],CL,3,0),"")</f>
        <v>Closed</v>
      </c>
      <c r="AT156" s="294" t="str">
        <f ca="1">IF(Table_NFI[[#This Row],[Pcode]]="","",OFFSET(CampList[Priority],MATCH(Table_NFI[[#This Row],[Pcode]],CampList[CP_Pcode],0)-1,0,1,1))</f>
        <v>P4</v>
      </c>
      <c r="AU156" s="293" t="str">
        <f>IFERROR(Table_NFI[[#This Row],[Kitchen Set]]/VLOOKUP(Table_NFI[[#This Row],[Camp Name]],CL,4,0),"")</f>
        <v/>
      </c>
      <c r="AV156" s="466" t="s">
        <v>1092</v>
      </c>
      <c r="AW156" s="469"/>
    </row>
    <row r="157" spans="1:49" s="98" customFormat="1" ht="14.45" customHeight="1" x14ac:dyDescent="0.25">
      <c r="A157" s="297">
        <f t="shared" si="2"/>
        <v>19.466666666666665</v>
      </c>
      <c r="B157" s="465">
        <v>42091</v>
      </c>
      <c r="C157" s="466" t="s">
        <v>452</v>
      </c>
      <c r="D157" s="466" t="s">
        <v>1089</v>
      </c>
      <c r="E157" s="466" t="s">
        <v>380</v>
      </c>
      <c r="F157" s="466" t="s">
        <v>151</v>
      </c>
      <c r="G157" s="466" t="s">
        <v>1034</v>
      </c>
      <c r="H157" s="291"/>
      <c r="I157" s="294"/>
      <c r="J157" s="294"/>
      <c r="K157" s="294"/>
      <c r="L157" s="292"/>
      <c r="M157" s="292">
        <v>704</v>
      </c>
      <c r="N157" s="292"/>
      <c r="O157" s="292"/>
      <c r="P157" s="294">
        <v>9</v>
      </c>
      <c r="Q157" s="294"/>
      <c r="R157" s="294"/>
      <c r="S157" s="294"/>
      <c r="T157" s="294"/>
      <c r="U157" s="294"/>
      <c r="V157" s="431"/>
      <c r="W157" s="294"/>
      <c r="X157" s="294"/>
      <c r="Y157" s="294">
        <f>IF(NFI_Expiration=1,IF($A157&lt;VLOOKUP(H$5,NFI,5,0),1,0)*Table_NFI[[#This Row],[Hygiene Kit]],Table_NFI[Hygiene Kit])</f>
        <v>0</v>
      </c>
      <c r="Z157" s="294">
        <f>IF(NFI_Expiration=1,IF($A157&lt;VLOOKUP(I$5,NFI,5,0),1,0)*Table_NFI[[#This Row],[NFI Core Kit]],Table_NFI[NFI Core Kit])</f>
        <v>0</v>
      </c>
      <c r="AA157" s="294">
        <f>IF(NFI_Expiration=1,IF($A157&lt;VLOOKUP(J$5,NFI,5,0),1,0)*Table_NFI[[#This Row],[Sanitary Kit]],Table_NFI[Sanitary Kit])</f>
        <v>0</v>
      </c>
      <c r="AB157" s="294">
        <f>IF(NFI_Expiration=1,IF($A157&lt;VLOOKUP(K$5,NFI,5,0),1,0)*Table_NFI[[#This Row],[Mosquito net]],Table_NFI[Mosquito net])</f>
        <v>0</v>
      </c>
      <c r="AC157" s="294">
        <f>IF(NFI_Expiration=1,IF($A157&lt;VLOOKUP(L$5,NFI,5,0),1,0)*Table_NFI[[#This Row],[Tarpaulin]],Table_NFI[[#This Row],[Tarpaulin]])</f>
        <v>0</v>
      </c>
      <c r="AD157" s="294">
        <f>IF(NFI_Expiration=1,IF($A157&lt;VLOOKUP(M$5,NFI,5,0),1,0)*Table_NFI[[#This Row],[Blanket]],Table_NFI[[#This Row],[Blanket]])</f>
        <v>0</v>
      </c>
      <c r="AE157" s="294">
        <f>IF(NFI_Expiration=1,IF($A157&lt;VLOOKUP(N$5,NFI,5,0),1,0)*Table_NFI[[#This Row],[Kitchen Set]],Table_NFI[Kitchen Set])</f>
        <v>0</v>
      </c>
      <c r="AF157" s="294">
        <f>IF(NFI_Expiration=1,IF($A157&lt;VLOOKUP(O$5,NFI,5,0),1,0)*Table_NFI[[#This Row],[Clothes Kit]],Table_NFI[Clothes Kit])</f>
        <v>0</v>
      </c>
      <c r="AG157" s="294">
        <f>IF(NFI_Expiration=1,IF($A157&lt;VLOOKUP(P$5,NFI,5,0),1,0)*Table_NFI[[#This Row],[Plastic Bucket]],Table_NFI[Plastic Bucket])</f>
        <v>0</v>
      </c>
      <c r="AH157" s="294">
        <f>IF(NFI_Expiration=1,IF($A157&lt;VLOOKUP(Q$5,NFI,5,0),1,0)*Table_NFI[[#This Row],[Plastic Mat]],Table_NFI[Plastic Mat])*IF(Table_NFI[[#This Row],[Distribution Date]]&gt;"2014-04-01",1,2.5)</f>
        <v>0</v>
      </c>
      <c r="AI157" s="294">
        <f>IF(NFI_Expiration=1,IF($A157&lt;VLOOKUP(R$5,NFI,5,0),1,0)*Table_NFI[[#This Row],[Winter Clothes Adult]],Table_NFI[Winter Clothes Adult])</f>
        <v>0</v>
      </c>
      <c r="AJ157" s="294">
        <f>IF(NFI_Expiration=1,IF($A157&lt;VLOOKUP(S$5,NFI,5,0),1,0)*Table_NFI[[#This Row],[Winter Clothes Children]],Table_NFI[Winter Clothes Children])</f>
        <v>0</v>
      </c>
      <c r="AK157" s="294">
        <f>IF(NFI_Expiration=1,IF($A157&lt;VLOOKUP(T$5,NFI,5,0),1,0)*Table_NFI[[#This Row],[Winter Items Other]],Table_NFI[Winter Items Other])</f>
        <v>0</v>
      </c>
      <c r="AL157" s="294">
        <f>IF(NFI_Expiration=1,IF($A157&lt;VLOOKUP(M$5,NFI,5,0),1,0)*Table_NFI[[#This Row],[Winter Blanket]],Table_NFI[[#This Row],[Winter Blanket]])</f>
        <v>0</v>
      </c>
      <c r="AM157" s="294">
        <f>IF(Table_NFI[[#This Row],[Winter Clothes Adult]]+Table_NFI[[#This Row],[Winter Clothes Children]]+Table_NFI[[#This Row],[Winter Items Other]]+Table_NFI[[#This Row],[Winter Blanket]]&gt;0,1,0)</f>
        <v>0</v>
      </c>
      <c r="AN157" s="331">
        <f>IF(NFI_Expiration=1,IF($A157&lt;VLOOKUP(V$5,NFI,5,0),1,0)*Table_NFI[[#This Row],[Jerry Can]],Table_NFI[Jerry Can])</f>
        <v>0</v>
      </c>
      <c r="AO157" s="331">
        <f>IF(NFI_Expiration=1,IF($A157&lt;VLOOKUP(V$5,NFI,5,0),1,0)*Table_NFI[[#This Row],[Shelter Tool kit]],Table_NFI[Shelter Tool kit])</f>
        <v>0</v>
      </c>
      <c r="AP157" s="331">
        <f>IF(NFI_Expiration=1,IF($A157&lt;VLOOKUP(V$5,NFI,5,0),1,0)*Table_NFI[[#This Row],[Tent]],Table_NFI[Tent])</f>
        <v>0</v>
      </c>
      <c r="AQ157" s="473" t="str">
        <f>IFERROR(VLOOKUP(Table_NFI[[#This Row],[Camp Name]],CL,2,0),"")</f>
        <v>MMR001CMP226</v>
      </c>
      <c r="AR157" s="468">
        <f ca="1">IF(Table_NFI[[#This Row],[Pcode]]="","",IF(OFFSET(CampList[Opening Date],MATCH(Table_NFI[[#This Row],[Pcode]],CampList[CP_Pcode],0)-1,0,1,1)&gt;=NFI_Monitor_Date,1,0))</f>
        <v>0</v>
      </c>
      <c r="AS157" s="670" t="str">
        <f>IFERROR(VLOOKUP(Table_NFI[[#This Row],[Camp Name]],CL,3,0),"")</f>
        <v>Closed</v>
      </c>
      <c r="AT157" s="294" t="str">
        <f ca="1">IF(Table_NFI[[#This Row],[Pcode]]="","",OFFSET(CampList[Priority],MATCH(Table_NFI[[#This Row],[Pcode]],CampList[CP_Pcode],0)-1,0,1,1))</f>
        <v>P2</v>
      </c>
      <c r="AU157" s="293" t="str">
        <f>IFERROR(Table_NFI[[#This Row],[Kitchen Set]]/VLOOKUP(Table_NFI[[#This Row],[Camp Name]],CL,4,0),"")</f>
        <v/>
      </c>
      <c r="AV157" s="466" t="s">
        <v>1092</v>
      </c>
      <c r="AW157" s="469"/>
    </row>
    <row r="158" spans="1:49" s="98" customFormat="1" x14ac:dyDescent="0.25">
      <c r="A158" s="297">
        <f t="shared" si="2"/>
        <v>19.5</v>
      </c>
      <c r="B158" s="465">
        <v>42090</v>
      </c>
      <c r="C158" s="466" t="s">
        <v>452</v>
      </c>
      <c r="D158" s="466" t="s">
        <v>1089</v>
      </c>
      <c r="E158" s="466" t="s">
        <v>380</v>
      </c>
      <c r="F158" s="466" t="s">
        <v>151</v>
      </c>
      <c r="G158" s="466" t="s">
        <v>198</v>
      </c>
      <c r="H158" s="291"/>
      <c r="I158" s="291"/>
      <c r="J158" s="291"/>
      <c r="K158" s="291"/>
      <c r="L158" s="292"/>
      <c r="M158" s="292">
        <v>357</v>
      </c>
      <c r="N158" s="292"/>
      <c r="O158" s="292"/>
      <c r="P158" s="294"/>
      <c r="Q158" s="294"/>
      <c r="R158" s="294"/>
      <c r="S158" s="294"/>
      <c r="T158" s="294"/>
      <c r="U158" s="294"/>
      <c r="V158" s="431"/>
      <c r="W158" s="294"/>
      <c r="X158" s="294"/>
      <c r="Y158" s="294">
        <f>IF(NFI_Expiration=1,IF($A158&lt;VLOOKUP(H$5,NFI,5,0),1,0)*Table_NFI[[#This Row],[Hygiene Kit]],Table_NFI[Hygiene Kit])</f>
        <v>0</v>
      </c>
      <c r="Z158" s="294">
        <f>IF(NFI_Expiration=1,IF($A158&lt;VLOOKUP(I$5,NFI,5,0),1,0)*Table_NFI[[#This Row],[NFI Core Kit]],Table_NFI[NFI Core Kit])</f>
        <v>0</v>
      </c>
      <c r="AA158" s="294">
        <f>IF(NFI_Expiration=1,IF($A158&lt;VLOOKUP(J$5,NFI,5,0),1,0)*Table_NFI[[#This Row],[Sanitary Kit]],Table_NFI[Sanitary Kit])</f>
        <v>0</v>
      </c>
      <c r="AB158" s="294">
        <f>IF(NFI_Expiration=1,IF($A158&lt;VLOOKUP(K$5,NFI,5,0),1,0)*Table_NFI[[#This Row],[Mosquito net]],Table_NFI[Mosquito net])</f>
        <v>0</v>
      </c>
      <c r="AC158" s="294">
        <f>IF(NFI_Expiration=1,IF($A158&lt;VLOOKUP(L$5,NFI,5,0),1,0)*Table_NFI[[#This Row],[Tarpaulin]],Table_NFI[[#This Row],[Tarpaulin]])</f>
        <v>0</v>
      </c>
      <c r="AD158" s="294">
        <f>IF(NFI_Expiration=1,IF($A158&lt;VLOOKUP(M$5,NFI,5,0),1,0)*Table_NFI[[#This Row],[Blanket]],Table_NFI[[#This Row],[Blanket]])</f>
        <v>0</v>
      </c>
      <c r="AE158" s="294">
        <f>IF(NFI_Expiration=1,IF($A158&lt;VLOOKUP(N$5,NFI,5,0),1,0)*Table_NFI[[#This Row],[Kitchen Set]],Table_NFI[Kitchen Set])</f>
        <v>0</v>
      </c>
      <c r="AF158" s="294">
        <f>IF(NFI_Expiration=1,IF($A158&lt;VLOOKUP(O$5,NFI,5,0),1,0)*Table_NFI[[#This Row],[Clothes Kit]],Table_NFI[Clothes Kit])</f>
        <v>0</v>
      </c>
      <c r="AG158" s="294">
        <f>IF(NFI_Expiration=1,IF($A158&lt;VLOOKUP(P$5,NFI,5,0),1,0)*Table_NFI[[#This Row],[Plastic Bucket]],Table_NFI[Plastic Bucket])</f>
        <v>0</v>
      </c>
      <c r="AH158" s="294">
        <f>IF(NFI_Expiration=1,IF($A158&lt;VLOOKUP(Q$5,NFI,5,0),1,0)*Table_NFI[[#This Row],[Plastic Mat]],Table_NFI[Plastic Mat])*IF(Table_NFI[[#This Row],[Distribution Date]]&gt;"2014-04-01",1,2.5)</f>
        <v>0</v>
      </c>
      <c r="AI158" s="294">
        <f>IF(NFI_Expiration=1,IF($A158&lt;VLOOKUP(R$5,NFI,5,0),1,0)*Table_NFI[[#This Row],[Winter Clothes Adult]],Table_NFI[Winter Clothes Adult])</f>
        <v>0</v>
      </c>
      <c r="AJ158" s="294">
        <f>IF(NFI_Expiration=1,IF($A158&lt;VLOOKUP(S$5,NFI,5,0),1,0)*Table_NFI[[#This Row],[Winter Clothes Children]],Table_NFI[Winter Clothes Children])</f>
        <v>0</v>
      </c>
      <c r="AK158" s="294">
        <f>IF(NFI_Expiration=1,IF($A158&lt;VLOOKUP(T$5,NFI,5,0),1,0)*Table_NFI[[#This Row],[Winter Items Other]],Table_NFI[Winter Items Other])</f>
        <v>0</v>
      </c>
      <c r="AL158" s="294">
        <f>IF(NFI_Expiration=1,IF($A158&lt;VLOOKUP(M$5,NFI,5,0),1,0)*Table_NFI[[#This Row],[Winter Blanket]],Table_NFI[[#This Row],[Winter Blanket]])</f>
        <v>0</v>
      </c>
      <c r="AM158" s="294">
        <f>IF(Table_NFI[[#This Row],[Winter Clothes Adult]]+Table_NFI[[#This Row],[Winter Clothes Children]]+Table_NFI[[#This Row],[Winter Items Other]]+Table_NFI[[#This Row],[Winter Blanket]]&gt;0,1,0)</f>
        <v>0</v>
      </c>
      <c r="AN158" s="331">
        <f>IF(NFI_Expiration=1,IF($A158&lt;VLOOKUP(V$5,NFI,5,0),1,0)*Table_NFI[[#This Row],[Jerry Can]],Table_NFI[Jerry Can])</f>
        <v>0</v>
      </c>
      <c r="AO158" s="331">
        <f>IF(NFI_Expiration=1,IF($A158&lt;VLOOKUP(V$5,NFI,5,0),1,0)*Table_NFI[[#This Row],[Shelter Tool kit]],Table_NFI[Shelter Tool kit])</f>
        <v>0</v>
      </c>
      <c r="AP158" s="331">
        <f>IF(NFI_Expiration=1,IF($A158&lt;VLOOKUP(V$5,NFI,5,0),1,0)*Table_NFI[[#This Row],[Tent]],Table_NFI[Tent])</f>
        <v>0</v>
      </c>
      <c r="AQ158" s="473" t="str">
        <f>IFERROR(VLOOKUP(Table_NFI[[#This Row],[Camp Name]],CL,2,0),"")</f>
        <v>MMR001CMP128</v>
      </c>
      <c r="AR158" s="468">
        <f ca="1">IF(Table_NFI[[#This Row],[Pcode]]="","",IF(OFFSET(CampList[Opening Date],MATCH(Table_NFI[[#This Row],[Pcode]],CampList[CP_Pcode],0)-1,0,1,1)&gt;=NFI_Monitor_Date,1,0))</f>
        <v>0</v>
      </c>
      <c r="AS158" s="473" t="str">
        <f>IFERROR(VLOOKUP(Table_NFI[[#This Row],[Camp Name]],CL,3,0),"")</f>
        <v>Open</v>
      </c>
      <c r="AT158" s="294" t="str">
        <f ca="1">IF(Table_NFI[[#This Row],[Pcode]]="","",OFFSET(CampList[Priority],MATCH(Table_NFI[[#This Row],[Pcode]],CampList[CP_Pcode],0)-1,0,1,1))</f>
        <v>P2</v>
      </c>
      <c r="AU158" s="293">
        <f>IFERROR(Table_NFI[[#This Row],[Kitchen Set]]/VLOOKUP(Table_NFI[[#This Row],[Camp Name]],CL,4,0),"")</f>
        <v>0</v>
      </c>
      <c r="AV158" s="466" t="s">
        <v>1092</v>
      </c>
      <c r="AW158" s="469"/>
    </row>
    <row r="159" spans="1:49" s="98" customFormat="1" x14ac:dyDescent="0.25">
      <c r="A159" s="297">
        <f t="shared" si="2"/>
        <v>19.566666666666666</v>
      </c>
      <c r="B159" s="465">
        <v>42088</v>
      </c>
      <c r="C159" s="466" t="s">
        <v>452</v>
      </c>
      <c r="D159" s="466" t="s">
        <v>1089</v>
      </c>
      <c r="E159" s="466" t="s">
        <v>380</v>
      </c>
      <c r="F159" s="466" t="s">
        <v>151</v>
      </c>
      <c r="G159" s="466" t="s">
        <v>188</v>
      </c>
      <c r="H159" s="291"/>
      <c r="I159" s="294"/>
      <c r="J159" s="294"/>
      <c r="K159" s="294"/>
      <c r="L159" s="292"/>
      <c r="M159" s="292">
        <v>829</v>
      </c>
      <c r="N159" s="292"/>
      <c r="O159" s="292"/>
      <c r="P159" s="294"/>
      <c r="Q159" s="294"/>
      <c r="R159" s="294"/>
      <c r="S159" s="294"/>
      <c r="T159" s="294"/>
      <c r="U159" s="294"/>
      <c r="V159" s="431"/>
      <c r="W159" s="294"/>
      <c r="X159" s="294"/>
      <c r="Y159" s="294">
        <f>IF(NFI_Expiration=1,IF($A159&lt;VLOOKUP(H$5,NFI,5,0),1,0)*Table_NFI[[#This Row],[Hygiene Kit]],Table_NFI[Hygiene Kit])</f>
        <v>0</v>
      </c>
      <c r="Z159" s="294">
        <f>IF(NFI_Expiration=1,IF($A159&lt;VLOOKUP(I$5,NFI,5,0),1,0)*Table_NFI[[#This Row],[NFI Core Kit]],Table_NFI[NFI Core Kit])</f>
        <v>0</v>
      </c>
      <c r="AA159" s="294">
        <f>IF(NFI_Expiration=1,IF($A159&lt;VLOOKUP(J$5,NFI,5,0),1,0)*Table_NFI[[#This Row],[Sanitary Kit]],Table_NFI[Sanitary Kit])</f>
        <v>0</v>
      </c>
      <c r="AB159" s="294">
        <f>IF(NFI_Expiration=1,IF($A159&lt;VLOOKUP(K$5,NFI,5,0),1,0)*Table_NFI[[#This Row],[Mosquito net]],Table_NFI[Mosquito net])</f>
        <v>0</v>
      </c>
      <c r="AC159" s="294">
        <f>IF(NFI_Expiration=1,IF($A159&lt;VLOOKUP(L$5,NFI,5,0),1,0)*Table_NFI[[#This Row],[Tarpaulin]],Table_NFI[[#This Row],[Tarpaulin]])</f>
        <v>0</v>
      </c>
      <c r="AD159" s="294">
        <f>IF(NFI_Expiration=1,IF($A159&lt;VLOOKUP(M$5,NFI,5,0),1,0)*Table_NFI[[#This Row],[Blanket]],Table_NFI[[#This Row],[Blanket]])</f>
        <v>0</v>
      </c>
      <c r="AE159" s="294">
        <f>IF(NFI_Expiration=1,IF($A159&lt;VLOOKUP(N$5,NFI,5,0),1,0)*Table_NFI[[#This Row],[Kitchen Set]],Table_NFI[Kitchen Set])</f>
        <v>0</v>
      </c>
      <c r="AF159" s="294">
        <f>IF(NFI_Expiration=1,IF($A159&lt;VLOOKUP(O$5,NFI,5,0),1,0)*Table_NFI[[#This Row],[Clothes Kit]],Table_NFI[Clothes Kit])</f>
        <v>0</v>
      </c>
      <c r="AG159" s="294">
        <f>IF(NFI_Expiration=1,IF($A159&lt;VLOOKUP(P$5,NFI,5,0),1,0)*Table_NFI[[#This Row],[Plastic Bucket]],Table_NFI[Plastic Bucket])</f>
        <v>0</v>
      </c>
      <c r="AH159" s="294">
        <f>IF(NFI_Expiration=1,IF($A159&lt;VLOOKUP(Q$5,NFI,5,0),1,0)*Table_NFI[[#This Row],[Plastic Mat]],Table_NFI[Plastic Mat])*IF(Table_NFI[[#This Row],[Distribution Date]]&gt;"2014-04-01",1,2.5)</f>
        <v>0</v>
      </c>
      <c r="AI159" s="294">
        <f>IF(NFI_Expiration=1,IF($A159&lt;VLOOKUP(R$5,NFI,5,0),1,0)*Table_NFI[[#This Row],[Winter Clothes Adult]],Table_NFI[Winter Clothes Adult])</f>
        <v>0</v>
      </c>
      <c r="AJ159" s="294">
        <f>IF(NFI_Expiration=1,IF($A159&lt;VLOOKUP(S$5,NFI,5,0),1,0)*Table_NFI[[#This Row],[Winter Clothes Children]],Table_NFI[Winter Clothes Children])</f>
        <v>0</v>
      </c>
      <c r="AK159" s="294">
        <f>IF(NFI_Expiration=1,IF($A159&lt;VLOOKUP(T$5,NFI,5,0),1,0)*Table_NFI[[#This Row],[Winter Items Other]],Table_NFI[Winter Items Other])</f>
        <v>0</v>
      </c>
      <c r="AL159" s="294">
        <f>IF(NFI_Expiration=1,IF($A159&lt;VLOOKUP(M$5,NFI,5,0),1,0)*Table_NFI[[#This Row],[Winter Blanket]],Table_NFI[[#This Row],[Winter Blanket]])</f>
        <v>0</v>
      </c>
      <c r="AM159" s="294">
        <f>IF(Table_NFI[[#This Row],[Winter Clothes Adult]]+Table_NFI[[#This Row],[Winter Clothes Children]]+Table_NFI[[#This Row],[Winter Items Other]]+Table_NFI[[#This Row],[Winter Blanket]]&gt;0,1,0)</f>
        <v>0</v>
      </c>
      <c r="AN159" s="331">
        <f>IF(NFI_Expiration=1,IF($A159&lt;VLOOKUP(V$5,NFI,5,0),1,0)*Table_NFI[[#This Row],[Jerry Can]],Table_NFI[Jerry Can])</f>
        <v>0</v>
      </c>
      <c r="AO159" s="331">
        <f>IF(NFI_Expiration=1,IF($A159&lt;VLOOKUP(V$5,NFI,5,0),1,0)*Table_NFI[[#This Row],[Shelter Tool kit]],Table_NFI[Shelter Tool kit])</f>
        <v>0</v>
      </c>
      <c r="AP159" s="331">
        <f>IF(NFI_Expiration=1,IF($A159&lt;VLOOKUP(V$5,NFI,5,0),1,0)*Table_NFI[[#This Row],[Tent]],Table_NFI[Tent])</f>
        <v>0</v>
      </c>
      <c r="AQ159" s="473" t="str">
        <f>IFERROR(VLOOKUP(Table_NFI[[#This Row],[Camp Name]],CL,2,0),"")</f>
        <v>MMR001CMP129</v>
      </c>
      <c r="AR159" s="468">
        <f ca="1">IF(Table_NFI[[#This Row],[Pcode]]="","",IF(OFFSET(CampList[Opening Date],MATCH(Table_NFI[[#This Row],[Pcode]],CampList[CP_Pcode],0)-1,0,1,1)&gt;=NFI_Monitor_Date,1,0))</f>
        <v>0</v>
      </c>
      <c r="AS159" s="670" t="str">
        <f>IFERROR(VLOOKUP(Table_NFI[[#This Row],[Camp Name]],CL,3,0),"")</f>
        <v>Open</v>
      </c>
      <c r="AT159" s="294" t="str">
        <f ca="1">IF(Table_NFI[[#This Row],[Pcode]]="","",OFFSET(CampList[Priority],MATCH(Table_NFI[[#This Row],[Pcode]],CampList[CP_Pcode],0)-1,0,1,1))</f>
        <v>P2</v>
      </c>
      <c r="AU159" s="293">
        <f>IFERROR(Table_NFI[[#This Row],[Kitchen Set]]/VLOOKUP(Table_NFI[[#This Row],[Camp Name]],CL,4,0),"")</f>
        <v>0</v>
      </c>
      <c r="AV159" s="466" t="s">
        <v>1092</v>
      </c>
      <c r="AW159" s="469"/>
    </row>
    <row r="160" spans="1:49" s="98" customFormat="1" ht="14.45" customHeight="1" x14ac:dyDescent="0.25">
      <c r="A160" s="297">
        <f t="shared" si="2"/>
        <v>19.566666666666666</v>
      </c>
      <c r="B160" s="465">
        <v>42088</v>
      </c>
      <c r="C160" s="466" t="s">
        <v>452</v>
      </c>
      <c r="D160" s="466" t="s">
        <v>452</v>
      </c>
      <c r="E160" s="466" t="s">
        <v>380</v>
      </c>
      <c r="F160" s="466" t="s">
        <v>151</v>
      </c>
      <c r="G160" s="466" t="s">
        <v>1329</v>
      </c>
      <c r="H160" s="291"/>
      <c r="I160" s="294"/>
      <c r="J160" s="294"/>
      <c r="K160" s="294">
        <v>1621</v>
      </c>
      <c r="L160" s="292"/>
      <c r="M160" s="292"/>
      <c r="N160" s="292"/>
      <c r="O160" s="292"/>
      <c r="P160" s="294"/>
      <c r="Q160" s="294"/>
      <c r="R160" s="294"/>
      <c r="S160" s="294"/>
      <c r="T160" s="294"/>
      <c r="U160" s="294"/>
      <c r="V160" s="431"/>
      <c r="W160" s="294"/>
      <c r="X160" s="294"/>
      <c r="Y160" s="294">
        <f>IF(NFI_Expiration=1,IF($A160&lt;VLOOKUP(H$5,NFI,5,0),1,0)*Table_NFI[[#This Row],[Hygiene Kit]],Table_NFI[Hygiene Kit])</f>
        <v>0</v>
      </c>
      <c r="Z160" s="294">
        <f>IF(NFI_Expiration=1,IF($A160&lt;VLOOKUP(I$5,NFI,5,0),1,0)*Table_NFI[[#This Row],[NFI Core Kit]],Table_NFI[NFI Core Kit])</f>
        <v>0</v>
      </c>
      <c r="AA160" s="294">
        <f>IF(NFI_Expiration=1,IF($A160&lt;VLOOKUP(J$5,NFI,5,0),1,0)*Table_NFI[[#This Row],[Sanitary Kit]],Table_NFI[Sanitary Kit])</f>
        <v>0</v>
      </c>
      <c r="AB160" s="294">
        <f>IF(NFI_Expiration=1,IF($A160&lt;VLOOKUP(K$5,NFI,5,0),1,0)*Table_NFI[[#This Row],[Mosquito net]],Table_NFI[Mosquito net])</f>
        <v>0</v>
      </c>
      <c r="AC160" s="294">
        <f>IF(NFI_Expiration=1,IF($A160&lt;VLOOKUP(L$5,NFI,5,0),1,0)*Table_NFI[[#This Row],[Tarpaulin]],Table_NFI[[#This Row],[Tarpaulin]])</f>
        <v>0</v>
      </c>
      <c r="AD160" s="294">
        <f>IF(NFI_Expiration=1,IF($A160&lt;VLOOKUP(M$5,NFI,5,0),1,0)*Table_NFI[[#This Row],[Blanket]],Table_NFI[[#This Row],[Blanket]])</f>
        <v>0</v>
      </c>
      <c r="AE160" s="294">
        <f>IF(NFI_Expiration=1,IF($A160&lt;VLOOKUP(N$5,NFI,5,0),1,0)*Table_NFI[[#This Row],[Kitchen Set]],Table_NFI[Kitchen Set])</f>
        <v>0</v>
      </c>
      <c r="AF160" s="294">
        <f>IF(NFI_Expiration=1,IF($A160&lt;VLOOKUP(O$5,NFI,5,0),1,0)*Table_NFI[[#This Row],[Clothes Kit]],Table_NFI[Clothes Kit])</f>
        <v>0</v>
      </c>
      <c r="AG160" s="294">
        <f>IF(NFI_Expiration=1,IF($A160&lt;VLOOKUP(P$5,NFI,5,0),1,0)*Table_NFI[[#This Row],[Plastic Bucket]],Table_NFI[Plastic Bucket])</f>
        <v>0</v>
      </c>
      <c r="AH160" s="294">
        <f>IF(NFI_Expiration=1,IF($A160&lt;VLOOKUP(Q$5,NFI,5,0),1,0)*Table_NFI[[#This Row],[Plastic Mat]],Table_NFI[Plastic Mat])*IF(Table_NFI[[#This Row],[Distribution Date]]&gt;"2014-04-01",1,2.5)</f>
        <v>0</v>
      </c>
      <c r="AI160" s="294">
        <f>IF(NFI_Expiration=1,IF($A160&lt;VLOOKUP(R$5,NFI,5,0),1,0)*Table_NFI[[#This Row],[Winter Clothes Adult]],Table_NFI[Winter Clothes Adult])</f>
        <v>0</v>
      </c>
      <c r="AJ160" s="294">
        <f>IF(NFI_Expiration=1,IF($A160&lt;VLOOKUP(S$5,NFI,5,0),1,0)*Table_NFI[[#This Row],[Winter Clothes Children]],Table_NFI[Winter Clothes Children])</f>
        <v>0</v>
      </c>
      <c r="AK160" s="294">
        <f>IF(NFI_Expiration=1,IF($A160&lt;VLOOKUP(T$5,NFI,5,0),1,0)*Table_NFI[[#This Row],[Winter Items Other]],Table_NFI[Winter Items Other])</f>
        <v>0</v>
      </c>
      <c r="AL160" s="294">
        <f>IF(NFI_Expiration=1,IF($A160&lt;VLOOKUP(M$5,NFI,5,0),1,0)*Table_NFI[[#This Row],[Winter Blanket]],Table_NFI[[#This Row],[Winter Blanket]])</f>
        <v>0</v>
      </c>
      <c r="AM160" s="294">
        <f>IF(Table_NFI[[#This Row],[Winter Clothes Adult]]+Table_NFI[[#This Row],[Winter Clothes Children]]+Table_NFI[[#This Row],[Winter Items Other]]+Table_NFI[[#This Row],[Winter Blanket]]&gt;0,1,0)</f>
        <v>0</v>
      </c>
      <c r="AN160" s="331">
        <f>IF(NFI_Expiration=1,IF($A160&lt;VLOOKUP(V$5,NFI,5,0),1,0)*Table_NFI[[#This Row],[Jerry Can]],Table_NFI[Jerry Can])</f>
        <v>0</v>
      </c>
      <c r="AO160" s="331">
        <f>IF(NFI_Expiration=1,IF($A160&lt;VLOOKUP(V$5,NFI,5,0),1,0)*Table_NFI[[#This Row],[Shelter Tool kit]],Table_NFI[Shelter Tool kit])</f>
        <v>0</v>
      </c>
      <c r="AP160" s="331">
        <f>IF(NFI_Expiration=1,IF($A160&lt;VLOOKUP(V$5,NFI,5,0),1,0)*Table_NFI[[#This Row],[Tent]],Table_NFI[Tent])</f>
        <v>0</v>
      </c>
      <c r="AQ160" s="473" t="str">
        <f>IFERROR(VLOOKUP(Table_NFI[[#This Row],[Camp Name]],CL,2,0),"")</f>
        <v/>
      </c>
      <c r="AR160" s="468" t="str">
        <f ca="1">IF(Table_NFI[[#This Row],[Pcode]]="","",IF(OFFSET(CampList[Opening Date],MATCH(Table_NFI[[#This Row],[Pcode]],CampList[CP_Pcode],0)-1,0,1,1)&gt;=NFI_Monitor_Date,1,0))</f>
        <v/>
      </c>
      <c r="AS160" s="670" t="str">
        <f>IFERROR(VLOOKUP(Table_NFI[[#This Row],[Camp Name]],CL,3,0),"")</f>
        <v/>
      </c>
      <c r="AT160" s="294" t="str">
        <f ca="1">IF(Table_NFI[[#This Row],[Pcode]]="","",OFFSET(CampList[Priority],MATCH(Table_NFI[[#This Row],[Pcode]],CampList[CP_Pcode],0)-1,0,1,1))</f>
        <v/>
      </c>
      <c r="AU160" s="293" t="str">
        <f>IFERROR(Table_NFI[[#This Row],[Kitchen Set]]/VLOOKUP(Table_NFI[[#This Row],[Camp Name]],CL,4,0),"")</f>
        <v/>
      </c>
      <c r="AV160" s="466" t="s">
        <v>1092</v>
      </c>
      <c r="AW160" s="490"/>
    </row>
    <row r="161" spans="1:49" s="98" customFormat="1" ht="14.45" customHeight="1" x14ac:dyDescent="0.25">
      <c r="A161" s="297">
        <f t="shared" si="2"/>
        <v>19.566666666666666</v>
      </c>
      <c r="B161" s="465">
        <v>42088</v>
      </c>
      <c r="C161" s="466" t="s">
        <v>905</v>
      </c>
      <c r="D161" s="467" t="s">
        <v>905</v>
      </c>
      <c r="E161" s="466" t="s">
        <v>380</v>
      </c>
      <c r="F161" s="290" t="s">
        <v>185</v>
      </c>
      <c r="G161" s="290" t="s">
        <v>1437</v>
      </c>
      <c r="H161" s="291"/>
      <c r="I161" s="291"/>
      <c r="J161" s="292"/>
      <c r="K161" s="291"/>
      <c r="L161" s="292"/>
      <c r="M161" s="292"/>
      <c r="N161" s="292"/>
      <c r="O161" s="292"/>
      <c r="P161" s="294"/>
      <c r="Q161" s="294"/>
      <c r="R161" s="294"/>
      <c r="S161" s="294"/>
      <c r="T161" s="294"/>
      <c r="U161" s="294"/>
      <c r="V161" s="431"/>
      <c r="W161" s="294">
        <v>3</v>
      </c>
      <c r="X161" s="294"/>
      <c r="Y161" s="294">
        <f>IF(NFI_Expiration=1,IF($A161&lt;VLOOKUP(H$5,NFI,5,0),1,0)*Table_NFI[[#This Row],[Hygiene Kit]],Table_NFI[Hygiene Kit])</f>
        <v>0</v>
      </c>
      <c r="Z161" s="294">
        <f>IF(NFI_Expiration=1,IF($A161&lt;VLOOKUP(I$5,NFI,5,0),1,0)*Table_NFI[[#This Row],[NFI Core Kit]],Table_NFI[NFI Core Kit])</f>
        <v>0</v>
      </c>
      <c r="AA161" s="294">
        <f>IF(NFI_Expiration=1,IF($A161&lt;VLOOKUP(J$5,NFI,5,0),1,0)*Table_NFI[[#This Row],[Sanitary Kit]],Table_NFI[Sanitary Kit])</f>
        <v>0</v>
      </c>
      <c r="AB161" s="294">
        <f>IF(NFI_Expiration=1,IF($A161&lt;VLOOKUP(K$5,NFI,5,0),1,0)*Table_NFI[[#This Row],[Mosquito net]],Table_NFI[Mosquito net])</f>
        <v>0</v>
      </c>
      <c r="AC161" s="294">
        <f>IF(NFI_Expiration=1,IF($A161&lt;VLOOKUP(L$5,NFI,5,0),1,0)*Table_NFI[[#This Row],[Tarpaulin]],Table_NFI[[#This Row],[Tarpaulin]])</f>
        <v>0</v>
      </c>
      <c r="AD161" s="294">
        <f>IF(NFI_Expiration=1,IF($A161&lt;VLOOKUP(M$5,NFI,5,0),1,0)*Table_NFI[[#This Row],[Blanket]],Table_NFI[[#This Row],[Blanket]])</f>
        <v>0</v>
      </c>
      <c r="AE161" s="294">
        <f>IF(NFI_Expiration=1,IF($A161&lt;VLOOKUP(N$5,NFI,5,0),1,0)*Table_NFI[[#This Row],[Kitchen Set]],Table_NFI[Kitchen Set])</f>
        <v>0</v>
      </c>
      <c r="AF161" s="294">
        <f>IF(NFI_Expiration=1,IF($A161&lt;VLOOKUP(O$5,NFI,5,0),1,0)*Table_NFI[[#This Row],[Clothes Kit]],Table_NFI[Clothes Kit])</f>
        <v>0</v>
      </c>
      <c r="AG161" s="294">
        <f>IF(NFI_Expiration=1,IF($A161&lt;VLOOKUP(P$5,NFI,5,0),1,0)*Table_NFI[[#This Row],[Plastic Bucket]],Table_NFI[Plastic Bucket])</f>
        <v>0</v>
      </c>
      <c r="AH161" s="294">
        <f>IF(NFI_Expiration=1,IF($A161&lt;VLOOKUP(Q$5,NFI,5,0),1,0)*Table_NFI[[#This Row],[Plastic Mat]],Table_NFI[Plastic Mat])*IF(Table_NFI[[#This Row],[Distribution Date]]&gt;"2014-04-01",1,2.5)</f>
        <v>0</v>
      </c>
      <c r="AI161" s="294">
        <f>IF(NFI_Expiration=1,IF($A161&lt;VLOOKUP(R$5,NFI,5,0),1,0)*Table_NFI[[#This Row],[Winter Clothes Adult]],Table_NFI[Winter Clothes Adult])</f>
        <v>0</v>
      </c>
      <c r="AJ161" s="294">
        <f>IF(NFI_Expiration=1,IF($A161&lt;VLOOKUP(S$5,NFI,5,0),1,0)*Table_NFI[[#This Row],[Winter Clothes Children]],Table_NFI[Winter Clothes Children])</f>
        <v>0</v>
      </c>
      <c r="AK161" s="294">
        <f>IF(NFI_Expiration=1,IF($A161&lt;VLOOKUP(T$5,NFI,5,0),1,0)*Table_NFI[[#This Row],[Winter Items Other]],Table_NFI[Winter Items Other])</f>
        <v>0</v>
      </c>
      <c r="AL161" s="294">
        <f>IF(NFI_Expiration=1,IF($A161&lt;VLOOKUP(M$5,NFI,5,0),1,0)*Table_NFI[[#This Row],[Winter Blanket]],Table_NFI[[#This Row],[Winter Blanket]])</f>
        <v>0</v>
      </c>
      <c r="AM161" s="294">
        <f>IF(Table_NFI[[#This Row],[Winter Clothes Adult]]+Table_NFI[[#This Row],[Winter Clothes Children]]+Table_NFI[[#This Row],[Winter Items Other]]+Table_NFI[[#This Row],[Winter Blanket]]&gt;0,1,0)</f>
        <v>0</v>
      </c>
      <c r="AN161" s="331">
        <f>IF(NFI_Expiration=1,IF($A161&lt;VLOOKUP(V$5,NFI,5,0),1,0)*Table_NFI[[#This Row],[Jerry Can]],Table_NFI[Jerry Can])</f>
        <v>0</v>
      </c>
      <c r="AO161" s="331">
        <f>IF(NFI_Expiration=1,IF($A161&lt;VLOOKUP(V$5,NFI,5,0),1,0)*Table_NFI[[#This Row],[Shelter Tool kit]],Table_NFI[Shelter Tool kit])</f>
        <v>0</v>
      </c>
      <c r="AP161" s="331">
        <f>IF(NFI_Expiration=1,IF($A161&lt;VLOOKUP(V$5,NFI,5,0),1,0)*Table_NFI[[#This Row],[Tent]],Table_NFI[Tent])</f>
        <v>0</v>
      </c>
      <c r="AQ161" s="473" t="str">
        <f>IFERROR(VLOOKUP(Table_NFI[[#This Row],[Camp Name]],CL,2,0),"")</f>
        <v/>
      </c>
      <c r="AR161" s="468" t="str">
        <f ca="1">IF(Table_NFI[[#This Row],[Pcode]]="","",IF(OFFSET(CampList[Opening Date],MATCH(Table_NFI[[#This Row],[Pcode]],CampList[CP_Pcode],0)-1,0,1,1)&gt;=NFI_Monitor_Date,1,0))</f>
        <v/>
      </c>
      <c r="AS161" s="670" t="str">
        <f>IFERROR(VLOOKUP(Table_NFI[[#This Row],[Camp Name]],CL,3,0),"")</f>
        <v/>
      </c>
      <c r="AT161" s="294" t="str">
        <f ca="1">IF(Table_NFI[[#This Row],[Pcode]]="","",OFFSET(CampList[Priority],MATCH(Table_NFI[[#This Row],[Pcode]],CampList[CP_Pcode],0)-1,0,1,1))</f>
        <v/>
      </c>
      <c r="AU161" s="293" t="str">
        <f>IFERROR(Table_NFI[[#This Row],[Kitchen Set]]/VLOOKUP(Table_NFI[[#This Row],[Camp Name]],CL,4,0),"")</f>
        <v/>
      </c>
      <c r="AV161" s="466"/>
      <c r="AW161" s="469"/>
    </row>
    <row r="162" spans="1:49" s="98" customFormat="1" ht="14.45" customHeight="1" x14ac:dyDescent="0.25">
      <c r="A162" s="297">
        <f t="shared" si="2"/>
        <v>19.566666666666666</v>
      </c>
      <c r="B162" s="465">
        <v>42088</v>
      </c>
      <c r="C162" s="466" t="s">
        <v>452</v>
      </c>
      <c r="D162" s="466" t="s">
        <v>452</v>
      </c>
      <c r="E162" s="466" t="s">
        <v>380</v>
      </c>
      <c r="F162" s="466" t="s">
        <v>5</v>
      </c>
      <c r="G162" s="290" t="s">
        <v>1330</v>
      </c>
      <c r="H162" s="291"/>
      <c r="I162" s="291"/>
      <c r="J162" s="291"/>
      <c r="K162" s="291"/>
      <c r="L162" s="292"/>
      <c r="M162" s="292"/>
      <c r="N162" s="292"/>
      <c r="O162" s="292"/>
      <c r="P162" s="294"/>
      <c r="Q162" s="294"/>
      <c r="R162" s="294">
        <v>2086</v>
      </c>
      <c r="S162" s="294">
        <v>3036</v>
      </c>
      <c r="T162" s="294"/>
      <c r="U162" s="294"/>
      <c r="V162" s="431"/>
      <c r="W162" s="294"/>
      <c r="X162" s="294"/>
      <c r="Y162" s="294">
        <f>IF(NFI_Expiration=1,IF($A162&lt;VLOOKUP(H$5,NFI,5,0),1,0)*Table_NFI[[#This Row],[Hygiene Kit]],Table_NFI[Hygiene Kit])</f>
        <v>0</v>
      </c>
      <c r="Z162" s="294">
        <f>IF(NFI_Expiration=1,IF($A162&lt;VLOOKUP(I$5,NFI,5,0),1,0)*Table_NFI[[#This Row],[NFI Core Kit]],Table_NFI[NFI Core Kit])</f>
        <v>0</v>
      </c>
      <c r="AA162" s="294">
        <f>IF(NFI_Expiration=1,IF($A162&lt;VLOOKUP(J$5,NFI,5,0),1,0)*Table_NFI[[#This Row],[Sanitary Kit]],Table_NFI[Sanitary Kit])</f>
        <v>0</v>
      </c>
      <c r="AB162" s="294">
        <f>IF(NFI_Expiration=1,IF($A162&lt;VLOOKUP(K$5,NFI,5,0),1,0)*Table_NFI[[#This Row],[Mosquito net]],Table_NFI[Mosquito net])</f>
        <v>0</v>
      </c>
      <c r="AC162" s="294">
        <f>IF(NFI_Expiration=1,IF($A162&lt;VLOOKUP(L$5,NFI,5,0),1,0)*Table_NFI[[#This Row],[Tarpaulin]],Table_NFI[[#This Row],[Tarpaulin]])</f>
        <v>0</v>
      </c>
      <c r="AD162" s="294">
        <f>IF(NFI_Expiration=1,IF($A162&lt;VLOOKUP(M$5,NFI,5,0),1,0)*Table_NFI[[#This Row],[Blanket]],Table_NFI[[#This Row],[Blanket]])</f>
        <v>0</v>
      </c>
      <c r="AE162" s="294">
        <f>IF(NFI_Expiration=1,IF($A162&lt;VLOOKUP(N$5,NFI,5,0),1,0)*Table_NFI[[#This Row],[Kitchen Set]],Table_NFI[Kitchen Set])</f>
        <v>0</v>
      </c>
      <c r="AF162" s="294">
        <f>IF(NFI_Expiration=1,IF($A162&lt;VLOOKUP(O$5,NFI,5,0),1,0)*Table_NFI[[#This Row],[Clothes Kit]],Table_NFI[Clothes Kit])</f>
        <v>0</v>
      </c>
      <c r="AG162" s="294">
        <f>IF(NFI_Expiration=1,IF($A162&lt;VLOOKUP(P$5,NFI,5,0),1,0)*Table_NFI[[#This Row],[Plastic Bucket]],Table_NFI[Plastic Bucket])</f>
        <v>0</v>
      </c>
      <c r="AH162" s="294">
        <f>IF(NFI_Expiration=1,IF($A162&lt;VLOOKUP(Q$5,NFI,5,0),1,0)*Table_NFI[[#This Row],[Plastic Mat]],Table_NFI[Plastic Mat])*IF(Table_NFI[[#This Row],[Distribution Date]]&gt;"2014-04-01",1,2.5)</f>
        <v>0</v>
      </c>
      <c r="AI162" s="294">
        <f>IF(NFI_Expiration=1,IF($A162&lt;VLOOKUP(R$5,NFI,5,0),1,0)*Table_NFI[[#This Row],[Winter Clothes Adult]],Table_NFI[Winter Clothes Adult])</f>
        <v>0</v>
      </c>
      <c r="AJ162" s="294">
        <f>IF(NFI_Expiration=1,IF($A162&lt;VLOOKUP(S$5,NFI,5,0),1,0)*Table_NFI[[#This Row],[Winter Clothes Children]],Table_NFI[Winter Clothes Children])</f>
        <v>0</v>
      </c>
      <c r="AK162" s="294">
        <f>IF(NFI_Expiration=1,IF($A162&lt;VLOOKUP(T$5,NFI,5,0),1,0)*Table_NFI[[#This Row],[Winter Items Other]],Table_NFI[Winter Items Other])</f>
        <v>0</v>
      </c>
      <c r="AL162" s="294">
        <f>IF(NFI_Expiration=1,IF($A162&lt;VLOOKUP(M$5,NFI,5,0),1,0)*Table_NFI[[#This Row],[Winter Blanket]],Table_NFI[[#This Row],[Winter Blanket]])</f>
        <v>0</v>
      </c>
      <c r="AM162" s="294">
        <f>IF(Table_NFI[[#This Row],[Winter Clothes Adult]]+Table_NFI[[#This Row],[Winter Clothes Children]]+Table_NFI[[#This Row],[Winter Items Other]]+Table_NFI[[#This Row],[Winter Blanket]]&gt;0,1,0)</f>
        <v>1</v>
      </c>
      <c r="AN162" s="331">
        <f>IF(NFI_Expiration=1,IF($A162&lt;VLOOKUP(V$5,NFI,5,0),1,0)*Table_NFI[[#This Row],[Jerry Can]],Table_NFI[Jerry Can])</f>
        <v>0</v>
      </c>
      <c r="AO162" s="331">
        <f>IF(NFI_Expiration=1,IF($A162&lt;VLOOKUP(V$5,NFI,5,0),1,0)*Table_NFI[[#This Row],[Shelter Tool kit]],Table_NFI[Shelter Tool kit])</f>
        <v>0</v>
      </c>
      <c r="AP162" s="331">
        <f>IF(NFI_Expiration=1,IF($A162&lt;VLOOKUP(V$5,NFI,5,0),1,0)*Table_NFI[[#This Row],[Tent]],Table_NFI[Tent])</f>
        <v>0</v>
      </c>
      <c r="AQ162" s="473" t="str">
        <f>IFERROR(VLOOKUP(Table_NFI[[#This Row],[Camp Name]],CL,2,0),"")</f>
        <v/>
      </c>
      <c r="AR162" s="468" t="str">
        <f ca="1">IF(Table_NFI[[#This Row],[Pcode]]="","",IF(OFFSET(CampList[Opening Date],MATCH(Table_NFI[[#This Row],[Pcode]],CampList[CP_Pcode],0)-1,0,1,1)&gt;=NFI_Monitor_Date,1,0))</f>
        <v/>
      </c>
      <c r="AS162" s="670" t="str">
        <f>IFERROR(VLOOKUP(Table_NFI[[#This Row],[Camp Name]],CL,3,0),"")</f>
        <v/>
      </c>
      <c r="AT162" s="294" t="str">
        <f ca="1">IF(Table_NFI[[#This Row],[Pcode]]="","",OFFSET(CampList[Priority],MATCH(Table_NFI[[#This Row],[Pcode]],CampList[CP_Pcode],0)-1,0,1,1))</f>
        <v/>
      </c>
      <c r="AU162" s="293" t="str">
        <f>IFERROR(Table_NFI[[#This Row],[Kitchen Set]]/VLOOKUP(Table_NFI[[#This Row],[Camp Name]],CL,4,0),"")</f>
        <v/>
      </c>
      <c r="AV162" s="466" t="s">
        <v>1092</v>
      </c>
      <c r="AW162" s="469"/>
    </row>
    <row r="163" spans="1:49" s="98" customFormat="1" ht="14.45" customHeight="1" x14ac:dyDescent="0.25">
      <c r="A163" s="297">
        <f t="shared" si="2"/>
        <v>19.566666666666666</v>
      </c>
      <c r="B163" s="465">
        <v>42088</v>
      </c>
      <c r="C163" s="466" t="s">
        <v>905</v>
      </c>
      <c r="D163" s="466" t="s">
        <v>905</v>
      </c>
      <c r="E163" s="466" t="s">
        <v>380</v>
      </c>
      <c r="F163" s="466" t="s">
        <v>185</v>
      </c>
      <c r="G163" s="290" t="s">
        <v>217</v>
      </c>
      <c r="H163" s="291"/>
      <c r="I163" s="291"/>
      <c r="J163" s="292"/>
      <c r="K163" s="291"/>
      <c r="L163" s="292"/>
      <c r="M163" s="292"/>
      <c r="N163" s="292"/>
      <c r="O163" s="292"/>
      <c r="P163" s="294"/>
      <c r="Q163" s="294"/>
      <c r="R163" s="294"/>
      <c r="S163" s="294"/>
      <c r="T163" s="294"/>
      <c r="U163" s="294"/>
      <c r="V163" s="431"/>
      <c r="W163" s="294">
        <v>1</v>
      </c>
      <c r="X163" s="294"/>
      <c r="Y163" s="294">
        <f>IF(NFI_Expiration=1,IF($A163&lt;VLOOKUP(H$5,NFI,5,0),1,0)*Table_NFI[[#This Row],[Hygiene Kit]],Table_NFI[Hygiene Kit])</f>
        <v>0</v>
      </c>
      <c r="Z163" s="294">
        <f>IF(NFI_Expiration=1,IF($A163&lt;VLOOKUP(I$5,NFI,5,0),1,0)*Table_NFI[[#This Row],[NFI Core Kit]],Table_NFI[NFI Core Kit])</f>
        <v>0</v>
      </c>
      <c r="AA163" s="294">
        <f>IF(NFI_Expiration=1,IF($A163&lt;VLOOKUP(J$5,NFI,5,0),1,0)*Table_NFI[[#This Row],[Sanitary Kit]],Table_NFI[Sanitary Kit])</f>
        <v>0</v>
      </c>
      <c r="AB163" s="294">
        <f>IF(NFI_Expiration=1,IF($A163&lt;VLOOKUP(K$5,NFI,5,0),1,0)*Table_NFI[[#This Row],[Mosquito net]],Table_NFI[Mosquito net])</f>
        <v>0</v>
      </c>
      <c r="AC163" s="294">
        <f>IF(NFI_Expiration=1,IF($A163&lt;VLOOKUP(L$5,NFI,5,0),1,0)*Table_NFI[[#This Row],[Tarpaulin]],Table_NFI[[#This Row],[Tarpaulin]])</f>
        <v>0</v>
      </c>
      <c r="AD163" s="294">
        <f>IF(NFI_Expiration=1,IF($A163&lt;VLOOKUP(M$5,NFI,5,0),1,0)*Table_NFI[[#This Row],[Blanket]],Table_NFI[[#This Row],[Blanket]])</f>
        <v>0</v>
      </c>
      <c r="AE163" s="294">
        <f>IF(NFI_Expiration=1,IF($A163&lt;VLOOKUP(N$5,NFI,5,0),1,0)*Table_NFI[[#This Row],[Kitchen Set]],Table_NFI[Kitchen Set])</f>
        <v>0</v>
      </c>
      <c r="AF163" s="294">
        <f>IF(NFI_Expiration=1,IF($A163&lt;VLOOKUP(O$5,NFI,5,0),1,0)*Table_NFI[[#This Row],[Clothes Kit]],Table_NFI[Clothes Kit])</f>
        <v>0</v>
      </c>
      <c r="AG163" s="294">
        <f>IF(NFI_Expiration=1,IF($A163&lt;VLOOKUP(P$5,NFI,5,0),1,0)*Table_NFI[[#This Row],[Plastic Bucket]],Table_NFI[Plastic Bucket])</f>
        <v>0</v>
      </c>
      <c r="AH163" s="294">
        <f>IF(NFI_Expiration=1,IF($A163&lt;VLOOKUP(Q$5,NFI,5,0),1,0)*Table_NFI[[#This Row],[Plastic Mat]],Table_NFI[Plastic Mat])*IF(Table_NFI[[#This Row],[Distribution Date]]&gt;"2014-04-01",1,2.5)</f>
        <v>0</v>
      </c>
      <c r="AI163" s="294">
        <f>IF(NFI_Expiration=1,IF($A163&lt;VLOOKUP(R$5,NFI,5,0),1,0)*Table_NFI[[#This Row],[Winter Clothes Adult]],Table_NFI[Winter Clothes Adult])</f>
        <v>0</v>
      </c>
      <c r="AJ163" s="294">
        <f>IF(NFI_Expiration=1,IF($A163&lt;VLOOKUP(S$5,NFI,5,0),1,0)*Table_NFI[[#This Row],[Winter Clothes Children]],Table_NFI[Winter Clothes Children])</f>
        <v>0</v>
      </c>
      <c r="AK163" s="294">
        <f>IF(NFI_Expiration=1,IF($A163&lt;VLOOKUP(T$5,NFI,5,0),1,0)*Table_NFI[[#This Row],[Winter Items Other]],Table_NFI[Winter Items Other])</f>
        <v>0</v>
      </c>
      <c r="AL163" s="294">
        <f>IF(NFI_Expiration=1,IF($A163&lt;VLOOKUP(M$5,NFI,5,0),1,0)*Table_NFI[[#This Row],[Winter Blanket]],Table_NFI[[#This Row],[Winter Blanket]])</f>
        <v>0</v>
      </c>
      <c r="AM163" s="294">
        <f>IF(Table_NFI[[#This Row],[Winter Clothes Adult]]+Table_NFI[[#This Row],[Winter Clothes Children]]+Table_NFI[[#This Row],[Winter Items Other]]+Table_NFI[[#This Row],[Winter Blanket]]&gt;0,1,0)</f>
        <v>0</v>
      </c>
      <c r="AN163" s="331">
        <f>IF(NFI_Expiration=1,IF($A163&lt;VLOOKUP(V$5,NFI,5,0),1,0)*Table_NFI[[#This Row],[Jerry Can]],Table_NFI[Jerry Can])</f>
        <v>0</v>
      </c>
      <c r="AO163" s="331">
        <f>IF(NFI_Expiration=1,IF($A163&lt;VLOOKUP(V$5,NFI,5,0),1,0)*Table_NFI[[#This Row],[Shelter Tool kit]],Table_NFI[Shelter Tool kit])</f>
        <v>0</v>
      </c>
      <c r="AP163" s="331">
        <f>IF(NFI_Expiration=1,IF($A163&lt;VLOOKUP(V$5,NFI,5,0),1,0)*Table_NFI[[#This Row],[Tent]],Table_NFI[Tent])</f>
        <v>0</v>
      </c>
      <c r="AQ163" s="473" t="str">
        <f>IFERROR(VLOOKUP(Table_NFI[[#This Row],[Camp Name]],CL,2,0),"")</f>
        <v>MMR001CMP059</v>
      </c>
      <c r="AR163" s="468">
        <f ca="1">IF(Table_NFI[[#This Row],[Pcode]]="","",IF(OFFSET(CampList[Opening Date],MATCH(Table_NFI[[#This Row],[Pcode]],CampList[CP_Pcode],0)-1,0,1,1)&gt;=NFI_Monitor_Date,1,0))</f>
        <v>0</v>
      </c>
      <c r="AS163" s="473" t="str">
        <f>IFERROR(VLOOKUP(Table_NFI[[#This Row],[Camp Name]],CL,3,0),"")</f>
        <v>Closed</v>
      </c>
      <c r="AT163" s="294" t="str">
        <f ca="1">IF(Table_NFI[[#This Row],[Pcode]]="","",OFFSET(CampList[Priority],MATCH(Table_NFI[[#This Row],[Pcode]],CampList[CP_Pcode],0)-1,0,1,1))</f>
        <v>P4</v>
      </c>
      <c r="AU163" s="293" t="str">
        <f>IFERROR(Table_NFI[[#This Row],[Kitchen Set]]/VLOOKUP(Table_NFI[[#This Row],[Camp Name]],CL,4,0),"")</f>
        <v/>
      </c>
      <c r="AV163" s="466"/>
      <c r="AW163" s="469"/>
    </row>
    <row r="164" spans="1:49" s="98" customFormat="1" ht="14.45" customHeight="1" x14ac:dyDescent="0.25">
      <c r="A164" s="297">
        <f t="shared" si="2"/>
        <v>19.866666666666667</v>
      </c>
      <c r="B164" s="465">
        <v>42079</v>
      </c>
      <c r="C164" s="466" t="s">
        <v>452</v>
      </c>
      <c r="D164" s="466" t="s">
        <v>452</v>
      </c>
      <c r="E164" s="466" t="s">
        <v>380</v>
      </c>
      <c r="F164" s="466" t="s">
        <v>5</v>
      </c>
      <c r="G164" s="466" t="s">
        <v>1330</v>
      </c>
      <c r="H164" s="291"/>
      <c r="I164" s="291"/>
      <c r="J164" s="294"/>
      <c r="K164" s="294"/>
      <c r="L164" s="292"/>
      <c r="M164" s="292"/>
      <c r="N164" s="292"/>
      <c r="O164" s="292"/>
      <c r="P164" s="294"/>
      <c r="Q164" s="294"/>
      <c r="R164" s="294">
        <v>2460</v>
      </c>
      <c r="S164" s="294">
        <v>3600</v>
      </c>
      <c r="T164" s="294"/>
      <c r="U164" s="294"/>
      <c r="V164" s="431"/>
      <c r="W164" s="294"/>
      <c r="X164" s="294"/>
      <c r="Y164" s="294">
        <f>IF(NFI_Expiration=1,IF($A164&lt;VLOOKUP(H$5,NFI,5,0),1,0)*Table_NFI[[#This Row],[Hygiene Kit]],Table_NFI[Hygiene Kit])</f>
        <v>0</v>
      </c>
      <c r="Z164" s="294">
        <f>IF(NFI_Expiration=1,IF($A164&lt;VLOOKUP(I$5,NFI,5,0),1,0)*Table_NFI[[#This Row],[NFI Core Kit]],Table_NFI[NFI Core Kit])</f>
        <v>0</v>
      </c>
      <c r="AA164" s="294">
        <f>IF(NFI_Expiration=1,IF($A164&lt;VLOOKUP(J$5,NFI,5,0),1,0)*Table_NFI[[#This Row],[Sanitary Kit]],Table_NFI[Sanitary Kit])</f>
        <v>0</v>
      </c>
      <c r="AB164" s="294">
        <f>IF(NFI_Expiration=1,IF($A164&lt;VLOOKUP(K$5,NFI,5,0),1,0)*Table_NFI[[#This Row],[Mosquito net]],Table_NFI[Mosquito net])</f>
        <v>0</v>
      </c>
      <c r="AC164" s="294">
        <f>IF(NFI_Expiration=1,IF($A164&lt;VLOOKUP(L$5,NFI,5,0),1,0)*Table_NFI[[#This Row],[Tarpaulin]],Table_NFI[[#This Row],[Tarpaulin]])</f>
        <v>0</v>
      </c>
      <c r="AD164" s="294">
        <f>IF(NFI_Expiration=1,IF($A164&lt;VLOOKUP(M$5,NFI,5,0),1,0)*Table_NFI[[#This Row],[Blanket]],Table_NFI[[#This Row],[Blanket]])</f>
        <v>0</v>
      </c>
      <c r="AE164" s="294">
        <f>IF(NFI_Expiration=1,IF($A164&lt;VLOOKUP(N$5,NFI,5,0),1,0)*Table_NFI[[#This Row],[Kitchen Set]],Table_NFI[Kitchen Set])</f>
        <v>0</v>
      </c>
      <c r="AF164" s="294">
        <f>IF(NFI_Expiration=1,IF($A164&lt;VLOOKUP(O$5,NFI,5,0),1,0)*Table_NFI[[#This Row],[Clothes Kit]],Table_NFI[Clothes Kit])</f>
        <v>0</v>
      </c>
      <c r="AG164" s="294">
        <f>IF(NFI_Expiration=1,IF($A164&lt;VLOOKUP(P$5,NFI,5,0),1,0)*Table_NFI[[#This Row],[Plastic Bucket]],Table_NFI[Plastic Bucket])</f>
        <v>0</v>
      </c>
      <c r="AH164" s="294">
        <f>IF(NFI_Expiration=1,IF($A164&lt;VLOOKUP(Q$5,NFI,5,0),1,0)*Table_NFI[[#This Row],[Plastic Mat]],Table_NFI[Plastic Mat])*IF(Table_NFI[[#This Row],[Distribution Date]]&gt;"2014-04-01",1,2.5)</f>
        <v>0</v>
      </c>
      <c r="AI164" s="294">
        <f>IF(NFI_Expiration=1,IF($A164&lt;VLOOKUP(R$5,NFI,5,0),1,0)*Table_NFI[[#This Row],[Winter Clothes Adult]],Table_NFI[Winter Clothes Adult])</f>
        <v>0</v>
      </c>
      <c r="AJ164" s="294">
        <f>IF(NFI_Expiration=1,IF($A164&lt;VLOOKUP(S$5,NFI,5,0),1,0)*Table_NFI[[#This Row],[Winter Clothes Children]],Table_NFI[Winter Clothes Children])</f>
        <v>0</v>
      </c>
      <c r="AK164" s="294">
        <f>IF(NFI_Expiration=1,IF($A164&lt;VLOOKUP(T$5,NFI,5,0),1,0)*Table_NFI[[#This Row],[Winter Items Other]],Table_NFI[Winter Items Other])</f>
        <v>0</v>
      </c>
      <c r="AL164" s="294">
        <f>IF(NFI_Expiration=1,IF($A164&lt;VLOOKUP(M$5,NFI,5,0),1,0)*Table_NFI[[#This Row],[Winter Blanket]],Table_NFI[[#This Row],[Winter Blanket]])</f>
        <v>0</v>
      </c>
      <c r="AM164" s="294">
        <f>IF(Table_NFI[[#This Row],[Winter Clothes Adult]]+Table_NFI[[#This Row],[Winter Clothes Children]]+Table_NFI[[#This Row],[Winter Items Other]]+Table_NFI[[#This Row],[Winter Blanket]]&gt;0,1,0)</f>
        <v>1</v>
      </c>
      <c r="AN164" s="331">
        <f>IF(NFI_Expiration=1,IF($A164&lt;VLOOKUP(V$5,NFI,5,0),1,0)*Table_NFI[[#This Row],[Jerry Can]],Table_NFI[Jerry Can])</f>
        <v>0</v>
      </c>
      <c r="AO164" s="331">
        <f>IF(NFI_Expiration=1,IF($A164&lt;VLOOKUP(V$5,NFI,5,0),1,0)*Table_NFI[[#This Row],[Shelter Tool kit]],Table_NFI[Shelter Tool kit])</f>
        <v>0</v>
      </c>
      <c r="AP164" s="331">
        <f>IF(NFI_Expiration=1,IF($A164&lt;VLOOKUP(V$5,NFI,5,0),1,0)*Table_NFI[[#This Row],[Tent]],Table_NFI[Tent])</f>
        <v>0</v>
      </c>
      <c r="AQ164" s="473" t="str">
        <f>IFERROR(VLOOKUP(Table_NFI[[#This Row],[Camp Name]],CL,2,0),"")</f>
        <v/>
      </c>
      <c r="AR164" s="468" t="str">
        <f ca="1">IF(Table_NFI[[#This Row],[Pcode]]="","",IF(OFFSET(CampList[Opening Date],MATCH(Table_NFI[[#This Row],[Pcode]],CampList[CP_Pcode],0)-1,0,1,1)&gt;=NFI_Monitor_Date,1,0))</f>
        <v/>
      </c>
      <c r="AS164" s="670" t="str">
        <f>IFERROR(VLOOKUP(Table_NFI[[#This Row],[Camp Name]],CL,3,0),"")</f>
        <v/>
      </c>
      <c r="AT164" s="294" t="str">
        <f ca="1">IF(Table_NFI[[#This Row],[Pcode]]="","",OFFSET(CampList[Priority],MATCH(Table_NFI[[#This Row],[Pcode]],CampList[CP_Pcode],0)-1,0,1,1))</f>
        <v/>
      </c>
      <c r="AU164" s="293" t="str">
        <f>IFERROR(Table_NFI[[#This Row],[Kitchen Set]]/VLOOKUP(Table_NFI[[#This Row],[Camp Name]],CL,4,0),"")</f>
        <v/>
      </c>
      <c r="AV164" s="466" t="s">
        <v>1092</v>
      </c>
      <c r="AW164" s="469"/>
    </row>
    <row r="165" spans="1:49" s="98" customFormat="1" ht="14.45" customHeight="1" x14ac:dyDescent="0.25">
      <c r="A165" s="297">
        <f t="shared" si="2"/>
        <v>19.966666666666665</v>
      </c>
      <c r="B165" s="465">
        <v>42076</v>
      </c>
      <c r="C165" s="471" t="s">
        <v>452</v>
      </c>
      <c r="D165" s="471" t="s">
        <v>506</v>
      </c>
      <c r="E165" s="471" t="s">
        <v>380</v>
      </c>
      <c r="F165" s="471" t="s">
        <v>310</v>
      </c>
      <c r="G165" s="471" t="s">
        <v>330</v>
      </c>
      <c r="H165" s="292"/>
      <c r="I165" s="292"/>
      <c r="J165" s="292"/>
      <c r="K165" s="292"/>
      <c r="L165" s="292">
        <v>1</v>
      </c>
      <c r="M165" s="292"/>
      <c r="N165" s="292"/>
      <c r="O165" s="292"/>
      <c r="P165" s="294"/>
      <c r="Q165" s="294"/>
      <c r="R165" s="294"/>
      <c r="S165" s="294"/>
      <c r="T165" s="294"/>
      <c r="U165" s="294"/>
      <c r="V165" s="431"/>
      <c r="W165" s="294"/>
      <c r="X165" s="294"/>
      <c r="Y165" s="294">
        <f>IF(NFI_Expiration=1,IF($A165&lt;VLOOKUP(H$5,NFI,5,0),1,0)*Table_NFI[[#This Row],[Hygiene Kit]],Table_NFI[Hygiene Kit])</f>
        <v>0</v>
      </c>
      <c r="Z165" s="294">
        <f>IF(NFI_Expiration=1,IF($A165&lt;VLOOKUP(I$5,NFI,5,0),1,0)*Table_NFI[[#This Row],[NFI Core Kit]],Table_NFI[NFI Core Kit])</f>
        <v>0</v>
      </c>
      <c r="AA165" s="294">
        <f>IF(NFI_Expiration=1,IF($A165&lt;VLOOKUP(J$5,NFI,5,0),1,0)*Table_NFI[[#This Row],[Sanitary Kit]],Table_NFI[Sanitary Kit])</f>
        <v>0</v>
      </c>
      <c r="AB165" s="294">
        <f>IF(NFI_Expiration=1,IF($A165&lt;VLOOKUP(K$5,NFI,5,0),1,0)*Table_NFI[[#This Row],[Mosquito net]],Table_NFI[Mosquito net])</f>
        <v>0</v>
      </c>
      <c r="AC165" s="294">
        <f>IF(NFI_Expiration=1,IF($A165&lt;VLOOKUP(L$5,NFI,5,0),1,0)*Table_NFI[[#This Row],[Tarpaulin]],Table_NFI[[#This Row],[Tarpaulin]])</f>
        <v>0</v>
      </c>
      <c r="AD165" s="294">
        <f>IF(NFI_Expiration=1,IF($A165&lt;VLOOKUP(M$5,NFI,5,0),1,0)*Table_NFI[[#This Row],[Blanket]],Table_NFI[[#This Row],[Blanket]])</f>
        <v>0</v>
      </c>
      <c r="AE165" s="294">
        <f>IF(NFI_Expiration=1,IF($A165&lt;VLOOKUP(N$5,NFI,5,0),1,0)*Table_NFI[[#This Row],[Kitchen Set]],Table_NFI[Kitchen Set])</f>
        <v>0</v>
      </c>
      <c r="AF165" s="294">
        <f>IF(NFI_Expiration=1,IF($A165&lt;VLOOKUP(O$5,NFI,5,0),1,0)*Table_NFI[[#This Row],[Clothes Kit]],Table_NFI[Clothes Kit])</f>
        <v>0</v>
      </c>
      <c r="AG165" s="294">
        <f>IF(NFI_Expiration=1,IF($A165&lt;VLOOKUP(P$5,NFI,5,0),1,0)*Table_NFI[[#This Row],[Plastic Bucket]],Table_NFI[Plastic Bucket])</f>
        <v>0</v>
      </c>
      <c r="AH165" s="294">
        <f>IF(NFI_Expiration=1,IF($A165&lt;VLOOKUP(Q$5,NFI,5,0),1,0)*Table_NFI[[#This Row],[Plastic Mat]],Table_NFI[Plastic Mat])*IF(Table_NFI[[#This Row],[Distribution Date]]&gt;"2014-04-01",1,2.5)</f>
        <v>0</v>
      </c>
      <c r="AI165" s="294">
        <f>IF(NFI_Expiration=1,IF($A165&lt;VLOOKUP(R$5,NFI,5,0),1,0)*Table_NFI[[#This Row],[Winter Clothes Adult]],Table_NFI[Winter Clothes Adult])</f>
        <v>0</v>
      </c>
      <c r="AJ165" s="294">
        <f>IF(NFI_Expiration=1,IF($A165&lt;VLOOKUP(S$5,NFI,5,0),1,0)*Table_NFI[[#This Row],[Winter Clothes Children]],Table_NFI[Winter Clothes Children])</f>
        <v>0</v>
      </c>
      <c r="AK165" s="294">
        <f>IF(NFI_Expiration=1,IF($A165&lt;VLOOKUP(T$5,NFI,5,0),1,0)*Table_NFI[[#This Row],[Winter Items Other]],Table_NFI[Winter Items Other])</f>
        <v>0</v>
      </c>
      <c r="AL165" s="294">
        <f>IF(NFI_Expiration=1,IF($A165&lt;VLOOKUP(M$5,NFI,5,0),1,0)*Table_NFI[[#This Row],[Winter Blanket]],Table_NFI[[#This Row],[Winter Blanket]])</f>
        <v>0</v>
      </c>
      <c r="AM165" s="294">
        <f>IF(Table_NFI[[#This Row],[Winter Clothes Adult]]+Table_NFI[[#This Row],[Winter Clothes Children]]+Table_NFI[[#This Row],[Winter Items Other]]+Table_NFI[[#This Row],[Winter Blanket]]&gt;0,1,0)</f>
        <v>0</v>
      </c>
      <c r="AN165" s="331">
        <f>IF(NFI_Expiration=1,IF($A165&lt;VLOOKUP(V$5,NFI,5,0),1,0)*Table_NFI[[#This Row],[Jerry Can]],Table_NFI[Jerry Can])</f>
        <v>0</v>
      </c>
      <c r="AO165" s="331">
        <f>IF(NFI_Expiration=1,IF($A165&lt;VLOOKUP(V$5,NFI,5,0),1,0)*Table_NFI[[#This Row],[Shelter Tool kit]],Table_NFI[Shelter Tool kit])</f>
        <v>0</v>
      </c>
      <c r="AP165" s="331">
        <f>IF(NFI_Expiration=1,IF($A165&lt;VLOOKUP(V$5,NFI,5,0),1,0)*Table_NFI[[#This Row],[Tent]],Table_NFI[Tent])</f>
        <v>0</v>
      </c>
      <c r="AQ165" s="473" t="str">
        <f>IFERROR(VLOOKUP(Table_NFI[[#This Row],[Camp Name]],CL,2,0),"")</f>
        <v>MMR001CMP029</v>
      </c>
      <c r="AR165" s="468">
        <f ca="1">IF(Table_NFI[[#This Row],[Pcode]]="","",IF(OFFSET(CampList[Opening Date],MATCH(Table_NFI[[#This Row],[Pcode]],CampList[CP_Pcode],0)-1,0,1,1)&gt;=NFI_Monitor_Date,1,0))</f>
        <v>0</v>
      </c>
      <c r="AS165" s="473" t="str">
        <f>IFERROR(VLOOKUP(Table_NFI[[#This Row],[Camp Name]],CL,3,0),"")</f>
        <v>Open</v>
      </c>
      <c r="AT165" s="294" t="str">
        <f ca="1">IF(Table_NFI[[#This Row],[Pcode]]="","",OFFSET(CampList[Priority],MATCH(Table_NFI[[#This Row],[Pcode]],CampList[CP_Pcode],0)-1,0,1,1))</f>
        <v>P4</v>
      </c>
      <c r="AU165" s="293">
        <f>IFERROR(Table_NFI[[#This Row],[Kitchen Set]]/VLOOKUP(Table_NFI[[#This Row],[Camp Name]],CL,4,0),"")</f>
        <v>0</v>
      </c>
      <c r="AV165" s="466" t="s">
        <v>1092</v>
      </c>
      <c r="AW165" s="474"/>
    </row>
    <row r="166" spans="1:49" s="98" customFormat="1" ht="14.45" customHeight="1" x14ac:dyDescent="0.25">
      <c r="A166" s="297">
        <f t="shared" si="2"/>
        <v>20</v>
      </c>
      <c r="B166" s="465">
        <v>42075</v>
      </c>
      <c r="C166" s="466" t="s">
        <v>905</v>
      </c>
      <c r="D166" s="467" t="s">
        <v>905</v>
      </c>
      <c r="E166" s="466" t="s">
        <v>380</v>
      </c>
      <c r="F166" s="290" t="s">
        <v>185</v>
      </c>
      <c r="G166" s="290" t="s">
        <v>186</v>
      </c>
      <c r="H166" s="291"/>
      <c r="I166" s="291"/>
      <c r="J166" s="292"/>
      <c r="K166" s="291"/>
      <c r="L166" s="292"/>
      <c r="M166" s="292"/>
      <c r="N166" s="292"/>
      <c r="O166" s="292"/>
      <c r="P166" s="294"/>
      <c r="Q166" s="294"/>
      <c r="R166" s="294"/>
      <c r="S166" s="294"/>
      <c r="T166" s="294"/>
      <c r="U166" s="294"/>
      <c r="V166" s="431"/>
      <c r="W166" s="294">
        <v>1</v>
      </c>
      <c r="X166" s="294"/>
      <c r="Y166" s="294">
        <f>IF(NFI_Expiration=1,IF($A166&lt;VLOOKUP(H$5,NFI,5,0),1,0)*Table_NFI[[#This Row],[Hygiene Kit]],Table_NFI[Hygiene Kit])</f>
        <v>0</v>
      </c>
      <c r="Z166" s="294">
        <f>IF(NFI_Expiration=1,IF($A166&lt;VLOOKUP(I$5,NFI,5,0),1,0)*Table_NFI[[#This Row],[NFI Core Kit]],Table_NFI[NFI Core Kit])</f>
        <v>0</v>
      </c>
      <c r="AA166" s="294">
        <f>IF(NFI_Expiration=1,IF($A166&lt;VLOOKUP(J$5,NFI,5,0),1,0)*Table_NFI[[#This Row],[Sanitary Kit]],Table_NFI[Sanitary Kit])</f>
        <v>0</v>
      </c>
      <c r="AB166" s="294">
        <f>IF(NFI_Expiration=1,IF($A166&lt;VLOOKUP(K$5,NFI,5,0),1,0)*Table_NFI[[#This Row],[Mosquito net]],Table_NFI[Mosquito net])</f>
        <v>0</v>
      </c>
      <c r="AC166" s="294">
        <f>IF(NFI_Expiration=1,IF($A166&lt;VLOOKUP(L$5,NFI,5,0),1,0)*Table_NFI[[#This Row],[Tarpaulin]],Table_NFI[[#This Row],[Tarpaulin]])</f>
        <v>0</v>
      </c>
      <c r="AD166" s="294">
        <f>IF(NFI_Expiration=1,IF($A166&lt;VLOOKUP(M$5,NFI,5,0),1,0)*Table_NFI[[#This Row],[Blanket]],Table_NFI[[#This Row],[Blanket]])</f>
        <v>0</v>
      </c>
      <c r="AE166" s="294">
        <f>IF(NFI_Expiration=1,IF($A166&lt;VLOOKUP(N$5,NFI,5,0),1,0)*Table_NFI[[#This Row],[Kitchen Set]],Table_NFI[Kitchen Set])</f>
        <v>0</v>
      </c>
      <c r="AF166" s="294">
        <f>IF(NFI_Expiration=1,IF($A166&lt;VLOOKUP(O$5,NFI,5,0),1,0)*Table_NFI[[#This Row],[Clothes Kit]],Table_NFI[Clothes Kit])</f>
        <v>0</v>
      </c>
      <c r="AG166" s="294">
        <f>IF(NFI_Expiration=1,IF($A166&lt;VLOOKUP(P$5,NFI,5,0),1,0)*Table_NFI[[#This Row],[Plastic Bucket]],Table_NFI[Plastic Bucket])</f>
        <v>0</v>
      </c>
      <c r="AH166" s="294">
        <f>IF(NFI_Expiration=1,IF($A166&lt;VLOOKUP(Q$5,NFI,5,0),1,0)*Table_NFI[[#This Row],[Plastic Mat]],Table_NFI[Plastic Mat])*IF(Table_NFI[[#This Row],[Distribution Date]]&gt;"2014-04-01",1,2.5)</f>
        <v>0</v>
      </c>
      <c r="AI166" s="294">
        <f>IF(NFI_Expiration=1,IF($A166&lt;VLOOKUP(R$5,NFI,5,0),1,0)*Table_NFI[[#This Row],[Winter Clothes Adult]],Table_NFI[Winter Clothes Adult])</f>
        <v>0</v>
      </c>
      <c r="AJ166" s="294">
        <f>IF(NFI_Expiration=1,IF($A166&lt;VLOOKUP(S$5,NFI,5,0),1,0)*Table_NFI[[#This Row],[Winter Clothes Children]],Table_NFI[Winter Clothes Children])</f>
        <v>0</v>
      </c>
      <c r="AK166" s="294">
        <f>IF(NFI_Expiration=1,IF($A166&lt;VLOOKUP(T$5,NFI,5,0),1,0)*Table_NFI[[#This Row],[Winter Items Other]],Table_NFI[Winter Items Other])</f>
        <v>0</v>
      </c>
      <c r="AL166" s="294">
        <f>IF(NFI_Expiration=1,IF($A166&lt;VLOOKUP(M$5,NFI,5,0),1,0)*Table_NFI[[#This Row],[Winter Blanket]],Table_NFI[[#This Row],[Winter Blanket]])</f>
        <v>0</v>
      </c>
      <c r="AM166" s="294">
        <f>IF(Table_NFI[[#This Row],[Winter Clothes Adult]]+Table_NFI[[#This Row],[Winter Clothes Children]]+Table_NFI[[#This Row],[Winter Items Other]]+Table_NFI[[#This Row],[Winter Blanket]]&gt;0,1,0)</f>
        <v>0</v>
      </c>
      <c r="AN166" s="331">
        <f>IF(NFI_Expiration=1,IF($A166&lt;VLOOKUP(V$5,NFI,5,0),1,0)*Table_NFI[[#This Row],[Jerry Can]],Table_NFI[Jerry Can])</f>
        <v>0</v>
      </c>
      <c r="AO166" s="331">
        <f>IF(NFI_Expiration=1,IF($A166&lt;VLOOKUP(V$5,NFI,5,0),1,0)*Table_NFI[[#This Row],[Shelter Tool kit]],Table_NFI[Shelter Tool kit])</f>
        <v>0</v>
      </c>
      <c r="AP166" s="331">
        <f>IF(NFI_Expiration=1,IF($A166&lt;VLOOKUP(V$5,NFI,5,0),1,0)*Table_NFI[[#This Row],[Tent]],Table_NFI[Tent])</f>
        <v>0</v>
      </c>
      <c r="AQ166" s="473" t="str">
        <f>IFERROR(VLOOKUP(Table_NFI[[#This Row],[Camp Name]],CL,2,0),"")</f>
        <v>MMR001CMP071</v>
      </c>
      <c r="AR166" s="468">
        <f ca="1">IF(Table_NFI[[#This Row],[Pcode]]="","",IF(OFFSET(CampList[Opening Date],MATCH(Table_NFI[[#This Row],[Pcode]],CampList[CP_Pcode],0)-1,0,1,1)&gt;=NFI_Monitor_Date,1,0))</f>
        <v>0</v>
      </c>
      <c r="AS166" s="473" t="str">
        <f>IFERROR(VLOOKUP(Table_NFI[[#This Row],[Camp Name]],CL,3,0),"")</f>
        <v>Open</v>
      </c>
      <c r="AT166" s="294" t="str">
        <f ca="1">IF(Table_NFI[[#This Row],[Pcode]]="","",OFFSET(CampList[Priority],MATCH(Table_NFI[[#This Row],[Pcode]],CampList[CP_Pcode],0)-1,0,1,1))</f>
        <v>P3</v>
      </c>
      <c r="AU166" s="293">
        <f>IFERROR(Table_NFI[[#This Row],[Kitchen Set]]/VLOOKUP(Table_NFI[[#This Row],[Camp Name]],CL,4,0),"")</f>
        <v>0</v>
      </c>
      <c r="AV166" s="466"/>
      <c r="AW166" s="469"/>
    </row>
    <row r="167" spans="1:49" s="98" customFormat="1" ht="14.45" customHeight="1" x14ac:dyDescent="0.25">
      <c r="A167" s="297">
        <f t="shared" si="2"/>
        <v>20</v>
      </c>
      <c r="B167" s="465">
        <v>42075</v>
      </c>
      <c r="C167" s="466" t="s">
        <v>905</v>
      </c>
      <c r="D167" s="467" t="s">
        <v>905</v>
      </c>
      <c r="E167" s="466" t="s">
        <v>380</v>
      </c>
      <c r="F167" s="290" t="s">
        <v>185</v>
      </c>
      <c r="G167" s="290" t="s">
        <v>186</v>
      </c>
      <c r="H167" s="291"/>
      <c r="I167" s="291"/>
      <c r="J167" s="292"/>
      <c r="K167" s="291"/>
      <c r="L167" s="292"/>
      <c r="M167" s="292"/>
      <c r="N167" s="292"/>
      <c r="O167" s="292"/>
      <c r="P167" s="294"/>
      <c r="Q167" s="294"/>
      <c r="R167" s="294"/>
      <c r="S167" s="294"/>
      <c r="T167" s="294"/>
      <c r="U167" s="294"/>
      <c r="V167" s="431"/>
      <c r="W167" s="294"/>
      <c r="X167" s="294"/>
      <c r="Y167" s="294">
        <f>IF(NFI_Expiration=1,IF($A167&lt;VLOOKUP(H$5,NFI,5,0),1,0)*Table_NFI[[#This Row],[Hygiene Kit]],Table_NFI[Hygiene Kit])</f>
        <v>0</v>
      </c>
      <c r="Z167" s="294">
        <f>IF(NFI_Expiration=1,IF($A167&lt;VLOOKUP(I$5,NFI,5,0),1,0)*Table_NFI[[#This Row],[NFI Core Kit]],Table_NFI[NFI Core Kit])</f>
        <v>0</v>
      </c>
      <c r="AA167" s="294">
        <f>IF(NFI_Expiration=1,IF($A167&lt;VLOOKUP(J$5,NFI,5,0),1,0)*Table_NFI[[#This Row],[Sanitary Kit]],Table_NFI[Sanitary Kit])</f>
        <v>0</v>
      </c>
      <c r="AB167" s="294">
        <f>IF(NFI_Expiration=1,IF($A167&lt;VLOOKUP(K$5,NFI,5,0),1,0)*Table_NFI[[#This Row],[Mosquito net]],Table_NFI[Mosquito net])</f>
        <v>0</v>
      </c>
      <c r="AC167" s="294">
        <f>IF(NFI_Expiration=1,IF($A167&lt;VLOOKUP(L$5,NFI,5,0),1,0)*Table_NFI[[#This Row],[Tarpaulin]],Table_NFI[[#This Row],[Tarpaulin]])</f>
        <v>0</v>
      </c>
      <c r="AD167" s="294">
        <f>IF(NFI_Expiration=1,IF($A167&lt;VLOOKUP(M$5,NFI,5,0),1,0)*Table_NFI[[#This Row],[Blanket]],Table_NFI[[#This Row],[Blanket]])</f>
        <v>0</v>
      </c>
      <c r="AE167" s="294">
        <f>IF(NFI_Expiration=1,IF($A167&lt;VLOOKUP(N$5,NFI,5,0),1,0)*Table_NFI[[#This Row],[Kitchen Set]],Table_NFI[Kitchen Set])</f>
        <v>0</v>
      </c>
      <c r="AF167" s="294">
        <f>IF(NFI_Expiration=1,IF($A167&lt;VLOOKUP(O$5,NFI,5,0),1,0)*Table_NFI[[#This Row],[Clothes Kit]],Table_NFI[Clothes Kit])</f>
        <v>0</v>
      </c>
      <c r="AG167" s="294">
        <f>IF(NFI_Expiration=1,IF($A167&lt;VLOOKUP(P$5,NFI,5,0),1,0)*Table_NFI[[#This Row],[Plastic Bucket]],Table_NFI[Plastic Bucket])</f>
        <v>0</v>
      </c>
      <c r="AH167" s="294">
        <f>IF(NFI_Expiration=1,IF($A167&lt;VLOOKUP(Q$5,NFI,5,0),1,0)*Table_NFI[[#This Row],[Plastic Mat]],Table_NFI[Plastic Mat])*IF(Table_NFI[[#This Row],[Distribution Date]]&gt;"2014-04-01",1,2.5)</f>
        <v>0</v>
      </c>
      <c r="AI167" s="294">
        <f>IF(NFI_Expiration=1,IF($A167&lt;VLOOKUP(R$5,NFI,5,0),1,0)*Table_NFI[[#This Row],[Winter Clothes Adult]],Table_NFI[Winter Clothes Adult])</f>
        <v>0</v>
      </c>
      <c r="AJ167" s="294">
        <f>IF(NFI_Expiration=1,IF($A167&lt;VLOOKUP(S$5,NFI,5,0),1,0)*Table_NFI[[#This Row],[Winter Clothes Children]],Table_NFI[Winter Clothes Children])</f>
        <v>0</v>
      </c>
      <c r="AK167" s="294">
        <f>IF(NFI_Expiration=1,IF($A167&lt;VLOOKUP(T$5,NFI,5,0),1,0)*Table_NFI[[#This Row],[Winter Items Other]],Table_NFI[Winter Items Other])</f>
        <v>0</v>
      </c>
      <c r="AL167" s="294">
        <f>IF(NFI_Expiration=1,IF($A167&lt;VLOOKUP(M$5,NFI,5,0),1,0)*Table_NFI[[#This Row],[Winter Blanket]],Table_NFI[[#This Row],[Winter Blanket]])</f>
        <v>0</v>
      </c>
      <c r="AM167" s="294">
        <f>IF(Table_NFI[[#This Row],[Winter Clothes Adult]]+Table_NFI[[#This Row],[Winter Clothes Children]]+Table_NFI[[#This Row],[Winter Items Other]]+Table_NFI[[#This Row],[Winter Blanket]]&gt;0,1,0)</f>
        <v>0</v>
      </c>
      <c r="AN167" s="331">
        <f>IF(NFI_Expiration=1,IF($A167&lt;VLOOKUP(V$5,NFI,5,0),1,0)*Table_NFI[[#This Row],[Jerry Can]],Table_NFI[Jerry Can])</f>
        <v>0</v>
      </c>
      <c r="AO167" s="331">
        <f>IF(NFI_Expiration=1,IF($A167&lt;VLOOKUP(V$5,NFI,5,0),1,0)*Table_NFI[[#This Row],[Shelter Tool kit]],Table_NFI[Shelter Tool kit])</f>
        <v>0</v>
      </c>
      <c r="AP167" s="331">
        <f>IF(NFI_Expiration=1,IF($A167&lt;VLOOKUP(V$5,NFI,5,0),1,0)*Table_NFI[[#This Row],[Tent]],Table_NFI[Tent])</f>
        <v>0</v>
      </c>
      <c r="AQ167" s="473" t="str">
        <f>IFERROR(VLOOKUP(Table_NFI[[#This Row],[Camp Name]],CL,2,0),"")</f>
        <v>MMR001CMP071</v>
      </c>
      <c r="AR167" s="468">
        <f ca="1">IF(Table_NFI[[#This Row],[Pcode]]="","",IF(OFFSET(CampList[Opening Date],MATCH(Table_NFI[[#This Row],[Pcode]],CampList[CP_Pcode],0)-1,0,1,1)&gt;=NFI_Monitor_Date,1,0))</f>
        <v>0</v>
      </c>
      <c r="AS167" s="473" t="str">
        <f>IFERROR(VLOOKUP(Table_NFI[[#This Row],[Camp Name]],CL,3,0),"")</f>
        <v>Open</v>
      </c>
      <c r="AT167" s="294" t="str">
        <f ca="1">IF(Table_NFI[[#This Row],[Pcode]]="","",OFFSET(CampList[Priority],MATCH(Table_NFI[[#This Row],[Pcode]],CampList[CP_Pcode],0)-1,0,1,1))</f>
        <v>P3</v>
      </c>
      <c r="AU167" s="293">
        <f>IFERROR(Table_NFI[[#This Row],[Kitchen Set]]/VLOOKUP(Table_NFI[[#This Row],[Camp Name]],CL,4,0),"")</f>
        <v>0</v>
      </c>
      <c r="AV167" s="466"/>
      <c r="AW167" s="469"/>
    </row>
    <row r="168" spans="1:49" s="98" customFormat="1" ht="14.45" customHeight="1" x14ac:dyDescent="0.25">
      <c r="A168" s="297">
        <f t="shared" si="2"/>
        <v>20</v>
      </c>
      <c r="B168" s="465">
        <v>42075</v>
      </c>
      <c r="C168" s="466" t="s">
        <v>905</v>
      </c>
      <c r="D168" s="467" t="s">
        <v>905</v>
      </c>
      <c r="E168" s="466" t="s">
        <v>380</v>
      </c>
      <c r="F168" s="290" t="s">
        <v>185</v>
      </c>
      <c r="G168" s="290" t="s">
        <v>223</v>
      </c>
      <c r="H168" s="291"/>
      <c r="I168" s="291"/>
      <c r="J168" s="292"/>
      <c r="K168" s="291"/>
      <c r="L168" s="292"/>
      <c r="M168" s="292"/>
      <c r="N168" s="292"/>
      <c r="O168" s="292"/>
      <c r="P168" s="294"/>
      <c r="Q168" s="294"/>
      <c r="R168" s="294"/>
      <c r="S168" s="294"/>
      <c r="T168" s="294"/>
      <c r="U168" s="294"/>
      <c r="V168" s="431"/>
      <c r="W168" s="294">
        <v>2</v>
      </c>
      <c r="X168" s="294"/>
      <c r="Y168" s="294">
        <f>IF(NFI_Expiration=1,IF($A168&lt;VLOOKUP(H$5,NFI,5,0),1,0)*Table_NFI[[#This Row],[Hygiene Kit]],Table_NFI[Hygiene Kit])</f>
        <v>0</v>
      </c>
      <c r="Z168" s="294">
        <f>IF(NFI_Expiration=1,IF($A168&lt;VLOOKUP(I$5,NFI,5,0),1,0)*Table_NFI[[#This Row],[NFI Core Kit]],Table_NFI[NFI Core Kit])</f>
        <v>0</v>
      </c>
      <c r="AA168" s="294">
        <f>IF(NFI_Expiration=1,IF($A168&lt;VLOOKUP(J$5,NFI,5,0),1,0)*Table_NFI[[#This Row],[Sanitary Kit]],Table_NFI[Sanitary Kit])</f>
        <v>0</v>
      </c>
      <c r="AB168" s="294">
        <f>IF(NFI_Expiration=1,IF($A168&lt;VLOOKUP(K$5,NFI,5,0),1,0)*Table_NFI[[#This Row],[Mosquito net]],Table_NFI[Mosquito net])</f>
        <v>0</v>
      </c>
      <c r="AC168" s="294">
        <f>IF(NFI_Expiration=1,IF($A168&lt;VLOOKUP(L$5,NFI,5,0),1,0)*Table_NFI[[#This Row],[Tarpaulin]],Table_NFI[[#This Row],[Tarpaulin]])</f>
        <v>0</v>
      </c>
      <c r="AD168" s="294">
        <f>IF(NFI_Expiration=1,IF($A168&lt;VLOOKUP(M$5,NFI,5,0),1,0)*Table_NFI[[#This Row],[Blanket]],Table_NFI[[#This Row],[Blanket]])</f>
        <v>0</v>
      </c>
      <c r="AE168" s="294">
        <f>IF(NFI_Expiration=1,IF($A168&lt;VLOOKUP(N$5,NFI,5,0),1,0)*Table_NFI[[#This Row],[Kitchen Set]],Table_NFI[Kitchen Set])</f>
        <v>0</v>
      </c>
      <c r="AF168" s="294">
        <f>IF(NFI_Expiration=1,IF($A168&lt;VLOOKUP(O$5,NFI,5,0),1,0)*Table_NFI[[#This Row],[Clothes Kit]],Table_NFI[Clothes Kit])</f>
        <v>0</v>
      </c>
      <c r="AG168" s="294">
        <f>IF(NFI_Expiration=1,IF($A168&lt;VLOOKUP(P$5,NFI,5,0),1,0)*Table_NFI[[#This Row],[Plastic Bucket]],Table_NFI[Plastic Bucket])</f>
        <v>0</v>
      </c>
      <c r="AH168" s="294">
        <f>IF(NFI_Expiration=1,IF($A168&lt;VLOOKUP(Q$5,NFI,5,0),1,0)*Table_NFI[[#This Row],[Plastic Mat]],Table_NFI[Plastic Mat])*IF(Table_NFI[[#This Row],[Distribution Date]]&gt;"2014-04-01",1,2.5)</f>
        <v>0</v>
      </c>
      <c r="AI168" s="294">
        <f>IF(NFI_Expiration=1,IF($A168&lt;VLOOKUP(R$5,NFI,5,0),1,0)*Table_NFI[[#This Row],[Winter Clothes Adult]],Table_NFI[Winter Clothes Adult])</f>
        <v>0</v>
      </c>
      <c r="AJ168" s="294">
        <f>IF(NFI_Expiration=1,IF($A168&lt;VLOOKUP(S$5,NFI,5,0),1,0)*Table_NFI[[#This Row],[Winter Clothes Children]],Table_NFI[Winter Clothes Children])</f>
        <v>0</v>
      </c>
      <c r="AK168" s="294">
        <f>IF(NFI_Expiration=1,IF($A168&lt;VLOOKUP(T$5,NFI,5,0),1,0)*Table_NFI[[#This Row],[Winter Items Other]],Table_NFI[Winter Items Other])</f>
        <v>0</v>
      </c>
      <c r="AL168" s="294">
        <f>IF(NFI_Expiration=1,IF($A168&lt;VLOOKUP(M$5,NFI,5,0),1,0)*Table_NFI[[#This Row],[Winter Blanket]],Table_NFI[[#This Row],[Winter Blanket]])</f>
        <v>0</v>
      </c>
      <c r="AM168" s="294">
        <f>IF(Table_NFI[[#This Row],[Winter Clothes Adult]]+Table_NFI[[#This Row],[Winter Clothes Children]]+Table_NFI[[#This Row],[Winter Items Other]]+Table_NFI[[#This Row],[Winter Blanket]]&gt;0,1,0)</f>
        <v>0</v>
      </c>
      <c r="AN168" s="331">
        <f>IF(NFI_Expiration=1,IF($A168&lt;VLOOKUP(V$5,NFI,5,0),1,0)*Table_NFI[[#This Row],[Jerry Can]],Table_NFI[Jerry Can])</f>
        <v>0</v>
      </c>
      <c r="AO168" s="331">
        <f>IF(NFI_Expiration=1,IF($A168&lt;VLOOKUP(V$5,NFI,5,0),1,0)*Table_NFI[[#This Row],[Shelter Tool kit]],Table_NFI[Shelter Tool kit])</f>
        <v>0</v>
      </c>
      <c r="AP168" s="331">
        <f>IF(NFI_Expiration=1,IF($A168&lt;VLOOKUP(V$5,NFI,5,0),1,0)*Table_NFI[[#This Row],[Tent]],Table_NFI[Tent])</f>
        <v>0</v>
      </c>
      <c r="AQ168" s="473" t="str">
        <f>IFERROR(VLOOKUP(Table_NFI[[#This Row],[Camp Name]],CL,2,0),"")</f>
        <v>MMR001CMP069</v>
      </c>
      <c r="AR168" s="468">
        <f ca="1">IF(Table_NFI[[#This Row],[Pcode]]="","",IF(OFFSET(CampList[Opening Date],MATCH(Table_NFI[[#This Row],[Pcode]],CampList[CP_Pcode],0)-1,0,1,1)&gt;=NFI_Monitor_Date,1,0))</f>
        <v>0</v>
      </c>
      <c r="AS168" s="473" t="str">
        <f>IFERROR(VLOOKUP(Table_NFI[[#This Row],[Camp Name]],CL,3,0),"")</f>
        <v>Open</v>
      </c>
      <c r="AT168" s="294" t="str">
        <f ca="1">IF(Table_NFI[[#This Row],[Pcode]]="","",OFFSET(CampList[Priority],MATCH(Table_NFI[[#This Row],[Pcode]],CampList[CP_Pcode],0)-1,0,1,1))</f>
        <v>P3</v>
      </c>
      <c r="AU168" s="293">
        <f>IFERROR(Table_NFI[[#This Row],[Kitchen Set]]/VLOOKUP(Table_NFI[[#This Row],[Camp Name]],CL,4,0),"")</f>
        <v>0</v>
      </c>
      <c r="AV168" s="466"/>
      <c r="AW168" s="469"/>
    </row>
    <row r="169" spans="1:49" s="98" customFormat="1" x14ac:dyDescent="0.25">
      <c r="A169" s="297">
        <f t="shared" si="2"/>
        <v>20</v>
      </c>
      <c r="B169" s="465">
        <v>42075</v>
      </c>
      <c r="C169" s="466" t="s">
        <v>905</v>
      </c>
      <c r="D169" s="467" t="s">
        <v>905</v>
      </c>
      <c r="E169" s="466" t="s">
        <v>380</v>
      </c>
      <c r="F169" s="290" t="s">
        <v>185</v>
      </c>
      <c r="G169" s="290" t="s">
        <v>190</v>
      </c>
      <c r="H169" s="291"/>
      <c r="I169" s="291"/>
      <c r="J169" s="292"/>
      <c r="K169" s="291"/>
      <c r="L169" s="292"/>
      <c r="M169" s="292"/>
      <c r="N169" s="292"/>
      <c r="O169" s="292"/>
      <c r="P169" s="294"/>
      <c r="Q169" s="294"/>
      <c r="R169" s="294"/>
      <c r="S169" s="294"/>
      <c r="T169" s="294"/>
      <c r="U169" s="294"/>
      <c r="V169" s="431"/>
      <c r="W169" s="294">
        <v>5</v>
      </c>
      <c r="X169" s="294"/>
      <c r="Y169" s="294">
        <f>IF(NFI_Expiration=1,IF($A169&lt;VLOOKUP(H$5,NFI,5,0),1,0)*Table_NFI[[#This Row],[Hygiene Kit]],Table_NFI[Hygiene Kit])</f>
        <v>0</v>
      </c>
      <c r="Z169" s="294">
        <f>IF(NFI_Expiration=1,IF($A169&lt;VLOOKUP(I$5,NFI,5,0),1,0)*Table_NFI[[#This Row],[NFI Core Kit]],Table_NFI[NFI Core Kit])</f>
        <v>0</v>
      </c>
      <c r="AA169" s="294">
        <f>IF(NFI_Expiration=1,IF($A169&lt;VLOOKUP(J$5,NFI,5,0),1,0)*Table_NFI[[#This Row],[Sanitary Kit]],Table_NFI[Sanitary Kit])</f>
        <v>0</v>
      </c>
      <c r="AB169" s="294">
        <f>IF(NFI_Expiration=1,IF($A169&lt;VLOOKUP(K$5,NFI,5,0),1,0)*Table_NFI[[#This Row],[Mosquito net]],Table_NFI[Mosquito net])</f>
        <v>0</v>
      </c>
      <c r="AC169" s="294">
        <f>IF(NFI_Expiration=1,IF($A169&lt;VLOOKUP(L$5,NFI,5,0),1,0)*Table_NFI[[#This Row],[Tarpaulin]],Table_NFI[[#This Row],[Tarpaulin]])</f>
        <v>0</v>
      </c>
      <c r="AD169" s="294">
        <f>IF(NFI_Expiration=1,IF($A169&lt;VLOOKUP(M$5,NFI,5,0),1,0)*Table_NFI[[#This Row],[Blanket]],Table_NFI[[#This Row],[Blanket]])</f>
        <v>0</v>
      </c>
      <c r="AE169" s="294">
        <f>IF(NFI_Expiration=1,IF($A169&lt;VLOOKUP(N$5,NFI,5,0),1,0)*Table_NFI[[#This Row],[Kitchen Set]],Table_NFI[Kitchen Set])</f>
        <v>0</v>
      </c>
      <c r="AF169" s="294">
        <f>IF(NFI_Expiration=1,IF($A169&lt;VLOOKUP(O$5,NFI,5,0),1,0)*Table_NFI[[#This Row],[Clothes Kit]],Table_NFI[Clothes Kit])</f>
        <v>0</v>
      </c>
      <c r="AG169" s="294">
        <f>IF(NFI_Expiration=1,IF($A169&lt;VLOOKUP(P$5,NFI,5,0),1,0)*Table_NFI[[#This Row],[Plastic Bucket]],Table_NFI[Plastic Bucket])</f>
        <v>0</v>
      </c>
      <c r="AH169" s="294">
        <f>IF(NFI_Expiration=1,IF($A169&lt;VLOOKUP(Q$5,NFI,5,0),1,0)*Table_NFI[[#This Row],[Plastic Mat]],Table_NFI[Plastic Mat])*IF(Table_NFI[[#This Row],[Distribution Date]]&gt;"2014-04-01",1,2.5)</f>
        <v>0</v>
      </c>
      <c r="AI169" s="294">
        <f>IF(NFI_Expiration=1,IF($A169&lt;VLOOKUP(R$5,NFI,5,0),1,0)*Table_NFI[[#This Row],[Winter Clothes Adult]],Table_NFI[Winter Clothes Adult])</f>
        <v>0</v>
      </c>
      <c r="AJ169" s="294">
        <f>IF(NFI_Expiration=1,IF($A169&lt;VLOOKUP(S$5,NFI,5,0),1,0)*Table_NFI[[#This Row],[Winter Clothes Children]],Table_NFI[Winter Clothes Children])</f>
        <v>0</v>
      </c>
      <c r="AK169" s="294">
        <f>IF(NFI_Expiration=1,IF($A169&lt;VLOOKUP(T$5,NFI,5,0),1,0)*Table_NFI[[#This Row],[Winter Items Other]],Table_NFI[Winter Items Other])</f>
        <v>0</v>
      </c>
      <c r="AL169" s="294">
        <f>IF(NFI_Expiration=1,IF($A169&lt;VLOOKUP(M$5,NFI,5,0),1,0)*Table_NFI[[#This Row],[Winter Blanket]],Table_NFI[[#This Row],[Winter Blanket]])</f>
        <v>0</v>
      </c>
      <c r="AM169" s="294">
        <f>IF(Table_NFI[[#This Row],[Winter Clothes Adult]]+Table_NFI[[#This Row],[Winter Clothes Children]]+Table_NFI[[#This Row],[Winter Items Other]]+Table_NFI[[#This Row],[Winter Blanket]]&gt;0,1,0)</f>
        <v>0</v>
      </c>
      <c r="AN169" s="331">
        <f>IF(NFI_Expiration=1,IF($A169&lt;VLOOKUP(V$5,NFI,5,0),1,0)*Table_NFI[[#This Row],[Jerry Can]],Table_NFI[Jerry Can])</f>
        <v>0</v>
      </c>
      <c r="AO169" s="331">
        <f>IF(NFI_Expiration=1,IF($A169&lt;VLOOKUP(V$5,NFI,5,0),1,0)*Table_NFI[[#This Row],[Shelter Tool kit]],Table_NFI[Shelter Tool kit])</f>
        <v>0</v>
      </c>
      <c r="AP169" s="331">
        <f>IF(NFI_Expiration=1,IF($A169&lt;VLOOKUP(V$5,NFI,5,0),1,0)*Table_NFI[[#This Row],[Tent]],Table_NFI[Tent])</f>
        <v>0</v>
      </c>
      <c r="AQ169" s="473" t="str">
        <f>IFERROR(VLOOKUP(Table_NFI[[#This Row],[Camp Name]],CL,2,0),"")</f>
        <v>MMR001CMP070</v>
      </c>
      <c r="AR169" s="468">
        <f ca="1">IF(Table_NFI[[#This Row],[Pcode]]="","",IF(OFFSET(CampList[Opening Date],MATCH(Table_NFI[[#This Row],[Pcode]],CampList[CP_Pcode],0)-1,0,1,1)&gt;=NFI_Monitor_Date,1,0))</f>
        <v>0</v>
      </c>
      <c r="AS169" s="473" t="str">
        <f>IFERROR(VLOOKUP(Table_NFI[[#This Row],[Camp Name]],CL,3,0),"")</f>
        <v>Open</v>
      </c>
      <c r="AT169" s="294" t="str">
        <f ca="1">IF(Table_NFI[[#This Row],[Pcode]]="","",OFFSET(CampList[Priority],MATCH(Table_NFI[[#This Row],[Pcode]],CampList[CP_Pcode],0)-1,0,1,1))</f>
        <v>P3</v>
      </c>
      <c r="AU169" s="293">
        <f>IFERROR(Table_NFI[[#This Row],[Kitchen Set]]/VLOOKUP(Table_NFI[[#This Row],[Camp Name]],CL,4,0),"")</f>
        <v>0</v>
      </c>
      <c r="AV169" s="466"/>
      <c r="AW169" s="469"/>
    </row>
    <row r="170" spans="1:49" s="98" customFormat="1" x14ac:dyDescent="0.25">
      <c r="A170" s="297">
        <f t="shared" si="2"/>
        <v>20</v>
      </c>
      <c r="B170" s="465">
        <v>42075</v>
      </c>
      <c r="C170" s="466" t="s">
        <v>905</v>
      </c>
      <c r="D170" s="466" t="s">
        <v>905</v>
      </c>
      <c r="E170" s="466" t="s">
        <v>380</v>
      </c>
      <c r="F170" s="466" t="s">
        <v>5</v>
      </c>
      <c r="G170" s="466" t="s">
        <v>366</v>
      </c>
      <c r="H170" s="291"/>
      <c r="I170" s="291"/>
      <c r="J170" s="291"/>
      <c r="K170" s="291"/>
      <c r="L170" s="292"/>
      <c r="M170" s="292"/>
      <c r="N170" s="292"/>
      <c r="O170" s="292"/>
      <c r="P170" s="294"/>
      <c r="Q170" s="294"/>
      <c r="R170" s="294"/>
      <c r="S170" s="294"/>
      <c r="T170" s="294"/>
      <c r="U170" s="294"/>
      <c r="V170" s="431"/>
      <c r="W170" s="294">
        <v>7</v>
      </c>
      <c r="X170" s="294"/>
      <c r="Y170" s="294">
        <f>IF(NFI_Expiration=1,IF($A170&lt;VLOOKUP(H$5,NFI,5,0),1,0)*Table_NFI[[#This Row],[Hygiene Kit]],Table_NFI[Hygiene Kit])</f>
        <v>0</v>
      </c>
      <c r="Z170" s="294">
        <f>IF(NFI_Expiration=1,IF($A170&lt;VLOOKUP(I$5,NFI,5,0),1,0)*Table_NFI[[#This Row],[NFI Core Kit]],Table_NFI[NFI Core Kit])</f>
        <v>0</v>
      </c>
      <c r="AA170" s="294">
        <f>IF(NFI_Expiration=1,IF($A170&lt;VLOOKUP(J$5,NFI,5,0),1,0)*Table_NFI[[#This Row],[Sanitary Kit]],Table_NFI[Sanitary Kit])</f>
        <v>0</v>
      </c>
      <c r="AB170" s="294">
        <f>IF(NFI_Expiration=1,IF($A170&lt;VLOOKUP(K$5,NFI,5,0),1,0)*Table_NFI[[#This Row],[Mosquito net]],Table_NFI[Mosquito net])</f>
        <v>0</v>
      </c>
      <c r="AC170" s="294">
        <f>IF(NFI_Expiration=1,IF($A170&lt;VLOOKUP(L$5,NFI,5,0),1,0)*Table_NFI[[#This Row],[Tarpaulin]],Table_NFI[[#This Row],[Tarpaulin]])</f>
        <v>0</v>
      </c>
      <c r="AD170" s="294">
        <f>IF(NFI_Expiration=1,IF($A170&lt;VLOOKUP(M$5,NFI,5,0),1,0)*Table_NFI[[#This Row],[Blanket]],Table_NFI[[#This Row],[Blanket]])</f>
        <v>0</v>
      </c>
      <c r="AE170" s="294">
        <f>IF(NFI_Expiration=1,IF($A170&lt;VLOOKUP(N$5,NFI,5,0),1,0)*Table_NFI[[#This Row],[Kitchen Set]],Table_NFI[Kitchen Set])</f>
        <v>0</v>
      </c>
      <c r="AF170" s="294">
        <f>IF(NFI_Expiration=1,IF($A170&lt;VLOOKUP(O$5,NFI,5,0),1,0)*Table_NFI[[#This Row],[Clothes Kit]],Table_NFI[Clothes Kit])</f>
        <v>0</v>
      </c>
      <c r="AG170" s="294">
        <f>IF(NFI_Expiration=1,IF($A170&lt;VLOOKUP(P$5,NFI,5,0),1,0)*Table_NFI[[#This Row],[Plastic Bucket]],Table_NFI[Plastic Bucket])</f>
        <v>0</v>
      </c>
      <c r="AH170" s="294">
        <f>IF(NFI_Expiration=1,IF($A170&lt;VLOOKUP(Q$5,NFI,5,0),1,0)*Table_NFI[[#This Row],[Plastic Mat]],Table_NFI[Plastic Mat])*IF(Table_NFI[[#This Row],[Distribution Date]]&gt;"2014-04-01",1,2.5)</f>
        <v>0</v>
      </c>
      <c r="AI170" s="294">
        <f>IF(NFI_Expiration=1,IF($A170&lt;VLOOKUP(R$5,NFI,5,0),1,0)*Table_NFI[[#This Row],[Winter Clothes Adult]],Table_NFI[Winter Clothes Adult])</f>
        <v>0</v>
      </c>
      <c r="AJ170" s="294">
        <f>IF(NFI_Expiration=1,IF($A170&lt;VLOOKUP(S$5,NFI,5,0),1,0)*Table_NFI[[#This Row],[Winter Clothes Children]],Table_NFI[Winter Clothes Children])</f>
        <v>0</v>
      </c>
      <c r="AK170" s="294">
        <f>IF(NFI_Expiration=1,IF($A170&lt;VLOOKUP(T$5,NFI,5,0),1,0)*Table_NFI[[#This Row],[Winter Items Other]],Table_NFI[Winter Items Other])</f>
        <v>0</v>
      </c>
      <c r="AL170" s="294">
        <f>IF(NFI_Expiration=1,IF($A170&lt;VLOOKUP(M$5,NFI,5,0),1,0)*Table_NFI[[#This Row],[Winter Blanket]],Table_NFI[[#This Row],[Winter Blanket]])</f>
        <v>0</v>
      </c>
      <c r="AM170" s="294">
        <f>IF(Table_NFI[[#This Row],[Winter Clothes Adult]]+Table_NFI[[#This Row],[Winter Clothes Children]]+Table_NFI[[#This Row],[Winter Items Other]]+Table_NFI[[#This Row],[Winter Blanket]]&gt;0,1,0)</f>
        <v>0</v>
      </c>
      <c r="AN170" s="331">
        <f>IF(NFI_Expiration=1,IF($A170&lt;VLOOKUP(V$5,NFI,5,0),1,0)*Table_NFI[[#This Row],[Jerry Can]],Table_NFI[Jerry Can])</f>
        <v>0</v>
      </c>
      <c r="AO170" s="331">
        <f>IF(NFI_Expiration=1,IF($A170&lt;VLOOKUP(V$5,NFI,5,0),1,0)*Table_NFI[[#This Row],[Shelter Tool kit]],Table_NFI[Shelter Tool kit])</f>
        <v>0</v>
      </c>
      <c r="AP170" s="331">
        <f>IF(NFI_Expiration=1,IF($A170&lt;VLOOKUP(V$5,NFI,5,0),1,0)*Table_NFI[[#This Row],[Tent]],Table_NFI[Tent])</f>
        <v>0</v>
      </c>
      <c r="AQ170" s="473" t="str">
        <f>IFERROR(VLOOKUP(Table_NFI[[#This Row],[Camp Name]],CL,2,0),"")</f>
        <v>MMR001CMP193</v>
      </c>
      <c r="AR170" s="468">
        <f ca="1">IF(Table_NFI[[#This Row],[Pcode]]="","",IF(OFFSET(CampList[Opening Date],MATCH(Table_NFI[[#This Row],[Pcode]],CampList[CP_Pcode],0)-1,0,1,1)&gt;=NFI_Monitor_Date,1,0))</f>
        <v>0</v>
      </c>
      <c r="AS170" s="473" t="str">
        <f>IFERROR(VLOOKUP(Table_NFI[[#This Row],[Camp Name]],CL,3,0),"")</f>
        <v>Open</v>
      </c>
      <c r="AT170" s="294" t="str">
        <f ca="1">IF(Table_NFI[[#This Row],[Pcode]]="","",OFFSET(CampList[Priority],MATCH(Table_NFI[[#This Row],[Pcode]],CampList[CP_Pcode],0)-1,0,1,1))</f>
        <v>P4</v>
      </c>
      <c r="AU170" s="293">
        <f>IFERROR(Table_NFI[[#This Row],[Kitchen Set]]/VLOOKUP(Table_NFI[[#This Row],[Camp Name]],CL,4,0),"")</f>
        <v>0</v>
      </c>
      <c r="AV170" s="466"/>
      <c r="AW170" s="469"/>
    </row>
    <row r="171" spans="1:49" s="98" customFormat="1" ht="14.45" customHeight="1" x14ac:dyDescent="0.2">
      <c r="A171" s="297">
        <f t="shared" si="2"/>
        <v>20</v>
      </c>
      <c r="B171" s="465">
        <v>42075</v>
      </c>
      <c r="C171" s="466" t="s">
        <v>905</v>
      </c>
      <c r="D171" s="467" t="s">
        <v>905</v>
      </c>
      <c r="E171" s="466" t="s">
        <v>380</v>
      </c>
      <c r="F171" s="290" t="s">
        <v>5</v>
      </c>
      <c r="G171" s="290" t="s">
        <v>22</v>
      </c>
      <c r="H171" s="291"/>
      <c r="I171" s="291"/>
      <c r="J171" s="291"/>
      <c r="K171" s="291"/>
      <c r="L171" s="292"/>
      <c r="M171" s="292"/>
      <c r="N171" s="292"/>
      <c r="O171" s="292"/>
      <c r="P171" s="294"/>
      <c r="Q171" s="294"/>
      <c r="R171" s="294"/>
      <c r="S171" s="294"/>
      <c r="T171" s="294"/>
      <c r="U171" s="294"/>
      <c r="V171" s="431"/>
      <c r="W171" s="585">
        <v>11</v>
      </c>
      <c r="X171" s="294"/>
      <c r="Y171" s="294">
        <f>IF(NFI_Expiration=1,IF($A171&lt;VLOOKUP(H$5,NFI,5,0),1,0)*Table_NFI[[#This Row],[Hygiene Kit]],Table_NFI[Hygiene Kit])</f>
        <v>0</v>
      </c>
      <c r="Z171" s="294">
        <f>IF(NFI_Expiration=1,IF($A171&lt;VLOOKUP(I$5,NFI,5,0),1,0)*Table_NFI[[#This Row],[NFI Core Kit]],Table_NFI[NFI Core Kit])</f>
        <v>0</v>
      </c>
      <c r="AA171" s="294">
        <f>IF(NFI_Expiration=1,IF($A171&lt;VLOOKUP(J$5,NFI,5,0),1,0)*Table_NFI[[#This Row],[Sanitary Kit]],Table_NFI[Sanitary Kit])</f>
        <v>0</v>
      </c>
      <c r="AB171" s="294">
        <f>IF(NFI_Expiration=1,IF($A171&lt;VLOOKUP(K$5,NFI,5,0),1,0)*Table_NFI[[#This Row],[Mosquito net]],Table_NFI[Mosquito net])</f>
        <v>0</v>
      </c>
      <c r="AC171" s="294">
        <f>IF(NFI_Expiration=1,IF($A171&lt;VLOOKUP(L$5,NFI,5,0),1,0)*Table_NFI[[#This Row],[Tarpaulin]],Table_NFI[[#This Row],[Tarpaulin]])</f>
        <v>0</v>
      </c>
      <c r="AD171" s="294">
        <f>IF(NFI_Expiration=1,IF($A171&lt;VLOOKUP(M$5,NFI,5,0),1,0)*Table_NFI[[#This Row],[Blanket]],Table_NFI[[#This Row],[Blanket]])</f>
        <v>0</v>
      </c>
      <c r="AE171" s="294">
        <f>IF(NFI_Expiration=1,IF($A171&lt;VLOOKUP(N$5,NFI,5,0),1,0)*Table_NFI[[#This Row],[Kitchen Set]],Table_NFI[Kitchen Set])</f>
        <v>0</v>
      </c>
      <c r="AF171" s="294">
        <f>IF(NFI_Expiration=1,IF($A171&lt;VLOOKUP(O$5,NFI,5,0),1,0)*Table_NFI[[#This Row],[Clothes Kit]],Table_NFI[Clothes Kit])</f>
        <v>0</v>
      </c>
      <c r="AG171" s="294">
        <f>IF(NFI_Expiration=1,IF($A171&lt;VLOOKUP(P$5,NFI,5,0),1,0)*Table_NFI[[#This Row],[Plastic Bucket]],Table_NFI[Plastic Bucket])</f>
        <v>0</v>
      </c>
      <c r="AH171" s="294">
        <f>IF(NFI_Expiration=1,IF($A171&lt;VLOOKUP(Q$5,NFI,5,0),1,0)*Table_NFI[[#This Row],[Plastic Mat]],Table_NFI[Plastic Mat])*IF(Table_NFI[[#This Row],[Distribution Date]]&gt;"2014-04-01",1,2.5)</f>
        <v>0</v>
      </c>
      <c r="AI171" s="294">
        <f>IF(NFI_Expiration=1,IF($A171&lt;VLOOKUP(R$5,NFI,5,0),1,0)*Table_NFI[[#This Row],[Winter Clothes Adult]],Table_NFI[Winter Clothes Adult])</f>
        <v>0</v>
      </c>
      <c r="AJ171" s="294">
        <f>IF(NFI_Expiration=1,IF($A171&lt;VLOOKUP(S$5,NFI,5,0),1,0)*Table_NFI[[#This Row],[Winter Clothes Children]],Table_NFI[Winter Clothes Children])</f>
        <v>0</v>
      </c>
      <c r="AK171" s="294">
        <f>IF(NFI_Expiration=1,IF($A171&lt;VLOOKUP(T$5,NFI,5,0),1,0)*Table_NFI[[#This Row],[Winter Items Other]],Table_NFI[Winter Items Other])</f>
        <v>0</v>
      </c>
      <c r="AL171" s="294">
        <f>IF(NFI_Expiration=1,IF($A171&lt;VLOOKUP(M$5,NFI,5,0),1,0)*Table_NFI[[#This Row],[Winter Blanket]],Table_NFI[[#This Row],[Winter Blanket]])</f>
        <v>0</v>
      </c>
      <c r="AM171" s="294">
        <f>IF(Table_NFI[[#This Row],[Winter Clothes Adult]]+Table_NFI[[#This Row],[Winter Clothes Children]]+Table_NFI[[#This Row],[Winter Items Other]]+Table_NFI[[#This Row],[Winter Blanket]]&gt;0,1,0)</f>
        <v>0</v>
      </c>
      <c r="AN171" s="331">
        <f>IF(NFI_Expiration=1,IF($A171&lt;VLOOKUP(V$5,NFI,5,0),1,0)*Table_NFI[[#This Row],[Jerry Can]],Table_NFI[Jerry Can])</f>
        <v>0</v>
      </c>
      <c r="AO171" s="331">
        <f>IF(NFI_Expiration=1,IF($A171&lt;VLOOKUP(V$5,NFI,5,0),1,0)*Table_NFI[[#This Row],[Shelter Tool kit]],Table_NFI[Shelter Tool kit])</f>
        <v>0</v>
      </c>
      <c r="AP171" s="331">
        <f>IF(NFI_Expiration=1,IF($A171&lt;VLOOKUP(V$5,NFI,5,0),1,0)*Table_NFI[[#This Row],[Tent]],Table_NFI[Tent])</f>
        <v>0</v>
      </c>
      <c r="AQ171" s="473" t="str">
        <f>IFERROR(VLOOKUP(Table_NFI[[#This Row],[Camp Name]],CL,2,0),"")</f>
        <v>MMR001CMP047</v>
      </c>
      <c r="AR171" s="468">
        <f ca="1">IF(Table_NFI[[#This Row],[Pcode]]="","",IF(OFFSET(CampList[Opening Date],MATCH(Table_NFI[[#This Row],[Pcode]],CampList[CP_Pcode],0)-1,0,1,1)&gt;=NFI_Monitor_Date,1,0))</f>
        <v>0</v>
      </c>
      <c r="AS171" s="473" t="str">
        <f>IFERROR(VLOOKUP(Table_NFI[[#This Row],[Camp Name]],CL,3,0),"")</f>
        <v>Open</v>
      </c>
      <c r="AT171" s="294" t="str">
        <f ca="1">IF(Table_NFI[[#This Row],[Pcode]]="","",OFFSET(CampList[Priority],MATCH(Table_NFI[[#This Row],[Pcode]],CampList[CP_Pcode],0)-1,0,1,1))</f>
        <v>P4</v>
      </c>
      <c r="AU171" s="293">
        <f>IFERROR(Table_NFI[[#This Row],[Kitchen Set]]/VLOOKUP(Table_NFI[[#This Row],[Camp Name]],CL,4,0),"")</f>
        <v>0</v>
      </c>
      <c r="AV171" s="466"/>
      <c r="AW171" s="469"/>
    </row>
    <row r="172" spans="1:49" s="98" customFormat="1" ht="14.45" customHeight="1" x14ac:dyDescent="0.25">
      <c r="A172" s="297">
        <f t="shared" si="2"/>
        <v>20</v>
      </c>
      <c r="B172" s="465">
        <v>42075</v>
      </c>
      <c r="C172" s="466" t="s">
        <v>905</v>
      </c>
      <c r="D172" s="467" t="s">
        <v>905</v>
      </c>
      <c r="E172" s="466" t="s">
        <v>380</v>
      </c>
      <c r="F172" s="290" t="s">
        <v>185</v>
      </c>
      <c r="G172" s="290" t="s">
        <v>225</v>
      </c>
      <c r="H172" s="291"/>
      <c r="I172" s="291"/>
      <c r="J172" s="292"/>
      <c r="K172" s="291"/>
      <c r="L172" s="292"/>
      <c r="M172" s="292"/>
      <c r="N172" s="292"/>
      <c r="O172" s="292"/>
      <c r="P172" s="294"/>
      <c r="Q172" s="294"/>
      <c r="R172" s="294"/>
      <c r="S172" s="294"/>
      <c r="T172" s="294"/>
      <c r="U172" s="294"/>
      <c r="V172" s="431"/>
      <c r="W172" s="294">
        <v>4</v>
      </c>
      <c r="X172" s="294"/>
      <c r="Y172" s="294">
        <f>IF(NFI_Expiration=1,IF($A172&lt;VLOOKUP(H$5,NFI,5,0),1,0)*Table_NFI[[#This Row],[Hygiene Kit]],Table_NFI[Hygiene Kit])</f>
        <v>0</v>
      </c>
      <c r="Z172" s="294">
        <f>IF(NFI_Expiration=1,IF($A172&lt;VLOOKUP(I$5,NFI,5,0),1,0)*Table_NFI[[#This Row],[NFI Core Kit]],Table_NFI[NFI Core Kit])</f>
        <v>0</v>
      </c>
      <c r="AA172" s="294">
        <f>IF(NFI_Expiration=1,IF($A172&lt;VLOOKUP(J$5,NFI,5,0),1,0)*Table_NFI[[#This Row],[Sanitary Kit]],Table_NFI[Sanitary Kit])</f>
        <v>0</v>
      </c>
      <c r="AB172" s="294">
        <f>IF(NFI_Expiration=1,IF($A172&lt;VLOOKUP(K$5,NFI,5,0),1,0)*Table_NFI[[#This Row],[Mosquito net]],Table_NFI[Mosquito net])</f>
        <v>0</v>
      </c>
      <c r="AC172" s="294">
        <f>IF(NFI_Expiration=1,IF($A172&lt;VLOOKUP(L$5,NFI,5,0),1,0)*Table_NFI[[#This Row],[Tarpaulin]],Table_NFI[[#This Row],[Tarpaulin]])</f>
        <v>0</v>
      </c>
      <c r="AD172" s="294">
        <f>IF(NFI_Expiration=1,IF($A172&lt;VLOOKUP(M$5,NFI,5,0),1,0)*Table_NFI[[#This Row],[Blanket]],Table_NFI[[#This Row],[Blanket]])</f>
        <v>0</v>
      </c>
      <c r="AE172" s="294">
        <f>IF(NFI_Expiration=1,IF($A172&lt;VLOOKUP(N$5,NFI,5,0),1,0)*Table_NFI[[#This Row],[Kitchen Set]],Table_NFI[Kitchen Set])</f>
        <v>0</v>
      </c>
      <c r="AF172" s="294">
        <f>IF(NFI_Expiration=1,IF($A172&lt;VLOOKUP(O$5,NFI,5,0),1,0)*Table_NFI[[#This Row],[Clothes Kit]],Table_NFI[Clothes Kit])</f>
        <v>0</v>
      </c>
      <c r="AG172" s="294">
        <f>IF(NFI_Expiration=1,IF($A172&lt;VLOOKUP(P$5,NFI,5,0),1,0)*Table_NFI[[#This Row],[Plastic Bucket]],Table_NFI[Plastic Bucket])</f>
        <v>0</v>
      </c>
      <c r="AH172" s="294">
        <f>IF(NFI_Expiration=1,IF($A172&lt;VLOOKUP(Q$5,NFI,5,0),1,0)*Table_NFI[[#This Row],[Plastic Mat]],Table_NFI[Plastic Mat])*IF(Table_NFI[[#This Row],[Distribution Date]]&gt;"2014-04-01",1,2.5)</f>
        <v>0</v>
      </c>
      <c r="AI172" s="294">
        <f>IF(NFI_Expiration=1,IF($A172&lt;VLOOKUP(R$5,NFI,5,0),1,0)*Table_NFI[[#This Row],[Winter Clothes Adult]],Table_NFI[Winter Clothes Adult])</f>
        <v>0</v>
      </c>
      <c r="AJ172" s="294">
        <f>IF(NFI_Expiration=1,IF($A172&lt;VLOOKUP(S$5,NFI,5,0),1,0)*Table_NFI[[#This Row],[Winter Clothes Children]],Table_NFI[Winter Clothes Children])</f>
        <v>0</v>
      </c>
      <c r="AK172" s="294">
        <f>IF(NFI_Expiration=1,IF($A172&lt;VLOOKUP(T$5,NFI,5,0),1,0)*Table_NFI[[#This Row],[Winter Items Other]],Table_NFI[Winter Items Other])</f>
        <v>0</v>
      </c>
      <c r="AL172" s="294">
        <f>IF(NFI_Expiration=1,IF($A172&lt;VLOOKUP(M$5,NFI,5,0),1,0)*Table_NFI[[#This Row],[Winter Blanket]],Table_NFI[[#This Row],[Winter Blanket]])</f>
        <v>0</v>
      </c>
      <c r="AM172" s="294">
        <f>IF(Table_NFI[[#This Row],[Winter Clothes Adult]]+Table_NFI[[#This Row],[Winter Clothes Children]]+Table_NFI[[#This Row],[Winter Items Other]]+Table_NFI[[#This Row],[Winter Blanket]]&gt;0,1,0)</f>
        <v>0</v>
      </c>
      <c r="AN172" s="331">
        <f>IF(NFI_Expiration=1,IF($A172&lt;VLOOKUP(V$5,NFI,5,0),1,0)*Table_NFI[[#This Row],[Jerry Can]],Table_NFI[Jerry Can])</f>
        <v>0</v>
      </c>
      <c r="AO172" s="331">
        <f>IF(NFI_Expiration=1,IF($A172&lt;VLOOKUP(V$5,NFI,5,0),1,0)*Table_NFI[[#This Row],[Shelter Tool kit]],Table_NFI[Shelter Tool kit])</f>
        <v>0</v>
      </c>
      <c r="AP172" s="331">
        <f>IF(NFI_Expiration=1,IF($A172&lt;VLOOKUP(V$5,NFI,5,0),1,0)*Table_NFI[[#This Row],[Tent]],Table_NFI[Tent])</f>
        <v>0</v>
      </c>
      <c r="AQ172" s="473" t="str">
        <f>IFERROR(VLOOKUP(Table_NFI[[#This Row],[Camp Name]],CL,2,0),"")</f>
        <v>MMR001CMP073</v>
      </c>
      <c r="AR172" s="468">
        <f ca="1">IF(Table_NFI[[#This Row],[Pcode]]="","",IF(OFFSET(CampList[Opening Date],MATCH(Table_NFI[[#This Row],[Pcode]],CampList[CP_Pcode],0)-1,0,1,1)&gt;=NFI_Monitor_Date,1,0))</f>
        <v>0</v>
      </c>
      <c r="AS172" s="473" t="str">
        <f>IFERROR(VLOOKUP(Table_NFI[[#This Row],[Camp Name]],CL,3,0),"")</f>
        <v>Open</v>
      </c>
      <c r="AT172" s="294" t="str">
        <f ca="1">IF(Table_NFI[[#This Row],[Pcode]]="","",OFFSET(CampList[Priority],MATCH(Table_NFI[[#This Row],[Pcode]],CampList[CP_Pcode],0)-1,0,1,1))</f>
        <v>P3</v>
      </c>
      <c r="AU172" s="293">
        <f>IFERROR(Table_NFI[[#This Row],[Kitchen Set]]/VLOOKUP(Table_NFI[[#This Row],[Camp Name]],CL,4,0),"")</f>
        <v>0</v>
      </c>
      <c r="AV172" s="466"/>
      <c r="AW172" s="469"/>
    </row>
    <row r="173" spans="1:49" s="98" customFormat="1" ht="14.45" customHeight="1" x14ac:dyDescent="0.25">
      <c r="A173" s="297">
        <f t="shared" si="2"/>
        <v>20.066666666666666</v>
      </c>
      <c r="B173" s="465">
        <v>42073</v>
      </c>
      <c r="C173" s="466" t="s">
        <v>905</v>
      </c>
      <c r="D173" s="466" t="s">
        <v>905</v>
      </c>
      <c r="E173" s="466" t="s">
        <v>380</v>
      </c>
      <c r="F173" s="290" t="s">
        <v>185</v>
      </c>
      <c r="G173" s="290" t="s">
        <v>229</v>
      </c>
      <c r="H173" s="291"/>
      <c r="I173" s="291"/>
      <c r="J173" s="292"/>
      <c r="K173" s="291"/>
      <c r="L173" s="292"/>
      <c r="M173" s="292"/>
      <c r="N173" s="292"/>
      <c r="O173" s="292"/>
      <c r="P173" s="294"/>
      <c r="Q173" s="294"/>
      <c r="R173" s="294"/>
      <c r="S173" s="294"/>
      <c r="T173" s="294"/>
      <c r="U173" s="294"/>
      <c r="V173" s="431"/>
      <c r="W173" s="294">
        <v>2</v>
      </c>
      <c r="X173" s="294"/>
      <c r="Y173" s="294">
        <f>IF(NFI_Expiration=1,IF($A173&lt;VLOOKUP(H$5,NFI,5,0),1,0)*Table_NFI[[#This Row],[Hygiene Kit]],Table_NFI[Hygiene Kit])</f>
        <v>0</v>
      </c>
      <c r="Z173" s="294">
        <f>IF(NFI_Expiration=1,IF($A173&lt;VLOOKUP(I$5,NFI,5,0),1,0)*Table_NFI[[#This Row],[NFI Core Kit]],Table_NFI[NFI Core Kit])</f>
        <v>0</v>
      </c>
      <c r="AA173" s="294">
        <f>IF(NFI_Expiration=1,IF($A173&lt;VLOOKUP(J$5,NFI,5,0),1,0)*Table_NFI[[#This Row],[Sanitary Kit]],Table_NFI[Sanitary Kit])</f>
        <v>0</v>
      </c>
      <c r="AB173" s="294">
        <f>IF(NFI_Expiration=1,IF($A173&lt;VLOOKUP(K$5,NFI,5,0),1,0)*Table_NFI[[#This Row],[Mosquito net]],Table_NFI[Mosquito net])</f>
        <v>0</v>
      </c>
      <c r="AC173" s="294">
        <f>IF(NFI_Expiration=1,IF($A173&lt;VLOOKUP(L$5,NFI,5,0),1,0)*Table_NFI[[#This Row],[Tarpaulin]],Table_NFI[[#This Row],[Tarpaulin]])</f>
        <v>0</v>
      </c>
      <c r="AD173" s="294">
        <f>IF(NFI_Expiration=1,IF($A173&lt;VLOOKUP(M$5,NFI,5,0),1,0)*Table_NFI[[#This Row],[Blanket]],Table_NFI[[#This Row],[Blanket]])</f>
        <v>0</v>
      </c>
      <c r="AE173" s="294">
        <f>IF(NFI_Expiration=1,IF($A173&lt;VLOOKUP(N$5,NFI,5,0),1,0)*Table_NFI[[#This Row],[Kitchen Set]],Table_NFI[Kitchen Set])</f>
        <v>0</v>
      </c>
      <c r="AF173" s="294">
        <f>IF(NFI_Expiration=1,IF($A173&lt;VLOOKUP(O$5,NFI,5,0),1,0)*Table_NFI[[#This Row],[Clothes Kit]],Table_NFI[Clothes Kit])</f>
        <v>0</v>
      </c>
      <c r="AG173" s="294">
        <f>IF(NFI_Expiration=1,IF($A173&lt;VLOOKUP(P$5,NFI,5,0),1,0)*Table_NFI[[#This Row],[Plastic Bucket]],Table_NFI[Plastic Bucket])</f>
        <v>0</v>
      </c>
      <c r="AH173" s="294">
        <f>IF(NFI_Expiration=1,IF($A173&lt;VLOOKUP(Q$5,NFI,5,0),1,0)*Table_NFI[[#This Row],[Plastic Mat]],Table_NFI[Plastic Mat])*IF(Table_NFI[[#This Row],[Distribution Date]]&gt;"2014-04-01",1,2.5)</f>
        <v>0</v>
      </c>
      <c r="AI173" s="294">
        <f>IF(NFI_Expiration=1,IF($A173&lt;VLOOKUP(R$5,NFI,5,0),1,0)*Table_NFI[[#This Row],[Winter Clothes Adult]],Table_NFI[Winter Clothes Adult])</f>
        <v>0</v>
      </c>
      <c r="AJ173" s="294">
        <f>IF(NFI_Expiration=1,IF($A173&lt;VLOOKUP(S$5,NFI,5,0),1,0)*Table_NFI[[#This Row],[Winter Clothes Children]],Table_NFI[Winter Clothes Children])</f>
        <v>0</v>
      </c>
      <c r="AK173" s="294">
        <f>IF(NFI_Expiration=1,IF($A173&lt;VLOOKUP(T$5,NFI,5,0),1,0)*Table_NFI[[#This Row],[Winter Items Other]],Table_NFI[Winter Items Other])</f>
        <v>0</v>
      </c>
      <c r="AL173" s="294">
        <f>IF(NFI_Expiration=1,IF($A173&lt;VLOOKUP(M$5,NFI,5,0),1,0)*Table_NFI[[#This Row],[Winter Blanket]],Table_NFI[[#This Row],[Winter Blanket]])</f>
        <v>0</v>
      </c>
      <c r="AM173" s="294">
        <f>IF(Table_NFI[[#This Row],[Winter Clothes Adult]]+Table_NFI[[#This Row],[Winter Clothes Children]]+Table_NFI[[#This Row],[Winter Items Other]]+Table_NFI[[#This Row],[Winter Blanket]]&gt;0,1,0)</f>
        <v>0</v>
      </c>
      <c r="AN173" s="331">
        <f>IF(NFI_Expiration=1,IF($A173&lt;VLOOKUP(V$5,NFI,5,0),1,0)*Table_NFI[[#This Row],[Jerry Can]],Table_NFI[Jerry Can])</f>
        <v>0</v>
      </c>
      <c r="AO173" s="331">
        <f>IF(NFI_Expiration=1,IF($A173&lt;VLOOKUP(V$5,NFI,5,0),1,0)*Table_NFI[[#This Row],[Shelter Tool kit]],Table_NFI[Shelter Tool kit])</f>
        <v>0</v>
      </c>
      <c r="AP173" s="331">
        <f>IF(NFI_Expiration=1,IF($A173&lt;VLOOKUP(V$5,NFI,5,0),1,0)*Table_NFI[[#This Row],[Tent]],Table_NFI[Tent])</f>
        <v>0</v>
      </c>
      <c r="AQ173" s="473" t="str">
        <f>IFERROR(VLOOKUP(Table_NFI[[#This Row],[Camp Name]],CL,2,0),"")</f>
        <v>MMR001CMP072</v>
      </c>
      <c r="AR173" s="468">
        <f ca="1">IF(Table_NFI[[#This Row],[Pcode]]="","",IF(OFFSET(CampList[Opening Date],MATCH(Table_NFI[[#This Row],[Pcode]],CampList[CP_Pcode],0)-1,0,1,1)&gt;=NFI_Monitor_Date,1,0))</f>
        <v>0</v>
      </c>
      <c r="AS173" s="473" t="str">
        <f>IFERROR(VLOOKUP(Table_NFI[[#This Row],[Camp Name]],CL,3,0),"")</f>
        <v>Open</v>
      </c>
      <c r="AT173" s="294" t="str">
        <f ca="1">IF(Table_NFI[[#This Row],[Pcode]]="","",OFFSET(CampList[Priority],MATCH(Table_NFI[[#This Row],[Pcode]],CampList[CP_Pcode],0)-1,0,1,1))</f>
        <v>P3</v>
      </c>
      <c r="AU173" s="293">
        <f>IFERROR(Table_NFI[[#This Row],[Kitchen Set]]/VLOOKUP(Table_NFI[[#This Row],[Camp Name]],CL,4,0),"")</f>
        <v>0</v>
      </c>
      <c r="AV173" s="466"/>
      <c r="AW173" s="469"/>
    </row>
    <row r="174" spans="1:49" s="98" customFormat="1" ht="14.45" customHeight="1" x14ac:dyDescent="0.25">
      <c r="A174" s="297">
        <f t="shared" si="2"/>
        <v>20.233333333333334</v>
      </c>
      <c r="B174" s="465">
        <v>42068</v>
      </c>
      <c r="C174" s="466" t="s">
        <v>452</v>
      </c>
      <c r="D174" s="466" t="s">
        <v>1262</v>
      </c>
      <c r="E174" s="466" t="s">
        <v>553</v>
      </c>
      <c r="F174" s="466" t="s">
        <v>779</v>
      </c>
      <c r="G174" s="466" t="s">
        <v>1275</v>
      </c>
      <c r="H174" s="291"/>
      <c r="I174" s="291">
        <v>43</v>
      </c>
      <c r="J174" s="294">
        <v>43</v>
      </c>
      <c r="K174" s="294">
        <v>85</v>
      </c>
      <c r="L174" s="292">
        <v>43</v>
      </c>
      <c r="M174" s="292">
        <v>95</v>
      </c>
      <c r="N174" s="292">
        <v>43</v>
      </c>
      <c r="O174" s="292">
        <v>43</v>
      </c>
      <c r="P174" s="294">
        <v>43</v>
      </c>
      <c r="Q174" s="294">
        <v>95</v>
      </c>
      <c r="R174" s="294"/>
      <c r="S174" s="294"/>
      <c r="T174" s="294"/>
      <c r="U174" s="294"/>
      <c r="V174" s="431">
        <v>43</v>
      </c>
      <c r="W174" s="294"/>
      <c r="X174" s="294"/>
      <c r="Y174" s="294">
        <f>IF(NFI_Expiration=1,IF($A174&lt;VLOOKUP(H$5,NFI,5,0),1,0)*Table_NFI[[#This Row],[Hygiene Kit]],Table_NFI[Hygiene Kit])</f>
        <v>0</v>
      </c>
      <c r="Z174" s="294">
        <f>IF(NFI_Expiration=1,IF($A174&lt;VLOOKUP(I$5,NFI,5,0),1,0)*Table_NFI[[#This Row],[NFI Core Kit]],Table_NFI[NFI Core Kit])</f>
        <v>0</v>
      </c>
      <c r="AA174" s="294">
        <f>IF(NFI_Expiration=1,IF($A174&lt;VLOOKUP(J$5,NFI,5,0),1,0)*Table_NFI[[#This Row],[Sanitary Kit]],Table_NFI[Sanitary Kit])</f>
        <v>0</v>
      </c>
      <c r="AB174" s="294">
        <f>IF(NFI_Expiration=1,IF($A174&lt;VLOOKUP(K$5,NFI,5,0),1,0)*Table_NFI[[#This Row],[Mosquito net]],Table_NFI[Mosquito net])</f>
        <v>0</v>
      </c>
      <c r="AC174" s="294">
        <f>IF(NFI_Expiration=1,IF($A174&lt;VLOOKUP(L$5,NFI,5,0),1,0)*Table_NFI[[#This Row],[Tarpaulin]],Table_NFI[[#This Row],[Tarpaulin]])</f>
        <v>0</v>
      </c>
      <c r="AD174" s="294">
        <f>IF(NFI_Expiration=1,IF($A174&lt;VLOOKUP(M$5,NFI,5,0),1,0)*Table_NFI[[#This Row],[Blanket]],Table_NFI[[#This Row],[Blanket]])</f>
        <v>0</v>
      </c>
      <c r="AE174" s="294">
        <f>IF(NFI_Expiration=1,IF($A174&lt;VLOOKUP(N$5,NFI,5,0),1,0)*Table_NFI[[#This Row],[Kitchen Set]],Table_NFI[Kitchen Set])</f>
        <v>0</v>
      </c>
      <c r="AF174" s="294">
        <f>IF(NFI_Expiration=1,IF($A174&lt;VLOOKUP(O$5,NFI,5,0),1,0)*Table_NFI[[#This Row],[Clothes Kit]],Table_NFI[Clothes Kit])</f>
        <v>0</v>
      </c>
      <c r="AG174" s="294">
        <f>IF(NFI_Expiration=1,IF($A174&lt;VLOOKUP(P$5,NFI,5,0),1,0)*Table_NFI[[#This Row],[Plastic Bucket]],Table_NFI[Plastic Bucket])</f>
        <v>0</v>
      </c>
      <c r="AH174" s="294">
        <f>IF(NFI_Expiration=1,IF($A174&lt;VLOOKUP(Q$5,NFI,5,0),1,0)*Table_NFI[[#This Row],[Plastic Mat]],Table_NFI[Plastic Mat])*IF(Table_NFI[[#This Row],[Distribution Date]]&gt;"2014-04-01",1,2.5)</f>
        <v>0</v>
      </c>
      <c r="AI174" s="294">
        <f>IF(NFI_Expiration=1,IF($A174&lt;VLOOKUP(R$5,NFI,5,0),1,0)*Table_NFI[[#This Row],[Winter Clothes Adult]],Table_NFI[Winter Clothes Adult])</f>
        <v>0</v>
      </c>
      <c r="AJ174" s="294">
        <f>IF(NFI_Expiration=1,IF($A174&lt;VLOOKUP(S$5,NFI,5,0),1,0)*Table_NFI[[#This Row],[Winter Clothes Children]],Table_NFI[Winter Clothes Children])</f>
        <v>0</v>
      </c>
      <c r="AK174" s="294">
        <f>IF(NFI_Expiration=1,IF($A174&lt;VLOOKUP(T$5,NFI,5,0),1,0)*Table_NFI[[#This Row],[Winter Items Other]],Table_NFI[Winter Items Other])</f>
        <v>0</v>
      </c>
      <c r="AL174" s="294">
        <f>IF(NFI_Expiration=1,IF($A174&lt;VLOOKUP(M$5,NFI,5,0),1,0)*Table_NFI[[#This Row],[Winter Blanket]],Table_NFI[[#This Row],[Winter Blanket]])</f>
        <v>0</v>
      </c>
      <c r="AM174" s="294">
        <f>IF(Table_NFI[[#This Row],[Winter Clothes Adult]]+Table_NFI[[#This Row],[Winter Clothes Children]]+Table_NFI[[#This Row],[Winter Items Other]]+Table_NFI[[#This Row],[Winter Blanket]]&gt;0,1,0)</f>
        <v>0</v>
      </c>
      <c r="AN174" s="331">
        <f>IF(NFI_Expiration=1,IF($A174&lt;VLOOKUP(V$5,NFI,5,0),1,0)*Table_NFI[[#This Row],[Jerry Can]],Table_NFI[Jerry Can])</f>
        <v>0</v>
      </c>
      <c r="AO174" s="331">
        <f>IF(NFI_Expiration=1,IF($A174&lt;VLOOKUP(V$5,NFI,5,0),1,0)*Table_NFI[[#This Row],[Shelter Tool kit]],Table_NFI[Shelter Tool kit])</f>
        <v>0</v>
      </c>
      <c r="AP174" s="331">
        <f>IF(NFI_Expiration=1,IF($A174&lt;VLOOKUP(V$5,NFI,5,0),1,0)*Table_NFI[[#This Row],[Tent]],Table_NFI[Tent])</f>
        <v>0</v>
      </c>
      <c r="AQ174" s="473" t="str">
        <f>IFERROR(VLOOKUP(Table_NFI[[#This Row],[Camp Name]],CL,2,0),"")</f>
        <v>MMR015CMP218</v>
      </c>
      <c r="AR174" s="468">
        <f ca="1">IF(Table_NFI[[#This Row],[Pcode]]="","",IF(OFFSET(CampList[Opening Date],MATCH(Table_NFI[[#This Row],[Pcode]],CampList[CP_Pcode],0)-1,0,1,1)&gt;=NFI_Monitor_Date,1,0))</f>
        <v>1</v>
      </c>
      <c r="AS174" s="670" t="str">
        <f>IFERROR(VLOOKUP(Table_NFI[[#This Row],[Camp Name]],CL,3,0),"")</f>
        <v>Open</v>
      </c>
      <c r="AT174" s="294">
        <f ca="1">IF(Table_NFI[[#This Row],[Pcode]]="","",OFFSET(CampList[Priority],MATCH(Table_NFI[[#This Row],[Pcode]],CampList[CP_Pcode],0)-1,0,1,1))</f>
        <v>0</v>
      </c>
      <c r="AU174" s="293">
        <f>IFERROR(Table_NFI[[#This Row],[Kitchen Set]]/VLOOKUP(Table_NFI[[#This Row],[Camp Name]],CL,4,0),"")</f>
        <v>1.131578947368421</v>
      </c>
      <c r="AV174" s="466" t="s">
        <v>1092</v>
      </c>
      <c r="AW174" s="490"/>
    </row>
    <row r="175" spans="1:49" s="98" customFormat="1" ht="14.45" customHeight="1" x14ac:dyDescent="0.25">
      <c r="A175" s="297">
        <f t="shared" si="2"/>
        <v>20.466666666666665</v>
      </c>
      <c r="B175" s="465">
        <v>42061</v>
      </c>
      <c r="C175" s="466" t="s">
        <v>905</v>
      </c>
      <c r="D175" s="466" t="s">
        <v>905</v>
      </c>
      <c r="E175" s="466" t="s">
        <v>380</v>
      </c>
      <c r="F175" s="290" t="s">
        <v>5</v>
      </c>
      <c r="G175" s="290" t="s">
        <v>6</v>
      </c>
      <c r="H175" s="291"/>
      <c r="I175" s="291"/>
      <c r="J175" s="291"/>
      <c r="K175" s="291"/>
      <c r="L175" s="292"/>
      <c r="M175" s="292"/>
      <c r="N175" s="292"/>
      <c r="O175" s="292"/>
      <c r="P175" s="294"/>
      <c r="Q175" s="294"/>
      <c r="R175" s="294"/>
      <c r="S175" s="294"/>
      <c r="T175" s="294"/>
      <c r="U175" s="294"/>
      <c r="V175" s="431"/>
      <c r="W175" s="294">
        <v>37</v>
      </c>
      <c r="X175" s="294"/>
      <c r="Y175" s="294">
        <f>IF(NFI_Expiration=1,IF($A175&lt;VLOOKUP(H$5,NFI,5,0),1,0)*Table_NFI[[#This Row],[Hygiene Kit]],Table_NFI[Hygiene Kit])</f>
        <v>0</v>
      </c>
      <c r="Z175" s="294">
        <f>IF(NFI_Expiration=1,IF($A175&lt;VLOOKUP(I$5,NFI,5,0),1,0)*Table_NFI[[#This Row],[NFI Core Kit]],Table_NFI[NFI Core Kit])</f>
        <v>0</v>
      </c>
      <c r="AA175" s="294">
        <f>IF(NFI_Expiration=1,IF($A175&lt;VLOOKUP(J$5,NFI,5,0),1,0)*Table_NFI[[#This Row],[Sanitary Kit]],Table_NFI[Sanitary Kit])</f>
        <v>0</v>
      </c>
      <c r="AB175" s="294">
        <f>IF(NFI_Expiration=1,IF($A175&lt;VLOOKUP(K$5,NFI,5,0),1,0)*Table_NFI[[#This Row],[Mosquito net]],Table_NFI[Mosquito net])</f>
        <v>0</v>
      </c>
      <c r="AC175" s="294">
        <f>IF(NFI_Expiration=1,IF($A175&lt;VLOOKUP(L$5,NFI,5,0),1,0)*Table_NFI[[#This Row],[Tarpaulin]],Table_NFI[[#This Row],[Tarpaulin]])</f>
        <v>0</v>
      </c>
      <c r="AD175" s="294">
        <f>IF(NFI_Expiration=1,IF($A175&lt;VLOOKUP(M$5,NFI,5,0),1,0)*Table_NFI[[#This Row],[Blanket]],Table_NFI[[#This Row],[Blanket]])</f>
        <v>0</v>
      </c>
      <c r="AE175" s="294">
        <f>IF(NFI_Expiration=1,IF($A175&lt;VLOOKUP(N$5,NFI,5,0),1,0)*Table_NFI[[#This Row],[Kitchen Set]],Table_NFI[Kitchen Set])</f>
        <v>0</v>
      </c>
      <c r="AF175" s="294">
        <f>IF(NFI_Expiration=1,IF($A175&lt;VLOOKUP(O$5,NFI,5,0),1,0)*Table_NFI[[#This Row],[Clothes Kit]],Table_NFI[Clothes Kit])</f>
        <v>0</v>
      </c>
      <c r="AG175" s="294">
        <f>IF(NFI_Expiration=1,IF($A175&lt;VLOOKUP(P$5,NFI,5,0),1,0)*Table_NFI[[#This Row],[Plastic Bucket]],Table_NFI[Plastic Bucket])</f>
        <v>0</v>
      </c>
      <c r="AH175" s="294">
        <f>IF(NFI_Expiration=1,IF($A175&lt;VLOOKUP(Q$5,NFI,5,0),1,0)*Table_NFI[[#This Row],[Plastic Mat]],Table_NFI[Plastic Mat])*IF(Table_NFI[[#This Row],[Distribution Date]]&gt;"2014-04-01",1,2.5)</f>
        <v>0</v>
      </c>
      <c r="AI175" s="294">
        <f>IF(NFI_Expiration=1,IF($A175&lt;VLOOKUP(R$5,NFI,5,0),1,0)*Table_NFI[[#This Row],[Winter Clothes Adult]],Table_NFI[Winter Clothes Adult])</f>
        <v>0</v>
      </c>
      <c r="AJ175" s="294">
        <f>IF(NFI_Expiration=1,IF($A175&lt;VLOOKUP(S$5,NFI,5,0),1,0)*Table_NFI[[#This Row],[Winter Clothes Children]],Table_NFI[Winter Clothes Children])</f>
        <v>0</v>
      </c>
      <c r="AK175" s="294">
        <f>IF(NFI_Expiration=1,IF($A175&lt;VLOOKUP(T$5,NFI,5,0),1,0)*Table_NFI[[#This Row],[Winter Items Other]],Table_NFI[Winter Items Other])</f>
        <v>0</v>
      </c>
      <c r="AL175" s="294">
        <f>IF(NFI_Expiration=1,IF($A175&lt;VLOOKUP(M$5,NFI,5,0),1,0)*Table_NFI[[#This Row],[Winter Blanket]],Table_NFI[[#This Row],[Winter Blanket]])</f>
        <v>0</v>
      </c>
      <c r="AM175" s="294">
        <f>IF(Table_NFI[[#This Row],[Winter Clothes Adult]]+Table_NFI[[#This Row],[Winter Clothes Children]]+Table_NFI[[#This Row],[Winter Items Other]]+Table_NFI[[#This Row],[Winter Blanket]]&gt;0,1,0)</f>
        <v>0</v>
      </c>
      <c r="AN175" s="331">
        <f>IF(NFI_Expiration=1,IF($A175&lt;VLOOKUP(V$5,NFI,5,0),1,0)*Table_NFI[[#This Row],[Jerry Can]],Table_NFI[Jerry Can])</f>
        <v>0</v>
      </c>
      <c r="AO175" s="331">
        <f>IF(NFI_Expiration=1,IF($A175&lt;VLOOKUP(V$5,NFI,5,0),1,0)*Table_NFI[[#This Row],[Shelter Tool kit]],Table_NFI[Shelter Tool kit])</f>
        <v>0</v>
      </c>
      <c r="AP175" s="331">
        <f>IF(NFI_Expiration=1,IF($A175&lt;VLOOKUP(V$5,NFI,5,0),1,0)*Table_NFI[[#This Row],[Tent]],Table_NFI[Tent])</f>
        <v>0</v>
      </c>
      <c r="AQ175" s="473" t="str">
        <f>IFERROR(VLOOKUP(Table_NFI[[#This Row],[Camp Name]],CL,2,0),"")</f>
        <v>MMR001CMP050</v>
      </c>
      <c r="AR175" s="468">
        <f ca="1">IF(Table_NFI[[#This Row],[Pcode]]="","",IF(OFFSET(CampList[Opening Date],MATCH(Table_NFI[[#This Row],[Pcode]],CampList[CP_Pcode],0)-1,0,1,1)&gt;=NFI_Monitor_Date,1,0))</f>
        <v>0</v>
      </c>
      <c r="AS175" s="473" t="str">
        <f>IFERROR(VLOOKUP(Table_NFI[[#This Row],[Camp Name]],CL,3,0),"")</f>
        <v>Open</v>
      </c>
      <c r="AT175" s="294" t="str">
        <f ca="1">IF(Table_NFI[[#This Row],[Pcode]]="","",OFFSET(CampList[Priority],MATCH(Table_NFI[[#This Row],[Pcode]],CampList[CP_Pcode],0)-1,0,1,1))</f>
        <v>P4</v>
      </c>
      <c r="AU175" s="293">
        <f>IFERROR(Table_NFI[[#This Row],[Kitchen Set]]/VLOOKUP(Table_NFI[[#This Row],[Camp Name]],CL,4,0),"")</f>
        <v>0</v>
      </c>
      <c r="AV175" s="466"/>
      <c r="AW175" s="469"/>
    </row>
    <row r="176" spans="1:49" s="98" customFormat="1" ht="14.45" customHeight="1" x14ac:dyDescent="0.2">
      <c r="A176" s="297">
        <f t="shared" si="2"/>
        <v>20.5</v>
      </c>
      <c r="B176" s="465">
        <v>42060</v>
      </c>
      <c r="C176" s="466" t="s">
        <v>905</v>
      </c>
      <c r="D176" s="467" t="s">
        <v>905</v>
      </c>
      <c r="E176" s="466" t="s">
        <v>380</v>
      </c>
      <c r="F176" s="290" t="s">
        <v>5</v>
      </c>
      <c r="G176" s="290" t="s">
        <v>22</v>
      </c>
      <c r="H176" s="291"/>
      <c r="I176" s="291"/>
      <c r="J176" s="291"/>
      <c r="K176" s="291"/>
      <c r="L176" s="292"/>
      <c r="M176" s="292"/>
      <c r="N176" s="292"/>
      <c r="O176" s="292"/>
      <c r="P176" s="294"/>
      <c r="Q176" s="294"/>
      <c r="R176" s="294"/>
      <c r="S176" s="294"/>
      <c r="T176" s="294"/>
      <c r="U176" s="294"/>
      <c r="V176" s="431"/>
      <c r="W176" s="585">
        <v>76</v>
      </c>
      <c r="X176" s="294"/>
      <c r="Y176" s="294">
        <f>IF(NFI_Expiration=1,IF($A176&lt;VLOOKUP(H$5,NFI,5,0),1,0)*Table_NFI[[#This Row],[Hygiene Kit]],Table_NFI[Hygiene Kit])</f>
        <v>0</v>
      </c>
      <c r="Z176" s="294">
        <f>IF(NFI_Expiration=1,IF($A176&lt;VLOOKUP(I$5,NFI,5,0),1,0)*Table_NFI[[#This Row],[NFI Core Kit]],Table_NFI[NFI Core Kit])</f>
        <v>0</v>
      </c>
      <c r="AA176" s="294">
        <f>IF(NFI_Expiration=1,IF($A176&lt;VLOOKUP(J$5,NFI,5,0),1,0)*Table_NFI[[#This Row],[Sanitary Kit]],Table_NFI[Sanitary Kit])</f>
        <v>0</v>
      </c>
      <c r="AB176" s="294">
        <f>IF(NFI_Expiration=1,IF($A176&lt;VLOOKUP(K$5,NFI,5,0),1,0)*Table_NFI[[#This Row],[Mosquito net]],Table_NFI[Mosquito net])</f>
        <v>0</v>
      </c>
      <c r="AC176" s="294">
        <f>IF(NFI_Expiration=1,IF($A176&lt;VLOOKUP(L$5,NFI,5,0),1,0)*Table_NFI[[#This Row],[Tarpaulin]],Table_NFI[[#This Row],[Tarpaulin]])</f>
        <v>0</v>
      </c>
      <c r="AD176" s="294">
        <f>IF(NFI_Expiration=1,IF($A176&lt;VLOOKUP(M$5,NFI,5,0),1,0)*Table_NFI[[#This Row],[Blanket]],Table_NFI[[#This Row],[Blanket]])</f>
        <v>0</v>
      </c>
      <c r="AE176" s="294">
        <f>IF(NFI_Expiration=1,IF($A176&lt;VLOOKUP(N$5,NFI,5,0),1,0)*Table_NFI[[#This Row],[Kitchen Set]],Table_NFI[Kitchen Set])</f>
        <v>0</v>
      </c>
      <c r="AF176" s="294">
        <f>IF(NFI_Expiration=1,IF($A176&lt;VLOOKUP(O$5,NFI,5,0),1,0)*Table_NFI[[#This Row],[Clothes Kit]],Table_NFI[Clothes Kit])</f>
        <v>0</v>
      </c>
      <c r="AG176" s="294">
        <f>IF(NFI_Expiration=1,IF($A176&lt;VLOOKUP(P$5,NFI,5,0),1,0)*Table_NFI[[#This Row],[Plastic Bucket]],Table_NFI[Plastic Bucket])</f>
        <v>0</v>
      </c>
      <c r="AH176" s="294">
        <f>IF(NFI_Expiration=1,IF($A176&lt;VLOOKUP(Q$5,NFI,5,0),1,0)*Table_NFI[[#This Row],[Plastic Mat]],Table_NFI[Plastic Mat])*IF(Table_NFI[[#This Row],[Distribution Date]]&gt;"2014-04-01",1,2.5)</f>
        <v>0</v>
      </c>
      <c r="AI176" s="294">
        <f>IF(NFI_Expiration=1,IF($A176&lt;VLOOKUP(R$5,NFI,5,0),1,0)*Table_NFI[[#This Row],[Winter Clothes Adult]],Table_NFI[Winter Clothes Adult])</f>
        <v>0</v>
      </c>
      <c r="AJ176" s="294">
        <f>IF(NFI_Expiration=1,IF($A176&lt;VLOOKUP(S$5,NFI,5,0),1,0)*Table_NFI[[#This Row],[Winter Clothes Children]],Table_NFI[Winter Clothes Children])</f>
        <v>0</v>
      </c>
      <c r="AK176" s="294">
        <f>IF(NFI_Expiration=1,IF($A176&lt;VLOOKUP(T$5,NFI,5,0),1,0)*Table_NFI[[#This Row],[Winter Items Other]],Table_NFI[Winter Items Other])</f>
        <v>0</v>
      </c>
      <c r="AL176" s="294">
        <f>IF(NFI_Expiration=1,IF($A176&lt;VLOOKUP(M$5,NFI,5,0),1,0)*Table_NFI[[#This Row],[Winter Blanket]],Table_NFI[[#This Row],[Winter Blanket]])</f>
        <v>0</v>
      </c>
      <c r="AM176" s="294">
        <f>IF(Table_NFI[[#This Row],[Winter Clothes Adult]]+Table_NFI[[#This Row],[Winter Clothes Children]]+Table_NFI[[#This Row],[Winter Items Other]]+Table_NFI[[#This Row],[Winter Blanket]]&gt;0,1,0)</f>
        <v>0</v>
      </c>
      <c r="AN176" s="331">
        <f>IF(NFI_Expiration=1,IF($A176&lt;VLOOKUP(V$5,NFI,5,0),1,0)*Table_NFI[[#This Row],[Jerry Can]],Table_NFI[Jerry Can])</f>
        <v>0</v>
      </c>
      <c r="AO176" s="331">
        <f>IF(NFI_Expiration=1,IF($A176&lt;VLOOKUP(V$5,NFI,5,0),1,0)*Table_NFI[[#This Row],[Shelter Tool kit]],Table_NFI[Shelter Tool kit])</f>
        <v>0</v>
      </c>
      <c r="AP176" s="331">
        <f>IF(NFI_Expiration=1,IF($A176&lt;VLOOKUP(V$5,NFI,5,0),1,0)*Table_NFI[[#This Row],[Tent]],Table_NFI[Tent])</f>
        <v>0</v>
      </c>
      <c r="AQ176" s="473" t="str">
        <f>IFERROR(VLOOKUP(Table_NFI[[#This Row],[Camp Name]],CL,2,0),"")</f>
        <v>MMR001CMP047</v>
      </c>
      <c r="AR176" s="468">
        <f ca="1">IF(Table_NFI[[#This Row],[Pcode]]="","",IF(OFFSET(CampList[Opening Date],MATCH(Table_NFI[[#This Row],[Pcode]],CampList[CP_Pcode],0)-1,0,1,1)&gt;=NFI_Monitor_Date,1,0))</f>
        <v>0</v>
      </c>
      <c r="AS176" s="473" t="str">
        <f>IFERROR(VLOOKUP(Table_NFI[[#This Row],[Camp Name]],CL,3,0),"")</f>
        <v>Open</v>
      </c>
      <c r="AT176" s="294" t="str">
        <f ca="1">IF(Table_NFI[[#This Row],[Pcode]]="","",OFFSET(CampList[Priority],MATCH(Table_NFI[[#This Row],[Pcode]],CampList[CP_Pcode],0)-1,0,1,1))</f>
        <v>P4</v>
      </c>
      <c r="AU176" s="293">
        <f>IFERROR(Table_NFI[[#This Row],[Kitchen Set]]/VLOOKUP(Table_NFI[[#This Row],[Camp Name]],CL,4,0),"")</f>
        <v>0</v>
      </c>
      <c r="AV176" s="466"/>
      <c r="AW176" s="469"/>
    </row>
    <row r="177" spans="1:49" s="98" customFormat="1" ht="14.45" customHeight="1" x14ac:dyDescent="0.25">
      <c r="A177" s="297">
        <f t="shared" si="2"/>
        <v>20.633333333333333</v>
      </c>
      <c r="B177" s="465">
        <v>42056</v>
      </c>
      <c r="C177" s="466" t="s">
        <v>452</v>
      </c>
      <c r="D177" s="466" t="s">
        <v>452</v>
      </c>
      <c r="E177" s="466" t="s">
        <v>553</v>
      </c>
      <c r="F177" s="466" t="s">
        <v>146</v>
      </c>
      <c r="G177" s="466" t="s">
        <v>1334</v>
      </c>
      <c r="H177" s="291"/>
      <c r="I177" s="294"/>
      <c r="J177" s="291"/>
      <c r="K177" s="294">
        <v>161</v>
      </c>
      <c r="L177" s="292">
        <v>76</v>
      </c>
      <c r="M177" s="292"/>
      <c r="N177" s="292">
        <v>76</v>
      </c>
      <c r="O177" s="292"/>
      <c r="P177" s="294">
        <v>76</v>
      </c>
      <c r="Q177" s="294"/>
      <c r="R177" s="294"/>
      <c r="S177" s="294"/>
      <c r="T177" s="294"/>
      <c r="U177" s="294"/>
      <c r="V177" s="431">
        <v>76</v>
      </c>
      <c r="W177" s="294"/>
      <c r="X177" s="294"/>
      <c r="Y177" s="294">
        <f>IF(NFI_Expiration=1,IF($A177&lt;VLOOKUP(H$5,NFI,5,0),1,0)*Table_NFI[[#This Row],[Hygiene Kit]],Table_NFI[Hygiene Kit])</f>
        <v>0</v>
      </c>
      <c r="Z177" s="294">
        <f>IF(NFI_Expiration=1,IF($A177&lt;VLOOKUP(I$5,NFI,5,0),1,0)*Table_NFI[[#This Row],[NFI Core Kit]],Table_NFI[NFI Core Kit])</f>
        <v>0</v>
      </c>
      <c r="AA177" s="294">
        <f>IF(NFI_Expiration=1,IF($A177&lt;VLOOKUP(J$5,NFI,5,0),1,0)*Table_NFI[[#This Row],[Sanitary Kit]],Table_NFI[Sanitary Kit])</f>
        <v>0</v>
      </c>
      <c r="AB177" s="294">
        <f>IF(NFI_Expiration=1,IF($A177&lt;VLOOKUP(K$5,NFI,5,0),1,0)*Table_NFI[[#This Row],[Mosquito net]],Table_NFI[Mosquito net])</f>
        <v>0</v>
      </c>
      <c r="AC177" s="294">
        <f>IF(NFI_Expiration=1,IF($A177&lt;VLOOKUP(L$5,NFI,5,0),1,0)*Table_NFI[[#This Row],[Tarpaulin]],Table_NFI[[#This Row],[Tarpaulin]])</f>
        <v>0</v>
      </c>
      <c r="AD177" s="294">
        <f>IF(NFI_Expiration=1,IF($A177&lt;VLOOKUP(M$5,NFI,5,0),1,0)*Table_NFI[[#This Row],[Blanket]],Table_NFI[[#This Row],[Blanket]])</f>
        <v>0</v>
      </c>
      <c r="AE177" s="294">
        <f>IF(NFI_Expiration=1,IF($A177&lt;VLOOKUP(N$5,NFI,5,0),1,0)*Table_NFI[[#This Row],[Kitchen Set]],Table_NFI[Kitchen Set])</f>
        <v>0</v>
      </c>
      <c r="AF177" s="294">
        <f>IF(NFI_Expiration=1,IF($A177&lt;VLOOKUP(O$5,NFI,5,0),1,0)*Table_NFI[[#This Row],[Clothes Kit]],Table_NFI[Clothes Kit])</f>
        <v>0</v>
      </c>
      <c r="AG177" s="294">
        <f>IF(NFI_Expiration=1,IF($A177&lt;VLOOKUP(P$5,NFI,5,0),1,0)*Table_NFI[[#This Row],[Plastic Bucket]],Table_NFI[Plastic Bucket])</f>
        <v>0</v>
      </c>
      <c r="AH177" s="294">
        <f>IF(NFI_Expiration=1,IF($A177&lt;VLOOKUP(Q$5,NFI,5,0),1,0)*Table_NFI[[#This Row],[Plastic Mat]],Table_NFI[Plastic Mat])*IF(Table_NFI[[#This Row],[Distribution Date]]&gt;"2014-04-01",1,2.5)</f>
        <v>0</v>
      </c>
      <c r="AI177" s="294">
        <f>IF(NFI_Expiration=1,IF($A177&lt;VLOOKUP(R$5,NFI,5,0),1,0)*Table_NFI[[#This Row],[Winter Clothes Adult]],Table_NFI[Winter Clothes Adult])</f>
        <v>0</v>
      </c>
      <c r="AJ177" s="294">
        <f>IF(NFI_Expiration=1,IF($A177&lt;VLOOKUP(S$5,NFI,5,0),1,0)*Table_NFI[[#This Row],[Winter Clothes Children]],Table_NFI[Winter Clothes Children])</f>
        <v>0</v>
      </c>
      <c r="AK177" s="294">
        <f>IF(NFI_Expiration=1,IF($A177&lt;VLOOKUP(T$5,NFI,5,0),1,0)*Table_NFI[[#This Row],[Winter Items Other]],Table_NFI[Winter Items Other])</f>
        <v>0</v>
      </c>
      <c r="AL177" s="294">
        <f>IF(NFI_Expiration=1,IF($A177&lt;VLOOKUP(M$5,NFI,5,0),1,0)*Table_NFI[[#This Row],[Winter Blanket]],Table_NFI[[#This Row],[Winter Blanket]])</f>
        <v>0</v>
      </c>
      <c r="AM177" s="294">
        <f>IF(Table_NFI[[#This Row],[Winter Clothes Adult]]+Table_NFI[[#This Row],[Winter Clothes Children]]+Table_NFI[[#This Row],[Winter Items Other]]+Table_NFI[[#This Row],[Winter Blanket]]&gt;0,1,0)</f>
        <v>0</v>
      </c>
      <c r="AN177" s="331">
        <f>IF(NFI_Expiration=1,IF($A177&lt;VLOOKUP(V$5,NFI,5,0),1,0)*Table_NFI[[#This Row],[Jerry Can]],Table_NFI[Jerry Can])</f>
        <v>0</v>
      </c>
      <c r="AO177" s="331">
        <f>IF(NFI_Expiration=1,IF($A177&lt;VLOOKUP(V$5,NFI,5,0),1,0)*Table_NFI[[#This Row],[Shelter Tool kit]],Table_NFI[Shelter Tool kit])</f>
        <v>0</v>
      </c>
      <c r="AP177" s="331">
        <f>IF(NFI_Expiration=1,IF($A177&lt;VLOOKUP(V$5,NFI,5,0),1,0)*Table_NFI[[#This Row],[Tent]],Table_NFI[Tent])</f>
        <v>0</v>
      </c>
      <c r="AQ177" s="473" t="str">
        <f>IFERROR(VLOOKUP(Table_NFI[[#This Row],[Camp Name]],CL,2,0),"")</f>
        <v/>
      </c>
      <c r="AR177" s="468" t="str">
        <f ca="1">IF(Table_NFI[[#This Row],[Pcode]]="","",IF(OFFSET(CampList[Opening Date],MATCH(Table_NFI[[#This Row],[Pcode]],CampList[CP_Pcode],0)-1,0,1,1)&gt;=NFI_Monitor_Date,1,0))</f>
        <v/>
      </c>
      <c r="AS177" s="670" t="str">
        <f>IFERROR(VLOOKUP(Table_NFI[[#This Row],[Camp Name]],CL,3,0),"")</f>
        <v/>
      </c>
      <c r="AT177" s="294" t="str">
        <f ca="1">IF(Table_NFI[[#This Row],[Pcode]]="","",OFFSET(CampList[Priority],MATCH(Table_NFI[[#This Row],[Pcode]],CampList[CP_Pcode],0)-1,0,1,1))</f>
        <v/>
      </c>
      <c r="AU177" s="293" t="str">
        <f>IFERROR(Table_NFI[[#This Row],[Kitchen Set]]/VLOOKUP(Table_NFI[[#This Row],[Camp Name]],CL,4,0),"")</f>
        <v/>
      </c>
      <c r="AV177" s="466" t="s">
        <v>1092</v>
      </c>
      <c r="AW177" s="469"/>
    </row>
    <row r="178" spans="1:49" s="98" customFormat="1" ht="14.45" customHeight="1" x14ac:dyDescent="0.25">
      <c r="A178" s="297">
        <f t="shared" si="2"/>
        <v>20.633333333333333</v>
      </c>
      <c r="B178" s="465">
        <v>42056</v>
      </c>
      <c r="C178" s="471" t="s">
        <v>452</v>
      </c>
      <c r="D178" s="471" t="s">
        <v>1262</v>
      </c>
      <c r="E178" s="471" t="s">
        <v>553</v>
      </c>
      <c r="F178" s="471" t="s">
        <v>146</v>
      </c>
      <c r="G178" s="471" t="s">
        <v>373</v>
      </c>
      <c r="H178" s="292"/>
      <c r="I178" s="292">
        <v>54</v>
      </c>
      <c r="J178" s="292">
        <v>36</v>
      </c>
      <c r="K178" s="292">
        <v>108</v>
      </c>
      <c r="L178" s="292">
        <v>54</v>
      </c>
      <c r="M178" s="292">
        <v>108</v>
      </c>
      <c r="N178" s="292">
        <v>54</v>
      </c>
      <c r="O178" s="292">
        <v>54</v>
      </c>
      <c r="P178" s="294">
        <v>54</v>
      </c>
      <c r="Q178" s="294">
        <v>108</v>
      </c>
      <c r="R178" s="294"/>
      <c r="S178" s="294"/>
      <c r="T178" s="294"/>
      <c r="U178" s="294"/>
      <c r="V178" s="431">
        <v>54</v>
      </c>
      <c r="W178" s="294"/>
      <c r="X178" s="294"/>
      <c r="Y178" s="294">
        <f>IF(NFI_Expiration=1,IF($A178&lt;VLOOKUP(H$5,NFI,5,0),1,0)*Table_NFI[[#This Row],[Hygiene Kit]],Table_NFI[Hygiene Kit])</f>
        <v>0</v>
      </c>
      <c r="Z178" s="294">
        <f>IF(NFI_Expiration=1,IF($A178&lt;VLOOKUP(I$5,NFI,5,0),1,0)*Table_NFI[[#This Row],[NFI Core Kit]],Table_NFI[NFI Core Kit])</f>
        <v>0</v>
      </c>
      <c r="AA178" s="294">
        <f>IF(NFI_Expiration=1,IF($A178&lt;VLOOKUP(J$5,NFI,5,0),1,0)*Table_NFI[[#This Row],[Sanitary Kit]],Table_NFI[Sanitary Kit])</f>
        <v>0</v>
      </c>
      <c r="AB178" s="294">
        <f>IF(NFI_Expiration=1,IF($A178&lt;VLOOKUP(K$5,NFI,5,0),1,0)*Table_NFI[[#This Row],[Mosquito net]],Table_NFI[Mosquito net])</f>
        <v>0</v>
      </c>
      <c r="AC178" s="294">
        <f>IF(NFI_Expiration=1,IF($A178&lt;VLOOKUP(L$5,NFI,5,0),1,0)*Table_NFI[[#This Row],[Tarpaulin]],Table_NFI[[#This Row],[Tarpaulin]])</f>
        <v>0</v>
      </c>
      <c r="AD178" s="294">
        <f>IF(NFI_Expiration=1,IF($A178&lt;VLOOKUP(M$5,NFI,5,0),1,0)*Table_NFI[[#This Row],[Blanket]],Table_NFI[[#This Row],[Blanket]])</f>
        <v>0</v>
      </c>
      <c r="AE178" s="294">
        <f>IF(NFI_Expiration=1,IF($A178&lt;VLOOKUP(N$5,NFI,5,0),1,0)*Table_NFI[[#This Row],[Kitchen Set]],Table_NFI[Kitchen Set])</f>
        <v>0</v>
      </c>
      <c r="AF178" s="294">
        <f>IF(NFI_Expiration=1,IF($A178&lt;VLOOKUP(O$5,NFI,5,0),1,0)*Table_NFI[[#This Row],[Clothes Kit]],Table_NFI[Clothes Kit])</f>
        <v>0</v>
      </c>
      <c r="AG178" s="294">
        <f>IF(NFI_Expiration=1,IF($A178&lt;VLOOKUP(P$5,NFI,5,0),1,0)*Table_NFI[[#This Row],[Plastic Bucket]],Table_NFI[Plastic Bucket])</f>
        <v>0</v>
      </c>
      <c r="AH178" s="294">
        <f>IF(NFI_Expiration=1,IF($A178&lt;VLOOKUP(Q$5,NFI,5,0),1,0)*Table_NFI[[#This Row],[Plastic Mat]],Table_NFI[Plastic Mat])*IF(Table_NFI[[#This Row],[Distribution Date]]&gt;"2014-04-01",1,2.5)</f>
        <v>0</v>
      </c>
      <c r="AI178" s="294">
        <f>IF(NFI_Expiration=1,IF($A178&lt;VLOOKUP(R$5,NFI,5,0),1,0)*Table_NFI[[#This Row],[Winter Clothes Adult]],Table_NFI[Winter Clothes Adult])</f>
        <v>0</v>
      </c>
      <c r="AJ178" s="294">
        <f>IF(NFI_Expiration=1,IF($A178&lt;VLOOKUP(S$5,NFI,5,0),1,0)*Table_NFI[[#This Row],[Winter Clothes Children]],Table_NFI[Winter Clothes Children])</f>
        <v>0</v>
      </c>
      <c r="AK178" s="294">
        <f>IF(NFI_Expiration=1,IF($A178&lt;VLOOKUP(T$5,NFI,5,0),1,0)*Table_NFI[[#This Row],[Winter Items Other]],Table_NFI[Winter Items Other])</f>
        <v>0</v>
      </c>
      <c r="AL178" s="294">
        <f>IF(NFI_Expiration=1,IF($A178&lt;VLOOKUP(M$5,NFI,5,0),1,0)*Table_NFI[[#This Row],[Winter Blanket]],Table_NFI[[#This Row],[Winter Blanket]])</f>
        <v>0</v>
      </c>
      <c r="AM178" s="294">
        <f>IF(Table_NFI[[#This Row],[Winter Clothes Adult]]+Table_NFI[[#This Row],[Winter Clothes Children]]+Table_NFI[[#This Row],[Winter Items Other]]+Table_NFI[[#This Row],[Winter Blanket]]&gt;0,1,0)</f>
        <v>0</v>
      </c>
      <c r="AN178" s="331">
        <f>IF(NFI_Expiration=1,IF($A178&lt;VLOOKUP(V$5,NFI,5,0),1,0)*Table_NFI[[#This Row],[Jerry Can]],Table_NFI[Jerry Can])</f>
        <v>0</v>
      </c>
      <c r="AO178" s="331">
        <f>IF(NFI_Expiration=1,IF($A178&lt;VLOOKUP(V$5,NFI,5,0),1,0)*Table_NFI[[#This Row],[Shelter Tool kit]],Table_NFI[Shelter Tool kit])</f>
        <v>0</v>
      </c>
      <c r="AP178" s="331">
        <f>IF(NFI_Expiration=1,IF($A178&lt;VLOOKUP(V$5,NFI,5,0),1,0)*Table_NFI[[#This Row],[Tent]],Table_NFI[Tent])</f>
        <v>0</v>
      </c>
      <c r="AQ178" s="473" t="str">
        <f>IFERROR(VLOOKUP(Table_NFI[[#This Row],[Camp Name]],CL,2,0),"")</f>
        <v>MMR015CMP020</v>
      </c>
      <c r="AR178" s="468">
        <f ca="1">IF(Table_NFI[[#This Row],[Pcode]]="","",IF(OFFSET(CampList[Opening Date],MATCH(Table_NFI[[#This Row],[Pcode]],CampList[CP_Pcode],0)-1,0,1,1)&gt;=NFI_Monitor_Date,1,0))</f>
        <v>0</v>
      </c>
      <c r="AS178" s="473" t="str">
        <f>IFERROR(VLOOKUP(Table_NFI[[#This Row],[Camp Name]],CL,3,0),"")</f>
        <v>Open</v>
      </c>
      <c r="AT178" s="294" t="str">
        <f ca="1">IF(Table_NFI[[#This Row],[Pcode]]="","",OFFSET(CampList[Priority],MATCH(Table_NFI[[#This Row],[Pcode]],CampList[CP_Pcode],0)-1,0,1,1))</f>
        <v>P3</v>
      </c>
      <c r="AU178" s="293">
        <f>IFERROR(Table_NFI[[#This Row],[Kitchen Set]]/VLOOKUP(Table_NFI[[#This Row],[Camp Name]],CL,4,0),"")</f>
        <v>0.28421052631578947</v>
      </c>
      <c r="AV178" s="466" t="s">
        <v>1092</v>
      </c>
      <c r="AW178" s="474"/>
    </row>
    <row r="179" spans="1:49" s="98" customFormat="1" ht="14.45" customHeight="1" x14ac:dyDescent="0.25">
      <c r="A179" s="297">
        <f t="shared" si="2"/>
        <v>20.8</v>
      </c>
      <c r="B179" s="465">
        <v>42051</v>
      </c>
      <c r="C179" s="471" t="s">
        <v>452</v>
      </c>
      <c r="D179" s="471" t="s">
        <v>506</v>
      </c>
      <c r="E179" s="471" t="s">
        <v>380</v>
      </c>
      <c r="F179" s="471" t="s">
        <v>310</v>
      </c>
      <c r="G179" s="471" t="s">
        <v>194</v>
      </c>
      <c r="H179" s="292"/>
      <c r="I179" s="292"/>
      <c r="J179" s="292"/>
      <c r="K179" s="292"/>
      <c r="L179" s="292"/>
      <c r="M179" s="292"/>
      <c r="N179" s="292"/>
      <c r="O179" s="292"/>
      <c r="P179" s="294"/>
      <c r="Q179" s="294"/>
      <c r="R179" s="294">
        <v>865</v>
      </c>
      <c r="S179" s="294">
        <v>924</v>
      </c>
      <c r="T179" s="294"/>
      <c r="U179" s="294">
        <v>918</v>
      </c>
      <c r="V179" s="431"/>
      <c r="W179" s="294"/>
      <c r="X179" s="294"/>
      <c r="Y179" s="294">
        <f>IF(NFI_Expiration=1,IF($A179&lt;VLOOKUP(H$5,NFI,5,0),1,0)*Table_NFI[[#This Row],[Hygiene Kit]],Table_NFI[Hygiene Kit])</f>
        <v>0</v>
      </c>
      <c r="Z179" s="294">
        <f>IF(NFI_Expiration=1,IF($A179&lt;VLOOKUP(I$5,NFI,5,0),1,0)*Table_NFI[[#This Row],[NFI Core Kit]],Table_NFI[NFI Core Kit])</f>
        <v>0</v>
      </c>
      <c r="AA179" s="294">
        <f>IF(NFI_Expiration=1,IF($A179&lt;VLOOKUP(J$5,NFI,5,0),1,0)*Table_NFI[[#This Row],[Sanitary Kit]],Table_NFI[Sanitary Kit])</f>
        <v>0</v>
      </c>
      <c r="AB179" s="294">
        <f>IF(NFI_Expiration=1,IF($A179&lt;VLOOKUP(K$5,NFI,5,0),1,0)*Table_NFI[[#This Row],[Mosquito net]],Table_NFI[Mosquito net])</f>
        <v>0</v>
      </c>
      <c r="AC179" s="294">
        <f>IF(NFI_Expiration=1,IF($A179&lt;VLOOKUP(L$5,NFI,5,0),1,0)*Table_NFI[[#This Row],[Tarpaulin]],Table_NFI[[#This Row],[Tarpaulin]])</f>
        <v>0</v>
      </c>
      <c r="AD179" s="294">
        <f>IF(NFI_Expiration=1,IF($A179&lt;VLOOKUP(M$5,NFI,5,0),1,0)*Table_NFI[[#This Row],[Blanket]],Table_NFI[[#This Row],[Blanket]])</f>
        <v>0</v>
      </c>
      <c r="AE179" s="294">
        <f>IF(NFI_Expiration=1,IF($A179&lt;VLOOKUP(N$5,NFI,5,0),1,0)*Table_NFI[[#This Row],[Kitchen Set]],Table_NFI[Kitchen Set])</f>
        <v>0</v>
      </c>
      <c r="AF179" s="294">
        <f>IF(NFI_Expiration=1,IF($A179&lt;VLOOKUP(O$5,NFI,5,0),1,0)*Table_NFI[[#This Row],[Clothes Kit]],Table_NFI[Clothes Kit])</f>
        <v>0</v>
      </c>
      <c r="AG179" s="294">
        <f>IF(NFI_Expiration=1,IF($A179&lt;VLOOKUP(P$5,NFI,5,0),1,0)*Table_NFI[[#This Row],[Plastic Bucket]],Table_NFI[Plastic Bucket])</f>
        <v>0</v>
      </c>
      <c r="AH179" s="294">
        <f>IF(NFI_Expiration=1,IF($A179&lt;VLOOKUP(Q$5,NFI,5,0),1,0)*Table_NFI[[#This Row],[Plastic Mat]],Table_NFI[Plastic Mat])*IF(Table_NFI[[#This Row],[Distribution Date]]&gt;"2014-04-01",1,2.5)</f>
        <v>0</v>
      </c>
      <c r="AI179" s="294">
        <f>IF(NFI_Expiration=1,IF($A179&lt;VLOOKUP(R$5,NFI,5,0),1,0)*Table_NFI[[#This Row],[Winter Clothes Adult]],Table_NFI[Winter Clothes Adult])</f>
        <v>0</v>
      </c>
      <c r="AJ179" s="294">
        <f>IF(NFI_Expiration=1,IF($A179&lt;VLOOKUP(S$5,NFI,5,0),1,0)*Table_NFI[[#This Row],[Winter Clothes Children]],Table_NFI[Winter Clothes Children])</f>
        <v>0</v>
      </c>
      <c r="AK179" s="294">
        <f>IF(NFI_Expiration=1,IF($A179&lt;VLOOKUP(T$5,NFI,5,0),1,0)*Table_NFI[[#This Row],[Winter Items Other]],Table_NFI[Winter Items Other])</f>
        <v>0</v>
      </c>
      <c r="AL179" s="294">
        <f>IF(NFI_Expiration=1,IF($A179&lt;VLOOKUP(M$5,NFI,5,0),1,0)*Table_NFI[[#This Row],[Winter Blanket]],Table_NFI[[#This Row],[Winter Blanket]])</f>
        <v>0</v>
      </c>
      <c r="AM179" s="294">
        <f>IF(Table_NFI[[#This Row],[Winter Clothes Adult]]+Table_NFI[[#This Row],[Winter Clothes Children]]+Table_NFI[[#This Row],[Winter Items Other]]+Table_NFI[[#This Row],[Winter Blanket]]&gt;0,1,0)</f>
        <v>1</v>
      </c>
      <c r="AN179" s="331">
        <f>IF(NFI_Expiration=1,IF($A179&lt;VLOOKUP(V$5,NFI,5,0),1,0)*Table_NFI[[#This Row],[Jerry Can]],Table_NFI[Jerry Can])</f>
        <v>0</v>
      </c>
      <c r="AO179" s="331">
        <f>IF(NFI_Expiration=1,IF($A179&lt;VLOOKUP(V$5,NFI,5,0),1,0)*Table_NFI[[#This Row],[Shelter Tool kit]],Table_NFI[Shelter Tool kit])</f>
        <v>0</v>
      </c>
      <c r="AP179" s="331">
        <f>IF(NFI_Expiration=1,IF($A179&lt;VLOOKUP(V$5,NFI,5,0),1,0)*Table_NFI[[#This Row],[Tent]],Table_NFI[Tent])</f>
        <v>0</v>
      </c>
      <c r="AQ179" s="473" t="str">
        <f>IFERROR(VLOOKUP(Table_NFI[[#This Row],[Camp Name]],CL,2,0),"")</f>
        <v>MMR001CMP122</v>
      </c>
      <c r="AR179" s="468">
        <f ca="1">IF(Table_NFI[[#This Row],[Pcode]]="","",IF(OFFSET(CampList[Opening Date],MATCH(Table_NFI[[#This Row],[Pcode]],CampList[CP_Pcode],0)-1,0,1,1)&gt;=NFI_Monitor_Date,1,0))</f>
        <v>0</v>
      </c>
      <c r="AS179" s="473" t="str">
        <f>IFERROR(VLOOKUP(Table_NFI[[#This Row],[Camp Name]],CL,3,0),"")</f>
        <v>Open</v>
      </c>
      <c r="AT179" s="294" t="str">
        <f ca="1">IF(Table_NFI[[#This Row],[Pcode]]="","",OFFSET(CampList[Priority],MATCH(Table_NFI[[#This Row],[Pcode]],CampList[CP_Pcode],0)-1,0,1,1))</f>
        <v>P2</v>
      </c>
      <c r="AU179" s="293">
        <f>IFERROR(Table_NFI[[#This Row],[Kitchen Set]]/VLOOKUP(Table_NFI[[#This Row],[Camp Name]],CL,4,0),"")</f>
        <v>0</v>
      </c>
      <c r="AV179" s="466" t="s">
        <v>1092</v>
      </c>
      <c r="AW179" s="474"/>
    </row>
    <row r="180" spans="1:49" s="98" customFormat="1" ht="14.45" customHeight="1" x14ac:dyDescent="0.25">
      <c r="A180" s="297">
        <f t="shared" si="2"/>
        <v>20.8</v>
      </c>
      <c r="B180" s="465">
        <v>42051</v>
      </c>
      <c r="C180" s="471" t="s">
        <v>452</v>
      </c>
      <c r="D180" s="471" t="s">
        <v>506</v>
      </c>
      <c r="E180" s="471" t="s">
        <v>380</v>
      </c>
      <c r="F180" s="471" t="s">
        <v>310</v>
      </c>
      <c r="G180" s="471" t="s">
        <v>196</v>
      </c>
      <c r="H180" s="292"/>
      <c r="I180" s="292"/>
      <c r="J180" s="292"/>
      <c r="K180" s="292"/>
      <c r="L180" s="292"/>
      <c r="M180" s="292"/>
      <c r="N180" s="292"/>
      <c r="O180" s="292"/>
      <c r="P180" s="294"/>
      <c r="Q180" s="294"/>
      <c r="R180" s="294">
        <v>2676</v>
      </c>
      <c r="S180" s="294">
        <v>2672</v>
      </c>
      <c r="T180" s="294"/>
      <c r="U180" s="294">
        <v>3186</v>
      </c>
      <c r="V180" s="431"/>
      <c r="W180" s="294"/>
      <c r="X180" s="294"/>
      <c r="Y180" s="294">
        <f>IF(NFI_Expiration=1,IF($A180&lt;VLOOKUP(H$5,NFI,5,0),1,0)*Table_NFI[[#This Row],[Hygiene Kit]],Table_NFI[Hygiene Kit])</f>
        <v>0</v>
      </c>
      <c r="Z180" s="294">
        <f>IF(NFI_Expiration=1,IF($A180&lt;VLOOKUP(I$5,NFI,5,0),1,0)*Table_NFI[[#This Row],[NFI Core Kit]],Table_NFI[NFI Core Kit])</f>
        <v>0</v>
      </c>
      <c r="AA180" s="294">
        <f>IF(NFI_Expiration=1,IF($A180&lt;VLOOKUP(J$5,NFI,5,0),1,0)*Table_NFI[[#This Row],[Sanitary Kit]],Table_NFI[Sanitary Kit])</f>
        <v>0</v>
      </c>
      <c r="AB180" s="294">
        <f>IF(NFI_Expiration=1,IF($A180&lt;VLOOKUP(K$5,NFI,5,0),1,0)*Table_NFI[[#This Row],[Mosquito net]],Table_NFI[Mosquito net])</f>
        <v>0</v>
      </c>
      <c r="AC180" s="294">
        <f>IF(NFI_Expiration=1,IF($A180&lt;VLOOKUP(L$5,NFI,5,0),1,0)*Table_NFI[[#This Row],[Tarpaulin]],Table_NFI[[#This Row],[Tarpaulin]])</f>
        <v>0</v>
      </c>
      <c r="AD180" s="294">
        <f>IF(NFI_Expiration=1,IF($A180&lt;VLOOKUP(M$5,NFI,5,0),1,0)*Table_NFI[[#This Row],[Blanket]],Table_NFI[[#This Row],[Blanket]])</f>
        <v>0</v>
      </c>
      <c r="AE180" s="294">
        <f>IF(NFI_Expiration=1,IF($A180&lt;VLOOKUP(N$5,NFI,5,0),1,0)*Table_NFI[[#This Row],[Kitchen Set]],Table_NFI[Kitchen Set])</f>
        <v>0</v>
      </c>
      <c r="AF180" s="294">
        <f>IF(NFI_Expiration=1,IF($A180&lt;VLOOKUP(O$5,NFI,5,0),1,0)*Table_NFI[[#This Row],[Clothes Kit]],Table_NFI[Clothes Kit])</f>
        <v>0</v>
      </c>
      <c r="AG180" s="294">
        <f>IF(NFI_Expiration=1,IF($A180&lt;VLOOKUP(P$5,NFI,5,0),1,0)*Table_NFI[[#This Row],[Plastic Bucket]],Table_NFI[Plastic Bucket])</f>
        <v>0</v>
      </c>
      <c r="AH180" s="294">
        <f>IF(NFI_Expiration=1,IF($A180&lt;VLOOKUP(Q$5,NFI,5,0),1,0)*Table_NFI[[#This Row],[Plastic Mat]],Table_NFI[Plastic Mat])*IF(Table_NFI[[#This Row],[Distribution Date]]&gt;"2014-04-01",1,2.5)</f>
        <v>0</v>
      </c>
      <c r="AI180" s="294">
        <f>IF(NFI_Expiration=1,IF($A180&lt;VLOOKUP(R$5,NFI,5,0),1,0)*Table_NFI[[#This Row],[Winter Clothes Adult]],Table_NFI[Winter Clothes Adult])</f>
        <v>0</v>
      </c>
      <c r="AJ180" s="294">
        <f>IF(NFI_Expiration=1,IF($A180&lt;VLOOKUP(S$5,NFI,5,0),1,0)*Table_NFI[[#This Row],[Winter Clothes Children]],Table_NFI[Winter Clothes Children])</f>
        <v>0</v>
      </c>
      <c r="AK180" s="294">
        <f>IF(NFI_Expiration=1,IF($A180&lt;VLOOKUP(T$5,NFI,5,0),1,0)*Table_NFI[[#This Row],[Winter Items Other]],Table_NFI[Winter Items Other])</f>
        <v>0</v>
      </c>
      <c r="AL180" s="294">
        <f>IF(NFI_Expiration=1,IF($A180&lt;VLOOKUP(M$5,NFI,5,0),1,0)*Table_NFI[[#This Row],[Winter Blanket]],Table_NFI[[#This Row],[Winter Blanket]])</f>
        <v>0</v>
      </c>
      <c r="AM180" s="294">
        <f>IF(Table_NFI[[#This Row],[Winter Clothes Adult]]+Table_NFI[[#This Row],[Winter Clothes Children]]+Table_NFI[[#This Row],[Winter Items Other]]+Table_NFI[[#This Row],[Winter Blanket]]&gt;0,1,0)</f>
        <v>1</v>
      </c>
      <c r="AN180" s="331">
        <f>IF(NFI_Expiration=1,IF($A180&lt;VLOOKUP(V$5,NFI,5,0),1,0)*Table_NFI[[#This Row],[Jerry Can]],Table_NFI[Jerry Can])</f>
        <v>0</v>
      </c>
      <c r="AO180" s="331">
        <f>IF(NFI_Expiration=1,IF($A180&lt;VLOOKUP(V$5,NFI,5,0),1,0)*Table_NFI[[#This Row],[Shelter Tool kit]],Table_NFI[Shelter Tool kit])</f>
        <v>0</v>
      </c>
      <c r="AP180" s="331">
        <f>IF(NFI_Expiration=1,IF($A180&lt;VLOOKUP(V$5,NFI,5,0),1,0)*Table_NFI[[#This Row],[Tent]],Table_NFI[Tent])</f>
        <v>0</v>
      </c>
      <c r="AQ180" s="473" t="str">
        <f>IFERROR(VLOOKUP(Table_NFI[[#This Row],[Camp Name]],CL,2,0),"")</f>
        <v>MMR001CMP121</v>
      </c>
      <c r="AR180" s="468">
        <f ca="1">IF(Table_NFI[[#This Row],[Pcode]]="","",IF(OFFSET(CampList[Opening Date],MATCH(Table_NFI[[#This Row],[Pcode]],CampList[CP_Pcode],0)-1,0,1,1)&gt;=NFI_Monitor_Date,1,0))</f>
        <v>0</v>
      </c>
      <c r="AS180" s="473" t="str">
        <f>IFERROR(VLOOKUP(Table_NFI[[#This Row],[Camp Name]],CL,3,0),"")</f>
        <v>Open</v>
      </c>
      <c r="AT180" s="294" t="str">
        <f ca="1">IF(Table_NFI[[#This Row],[Pcode]]="","",OFFSET(CampList[Priority],MATCH(Table_NFI[[#This Row],[Pcode]],CampList[CP_Pcode],0)-1,0,1,1))</f>
        <v>P2</v>
      </c>
      <c r="AU180" s="293">
        <f>IFERROR(Table_NFI[[#This Row],[Kitchen Set]]/VLOOKUP(Table_NFI[[#This Row],[Camp Name]],CL,4,0),"")</f>
        <v>0</v>
      </c>
      <c r="AV180" s="466" t="s">
        <v>1092</v>
      </c>
      <c r="AW180" s="474"/>
    </row>
    <row r="181" spans="1:49" s="98" customFormat="1" ht="14.45" customHeight="1" x14ac:dyDescent="0.25">
      <c r="A181" s="297">
        <f t="shared" si="2"/>
        <v>20.8</v>
      </c>
      <c r="B181" s="465">
        <v>42051</v>
      </c>
      <c r="C181" s="471" t="s">
        <v>452</v>
      </c>
      <c r="D181" s="471" t="s">
        <v>506</v>
      </c>
      <c r="E181" s="471" t="s">
        <v>380</v>
      </c>
      <c r="F181" s="471" t="s">
        <v>310</v>
      </c>
      <c r="G181" s="471" t="s">
        <v>1248</v>
      </c>
      <c r="H181" s="292"/>
      <c r="I181" s="292"/>
      <c r="J181" s="292"/>
      <c r="K181" s="292"/>
      <c r="L181" s="292"/>
      <c r="M181" s="292"/>
      <c r="N181" s="292"/>
      <c r="O181" s="292"/>
      <c r="P181" s="294"/>
      <c r="Q181" s="294"/>
      <c r="R181" s="294">
        <v>1119</v>
      </c>
      <c r="S181" s="294">
        <v>1455</v>
      </c>
      <c r="T181" s="294"/>
      <c r="U181" s="294">
        <v>1080</v>
      </c>
      <c r="V181" s="431"/>
      <c r="W181" s="294"/>
      <c r="X181" s="294"/>
      <c r="Y181" s="294">
        <f>IF(NFI_Expiration=1,IF($A181&lt;VLOOKUP(H$5,NFI,5,0),1,0)*Table_NFI[[#This Row],[Hygiene Kit]],Table_NFI[Hygiene Kit])</f>
        <v>0</v>
      </c>
      <c r="Z181" s="294">
        <f>IF(NFI_Expiration=1,IF($A181&lt;VLOOKUP(I$5,NFI,5,0),1,0)*Table_NFI[[#This Row],[NFI Core Kit]],Table_NFI[NFI Core Kit])</f>
        <v>0</v>
      </c>
      <c r="AA181" s="294">
        <f>IF(NFI_Expiration=1,IF($A181&lt;VLOOKUP(J$5,NFI,5,0),1,0)*Table_NFI[[#This Row],[Sanitary Kit]],Table_NFI[Sanitary Kit])</f>
        <v>0</v>
      </c>
      <c r="AB181" s="294">
        <f>IF(NFI_Expiration=1,IF($A181&lt;VLOOKUP(K$5,NFI,5,0),1,0)*Table_NFI[[#This Row],[Mosquito net]],Table_NFI[Mosquito net])</f>
        <v>0</v>
      </c>
      <c r="AC181" s="294">
        <f>IF(NFI_Expiration=1,IF($A181&lt;VLOOKUP(L$5,NFI,5,0),1,0)*Table_NFI[[#This Row],[Tarpaulin]],Table_NFI[[#This Row],[Tarpaulin]])</f>
        <v>0</v>
      </c>
      <c r="AD181" s="294">
        <f>IF(NFI_Expiration=1,IF($A181&lt;VLOOKUP(M$5,NFI,5,0),1,0)*Table_NFI[[#This Row],[Blanket]],Table_NFI[[#This Row],[Blanket]])</f>
        <v>0</v>
      </c>
      <c r="AE181" s="294">
        <f>IF(NFI_Expiration=1,IF($A181&lt;VLOOKUP(N$5,NFI,5,0),1,0)*Table_NFI[[#This Row],[Kitchen Set]],Table_NFI[Kitchen Set])</f>
        <v>0</v>
      </c>
      <c r="AF181" s="294">
        <f>IF(NFI_Expiration=1,IF($A181&lt;VLOOKUP(O$5,NFI,5,0),1,0)*Table_NFI[[#This Row],[Clothes Kit]],Table_NFI[Clothes Kit])</f>
        <v>0</v>
      </c>
      <c r="AG181" s="294">
        <f>IF(NFI_Expiration=1,IF($A181&lt;VLOOKUP(P$5,NFI,5,0),1,0)*Table_NFI[[#This Row],[Plastic Bucket]],Table_NFI[Plastic Bucket])</f>
        <v>0</v>
      </c>
      <c r="AH181" s="294">
        <f>IF(NFI_Expiration=1,IF($A181&lt;VLOOKUP(Q$5,NFI,5,0),1,0)*Table_NFI[[#This Row],[Plastic Mat]],Table_NFI[Plastic Mat])*IF(Table_NFI[[#This Row],[Distribution Date]]&gt;"2014-04-01",1,2.5)</f>
        <v>0</v>
      </c>
      <c r="AI181" s="294">
        <f>IF(NFI_Expiration=1,IF($A181&lt;VLOOKUP(R$5,NFI,5,0),1,0)*Table_NFI[[#This Row],[Winter Clothes Adult]],Table_NFI[Winter Clothes Adult])</f>
        <v>0</v>
      </c>
      <c r="AJ181" s="294">
        <f>IF(NFI_Expiration=1,IF($A181&lt;VLOOKUP(S$5,NFI,5,0),1,0)*Table_NFI[[#This Row],[Winter Clothes Children]],Table_NFI[Winter Clothes Children])</f>
        <v>0</v>
      </c>
      <c r="AK181" s="294">
        <f>IF(NFI_Expiration=1,IF($A181&lt;VLOOKUP(T$5,NFI,5,0),1,0)*Table_NFI[[#This Row],[Winter Items Other]],Table_NFI[Winter Items Other])</f>
        <v>0</v>
      </c>
      <c r="AL181" s="294">
        <f>IF(NFI_Expiration=1,IF($A181&lt;VLOOKUP(M$5,NFI,5,0),1,0)*Table_NFI[[#This Row],[Winter Blanket]],Table_NFI[[#This Row],[Winter Blanket]])</f>
        <v>0</v>
      </c>
      <c r="AM181" s="294">
        <f>IF(Table_NFI[[#This Row],[Winter Clothes Adult]]+Table_NFI[[#This Row],[Winter Clothes Children]]+Table_NFI[[#This Row],[Winter Items Other]]+Table_NFI[[#This Row],[Winter Blanket]]&gt;0,1,0)</f>
        <v>1</v>
      </c>
      <c r="AN181" s="331">
        <f>IF(NFI_Expiration=1,IF($A181&lt;VLOOKUP(V$5,NFI,5,0),1,0)*Table_NFI[[#This Row],[Jerry Can]],Table_NFI[Jerry Can])</f>
        <v>0</v>
      </c>
      <c r="AO181" s="331">
        <f>IF(NFI_Expiration=1,IF($A181&lt;VLOOKUP(V$5,NFI,5,0),1,0)*Table_NFI[[#This Row],[Shelter Tool kit]],Table_NFI[Shelter Tool kit])</f>
        <v>0</v>
      </c>
      <c r="AP181" s="331">
        <f>IF(NFI_Expiration=1,IF($A181&lt;VLOOKUP(V$5,NFI,5,0),1,0)*Table_NFI[[#This Row],[Tent]],Table_NFI[Tent])</f>
        <v>0</v>
      </c>
      <c r="AQ181" s="473" t="str">
        <f>IFERROR(VLOOKUP(Table_NFI[[#This Row],[Camp Name]],CL,2,0),"")</f>
        <v>MMR001CMP117</v>
      </c>
      <c r="AR181" s="468">
        <f ca="1">IF(Table_NFI[[#This Row],[Pcode]]="","",IF(OFFSET(CampList[Opening Date],MATCH(Table_NFI[[#This Row],[Pcode]],CampList[CP_Pcode],0)-1,0,1,1)&gt;=NFI_Monitor_Date,1,0))</f>
        <v>0</v>
      </c>
      <c r="AS181" s="473" t="str">
        <f>IFERROR(VLOOKUP(Table_NFI[[#This Row],[Camp Name]],CL,3,0),"")</f>
        <v>Closed</v>
      </c>
      <c r="AT181" s="294" t="str">
        <f ca="1">IF(Table_NFI[[#This Row],[Pcode]]="","",OFFSET(CampList[Priority],MATCH(Table_NFI[[#This Row],[Pcode]],CampList[CP_Pcode],0)-1,0,1,1))</f>
        <v>P2</v>
      </c>
      <c r="AU181" s="293" t="str">
        <f>IFERROR(Table_NFI[[#This Row],[Kitchen Set]]/VLOOKUP(Table_NFI[[#This Row],[Camp Name]],CL,4,0),"")</f>
        <v/>
      </c>
      <c r="AV181" s="466" t="s">
        <v>1092</v>
      </c>
      <c r="AW181" s="474"/>
    </row>
    <row r="182" spans="1:49" s="98" customFormat="1" ht="14.45" customHeight="1" x14ac:dyDescent="0.25">
      <c r="A182" s="297">
        <f t="shared" si="2"/>
        <v>20.8</v>
      </c>
      <c r="B182" s="465">
        <v>42051</v>
      </c>
      <c r="C182" s="471" t="s">
        <v>452</v>
      </c>
      <c r="D182" s="471" t="s">
        <v>506</v>
      </c>
      <c r="E182" s="471" t="s">
        <v>380</v>
      </c>
      <c r="F182" s="471" t="s">
        <v>310</v>
      </c>
      <c r="G182" s="471" t="s">
        <v>353</v>
      </c>
      <c r="H182" s="292"/>
      <c r="I182" s="292"/>
      <c r="J182" s="292"/>
      <c r="K182" s="292"/>
      <c r="L182" s="292"/>
      <c r="M182" s="292"/>
      <c r="N182" s="292"/>
      <c r="O182" s="292"/>
      <c r="P182" s="294"/>
      <c r="Q182" s="294"/>
      <c r="R182" s="294">
        <v>1620</v>
      </c>
      <c r="S182" s="294">
        <v>2207</v>
      </c>
      <c r="T182" s="294"/>
      <c r="U182" s="294">
        <v>1760</v>
      </c>
      <c r="V182" s="431"/>
      <c r="W182" s="294"/>
      <c r="X182" s="294"/>
      <c r="Y182" s="294">
        <f>IF(NFI_Expiration=1,IF($A182&lt;VLOOKUP(H$5,NFI,5,0),1,0)*Table_NFI[[#This Row],[Hygiene Kit]],Table_NFI[Hygiene Kit])</f>
        <v>0</v>
      </c>
      <c r="Z182" s="294">
        <f>IF(NFI_Expiration=1,IF($A182&lt;VLOOKUP(I$5,NFI,5,0),1,0)*Table_NFI[[#This Row],[NFI Core Kit]],Table_NFI[NFI Core Kit])</f>
        <v>0</v>
      </c>
      <c r="AA182" s="294">
        <f>IF(NFI_Expiration=1,IF($A182&lt;VLOOKUP(J$5,NFI,5,0),1,0)*Table_NFI[[#This Row],[Sanitary Kit]],Table_NFI[Sanitary Kit])</f>
        <v>0</v>
      </c>
      <c r="AB182" s="294">
        <f>IF(NFI_Expiration=1,IF($A182&lt;VLOOKUP(K$5,NFI,5,0),1,0)*Table_NFI[[#This Row],[Mosquito net]],Table_NFI[Mosquito net])</f>
        <v>0</v>
      </c>
      <c r="AC182" s="294">
        <f>IF(NFI_Expiration=1,IF($A182&lt;VLOOKUP(L$5,NFI,5,0),1,0)*Table_NFI[[#This Row],[Tarpaulin]],Table_NFI[[#This Row],[Tarpaulin]])</f>
        <v>0</v>
      </c>
      <c r="AD182" s="294">
        <f>IF(NFI_Expiration=1,IF($A182&lt;VLOOKUP(M$5,NFI,5,0),1,0)*Table_NFI[[#This Row],[Blanket]],Table_NFI[[#This Row],[Blanket]])</f>
        <v>0</v>
      </c>
      <c r="AE182" s="294">
        <f>IF(NFI_Expiration=1,IF($A182&lt;VLOOKUP(N$5,NFI,5,0),1,0)*Table_NFI[[#This Row],[Kitchen Set]],Table_NFI[Kitchen Set])</f>
        <v>0</v>
      </c>
      <c r="AF182" s="294">
        <f>IF(NFI_Expiration=1,IF($A182&lt;VLOOKUP(O$5,NFI,5,0),1,0)*Table_NFI[[#This Row],[Clothes Kit]],Table_NFI[Clothes Kit])</f>
        <v>0</v>
      </c>
      <c r="AG182" s="294">
        <f>IF(NFI_Expiration=1,IF($A182&lt;VLOOKUP(P$5,NFI,5,0),1,0)*Table_NFI[[#This Row],[Plastic Bucket]],Table_NFI[Plastic Bucket])</f>
        <v>0</v>
      </c>
      <c r="AH182" s="294">
        <f>IF(NFI_Expiration=1,IF($A182&lt;VLOOKUP(Q$5,NFI,5,0),1,0)*Table_NFI[[#This Row],[Plastic Mat]],Table_NFI[Plastic Mat])*IF(Table_NFI[[#This Row],[Distribution Date]]&gt;"2014-04-01",1,2.5)</f>
        <v>0</v>
      </c>
      <c r="AI182" s="294">
        <f>IF(NFI_Expiration=1,IF($A182&lt;VLOOKUP(R$5,NFI,5,0),1,0)*Table_NFI[[#This Row],[Winter Clothes Adult]],Table_NFI[Winter Clothes Adult])</f>
        <v>0</v>
      </c>
      <c r="AJ182" s="294">
        <f>IF(NFI_Expiration=1,IF($A182&lt;VLOOKUP(S$5,NFI,5,0),1,0)*Table_NFI[[#This Row],[Winter Clothes Children]],Table_NFI[Winter Clothes Children])</f>
        <v>0</v>
      </c>
      <c r="AK182" s="294">
        <f>IF(NFI_Expiration=1,IF($A182&lt;VLOOKUP(T$5,NFI,5,0),1,0)*Table_NFI[[#This Row],[Winter Items Other]],Table_NFI[Winter Items Other])</f>
        <v>0</v>
      </c>
      <c r="AL182" s="294">
        <f>IF(NFI_Expiration=1,IF($A182&lt;VLOOKUP(M$5,NFI,5,0),1,0)*Table_NFI[[#This Row],[Winter Blanket]],Table_NFI[[#This Row],[Winter Blanket]])</f>
        <v>0</v>
      </c>
      <c r="AM182" s="294">
        <f>IF(Table_NFI[[#This Row],[Winter Clothes Adult]]+Table_NFI[[#This Row],[Winter Clothes Children]]+Table_NFI[[#This Row],[Winter Items Other]]+Table_NFI[[#This Row],[Winter Blanket]]&gt;0,1,0)</f>
        <v>1</v>
      </c>
      <c r="AN182" s="331">
        <f>IF(NFI_Expiration=1,IF($A182&lt;VLOOKUP(V$5,NFI,5,0),1,0)*Table_NFI[[#This Row],[Jerry Can]],Table_NFI[Jerry Can])</f>
        <v>0</v>
      </c>
      <c r="AO182" s="331">
        <f>IF(NFI_Expiration=1,IF($A182&lt;VLOOKUP(V$5,NFI,5,0),1,0)*Table_NFI[[#This Row],[Shelter Tool kit]],Table_NFI[Shelter Tool kit])</f>
        <v>0</v>
      </c>
      <c r="AP182" s="331">
        <f>IF(NFI_Expiration=1,IF($A182&lt;VLOOKUP(V$5,NFI,5,0),1,0)*Table_NFI[[#This Row],[Tent]],Table_NFI[Tent])</f>
        <v>0</v>
      </c>
      <c r="AQ182" s="473" t="str">
        <f>IFERROR(VLOOKUP(Table_NFI[[#This Row],[Camp Name]],CL,2,0),"")</f>
        <v>MMR001CMP116</v>
      </c>
      <c r="AR182" s="468">
        <f ca="1">IF(Table_NFI[[#This Row],[Pcode]]="","",IF(OFFSET(CampList[Opening Date],MATCH(Table_NFI[[#This Row],[Pcode]],CampList[CP_Pcode],0)-1,0,1,1)&gt;=NFI_Monitor_Date,1,0))</f>
        <v>0</v>
      </c>
      <c r="AS182" s="473" t="str">
        <f>IFERROR(VLOOKUP(Table_NFI[[#This Row],[Camp Name]],CL,3,0),"")</f>
        <v>Open</v>
      </c>
      <c r="AT182" s="294" t="str">
        <f ca="1">IF(Table_NFI[[#This Row],[Pcode]]="","",OFFSET(CampList[Priority],MATCH(Table_NFI[[#This Row],[Pcode]],CampList[CP_Pcode],0)-1,0,1,1))</f>
        <v>P4</v>
      </c>
      <c r="AU182" s="293">
        <f>IFERROR(Table_NFI[[#This Row],[Kitchen Set]]/VLOOKUP(Table_NFI[[#This Row],[Camp Name]],CL,4,0),"")</f>
        <v>0</v>
      </c>
      <c r="AV182" s="466" t="s">
        <v>1092</v>
      </c>
      <c r="AW182" s="474"/>
    </row>
    <row r="183" spans="1:49" s="98" customFormat="1" ht="14.45" customHeight="1" x14ac:dyDescent="0.25">
      <c r="A183" s="297">
        <f t="shared" si="2"/>
        <v>20.9</v>
      </c>
      <c r="B183" s="465">
        <v>42048</v>
      </c>
      <c r="C183" s="471" t="s">
        <v>452</v>
      </c>
      <c r="D183" s="471" t="s">
        <v>506</v>
      </c>
      <c r="E183" s="471" t="s">
        <v>380</v>
      </c>
      <c r="F183" s="471" t="s">
        <v>237</v>
      </c>
      <c r="G183" s="471" t="s">
        <v>273</v>
      </c>
      <c r="H183" s="292"/>
      <c r="I183" s="292"/>
      <c r="J183" s="292"/>
      <c r="K183" s="292"/>
      <c r="L183" s="292"/>
      <c r="M183" s="292">
        <v>18</v>
      </c>
      <c r="N183" s="292">
        <v>9</v>
      </c>
      <c r="O183" s="292"/>
      <c r="P183" s="294">
        <v>29</v>
      </c>
      <c r="Q183" s="294">
        <v>145</v>
      </c>
      <c r="R183" s="294"/>
      <c r="S183" s="294"/>
      <c r="T183" s="294"/>
      <c r="U183" s="294"/>
      <c r="V183" s="431"/>
      <c r="W183" s="294"/>
      <c r="X183" s="294"/>
      <c r="Y183" s="294">
        <f>IF(NFI_Expiration=1,IF($A183&lt;VLOOKUP(H$5,NFI,5,0),1,0)*Table_NFI[[#This Row],[Hygiene Kit]],Table_NFI[Hygiene Kit])</f>
        <v>0</v>
      </c>
      <c r="Z183" s="294">
        <f>IF(NFI_Expiration=1,IF($A183&lt;VLOOKUP(I$5,NFI,5,0),1,0)*Table_NFI[[#This Row],[NFI Core Kit]],Table_NFI[NFI Core Kit])</f>
        <v>0</v>
      </c>
      <c r="AA183" s="294">
        <f>IF(NFI_Expiration=1,IF($A183&lt;VLOOKUP(J$5,NFI,5,0),1,0)*Table_NFI[[#This Row],[Sanitary Kit]],Table_NFI[Sanitary Kit])</f>
        <v>0</v>
      </c>
      <c r="AB183" s="294">
        <f>IF(NFI_Expiration=1,IF($A183&lt;VLOOKUP(K$5,NFI,5,0),1,0)*Table_NFI[[#This Row],[Mosquito net]],Table_NFI[Mosquito net])</f>
        <v>0</v>
      </c>
      <c r="AC183" s="294">
        <f>IF(NFI_Expiration=1,IF($A183&lt;VLOOKUP(L$5,NFI,5,0),1,0)*Table_NFI[[#This Row],[Tarpaulin]],Table_NFI[[#This Row],[Tarpaulin]])</f>
        <v>0</v>
      </c>
      <c r="AD183" s="294">
        <f>IF(NFI_Expiration=1,IF($A183&lt;VLOOKUP(M$5,NFI,5,0),1,0)*Table_NFI[[#This Row],[Blanket]],Table_NFI[[#This Row],[Blanket]])</f>
        <v>0</v>
      </c>
      <c r="AE183" s="294">
        <f>IF(NFI_Expiration=1,IF($A183&lt;VLOOKUP(N$5,NFI,5,0),1,0)*Table_NFI[[#This Row],[Kitchen Set]],Table_NFI[Kitchen Set])</f>
        <v>0</v>
      </c>
      <c r="AF183" s="294">
        <f>IF(NFI_Expiration=1,IF($A183&lt;VLOOKUP(O$5,NFI,5,0),1,0)*Table_NFI[[#This Row],[Clothes Kit]],Table_NFI[Clothes Kit])</f>
        <v>0</v>
      </c>
      <c r="AG183" s="294">
        <f>IF(NFI_Expiration=1,IF($A183&lt;VLOOKUP(P$5,NFI,5,0),1,0)*Table_NFI[[#This Row],[Plastic Bucket]],Table_NFI[Plastic Bucket])</f>
        <v>0</v>
      </c>
      <c r="AH183" s="294">
        <f>IF(NFI_Expiration=1,IF($A183&lt;VLOOKUP(Q$5,NFI,5,0),1,0)*Table_NFI[[#This Row],[Plastic Mat]],Table_NFI[Plastic Mat])*IF(Table_NFI[[#This Row],[Distribution Date]]&gt;"2014-04-01",1,2.5)</f>
        <v>0</v>
      </c>
      <c r="AI183" s="294">
        <f>IF(NFI_Expiration=1,IF($A183&lt;VLOOKUP(R$5,NFI,5,0),1,0)*Table_NFI[[#This Row],[Winter Clothes Adult]],Table_NFI[Winter Clothes Adult])</f>
        <v>0</v>
      </c>
      <c r="AJ183" s="294">
        <f>IF(NFI_Expiration=1,IF($A183&lt;VLOOKUP(S$5,NFI,5,0),1,0)*Table_NFI[[#This Row],[Winter Clothes Children]],Table_NFI[Winter Clothes Children])</f>
        <v>0</v>
      </c>
      <c r="AK183" s="294">
        <f>IF(NFI_Expiration=1,IF($A183&lt;VLOOKUP(T$5,NFI,5,0),1,0)*Table_NFI[[#This Row],[Winter Items Other]],Table_NFI[Winter Items Other])</f>
        <v>0</v>
      </c>
      <c r="AL183" s="294">
        <f>IF(NFI_Expiration=1,IF($A183&lt;VLOOKUP(M$5,NFI,5,0),1,0)*Table_NFI[[#This Row],[Winter Blanket]],Table_NFI[[#This Row],[Winter Blanket]])</f>
        <v>0</v>
      </c>
      <c r="AM183" s="294">
        <f>IF(Table_NFI[[#This Row],[Winter Clothes Adult]]+Table_NFI[[#This Row],[Winter Clothes Children]]+Table_NFI[[#This Row],[Winter Items Other]]+Table_NFI[[#This Row],[Winter Blanket]]&gt;0,1,0)</f>
        <v>0</v>
      </c>
      <c r="AN183" s="331">
        <f>IF(NFI_Expiration=1,IF($A183&lt;VLOOKUP(V$5,NFI,5,0),1,0)*Table_NFI[[#This Row],[Jerry Can]],Table_NFI[Jerry Can])</f>
        <v>0</v>
      </c>
      <c r="AO183" s="331">
        <f>IF(NFI_Expiration=1,IF($A183&lt;VLOOKUP(V$5,NFI,5,0),1,0)*Table_NFI[[#This Row],[Shelter Tool kit]],Table_NFI[Shelter Tool kit])</f>
        <v>0</v>
      </c>
      <c r="AP183" s="331">
        <f>IF(NFI_Expiration=1,IF($A183&lt;VLOOKUP(V$5,NFI,5,0),1,0)*Table_NFI[[#This Row],[Tent]],Table_NFI[Tent])</f>
        <v>0</v>
      </c>
      <c r="AQ183" s="473" t="str">
        <f>IFERROR(VLOOKUP(Table_NFI[[#This Row],[Camp Name]],CL,2,0),"")</f>
        <v>MMR001CMP162</v>
      </c>
      <c r="AR183" s="468">
        <f ca="1">IF(Table_NFI[[#This Row],[Pcode]]="","",IF(OFFSET(CampList[Opening Date],MATCH(Table_NFI[[#This Row],[Pcode]],CampList[CP_Pcode],0)-1,0,1,1)&gt;=NFI_Monitor_Date,1,0))</f>
        <v>0</v>
      </c>
      <c r="AS183" s="473" t="str">
        <f>IFERROR(VLOOKUP(Table_NFI[[#This Row],[Camp Name]],CL,3,0),"")</f>
        <v>Open</v>
      </c>
      <c r="AT183" s="294" t="str">
        <f ca="1">IF(Table_NFI[[#This Row],[Pcode]]="","",OFFSET(CampList[Priority],MATCH(Table_NFI[[#This Row],[Pcode]],CampList[CP_Pcode],0)-1,0,1,1))</f>
        <v>P4</v>
      </c>
      <c r="AU183" s="293">
        <f>IFERROR(Table_NFI[[#This Row],[Kitchen Set]]/VLOOKUP(Table_NFI[[#This Row],[Camp Name]],CL,4,0),"")</f>
        <v>0.19565217391304349</v>
      </c>
      <c r="AV183" s="466" t="s">
        <v>1092</v>
      </c>
      <c r="AW183" s="474"/>
    </row>
    <row r="184" spans="1:49" s="470" customFormat="1" ht="14.45" customHeight="1" x14ac:dyDescent="0.25">
      <c r="A184" s="297">
        <f t="shared" si="2"/>
        <v>20.9</v>
      </c>
      <c r="B184" s="465">
        <v>42048</v>
      </c>
      <c r="C184" s="471" t="s">
        <v>452</v>
      </c>
      <c r="D184" s="471" t="s">
        <v>1262</v>
      </c>
      <c r="E184" s="471" t="s">
        <v>553</v>
      </c>
      <c r="F184" s="471" t="s">
        <v>146</v>
      </c>
      <c r="G184" s="471" t="s">
        <v>1335</v>
      </c>
      <c r="H184" s="292"/>
      <c r="I184" s="292">
        <v>68</v>
      </c>
      <c r="J184" s="292">
        <v>54</v>
      </c>
      <c r="K184" s="292">
        <v>134</v>
      </c>
      <c r="L184" s="292">
        <v>68</v>
      </c>
      <c r="M184" s="292">
        <v>134</v>
      </c>
      <c r="N184" s="292">
        <v>68</v>
      </c>
      <c r="O184" s="292"/>
      <c r="P184" s="294">
        <v>68</v>
      </c>
      <c r="Q184" s="294">
        <v>134</v>
      </c>
      <c r="R184" s="294"/>
      <c r="S184" s="294"/>
      <c r="T184" s="294"/>
      <c r="U184" s="294"/>
      <c r="V184" s="431">
        <v>68</v>
      </c>
      <c r="W184" s="294"/>
      <c r="X184" s="294"/>
      <c r="Y184" s="294">
        <f>IF(NFI_Expiration=1,IF($A184&lt;VLOOKUP(H$5,NFI,5,0),1,0)*Table_NFI[[#This Row],[Hygiene Kit]],Table_NFI[Hygiene Kit])</f>
        <v>0</v>
      </c>
      <c r="Z184" s="294">
        <f>IF(NFI_Expiration=1,IF($A184&lt;VLOOKUP(I$5,NFI,5,0),1,0)*Table_NFI[[#This Row],[NFI Core Kit]],Table_NFI[NFI Core Kit])</f>
        <v>0</v>
      </c>
      <c r="AA184" s="294">
        <f>IF(NFI_Expiration=1,IF($A184&lt;VLOOKUP(J$5,NFI,5,0),1,0)*Table_NFI[[#This Row],[Sanitary Kit]],Table_NFI[Sanitary Kit])</f>
        <v>0</v>
      </c>
      <c r="AB184" s="294">
        <f>IF(NFI_Expiration=1,IF($A184&lt;VLOOKUP(K$5,NFI,5,0),1,0)*Table_NFI[[#This Row],[Mosquito net]],Table_NFI[Mosquito net])</f>
        <v>0</v>
      </c>
      <c r="AC184" s="294">
        <f>IF(NFI_Expiration=1,IF($A184&lt;VLOOKUP(L$5,NFI,5,0),1,0)*Table_NFI[[#This Row],[Tarpaulin]],Table_NFI[[#This Row],[Tarpaulin]])</f>
        <v>0</v>
      </c>
      <c r="AD184" s="294">
        <f>IF(NFI_Expiration=1,IF($A184&lt;VLOOKUP(M$5,NFI,5,0),1,0)*Table_NFI[[#This Row],[Blanket]],Table_NFI[[#This Row],[Blanket]])</f>
        <v>0</v>
      </c>
      <c r="AE184" s="294">
        <f>IF(NFI_Expiration=1,IF($A184&lt;VLOOKUP(N$5,NFI,5,0),1,0)*Table_NFI[[#This Row],[Kitchen Set]],Table_NFI[Kitchen Set])</f>
        <v>0</v>
      </c>
      <c r="AF184" s="294">
        <f>IF(NFI_Expiration=1,IF($A184&lt;VLOOKUP(O$5,NFI,5,0),1,0)*Table_NFI[[#This Row],[Clothes Kit]],Table_NFI[Clothes Kit])</f>
        <v>0</v>
      </c>
      <c r="AG184" s="294">
        <f>IF(NFI_Expiration=1,IF($A184&lt;VLOOKUP(P$5,NFI,5,0),1,0)*Table_NFI[[#This Row],[Plastic Bucket]],Table_NFI[Plastic Bucket])</f>
        <v>0</v>
      </c>
      <c r="AH184" s="294">
        <f>IF(NFI_Expiration=1,IF($A184&lt;VLOOKUP(Q$5,NFI,5,0),1,0)*Table_NFI[[#This Row],[Plastic Mat]],Table_NFI[Plastic Mat])*IF(Table_NFI[[#This Row],[Distribution Date]]&gt;"2014-04-01",1,2.5)</f>
        <v>0</v>
      </c>
      <c r="AI184" s="294">
        <f>IF(NFI_Expiration=1,IF($A184&lt;VLOOKUP(R$5,NFI,5,0),1,0)*Table_NFI[[#This Row],[Winter Clothes Adult]],Table_NFI[Winter Clothes Adult])</f>
        <v>0</v>
      </c>
      <c r="AJ184" s="294">
        <f>IF(NFI_Expiration=1,IF($A184&lt;VLOOKUP(S$5,NFI,5,0),1,0)*Table_NFI[[#This Row],[Winter Clothes Children]],Table_NFI[Winter Clothes Children])</f>
        <v>0</v>
      </c>
      <c r="AK184" s="294">
        <f>IF(NFI_Expiration=1,IF($A184&lt;VLOOKUP(T$5,NFI,5,0),1,0)*Table_NFI[[#This Row],[Winter Items Other]],Table_NFI[Winter Items Other])</f>
        <v>0</v>
      </c>
      <c r="AL184" s="294">
        <f>IF(NFI_Expiration=1,IF($A184&lt;VLOOKUP(M$5,NFI,5,0),1,0)*Table_NFI[[#This Row],[Winter Blanket]],Table_NFI[[#This Row],[Winter Blanket]])</f>
        <v>0</v>
      </c>
      <c r="AM184" s="294">
        <f>IF(Table_NFI[[#This Row],[Winter Clothes Adult]]+Table_NFI[[#This Row],[Winter Clothes Children]]+Table_NFI[[#This Row],[Winter Items Other]]+Table_NFI[[#This Row],[Winter Blanket]]&gt;0,1,0)</f>
        <v>0</v>
      </c>
      <c r="AN184" s="331">
        <f>IF(NFI_Expiration=1,IF($A184&lt;VLOOKUP(V$5,NFI,5,0),1,0)*Table_NFI[[#This Row],[Jerry Can]],Table_NFI[Jerry Can])</f>
        <v>0</v>
      </c>
      <c r="AO184" s="331">
        <f>IF(NFI_Expiration=1,IF($A184&lt;VLOOKUP(V$5,NFI,5,0),1,0)*Table_NFI[[#This Row],[Shelter Tool kit]],Table_NFI[Shelter Tool kit])</f>
        <v>0</v>
      </c>
      <c r="AP184" s="331">
        <f>IF(NFI_Expiration=1,IF($A184&lt;VLOOKUP(V$5,NFI,5,0),1,0)*Table_NFI[[#This Row],[Tent]],Table_NFI[Tent])</f>
        <v>0</v>
      </c>
      <c r="AQ184" s="473" t="str">
        <f>IFERROR(VLOOKUP(Table_NFI[[#This Row],[Camp Name]],CL,2,0),"")</f>
        <v/>
      </c>
      <c r="AR184" s="468" t="str">
        <f ca="1">IF(Table_NFI[[#This Row],[Pcode]]="","",IF(OFFSET(CampList[Opening Date],MATCH(Table_NFI[[#This Row],[Pcode]],CampList[CP_Pcode],0)-1,0,1,1)&gt;=NFI_Monitor_Date,1,0))</f>
        <v/>
      </c>
      <c r="AS184" s="670" t="str">
        <f>IFERROR(VLOOKUP(Table_NFI[[#This Row],[Camp Name]],CL,3,0),"")</f>
        <v/>
      </c>
      <c r="AT184" s="294" t="str">
        <f ca="1">IF(Table_NFI[[#This Row],[Pcode]]="","",OFFSET(CampList[Priority],MATCH(Table_NFI[[#This Row],[Pcode]],CampList[CP_Pcode],0)-1,0,1,1))</f>
        <v/>
      </c>
      <c r="AU184" s="293" t="str">
        <f>IFERROR(Table_NFI[[#This Row],[Kitchen Set]]/VLOOKUP(Table_NFI[[#This Row],[Camp Name]],CL,4,0),"")</f>
        <v/>
      </c>
      <c r="AV184" s="466" t="s">
        <v>1092</v>
      </c>
      <c r="AW184" s="474"/>
    </row>
    <row r="185" spans="1:49" s="470" customFormat="1" ht="14.45" customHeight="1" x14ac:dyDescent="0.25">
      <c r="A185" s="297">
        <f t="shared" si="2"/>
        <v>21</v>
      </c>
      <c r="B185" s="465">
        <v>42045</v>
      </c>
      <c r="C185" s="466" t="s">
        <v>452</v>
      </c>
      <c r="D185" s="471" t="s">
        <v>452</v>
      </c>
      <c r="E185" s="471" t="s">
        <v>553</v>
      </c>
      <c r="F185" s="471" t="s">
        <v>151</v>
      </c>
      <c r="G185" s="471" t="s">
        <v>1337</v>
      </c>
      <c r="H185" s="292"/>
      <c r="I185" s="292"/>
      <c r="J185" s="292"/>
      <c r="K185" s="292">
        <v>49</v>
      </c>
      <c r="L185" s="292">
        <v>16</v>
      </c>
      <c r="M185" s="292">
        <v>49</v>
      </c>
      <c r="N185" s="292">
        <v>16</v>
      </c>
      <c r="O185" s="292"/>
      <c r="P185" s="294">
        <v>16</v>
      </c>
      <c r="Q185" s="294">
        <v>92</v>
      </c>
      <c r="R185" s="294"/>
      <c r="S185" s="294"/>
      <c r="T185" s="294"/>
      <c r="U185" s="294"/>
      <c r="V185" s="431">
        <v>15</v>
      </c>
      <c r="W185" s="294"/>
      <c r="X185" s="294"/>
      <c r="Y185" s="294">
        <f>IF(NFI_Expiration=1,IF($A185&lt;VLOOKUP(H$5,NFI,5,0),1,0)*Table_NFI[[#This Row],[Hygiene Kit]],Table_NFI[Hygiene Kit])</f>
        <v>0</v>
      </c>
      <c r="Z185" s="294">
        <f>IF(NFI_Expiration=1,IF($A185&lt;VLOOKUP(I$5,NFI,5,0),1,0)*Table_NFI[[#This Row],[NFI Core Kit]],Table_NFI[NFI Core Kit])</f>
        <v>0</v>
      </c>
      <c r="AA185" s="294">
        <f>IF(NFI_Expiration=1,IF($A185&lt;VLOOKUP(J$5,NFI,5,0),1,0)*Table_NFI[[#This Row],[Sanitary Kit]],Table_NFI[Sanitary Kit])</f>
        <v>0</v>
      </c>
      <c r="AB185" s="294">
        <f>IF(NFI_Expiration=1,IF($A185&lt;VLOOKUP(K$5,NFI,5,0),1,0)*Table_NFI[[#This Row],[Mosquito net]],Table_NFI[Mosquito net])</f>
        <v>0</v>
      </c>
      <c r="AC185" s="294">
        <f>IF(NFI_Expiration=1,IF($A185&lt;VLOOKUP(L$5,NFI,5,0),1,0)*Table_NFI[[#This Row],[Tarpaulin]],Table_NFI[[#This Row],[Tarpaulin]])</f>
        <v>0</v>
      </c>
      <c r="AD185" s="294">
        <f>IF(NFI_Expiration=1,IF($A185&lt;VLOOKUP(M$5,NFI,5,0),1,0)*Table_NFI[[#This Row],[Blanket]],Table_NFI[[#This Row],[Blanket]])</f>
        <v>0</v>
      </c>
      <c r="AE185" s="294">
        <f>IF(NFI_Expiration=1,IF($A185&lt;VLOOKUP(N$5,NFI,5,0),1,0)*Table_NFI[[#This Row],[Kitchen Set]],Table_NFI[Kitchen Set])</f>
        <v>0</v>
      </c>
      <c r="AF185" s="294">
        <f>IF(NFI_Expiration=1,IF($A185&lt;VLOOKUP(O$5,NFI,5,0),1,0)*Table_NFI[[#This Row],[Clothes Kit]],Table_NFI[Clothes Kit])</f>
        <v>0</v>
      </c>
      <c r="AG185" s="294">
        <f>IF(NFI_Expiration=1,IF($A185&lt;VLOOKUP(P$5,NFI,5,0),1,0)*Table_NFI[[#This Row],[Plastic Bucket]],Table_NFI[Plastic Bucket])</f>
        <v>0</v>
      </c>
      <c r="AH185" s="294">
        <f>IF(NFI_Expiration=1,IF($A185&lt;VLOOKUP(Q$5,NFI,5,0),1,0)*Table_NFI[[#This Row],[Plastic Mat]],Table_NFI[Plastic Mat])*IF(Table_NFI[[#This Row],[Distribution Date]]&gt;"2014-04-01",1,2.5)</f>
        <v>0</v>
      </c>
      <c r="AI185" s="294">
        <f>IF(NFI_Expiration=1,IF($A185&lt;VLOOKUP(R$5,NFI,5,0),1,0)*Table_NFI[[#This Row],[Winter Clothes Adult]],Table_NFI[Winter Clothes Adult])</f>
        <v>0</v>
      </c>
      <c r="AJ185" s="294">
        <f>IF(NFI_Expiration=1,IF($A185&lt;VLOOKUP(S$5,NFI,5,0),1,0)*Table_NFI[[#This Row],[Winter Clothes Children]],Table_NFI[Winter Clothes Children])</f>
        <v>0</v>
      </c>
      <c r="AK185" s="294">
        <f>IF(NFI_Expiration=1,IF($A185&lt;VLOOKUP(T$5,NFI,5,0),1,0)*Table_NFI[[#This Row],[Winter Items Other]],Table_NFI[Winter Items Other])</f>
        <v>0</v>
      </c>
      <c r="AL185" s="294">
        <f>IF(NFI_Expiration=1,IF($A185&lt;VLOOKUP(M$5,NFI,5,0),1,0)*Table_NFI[[#This Row],[Winter Blanket]],Table_NFI[[#This Row],[Winter Blanket]])</f>
        <v>0</v>
      </c>
      <c r="AM185" s="294">
        <f>IF(Table_NFI[[#This Row],[Winter Clothes Adult]]+Table_NFI[[#This Row],[Winter Clothes Children]]+Table_NFI[[#This Row],[Winter Items Other]]+Table_NFI[[#This Row],[Winter Blanket]]&gt;0,1,0)</f>
        <v>0</v>
      </c>
      <c r="AN185" s="331">
        <f>IF(NFI_Expiration=1,IF($A185&lt;VLOOKUP(V$5,NFI,5,0),1,0)*Table_NFI[[#This Row],[Jerry Can]],Table_NFI[Jerry Can])</f>
        <v>0</v>
      </c>
      <c r="AO185" s="331">
        <f>IF(NFI_Expiration=1,IF($A185&lt;VLOOKUP(V$5,NFI,5,0),1,0)*Table_NFI[[#This Row],[Shelter Tool kit]],Table_NFI[Shelter Tool kit])</f>
        <v>0</v>
      </c>
      <c r="AP185" s="331">
        <f>IF(NFI_Expiration=1,IF($A185&lt;VLOOKUP(V$5,NFI,5,0),1,0)*Table_NFI[[#This Row],[Tent]],Table_NFI[Tent])</f>
        <v>0</v>
      </c>
      <c r="AQ185" s="473" t="str">
        <f>IFERROR(VLOOKUP(Table_NFI[[#This Row],[Camp Name]],CL,2,0),"")</f>
        <v/>
      </c>
      <c r="AR185" s="468" t="str">
        <f ca="1">IF(Table_NFI[[#This Row],[Pcode]]="","",IF(OFFSET(CampList[Opening Date],MATCH(Table_NFI[[#This Row],[Pcode]],CampList[CP_Pcode],0)-1,0,1,1)&gt;=NFI_Monitor_Date,1,0))</f>
        <v/>
      </c>
      <c r="AS185" s="670" t="str">
        <f>IFERROR(VLOOKUP(Table_NFI[[#This Row],[Camp Name]],CL,3,0),"")</f>
        <v/>
      </c>
      <c r="AT185" s="294" t="str">
        <f ca="1">IF(Table_NFI[[#This Row],[Pcode]]="","",OFFSET(CampList[Priority],MATCH(Table_NFI[[#This Row],[Pcode]],CampList[CP_Pcode],0)-1,0,1,1))</f>
        <v/>
      </c>
      <c r="AU185" s="293" t="str">
        <f>IFERROR(Table_NFI[[#This Row],[Kitchen Set]]/VLOOKUP(Table_NFI[[#This Row],[Camp Name]],CL,4,0),"")</f>
        <v/>
      </c>
      <c r="AV185" s="466" t="s">
        <v>1092</v>
      </c>
      <c r="AW185" s="469"/>
    </row>
    <row r="186" spans="1:49" s="98" customFormat="1" ht="14.45" customHeight="1" x14ac:dyDescent="0.25">
      <c r="A186" s="297">
        <f t="shared" si="2"/>
        <v>21</v>
      </c>
      <c r="B186" s="465">
        <v>42045</v>
      </c>
      <c r="C186" s="466" t="s">
        <v>452</v>
      </c>
      <c r="D186" s="471" t="s">
        <v>452</v>
      </c>
      <c r="E186" s="471" t="s">
        <v>553</v>
      </c>
      <c r="F186" s="471" t="s">
        <v>151</v>
      </c>
      <c r="G186" s="471" t="s">
        <v>1338</v>
      </c>
      <c r="H186" s="292"/>
      <c r="I186" s="292"/>
      <c r="J186" s="292"/>
      <c r="K186" s="292">
        <v>75</v>
      </c>
      <c r="L186" s="292">
        <v>13</v>
      </c>
      <c r="M186" s="292">
        <v>110</v>
      </c>
      <c r="N186" s="292">
        <v>13</v>
      </c>
      <c r="O186" s="292"/>
      <c r="P186" s="294">
        <v>13</v>
      </c>
      <c r="Q186" s="294">
        <v>45</v>
      </c>
      <c r="R186" s="294"/>
      <c r="S186" s="294"/>
      <c r="T186" s="294"/>
      <c r="U186" s="294"/>
      <c r="V186" s="431"/>
      <c r="W186" s="294"/>
      <c r="X186" s="294"/>
      <c r="Y186" s="294">
        <f>IF(NFI_Expiration=1,IF($A186&lt;VLOOKUP(H$5,NFI,5,0),1,0)*Table_NFI[[#This Row],[Hygiene Kit]],Table_NFI[Hygiene Kit])</f>
        <v>0</v>
      </c>
      <c r="Z186" s="294">
        <f>IF(NFI_Expiration=1,IF($A186&lt;VLOOKUP(I$5,NFI,5,0),1,0)*Table_NFI[[#This Row],[NFI Core Kit]],Table_NFI[NFI Core Kit])</f>
        <v>0</v>
      </c>
      <c r="AA186" s="294">
        <f>IF(NFI_Expiration=1,IF($A186&lt;VLOOKUP(J$5,NFI,5,0),1,0)*Table_NFI[[#This Row],[Sanitary Kit]],Table_NFI[Sanitary Kit])</f>
        <v>0</v>
      </c>
      <c r="AB186" s="294">
        <f>IF(NFI_Expiration=1,IF($A186&lt;VLOOKUP(K$5,NFI,5,0),1,0)*Table_NFI[[#This Row],[Mosquito net]],Table_NFI[Mosquito net])</f>
        <v>0</v>
      </c>
      <c r="AC186" s="294">
        <f>IF(NFI_Expiration=1,IF($A186&lt;VLOOKUP(L$5,NFI,5,0),1,0)*Table_NFI[[#This Row],[Tarpaulin]],Table_NFI[[#This Row],[Tarpaulin]])</f>
        <v>0</v>
      </c>
      <c r="AD186" s="294">
        <f>IF(NFI_Expiration=1,IF($A186&lt;VLOOKUP(M$5,NFI,5,0),1,0)*Table_NFI[[#This Row],[Blanket]],Table_NFI[[#This Row],[Blanket]])</f>
        <v>0</v>
      </c>
      <c r="AE186" s="294">
        <f>IF(NFI_Expiration=1,IF($A186&lt;VLOOKUP(N$5,NFI,5,0),1,0)*Table_NFI[[#This Row],[Kitchen Set]],Table_NFI[Kitchen Set])</f>
        <v>0</v>
      </c>
      <c r="AF186" s="294">
        <f>IF(NFI_Expiration=1,IF($A186&lt;VLOOKUP(O$5,NFI,5,0),1,0)*Table_NFI[[#This Row],[Clothes Kit]],Table_NFI[Clothes Kit])</f>
        <v>0</v>
      </c>
      <c r="AG186" s="294">
        <f>IF(NFI_Expiration=1,IF($A186&lt;VLOOKUP(P$5,NFI,5,0),1,0)*Table_NFI[[#This Row],[Plastic Bucket]],Table_NFI[Plastic Bucket])</f>
        <v>0</v>
      </c>
      <c r="AH186" s="294">
        <f>IF(NFI_Expiration=1,IF($A186&lt;VLOOKUP(Q$5,NFI,5,0),1,0)*Table_NFI[[#This Row],[Plastic Mat]],Table_NFI[Plastic Mat])*IF(Table_NFI[[#This Row],[Distribution Date]]&gt;"2014-04-01",1,2.5)</f>
        <v>0</v>
      </c>
      <c r="AI186" s="294">
        <f>IF(NFI_Expiration=1,IF($A186&lt;VLOOKUP(R$5,NFI,5,0),1,0)*Table_NFI[[#This Row],[Winter Clothes Adult]],Table_NFI[Winter Clothes Adult])</f>
        <v>0</v>
      </c>
      <c r="AJ186" s="294">
        <f>IF(NFI_Expiration=1,IF($A186&lt;VLOOKUP(S$5,NFI,5,0),1,0)*Table_NFI[[#This Row],[Winter Clothes Children]],Table_NFI[Winter Clothes Children])</f>
        <v>0</v>
      </c>
      <c r="AK186" s="294">
        <f>IF(NFI_Expiration=1,IF($A186&lt;VLOOKUP(T$5,NFI,5,0),1,0)*Table_NFI[[#This Row],[Winter Items Other]],Table_NFI[Winter Items Other])</f>
        <v>0</v>
      </c>
      <c r="AL186" s="294">
        <f>IF(NFI_Expiration=1,IF($A186&lt;VLOOKUP(M$5,NFI,5,0),1,0)*Table_NFI[[#This Row],[Winter Blanket]],Table_NFI[[#This Row],[Winter Blanket]])</f>
        <v>0</v>
      </c>
      <c r="AM186" s="294">
        <f>IF(Table_NFI[[#This Row],[Winter Clothes Adult]]+Table_NFI[[#This Row],[Winter Clothes Children]]+Table_NFI[[#This Row],[Winter Items Other]]+Table_NFI[[#This Row],[Winter Blanket]]&gt;0,1,0)</f>
        <v>0</v>
      </c>
      <c r="AN186" s="331">
        <f>IF(NFI_Expiration=1,IF($A186&lt;VLOOKUP(V$5,NFI,5,0),1,0)*Table_NFI[[#This Row],[Jerry Can]],Table_NFI[Jerry Can])</f>
        <v>0</v>
      </c>
      <c r="AO186" s="331">
        <f>IF(NFI_Expiration=1,IF($A186&lt;VLOOKUP(V$5,NFI,5,0),1,0)*Table_NFI[[#This Row],[Shelter Tool kit]],Table_NFI[Shelter Tool kit])</f>
        <v>0</v>
      </c>
      <c r="AP186" s="331">
        <f>IF(NFI_Expiration=1,IF($A186&lt;VLOOKUP(V$5,NFI,5,0),1,0)*Table_NFI[[#This Row],[Tent]],Table_NFI[Tent])</f>
        <v>0</v>
      </c>
      <c r="AQ186" s="473" t="str">
        <f>IFERROR(VLOOKUP(Table_NFI[[#This Row],[Camp Name]],CL,2,0),"")</f>
        <v/>
      </c>
      <c r="AR186" s="468" t="str">
        <f ca="1">IF(Table_NFI[[#This Row],[Pcode]]="","",IF(OFFSET(CampList[Opening Date],MATCH(Table_NFI[[#This Row],[Pcode]],CampList[CP_Pcode],0)-1,0,1,1)&gt;=NFI_Monitor_Date,1,0))</f>
        <v/>
      </c>
      <c r="AS186" s="670" t="str">
        <f>IFERROR(VLOOKUP(Table_NFI[[#This Row],[Camp Name]],CL,3,0),"")</f>
        <v/>
      </c>
      <c r="AT186" s="294" t="str">
        <f ca="1">IF(Table_NFI[[#This Row],[Pcode]]="","",OFFSET(CampList[Priority],MATCH(Table_NFI[[#This Row],[Pcode]],CampList[CP_Pcode],0)-1,0,1,1))</f>
        <v/>
      </c>
      <c r="AU186" s="293" t="str">
        <f>IFERROR(Table_NFI[[#This Row],[Kitchen Set]]/VLOOKUP(Table_NFI[[#This Row],[Camp Name]],CL,4,0),"")</f>
        <v/>
      </c>
      <c r="AV186" s="466" t="s">
        <v>1092</v>
      </c>
      <c r="AW186" s="469"/>
    </row>
    <row r="187" spans="1:49" s="98" customFormat="1" x14ac:dyDescent="0.25">
      <c r="A187" s="297">
        <f t="shared" si="2"/>
        <v>21</v>
      </c>
      <c r="B187" s="465">
        <v>42045</v>
      </c>
      <c r="C187" s="471" t="s">
        <v>452</v>
      </c>
      <c r="D187" s="471" t="s">
        <v>452</v>
      </c>
      <c r="E187" s="471" t="s">
        <v>553</v>
      </c>
      <c r="F187" s="471" t="s">
        <v>151</v>
      </c>
      <c r="G187" s="471" t="s">
        <v>1336</v>
      </c>
      <c r="H187" s="292"/>
      <c r="I187" s="292">
        <v>200</v>
      </c>
      <c r="J187" s="292"/>
      <c r="K187" s="292">
        <v>86</v>
      </c>
      <c r="L187" s="292">
        <v>28</v>
      </c>
      <c r="M187" s="292">
        <v>173</v>
      </c>
      <c r="N187" s="292">
        <v>28</v>
      </c>
      <c r="O187" s="292"/>
      <c r="P187" s="294">
        <v>43</v>
      </c>
      <c r="Q187" s="294">
        <v>199</v>
      </c>
      <c r="R187" s="294"/>
      <c r="S187" s="294"/>
      <c r="T187" s="294"/>
      <c r="U187" s="294"/>
      <c r="V187" s="431">
        <v>42</v>
      </c>
      <c r="W187" s="331"/>
      <c r="X187" s="331"/>
      <c r="Y187" s="294">
        <f>IF(NFI_Expiration=1,IF($A187&lt;VLOOKUP(H$5,NFI,5,0),1,0)*Table_NFI[[#This Row],[Hygiene Kit]],Table_NFI[Hygiene Kit])</f>
        <v>0</v>
      </c>
      <c r="Z187" s="294">
        <f>IF(NFI_Expiration=1,IF($A187&lt;VLOOKUP(I$5,NFI,5,0),1,0)*Table_NFI[[#This Row],[NFI Core Kit]],Table_NFI[NFI Core Kit])</f>
        <v>0</v>
      </c>
      <c r="AA187" s="294">
        <f>IF(NFI_Expiration=1,IF($A187&lt;VLOOKUP(J$5,NFI,5,0),1,0)*Table_NFI[[#This Row],[Sanitary Kit]],Table_NFI[Sanitary Kit])</f>
        <v>0</v>
      </c>
      <c r="AB187" s="294">
        <f>IF(NFI_Expiration=1,IF($A187&lt;VLOOKUP(K$5,NFI,5,0),1,0)*Table_NFI[[#This Row],[Mosquito net]],Table_NFI[Mosquito net])</f>
        <v>0</v>
      </c>
      <c r="AC187" s="294">
        <f>IF(NFI_Expiration=1,IF($A187&lt;VLOOKUP(L$5,NFI,5,0),1,0)*Table_NFI[[#This Row],[Tarpaulin]],Table_NFI[[#This Row],[Tarpaulin]])</f>
        <v>0</v>
      </c>
      <c r="AD187" s="294">
        <f>IF(NFI_Expiration=1,IF($A187&lt;VLOOKUP(M$5,NFI,5,0),1,0)*Table_NFI[[#This Row],[Blanket]],Table_NFI[[#This Row],[Blanket]])</f>
        <v>0</v>
      </c>
      <c r="AE187" s="294">
        <f>IF(NFI_Expiration=1,IF($A187&lt;VLOOKUP(N$5,NFI,5,0),1,0)*Table_NFI[[#This Row],[Kitchen Set]],Table_NFI[Kitchen Set])</f>
        <v>0</v>
      </c>
      <c r="AF187" s="294">
        <f>IF(NFI_Expiration=1,IF($A187&lt;VLOOKUP(O$5,NFI,5,0),1,0)*Table_NFI[[#This Row],[Clothes Kit]],Table_NFI[Clothes Kit])</f>
        <v>0</v>
      </c>
      <c r="AG187" s="294">
        <f>IF(NFI_Expiration=1,IF($A187&lt;VLOOKUP(P$5,NFI,5,0),1,0)*Table_NFI[[#This Row],[Plastic Bucket]],Table_NFI[Plastic Bucket])</f>
        <v>0</v>
      </c>
      <c r="AH187" s="294">
        <f>IF(NFI_Expiration=1,IF($A187&lt;VLOOKUP(Q$5,NFI,5,0),1,0)*Table_NFI[[#This Row],[Plastic Mat]],Table_NFI[Plastic Mat])*IF(Table_NFI[[#This Row],[Distribution Date]]&gt;"2014-04-01",1,2.5)</f>
        <v>0</v>
      </c>
      <c r="AI187" s="294">
        <f>IF(NFI_Expiration=1,IF($A187&lt;VLOOKUP(R$5,NFI,5,0),1,0)*Table_NFI[[#This Row],[Winter Clothes Adult]],Table_NFI[Winter Clothes Adult])</f>
        <v>0</v>
      </c>
      <c r="AJ187" s="294">
        <f>IF(NFI_Expiration=1,IF($A187&lt;VLOOKUP(S$5,NFI,5,0),1,0)*Table_NFI[[#This Row],[Winter Clothes Children]],Table_NFI[Winter Clothes Children])</f>
        <v>0</v>
      </c>
      <c r="AK187" s="294">
        <f>IF(NFI_Expiration=1,IF($A187&lt;VLOOKUP(T$5,NFI,5,0),1,0)*Table_NFI[[#This Row],[Winter Items Other]],Table_NFI[Winter Items Other])</f>
        <v>0</v>
      </c>
      <c r="AL187" s="294">
        <f>IF(NFI_Expiration=1,IF($A187&lt;VLOOKUP(M$5,NFI,5,0),1,0)*Table_NFI[[#This Row],[Winter Blanket]],Table_NFI[[#This Row],[Winter Blanket]])</f>
        <v>0</v>
      </c>
      <c r="AM187" s="294">
        <f>IF(Table_NFI[[#This Row],[Winter Clothes Adult]]+Table_NFI[[#This Row],[Winter Clothes Children]]+Table_NFI[[#This Row],[Winter Items Other]]+Table_NFI[[#This Row],[Winter Blanket]]&gt;0,1,0)</f>
        <v>0</v>
      </c>
      <c r="AN187" s="331">
        <f>IF(NFI_Expiration=1,IF($A187&lt;VLOOKUP(V$5,NFI,5,0),1,0)*Table_NFI[[#This Row],[Jerry Can]],Table_NFI[Jerry Can])</f>
        <v>0</v>
      </c>
      <c r="AO187" s="331">
        <f>IF(NFI_Expiration=1,IF($A187&lt;VLOOKUP(V$5,NFI,5,0),1,0)*Table_NFI[[#This Row],[Shelter Tool kit]],Table_NFI[Shelter Tool kit])</f>
        <v>0</v>
      </c>
      <c r="AP187" s="331">
        <f>IF(NFI_Expiration=1,IF($A187&lt;VLOOKUP(V$5,NFI,5,0),1,0)*Table_NFI[[#This Row],[Tent]],Table_NFI[Tent])</f>
        <v>0</v>
      </c>
      <c r="AQ187" s="473" t="str">
        <f>IFERROR(VLOOKUP(Table_NFI[[#This Row],[Camp Name]],CL,2,0),"")</f>
        <v/>
      </c>
      <c r="AR187" s="468" t="str">
        <f ca="1">IF(Table_NFI[[#This Row],[Pcode]]="","",IF(OFFSET(CampList[Opening Date],MATCH(Table_NFI[[#This Row],[Pcode]],CampList[CP_Pcode],0)-1,0,1,1)&gt;=NFI_Monitor_Date,1,0))</f>
        <v/>
      </c>
      <c r="AS187" s="670" t="str">
        <f>IFERROR(VLOOKUP(Table_NFI[[#This Row],[Camp Name]],CL,3,0),"")</f>
        <v/>
      </c>
      <c r="AT187" s="294" t="str">
        <f ca="1">IF(Table_NFI[[#This Row],[Pcode]]="","",OFFSET(CampList[Priority],MATCH(Table_NFI[[#This Row],[Pcode]],CampList[CP_Pcode],0)-1,0,1,1))</f>
        <v/>
      </c>
      <c r="AU187" s="293" t="str">
        <f>IFERROR(Table_NFI[[#This Row],[Kitchen Set]]/VLOOKUP(Table_NFI[[#This Row],[Camp Name]],CL,4,0),"")</f>
        <v/>
      </c>
      <c r="AV187" s="466" t="s">
        <v>1092</v>
      </c>
      <c r="AW187" s="474"/>
    </row>
    <row r="188" spans="1:49" s="98" customFormat="1" x14ac:dyDescent="0.25">
      <c r="A188" s="297">
        <f t="shared" si="2"/>
        <v>21</v>
      </c>
      <c r="B188" s="465">
        <v>42045</v>
      </c>
      <c r="C188" s="466" t="s">
        <v>452</v>
      </c>
      <c r="D188" s="471" t="s">
        <v>452</v>
      </c>
      <c r="E188" s="471" t="s">
        <v>553</v>
      </c>
      <c r="F188" s="471" t="s">
        <v>151</v>
      </c>
      <c r="G188" s="471" t="s">
        <v>1339</v>
      </c>
      <c r="H188" s="292"/>
      <c r="I188" s="292"/>
      <c r="J188" s="292"/>
      <c r="K188" s="292">
        <v>90</v>
      </c>
      <c r="L188" s="292">
        <v>43</v>
      </c>
      <c r="M188" s="292">
        <v>93</v>
      </c>
      <c r="N188" s="292">
        <v>43</v>
      </c>
      <c r="O188" s="292"/>
      <c r="P188" s="294">
        <v>32</v>
      </c>
      <c r="Q188" s="294">
        <v>164</v>
      </c>
      <c r="R188" s="294"/>
      <c r="S188" s="294"/>
      <c r="T188" s="294"/>
      <c r="U188" s="294"/>
      <c r="V188" s="431">
        <v>43</v>
      </c>
      <c r="W188" s="331"/>
      <c r="X188" s="331"/>
      <c r="Y188" s="294">
        <f>IF(NFI_Expiration=1,IF($A188&lt;VLOOKUP(H$5,NFI,5,0),1,0)*Table_NFI[[#This Row],[Hygiene Kit]],Table_NFI[Hygiene Kit])</f>
        <v>0</v>
      </c>
      <c r="Z188" s="294">
        <f>IF(NFI_Expiration=1,IF($A188&lt;VLOOKUP(I$5,NFI,5,0),1,0)*Table_NFI[[#This Row],[NFI Core Kit]],Table_NFI[NFI Core Kit])</f>
        <v>0</v>
      </c>
      <c r="AA188" s="294">
        <f>IF(NFI_Expiration=1,IF($A188&lt;VLOOKUP(J$5,NFI,5,0),1,0)*Table_NFI[[#This Row],[Sanitary Kit]],Table_NFI[Sanitary Kit])</f>
        <v>0</v>
      </c>
      <c r="AB188" s="294">
        <f>IF(NFI_Expiration=1,IF($A188&lt;VLOOKUP(K$5,NFI,5,0),1,0)*Table_NFI[[#This Row],[Mosquito net]],Table_NFI[Mosquito net])</f>
        <v>0</v>
      </c>
      <c r="AC188" s="294">
        <f>IF(NFI_Expiration=1,IF($A188&lt;VLOOKUP(L$5,NFI,5,0),1,0)*Table_NFI[[#This Row],[Tarpaulin]],Table_NFI[[#This Row],[Tarpaulin]])</f>
        <v>0</v>
      </c>
      <c r="AD188" s="294">
        <f>IF(NFI_Expiration=1,IF($A188&lt;VLOOKUP(M$5,NFI,5,0),1,0)*Table_NFI[[#This Row],[Blanket]],Table_NFI[[#This Row],[Blanket]])</f>
        <v>0</v>
      </c>
      <c r="AE188" s="294">
        <f>IF(NFI_Expiration=1,IF($A188&lt;VLOOKUP(N$5,NFI,5,0),1,0)*Table_NFI[[#This Row],[Kitchen Set]],Table_NFI[Kitchen Set])</f>
        <v>0</v>
      </c>
      <c r="AF188" s="294">
        <f>IF(NFI_Expiration=1,IF($A188&lt;VLOOKUP(O$5,NFI,5,0),1,0)*Table_NFI[[#This Row],[Clothes Kit]],Table_NFI[Clothes Kit])</f>
        <v>0</v>
      </c>
      <c r="AG188" s="294">
        <f>IF(NFI_Expiration=1,IF($A188&lt;VLOOKUP(P$5,NFI,5,0),1,0)*Table_NFI[[#This Row],[Plastic Bucket]],Table_NFI[Plastic Bucket])</f>
        <v>0</v>
      </c>
      <c r="AH188" s="294">
        <f>IF(NFI_Expiration=1,IF($A188&lt;VLOOKUP(Q$5,NFI,5,0),1,0)*Table_NFI[[#This Row],[Plastic Mat]],Table_NFI[Plastic Mat])*IF(Table_NFI[[#This Row],[Distribution Date]]&gt;"2014-04-01",1,2.5)</f>
        <v>0</v>
      </c>
      <c r="AI188" s="294">
        <f>IF(NFI_Expiration=1,IF($A188&lt;VLOOKUP(R$5,NFI,5,0),1,0)*Table_NFI[[#This Row],[Winter Clothes Adult]],Table_NFI[Winter Clothes Adult])</f>
        <v>0</v>
      </c>
      <c r="AJ188" s="294">
        <f>IF(NFI_Expiration=1,IF($A188&lt;VLOOKUP(S$5,NFI,5,0),1,0)*Table_NFI[[#This Row],[Winter Clothes Children]],Table_NFI[Winter Clothes Children])</f>
        <v>0</v>
      </c>
      <c r="AK188" s="294">
        <f>IF(NFI_Expiration=1,IF($A188&lt;VLOOKUP(T$5,NFI,5,0),1,0)*Table_NFI[[#This Row],[Winter Items Other]],Table_NFI[Winter Items Other])</f>
        <v>0</v>
      </c>
      <c r="AL188" s="294">
        <f>IF(NFI_Expiration=1,IF($A188&lt;VLOOKUP(M$5,NFI,5,0),1,0)*Table_NFI[[#This Row],[Winter Blanket]],Table_NFI[[#This Row],[Winter Blanket]])</f>
        <v>0</v>
      </c>
      <c r="AM188" s="294">
        <f>IF(Table_NFI[[#This Row],[Winter Clothes Adult]]+Table_NFI[[#This Row],[Winter Clothes Children]]+Table_NFI[[#This Row],[Winter Items Other]]+Table_NFI[[#This Row],[Winter Blanket]]&gt;0,1,0)</f>
        <v>0</v>
      </c>
      <c r="AN188" s="331">
        <f>IF(NFI_Expiration=1,IF($A188&lt;VLOOKUP(V$5,NFI,5,0),1,0)*Table_NFI[[#This Row],[Jerry Can]],Table_NFI[Jerry Can])</f>
        <v>0</v>
      </c>
      <c r="AO188" s="331">
        <f>IF(NFI_Expiration=1,IF($A188&lt;VLOOKUP(V$5,NFI,5,0),1,0)*Table_NFI[[#This Row],[Shelter Tool kit]],Table_NFI[Shelter Tool kit])</f>
        <v>0</v>
      </c>
      <c r="AP188" s="331">
        <f>IF(NFI_Expiration=1,IF($A188&lt;VLOOKUP(V$5,NFI,5,0),1,0)*Table_NFI[[#This Row],[Tent]],Table_NFI[Tent])</f>
        <v>0</v>
      </c>
      <c r="AQ188" s="473" t="str">
        <f>IFERROR(VLOOKUP(Table_NFI[[#This Row],[Camp Name]],CL,2,0),"")</f>
        <v/>
      </c>
      <c r="AR188" s="468" t="str">
        <f ca="1">IF(Table_NFI[[#This Row],[Pcode]]="","",IF(OFFSET(CampList[Opening Date],MATCH(Table_NFI[[#This Row],[Pcode]],CampList[CP_Pcode],0)-1,0,1,1)&gt;=NFI_Monitor_Date,1,0))</f>
        <v/>
      </c>
      <c r="AS188" s="670" t="str">
        <f>IFERROR(VLOOKUP(Table_NFI[[#This Row],[Camp Name]],CL,3,0),"")</f>
        <v/>
      </c>
      <c r="AT188" s="294" t="str">
        <f ca="1">IF(Table_NFI[[#This Row],[Pcode]]="","",OFFSET(CampList[Priority],MATCH(Table_NFI[[#This Row],[Pcode]],CampList[CP_Pcode],0)-1,0,1,1))</f>
        <v/>
      </c>
      <c r="AU188" s="293" t="str">
        <f>IFERROR(Table_NFI[[#This Row],[Kitchen Set]]/VLOOKUP(Table_NFI[[#This Row],[Camp Name]],CL,4,0),"")</f>
        <v/>
      </c>
      <c r="AV188" s="466" t="s">
        <v>1092</v>
      </c>
      <c r="AW188" s="469"/>
    </row>
    <row r="189" spans="1:49" s="98" customFormat="1" ht="14.45" customHeight="1" x14ac:dyDescent="0.25">
      <c r="A189" s="297">
        <f t="shared" si="2"/>
        <v>21</v>
      </c>
      <c r="B189" s="465">
        <v>42045</v>
      </c>
      <c r="C189" s="471" t="s">
        <v>452</v>
      </c>
      <c r="D189" s="471" t="s">
        <v>460</v>
      </c>
      <c r="E189" s="471" t="s">
        <v>380</v>
      </c>
      <c r="F189" s="471" t="s">
        <v>300</v>
      </c>
      <c r="G189" s="471" t="s">
        <v>1321</v>
      </c>
      <c r="H189" s="292"/>
      <c r="I189" s="292"/>
      <c r="J189" s="292">
        <v>46</v>
      </c>
      <c r="K189" s="292">
        <v>92</v>
      </c>
      <c r="L189" s="292">
        <v>46</v>
      </c>
      <c r="M189" s="292">
        <v>92</v>
      </c>
      <c r="N189" s="292">
        <v>46</v>
      </c>
      <c r="O189" s="292"/>
      <c r="P189" s="294">
        <v>46</v>
      </c>
      <c r="Q189" s="294">
        <v>230</v>
      </c>
      <c r="R189" s="294"/>
      <c r="S189" s="294"/>
      <c r="T189" s="294"/>
      <c r="U189" s="294"/>
      <c r="V189" s="431">
        <v>46</v>
      </c>
      <c r="W189" s="294"/>
      <c r="X189" s="294">
        <v>55</v>
      </c>
      <c r="Y189" s="294">
        <f>IF(NFI_Expiration=1,IF($A189&lt;VLOOKUP(H$5,NFI,5,0),1,0)*Table_NFI[[#This Row],[Hygiene Kit]],Table_NFI[Hygiene Kit])</f>
        <v>0</v>
      </c>
      <c r="Z189" s="294">
        <f>IF(NFI_Expiration=1,IF($A189&lt;VLOOKUP(I$5,NFI,5,0),1,0)*Table_NFI[[#This Row],[NFI Core Kit]],Table_NFI[NFI Core Kit])</f>
        <v>0</v>
      </c>
      <c r="AA189" s="294">
        <f>IF(NFI_Expiration=1,IF($A189&lt;VLOOKUP(J$5,NFI,5,0),1,0)*Table_NFI[[#This Row],[Sanitary Kit]],Table_NFI[Sanitary Kit])</f>
        <v>0</v>
      </c>
      <c r="AB189" s="294">
        <f>IF(NFI_Expiration=1,IF($A189&lt;VLOOKUP(K$5,NFI,5,0),1,0)*Table_NFI[[#This Row],[Mosquito net]],Table_NFI[Mosquito net])</f>
        <v>0</v>
      </c>
      <c r="AC189" s="294">
        <f>IF(NFI_Expiration=1,IF($A189&lt;VLOOKUP(L$5,NFI,5,0),1,0)*Table_NFI[[#This Row],[Tarpaulin]],Table_NFI[[#This Row],[Tarpaulin]])</f>
        <v>0</v>
      </c>
      <c r="AD189" s="294">
        <f>IF(NFI_Expiration=1,IF($A189&lt;VLOOKUP(M$5,NFI,5,0),1,0)*Table_NFI[[#This Row],[Blanket]],Table_NFI[[#This Row],[Blanket]])</f>
        <v>0</v>
      </c>
      <c r="AE189" s="294">
        <f>IF(NFI_Expiration=1,IF($A189&lt;VLOOKUP(N$5,NFI,5,0),1,0)*Table_NFI[[#This Row],[Kitchen Set]],Table_NFI[Kitchen Set])</f>
        <v>0</v>
      </c>
      <c r="AF189" s="294">
        <f>IF(NFI_Expiration=1,IF($A189&lt;VLOOKUP(O$5,NFI,5,0),1,0)*Table_NFI[[#This Row],[Clothes Kit]],Table_NFI[Clothes Kit])</f>
        <v>0</v>
      </c>
      <c r="AG189" s="294">
        <f>IF(NFI_Expiration=1,IF($A189&lt;VLOOKUP(P$5,NFI,5,0),1,0)*Table_NFI[[#This Row],[Plastic Bucket]],Table_NFI[Plastic Bucket])</f>
        <v>0</v>
      </c>
      <c r="AH189" s="294">
        <f>IF(NFI_Expiration=1,IF($A189&lt;VLOOKUP(Q$5,NFI,5,0),1,0)*Table_NFI[[#This Row],[Plastic Mat]],Table_NFI[Plastic Mat])*IF(Table_NFI[[#This Row],[Distribution Date]]&gt;"2014-04-01",1,2.5)</f>
        <v>0</v>
      </c>
      <c r="AI189" s="294">
        <f>IF(NFI_Expiration=1,IF($A189&lt;VLOOKUP(R$5,NFI,5,0),1,0)*Table_NFI[[#This Row],[Winter Clothes Adult]],Table_NFI[Winter Clothes Adult])</f>
        <v>0</v>
      </c>
      <c r="AJ189" s="294">
        <f>IF(NFI_Expiration=1,IF($A189&lt;VLOOKUP(S$5,NFI,5,0),1,0)*Table_NFI[[#This Row],[Winter Clothes Children]],Table_NFI[Winter Clothes Children])</f>
        <v>0</v>
      </c>
      <c r="AK189" s="294">
        <f>IF(NFI_Expiration=1,IF($A189&lt;VLOOKUP(T$5,NFI,5,0),1,0)*Table_NFI[[#This Row],[Winter Items Other]],Table_NFI[Winter Items Other])</f>
        <v>0</v>
      </c>
      <c r="AL189" s="294">
        <f>IF(NFI_Expiration=1,IF($A189&lt;VLOOKUP(M$5,NFI,5,0),1,0)*Table_NFI[[#This Row],[Winter Blanket]],Table_NFI[[#This Row],[Winter Blanket]])</f>
        <v>0</v>
      </c>
      <c r="AM189" s="294">
        <f>IF(Table_NFI[[#This Row],[Winter Clothes Adult]]+Table_NFI[[#This Row],[Winter Clothes Children]]+Table_NFI[[#This Row],[Winter Items Other]]+Table_NFI[[#This Row],[Winter Blanket]]&gt;0,1,0)</f>
        <v>0</v>
      </c>
      <c r="AN189" s="331">
        <f>IF(NFI_Expiration=1,IF($A189&lt;VLOOKUP(V$5,NFI,5,0),1,0)*Table_NFI[[#This Row],[Jerry Can]],Table_NFI[Jerry Can])</f>
        <v>0</v>
      </c>
      <c r="AO189" s="331">
        <f>IF(NFI_Expiration=1,IF($A189&lt;VLOOKUP(V$5,NFI,5,0),1,0)*Table_NFI[[#This Row],[Shelter Tool kit]],Table_NFI[Shelter Tool kit])</f>
        <v>0</v>
      </c>
      <c r="AP189" s="331">
        <f>IF(NFI_Expiration=1,IF($A189&lt;VLOOKUP(V$5,NFI,5,0),1,0)*Table_NFI[[#This Row],[Tent]],Table_NFI[Tent])</f>
        <v>0</v>
      </c>
      <c r="AQ189" s="473" t="str">
        <f>IFERROR(VLOOKUP(Table_NFI[[#This Row],[Camp Name]],CL,2,0),"")</f>
        <v/>
      </c>
      <c r="AR189" s="468" t="str">
        <f ca="1">IF(Table_NFI[[#This Row],[Pcode]]="","",IF(OFFSET(CampList[Opening Date],MATCH(Table_NFI[[#This Row],[Pcode]],CampList[CP_Pcode],0)-1,0,1,1)&gt;=NFI_Monitor_Date,1,0))</f>
        <v/>
      </c>
      <c r="AS189" s="670" t="str">
        <f>IFERROR(VLOOKUP(Table_NFI[[#This Row],[Camp Name]],CL,3,0),"")</f>
        <v/>
      </c>
      <c r="AT189" s="294" t="str">
        <f ca="1">IF(Table_NFI[[#This Row],[Pcode]]="","",OFFSET(CampList[Priority],MATCH(Table_NFI[[#This Row],[Pcode]],CampList[CP_Pcode],0)-1,0,1,1))</f>
        <v/>
      </c>
      <c r="AU189" s="293" t="str">
        <f>IFERROR(Table_NFI[[#This Row],[Kitchen Set]]/VLOOKUP(Table_NFI[[#This Row],[Camp Name]],CL,4,0),"")</f>
        <v/>
      </c>
      <c r="AV189" s="466" t="s">
        <v>1092</v>
      </c>
      <c r="AW189" s="474"/>
    </row>
    <row r="190" spans="1:49" s="98" customFormat="1" ht="14.45" customHeight="1" x14ac:dyDescent="0.25">
      <c r="A190" s="297">
        <f t="shared" si="2"/>
        <v>21.5</v>
      </c>
      <c r="B190" s="465">
        <v>42030</v>
      </c>
      <c r="C190" s="471" t="s">
        <v>452</v>
      </c>
      <c r="D190" s="471" t="s">
        <v>460</v>
      </c>
      <c r="E190" s="471" t="s">
        <v>380</v>
      </c>
      <c r="F190" s="471" t="s">
        <v>527</v>
      </c>
      <c r="G190" s="471" t="s">
        <v>120</v>
      </c>
      <c r="H190" s="292"/>
      <c r="I190" s="292">
        <v>100</v>
      </c>
      <c r="J190" s="292"/>
      <c r="K190" s="292">
        <v>200</v>
      </c>
      <c r="L190" s="292">
        <v>200</v>
      </c>
      <c r="M190" s="292">
        <v>200</v>
      </c>
      <c r="N190" s="292">
        <v>100</v>
      </c>
      <c r="O190" s="292"/>
      <c r="P190" s="294">
        <v>100</v>
      </c>
      <c r="Q190" s="294">
        <v>500</v>
      </c>
      <c r="R190" s="294"/>
      <c r="S190" s="294"/>
      <c r="T190" s="294"/>
      <c r="U190" s="294"/>
      <c r="V190" s="431">
        <v>100</v>
      </c>
      <c r="W190" s="294"/>
      <c r="X190" s="294"/>
      <c r="Y190" s="294">
        <f>IF(NFI_Expiration=1,IF($A190&lt;VLOOKUP(H$5,NFI,5,0),1,0)*Table_NFI[[#This Row],[Hygiene Kit]],Table_NFI[Hygiene Kit])</f>
        <v>0</v>
      </c>
      <c r="Z190" s="294">
        <f>IF(NFI_Expiration=1,IF($A190&lt;VLOOKUP(I$5,NFI,5,0),1,0)*Table_NFI[[#This Row],[NFI Core Kit]],Table_NFI[NFI Core Kit])</f>
        <v>0</v>
      </c>
      <c r="AA190" s="294">
        <f>IF(NFI_Expiration=1,IF($A190&lt;VLOOKUP(J$5,NFI,5,0),1,0)*Table_NFI[[#This Row],[Sanitary Kit]],Table_NFI[Sanitary Kit])</f>
        <v>0</v>
      </c>
      <c r="AB190" s="294">
        <f>IF(NFI_Expiration=1,IF($A190&lt;VLOOKUP(K$5,NFI,5,0),1,0)*Table_NFI[[#This Row],[Mosquito net]],Table_NFI[Mosquito net])</f>
        <v>0</v>
      </c>
      <c r="AC190" s="294">
        <f>IF(NFI_Expiration=1,IF($A190&lt;VLOOKUP(L$5,NFI,5,0),1,0)*Table_NFI[[#This Row],[Tarpaulin]],Table_NFI[[#This Row],[Tarpaulin]])</f>
        <v>0</v>
      </c>
      <c r="AD190" s="294">
        <f>IF(NFI_Expiration=1,IF($A190&lt;VLOOKUP(M$5,NFI,5,0),1,0)*Table_NFI[[#This Row],[Blanket]],Table_NFI[[#This Row],[Blanket]])</f>
        <v>0</v>
      </c>
      <c r="AE190" s="294">
        <f>IF(NFI_Expiration=1,IF($A190&lt;VLOOKUP(N$5,NFI,5,0),1,0)*Table_NFI[[#This Row],[Kitchen Set]],Table_NFI[Kitchen Set])</f>
        <v>0</v>
      </c>
      <c r="AF190" s="294">
        <f>IF(NFI_Expiration=1,IF($A190&lt;VLOOKUP(O$5,NFI,5,0),1,0)*Table_NFI[[#This Row],[Clothes Kit]],Table_NFI[Clothes Kit])</f>
        <v>0</v>
      </c>
      <c r="AG190" s="294">
        <f>IF(NFI_Expiration=1,IF($A190&lt;VLOOKUP(P$5,NFI,5,0),1,0)*Table_NFI[[#This Row],[Plastic Bucket]],Table_NFI[Plastic Bucket])</f>
        <v>0</v>
      </c>
      <c r="AH190" s="294">
        <f>IF(NFI_Expiration=1,IF($A190&lt;VLOOKUP(Q$5,NFI,5,0),1,0)*Table_NFI[[#This Row],[Plastic Mat]],Table_NFI[Plastic Mat])*IF(Table_NFI[[#This Row],[Distribution Date]]&gt;"2014-04-01",1,2.5)</f>
        <v>0</v>
      </c>
      <c r="AI190" s="294">
        <f>IF(NFI_Expiration=1,IF($A190&lt;VLOOKUP(R$5,NFI,5,0),1,0)*Table_NFI[[#This Row],[Winter Clothes Adult]],Table_NFI[Winter Clothes Adult])</f>
        <v>0</v>
      </c>
      <c r="AJ190" s="294">
        <f>IF(NFI_Expiration=1,IF($A190&lt;VLOOKUP(S$5,NFI,5,0),1,0)*Table_NFI[[#This Row],[Winter Clothes Children]],Table_NFI[Winter Clothes Children])</f>
        <v>0</v>
      </c>
      <c r="AK190" s="294">
        <f>IF(NFI_Expiration=1,IF($A190&lt;VLOOKUP(T$5,NFI,5,0),1,0)*Table_NFI[[#This Row],[Winter Items Other]],Table_NFI[Winter Items Other])</f>
        <v>0</v>
      </c>
      <c r="AL190" s="294">
        <f>IF(NFI_Expiration=1,IF($A190&lt;VLOOKUP(M$5,NFI,5,0),1,0)*Table_NFI[[#This Row],[Winter Blanket]],Table_NFI[[#This Row],[Winter Blanket]])</f>
        <v>0</v>
      </c>
      <c r="AM190" s="294">
        <f>IF(Table_NFI[[#This Row],[Winter Clothes Adult]]+Table_NFI[[#This Row],[Winter Clothes Children]]+Table_NFI[[#This Row],[Winter Items Other]]+Table_NFI[[#This Row],[Winter Blanket]]&gt;0,1,0)</f>
        <v>0</v>
      </c>
      <c r="AN190" s="331">
        <f>IF(NFI_Expiration=1,IF($A190&lt;VLOOKUP(V$5,NFI,5,0),1,0)*Table_NFI[[#This Row],[Jerry Can]],Table_NFI[Jerry Can])</f>
        <v>0</v>
      </c>
      <c r="AO190" s="331">
        <f>IF(NFI_Expiration=1,IF($A190&lt;VLOOKUP(V$5,NFI,5,0),1,0)*Table_NFI[[#This Row],[Shelter Tool kit]],Table_NFI[Shelter Tool kit])</f>
        <v>0</v>
      </c>
      <c r="AP190" s="331">
        <f>IF(NFI_Expiration=1,IF($A190&lt;VLOOKUP(V$5,NFI,5,0),1,0)*Table_NFI[[#This Row],[Tent]],Table_NFI[Tent])</f>
        <v>0</v>
      </c>
      <c r="AQ190" s="473" t="str">
        <f>IFERROR(VLOOKUP(Table_NFI[[#This Row],[Camp Name]],CL,2,0),"")</f>
        <v>MMR001CMP168</v>
      </c>
      <c r="AR190" s="468">
        <f ca="1">IF(Table_NFI[[#This Row],[Pcode]]="","",IF(OFFSET(CampList[Opening Date],MATCH(Table_NFI[[#This Row],[Pcode]],CampList[CP_Pcode],0)-1,0,1,1)&gt;=NFI_Monitor_Date,1,0))</f>
        <v>0</v>
      </c>
      <c r="AS190" s="473" t="str">
        <f>IFERROR(VLOOKUP(Table_NFI[[#This Row],[Camp Name]],CL,3,0),"")</f>
        <v>Open</v>
      </c>
      <c r="AT190" s="294" t="str">
        <f ca="1">IF(Table_NFI[[#This Row],[Pcode]]="","",OFFSET(CampList[Priority],MATCH(Table_NFI[[#This Row],[Pcode]],CampList[CP_Pcode],0)-1,0,1,1))</f>
        <v>P4</v>
      </c>
      <c r="AU190" s="293">
        <f>IFERROR(Table_NFI[[#This Row],[Kitchen Set]]/VLOOKUP(Table_NFI[[#This Row],[Camp Name]],CL,4,0),"")</f>
        <v>1.2987012987012987</v>
      </c>
      <c r="AV190" s="466" t="s">
        <v>1092</v>
      </c>
      <c r="AW190" s="474" t="s">
        <v>1342</v>
      </c>
    </row>
    <row r="191" spans="1:49" s="98" customFormat="1" ht="14.45" customHeight="1" x14ac:dyDescent="0.25">
      <c r="A191" s="297">
        <f t="shared" si="2"/>
        <v>21.5</v>
      </c>
      <c r="B191" s="465">
        <v>42030</v>
      </c>
      <c r="C191" s="466" t="s">
        <v>452</v>
      </c>
      <c r="D191" s="471" t="s">
        <v>506</v>
      </c>
      <c r="E191" s="471" t="s">
        <v>380</v>
      </c>
      <c r="F191" s="471" t="s">
        <v>527</v>
      </c>
      <c r="G191" s="471" t="s">
        <v>1340</v>
      </c>
      <c r="H191" s="292"/>
      <c r="I191" s="292">
        <v>200</v>
      </c>
      <c r="J191" s="292"/>
      <c r="K191" s="292">
        <v>400</v>
      </c>
      <c r="L191" s="292">
        <v>250</v>
      </c>
      <c r="M191" s="292">
        <v>400</v>
      </c>
      <c r="N191" s="292">
        <v>200</v>
      </c>
      <c r="O191" s="292"/>
      <c r="P191" s="294">
        <v>200</v>
      </c>
      <c r="Q191" s="294">
        <v>1200</v>
      </c>
      <c r="R191" s="294"/>
      <c r="S191" s="294"/>
      <c r="T191" s="294"/>
      <c r="U191" s="294"/>
      <c r="V191" s="431">
        <v>200</v>
      </c>
      <c r="W191" s="294"/>
      <c r="X191" s="294">
        <v>30</v>
      </c>
      <c r="Y191" s="294">
        <f>IF(NFI_Expiration=1,IF($A191&lt;VLOOKUP(H$5,NFI,5,0),1,0)*Table_NFI[[#This Row],[Hygiene Kit]],Table_NFI[Hygiene Kit])</f>
        <v>0</v>
      </c>
      <c r="Z191" s="294">
        <f>IF(NFI_Expiration=1,IF($A191&lt;VLOOKUP(I$5,NFI,5,0),1,0)*Table_NFI[[#This Row],[NFI Core Kit]],Table_NFI[NFI Core Kit])</f>
        <v>0</v>
      </c>
      <c r="AA191" s="294">
        <f>IF(NFI_Expiration=1,IF($A191&lt;VLOOKUP(J$5,NFI,5,0),1,0)*Table_NFI[[#This Row],[Sanitary Kit]],Table_NFI[Sanitary Kit])</f>
        <v>0</v>
      </c>
      <c r="AB191" s="294">
        <f>IF(NFI_Expiration=1,IF($A191&lt;VLOOKUP(K$5,NFI,5,0),1,0)*Table_NFI[[#This Row],[Mosquito net]],Table_NFI[Mosquito net])</f>
        <v>0</v>
      </c>
      <c r="AC191" s="294">
        <f>IF(NFI_Expiration=1,IF($A191&lt;VLOOKUP(L$5,NFI,5,0),1,0)*Table_NFI[[#This Row],[Tarpaulin]],Table_NFI[[#This Row],[Tarpaulin]])</f>
        <v>0</v>
      </c>
      <c r="AD191" s="294">
        <f>IF(NFI_Expiration=1,IF($A191&lt;VLOOKUP(M$5,NFI,5,0),1,0)*Table_NFI[[#This Row],[Blanket]],Table_NFI[[#This Row],[Blanket]])</f>
        <v>0</v>
      </c>
      <c r="AE191" s="294">
        <f>IF(NFI_Expiration=1,IF($A191&lt;VLOOKUP(N$5,NFI,5,0),1,0)*Table_NFI[[#This Row],[Kitchen Set]],Table_NFI[Kitchen Set])</f>
        <v>0</v>
      </c>
      <c r="AF191" s="294">
        <f>IF(NFI_Expiration=1,IF($A191&lt;VLOOKUP(O$5,NFI,5,0),1,0)*Table_NFI[[#This Row],[Clothes Kit]],Table_NFI[Clothes Kit])</f>
        <v>0</v>
      </c>
      <c r="AG191" s="294">
        <f>IF(NFI_Expiration=1,IF($A191&lt;VLOOKUP(P$5,NFI,5,0),1,0)*Table_NFI[[#This Row],[Plastic Bucket]],Table_NFI[Plastic Bucket])</f>
        <v>0</v>
      </c>
      <c r="AH191" s="294">
        <f>IF(NFI_Expiration=1,IF($A191&lt;VLOOKUP(Q$5,NFI,5,0),1,0)*Table_NFI[[#This Row],[Plastic Mat]],Table_NFI[Plastic Mat])*IF(Table_NFI[[#This Row],[Distribution Date]]&gt;"2014-04-01",1,2.5)</f>
        <v>0</v>
      </c>
      <c r="AI191" s="294">
        <f>IF(NFI_Expiration=1,IF($A191&lt;VLOOKUP(R$5,NFI,5,0),1,0)*Table_NFI[[#This Row],[Winter Clothes Adult]],Table_NFI[Winter Clothes Adult])</f>
        <v>0</v>
      </c>
      <c r="AJ191" s="294">
        <f>IF(NFI_Expiration=1,IF($A191&lt;VLOOKUP(S$5,NFI,5,0),1,0)*Table_NFI[[#This Row],[Winter Clothes Children]],Table_NFI[Winter Clothes Children])</f>
        <v>0</v>
      </c>
      <c r="AK191" s="294">
        <f>IF(NFI_Expiration=1,IF($A191&lt;VLOOKUP(T$5,NFI,5,0),1,0)*Table_NFI[[#This Row],[Winter Items Other]],Table_NFI[Winter Items Other])</f>
        <v>0</v>
      </c>
      <c r="AL191" s="294">
        <f>IF(NFI_Expiration=1,IF($A191&lt;VLOOKUP(M$5,NFI,5,0),1,0)*Table_NFI[[#This Row],[Winter Blanket]],Table_NFI[[#This Row],[Winter Blanket]])</f>
        <v>0</v>
      </c>
      <c r="AM191" s="294">
        <f>IF(Table_NFI[[#This Row],[Winter Clothes Adult]]+Table_NFI[[#This Row],[Winter Clothes Children]]+Table_NFI[[#This Row],[Winter Items Other]]+Table_NFI[[#This Row],[Winter Blanket]]&gt;0,1,0)</f>
        <v>0</v>
      </c>
      <c r="AN191" s="331">
        <f>IF(NFI_Expiration=1,IF($A191&lt;VLOOKUP(V$5,NFI,5,0),1,0)*Table_NFI[[#This Row],[Jerry Can]],Table_NFI[Jerry Can])</f>
        <v>0</v>
      </c>
      <c r="AO191" s="331">
        <f>IF(NFI_Expiration=1,IF($A191&lt;VLOOKUP(V$5,NFI,5,0),1,0)*Table_NFI[[#This Row],[Shelter Tool kit]],Table_NFI[Shelter Tool kit])</f>
        <v>0</v>
      </c>
      <c r="AP191" s="331">
        <f>IF(NFI_Expiration=1,IF($A191&lt;VLOOKUP(V$5,NFI,5,0),1,0)*Table_NFI[[#This Row],[Tent]],Table_NFI[Tent])</f>
        <v>0</v>
      </c>
      <c r="AQ191" s="473" t="str">
        <f>IFERROR(VLOOKUP(Table_NFI[[#This Row],[Camp Name]],CL,2,0),"")</f>
        <v/>
      </c>
      <c r="AR191" s="468" t="str">
        <f ca="1">IF(Table_NFI[[#This Row],[Pcode]]="","",IF(OFFSET(CampList[Opening Date],MATCH(Table_NFI[[#This Row],[Pcode]],CampList[CP_Pcode],0)-1,0,1,1)&gt;=NFI_Monitor_Date,1,0))</f>
        <v/>
      </c>
      <c r="AS191" s="473" t="str">
        <f>IFERROR(VLOOKUP(Table_NFI[[#This Row],[Camp Name]],CL,3,0),"")</f>
        <v/>
      </c>
      <c r="AT191" s="294" t="str">
        <f ca="1">IF(Table_NFI[[#This Row],[Pcode]]="","",OFFSET(CampList[Priority],MATCH(Table_NFI[[#This Row],[Pcode]],CampList[CP_Pcode],0)-1,0,1,1))</f>
        <v/>
      </c>
      <c r="AU191" s="293" t="str">
        <f>IFERROR(Table_NFI[[#This Row],[Kitchen Set]]/VLOOKUP(Table_NFI[[#This Row],[Camp Name]],CL,4,0),"")</f>
        <v/>
      </c>
      <c r="AV191" s="466" t="s">
        <v>1092</v>
      </c>
      <c r="AW191" s="469"/>
    </row>
    <row r="192" spans="1:49" s="98" customFormat="1" ht="14.45" customHeight="1" x14ac:dyDescent="0.25">
      <c r="A192" s="297">
        <f t="shared" si="2"/>
        <v>21.933333333333334</v>
      </c>
      <c r="B192" s="465">
        <v>42017</v>
      </c>
      <c r="C192" s="466" t="s">
        <v>1094</v>
      </c>
      <c r="D192" s="466" t="s">
        <v>900</v>
      </c>
      <c r="E192" s="466" t="s">
        <v>380</v>
      </c>
      <c r="F192" s="466" t="s">
        <v>27</v>
      </c>
      <c r="G192" s="466" t="s">
        <v>28</v>
      </c>
      <c r="H192" s="291"/>
      <c r="I192" s="294"/>
      <c r="J192" s="294"/>
      <c r="K192" s="294"/>
      <c r="L192" s="292"/>
      <c r="M192" s="292"/>
      <c r="N192" s="292"/>
      <c r="O192" s="292"/>
      <c r="P192" s="294"/>
      <c r="Q192" s="294"/>
      <c r="R192" s="294">
        <v>293</v>
      </c>
      <c r="S192" s="294">
        <v>190</v>
      </c>
      <c r="T192" s="294"/>
      <c r="U192" s="294">
        <v>170</v>
      </c>
      <c r="V192" s="431"/>
      <c r="W192" s="294"/>
      <c r="X192" s="294"/>
      <c r="Y192" s="294">
        <f>IF(NFI_Expiration=1,IF($A192&lt;VLOOKUP(H$5,NFI,5,0),1,0)*Table_NFI[[#This Row],[Hygiene Kit]],Table_NFI[Hygiene Kit])</f>
        <v>0</v>
      </c>
      <c r="Z192" s="294">
        <f>IF(NFI_Expiration=1,IF($A192&lt;VLOOKUP(I$5,NFI,5,0),1,0)*Table_NFI[[#This Row],[NFI Core Kit]],Table_NFI[NFI Core Kit])</f>
        <v>0</v>
      </c>
      <c r="AA192" s="294">
        <f>IF(NFI_Expiration=1,IF($A192&lt;VLOOKUP(J$5,NFI,5,0),1,0)*Table_NFI[[#This Row],[Sanitary Kit]],Table_NFI[Sanitary Kit])</f>
        <v>0</v>
      </c>
      <c r="AB192" s="294">
        <f>IF(NFI_Expiration=1,IF($A192&lt;VLOOKUP(K$5,NFI,5,0),1,0)*Table_NFI[[#This Row],[Mosquito net]],Table_NFI[Mosquito net])</f>
        <v>0</v>
      </c>
      <c r="AC192" s="294">
        <f>IF(NFI_Expiration=1,IF($A192&lt;VLOOKUP(L$5,NFI,5,0),1,0)*Table_NFI[[#This Row],[Tarpaulin]],Table_NFI[[#This Row],[Tarpaulin]])</f>
        <v>0</v>
      </c>
      <c r="AD192" s="294">
        <f>IF(NFI_Expiration=1,IF($A192&lt;VLOOKUP(M$5,NFI,5,0),1,0)*Table_NFI[[#This Row],[Blanket]],Table_NFI[[#This Row],[Blanket]])</f>
        <v>0</v>
      </c>
      <c r="AE192" s="294">
        <f>IF(NFI_Expiration=1,IF($A192&lt;VLOOKUP(N$5,NFI,5,0),1,0)*Table_NFI[[#This Row],[Kitchen Set]],Table_NFI[Kitchen Set])</f>
        <v>0</v>
      </c>
      <c r="AF192" s="294">
        <f>IF(NFI_Expiration=1,IF($A192&lt;VLOOKUP(O$5,NFI,5,0),1,0)*Table_NFI[[#This Row],[Clothes Kit]],Table_NFI[Clothes Kit])</f>
        <v>0</v>
      </c>
      <c r="AG192" s="294">
        <f>IF(NFI_Expiration=1,IF($A192&lt;VLOOKUP(P$5,NFI,5,0),1,0)*Table_NFI[[#This Row],[Plastic Bucket]],Table_NFI[Plastic Bucket])</f>
        <v>0</v>
      </c>
      <c r="AH192" s="294">
        <f>IF(NFI_Expiration=1,IF($A192&lt;VLOOKUP(Q$5,NFI,5,0),1,0)*Table_NFI[[#This Row],[Plastic Mat]],Table_NFI[Plastic Mat])*IF(Table_NFI[[#This Row],[Distribution Date]]&gt;"2014-04-01",1,2.5)</f>
        <v>0</v>
      </c>
      <c r="AI192" s="294">
        <f>IF(NFI_Expiration=1,IF($A192&lt;VLOOKUP(R$5,NFI,5,0),1,0)*Table_NFI[[#This Row],[Winter Clothes Adult]],Table_NFI[Winter Clothes Adult])</f>
        <v>0</v>
      </c>
      <c r="AJ192" s="294">
        <f>IF(NFI_Expiration=1,IF($A192&lt;VLOOKUP(S$5,NFI,5,0),1,0)*Table_NFI[[#This Row],[Winter Clothes Children]],Table_NFI[Winter Clothes Children])</f>
        <v>0</v>
      </c>
      <c r="AK192" s="294">
        <f>IF(NFI_Expiration=1,IF($A192&lt;VLOOKUP(T$5,NFI,5,0),1,0)*Table_NFI[[#This Row],[Winter Items Other]],Table_NFI[Winter Items Other])</f>
        <v>0</v>
      </c>
      <c r="AL192" s="294">
        <f>IF(NFI_Expiration=1,IF($A192&lt;VLOOKUP(M$5,NFI,5,0),1,0)*Table_NFI[[#This Row],[Winter Blanket]],Table_NFI[[#This Row],[Winter Blanket]])</f>
        <v>0</v>
      </c>
      <c r="AM192" s="294">
        <f>IF(Table_NFI[[#This Row],[Winter Clothes Adult]]+Table_NFI[[#This Row],[Winter Clothes Children]]+Table_NFI[[#This Row],[Winter Items Other]]+Table_NFI[[#This Row],[Winter Blanket]]&gt;0,1,0)</f>
        <v>1</v>
      </c>
      <c r="AN192" s="331">
        <f>IF(NFI_Expiration=1,IF($A192&lt;VLOOKUP(V$5,NFI,5,0),1,0)*Table_NFI[[#This Row],[Jerry Can]],Table_NFI[Jerry Can])</f>
        <v>0</v>
      </c>
      <c r="AO192" s="331">
        <f>IF(NFI_Expiration=1,IF($A192&lt;VLOOKUP(V$5,NFI,5,0),1,0)*Table_NFI[[#This Row],[Shelter Tool kit]],Table_NFI[Shelter Tool kit])</f>
        <v>0</v>
      </c>
      <c r="AP192" s="331">
        <f>IF(NFI_Expiration=1,IF($A192&lt;VLOOKUP(V$5,NFI,5,0),1,0)*Table_NFI[[#This Row],[Tent]],Table_NFI[Tent])</f>
        <v>0</v>
      </c>
      <c r="AQ192" s="473" t="str">
        <f>IFERROR(VLOOKUP(Table_NFI[[#This Row],[Camp Name]],CL,2,0),"")</f>
        <v>MMR001CMP042</v>
      </c>
      <c r="AR192" s="468">
        <f ca="1">IF(Table_NFI[[#This Row],[Pcode]]="","",IF(OFFSET(CampList[Opening Date],MATCH(Table_NFI[[#This Row],[Pcode]],CampList[CP_Pcode],0)-1,0,1,1)&gt;=NFI_Monitor_Date,1,0))</f>
        <v>0</v>
      </c>
      <c r="AS192" s="473" t="str">
        <f>IFERROR(VLOOKUP(Table_NFI[[#This Row],[Camp Name]],CL,3,0),"")</f>
        <v>Open</v>
      </c>
      <c r="AT192" s="294" t="str">
        <f ca="1">IF(Table_NFI[[#This Row],[Pcode]]="","",OFFSET(CampList[Priority],MATCH(Table_NFI[[#This Row],[Pcode]],CampList[CP_Pcode],0)-1,0,1,1))</f>
        <v>P1</v>
      </c>
      <c r="AU192" s="293">
        <f>IFERROR(Table_NFI[[#This Row],[Kitchen Set]]/VLOOKUP(Table_NFI[[#This Row],[Camp Name]],CL,4,0),"")</f>
        <v>0</v>
      </c>
      <c r="AV192" s="466"/>
      <c r="AW192" s="490"/>
    </row>
    <row r="193" spans="1:49" s="98" customFormat="1" ht="14.45" customHeight="1" x14ac:dyDescent="0.25">
      <c r="A193" s="297">
        <f t="shared" si="2"/>
        <v>21.933333333333334</v>
      </c>
      <c r="B193" s="465">
        <v>42017</v>
      </c>
      <c r="C193" s="466" t="s">
        <v>1094</v>
      </c>
      <c r="D193" s="466" t="s">
        <v>900</v>
      </c>
      <c r="E193" s="466" t="s">
        <v>380</v>
      </c>
      <c r="F193" s="466" t="s">
        <v>27</v>
      </c>
      <c r="G193" s="466" t="s">
        <v>365</v>
      </c>
      <c r="H193" s="291"/>
      <c r="I193" s="294"/>
      <c r="J193" s="294"/>
      <c r="K193" s="294"/>
      <c r="L193" s="292"/>
      <c r="M193" s="292"/>
      <c r="N193" s="292"/>
      <c r="O193" s="292"/>
      <c r="P193" s="294"/>
      <c r="Q193" s="294"/>
      <c r="R193" s="294">
        <v>350</v>
      </c>
      <c r="S193" s="294">
        <v>236</v>
      </c>
      <c r="T193" s="294"/>
      <c r="U193" s="294">
        <v>203</v>
      </c>
      <c r="V193" s="431"/>
      <c r="W193" s="294"/>
      <c r="X193" s="294"/>
      <c r="Y193" s="294">
        <f>IF(NFI_Expiration=1,IF($A193&lt;VLOOKUP(H$5,NFI,5,0),1,0)*Table_NFI[[#This Row],[Hygiene Kit]],Table_NFI[Hygiene Kit])</f>
        <v>0</v>
      </c>
      <c r="Z193" s="294">
        <f>IF(NFI_Expiration=1,IF($A193&lt;VLOOKUP(I$5,NFI,5,0),1,0)*Table_NFI[[#This Row],[NFI Core Kit]],Table_NFI[NFI Core Kit])</f>
        <v>0</v>
      </c>
      <c r="AA193" s="294">
        <f>IF(NFI_Expiration=1,IF($A193&lt;VLOOKUP(J$5,NFI,5,0),1,0)*Table_NFI[[#This Row],[Sanitary Kit]],Table_NFI[Sanitary Kit])</f>
        <v>0</v>
      </c>
      <c r="AB193" s="294">
        <f>IF(NFI_Expiration=1,IF($A193&lt;VLOOKUP(K$5,NFI,5,0),1,0)*Table_NFI[[#This Row],[Mosquito net]],Table_NFI[Mosquito net])</f>
        <v>0</v>
      </c>
      <c r="AC193" s="294">
        <f>IF(NFI_Expiration=1,IF($A193&lt;VLOOKUP(L$5,NFI,5,0),1,0)*Table_NFI[[#This Row],[Tarpaulin]],Table_NFI[[#This Row],[Tarpaulin]])</f>
        <v>0</v>
      </c>
      <c r="AD193" s="294">
        <f>IF(NFI_Expiration=1,IF($A193&lt;VLOOKUP(M$5,NFI,5,0),1,0)*Table_NFI[[#This Row],[Blanket]],Table_NFI[[#This Row],[Blanket]])</f>
        <v>0</v>
      </c>
      <c r="AE193" s="294">
        <f>IF(NFI_Expiration=1,IF($A193&lt;VLOOKUP(N$5,NFI,5,0),1,0)*Table_NFI[[#This Row],[Kitchen Set]],Table_NFI[Kitchen Set])</f>
        <v>0</v>
      </c>
      <c r="AF193" s="294">
        <f>IF(NFI_Expiration=1,IF($A193&lt;VLOOKUP(O$5,NFI,5,0),1,0)*Table_NFI[[#This Row],[Clothes Kit]],Table_NFI[Clothes Kit])</f>
        <v>0</v>
      </c>
      <c r="AG193" s="294">
        <f>IF(NFI_Expiration=1,IF($A193&lt;VLOOKUP(P$5,NFI,5,0),1,0)*Table_NFI[[#This Row],[Plastic Bucket]],Table_NFI[Plastic Bucket])</f>
        <v>0</v>
      </c>
      <c r="AH193" s="294">
        <f>IF(NFI_Expiration=1,IF($A193&lt;VLOOKUP(Q$5,NFI,5,0),1,0)*Table_NFI[[#This Row],[Plastic Mat]],Table_NFI[Plastic Mat])*IF(Table_NFI[[#This Row],[Distribution Date]]&gt;"2014-04-01",1,2.5)</f>
        <v>0</v>
      </c>
      <c r="AI193" s="294">
        <f>IF(NFI_Expiration=1,IF($A193&lt;VLOOKUP(R$5,NFI,5,0),1,0)*Table_NFI[[#This Row],[Winter Clothes Adult]],Table_NFI[Winter Clothes Adult])</f>
        <v>0</v>
      </c>
      <c r="AJ193" s="294">
        <f>IF(NFI_Expiration=1,IF($A193&lt;VLOOKUP(S$5,NFI,5,0),1,0)*Table_NFI[[#This Row],[Winter Clothes Children]],Table_NFI[Winter Clothes Children])</f>
        <v>0</v>
      </c>
      <c r="AK193" s="294">
        <f>IF(NFI_Expiration=1,IF($A193&lt;VLOOKUP(T$5,NFI,5,0),1,0)*Table_NFI[[#This Row],[Winter Items Other]],Table_NFI[Winter Items Other])</f>
        <v>0</v>
      </c>
      <c r="AL193" s="294">
        <f>IF(NFI_Expiration=1,IF($A193&lt;VLOOKUP(M$5,NFI,5,0),1,0)*Table_NFI[[#This Row],[Winter Blanket]],Table_NFI[[#This Row],[Winter Blanket]])</f>
        <v>0</v>
      </c>
      <c r="AM193" s="294">
        <f>IF(Table_NFI[[#This Row],[Winter Clothes Adult]]+Table_NFI[[#This Row],[Winter Clothes Children]]+Table_NFI[[#This Row],[Winter Items Other]]+Table_NFI[[#This Row],[Winter Blanket]]&gt;0,1,0)</f>
        <v>1</v>
      </c>
      <c r="AN193" s="331">
        <f>IF(NFI_Expiration=1,IF($A193&lt;VLOOKUP(V$5,NFI,5,0),1,0)*Table_NFI[[#This Row],[Jerry Can]],Table_NFI[Jerry Can])</f>
        <v>0</v>
      </c>
      <c r="AO193" s="331">
        <f>IF(NFI_Expiration=1,IF($A193&lt;VLOOKUP(V$5,NFI,5,0),1,0)*Table_NFI[[#This Row],[Shelter Tool kit]],Table_NFI[Shelter Tool kit])</f>
        <v>0</v>
      </c>
      <c r="AP193" s="331">
        <f>IF(NFI_Expiration=1,IF($A193&lt;VLOOKUP(V$5,NFI,5,0),1,0)*Table_NFI[[#This Row],[Tent]],Table_NFI[Tent])</f>
        <v>0</v>
      </c>
      <c r="AQ193" s="473" t="str">
        <f>IFERROR(VLOOKUP(Table_NFI[[#This Row],[Camp Name]],CL,2,0),"")</f>
        <v>MMR001CMP195</v>
      </c>
      <c r="AR193" s="468">
        <f ca="1">IF(Table_NFI[[#This Row],[Pcode]]="","",IF(OFFSET(CampList[Opening Date],MATCH(Table_NFI[[#This Row],[Pcode]],CampList[CP_Pcode],0)-1,0,1,1)&gt;=NFI_Monitor_Date,1,0))</f>
        <v>0</v>
      </c>
      <c r="AS193" s="473" t="str">
        <f>IFERROR(VLOOKUP(Table_NFI[[#This Row],[Camp Name]],CL,3,0),"")</f>
        <v>Open</v>
      </c>
      <c r="AT193" s="294" t="str">
        <f ca="1">IF(Table_NFI[[#This Row],[Pcode]]="","",OFFSET(CampList[Priority],MATCH(Table_NFI[[#This Row],[Pcode]],CampList[CP_Pcode],0)-1,0,1,1))</f>
        <v>P1</v>
      </c>
      <c r="AU193" s="293">
        <f>IFERROR(Table_NFI[[#This Row],[Kitchen Set]]/VLOOKUP(Table_NFI[[#This Row],[Camp Name]],CL,4,0),"")</f>
        <v>0</v>
      </c>
      <c r="AV193" s="466"/>
      <c r="AW193" s="490"/>
    </row>
    <row r="194" spans="1:49" s="470" customFormat="1" ht="21.75" customHeight="1" x14ac:dyDescent="0.25">
      <c r="A194" s="297">
        <f t="shared" si="2"/>
        <v>21.933333333333334</v>
      </c>
      <c r="B194" s="465">
        <v>42017</v>
      </c>
      <c r="C194" s="466" t="s">
        <v>1094</v>
      </c>
      <c r="D194" s="466" t="s">
        <v>900</v>
      </c>
      <c r="E194" s="466" t="s">
        <v>380</v>
      </c>
      <c r="F194" s="466" t="s">
        <v>185</v>
      </c>
      <c r="G194" s="466" t="s">
        <v>229</v>
      </c>
      <c r="H194" s="291"/>
      <c r="I194" s="294"/>
      <c r="J194" s="294"/>
      <c r="K194" s="294"/>
      <c r="L194" s="292"/>
      <c r="M194" s="292"/>
      <c r="N194" s="292"/>
      <c r="O194" s="292"/>
      <c r="P194" s="294"/>
      <c r="Q194" s="294"/>
      <c r="R194" s="294">
        <v>195</v>
      </c>
      <c r="S194" s="294">
        <v>91</v>
      </c>
      <c r="T194" s="294"/>
      <c r="U194" s="294">
        <v>92</v>
      </c>
      <c r="V194" s="431"/>
      <c r="W194" s="294"/>
      <c r="X194" s="294"/>
      <c r="Y194" s="294">
        <f>IF(NFI_Expiration=1,IF($A194&lt;VLOOKUP(H$5,NFI,5,0),1,0)*Table_NFI[[#This Row],[Hygiene Kit]],Table_NFI[Hygiene Kit])</f>
        <v>0</v>
      </c>
      <c r="Z194" s="294">
        <f>IF(NFI_Expiration=1,IF($A194&lt;VLOOKUP(I$5,NFI,5,0),1,0)*Table_NFI[[#This Row],[NFI Core Kit]],Table_NFI[NFI Core Kit])</f>
        <v>0</v>
      </c>
      <c r="AA194" s="294">
        <f>IF(NFI_Expiration=1,IF($A194&lt;VLOOKUP(J$5,NFI,5,0),1,0)*Table_NFI[[#This Row],[Sanitary Kit]],Table_NFI[Sanitary Kit])</f>
        <v>0</v>
      </c>
      <c r="AB194" s="294">
        <f>IF(NFI_Expiration=1,IF($A194&lt;VLOOKUP(K$5,NFI,5,0),1,0)*Table_NFI[[#This Row],[Mosquito net]],Table_NFI[Mosquito net])</f>
        <v>0</v>
      </c>
      <c r="AC194" s="294">
        <f>IF(NFI_Expiration=1,IF($A194&lt;VLOOKUP(L$5,NFI,5,0),1,0)*Table_NFI[[#This Row],[Tarpaulin]],Table_NFI[[#This Row],[Tarpaulin]])</f>
        <v>0</v>
      </c>
      <c r="AD194" s="294">
        <f>IF(NFI_Expiration=1,IF($A194&lt;VLOOKUP(M$5,NFI,5,0),1,0)*Table_NFI[[#This Row],[Blanket]],Table_NFI[[#This Row],[Blanket]])</f>
        <v>0</v>
      </c>
      <c r="AE194" s="294">
        <f>IF(NFI_Expiration=1,IF($A194&lt;VLOOKUP(N$5,NFI,5,0),1,0)*Table_NFI[[#This Row],[Kitchen Set]],Table_NFI[Kitchen Set])</f>
        <v>0</v>
      </c>
      <c r="AF194" s="294">
        <f>IF(NFI_Expiration=1,IF($A194&lt;VLOOKUP(O$5,NFI,5,0),1,0)*Table_NFI[[#This Row],[Clothes Kit]],Table_NFI[Clothes Kit])</f>
        <v>0</v>
      </c>
      <c r="AG194" s="294">
        <f>IF(NFI_Expiration=1,IF($A194&lt;VLOOKUP(P$5,NFI,5,0),1,0)*Table_NFI[[#This Row],[Plastic Bucket]],Table_NFI[Plastic Bucket])</f>
        <v>0</v>
      </c>
      <c r="AH194" s="294">
        <f>IF(NFI_Expiration=1,IF($A194&lt;VLOOKUP(Q$5,NFI,5,0),1,0)*Table_NFI[[#This Row],[Plastic Mat]],Table_NFI[Plastic Mat])*IF(Table_NFI[[#This Row],[Distribution Date]]&gt;"2014-04-01",1,2.5)</f>
        <v>0</v>
      </c>
      <c r="AI194" s="294">
        <f>IF(NFI_Expiration=1,IF($A194&lt;VLOOKUP(R$5,NFI,5,0),1,0)*Table_NFI[[#This Row],[Winter Clothes Adult]],Table_NFI[Winter Clothes Adult])</f>
        <v>0</v>
      </c>
      <c r="AJ194" s="294">
        <f>IF(NFI_Expiration=1,IF($A194&lt;VLOOKUP(S$5,NFI,5,0),1,0)*Table_NFI[[#This Row],[Winter Clothes Children]],Table_NFI[Winter Clothes Children])</f>
        <v>0</v>
      </c>
      <c r="AK194" s="294">
        <f>IF(NFI_Expiration=1,IF($A194&lt;VLOOKUP(T$5,NFI,5,0),1,0)*Table_NFI[[#This Row],[Winter Items Other]],Table_NFI[Winter Items Other])</f>
        <v>0</v>
      </c>
      <c r="AL194" s="294">
        <f>IF(NFI_Expiration=1,IF($A194&lt;VLOOKUP(M$5,NFI,5,0),1,0)*Table_NFI[[#This Row],[Winter Blanket]],Table_NFI[[#This Row],[Winter Blanket]])</f>
        <v>0</v>
      </c>
      <c r="AM194" s="294">
        <f>IF(Table_NFI[[#This Row],[Winter Clothes Adult]]+Table_NFI[[#This Row],[Winter Clothes Children]]+Table_NFI[[#This Row],[Winter Items Other]]+Table_NFI[[#This Row],[Winter Blanket]]&gt;0,1,0)</f>
        <v>1</v>
      </c>
      <c r="AN194" s="331">
        <f>IF(NFI_Expiration=1,IF($A194&lt;VLOOKUP(V$5,NFI,5,0),1,0)*Table_NFI[[#This Row],[Jerry Can]],Table_NFI[Jerry Can])</f>
        <v>0</v>
      </c>
      <c r="AO194" s="331">
        <f>IF(NFI_Expiration=1,IF($A194&lt;VLOOKUP(V$5,NFI,5,0),1,0)*Table_NFI[[#This Row],[Shelter Tool kit]],Table_NFI[Shelter Tool kit])</f>
        <v>0</v>
      </c>
      <c r="AP194" s="331">
        <f>IF(NFI_Expiration=1,IF($A194&lt;VLOOKUP(V$5,NFI,5,0),1,0)*Table_NFI[[#This Row],[Tent]],Table_NFI[Tent])</f>
        <v>0</v>
      </c>
      <c r="AQ194" s="473" t="str">
        <f>IFERROR(VLOOKUP(Table_NFI[[#This Row],[Camp Name]],CL,2,0),"")</f>
        <v>MMR001CMP072</v>
      </c>
      <c r="AR194" s="468">
        <f ca="1">IF(Table_NFI[[#This Row],[Pcode]]="","",IF(OFFSET(CampList[Opening Date],MATCH(Table_NFI[[#This Row],[Pcode]],CampList[CP_Pcode],0)-1,0,1,1)&gt;=NFI_Monitor_Date,1,0))</f>
        <v>0</v>
      </c>
      <c r="AS194" s="473" t="str">
        <f>IFERROR(VLOOKUP(Table_NFI[[#This Row],[Camp Name]],CL,3,0),"")</f>
        <v>Open</v>
      </c>
      <c r="AT194" s="294" t="str">
        <f ca="1">IF(Table_NFI[[#This Row],[Pcode]]="","",OFFSET(CampList[Priority],MATCH(Table_NFI[[#This Row],[Pcode]],CampList[CP_Pcode],0)-1,0,1,1))</f>
        <v>P3</v>
      </c>
      <c r="AU194" s="293">
        <f>IFERROR(Table_NFI[[#This Row],[Kitchen Set]]/VLOOKUP(Table_NFI[[#This Row],[Camp Name]],CL,4,0),"")</f>
        <v>0</v>
      </c>
      <c r="AV194" s="466"/>
      <c r="AW194" s="490"/>
    </row>
    <row r="195" spans="1:49" s="470" customFormat="1" ht="14.45" customHeight="1" x14ac:dyDescent="0.25">
      <c r="A195" s="297">
        <f t="shared" si="2"/>
        <v>21.933333333333334</v>
      </c>
      <c r="B195" s="465">
        <v>42017</v>
      </c>
      <c r="C195" s="466" t="s">
        <v>1094</v>
      </c>
      <c r="D195" s="466" t="s">
        <v>900</v>
      </c>
      <c r="E195" s="466" t="s">
        <v>380</v>
      </c>
      <c r="F195" s="466" t="s">
        <v>237</v>
      </c>
      <c r="G195" s="466" t="s">
        <v>273</v>
      </c>
      <c r="H195" s="291"/>
      <c r="I195" s="294"/>
      <c r="J195" s="294"/>
      <c r="K195" s="294"/>
      <c r="L195" s="292"/>
      <c r="M195" s="292"/>
      <c r="N195" s="292"/>
      <c r="O195" s="292"/>
      <c r="P195" s="294"/>
      <c r="Q195" s="294"/>
      <c r="R195" s="294">
        <v>323</v>
      </c>
      <c r="S195" s="294">
        <v>178</v>
      </c>
      <c r="T195" s="294"/>
      <c r="U195" s="294"/>
      <c r="V195" s="431"/>
      <c r="W195" s="294"/>
      <c r="X195" s="294"/>
      <c r="Y195" s="294">
        <f>IF(NFI_Expiration=1,IF($A195&lt;VLOOKUP(H$5,NFI,5,0),1,0)*Table_NFI[[#This Row],[Hygiene Kit]],Table_NFI[Hygiene Kit])</f>
        <v>0</v>
      </c>
      <c r="Z195" s="294">
        <f>IF(NFI_Expiration=1,IF($A195&lt;VLOOKUP(I$5,NFI,5,0),1,0)*Table_NFI[[#This Row],[NFI Core Kit]],Table_NFI[NFI Core Kit])</f>
        <v>0</v>
      </c>
      <c r="AA195" s="294">
        <f>IF(NFI_Expiration=1,IF($A195&lt;VLOOKUP(J$5,NFI,5,0),1,0)*Table_NFI[[#This Row],[Sanitary Kit]],Table_NFI[Sanitary Kit])</f>
        <v>0</v>
      </c>
      <c r="AB195" s="294">
        <f>IF(NFI_Expiration=1,IF($A195&lt;VLOOKUP(K$5,NFI,5,0),1,0)*Table_NFI[[#This Row],[Mosquito net]],Table_NFI[Mosquito net])</f>
        <v>0</v>
      </c>
      <c r="AC195" s="294">
        <f>IF(NFI_Expiration=1,IF($A195&lt;VLOOKUP(L$5,NFI,5,0),1,0)*Table_NFI[[#This Row],[Tarpaulin]],Table_NFI[[#This Row],[Tarpaulin]])</f>
        <v>0</v>
      </c>
      <c r="AD195" s="294">
        <f>IF(NFI_Expiration=1,IF($A195&lt;VLOOKUP(M$5,NFI,5,0),1,0)*Table_NFI[[#This Row],[Blanket]],Table_NFI[[#This Row],[Blanket]])</f>
        <v>0</v>
      </c>
      <c r="AE195" s="294">
        <f>IF(NFI_Expiration=1,IF($A195&lt;VLOOKUP(N$5,NFI,5,0),1,0)*Table_NFI[[#This Row],[Kitchen Set]],Table_NFI[Kitchen Set])</f>
        <v>0</v>
      </c>
      <c r="AF195" s="294">
        <f>IF(NFI_Expiration=1,IF($A195&lt;VLOOKUP(O$5,NFI,5,0),1,0)*Table_NFI[[#This Row],[Clothes Kit]],Table_NFI[Clothes Kit])</f>
        <v>0</v>
      </c>
      <c r="AG195" s="294">
        <f>IF(NFI_Expiration=1,IF($A195&lt;VLOOKUP(P$5,NFI,5,0),1,0)*Table_NFI[[#This Row],[Plastic Bucket]],Table_NFI[Plastic Bucket])</f>
        <v>0</v>
      </c>
      <c r="AH195" s="294">
        <f>IF(NFI_Expiration=1,IF($A195&lt;VLOOKUP(Q$5,NFI,5,0),1,0)*Table_NFI[[#This Row],[Plastic Mat]],Table_NFI[Plastic Mat])*IF(Table_NFI[[#This Row],[Distribution Date]]&gt;"2014-04-01",1,2.5)</f>
        <v>0</v>
      </c>
      <c r="AI195" s="294">
        <f>IF(NFI_Expiration=1,IF($A195&lt;VLOOKUP(R$5,NFI,5,0),1,0)*Table_NFI[[#This Row],[Winter Clothes Adult]],Table_NFI[Winter Clothes Adult])</f>
        <v>0</v>
      </c>
      <c r="AJ195" s="294">
        <f>IF(NFI_Expiration=1,IF($A195&lt;VLOOKUP(S$5,NFI,5,0),1,0)*Table_NFI[[#This Row],[Winter Clothes Children]],Table_NFI[Winter Clothes Children])</f>
        <v>0</v>
      </c>
      <c r="AK195" s="294">
        <f>IF(NFI_Expiration=1,IF($A195&lt;VLOOKUP(T$5,NFI,5,0),1,0)*Table_NFI[[#This Row],[Winter Items Other]],Table_NFI[Winter Items Other])</f>
        <v>0</v>
      </c>
      <c r="AL195" s="294">
        <f>IF(NFI_Expiration=1,IF($A195&lt;VLOOKUP(M$5,NFI,5,0),1,0)*Table_NFI[[#This Row],[Winter Blanket]],Table_NFI[[#This Row],[Winter Blanket]])</f>
        <v>0</v>
      </c>
      <c r="AM195" s="294">
        <f>IF(Table_NFI[[#This Row],[Winter Clothes Adult]]+Table_NFI[[#This Row],[Winter Clothes Children]]+Table_NFI[[#This Row],[Winter Items Other]]+Table_NFI[[#This Row],[Winter Blanket]]&gt;0,1,0)</f>
        <v>1</v>
      </c>
      <c r="AN195" s="331">
        <f>IF(NFI_Expiration=1,IF($A195&lt;VLOOKUP(V$5,NFI,5,0),1,0)*Table_NFI[[#This Row],[Jerry Can]],Table_NFI[Jerry Can])</f>
        <v>0</v>
      </c>
      <c r="AO195" s="331">
        <f>IF(NFI_Expiration=1,IF($A195&lt;VLOOKUP(V$5,NFI,5,0),1,0)*Table_NFI[[#This Row],[Shelter Tool kit]],Table_NFI[Shelter Tool kit])</f>
        <v>0</v>
      </c>
      <c r="AP195" s="331">
        <f>IF(NFI_Expiration=1,IF($A195&lt;VLOOKUP(V$5,NFI,5,0),1,0)*Table_NFI[[#This Row],[Tent]],Table_NFI[Tent])</f>
        <v>0</v>
      </c>
      <c r="AQ195" s="473" t="str">
        <f>IFERROR(VLOOKUP(Table_NFI[[#This Row],[Camp Name]],CL,2,0),"")</f>
        <v>MMR001CMP162</v>
      </c>
      <c r="AR195" s="468">
        <f ca="1">IF(Table_NFI[[#This Row],[Pcode]]="","",IF(OFFSET(CampList[Opening Date],MATCH(Table_NFI[[#This Row],[Pcode]],CampList[CP_Pcode],0)-1,0,1,1)&gt;=NFI_Monitor_Date,1,0))</f>
        <v>0</v>
      </c>
      <c r="AS195" s="473" t="str">
        <f>IFERROR(VLOOKUP(Table_NFI[[#This Row],[Camp Name]],CL,3,0),"")</f>
        <v>Open</v>
      </c>
      <c r="AT195" s="294" t="str">
        <f ca="1">IF(Table_NFI[[#This Row],[Pcode]]="","",OFFSET(CampList[Priority],MATCH(Table_NFI[[#This Row],[Pcode]],CampList[CP_Pcode],0)-1,0,1,1))</f>
        <v>P4</v>
      </c>
      <c r="AU195" s="293">
        <f>IFERROR(Table_NFI[[#This Row],[Kitchen Set]]/VLOOKUP(Table_NFI[[#This Row],[Camp Name]],CL,4,0),"")</f>
        <v>0</v>
      </c>
      <c r="AV195" s="466"/>
      <c r="AW195" s="490"/>
    </row>
    <row r="196" spans="1:49" s="470" customFormat="1" ht="14.45" customHeight="1" x14ac:dyDescent="0.25">
      <c r="A196" s="297">
        <f t="shared" si="2"/>
        <v>21.933333333333334</v>
      </c>
      <c r="B196" s="465">
        <v>42017</v>
      </c>
      <c r="C196" s="466" t="s">
        <v>1094</v>
      </c>
      <c r="D196" s="466" t="s">
        <v>900</v>
      </c>
      <c r="E196" s="466" t="s">
        <v>380</v>
      </c>
      <c r="F196" s="466" t="s">
        <v>27</v>
      </c>
      <c r="G196" s="466" t="s">
        <v>864</v>
      </c>
      <c r="H196" s="291"/>
      <c r="I196" s="294"/>
      <c r="J196" s="294"/>
      <c r="K196" s="294"/>
      <c r="L196" s="292"/>
      <c r="M196" s="292"/>
      <c r="N196" s="292"/>
      <c r="O196" s="292"/>
      <c r="P196" s="294"/>
      <c r="Q196" s="294"/>
      <c r="R196" s="294">
        <v>187</v>
      </c>
      <c r="S196" s="294">
        <v>137</v>
      </c>
      <c r="T196" s="294"/>
      <c r="U196" s="294">
        <v>118</v>
      </c>
      <c r="V196" s="431"/>
      <c r="W196" s="294"/>
      <c r="X196" s="294"/>
      <c r="Y196" s="294">
        <f>IF(NFI_Expiration=1,IF($A196&lt;VLOOKUP(H$5,NFI,5,0),1,0)*Table_NFI[[#This Row],[Hygiene Kit]],Table_NFI[Hygiene Kit])</f>
        <v>0</v>
      </c>
      <c r="Z196" s="294">
        <f>IF(NFI_Expiration=1,IF($A196&lt;VLOOKUP(I$5,NFI,5,0),1,0)*Table_NFI[[#This Row],[NFI Core Kit]],Table_NFI[NFI Core Kit])</f>
        <v>0</v>
      </c>
      <c r="AA196" s="294">
        <f>IF(NFI_Expiration=1,IF($A196&lt;VLOOKUP(J$5,NFI,5,0),1,0)*Table_NFI[[#This Row],[Sanitary Kit]],Table_NFI[Sanitary Kit])</f>
        <v>0</v>
      </c>
      <c r="AB196" s="294">
        <f>IF(NFI_Expiration=1,IF($A196&lt;VLOOKUP(K$5,NFI,5,0),1,0)*Table_NFI[[#This Row],[Mosquito net]],Table_NFI[Mosquito net])</f>
        <v>0</v>
      </c>
      <c r="AC196" s="294">
        <f>IF(NFI_Expiration=1,IF($A196&lt;VLOOKUP(L$5,NFI,5,0),1,0)*Table_NFI[[#This Row],[Tarpaulin]],Table_NFI[[#This Row],[Tarpaulin]])</f>
        <v>0</v>
      </c>
      <c r="AD196" s="294">
        <f>IF(NFI_Expiration=1,IF($A196&lt;VLOOKUP(M$5,NFI,5,0),1,0)*Table_NFI[[#This Row],[Blanket]],Table_NFI[[#This Row],[Blanket]])</f>
        <v>0</v>
      </c>
      <c r="AE196" s="294">
        <f>IF(NFI_Expiration=1,IF($A196&lt;VLOOKUP(N$5,NFI,5,0),1,0)*Table_NFI[[#This Row],[Kitchen Set]],Table_NFI[Kitchen Set])</f>
        <v>0</v>
      </c>
      <c r="AF196" s="294">
        <f>IF(NFI_Expiration=1,IF($A196&lt;VLOOKUP(O$5,NFI,5,0),1,0)*Table_NFI[[#This Row],[Clothes Kit]],Table_NFI[Clothes Kit])</f>
        <v>0</v>
      </c>
      <c r="AG196" s="294">
        <f>IF(NFI_Expiration=1,IF($A196&lt;VLOOKUP(P$5,NFI,5,0),1,0)*Table_NFI[[#This Row],[Plastic Bucket]],Table_NFI[Plastic Bucket])</f>
        <v>0</v>
      </c>
      <c r="AH196" s="294">
        <f>IF(NFI_Expiration=1,IF($A196&lt;VLOOKUP(Q$5,NFI,5,0),1,0)*Table_NFI[[#This Row],[Plastic Mat]],Table_NFI[Plastic Mat])*IF(Table_NFI[[#This Row],[Distribution Date]]&gt;"2014-04-01",1,2.5)</f>
        <v>0</v>
      </c>
      <c r="AI196" s="294">
        <f>IF(NFI_Expiration=1,IF($A196&lt;VLOOKUP(R$5,NFI,5,0),1,0)*Table_NFI[[#This Row],[Winter Clothes Adult]],Table_NFI[Winter Clothes Adult])</f>
        <v>0</v>
      </c>
      <c r="AJ196" s="294">
        <f>IF(NFI_Expiration=1,IF($A196&lt;VLOOKUP(S$5,NFI,5,0),1,0)*Table_NFI[[#This Row],[Winter Clothes Children]],Table_NFI[Winter Clothes Children])</f>
        <v>0</v>
      </c>
      <c r="AK196" s="294">
        <f>IF(NFI_Expiration=1,IF($A196&lt;VLOOKUP(T$5,NFI,5,0),1,0)*Table_NFI[[#This Row],[Winter Items Other]],Table_NFI[Winter Items Other])</f>
        <v>0</v>
      </c>
      <c r="AL196" s="294">
        <f>IF(NFI_Expiration=1,IF($A196&lt;VLOOKUP(M$5,NFI,5,0),1,0)*Table_NFI[[#This Row],[Winter Blanket]],Table_NFI[[#This Row],[Winter Blanket]])</f>
        <v>0</v>
      </c>
      <c r="AM196" s="294">
        <f>IF(Table_NFI[[#This Row],[Winter Clothes Adult]]+Table_NFI[[#This Row],[Winter Clothes Children]]+Table_NFI[[#This Row],[Winter Items Other]]+Table_NFI[[#This Row],[Winter Blanket]]&gt;0,1,0)</f>
        <v>1</v>
      </c>
      <c r="AN196" s="331">
        <f>IF(NFI_Expiration=1,IF($A196&lt;VLOOKUP(V$5,NFI,5,0),1,0)*Table_NFI[[#This Row],[Jerry Can]],Table_NFI[Jerry Can])</f>
        <v>0</v>
      </c>
      <c r="AO196" s="331">
        <f>IF(NFI_Expiration=1,IF($A196&lt;VLOOKUP(V$5,NFI,5,0),1,0)*Table_NFI[[#This Row],[Shelter Tool kit]],Table_NFI[Shelter Tool kit])</f>
        <v>0</v>
      </c>
      <c r="AP196" s="331">
        <f>IF(NFI_Expiration=1,IF($A196&lt;VLOOKUP(V$5,NFI,5,0),1,0)*Table_NFI[[#This Row],[Tent]],Table_NFI[Tent])</f>
        <v>0</v>
      </c>
      <c r="AQ196" s="473" t="str">
        <f>IFERROR(VLOOKUP(Table_NFI[[#This Row],[Camp Name]],CL,2,0),"")</f>
        <v>MMR001CMP210</v>
      </c>
      <c r="AR196" s="468">
        <f ca="1">IF(Table_NFI[[#This Row],[Pcode]]="","",IF(OFFSET(CampList[Opening Date],MATCH(Table_NFI[[#This Row],[Pcode]],CampList[CP_Pcode],0)-1,0,1,1)&gt;=NFI_Monitor_Date,1,0))</f>
        <v>0</v>
      </c>
      <c r="AS196" s="473" t="str">
        <f>IFERROR(VLOOKUP(Table_NFI[[#This Row],[Camp Name]],CL,3,0),"")</f>
        <v>Open</v>
      </c>
      <c r="AT196" s="294" t="str">
        <f ca="1">IF(Table_NFI[[#This Row],[Pcode]]="","",OFFSET(CampList[Priority],MATCH(Table_NFI[[#This Row],[Pcode]],CampList[CP_Pcode],0)-1,0,1,1))</f>
        <v>P1</v>
      </c>
      <c r="AU196" s="293">
        <f>IFERROR(Table_NFI[[#This Row],[Kitchen Set]]/VLOOKUP(Table_NFI[[#This Row],[Camp Name]],CL,4,0),"")</f>
        <v>0</v>
      </c>
      <c r="AV196" s="466"/>
      <c r="AW196" s="490"/>
    </row>
    <row r="197" spans="1:49" s="470" customFormat="1" ht="14.45" customHeight="1" x14ac:dyDescent="0.25">
      <c r="A197" s="297">
        <f t="shared" si="2"/>
        <v>21.933333333333334</v>
      </c>
      <c r="B197" s="465">
        <v>42017</v>
      </c>
      <c r="C197" s="466" t="s">
        <v>1094</v>
      </c>
      <c r="D197" s="466" t="s">
        <v>900</v>
      </c>
      <c r="E197" s="466" t="s">
        <v>380</v>
      </c>
      <c r="F197" s="466" t="s">
        <v>527</v>
      </c>
      <c r="G197" s="466" t="s">
        <v>118</v>
      </c>
      <c r="H197" s="291"/>
      <c r="I197" s="294"/>
      <c r="J197" s="294"/>
      <c r="K197" s="294"/>
      <c r="L197" s="292"/>
      <c r="M197" s="292"/>
      <c r="N197" s="292"/>
      <c r="O197" s="292"/>
      <c r="P197" s="294"/>
      <c r="Q197" s="294"/>
      <c r="R197" s="294">
        <v>26</v>
      </c>
      <c r="S197" s="294">
        <v>14</v>
      </c>
      <c r="T197" s="294"/>
      <c r="U197" s="294"/>
      <c r="V197" s="431"/>
      <c r="W197" s="294"/>
      <c r="X197" s="294"/>
      <c r="Y197" s="294">
        <f>IF(NFI_Expiration=1,IF($A197&lt;VLOOKUP(H$5,NFI,5,0),1,0)*Table_NFI[[#This Row],[Hygiene Kit]],Table_NFI[Hygiene Kit])</f>
        <v>0</v>
      </c>
      <c r="Z197" s="294">
        <f>IF(NFI_Expiration=1,IF($A197&lt;VLOOKUP(I$5,NFI,5,0),1,0)*Table_NFI[[#This Row],[NFI Core Kit]],Table_NFI[NFI Core Kit])</f>
        <v>0</v>
      </c>
      <c r="AA197" s="294">
        <f>IF(NFI_Expiration=1,IF($A197&lt;VLOOKUP(J$5,NFI,5,0),1,0)*Table_NFI[[#This Row],[Sanitary Kit]],Table_NFI[Sanitary Kit])</f>
        <v>0</v>
      </c>
      <c r="AB197" s="294">
        <f>IF(NFI_Expiration=1,IF($A197&lt;VLOOKUP(K$5,NFI,5,0),1,0)*Table_NFI[[#This Row],[Mosquito net]],Table_NFI[Mosquito net])</f>
        <v>0</v>
      </c>
      <c r="AC197" s="294">
        <f>IF(NFI_Expiration=1,IF($A197&lt;VLOOKUP(L$5,NFI,5,0),1,0)*Table_NFI[[#This Row],[Tarpaulin]],Table_NFI[[#This Row],[Tarpaulin]])</f>
        <v>0</v>
      </c>
      <c r="AD197" s="294">
        <f>IF(NFI_Expiration=1,IF($A197&lt;VLOOKUP(M$5,NFI,5,0),1,0)*Table_NFI[[#This Row],[Blanket]],Table_NFI[[#This Row],[Blanket]])</f>
        <v>0</v>
      </c>
      <c r="AE197" s="294">
        <f>IF(NFI_Expiration=1,IF($A197&lt;VLOOKUP(N$5,NFI,5,0),1,0)*Table_NFI[[#This Row],[Kitchen Set]],Table_NFI[Kitchen Set])</f>
        <v>0</v>
      </c>
      <c r="AF197" s="294">
        <f>IF(NFI_Expiration=1,IF($A197&lt;VLOOKUP(O$5,NFI,5,0),1,0)*Table_NFI[[#This Row],[Clothes Kit]],Table_NFI[Clothes Kit])</f>
        <v>0</v>
      </c>
      <c r="AG197" s="294">
        <f>IF(NFI_Expiration=1,IF($A197&lt;VLOOKUP(P$5,NFI,5,0),1,0)*Table_NFI[[#This Row],[Plastic Bucket]],Table_NFI[Plastic Bucket])</f>
        <v>0</v>
      </c>
      <c r="AH197" s="294">
        <f>IF(NFI_Expiration=1,IF($A197&lt;VLOOKUP(Q$5,NFI,5,0),1,0)*Table_NFI[[#This Row],[Plastic Mat]],Table_NFI[Plastic Mat])*IF(Table_NFI[[#This Row],[Distribution Date]]&gt;"2014-04-01",1,2.5)</f>
        <v>0</v>
      </c>
      <c r="AI197" s="294">
        <f>IF(NFI_Expiration=1,IF($A197&lt;VLOOKUP(R$5,NFI,5,0),1,0)*Table_NFI[[#This Row],[Winter Clothes Adult]],Table_NFI[Winter Clothes Adult])</f>
        <v>0</v>
      </c>
      <c r="AJ197" s="294">
        <f>IF(NFI_Expiration=1,IF($A197&lt;VLOOKUP(S$5,NFI,5,0),1,0)*Table_NFI[[#This Row],[Winter Clothes Children]],Table_NFI[Winter Clothes Children])</f>
        <v>0</v>
      </c>
      <c r="AK197" s="294">
        <f>IF(NFI_Expiration=1,IF($A197&lt;VLOOKUP(T$5,NFI,5,0),1,0)*Table_NFI[[#This Row],[Winter Items Other]],Table_NFI[Winter Items Other])</f>
        <v>0</v>
      </c>
      <c r="AL197" s="294">
        <f>IF(NFI_Expiration=1,IF($A197&lt;VLOOKUP(M$5,NFI,5,0),1,0)*Table_NFI[[#This Row],[Winter Blanket]],Table_NFI[[#This Row],[Winter Blanket]])</f>
        <v>0</v>
      </c>
      <c r="AM197" s="294">
        <f>IF(Table_NFI[[#This Row],[Winter Clothes Adult]]+Table_NFI[[#This Row],[Winter Clothes Children]]+Table_NFI[[#This Row],[Winter Items Other]]+Table_NFI[[#This Row],[Winter Blanket]]&gt;0,1,0)</f>
        <v>1</v>
      </c>
      <c r="AN197" s="331">
        <f>IF(NFI_Expiration=1,IF($A197&lt;VLOOKUP(V$5,NFI,5,0),1,0)*Table_NFI[[#This Row],[Jerry Can]],Table_NFI[Jerry Can])</f>
        <v>0</v>
      </c>
      <c r="AO197" s="331">
        <f>IF(NFI_Expiration=1,IF($A197&lt;VLOOKUP(V$5,NFI,5,0),1,0)*Table_NFI[[#This Row],[Shelter Tool kit]],Table_NFI[Shelter Tool kit])</f>
        <v>0</v>
      </c>
      <c r="AP197" s="331">
        <f>IF(NFI_Expiration=1,IF($A197&lt;VLOOKUP(V$5,NFI,5,0),1,0)*Table_NFI[[#This Row],[Tent]],Table_NFI[Tent])</f>
        <v>0</v>
      </c>
      <c r="AQ197" s="473" t="str">
        <f>IFERROR(VLOOKUP(Table_NFI[[#This Row],[Camp Name]],CL,2,0),"")</f>
        <v>MMR001CMP182</v>
      </c>
      <c r="AR197" s="468">
        <f ca="1">IF(Table_NFI[[#This Row],[Pcode]]="","",IF(OFFSET(CampList[Opening Date],MATCH(Table_NFI[[#This Row],[Pcode]],CampList[CP_Pcode],0)-1,0,1,1)&gt;=NFI_Monitor_Date,1,0))</f>
        <v>0</v>
      </c>
      <c r="AS197" s="473" t="str">
        <f>IFERROR(VLOOKUP(Table_NFI[[#This Row],[Camp Name]],CL,3,0),"")</f>
        <v>Open</v>
      </c>
      <c r="AT197" s="294" t="str">
        <f ca="1">IF(Table_NFI[[#This Row],[Pcode]]="","",OFFSET(CampList[Priority],MATCH(Table_NFI[[#This Row],[Pcode]],CampList[CP_Pcode],0)-1,0,1,1))</f>
        <v>P4</v>
      </c>
      <c r="AU197" s="293">
        <f>IFERROR(Table_NFI[[#This Row],[Kitchen Set]]/VLOOKUP(Table_NFI[[#This Row],[Camp Name]],CL,4,0),"")</f>
        <v>0</v>
      </c>
      <c r="AV197" s="466"/>
      <c r="AW197" s="490"/>
    </row>
    <row r="198" spans="1:49" s="470" customFormat="1" ht="14.45" customHeight="1" x14ac:dyDescent="0.25">
      <c r="A198" s="297">
        <f t="shared" ref="A198:A261" si="3">IF(ISBLANK(B198),"",(Report_Date-B198)/30)</f>
        <v>21.933333333333334</v>
      </c>
      <c r="B198" s="465">
        <v>42017</v>
      </c>
      <c r="C198" s="466" t="s">
        <v>1094</v>
      </c>
      <c r="D198" s="466" t="s">
        <v>900</v>
      </c>
      <c r="E198" s="466" t="s">
        <v>380</v>
      </c>
      <c r="F198" s="466" t="s">
        <v>527</v>
      </c>
      <c r="G198" s="466" t="s">
        <v>124</v>
      </c>
      <c r="H198" s="291"/>
      <c r="I198" s="294"/>
      <c r="J198" s="294"/>
      <c r="K198" s="294"/>
      <c r="L198" s="292"/>
      <c r="M198" s="292"/>
      <c r="N198" s="292"/>
      <c r="O198" s="292"/>
      <c r="P198" s="294"/>
      <c r="Q198" s="294"/>
      <c r="R198" s="294">
        <v>34</v>
      </c>
      <c r="S198" s="294">
        <v>9</v>
      </c>
      <c r="T198" s="294"/>
      <c r="U198" s="294"/>
      <c r="V198" s="431"/>
      <c r="W198" s="294"/>
      <c r="X198" s="294"/>
      <c r="Y198" s="294">
        <f>IF(NFI_Expiration=1,IF($A198&lt;VLOOKUP(H$5,NFI,5,0),1,0)*Table_NFI[[#This Row],[Hygiene Kit]],Table_NFI[Hygiene Kit])</f>
        <v>0</v>
      </c>
      <c r="Z198" s="294">
        <f>IF(NFI_Expiration=1,IF($A198&lt;VLOOKUP(I$5,NFI,5,0),1,0)*Table_NFI[[#This Row],[NFI Core Kit]],Table_NFI[NFI Core Kit])</f>
        <v>0</v>
      </c>
      <c r="AA198" s="294">
        <f>IF(NFI_Expiration=1,IF($A198&lt;VLOOKUP(J$5,NFI,5,0),1,0)*Table_NFI[[#This Row],[Sanitary Kit]],Table_NFI[Sanitary Kit])</f>
        <v>0</v>
      </c>
      <c r="AB198" s="294">
        <f>IF(NFI_Expiration=1,IF($A198&lt;VLOOKUP(K$5,NFI,5,0),1,0)*Table_NFI[[#This Row],[Mosquito net]],Table_NFI[Mosquito net])</f>
        <v>0</v>
      </c>
      <c r="AC198" s="294">
        <f>IF(NFI_Expiration=1,IF($A198&lt;VLOOKUP(L$5,NFI,5,0),1,0)*Table_NFI[[#This Row],[Tarpaulin]],Table_NFI[[#This Row],[Tarpaulin]])</f>
        <v>0</v>
      </c>
      <c r="AD198" s="294">
        <f>IF(NFI_Expiration=1,IF($A198&lt;VLOOKUP(M$5,NFI,5,0),1,0)*Table_NFI[[#This Row],[Blanket]],Table_NFI[[#This Row],[Blanket]])</f>
        <v>0</v>
      </c>
      <c r="AE198" s="294">
        <f>IF(NFI_Expiration=1,IF($A198&lt;VLOOKUP(N$5,NFI,5,0),1,0)*Table_NFI[[#This Row],[Kitchen Set]],Table_NFI[Kitchen Set])</f>
        <v>0</v>
      </c>
      <c r="AF198" s="294">
        <f>IF(NFI_Expiration=1,IF($A198&lt;VLOOKUP(O$5,NFI,5,0),1,0)*Table_NFI[[#This Row],[Clothes Kit]],Table_NFI[Clothes Kit])</f>
        <v>0</v>
      </c>
      <c r="AG198" s="294">
        <f>IF(NFI_Expiration=1,IF($A198&lt;VLOOKUP(P$5,NFI,5,0),1,0)*Table_NFI[[#This Row],[Plastic Bucket]],Table_NFI[Plastic Bucket])</f>
        <v>0</v>
      </c>
      <c r="AH198" s="294">
        <f>IF(NFI_Expiration=1,IF($A198&lt;VLOOKUP(Q$5,NFI,5,0),1,0)*Table_NFI[[#This Row],[Plastic Mat]],Table_NFI[Plastic Mat])*IF(Table_NFI[[#This Row],[Distribution Date]]&gt;"2014-04-01",1,2.5)</f>
        <v>0</v>
      </c>
      <c r="AI198" s="294">
        <f>IF(NFI_Expiration=1,IF($A198&lt;VLOOKUP(R$5,NFI,5,0),1,0)*Table_NFI[[#This Row],[Winter Clothes Adult]],Table_NFI[Winter Clothes Adult])</f>
        <v>0</v>
      </c>
      <c r="AJ198" s="294">
        <f>IF(NFI_Expiration=1,IF($A198&lt;VLOOKUP(S$5,NFI,5,0),1,0)*Table_NFI[[#This Row],[Winter Clothes Children]],Table_NFI[Winter Clothes Children])</f>
        <v>0</v>
      </c>
      <c r="AK198" s="294">
        <f>IF(NFI_Expiration=1,IF($A198&lt;VLOOKUP(T$5,NFI,5,0),1,0)*Table_NFI[[#This Row],[Winter Items Other]],Table_NFI[Winter Items Other])</f>
        <v>0</v>
      </c>
      <c r="AL198" s="294">
        <f>IF(NFI_Expiration=1,IF($A198&lt;VLOOKUP(M$5,NFI,5,0),1,0)*Table_NFI[[#This Row],[Winter Blanket]],Table_NFI[[#This Row],[Winter Blanket]])</f>
        <v>0</v>
      </c>
      <c r="AM198" s="294">
        <f>IF(Table_NFI[[#This Row],[Winter Clothes Adult]]+Table_NFI[[#This Row],[Winter Clothes Children]]+Table_NFI[[#This Row],[Winter Items Other]]+Table_NFI[[#This Row],[Winter Blanket]]&gt;0,1,0)</f>
        <v>1</v>
      </c>
      <c r="AN198" s="331">
        <f>IF(NFI_Expiration=1,IF($A198&lt;VLOOKUP(V$5,NFI,5,0),1,0)*Table_NFI[[#This Row],[Jerry Can]],Table_NFI[Jerry Can])</f>
        <v>0</v>
      </c>
      <c r="AO198" s="331">
        <f>IF(NFI_Expiration=1,IF($A198&lt;VLOOKUP(V$5,NFI,5,0),1,0)*Table_NFI[[#This Row],[Shelter Tool kit]],Table_NFI[Shelter Tool kit])</f>
        <v>0</v>
      </c>
      <c r="AP198" s="331">
        <f>IF(NFI_Expiration=1,IF($A198&lt;VLOOKUP(V$5,NFI,5,0),1,0)*Table_NFI[[#This Row],[Tent]],Table_NFI[Tent])</f>
        <v>0</v>
      </c>
      <c r="AQ198" s="473" t="str">
        <f>IFERROR(VLOOKUP(Table_NFI[[#This Row],[Camp Name]],CL,2,0),"")</f>
        <v>MMR001CMP183</v>
      </c>
      <c r="AR198" s="468">
        <f ca="1">IF(Table_NFI[[#This Row],[Pcode]]="","",IF(OFFSET(CampList[Opening Date],MATCH(Table_NFI[[#This Row],[Pcode]],CampList[CP_Pcode],0)-1,0,1,1)&gt;=NFI_Monitor_Date,1,0))</f>
        <v>0</v>
      </c>
      <c r="AS198" s="473" t="str">
        <f>IFERROR(VLOOKUP(Table_NFI[[#This Row],[Camp Name]],CL,3,0),"")</f>
        <v>Open</v>
      </c>
      <c r="AT198" s="294" t="str">
        <f ca="1">IF(Table_NFI[[#This Row],[Pcode]]="","",OFFSET(CampList[Priority],MATCH(Table_NFI[[#This Row],[Pcode]],CampList[CP_Pcode],0)-1,0,1,1))</f>
        <v>P4</v>
      </c>
      <c r="AU198" s="293">
        <f>IFERROR(Table_NFI[[#This Row],[Kitchen Set]]/VLOOKUP(Table_NFI[[#This Row],[Camp Name]],CL,4,0),"")</f>
        <v>0</v>
      </c>
      <c r="AV198" s="466"/>
      <c r="AW198" s="490"/>
    </row>
    <row r="199" spans="1:49" s="470" customFormat="1" ht="14.45" customHeight="1" x14ac:dyDescent="0.25">
      <c r="A199" s="297">
        <f t="shared" si="3"/>
        <v>21.933333333333334</v>
      </c>
      <c r="B199" s="465">
        <v>42017</v>
      </c>
      <c r="C199" s="466" t="s">
        <v>1094</v>
      </c>
      <c r="D199" s="466" t="s">
        <v>900</v>
      </c>
      <c r="E199" s="466" t="s">
        <v>380</v>
      </c>
      <c r="F199" s="466" t="s">
        <v>27</v>
      </c>
      <c r="G199" s="466" t="s">
        <v>1019</v>
      </c>
      <c r="H199" s="291"/>
      <c r="I199" s="294"/>
      <c r="J199" s="294"/>
      <c r="K199" s="294"/>
      <c r="L199" s="292"/>
      <c r="M199" s="292"/>
      <c r="N199" s="292"/>
      <c r="O199" s="292"/>
      <c r="P199" s="294"/>
      <c r="Q199" s="294"/>
      <c r="R199" s="294">
        <v>111</v>
      </c>
      <c r="S199" s="294">
        <v>56</v>
      </c>
      <c r="T199" s="294"/>
      <c r="U199" s="294">
        <v>58</v>
      </c>
      <c r="V199" s="431"/>
      <c r="W199" s="294"/>
      <c r="X199" s="294"/>
      <c r="Y199" s="294">
        <f>IF(NFI_Expiration=1,IF($A199&lt;VLOOKUP(H$5,NFI,5,0),1,0)*Table_NFI[[#This Row],[Hygiene Kit]],Table_NFI[Hygiene Kit])</f>
        <v>0</v>
      </c>
      <c r="Z199" s="294">
        <f>IF(NFI_Expiration=1,IF($A199&lt;VLOOKUP(I$5,NFI,5,0),1,0)*Table_NFI[[#This Row],[NFI Core Kit]],Table_NFI[NFI Core Kit])</f>
        <v>0</v>
      </c>
      <c r="AA199" s="294">
        <f>IF(NFI_Expiration=1,IF($A199&lt;VLOOKUP(J$5,NFI,5,0),1,0)*Table_NFI[[#This Row],[Sanitary Kit]],Table_NFI[Sanitary Kit])</f>
        <v>0</v>
      </c>
      <c r="AB199" s="294">
        <f>IF(NFI_Expiration=1,IF($A199&lt;VLOOKUP(K$5,NFI,5,0),1,0)*Table_NFI[[#This Row],[Mosquito net]],Table_NFI[Mosquito net])</f>
        <v>0</v>
      </c>
      <c r="AC199" s="294">
        <f>IF(NFI_Expiration=1,IF($A199&lt;VLOOKUP(L$5,NFI,5,0),1,0)*Table_NFI[[#This Row],[Tarpaulin]],Table_NFI[[#This Row],[Tarpaulin]])</f>
        <v>0</v>
      </c>
      <c r="AD199" s="294">
        <f>IF(NFI_Expiration=1,IF($A199&lt;VLOOKUP(M$5,NFI,5,0),1,0)*Table_NFI[[#This Row],[Blanket]],Table_NFI[[#This Row],[Blanket]])</f>
        <v>0</v>
      </c>
      <c r="AE199" s="294">
        <f>IF(NFI_Expiration=1,IF($A199&lt;VLOOKUP(N$5,NFI,5,0),1,0)*Table_NFI[[#This Row],[Kitchen Set]],Table_NFI[Kitchen Set])</f>
        <v>0</v>
      </c>
      <c r="AF199" s="294">
        <f>IF(NFI_Expiration=1,IF($A199&lt;VLOOKUP(O$5,NFI,5,0),1,0)*Table_NFI[[#This Row],[Clothes Kit]],Table_NFI[Clothes Kit])</f>
        <v>0</v>
      </c>
      <c r="AG199" s="294">
        <f>IF(NFI_Expiration=1,IF($A199&lt;VLOOKUP(P$5,NFI,5,0),1,0)*Table_NFI[[#This Row],[Plastic Bucket]],Table_NFI[Plastic Bucket])</f>
        <v>0</v>
      </c>
      <c r="AH199" s="294">
        <f>IF(NFI_Expiration=1,IF($A199&lt;VLOOKUP(Q$5,NFI,5,0),1,0)*Table_NFI[[#This Row],[Plastic Mat]],Table_NFI[Plastic Mat])*IF(Table_NFI[[#This Row],[Distribution Date]]&gt;"2014-04-01",1,2.5)</f>
        <v>0</v>
      </c>
      <c r="AI199" s="294">
        <f>IF(NFI_Expiration=1,IF($A199&lt;VLOOKUP(R$5,NFI,5,0),1,0)*Table_NFI[[#This Row],[Winter Clothes Adult]],Table_NFI[Winter Clothes Adult])</f>
        <v>0</v>
      </c>
      <c r="AJ199" s="294">
        <f>IF(NFI_Expiration=1,IF($A199&lt;VLOOKUP(S$5,NFI,5,0),1,0)*Table_NFI[[#This Row],[Winter Clothes Children]],Table_NFI[Winter Clothes Children])</f>
        <v>0</v>
      </c>
      <c r="AK199" s="294">
        <f>IF(NFI_Expiration=1,IF($A199&lt;VLOOKUP(T$5,NFI,5,0),1,0)*Table_NFI[[#This Row],[Winter Items Other]],Table_NFI[Winter Items Other])</f>
        <v>0</v>
      </c>
      <c r="AL199" s="294">
        <f>IF(NFI_Expiration=1,IF($A199&lt;VLOOKUP(M$5,NFI,5,0),1,0)*Table_NFI[[#This Row],[Winter Blanket]],Table_NFI[[#This Row],[Winter Blanket]])</f>
        <v>0</v>
      </c>
      <c r="AM199" s="294">
        <f>IF(Table_NFI[[#This Row],[Winter Clothes Adult]]+Table_NFI[[#This Row],[Winter Clothes Children]]+Table_NFI[[#This Row],[Winter Items Other]]+Table_NFI[[#This Row],[Winter Blanket]]&gt;0,1,0)</f>
        <v>1</v>
      </c>
      <c r="AN199" s="331">
        <f>IF(NFI_Expiration=1,IF($A199&lt;VLOOKUP(V$5,NFI,5,0),1,0)*Table_NFI[[#This Row],[Jerry Can]],Table_NFI[Jerry Can])</f>
        <v>0</v>
      </c>
      <c r="AO199" s="331">
        <f>IF(NFI_Expiration=1,IF($A199&lt;VLOOKUP(V$5,NFI,5,0),1,0)*Table_NFI[[#This Row],[Shelter Tool kit]],Table_NFI[Shelter Tool kit])</f>
        <v>0</v>
      </c>
      <c r="AP199" s="331">
        <f>IF(NFI_Expiration=1,IF($A199&lt;VLOOKUP(V$5,NFI,5,0),1,0)*Table_NFI[[#This Row],[Tent]],Table_NFI[Tent])</f>
        <v>0</v>
      </c>
      <c r="AQ199" s="473" t="str">
        <f>IFERROR(VLOOKUP(Table_NFI[[#This Row],[Camp Name]],CL,2,0),"")</f>
        <v>MMR001CMP225</v>
      </c>
      <c r="AR199" s="468">
        <f ca="1">IF(Table_NFI[[#This Row],[Pcode]]="","",IF(OFFSET(CampList[Opening Date],MATCH(Table_NFI[[#This Row],[Pcode]],CampList[CP_Pcode],0)-1,0,1,1)&gt;=NFI_Monitor_Date,1,0))</f>
        <v>0</v>
      </c>
      <c r="AS199" s="473" t="str">
        <f>IFERROR(VLOOKUP(Table_NFI[[#This Row],[Camp Name]],CL,3,0),"")</f>
        <v>Open</v>
      </c>
      <c r="AT199" s="294" t="str">
        <f ca="1">IF(Table_NFI[[#This Row],[Pcode]]="","",OFFSET(CampList[Priority],MATCH(Table_NFI[[#This Row],[Pcode]],CampList[CP_Pcode],0)-1,0,1,1))</f>
        <v>P1</v>
      </c>
      <c r="AU199" s="293">
        <f>IFERROR(Table_NFI[[#This Row],[Kitchen Set]]/VLOOKUP(Table_NFI[[#This Row],[Camp Name]],CL,4,0),"")</f>
        <v>0</v>
      </c>
      <c r="AV199" s="466"/>
      <c r="AW199" s="490"/>
    </row>
    <row r="200" spans="1:49" s="470" customFormat="1" ht="14.45" customHeight="1" x14ac:dyDescent="0.25">
      <c r="A200" s="297">
        <f t="shared" si="3"/>
        <v>21.933333333333334</v>
      </c>
      <c r="B200" s="465">
        <v>42017</v>
      </c>
      <c r="C200" s="466" t="s">
        <v>1094</v>
      </c>
      <c r="D200" s="466" t="s">
        <v>900</v>
      </c>
      <c r="E200" s="466" t="s">
        <v>380</v>
      </c>
      <c r="F200" s="466" t="s">
        <v>185</v>
      </c>
      <c r="G200" s="466" t="s">
        <v>225</v>
      </c>
      <c r="H200" s="291"/>
      <c r="I200" s="294"/>
      <c r="J200" s="294"/>
      <c r="K200" s="294"/>
      <c r="L200" s="292"/>
      <c r="M200" s="292"/>
      <c r="N200" s="292"/>
      <c r="O200" s="292"/>
      <c r="P200" s="294"/>
      <c r="Q200" s="294"/>
      <c r="R200" s="294">
        <v>155</v>
      </c>
      <c r="S200" s="294">
        <v>73</v>
      </c>
      <c r="T200" s="294"/>
      <c r="U200" s="294">
        <v>96</v>
      </c>
      <c r="V200" s="431"/>
      <c r="W200" s="294"/>
      <c r="X200" s="294"/>
      <c r="Y200" s="294">
        <f>IF(NFI_Expiration=1,IF($A200&lt;VLOOKUP(H$5,NFI,5,0),1,0)*Table_NFI[[#This Row],[Hygiene Kit]],Table_NFI[Hygiene Kit])</f>
        <v>0</v>
      </c>
      <c r="Z200" s="294">
        <f>IF(NFI_Expiration=1,IF($A200&lt;VLOOKUP(I$5,NFI,5,0),1,0)*Table_NFI[[#This Row],[NFI Core Kit]],Table_NFI[NFI Core Kit])</f>
        <v>0</v>
      </c>
      <c r="AA200" s="294">
        <f>IF(NFI_Expiration=1,IF($A200&lt;VLOOKUP(J$5,NFI,5,0),1,0)*Table_NFI[[#This Row],[Sanitary Kit]],Table_NFI[Sanitary Kit])</f>
        <v>0</v>
      </c>
      <c r="AB200" s="294">
        <f>IF(NFI_Expiration=1,IF($A200&lt;VLOOKUP(K$5,NFI,5,0),1,0)*Table_NFI[[#This Row],[Mosquito net]],Table_NFI[Mosquito net])</f>
        <v>0</v>
      </c>
      <c r="AC200" s="294">
        <f>IF(NFI_Expiration=1,IF($A200&lt;VLOOKUP(L$5,NFI,5,0),1,0)*Table_NFI[[#This Row],[Tarpaulin]],Table_NFI[[#This Row],[Tarpaulin]])</f>
        <v>0</v>
      </c>
      <c r="AD200" s="294">
        <f>IF(NFI_Expiration=1,IF($A200&lt;VLOOKUP(M$5,NFI,5,0),1,0)*Table_NFI[[#This Row],[Blanket]],Table_NFI[[#This Row],[Blanket]])</f>
        <v>0</v>
      </c>
      <c r="AE200" s="294">
        <f>IF(NFI_Expiration=1,IF($A200&lt;VLOOKUP(N$5,NFI,5,0),1,0)*Table_NFI[[#This Row],[Kitchen Set]],Table_NFI[Kitchen Set])</f>
        <v>0</v>
      </c>
      <c r="AF200" s="294">
        <f>IF(NFI_Expiration=1,IF($A200&lt;VLOOKUP(O$5,NFI,5,0),1,0)*Table_NFI[[#This Row],[Clothes Kit]],Table_NFI[Clothes Kit])</f>
        <v>0</v>
      </c>
      <c r="AG200" s="294">
        <f>IF(NFI_Expiration=1,IF($A200&lt;VLOOKUP(P$5,NFI,5,0),1,0)*Table_NFI[[#This Row],[Plastic Bucket]],Table_NFI[Plastic Bucket])</f>
        <v>0</v>
      </c>
      <c r="AH200" s="294">
        <f>IF(NFI_Expiration=1,IF($A200&lt;VLOOKUP(Q$5,NFI,5,0),1,0)*Table_NFI[[#This Row],[Plastic Mat]],Table_NFI[Plastic Mat])*IF(Table_NFI[[#This Row],[Distribution Date]]&gt;"2014-04-01",1,2.5)</f>
        <v>0</v>
      </c>
      <c r="AI200" s="294">
        <f>IF(NFI_Expiration=1,IF($A200&lt;VLOOKUP(R$5,NFI,5,0),1,0)*Table_NFI[[#This Row],[Winter Clothes Adult]],Table_NFI[Winter Clothes Adult])</f>
        <v>0</v>
      </c>
      <c r="AJ200" s="294">
        <f>IF(NFI_Expiration=1,IF($A200&lt;VLOOKUP(S$5,NFI,5,0),1,0)*Table_NFI[[#This Row],[Winter Clothes Children]],Table_NFI[Winter Clothes Children])</f>
        <v>0</v>
      </c>
      <c r="AK200" s="294">
        <f>IF(NFI_Expiration=1,IF($A200&lt;VLOOKUP(T$5,NFI,5,0),1,0)*Table_NFI[[#This Row],[Winter Items Other]],Table_NFI[Winter Items Other])</f>
        <v>0</v>
      </c>
      <c r="AL200" s="294">
        <f>IF(NFI_Expiration=1,IF($A200&lt;VLOOKUP(M$5,NFI,5,0),1,0)*Table_NFI[[#This Row],[Winter Blanket]],Table_NFI[[#This Row],[Winter Blanket]])</f>
        <v>0</v>
      </c>
      <c r="AM200" s="294">
        <f>IF(Table_NFI[[#This Row],[Winter Clothes Adult]]+Table_NFI[[#This Row],[Winter Clothes Children]]+Table_NFI[[#This Row],[Winter Items Other]]+Table_NFI[[#This Row],[Winter Blanket]]&gt;0,1,0)</f>
        <v>1</v>
      </c>
      <c r="AN200" s="331">
        <f>IF(NFI_Expiration=1,IF($A200&lt;VLOOKUP(V$5,NFI,5,0),1,0)*Table_NFI[[#This Row],[Jerry Can]],Table_NFI[Jerry Can])</f>
        <v>0</v>
      </c>
      <c r="AO200" s="331">
        <f>IF(NFI_Expiration=1,IF($A200&lt;VLOOKUP(V$5,NFI,5,0),1,0)*Table_NFI[[#This Row],[Shelter Tool kit]],Table_NFI[Shelter Tool kit])</f>
        <v>0</v>
      </c>
      <c r="AP200" s="331">
        <f>IF(NFI_Expiration=1,IF($A200&lt;VLOOKUP(V$5,NFI,5,0),1,0)*Table_NFI[[#This Row],[Tent]],Table_NFI[Tent])</f>
        <v>0</v>
      </c>
      <c r="AQ200" s="473" t="str">
        <f>IFERROR(VLOOKUP(Table_NFI[[#This Row],[Camp Name]],CL,2,0),"")</f>
        <v>MMR001CMP073</v>
      </c>
      <c r="AR200" s="468">
        <f ca="1">IF(Table_NFI[[#This Row],[Pcode]]="","",IF(OFFSET(CampList[Opening Date],MATCH(Table_NFI[[#This Row],[Pcode]],CampList[CP_Pcode],0)-1,0,1,1)&gt;=NFI_Monitor_Date,1,0))</f>
        <v>0</v>
      </c>
      <c r="AS200" s="473" t="str">
        <f>IFERROR(VLOOKUP(Table_NFI[[#This Row],[Camp Name]],CL,3,0),"")</f>
        <v>Open</v>
      </c>
      <c r="AT200" s="294" t="str">
        <f ca="1">IF(Table_NFI[[#This Row],[Pcode]]="","",OFFSET(CampList[Priority],MATCH(Table_NFI[[#This Row],[Pcode]],CampList[CP_Pcode],0)-1,0,1,1))</f>
        <v>P3</v>
      </c>
      <c r="AU200" s="293">
        <f>IFERROR(Table_NFI[[#This Row],[Kitchen Set]]/VLOOKUP(Table_NFI[[#This Row],[Camp Name]],CL,4,0),"")</f>
        <v>0</v>
      </c>
      <c r="AV200" s="466"/>
      <c r="AW200" s="490"/>
    </row>
    <row r="201" spans="1:49" s="470" customFormat="1" x14ac:dyDescent="0.25">
      <c r="A201" s="297">
        <f t="shared" si="3"/>
        <v>21.933333333333334</v>
      </c>
      <c r="B201" s="465">
        <v>42017</v>
      </c>
      <c r="C201" s="466" t="s">
        <v>1094</v>
      </c>
      <c r="D201" s="466" t="s">
        <v>900</v>
      </c>
      <c r="E201" s="466" t="s">
        <v>380</v>
      </c>
      <c r="F201" s="466" t="s">
        <v>808</v>
      </c>
      <c r="G201" s="466" t="s">
        <v>808</v>
      </c>
      <c r="H201" s="291"/>
      <c r="I201" s="294"/>
      <c r="J201" s="294"/>
      <c r="K201" s="294"/>
      <c r="L201" s="292"/>
      <c r="M201" s="292"/>
      <c r="N201" s="292"/>
      <c r="O201" s="292"/>
      <c r="P201" s="294"/>
      <c r="Q201" s="294"/>
      <c r="R201" s="294">
        <v>91</v>
      </c>
      <c r="S201" s="294">
        <v>32</v>
      </c>
      <c r="T201" s="294"/>
      <c r="U201" s="294">
        <v>36</v>
      </c>
      <c r="V201" s="431"/>
      <c r="W201" s="294"/>
      <c r="X201" s="294"/>
      <c r="Y201" s="294">
        <f>IF(NFI_Expiration=1,IF($A201&lt;VLOOKUP(H$5,NFI,5,0),1,0)*Table_NFI[[#This Row],[Hygiene Kit]],Table_NFI[Hygiene Kit])</f>
        <v>0</v>
      </c>
      <c r="Z201" s="294">
        <f>IF(NFI_Expiration=1,IF($A201&lt;VLOOKUP(I$5,NFI,5,0),1,0)*Table_NFI[[#This Row],[NFI Core Kit]],Table_NFI[NFI Core Kit])</f>
        <v>0</v>
      </c>
      <c r="AA201" s="294">
        <f>IF(NFI_Expiration=1,IF($A201&lt;VLOOKUP(J$5,NFI,5,0),1,0)*Table_NFI[[#This Row],[Sanitary Kit]],Table_NFI[Sanitary Kit])</f>
        <v>0</v>
      </c>
      <c r="AB201" s="294">
        <f>IF(NFI_Expiration=1,IF($A201&lt;VLOOKUP(K$5,NFI,5,0),1,0)*Table_NFI[[#This Row],[Mosquito net]],Table_NFI[Mosquito net])</f>
        <v>0</v>
      </c>
      <c r="AC201" s="294">
        <f>IF(NFI_Expiration=1,IF($A201&lt;VLOOKUP(L$5,NFI,5,0),1,0)*Table_NFI[[#This Row],[Tarpaulin]],Table_NFI[[#This Row],[Tarpaulin]])</f>
        <v>0</v>
      </c>
      <c r="AD201" s="294">
        <f>IF(NFI_Expiration=1,IF($A201&lt;VLOOKUP(M$5,NFI,5,0),1,0)*Table_NFI[[#This Row],[Blanket]],Table_NFI[[#This Row],[Blanket]])</f>
        <v>0</v>
      </c>
      <c r="AE201" s="294">
        <f>IF(NFI_Expiration=1,IF($A201&lt;VLOOKUP(N$5,NFI,5,0),1,0)*Table_NFI[[#This Row],[Kitchen Set]],Table_NFI[Kitchen Set])</f>
        <v>0</v>
      </c>
      <c r="AF201" s="294">
        <f>IF(NFI_Expiration=1,IF($A201&lt;VLOOKUP(O$5,NFI,5,0),1,0)*Table_NFI[[#This Row],[Clothes Kit]],Table_NFI[Clothes Kit])</f>
        <v>0</v>
      </c>
      <c r="AG201" s="294">
        <f>IF(NFI_Expiration=1,IF($A201&lt;VLOOKUP(P$5,NFI,5,0),1,0)*Table_NFI[[#This Row],[Plastic Bucket]],Table_NFI[Plastic Bucket])</f>
        <v>0</v>
      </c>
      <c r="AH201" s="294">
        <f>IF(NFI_Expiration=1,IF($A201&lt;VLOOKUP(Q$5,NFI,5,0),1,0)*Table_NFI[[#This Row],[Plastic Mat]],Table_NFI[Plastic Mat])*IF(Table_NFI[[#This Row],[Distribution Date]]&gt;"2014-04-01",1,2.5)</f>
        <v>0</v>
      </c>
      <c r="AI201" s="294">
        <f>IF(NFI_Expiration=1,IF($A201&lt;VLOOKUP(R$5,NFI,5,0),1,0)*Table_NFI[[#This Row],[Winter Clothes Adult]],Table_NFI[Winter Clothes Adult])</f>
        <v>0</v>
      </c>
      <c r="AJ201" s="294">
        <f>IF(NFI_Expiration=1,IF($A201&lt;VLOOKUP(S$5,NFI,5,0),1,0)*Table_NFI[[#This Row],[Winter Clothes Children]],Table_NFI[Winter Clothes Children])</f>
        <v>0</v>
      </c>
      <c r="AK201" s="294">
        <f>IF(NFI_Expiration=1,IF($A201&lt;VLOOKUP(T$5,NFI,5,0),1,0)*Table_NFI[[#This Row],[Winter Items Other]],Table_NFI[Winter Items Other])</f>
        <v>0</v>
      </c>
      <c r="AL201" s="294">
        <f>IF(NFI_Expiration=1,IF($A201&lt;VLOOKUP(M$5,NFI,5,0),1,0)*Table_NFI[[#This Row],[Winter Blanket]],Table_NFI[[#This Row],[Winter Blanket]])</f>
        <v>0</v>
      </c>
      <c r="AM201" s="294">
        <f>IF(Table_NFI[[#This Row],[Winter Clothes Adult]]+Table_NFI[[#This Row],[Winter Clothes Children]]+Table_NFI[[#This Row],[Winter Items Other]]+Table_NFI[[#This Row],[Winter Blanket]]&gt;0,1,0)</f>
        <v>1</v>
      </c>
      <c r="AN201" s="331">
        <f>IF(NFI_Expiration=1,IF($A201&lt;VLOOKUP(V$5,NFI,5,0),1,0)*Table_NFI[[#This Row],[Jerry Can]],Table_NFI[Jerry Can])</f>
        <v>0</v>
      </c>
      <c r="AO201" s="331">
        <f>IF(NFI_Expiration=1,IF($A201&lt;VLOOKUP(V$5,NFI,5,0),1,0)*Table_NFI[[#This Row],[Shelter Tool kit]],Table_NFI[Shelter Tool kit])</f>
        <v>0</v>
      </c>
      <c r="AP201" s="331">
        <f>IF(NFI_Expiration=1,IF($A201&lt;VLOOKUP(V$5,NFI,5,0),1,0)*Table_NFI[[#This Row],[Tent]],Table_NFI[Tent])</f>
        <v>0</v>
      </c>
      <c r="AQ201" s="473" t="str">
        <f>IFERROR(VLOOKUP(Table_NFI[[#This Row],[Camp Name]],CL,2,0),"")</f>
        <v>MMR001CMP206</v>
      </c>
      <c r="AR201" s="468">
        <f ca="1">IF(Table_NFI[[#This Row],[Pcode]]="","",IF(OFFSET(CampList[Opening Date],MATCH(Table_NFI[[#This Row],[Pcode]],CampList[CP_Pcode],0)-1,0,1,1)&gt;=NFI_Monitor_Date,1,0))</f>
        <v>0</v>
      </c>
      <c r="AS201" s="473" t="str">
        <f>IFERROR(VLOOKUP(Table_NFI[[#This Row],[Camp Name]],CL,3,0),"")</f>
        <v>Open</v>
      </c>
      <c r="AT201" s="294" t="str">
        <f ca="1">IF(Table_NFI[[#This Row],[Pcode]]="","",OFFSET(CampList[Priority],MATCH(Table_NFI[[#This Row],[Pcode]],CampList[CP_Pcode],0)-1,0,1,1))</f>
        <v>P4</v>
      </c>
      <c r="AU201" s="293">
        <f>IFERROR(Table_NFI[[#This Row],[Kitchen Set]]/VLOOKUP(Table_NFI[[#This Row],[Camp Name]],CL,4,0),"")</f>
        <v>0</v>
      </c>
      <c r="AV201" s="466"/>
      <c r="AW201" s="490"/>
    </row>
    <row r="202" spans="1:49" s="470" customFormat="1" ht="14.45" customHeight="1" x14ac:dyDescent="0.25">
      <c r="A202" s="297">
        <f t="shared" si="3"/>
        <v>21.933333333333334</v>
      </c>
      <c r="B202" s="465">
        <v>42017</v>
      </c>
      <c r="C202" s="471" t="s">
        <v>452</v>
      </c>
      <c r="D202" s="471" t="s">
        <v>505</v>
      </c>
      <c r="E202" s="471" t="s">
        <v>380</v>
      </c>
      <c r="F202" s="471" t="s">
        <v>237</v>
      </c>
      <c r="G202" s="471" t="s">
        <v>1244</v>
      </c>
      <c r="H202" s="292"/>
      <c r="I202" s="292"/>
      <c r="J202" s="292"/>
      <c r="K202" s="292"/>
      <c r="L202" s="292">
        <v>2</v>
      </c>
      <c r="M202" s="292"/>
      <c r="N202" s="292"/>
      <c r="O202" s="292"/>
      <c r="P202" s="294"/>
      <c r="Q202" s="294"/>
      <c r="R202" s="294"/>
      <c r="S202" s="294"/>
      <c r="T202" s="294"/>
      <c r="U202" s="294"/>
      <c r="V202" s="431"/>
      <c r="W202" s="294"/>
      <c r="X202" s="294"/>
      <c r="Y202" s="294">
        <f>IF(NFI_Expiration=1,IF($A202&lt;VLOOKUP(H$5,NFI,5,0),1,0)*Table_NFI[[#This Row],[Hygiene Kit]],Table_NFI[Hygiene Kit])</f>
        <v>0</v>
      </c>
      <c r="Z202" s="294">
        <f>IF(NFI_Expiration=1,IF($A202&lt;VLOOKUP(I$5,NFI,5,0),1,0)*Table_NFI[[#This Row],[NFI Core Kit]],Table_NFI[NFI Core Kit])</f>
        <v>0</v>
      </c>
      <c r="AA202" s="294">
        <f>IF(NFI_Expiration=1,IF($A202&lt;VLOOKUP(J$5,NFI,5,0),1,0)*Table_NFI[[#This Row],[Sanitary Kit]],Table_NFI[Sanitary Kit])</f>
        <v>0</v>
      </c>
      <c r="AB202" s="294">
        <f>IF(NFI_Expiration=1,IF($A202&lt;VLOOKUP(K$5,NFI,5,0),1,0)*Table_NFI[[#This Row],[Mosquito net]],Table_NFI[Mosquito net])</f>
        <v>0</v>
      </c>
      <c r="AC202" s="294">
        <f>IF(NFI_Expiration=1,IF($A202&lt;VLOOKUP(L$5,NFI,5,0),1,0)*Table_NFI[[#This Row],[Tarpaulin]],Table_NFI[[#This Row],[Tarpaulin]])</f>
        <v>0</v>
      </c>
      <c r="AD202" s="294">
        <f>IF(NFI_Expiration=1,IF($A202&lt;VLOOKUP(M$5,NFI,5,0),1,0)*Table_NFI[[#This Row],[Blanket]],Table_NFI[[#This Row],[Blanket]])</f>
        <v>0</v>
      </c>
      <c r="AE202" s="294">
        <f>IF(NFI_Expiration=1,IF($A202&lt;VLOOKUP(N$5,NFI,5,0),1,0)*Table_NFI[[#This Row],[Kitchen Set]],Table_NFI[Kitchen Set])</f>
        <v>0</v>
      </c>
      <c r="AF202" s="294">
        <f>IF(NFI_Expiration=1,IF($A202&lt;VLOOKUP(O$5,NFI,5,0),1,0)*Table_NFI[[#This Row],[Clothes Kit]],Table_NFI[Clothes Kit])</f>
        <v>0</v>
      </c>
      <c r="AG202" s="294">
        <f>IF(NFI_Expiration=1,IF($A202&lt;VLOOKUP(P$5,NFI,5,0),1,0)*Table_NFI[[#This Row],[Plastic Bucket]],Table_NFI[Plastic Bucket])</f>
        <v>0</v>
      </c>
      <c r="AH202" s="294">
        <f>IF(NFI_Expiration=1,IF($A202&lt;VLOOKUP(Q$5,NFI,5,0),1,0)*Table_NFI[[#This Row],[Plastic Mat]],Table_NFI[Plastic Mat])*IF(Table_NFI[[#This Row],[Distribution Date]]&gt;"2014-04-01",1,2.5)</f>
        <v>0</v>
      </c>
      <c r="AI202" s="294">
        <f>IF(NFI_Expiration=1,IF($A202&lt;VLOOKUP(R$5,NFI,5,0),1,0)*Table_NFI[[#This Row],[Winter Clothes Adult]],Table_NFI[Winter Clothes Adult])</f>
        <v>0</v>
      </c>
      <c r="AJ202" s="294">
        <f>IF(NFI_Expiration=1,IF($A202&lt;VLOOKUP(S$5,NFI,5,0),1,0)*Table_NFI[[#This Row],[Winter Clothes Children]],Table_NFI[Winter Clothes Children])</f>
        <v>0</v>
      </c>
      <c r="AK202" s="294">
        <f>IF(NFI_Expiration=1,IF($A202&lt;VLOOKUP(T$5,NFI,5,0),1,0)*Table_NFI[[#This Row],[Winter Items Other]],Table_NFI[Winter Items Other])</f>
        <v>0</v>
      </c>
      <c r="AL202" s="294">
        <f>IF(NFI_Expiration=1,IF($A202&lt;VLOOKUP(M$5,NFI,5,0),1,0)*Table_NFI[[#This Row],[Winter Blanket]],Table_NFI[[#This Row],[Winter Blanket]])</f>
        <v>0</v>
      </c>
      <c r="AM202" s="294">
        <f>IF(Table_NFI[[#This Row],[Winter Clothes Adult]]+Table_NFI[[#This Row],[Winter Clothes Children]]+Table_NFI[[#This Row],[Winter Items Other]]+Table_NFI[[#This Row],[Winter Blanket]]&gt;0,1,0)</f>
        <v>0</v>
      </c>
      <c r="AN202" s="331">
        <f>IF(NFI_Expiration=1,IF($A202&lt;VLOOKUP(V$5,NFI,5,0),1,0)*Table_NFI[[#This Row],[Jerry Can]],Table_NFI[Jerry Can])</f>
        <v>0</v>
      </c>
      <c r="AO202" s="331">
        <f>IF(NFI_Expiration=1,IF($A202&lt;VLOOKUP(V$5,NFI,5,0),1,0)*Table_NFI[[#This Row],[Shelter Tool kit]],Table_NFI[Shelter Tool kit])</f>
        <v>0</v>
      </c>
      <c r="AP202" s="331">
        <f>IF(NFI_Expiration=1,IF($A202&lt;VLOOKUP(V$5,NFI,5,0),1,0)*Table_NFI[[#This Row],[Tent]],Table_NFI[Tent])</f>
        <v>0</v>
      </c>
      <c r="AQ202" s="473" t="str">
        <f>IFERROR(VLOOKUP(Table_NFI[[#This Row],[Camp Name]],CL,2,0),"")</f>
        <v>MMR001CMP023</v>
      </c>
      <c r="AR202" s="468">
        <f ca="1">IF(Table_NFI[[#This Row],[Pcode]]="","",IF(OFFSET(CampList[Opening Date],MATCH(Table_NFI[[#This Row],[Pcode]],CampList[CP_Pcode],0)-1,0,1,1)&gt;=NFI_Monitor_Date,1,0))</f>
        <v>0</v>
      </c>
      <c r="AS202" s="473" t="str">
        <f>IFERROR(VLOOKUP(Table_NFI[[#This Row],[Camp Name]],CL,3,0),"")</f>
        <v>Open</v>
      </c>
      <c r="AT202" s="294" t="str">
        <f ca="1">IF(Table_NFI[[#This Row],[Pcode]]="","",OFFSET(CampList[Priority],MATCH(Table_NFI[[#This Row],[Pcode]],CampList[CP_Pcode],0)-1,0,1,1))</f>
        <v>P4</v>
      </c>
      <c r="AU202" s="293">
        <f>IFERROR(Table_NFI[[#This Row],[Kitchen Set]]/VLOOKUP(Table_NFI[[#This Row],[Camp Name]],CL,4,0),"")</f>
        <v>0</v>
      </c>
      <c r="AV202" s="466" t="s">
        <v>1092</v>
      </c>
      <c r="AW202" s="474"/>
    </row>
    <row r="203" spans="1:49" s="98" customFormat="1" x14ac:dyDescent="0.25">
      <c r="A203" s="297">
        <f t="shared" si="3"/>
        <v>21.933333333333334</v>
      </c>
      <c r="B203" s="465">
        <v>42017</v>
      </c>
      <c r="C203" s="466" t="s">
        <v>1094</v>
      </c>
      <c r="D203" s="466" t="s">
        <v>900</v>
      </c>
      <c r="E203" s="466" t="s">
        <v>380</v>
      </c>
      <c r="F203" s="466" t="s">
        <v>527</v>
      </c>
      <c r="G203" s="466" t="s">
        <v>126</v>
      </c>
      <c r="H203" s="291"/>
      <c r="I203" s="294"/>
      <c r="J203" s="294"/>
      <c r="K203" s="294"/>
      <c r="L203" s="292"/>
      <c r="M203" s="292"/>
      <c r="N203" s="292"/>
      <c r="O203" s="292"/>
      <c r="P203" s="294"/>
      <c r="Q203" s="294"/>
      <c r="R203" s="294">
        <v>94</v>
      </c>
      <c r="S203" s="294">
        <v>58</v>
      </c>
      <c r="T203" s="294"/>
      <c r="U203" s="294"/>
      <c r="V203" s="431"/>
      <c r="W203" s="294"/>
      <c r="X203" s="294"/>
      <c r="Y203" s="294">
        <f>IF(NFI_Expiration=1,IF($A203&lt;VLOOKUP(H$5,NFI,5,0),1,0)*Table_NFI[[#This Row],[Hygiene Kit]],Table_NFI[Hygiene Kit])</f>
        <v>0</v>
      </c>
      <c r="Z203" s="294">
        <f>IF(NFI_Expiration=1,IF($A203&lt;VLOOKUP(I$5,NFI,5,0),1,0)*Table_NFI[[#This Row],[NFI Core Kit]],Table_NFI[NFI Core Kit])</f>
        <v>0</v>
      </c>
      <c r="AA203" s="294">
        <f>IF(NFI_Expiration=1,IF($A203&lt;VLOOKUP(J$5,NFI,5,0),1,0)*Table_NFI[[#This Row],[Sanitary Kit]],Table_NFI[Sanitary Kit])</f>
        <v>0</v>
      </c>
      <c r="AB203" s="294">
        <f>IF(NFI_Expiration=1,IF($A203&lt;VLOOKUP(K$5,NFI,5,0),1,0)*Table_NFI[[#This Row],[Mosquito net]],Table_NFI[Mosquito net])</f>
        <v>0</v>
      </c>
      <c r="AC203" s="294">
        <f>IF(NFI_Expiration=1,IF($A203&lt;VLOOKUP(L$5,NFI,5,0),1,0)*Table_NFI[[#This Row],[Tarpaulin]],Table_NFI[[#This Row],[Tarpaulin]])</f>
        <v>0</v>
      </c>
      <c r="AD203" s="294">
        <f>IF(NFI_Expiration=1,IF($A203&lt;VLOOKUP(M$5,NFI,5,0),1,0)*Table_NFI[[#This Row],[Blanket]],Table_NFI[[#This Row],[Blanket]])</f>
        <v>0</v>
      </c>
      <c r="AE203" s="294">
        <f>IF(NFI_Expiration=1,IF($A203&lt;VLOOKUP(N$5,NFI,5,0),1,0)*Table_NFI[[#This Row],[Kitchen Set]],Table_NFI[Kitchen Set])</f>
        <v>0</v>
      </c>
      <c r="AF203" s="294">
        <f>IF(NFI_Expiration=1,IF($A203&lt;VLOOKUP(O$5,NFI,5,0),1,0)*Table_NFI[[#This Row],[Clothes Kit]],Table_NFI[Clothes Kit])</f>
        <v>0</v>
      </c>
      <c r="AG203" s="294">
        <f>IF(NFI_Expiration=1,IF($A203&lt;VLOOKUP(P$5,NFI,5,0),1,0)*Table_NFI[[#This Row],[Plastic Bucket]],Table_NFI[Plastic Bucket])</f>
        <v>0</v>
      </c>
      <c r="AH203" s="294">
        <f>IF(NFI_Expiration=1,IF($A203&lt;VLOOKUP(Q$5,NFI,5,0),1,0)*Table_NFI[[#This Row],[Plastic Mat]],Table_NFI[Plastic Mat])*IF(Table_NFI[[#This Row],[Distribution Date]]&gt;"2014-04-01",1,2.5)</f>
        <v>0</v>
      </c>
      <c r="AI203" s="294">
        <f>IF(NFI_Expiration=1,IF($A203&lt;VLOOKUP(R$5,NFI,5,0),1,0)*Table_NFI[[#This Row],[Winter Clothes Adult]],Table_NFI[Winter Clothes Adult])</f>
        <v>0</v>
      </c>
      <c r="AJ203" s="294">
        <f>IF(NFI_Expiration=1,IF($A203&lt;VLOOKUP(S$5,NFI,5,0),1,0)*Table_NFI[[#This Row],[Winter Clothes Children]],Table_NFI[Winter Clothes Children])</f>
        <v>0</v>
      </c>
      <c r="AK203" s="294">
        <f>IF(NFI_Expiration=1,IF($A203&lt;VLOOKUP(T$5,NFI,5,0),1,0)*Table_NFI[[#This Row],[Winter Items Other]],Table_NFI[Winter Items Other])</f>
        <v>0</v>
      </c>
      <c r="AL203" s="294">
        <f>IF(NFI_Expiration=1,IF($A203&lt;VLOOKUP(M$5,NFI,5,0),1,0)*Table_NFI[[#This Row],[Winter Blanket]],Table_NFI[[#This Row],[Winter Blanket]])</f>
        <v>0</v>
      </c>
      <c r="AM203" s="294">
        <f>IF(Table_NFI[[#This Row],[Winter Clothes Adult]]+Table_NFI[[#This Row],[Winter Clothes Children]]+Table_NFI[[#This Row],[Winter Items Other]]+Table_NFI[[#This Row],[Winter Blanket]]&gt;0,1,0)</f>
        <v>1</v>
      </c>
      <c r="AN203" s="331">
        <f>IF(NFI_Expiration=1,IF($A203&lt;VLOOKUP(V$5,NFI,5,0),1,0)*Table_NFI[[#This Row],[Jerry Can]],Table_NFI[Jerry Can])</f>
        <v>0</v>
      </c>
      <c r="AO203" s="331">
        <f>IF(NFI_Expiration=1,IF($A203&lt;VLOOKUP(V$5,NFI,5,0),1,0)*Table_NFI[[#This Row],[Shelter Tool kit]],Table_NFI[Shelter Tool kit])</f>
        <v>0</v>
      </c>
      <c r="AP203" s="331">
        <f>IF(NFI_Expiration=1,IF($A203&lt;VLOOKUP(V$5,NFI,5,0),1,0)*Table_NFI[[#This Row],[Tent]],Table_NFI[Tent])</f>
        <v>0</v>
      </c>
      <c r="AQ203" s="473" t="str">
        <f>IFERROR(VLOOKUP(Table_NFI[[#This Row],[Camp Name]],CL,2,0),"")</f>
        <v>MMR001CMP184</v>
      </c>
      <c r="AR203" s="468">
        <f ca="1">IF(Table_NFI[[#This Row],[Pcode]]="","",IF(OFFSET(CampList[Opening Date],MATCH(Table_NFI[[#This Row],[Pcode]],CampList[CP_Pcode],0)-1,0,1,1)&gt;=NFI_Monitor_Date,1,0))</f>
        <v>0</v>
      </c>
      <c r="AS203" s="473" t="str">
        <f>IFERROR(VLOOKUP(Table_NFI[[#This Row],[Camp Name]],CL,3,0),"")</f>
        <v>Open</v>
      </c>
      <c r="AT203" s="294" t="str">
        <f ca="1">IF(Table_NFI[[#This Row],[Pcode]]="","",OFFSET(CampList[Priority],MATCH(Table_NFI[[#This Row],[Pcode]],CampList[CP_Pcode],0)-1,0,1,1))</f>
        <v>P4</v>
      </c>
      <c r="AU203" s="293">
        <f>IFERROR(Table_NFI[[#This Row],[Kitchen Set]]/VLOOKUP(Table_NFI[[#This Row],[Camp Name]],CL,4,0),"")</f>
        <v>0</v>
      </c>
      <c r="AV203" s="466"/>
      <c r="AW203" s="490"/>
    </row>
    <row r="204" spans="1:49" s="98" customFormat="1" ht="14.45" customHeight="1" x14ac:dyDescent="0.25">
      <c r="A204" s="297">
        <f t="shared" si="3"/>
        <v>21.933333333333334</v>
      </c>
      <c r="B204" s="465">
        <v>42017</v>
      </c>
      <c r="C204" s="466" t="s">
        <v>1094</v>
      </c>
      <c r="D204" s="466" t="s">
        <v>900</v>
      </c>
      <c r="E204" s="466" t="s">
        <v>380</v>
      </c>
      <c r="F204" s="466" t="s">
        <v>527</v>
      </c>
      <c r="G204" s="466" t="s">
        <v>140</v>
      </c>
      <c r="H204" s="291"/>
      <c r="I204" s="294"/>
      <c r="J204" s="294"/>
      <c r="K204" s="294"/>
      <c r="L204" s="292"/>
      <c r="M204" s="292"/>
      <c r="N204" s="292"/>
      <c r="O204" s="292"/>
      <c r="P204" s="294"/>
      <c r="Q204" s="294"/>
      <c r="R204" s="294">
        <v>33</v>
      </c>
      <c r="S204" s="294">
        <v>8</v>
      </c>
      <c r="T204" s="294"/>
      <c r="U204" s="294"/>
      <c r="V204" s="431"/>
      <c r="W204" s="294"/>
      <c r="X204" s="294"/>
      <c r="Y204" s="294">
        <f>IF(NFI_Expiration=1,IF($A204&lt;VLOOKUP(H$5,NFI,5,0),1,0)*Table_NFI[[#This Row],[Hygiene Kit]],Table_NFI[Hygiene Kit])</f>
        <v>0</v>
      </c>
      <c r="Z204" s="294">
        <f>IF(NFI_Expiration=1,IF($A204&lt;VLOOKUP(I$5,NFI,5,0),1,0)*Table_NFI[[#This Row],[NFI Core Kit]],Table_NFI[NFI Core Kit])</f>
        <v>0</v>
      </c>
      <c r="AA204" s="294">
        <f>IF(NFI_Expiration=1,IF($A204&lt;VLOOKUP(J$5,NFI,5,0),1,0)*Table_NFI[[#This Row],[Sanitary Kit]],Table_NFI[Sanitary Kit])</f>
        <v>0</v>
      </c>
      <c r="AB204" s="294">
        <f>IF(NFI_Expiration=1,IF($A204&lt;VLOOKUP(K$5,NFI,5,0),1,0)*Table_NFI[[#This Row],[Mosquito net]],Table_NFI[Mosquito net])</f>
        <v>0</v>
      </c>
      <c r="AC204" s="294">
        <f>IF(NFI_Expiration=1,IF($A204&lt;VLOOKUP(L$5,NFI,5,0),1,0)*Table_NFI[[#This Row],[Tarpaulin]],Table_NFI[[#This Row],[Tarpaulin]])</f>
        <v>0</v>
      </c>
      <c r="AD204" s="294">
        <f>IF(NFI_Expiration=1,IF($A204&lt;VLOOKUP(M$5,NFI,5,0),1,0)*Table_NFI[[#This Row],[Blanket]],Table_NFI[[#This Row],[Blanket]])</f>
        <v>0</v>
      </c>
      <c r="AE204" s="294">
        <f>IF(NFI_Expiration=1,IF($A204&lt;VLOOKUP(N$5,NFI,5,0),1,0)*Table_NFI[[#This Row],[Kitchen Set]],Table_NFI[Kitchen Set])</f>
        <v>0</v>
      </c>
      <c r="AF204" s="294">
        <f>IF(NFI_Expiration=1,IF($A204&lt;VLOOKUP(O$5,NFI,5,0),1,0)*Table_NFI[[#This Row],[Clothes Kit]],Table_NFI[Clothes Kit])</f>
        <v>0</v>
      </c>
      <c r="AG204" s="294">
        <f>IF(NFI_Expiration=1,IF($A204&lt;VLOOKUP(P$5,NFI,5,0),1,0)*Table_NFI[[#This Row],[Plastic Bucket]],Table_NFI[Plastic Bucket])</f>
        <v>0</v>
      </c>
      <c r="AH204" s="294">
        <f>IF(NFI_Expiration=1,IF($A204&lt;VLOOKUP(Q$5,NFI,5,0),1,0)*Table_NFI[[#This Row],[Plastic Mat]],Table_NFI[Plastic Mat])*IF(Table_NFI[[#This Row],[Distribution Date]]&gt;"2014-04-01",1,2.5)</f>
        <v>0</v>
      </c>
      <c r="AI204" s="294">
        <f>IF(NFI_Expiration=1,IF($A204&lt;VLOOKUP(R$5,NFI,5,0),1,0)*Table_NFI[[#This Row],[Winter Clothes Adult]],Table_NFI[Winter Clothes Adult])</f>
        <v>0</v>
      </c>
      <c r="AJ204" s="294">
        <f>IF(NFI_Expiration=1,IF($A204&lt;VLOOKUP(S$5,NFI,5,0),1,0)*Table_NFI[[#This Row],[Winter Clothes Children]],Table_NFI[Winter Clothes Children])</f>
        <v>0</v>
      </c>
      <c r="AK204" s="294">
        <f>IF(NFI_Expiration=1,IF($A204&lt;VLOOKUP(T$5,NFI,5,0),1,0)*Table_NFI[[#This Row],[Winter Items Other]],Table_NFI[Winter Items Other])</f>
        <v>0</v>
      </c>
      <c r="AL204" s="294">
        <f>IF(NFI_Expiration=1,IF($A204&lt;VLOOKUP(M$5,NFI,5,0),1,0)*Table_NFI[[#This Row],[Winter Blanket]],Table_NFI[[#This Row],[Winter Blanket]])</f>
        <v>0</v>
      </c>
      <c r="AM204" s="294">
        <f>IF(Table_NFI[[#This Row],[Winter Clothes Adult]]+Table_NFI[[#This Row],[Winter Clothes Children]]+Table_NFI[[#This Row],[Winter Items Other]]+Table_NFI[[#This Row],[Winter Blanket]]&gt;0,1,0)</f>
        <v>1</v>
      </c>
      <c r="AN204" s="331">
        <f>IF(NFI_Expiration=1,IF($A204&lt;VLOOKUP(V$5,NFI,5,0),1,0)*Table_NFI[[#This Row],[Jerry Can]],Table_NFI[Jerry Can])</f>
        <v>0</v>
      </c>
      <c r="AO204" s="331">
        <f>IF(NFI_Expiration=1,IF($A204&lt;VLOOKUP(V$5,NFI,5,0),1,0)*Table_NFI[[#This Row],[Shelter Tool kit]],Table_NFI[Shelter Tool kit])</f>
        <v>0</v>
      </c>
      <c r="AP204" s="331">
        <f>IF(NFI_Expiration=1,IF($A204&lt;VLOOKUP(V$5,NFI,5,0),1,0)*Table_NFI[[#This Row],[Tent]],Table_NFI[Tent])</f>
        <v>0</v>
      </c>
      <c r="AQ204" s="473" t="str">
        <f>IFERROR(VLOOKUP(Table_NFI[[#This Row],[Camp Name]],CL,2,0),"")</f>
        <v>MMR001CMP105</v>
      </c>
      <c r="AR204" s="468">
        <f ca="1">IF(Table_NFI[[#This Row],[Pcode]]="","",IF(OFFSET(CampList[Opening Date],MATCH(Table_NFI[[#This Row],[Pcode]],CampList[CP_Pcode],0)-1,0,1,1)&gt;=NFI_Monitor_Date,1,0))</f>
        <v>0</v>
      </c>
      <c r="AS204" s="473" t="str">
        <f>IFERROR(VLOOKUP(Table_NFI[[#This Row],[Camp Name]],CL,3,0),"")</f>
        <v>Open</v>
      </c>
      <c r="AT204" s="294" t="str">
        <f ca="1">IF(Table_NFI[[#This Row],[Pcode]]="","",OFFSET(CampList[Priority],MATCH(Table_NFI[[#This Row],[Pcode]],CampList[CP_Pcode],0)-1,0,1,1))</f>
        <v>P4</v>
      </c>
      <c r="AU204" s="293">
        <f>IFERROR(Table_NFI[[#This Row],[Kitchen Set]]/VLOOKUP(Table_NFI[[#This Row],[Camp Name]],CL,4,0),"")</f>
        <v>0</v>
      </c>
      <c r="AV204" s="466"/>
      <c r="AW204" s="490"/>
    </row>
    <row r="205" spans="1:49" s="470" customFormat="1" ht="14.45" customHeight="1" x14ac:dyDescent="0.25">
      <c r="A205" s="297">
        <f t="shared" si="3"/>
        <v>22.033333333333335</v>
      </c>
      <c r="B205" s="465">
        <v>42014</v>
      </c>
      <c r="C205" s="466" t="s">
        <v>452</v>
      </c>
      <c r="D205" s="471" t="s">
        <v>452</v>
      </c>
      <c r="E205" s="471" t="s">
        <v>380</v>
      </c>
      <c r="F205" s="471" t="s">
        <v>300</v>
      </c>
      <c r="G205" s="471" t="s">
        <v>890</v>
      </c>
      <c r="H205" s="292"/>
      <c r="I205" s="292"/>
      <c r="J205" s="292">
        <v>55</v>
      </c>
      <c r="K205" s="292">
        <v>110</v>
      </c>
      <c r="L205" s="292">
        <v>55</v>
      </c>
      <c r="M205" s="292">
        <v>110</v>
      </c>
      <c r="N205" s="292">
        <v>55</v>
      </c>
      <c r="O205" s="292"/>
      <c r="P205" s="294">
        <v>55</v>
      </c>
      <c r="Q205" s="294">
        <v>275</v>
      </c>
      <c r="R205" s="294"/>
      <c r="S205" s="294"/>
      <c r="T205" s="294"/>
      <c r="U205" s="294"/>
      <c r="V205" s="431">
        <v>55</v>
      </c>
      <c r="W205" s="294"/>
      <c r="X205" s="294"/>
      <c r="Y205" s="294">
        <f>IF(NFI_Expiration=1,IF($A205&lt;VLOOKUP(H$5,NFI,5,0),1,0)*Table_NFI[[#This Row],[Hygiene Kit]],Table_NFI[Hygiene Kit])</f>
        <v>0</v>
      </c>
      <c r="Z205" s="294">
        <f>IF(NFI_Expiration=1,IF($A205&lt;VLOOKUP(I$5,NFI,5,0),1,0)*Table_NFI[[#This Row],[NFI Core Kit]],Table_NFI[NFI Core Kit])</f>
        <v>0</v>
      </c>
      <c r="AA205" s="294">
        <f>IF(NFI_Expiration=1,IF($A205&lt;VLOOKUP(J$5,NFI,5,0),1,0)*Table_NFI[[#This Row],[Sanitary Kit]],Table_NFI[Sanitary Kit])</f>
        <v>0</v>
      </c>
      <c r="AB205" s="294">
        <f>IF(NFI_Expiration=1,IF($A205&lt;VLOOKUP(K$5,NFI,5,0),1,0)*Table_NFI[[#This Row],[Mosquito net]],Table_NFI[Mosquito net])</f>
        <v>0</v>
      </c>
      <c r="AC205" s="294">
        <f>IF(NFI_Expiration=1,IF($A205&lt;VLOOKUP(L$5,NFI,5,0),1,0)*Table_NFI[[#This Row],[Tarpaulin]],Table_NFI[[#This Row],[Tarpaulin]])</f>
        <v>0</v>
      </c>
      <c r="AD205" s="294">
        <f>IF(NFI_Expiration=1,IF($A205&lt;VLOOKUP(M$5,NFI,5,0),1,0)*Table_NFI[[#This Row],[Blanket]],Table_NFI[[#This Row],[Blanket]])</f>
        <v>0</v>
      </c>
      <c r="AE205" s="294">
        <f>IF(NFI_Expiration=1,IF($A205&lt;VLOOKUP(N$5,NFI,5,0),1,0)*Table_NFI[[#This Row],[Kitchen Set]],Table_NFI[Kitchen Set])</f>
        <v>0</v>
      </c>
      <c r="AF205" s="294">
        <f>IF(NFI_Expiration=1,IF($A205&lt;VLOOKUP(O$5,NFI,5,0),1,0)*Table_NFI[[#This Row],[Clothes Kit]],Table_NFI[Clothes Kit])</f>
        <v>0</v>
      </c>
      <c r="AG205" s="294">
        <f>IF(NFI_Expiration=1,IF($A205&lt;VLOOKUP(P$5,NFI,5,0),1,0)*Table_NFI[[#This Row],[Plastic Bucket]],Table_NFI[Plastic Bucket])</f>
        <v>0</v>
      </c>
      <c r="AH205" s="294">
        <f>IF(NFI_Expiration=1,IF($A205&lt;VLOOKUP(Q$5,NFI,5,0),1,0)*Table_NFI[[#This Row],[Plastic Mat]],Table_NFI[Plastic Mat])*IF(Table_NFI[[#This Row],[Distribution Date]]&gt;"2014-04-01",1,2.5)</f>
        <v>0</v>
      </c>
      <c r="AI205" s="294">
        <f>IF(NFI_Expiration=1,IF($A205&lt;VLOOKUP(R$5,NFI,5,0),1,0)*Table_NFI[[#This Row],[Winter Clothes Adult]],Table_NFI[Winter Clothes Adult])</f>
        <v>0</v>
      </c>
      <c r="AJ205" s="294">
        <f>IF(NFI_Expiration=1,IF($A205&lt;VLOOKUP(S$5,NFI,5,0),1,0)*Table_NFI[[#This Row],[Winter Clothes Children]],Table_NFI[Winter Clothes Children])</f>
        <v>0</v>
      </c>
      <c r="AK205" s="294">
        <f>IF(NFI_Expiration=1,IF($A205&lt;VLOOKUP(T$5,NFI,5,0),1,0)*Table_NFI[[#This Row],[Winter Items Other]],Table_NFI[Winter Items Other])</f>
        <v>0</v>
      </c>
      <c r="AL205" s="294">
        <f>IF(NFI_Expiration=1,IF($A205&lt;VLOOKUP(M$5,NFI,5,0),1,0)*Table_NFI[[#This Row],[Winter Blanket]],Table_NFI[[#This Row],[Winter Blanket]])</f>
        <v>0</v>
      </c>
      <c r="AM205" s="294">
        <f>IF(Table_NFI[[#This Row],[Winter Clothes Adult]]+Table_NFI[[#This Row],[Winter Clothes Children]]+Table_NFI[[#This Row],[Winter Items Other]]+Table_NFI[[#This Row],[Winter Blanket]]&gt;0,1,0)</f>
        <v>0</v>
      </c>
      <c r="AN205" s="331">
        <f>IF(NFI_Expiration=1,IF($A205&lt;VLOOKUP(V$5,NFI,5,0),1,0)*Table_NFI[[#This Row],[Jerry Can]],Table_NFI[Jerry Can])</f>
        <v>0</v>
      </c>
      <c r="AO205" s="331">
        <f>IF(NFI_Expiration=1,IF($A205&lt;VLOOKUP(V$5,NFI,5,0),1,0)*Table_NFI[[#This Row],[Shelter Tool kit]],Table_NFI[Shelter Tool kit])</f>
        <v>0</v>
      </c>
      <c r="AP205" s="331">
        <f>IF(NFI_Expiration=1,IF($A205&lt;VLOOKUP(V$5,NFI,5,0),1,0)*Table_NFI[[#This Row],[Tent]],Table_NFI[Tent])</f>
        <v>0</v>
      </c>
      <c r="AQ205" s="473" t="str">
        <f>IFERROR(VLOOKUP(Table_NFI[[#This Row],[Camp Name]],CL,2,0),"")</f>
        <v>MMR001CMP220</v>
      </c>
      <c r="AR205" s="468">
        <f ca="1">IF(Table_NFI[[#This Row],[Pcode]]="","",IF(OFFSET(CampList[Opening Date],MATCH(Table_NFI[[#This Row],[Pcode]],CampList[CP_Pcode],0)-1,0,1,1)&gt;=NFI_Monitor_Date,1,0))</f>
        <v>0</v>
      </c>
      <c r="AS205" s="473" t="str">
        <f>IFERROR(VLOOKUP(Table_NFI[[#This Row],[Camp Name]],CL,3,0),"")</f>
        <v>Closed</v>
      </c>
      <c r="AT205" s="294" t="str">
        <f ca="1">IF(Table_NFI[[#This Row],[Pcode]]="","",OFFSET(CampList[Priority],MATCH(Table_NFI[[#This Row],[Pcode]],CampList[CP_Pcode],0)-1,0,1,1))</f>
        <v>P3</v>
      </c>
      <c r="AU205" s="293" t="str">
        <f>IFERROR(Table_NFI[[#This Row],[Kitchen Set]]/VLOOKUP(Table_NFI[[#This Row],[Camp Name]],CL,4,0),"")</f>
        <v/>
      </c>
      <c r="AV205" s="466" t="s">
        <v>1092</v>
      </c>
      <c r="AW205" s="469"/>
    </row>
    <row r="206" spans="1:49" s="98" customFormat="1" ht="14.45" customHeight="1" x14ac:dyDescent="0.25">
      <c r="A206" s="297">
        <f t="shared" si="3"/>
        <v>22.333333333333332</v>
      </c>
      <c r="B206" s="465">
        <v>42005</v>
      </c>
      <c r="C206" s="471" t="s">
        <v>452</v>
      </c>
      <c r="D206" s="471" t="s">
        <v>460</v>
      </c>
      <c r="E206" s="471" t="s">
        <v>380</v>
      </c>
      <c r="F206" s="471" t="s">
        <v>310</v>
      </c>
      <c r="G206" s="471" t="s">
        <v>347</v>
      </c>
      <c r="H206" s="292"/>
      <c r="I206" s="292"/>
      <c r="J206" s="292"/>
      <c r="K206" s="292"/>
      <c r="L206" s="292"/>
      <c r="M206" s="292"/>
      <c r="N206" s="292">
        <v>50</v>
      </c>
      <c r="O206" s="292"/>
      <c r="P206" s="294"/>
      <c r="Q206" s="294"/>
      <c r="R206" s="294"/>
      <c r="S206" s="294"/>
      <c r="T206" s="294"/>
      <c r="U206" s="294"/>
      <c r="V206" s="431"/>
      <c r="W206" s="294"/>
      <c r="X206" s="294">
        <v>90</v>
      </c>
      <c r="Y206" s="294">
        <f>IF(NFI_Expiration=1,IF($A206&lt;VLOOKUP(H$5,NFI,5,0),1,0)*Table_NFI[[#This Row],[Hygiene Kit]],Table_NFI[Hygiene Kit])</f>
        <v>0</v>
      </c>
      <c r="Z206" s="294">
        <f>IF(NFI_Expiration=1,IF($A206&lt;VLOOKUP(I$5,NFI,5,0),1,0)*Table_NFI[[#This Row],[NFI Core Kit]],Table_NFI[NFI Core Kit])</f>
        <v>0</v>
      </c>
      <c r="AA206" s="294">
        <f>IF(NFI_Expiration=1,IF($A206&lt;VLOOKUP(J$5,NFI,5,0),1,0)*Table_NFI[[#This Row],[Sanitary Kit]],Table_NFI[Sanitary Kit])</f>
        <v>0</v>
      </c>
      <c r="AB206" s="294">
        <f>IF(NFI_Expiration=1,IF($A206&lt;VLOOKUP(K$5,NFI,5,0),1,0)*Table_NFI[[#This Row],[Mosquito net]],Table_NFI[Mosquito net])</f>
        <v>0</v>
      </c>
      <c r="AC206" s="294">
        <f>IF(NFI_Expiration=1,IF($A206&lt;VLOOKUP(L$5,NFI,5,0),1,0)*Table_NFI[[#This Row],[Tarpaulin]],Table_NFI[[#This Row],[Tarpaulin]])</f>
        <v>0</v>
      </c>
      <c r="AD206" s="294">
        <f>IF(NFI_Expiration=1,IF($A206&lt;VLOOKUP(M$5,NFI,5,0),1,0)*Table_NFI[[#This Row],[Blanket]],Table_NFI[[#This Row],[Blanket]])</f>
        <v>0</v>
      </c>
      <c r="AE206" s="294">
        <f>IF(NFI_Expiration=1,IF($A206&lt;VLOOKUP(N$5,NFI,5,0),1,0)*Table_NFI[[#This Row],[Kitchen Set]],Table_NFI[Kitchen Set])</f>
        <v>0</v>
      </c>
      <c r="AF206" s="294">
        <f>IF(NFI_Expiration=1,IF($A206&lt;VLOOKUP(O$5,NFI,5,0),1,0)*Table_NFI[[#This Row],[Clothes Kit]],Table_NFI[Clothes Kit])</f>
        <v>0</v>
      </c>
      <c r="AG206" s="294">
        <f>IF(NFI_Expiration=1,IF($A206&lt;VLOOKUP(P$5,NFI,5,0),1,0)*Table_NFI[[#This Row],[Plastic Bucket]],Table_NFI[Plastic Bucket])</f>
        <v>0</v>
      </c>
      <c r="AH206" s="294">
        <f>IF(NFI_Expiration=1,IF($A206&lt;VLOOKUP(Q$5,NFI,5,0),1,0)*Table_NFI[[#This Row],[Plastic Mat]],Table_NFI[Plastic Mat])*IF(Table_NFI[[#This Row],[Distribution Date]]&gt;"2014-04-01",1,2.5)</f>
        <v>0</v>
      </c>
      <c r="AI206" s="294">
        <f>IF(NFI_Expiration=1,IF($A206&lt;VLOOKUP(R$5,NFI,5,0),1,0)*Table_NFI[[#This Row],[Winter Clothes Adult]],Table_NFI[Winter Clothes Adult])</f>
        <v>0</v>
      </c>
      <c r="AJ206" s="294">
        <f>IF(NFI_Expiration=1,IF($A206&lt;VLOOKUP(S$5,NFI,5,0),1,0)*Table_NFI[[#This Row],[Winter Clothes Children]],Table_NFI[Winter Clothes Children])</f>
        <v>0</v>
      </c>
      <c r="AK206" s="294">
        <f>IF(NFI_Expiration=1,IF($A206&lt;VLOOKUP(T$5,NFI,5,0),1,0)*Table_NFI[[#This Row],[Winter Items Other]],Table_NFI[Winter Items Other])</f>
        <v>0</v>
      </c>
      <c r="AL206" s="294">
        <f>IF(NFI_Expiration=1,IF($A206&lt;VLOOKUP(M$5,NFI,5,0),1,0)*Table_NFI[[#This Row],[Winter Blanket]],Table_NFI[[#This Row],[Winter Blanket]])</f>
        <v>0</v>
      </c>
      <c r="AM206" s="294">
        <f>IF(Table_NFI[[#This Row],[Winter Clothes Adult]]+Table_NFI[[#This Row],[Winter Clothes Children]]+Table_NFI[[#This Row],[Winter Items Other]]+Table_NFI[[#This Row],[Winter Blanket]]&gt;0,1,0)</f>
        <v>0</v>
      </c>
      <c r="AN206" s="331">
        <f>IF(NFI_Expiration=1,IF($A206&lt;VLOOKUP(V$5,NFI,5,0),1,0)*Table_NFI[[#This Row],[Jerry Can]],Table_NFI[Jerry Can])</f>
        <v>0</v>
      </c>
      <c r="AO206" s="331">
        <f>IF(NFI_Expiration=1,IF($A206&lt;VLOOKUP(V$5,NFI,5,0),1,0)*Table_NFI[[#This Row],[Shelter Tool kit]],Table_NFI[Shelter Tool kit])</f>
        <v>0</v>
      </c>
      <c r="AP206" s="331">
        <f>IF(NFI_Expiration=1,IF($A206&lt;VLOOKUP(V$5,NFI,5,0),1,0)*Table_NFI[[#This Row],[Tent]],Table_NFI[Tent])</f>
        <v>0</v>
      </c>
      <c r="AQ206" s="473" t="str">
        <f>IFERROR(VLOOKUP(Table_NFI[[#This Row],[Camp Name]],CL,2,0),"")</f>
        <v>MMR001CMP041</v>
      </c>
      <c r="AR206" s="468">
        <f ca="1">IF(Table_NFI[[#This Row],[Pcode]]="","",IF(OFFSET(CampList[Opening Date],MATCH(Table_NFI[[#This Row],[Pcode]],CampList[CP_Pcode],0)-1,0,1,1)&gt;=NFI_Monitor_Date,1,0))</f>
        <v>0</v>
      </c>
      <c r="AS206" s="473" t="str">
        <f>IFERROR(VLOOKUP(Table_NFI[[#This Row],[Camp Name]],CL,3,0),"")</f>
        <v>Open</v>
      </c>
      <c r="AT206" s="294" t="str">
        <f ca="1">IF(Table_NFI[[#This Row],[Pcode]]="","",OFFSET(CampList[Priority],MATCH(Table_NFI[[#This Row],[Pcode]],CampList[CP_Pcode],0)-1,0,1,1))</f>
        <v>P1</v>
      </c>
      <c r="AU206" s="293">
        <f>IFERROR(Table_NFI[[#This Row],[Kitchen Set]]/VLOOKUP(Table_NFI[[#This Row],[Camp Name]],CL,4,0),"")</f>
        <v>0.27932960893854747</v>
      </c>
      <c r="AV206" s="466" t="s">
        <v>1092</v>
      </c>
      <c r="AW206" s="474"/>
    </row>
    <row r="207" spans="1:49" s="98" customFormat="1" x14ac:dyDescent="0.25">
      <c r="A207" s="297">
        <f t="shared" si="3"/>
        <v>22.4</v>
      </c>
      <c r="B207" s="465">
        <v>42003</v>
      </c>
      <c r="C207" s="466" t="s">
        <v>452</v>
      </c>
      <c r="D207" s="466" t="s">
        <v>460</v>
      </c>
      <c r="E207" s="466" t="s">
        <v>380</v>
      </c>
      <c r="F207" s="466" t="s">
        <v>310</v>
      </c>
      <c r="G207" s="466" t="s">
        <v>347</v>
      </c>
      <c r="H207" s="291"/>
      <c r="I207" s="291"/>
      <c r="J207" s="291">
        <v>120</v>
      </c>
      <c r="K207" s="291">
        <v>240</v>
      </c>
      <c r="L207" s="292">
        <v>135</v>
      </c>
      <c r="M207" s="292">
        <v>240</v>
      </c>
      <c r="N207" s="292">
        <v>170</v>
      </c>
      <c r="O207" s="292">
        <v>120</v>
      </c>
      <c r="P207" s="294">
        <v>120</v>
      </c>
      <c r="Q207" s="294">
        <v>600</v>
      </c>
      <c r="R207" s="294"/>
      <c r="S207" s="294"/>
      <c r="T207" s="294"/>
      <c r="U207" s="294"/>
      <c r="V207" s="431"/>
      <c r="W207" s="331"/>
      <c r="X207" s="331"/>
      <c r="Y207" s="294">
        <f>IF(NFI_Expiration=1,IF($A207&lt;VLOOKUP(H$5,NFI,5,0),1,0)*Table_NFI[[#This Row],[Hygiene Kit]],Table_NFI[Hygiene Kit])</f>
        <v>0</v>
      </c>
      <c r="Z207" s="294">
        <f>IF(NFI_Expiration=1,IF($A207&lt;VLOOKUP(I$5,NFI,5,0),1,0)*Table_NFI[[#This Row],[NFI Core Kit]],Table_NFI[NFI Core Kit])</f>
        <v>0</v>
      </c>
      <c r="AA207" s="294">
        <f>IF(NFI_Expiration=1,IF($A207&lt;VLOOKUP(J$5,NFI,5,0),1,0)*Table_NFI[[#This Row],[Sanitary Kit]],Table_NFI[Sanitary Kit])</f>
        <v>0</v>
      </c>
      <c r="AB207" s="294">
        <f>IF(NFI_Expiration=1,IF($A207&lt;VLOOKUP(K$5,NFI,5,0),1,0)*Table_NFI[[#This Row],[Mosquito net]],Table_NFI[Mosquito net])</f>
        <v>0</v>
      </c>
      <c r="AC207" s="294">
        <f>IF(NFI_Expiration=1,IF($A207&lt;VLOOKUP(L$5,NFI,5,0),1,0)*Table_NFI[[#This Row],[Tarpaulin]],Table_NFI[[#This Row],[Tarpaulin]])</f>
        <v>0</v>
      </c>
      <c r="AD207" s="294">
        <f>IF(NFI_Expiration=1,IF($A207&lt;VLOOKUP(M$5,NFI,5,0),1,0)*Table_NFI[[#This Row],[Blanket]],Table_NFI[[#This Row],[Blanket]])</f>
        <v>0</v>
      </c>
      <c r="AE207" s="294">
        <f>IF(NFI_Expiration=1,IF($A207&lt;VLOOKUP(N$5,NFI,5,0),1,0)*Table_NFI[[#This Row],[Kitchen Set]],Table_NFI[Kitchen Set])</f>
        <v>0</v>
      </c>
      <c r="AF207" s="294">
        <f>IF(NFI_Expiration=1,IF($A207&lt;VLOOKUP(O$5,NFI,5,0),1,0)*Table_NFI[[#This Row],[Clothes Kit]],Table_NFI[Clothes Kit])</f>
        <v>0</v>
      </c>
      <c r="AG207" s="294">
        <f>IF(NFI_Expiration=1,IF($A207&lt;VLOOKUP(P$5,NFI,5,0),1,0)*Table_NFI[[#This Row],[Plastic Bucket]],Table_NFI[Plastic Bucket])</f>
        <v>0</v>
      </c>
      <c r="AH207" s="294">
        <f>IF(NFI_Expiration=1,IF($A207&lt;VLOOKUP(Q$5,NFI,5,0),1,0)*Table_NFI[[#This Row],[Plastic Mat]],Table_NFI[Plastic Mat])*IF(Table_NFI[[#This Row],[Distribution Date]]&gt;"2014-04-01",1,2.5)</f>
        <v>0</v>
      </c>
      <c r="AI207" s="294">
        <f>IF(NFI_Expiration=1,IF($A207&lt;VLOOKUP(R$5,NFI,5,0),1,0)*Table_NFI[[#This Row],[Winter Clothes Adult]],Table_NFI[Winter Clothes Adult])</f>
        <v>0</v>
      </c>
      <c r="AJ207" s="294">
        <f>IF(NFI_Expiration=1,IF($A207&lt;VLOOKUP(S$5,NFI,5,0),1,0)*Table_NFI[[#This Row],[Winter Clothes Children]],Table_NFI[Winter Clothes Children])</f>
        <v>0</v>
      </c>
      <c r="AK207" s="294">
        <f>IF(NFI_Expiration=1,IF($A207&lt;VLOOKUP(T$5,NFI,5,0),1,0)*Table_NFI[[#This Row],[Winter Items Other]],Table_NFI[Winter Items Other])</f>
        <v>0</v>
      </c>
      <c r="AL207" s="294">
        <f>IF(NFI_Expiration=1,IF($A207&lt;VLOOKUP(M$5,NFI,5,0),1,0)*Table_NFI[[#This Row],[Winter Blanket]],Table_NFI[[#This Row],[Winter Blanket]])</f>
        <v>0</v>
      </c>
      <c r="AM207" s="294">
        <f>IF(Table_NFI[[#This Row],[Winter Clothes Adult]]+Table_NFI[[#This Row],[Winter Clothes Children]]+Table_NFI[[#This Row],[Winter Items Other]]+Table_NFI[[#This Row],[Winter Blanket]]&gt;0,1,0)</f>
        <v>0</v>
      </c>
      <c r="AN207" s="331">
        <f>IF(NFI_Expiration=1,IF($A207&lt;VLOOKUP(V$5,NFI,5,0),1,0)*Table_NFI[[#This Row],[Jerry Can]],Table_NFI[Jerry Can])</f>
        <v>0</v>
      </c>
      <c r="AO207" s="331">
        <f>IF(NFI_Expiration=1,IF($A207&lt;VLOOKUP(V$5,NFI,5,0),1,0)*Table_NFI[[#This Row],[Shelter Tool kit]],Table_NFI[Shelter Tool kit])</f>
        <v>0</v>
      </c>
      <c r="AP207" s="331">
        <f>IF(NFI_Expiration=1,IF($A207&lt;VLOOKUP(V$5,NFI,5,0),1,0)*Table_NFI[[#This Row],[Tent]],Table_NFI[Tent])</f>
        <v>0</v>
      </c>
      <c r="AQ207" s="473" t="str">
        <f>IFERROR(VLOOKUP(Table_NFI[[#This Row],[Camp Name]],CL,2,0),"")</f>
        <v>MMR001CMP041</v>
      </c>
      <c r="AR207" s="468">
        <f ca="1">IF(Table_NFI[[#This Row],[Pcode]]="","",IF(OFFSET(CampList[Opening Date],MATCH(Table_NFI[[#This Row],[Pcode]],CampList[CP_Pcode],0)-1,0,1,1)&gt;=NFI_Monitor_Date,1,0))</f>
        <v>0</v>
      </c>
      <c r="AS207" s="473" t="str">
        <f>IFERROR(VLOOKUP(Table_NFI[[#This Row],[Camp Name]],CL,3,0),"")</f>
        <v>Open</v>
      </c>
      <c r="AT207" s="294" t="str">
        <f ca="1">IF(Table_NFI[[#This Row],[Pcode]]="","",OFFSET(CampList[Priority],MATCH(Table_NFI[[#This Row],[Pcode]],CampList[CP_Pcode],0)-1,0,1,1))</f>
        <v>P1</v>
      </c>
      <c r="AU207" s="293">
        <f>IFERROR(Table_NFI[[#This Row],[Kitchen Set]]/VLOOKUP(Table_NFI[[#This Row],[Camp Name]],CL,4,0),"")</f>
        <v>0.94972067039106145</v>
      </c>
      <c r="AV207" s="466"/>
      <c r="AW207" s="469"/>
    </row>
    <row r="208" spans="1:49" s="98" customFormat="1" x14ac:dyDescent="0.25">
      <c r="A208" s="297">
        <f t="shared" si="3"/>
        <v>22.766666666666666</v>
      </c>
      <c r="B208" s="465">
        <v>41992</v>
      </c>
      <c r="C208" s="466" t="s">
        <v>452</v>
      </c>
      <c r="D208" s="466" t="s">
        <v>460</v>
      </c>
      <c r="E208" s="466" t="s">
        <v>380</v>
      </c>
      <c r="F208" s="466" t="s">
        <v>310</v>
      </c>
      <c r="G208" s="466" t="s">
        <v>336</v>
      </c>
      <c r="H208" s="291"/>
      <c r="I208" s="291"/>
      <c r="J208" s="291"/>
      <c r="K208" s="291"/>
      <c r="L208" s="292"/>
      <c r="M208" s="292"/>
      <c r="N208" s="292"/>
      <c r="O208" s="292"/>
      <c r="P208" s="294"/>
      <c r="Q208" s="294"/>
      <c r="R208" s="294">
        <v>364</v>
      </c>
      <c r="S208" s="294">
        <v>543</v>
      </c>
      <c r="T208" s="294"/>
      <c r="U208" s="294">
        <v>362</v>
      </c>
      <c r="V208" s="431"/>
      <c r="W208" s="331"/>
      <c r="X208" s="331"/>
      <c r="Y208" s="294">
        <f>IF(NFI_Expiration=1,IF($A208&lt;VLOOKUP(H$5,NFI,5,0),1,0)*Table_NFI[[#This Row],[Hygiene Kit]],Table_NFI[Hygiene Kit])</f>
        <v>0</v>
      </c>
      <c r="Z208" s="294">
        <f>IF(NFI_Expiration=1,IF($A208&lt;VLOOKUP(I$5,NFI,5,0),1,0)*Table_NFI[[#This Row],[NFI Core Kit]],Table_NFI[NFI Core Kit])</f>
        <v>0</v>
      </c>
      <c r="AA208" s="294">
        <f>IF(NFI_Expiration=1,IF($A208&lt;VLOOKUP(J$5,NFI,5,0),1,0)*Table_NFI[[#This Row],[Sanitary Kit]],Table_NFI[Sanitary Kit])</f>
        <v>0</v>
      </c>
      <c r="AB208" s="294">
        <f>IF(NFI_Expiration=1,IF($A208&lt;VLOOKUP(K$5,NFI,5,0),1,0)*Table_NFI[[#This Row],[Mosquito net]],Table_NFI[Mosquito net])</f>
        <v>0</v>
      </c>
      <c r="AC208" s="294">
        <f>IF(NFI_Expiration=1,IF($A208&lt;VLOOKUP(L$5,NFI,5,0),1,0)*Table_NFI[[#This Row],[Tarpaulin]],Table_NFI[[#This Row],[Tarpaulin]])</f>
        <v>0</v>
      </c>
      <c r="AD208" s="294">
        <f>IF(NFI_Expiration=1,IF($A208&lt;VLOOKUP(M$5,NFI,5,0),1,0)*Table_NFI[[#This Row],[Blanket]],Table_NFI[[#This Row],[Blanket]])</f>
        <v>0</v>
      </c>
      <c r="AE208" s="294">
        <f>IF(NFI_Expiration=1,IF($A208&lt;VLOOKUP(N$5,NFI,5,0),1,0)*Table_NFI[[#This Row],[Kitchen Set]],Table_NFI[Kitchen Set])</f>
        <v>0</v>
      </c>
      <c r="AF208" s="294">
        <f>IF(NFI_Expiration=1,IF($A208&lt;VLOOKUP(O$5,NFI,5,0),1,0)*Table_NFI[[#This Row],[Clothes Kit]],Table_NFI[Clothes Kit])</f>
        <v>0</v>
      </c>
      <c r="AG208" s="294">
        <f>IF(NFI_Expiration=1,IF($A208&lt;VLOOKUP(P$5,NFI,5,0),1,0)*Table_NFI[[#This Row],[Plastic Bucket]],Table_NFI[Plastic Bucket])</f>
        <v>0</v>
      </c>
      <c r="AH208" s="294">
        <f>IF(NFI_Expiration=1,IF($A208&lt;VLOOKUP(Q$5,NFI,5,0),1,0)*Table_NFI[[#This Row],[Plastic Mat]],Table_NFI[Plastic Mat])*IF(Table_NFI[[#This Row],[Distribution Date]]&gt;"2014-04-01",1,2.5)</f>
        <v>0</v>
      </c>
      <c r="AI208" s="294">
        <f>IF(NFI_Expiration=1,IF($A208&lt;VLOOKUP(R$5,NFI,5,0),1,0)*Table_NFI[[#This Row],[Winter Clothes Adult]],Table_NFI[Winter Clothes Adult])</f>
        <v>0</v>
      </c>
      <c r="AJ208" s="294">
        <f>IF(NFI_Expiration=1,IF($A208&lt;VLOOKUP(S$5,NFI,5,0),1,0)*Table_NFI[[#This Row],[Winter Clothes Children]],Table_NFI[Winter Clothes Children])</f>
        <v>0</v>
      </c>
      <c r="AK208" s="294">
        <f>IF(NFI_Expiration=1,IF($A208&lt;VLOOKUP(T$5,NFI,5,0),1,0)*Table_NFI[[#This Row],[Winter Items Other]],Table_NFI[Winter Items Other])</f>
        <v>0</v>
      </c>
      <c r="AL208" s="294">
        <f>IF(NFI_Expiration=1,IF($A208&lt;VLOOKUP(M$5,NFI,5,0),1,0)*Table_NFI[[#This Row],[Winter Blanket]],Table_NFI[[#This Row],[Winter Blanket]])</f>
        <v>0</v>
      </c>
      <c r="AM208" s="294">
        <f>IF(Table_NFI[[#This Row],[Winter Clothes Adult]]+Table_NFI[[#This Row],[Winter Clothes Children]]+Table_NFI[[#This Row],[Winter Items Other]]+Table_NFI[[#This Row],[Winter Blanket]]&gt;0,1,0)</f>
        <v>1</v>
      </c>
      <c r="AN208" s="331">
        <f>IF(NFI_Expiration=1,IF($A208&lt;VLOOKUP(V$5,NFI,5,0),1,0)*Table_NFI[[#This Row],[Jerry Can]],Table_NFI[Jerry Can])</f>
        <v>0</v>
      </c>
      <c r="AO208" s="331">
        <f>IF(NFI_Expiration=1,IF($A208&lt;VLOOKUP(V$5,NFI,5,0),1,0)*Table_NFI[[#This Row],[Shelter Tool kit]],Table_NFI[Shelter Tool kit])</f>
        <v>0</v>
      </c>
      <c r="AP208" s="331">
        <f>IF(NFI_Expiration=1,IF($A208&lt;VLOOKUP(V$5,NFI,5,0),1,0)*Table_NFI[[#This Row],[Tent]],Table_NFI[Tent])</f>
        <v>0</v>
      </c>
      <c r="AQ208" s="473" t="str">
        <f>IFERROR(VLOOKUP(Table_NFI[[#This Row],[Camp Name]],CL,2,0),"")</f>
        <v>MMR001CMP115</v>
      </c>
      <c r="AR208" s="468">
        <f ca="1">IF(Table_NFI[[#This Row],[Pcode]]="","",IF(OFFSET(CampList[Opening Date],MATCH(Table_NFI[[#This Row],[Pcode]],CampList[CP_Pcode],0)-1,0,1,1)&gt;=NFI_Monitor_Date,1,0))</f>
        <v>0</v>
      </c>
      <c r="AS208" s="473" t="str">
        <f>IFERROR(VLOOKUP(Table_NFI[[#This Row],[Camp Name]],CL,3,0),"")</f>
        <v>Open</v>
      </c>
      <c r="AT208" s="294" t="str">
        <f ca="1">IF(Table_NFI[[#This Row],[Pcode]]="","",OFFSET(CampList[Priority],MATCH(Table_NFI[[#This Row],[Pcode]],CampList[CP_Pcode],0)-1,0,1,1))</f>
        <v>P1</v>
      </c>
      <c r="AU208" s="293">
        <f>IFERROR(Table_NFI[[#This Row],[Kitchen Set]]/VLOOKUP(Table_NFI[[#This Row],[Camp Name]],CL,4,0),"")</f>
        <v>0</v>
      </c>
      <c r="AV208" s="466"/>
      <c r="AW208" s="469"/>
    </row>
    <row r="209" spans="1:49" s="98" customFormat="1" ht="14.45" customHeight="1" x14ac:dyDescent="0.25">
      <c r="A209" s="297">
        <f t="shared" si="3"/>
        <v>22.766666666666666</v>
      </c>
      <c r="B209" s="465">
        <v>41992</v>
      </c>
      <c r="C209" s="466" t="s">
        <v>452</v>
      </c>
      <c r="D209" s="466"/>
      <c r="E209" s="466" t="s">
        <v>380</v>
      </c>
      <c r="F209" s="466" t="s">
        <v>27</v>
      </c>
      <c r="G209" s="466" t="s">
        <v>364</v>
      </c>
      <c r="H209" s="291"/>
      <c r="I209" s="291"/>
      <c r="J209" s="291"/>
      <c r="K209" s="291"/>
      <c r="L209" s="292"/>
      <c r="M209" s="292"/>
      <c r="N209" s="292"/>
      <c r="O209" s="292"/>
      <c r="P209" s="294"/>
      <c r="Q209" s="294"/>
      <c r="R209" s="294">
        <v>320</v>
      </c>
      <c r="S209" s="294">
        <v>465</v>
      </c>
      <c r="T209" s="294"/>
      <c r="U209" s="294">
        <v>310</v>
      </c>
      <c r="V209" s="431"/>
      <c r="W209" s="294"/>
      <c r="X209" s="294"/>
      <c r="Y209" s="294">
        <f>IF(NFI_Expiration=1,IF($A209&lt;VLOOKUP(H$5,NFI,5,0),1,0)*Table_NFI[[#This Row],[Hygiene Kit]],Table_NFI[Hygiene Kit])</f>
        <v>0</v>
      </c>
      <c r="Z209" s="294">
        <f>IF(NFI_Expiration=1,IF($A209&lt;VLOOKUP(I$5,NFI,5,0),1,0)*Table_NFI[[#This Row],[NFI Core Kit]],Table_NFI[NFI Core Kit])</f>
        <v>0</v>
      </c>
      <c r="AA209" s="294">
        <f>IF(NFI_Expiration=1,IF($A209&lt;VLOOKUP(J$5,NFI,5,0),1,0)*Table_NFI[[#This Row],[Sanitary Kit]],Table_NFI[Sanitary Kit])</f>
        <v>0</v>
      </c>
      <c r="AB209" s="294">
        <f>IF(NFI_Expiration=1,IF($A209&lt;VLOOKUP(K$5,NFI,5,0),1,0)*Table_NFI[[#This Row],[Mosquito net]],Table_NFI[Mosquito net])</f>
        <v>0</v>
      </c>
      <c r="AC209" s="294">
        <f>IF(NFI_Expiration=1,IF($A209&lt;VLOOKUP(L$5,NFI,5,0),1,0)*Table_NFI[[#This Row],[Tarpaulin]],Table_NFI[[#This Row],[Tarpaulin]])</f>
        <v>0</v>
      </c>
      <c r="AD209" s="294">
        <f>IF(NFI_Expiration=1,IF($A209&lt;VLOOKUP(M$5,NFI,5,0),1,0)*Table_NFI[[#This Row],[Blanket]],Table_NFI[[#This Row],[Blanket]])</f>
        <v>0</v>
      </c>
      <c r="AE209" s="294">
        <f>IF(NFI_Expiration=1,IF($A209&lt;VLOOKUP(N$5,NFI,5,0),1,0)*Table_NFI[[#This Row],[Kitchen Set]],Table_NFI[Kitchen Set])</f>
        <v>0</v>
      </c>
      <c r="AF209" s="294">
        <f>IF(NFI_Expiration=1,IF($A209&lt;VLOOKUP(O$5,NFI,5,0),1,0)*Table_NFI[[#This Row],[Clothes Kit]],Table_NFI[Clothes Kit])</f>
        <v>0</v>
      </c>
      <c r="AG209" s="294">
        <f>IF(NFI_Expiration=1,IF($A209&lt;VLOOKUP(P$5,NFI,5,0),1,0)*Table_NFI[[#This Row],[Plastic Bucket]],Table_NFI[Plastic Bucket])</f>
        <v>0</v>
      </c>
      <c r="AH209" s="294">
        <f>IF(NFI_Expiration=1,IF($A209&lt;VLOOKUP(Q$5,NFI,5,0),1,0)*Table_NFI[[#This Row],[Plastic Mat]],Table_NFI[Plastic Mat])*IF(Table_NFI[[#This Row],[Distribution Date]]&gt;"2014-04-01",1,2.5)</f>
        <v>0</v>
      </c>
      <c r="AI209" s="294">
        <f>IF(NFI_Expiration=1,IF($A209&lt;VLOOKUP(R$5,NFI,5,0),1,0)*Table_NFI[[#This Row],[Winter Clothes Adult]],Table_NFI[Winter Clothes Adult])</f>
        <v>0</v>
      </c>
      <c r="AJ209" s="294">
        <f>IF(NFI_Expiration=1,IF($A209&lt;VLOOKUP(S$5,NFI,5,0),1,0)*Table_NFI[[#This Row],[Winter Clothes Children]],Table_NFI[Winter Clothes Children])</f>
        <v>0</v>
      </c>
      <c r="AK209" s="294">
        <f>IF(NFI_Expiration=1,IF($A209&lt;VLOOKUP(T$5,NFI,5,0),1,0)*Table_NFI[[#This Row],[Winter Items Other]],Table_NFI[Winter Items Other])</f>
        <v>0</v>
      </c>
      <c r="AL209" s="294">
        <f>IF(NFI_Expiration=1,IF($A209&lt;VLOOKUP(M$5,NFI,5,0),1,0)*Table_NFI[[#This Row],[Winter Blanket]],Table_NFI[[#This Row],[Winter Blanket]])</f>
        <v>0</v>
      </c>
      <c r="AM209" s="294">
        <f>IF(Table_NFI[[#This Row],[Winter Clothes Adult]]+Table_NFI[[#This Row],[Winter Clothes Children]]+Table_NFI[[#This Row],[Winter Items Other]]+Table_NFI[[#This Row],[Winter Blanket]]&gt;0,1,0)</f>
        <v>1</v>
      </c>
      <c r="AN209" s="331">
        <f>IF(NFI_Expiration=1,IF($A209&lt;VLOOKUP(V$5,NFI,5,0),1,0)*Table_NFI[[#This Row],[Jerry Can]],Table_NFI[Jerry Can])</f>
        <v>0</v>
      </c>
      <c r="AO209" s="331">
        <f>IF(NFI_Expiration=1,IF($A209&lt;VLOOKUP(V$5,NFI,5,0),1,0)*Table_NFI[[#This Row],[Shelter Tool kit]],Table_NFI[Shelter Tool kit])</f>
        <v>0</v>
      </c>
      <c r="AP209" s="331">
        <f>IF(NFI_Expiration=1,IF($A209&lt;VLOOKUP(V$5,NFI,5,0),1,0)*Table_NFI[[#This Row],[Tent]],Table_NFI[Tent])</f>
        <v>0</v>
      </c>
      <c r="AQ209" s="473" t="str">
        <f>IFERROR(VLOOKUP(Table_NFI[[#This Row],[Camp Name]],CL,2,0),"")</f>
        <v>MMR001CMP043</v>
      </c>
      <c r="AR209" s="468">
        <f ca="1">IF(Table_NFI[[#This Row],[Pcode]]="","",IF(OFFSET(CampList[Opening Date],MATCH(Table_NFI[[#This Row],[Pcode]],CampList[CP_Pcode],0)-1,0,1,1)&gt;=NFI_Monitor_Date,1,0))</f>
        <v>0</v>
      </c>
      <c r="AS209" s="473" t="str">
        <f>IFERROR(VLOOKUP(Table_NFI[[#This Row],[Camp Name]],CL,3,0),"")</f>
        <v>Open</v>
      </c>
      <c r="AT209" s="294" t="str">
        <f ca="1">IF(Table_NFI[[#This Row],[Pcode]]="","",OFFSET(CampList[Priority],MATCH(Table_NFI[[#This Row],[Pcode]],CampList[CP_Pcode],0)-1,0,1,1))</f>
        <v>P1</v>
      </c>
      <c r="AU209" s="293">
        <f>IFERROR(Table_NFI[[#This Row],[Kitchen Set]]/VLOOKUP(Table_NFI[[#This Row],[Camp Name]],CL,4,0),"")</f>
        <v>0</v>
      </c>
      <c r="AV209" s="466"/>
      <c r="AW209" s="469"/>
    </row>
    <row r="210" spans="1:49" s="98" customFormat="1" ht="14.45" customHeight="1" x14ac:dyDescent="0.25">
      <c r="A210" s="297">
        <f t="shared" si="3"/>
        <v>22.766666666666666</v>
      </c>
      <c r="B210" s="465">
        <v>41992</v>
      </c>
      <c r="C210" s="466" t="s">
        <v>452</v>
      </c>
      <c r="D210" s="466"/>
      <c r="E210" s="466" t="s">
        <v>380</v>
      </c>
      <c r="F210" s="466" t="s">
        <v>310</v>
      </c>
      <c r="G210" s="466" t="s">
        <v>1243</v>
      </c>
      <c r="H210" s="291"/>
      <c r="I210" s="291"/>
      <c r="J210" s="291"/>
      <c r="K210" s="291"/>
      <c r="L210" s="292"/>
      <c r="M210" s="292"/>
      <c r="N210" s="292"/>
      <c r="O210" s="292"/>
      <c r="P210" s="294"/>
      <c r="Q210" s="294"/>
      <c r="R210" s="294">
        <v>384</v>
      </c>
      <c r="S210" s="294">
        <v>573</v>
      </c>
      <c r="T210" s="294"/>
      <c r="U210" s="294">
        <v>382</v>
      </c>
      <c r="V210" s="431"/>
      <c r="W210" s="294"/>
      <c r="X210" s="294"/>
      <c r="Y210" s="294">
        <f>IF(NFI_Expiration=1,IF($A210&lt;VLOOKUP(H$5,NFI,5,0),1,0)*Table_NFI[[#This Row],[Hygiene Kit]],Table_NFI[Hygiene Kit])</f>
        <v>0</v>
      </c>
      <c r="Z210" s="294">
        <f>IF(NFI_Expiration=1,IF($A210&lt;VLOOKUP(I$5,NFI,5,0),1,0)*Table_NFI[[#This Row],[NFI Core Kit]],Table_NFI[NFI Core Kit])</f>
        <v>0</v>
      </c>
      <c r="AA210" s="294">
        <f>IF(NFI_Expiration=1,IF($A210&lt;VLOOKUP(J$5,NFI,5,0),1,0)*Table_NFI[[#This Row],[Sanitary Kit]],Table_NFI[Sanitary Kit])</f>
        <v>0</v>
      </c>
      <c r="AB210" s="294">
        <f>IF(NFI_Expiration=1,IF($A210&lt;VLOOKUP(K$5,NFI,5,0),1,0)*Table_NFI[[#This Row],[Mosquito net]],Table_NFI[Mosquito net])</f>
        <v>0</v>
      </c>
      <c r="AC210" s="294">
        <f>IF(NFI_Expiration=1,IF($A210&lt;VLOOKUP(L$5,NFI,5,0),1,0)*Table_NFI[[#This Row],[Tarpaulin]],Table_NFI[[#This Row],[Tarpaulin]])</f>
        <v>0</v>
      </c>
      <c r="AD210" s="294">
        <f>IF(NFI_Expiration=1,IF($A210&lt;VLOOKUP(M$5,NFI,5,0),1,0)*Table_NFI[[#This Row],[Blanket]],Table_NFI[[#This Row],[Blanket]])</f>
        <v>0</v>
      </c>
      <c r="AE210" s="294">
        <f>IF(NFI_Expiration=1,IF($A210&lt;VLOOKUP(N$5,NFI,5,0),1,0)*Table_NFI[[#This Row],[Kitchen Set]],Table_NFI[Kitchen Set])</f>
        <v>0</v>
      </c>
      <c r="AF210" s="294">
        <f>IF(NFI_Expiration=1,IF($A210&lt;VLOOKUP(O$5,NFI,5,0),1,0)*Table_NFI[[#This Row],[Clothes Kit]],Table_NFI[Clothes Kit])</f>
        <v>0</v>
      </c>
      <c r="AG210" s="294">
        <f>IF(NFI_Expiration=1,IF($A210&lt;VLOOKUP(P$5,NFI,5,0),1,0)*Table_NFI[[#This Row],[Plastic Bucket]],Table_NFI[Plastic Bucket])</f>
        <v>0</v>
      </c>
      <c r="AH210" s="294">
        <f>IF(NFI_Expiration=1,IF($A210&lt;VLOOKUP(Q$5,NFI,5,0),1,0)*Table_NFI[[#This Row],[Plastic Mat]],Table_NFI[Plastic Mat])*IF(Table_NFI[[#This Row],[Distribution Date]]&gt;"2014-04-01",1,2.5)</f>
        <v>0</v>
      </c>
      <c r="AI210" s="294">
        <f>IF(NFI_Expiration=1,IF($A210&lt;VLOOKUP(R$5,NFI,5,0),1,0)*Table_NFI[[#This Row],[Winter Clothes Adult]],Table_NFI[Winter Clothes Adult])</f>
        <v>0</v>
      </c>
      <c r="AJ210" s="294">
        <f>IF(NFI_Expiration=1,IF($A210&lt;VLOOKUP(S$5,NFI,5,0),1,0)*Table_NFI[[#This Row],[Winter Clothes Children]],Table_NFI[Winter Clothes Children])</f>
        <v>0</v>
      </c>
      <c r="AK210" s="294">
        <f>IF(NFI_Expiration=1,IF($A210&lt;VLOOKUP(T$5,NFI,5,0),1,0)*Table_NFI[[#This Row],[Winter Items Other]],Table_NFI[Winter Items Other])</f>
        <v>0</v>
      </c>
      <c r="AL210" s="294">
        <f>IF(NFI_Expiration=1,IF($A210&lt;VLOOKUP(M$5,NFI,5,0),1,0)*Table_NFI[[#This Row],[Winter Blanket]],Table_NFI[[#This Row],[Winter Blanket]])</f>
        <v>0</v>
      </c>
      <c r="AM210" s="294">
        <f>IF(Table_NFI[[#This Row],[Winter Clothes Adult]]+Table_NFI[[#This Row],[Winter Clothes Children]]+Table_NFI[[#This Row],[Winter Items Other]]+Table_NFI[[#This Row],[Winter Blanket]]&gt;0,1,0)</f>
        <v>1</v>
      </c>
      <c r="AN210" s="331">
        <f>IF(NFI_Expiration=1,IF($A210&lt;VLOOKUP(V$5,NFI,5,0),1,0)*Table_NFI[[#This Row],[Jerry Can]],Table_NFI[Jerry Can])</f>
        <v>0</v>
      </c>
      <c r="AO210" s="331">
        <f>IF(NFI_Expiration=1,IF($A210&lt;VLOOKUP(V$5,NFI,5,0),1,0)*Table_NFI[[#This Row],[Shelter Tool kit]],Table_NFI[Shelter Tool kit])</f>
        <v>0</v>
      </c>
      <c r="AP210" s="331">
        <f>IF(NFI_Expiration=1,IF($A210&lt;VLOOKUP(V$5,NFI,5,0),1,0)*Table_NFI[[#This Row],[Tent]],Table_NFI[Tent])</f>
        <v>0</v>
      </c>
      <c r="AQ210" s="473" t="str">
        <f>IFERROR(VLOOKUP(Table_NFI[[#This Row],[Camp Name]],CL,2,0),"")</f>
        <v>MMR001CMP120</v>
      </c>
      <c r="AR210" s="468">
        <f ca="1">IF(Table_NFI[[#This Row],[Pcode]]="","",IF(OFFSET(CampList[Opening Date],MATCH(Table_NFI[[#This Row],[Pcode]],CampList[CP_Pcode],0)-1,0,1,1)&gt;=NFI_Monitor_Date,1,0))</f>
        <v>0</v>
      </c>
      <c r="AS210" s="473" t="str">
        <f>IFERROR(VLOOKUP(Table_NFI[[#This Row],[Camp Name]],CL,3,0),"")</f>
        <v>Open</v>
      </c>
      <c r="AT210" s="294" t="str">
        <f ca="1">IF(Table_NFI[[#This Row],[Pcode]]="","",OFFSET(CampList[Priority],MATCH(Table_NFI[[#This Row],[Pcode]],CampList[CP_Pcode],0)-1,0,1,1))</f>
        <v>P1</v>
      </c>
      <c r="AU210" s="293">
        <f>IFERROR(Table_NFI[[#This Row],[Kitchen Set]]/VLOOKUP(Table_NFI[[#This Row],[Camp Name]],CL,4,0),"")</f>
        <v>0</v>
      </c>
      <c r="AV210" s="466"/>
      <c r="AW210" s="469"/>
    </row>
    <row r="211" spans="1:49" s="98" customFormat="1" x14ac:dyDescent="0.25">
      <c r="A211" s="297">
        <f t="shared" si="3"/>
        <v>22.766666666666666</v>
      </c>
      <c r="B211" s="465">
        <v>41992</v>
      </c>
      <c r="C211" s="466" t="s">
        <v>452</v>
      </c>
      <c r="D211" s="466" t="s">
        <v>460</v>
      </c>
      <c r="E211" s="466" t="s">
        <v>380</v>
      </c>
      <c r="F211" s="466" t="s">
        <v>310</v>
      </c>
      <c r="G211" s="466" t="s">
        <v>1245</v>
      </c>
      <c r="H211" s="291"/>
      <c r="I211" s="291"/>
      <c r="J211" s="291"/>
      <c r="K211" s="291"/>
      <c r="L211" s="292"/>
      <c r="M211" s="292"/>
      <c r="N211" s="292"/>
      <c r="O211" s="292"/>
      <c r="P211" s="294"/>
      <c r="Q211" s="294"/>
      <c r="R211" s="294">
        <v>1292</v>
      </c>
      <c r="S211" s="294">
        <v>1938</v>
      </c>
      <c r="T211" s="294"/>
      <c r="U211" s="294">
        <v>1292</v>
      </c>
      <c r="V211" s="431"/>
      <c r="W211" s="294"/>
      <c r="X211" s="294"/>
      <c r="Y211" s="294">
        <f>IF(NFI_Expiration=1,IF($A211&lt;VLOOKUP(H$5,NFI,5,0),1,0)*Table_NFI[[#This Row],[Hygiene Kit]],Table_NFI[Hygiene Kit])</f>
        <v>0</v>
      </c>
      <c r="Z211" s="294">
        <f>IF(NFI_Expiration=1,IF($A211&lt;VLOOKUP(I$5,NFI,5,0),1,0)*Table_NFI[[#This Row],[NFI Core Kit]],Table_NFI[NFI Core Kit])</f>
        <v>0</v>
      </c>
      <c r="AA211" s="294">
        <f>IF(NFI_Expiration=1,IF($A211&lt;VLOOKUP(J$5,NFI,5,0),1,0)*Table_NFI[[#This Row],[Sanitary Kit]],Table_NFI[Sanitary Kit])</f>
        <v>0</v>
      </c>
      <c r="AB211" s="294">
        <f>IF(NFI_Expiration=1,IF($A211&lt;VLOOKUP(K$5,NFI,5,0),1,0)*Table_NFI[[#This Row],[Mosquito net]],Table_NFI[Mosquito net])</f>
        <v>0</v>
      </c>
      <c r="AC211" s="294">
        <f>IF(NFI_Expiration=1,IF($A211&lt;VLOOKUP(L$5,NFI,5,0),1,0)*Table_NFI[[#This Row],[Tarpaulin]],Table_NFI[[#This Row],[Tarpaulin]])</f>
        <v>0</v>
      </c>
      <c r="AD211" s="294">
        <f>IF(NFI_Expiration=1,IF($A211&lt;VLOOKUP(M$5,NFI,5,0),1,0)*Table_NFI[[#This Row],[Blanket]],Table_NFI[[#This Row],[Blanket]])</f>
        <v>0</v>
      </c>
      <c r="AE211" s="294">
        <f>IF(NFI_Expiration=1,IF($A211&lt;VLOOKUP(N$5,NFI,5,0),1,0)*Table_NFI[[#This Row],[Kitchen Set]],Table_NFI[Kitchen Set])</f>
        <v>0</v>
      </c>
      <c r="AF211" s="294">
        <f>IF(NFI_Expiration=1,IF($A211&lt;VLOOKUP(O$5,NFI,5,0),1,0)*Table_NFI[[#This Row],[Clothes Kit]],Table_NFI[Clothes Kit])</f>
        <v>0</v>
      </c>
      <c r="AG211" s="294">
        <f>IF(NFI_Expiration=1,IF($A211&lt;VLOOKUP(P$5,NFI,5,0),1,0)*Table_NFI[[#This Row],[Plastic Bucket]],Table_NFI[Plastic Bucket])</f>
        <v>0</v>
      </c>
      <c r="AH211" s="294">
        <f>IF(NFI_Expiration=1,IF($A211&lt;VLOOKUP(Q$5,NFI,5,0),1,0)*Table_NFI[[#This Row],[Plastic Mat]],Table_NFI[Plastic Mat])*IF(Table_NFI[[#This Row],[Distribution Date]]&gt;"2014-04-01",1,2.5)</f>
        <v>0</v>
      </c>
      <c r="AI211" s="294">
        <f>IF(NFI_Expiration=1,IF($A211&lt;VLOOKUP(R$5,NFI,5,0),1,0)*Table_NFI[[#This Row],[Winter Clothes Adult]],Table_NFI[Winter Clothes Adult])</f>
        <v>0</v>
      </c>
      <c r="AJ211" s="294">
        <f>IF(NFI_Expiration=1,IF($A211&lt;VLOOKUP(S$5,NFI,5,0),1,0)*Table_NFI[[#This Row],[Winter Clothes Children]],Table_NFI[Winter Clothes Children])</f>
        <v>0</v>
      </c>
      <c r="AK211" s="294">
        <f>IF(NFI_Expiration=1,IF($A211&lt;VLOOKUP(T$5,NFI,5,0),1,0)*Table_NFI[[#This Row],[Winter Items Other]],Table_NFI[Winter Items Other])</f>
        <v>0</v>
      </c>
      <c r="AL211" s="294">
        <f>IF(NFI_Expiration=1,IF($A211&lt;VLOOKUP(M$5,NFI,5,0),1,0)*Table_NFI[[#This Row],[Winter Blanket]],Table_NFI[[#This Row],[Winter Blanket]])</f>
        <v>0</v>
      </c>
      <c r="AM211" s="294">
        <f>IF(Table_NFI[[#This Row],[Winter Clothes Adult]]+Table_NFI[[#This Row],[Winter Clothes Children]]+Table_NFI[[#This Row],[Winter Items Other]]+Table_NFI[[#This Row],[Winter Blanket]]&gt;0,1,0)</f>
        <v>1</v>
      </c>
      <c r="AN211" s="331">
        <f>IF(NFI_Expiration=1,IF($A211&lt;VLOOKUP(V$5,NFI,5,0),1,0)*Table_NFI[[#This Row],[Jerry Can]],Table_NFI[Jerry Can])</f>
        <v>0</v>
      </c>
      <c r="AO211" s="331">
        <f>IF(NFI_Expiration=1,IF($A211&lt;VLOOKUP(V$5,NFI,5,0),1,0)*Table_NFI[[#This Row],[Shelter Tool kit]],Table_NFI[Shelter Tool kit])</f>
        <v>0</v>
      </c>
      <c r="AP211" s="331">
        <f>IF(NFI_Expiration=1,IF($A211&lt;VLOOKUP(V$5,NFI,5,0),1,0)*Table_NFI[[#This Row],[Tent]],Table_NFI[Tent])</f>
        <v>0</v>
      </c>
      <c r="AQ211" s="473" t="str">
        <f>IFERROR(VLOOKUP(Table_NFI[[#This Row],[Camp Name]],CL,2,0),"")</f>
        <v>MMR001CMP111</v>
      </c>
      <c r="AR211" s="468">
        <f ca="1">IF(Table_NFI[[#This Row],[Pcode]]="","",IF(OFFSET(CampList[Opening Date],MATCH(Table_NFI[[#This Row],[Pcode]],CampList[CP_Pcode],0)-1,0,1,1)&gt;=NFI_Monitor_Date,1,0))</f>
        <v>0</v>
      </c>
      <c r="AS211" s="473" t="str">
        <f>IFERROR(VLOOKUP(Table_NFI[[#This Row],[Camp Name]],CL,3,0),"")</f>
        <v>Open</v>
      </c>
      <c r="AT211" s="294" t="str">
        <f ca="1">IF(Table_NFI[[#This Row],[Pcode]]="","",OFFSET(CampList[Priority],MATCH(Table_NFI[[#This Row],[Pcode]],CampList[CP_Pcode],0)-1,0,1,1))</f>
        <v>P2</v>
      </c>
      <c r="AU211" s="293">
        <f>IFERROR(Table_NFI[[#This Row],[Kitchen Set]]/VLOOKUP(Table_NFI[[#This Row],[Camp Name]],CL,4,0),"")</f>
        <v>0</v>
      </c>
      <c r="AV211" s="466"/>
      <c r="AW211" s="469"/>
    </row>
    <row r="212" spans="1:49" s="98" customFormat="1" ht="14.45" customHeight="1" x14ac:dyDescent="0.2">
      <c r="A212" s="297">
        <f t="shared" si="3"/>
        <v>22.8</v>
      </c>
      <c r="B212" s="465">
        <v>41991</v>
      </c>
      <c r="C212" s="466" t="s">
        <v>905</v>
      </c>
      <c r="D212" s="466" t="s">
        <v>905</v>
      </c>
      <c r="E212" s="466" t="s">
        <v>380</v>
      </c>
      <c r="F212" s="290" t="s">
        <v>185</v>
      </c>
      <c r="G212" s="290" t="s">
        <v>229</v>
      </c>
      <c r="H212" s="291"/>
      <c r="I212" s="291"/>
      <c r="J212" s="584">
        <v>85</v>
      </c>
      <c r="K212" s="291"/>
      <c r="L212" s="292"/>
      <c r="M212" s="292"/>
      <c r="N212" s="292"/>
      <c r="O212" s="292"/>
      <c r="P212" s="294"/>
      <c r="Q212" s="294"/>
      <c r="R212" s="294"/>
      <c r="S212" s="294"/>
      <c r="T212" s="294"/>
      <c r="U212" s="294"/>
      <c r="V212" s="431"/>
      <c r="W212" s="294"/>
      <c r="X212" s="294"/>
      <c r="Y212" s="294">
        <f>IF(NFI_Expiration=1,IF($A212&lt;VLOOKUP(H$5,NFI,5,0),1,0)*Table_NFI[[#This Row],[Hygiene Kit]],Table_NFI[Hygiene Kit])</f>
        <v>0</v>
      </c>
      <c r="Z212" s="294">
        <f>IF(NFI_Expiration=1,IF($A212&lt;VLOOKUP(I$5,NFI,5,0),1,0)*Table_NFI[[#This Row],[NFI Core Kit]],Table_NFI[NFI Core Kit])</f>
        <v>0</v>
      </c>
      <c r="AA212" s="294">
        <f>IF(NFI_Expiration=1,IF($A212&lt;VLOOKUP(J$5,NFI,5,0),1,0)*Table_NFI[[#This Row],[Sanitary Kit]],Table_NFI[Sanitary Kit])</f>
        <v>0</v>
      </c>
      <c r="AB212" s="294">
        <f>IF(NFI_Expiration=1,IF($A212&lt;VLOOKUP(K$5,NFI,5,0),1,0)*Table_NFI[[#This Row],[Mosquito net]],Table_NFI[Mosquito net])</f>
        <v>0</v>
      </c>
      <c r="AC212" s="294">
        <f>IF(NFI_Expiration=1,IF($A212&lt;VLOOKUP(L$5,NFI,5,0),1,0)*Table_NFI[[#This Row],[Tarpaulin]],Table_NFI[[#This Row],[Tarpaulin]])</f>
        <v>0</v>
      </c>
      <c r="AD212" s="294">
        <f>IF(NFI_Expiration=1,IF($A212&lt;VLOOKUP(M$5,NFI,5,0),1,0)*Table_NFI[[#This Row],[Blanket]],Table_NFI[[#This Row],[Blanket]])</f>
        <v>0</v>
      </c>
      <c r="AE212" s="294">
        <f>IF(NFI_Expiration=1,IF($A212&lt;VLOOKUP(N$5,NFI,5,0),1,0)*Table_NFI[[#This Row],[Kitchen Set]],Table_NFI[Kitchen Set])</f>
        <v>0</v>
      </c>
      <c r="AF212" s="294">
        <f>IF(NFI_Expiration=1,IF($A212&lt;VLOOKUP(O$5,NFI,5,0),1,0)*Table_NFI[[#This Row],[Clothes Kit]],Table_NFI[Clothes Kit])</f>
        <v>0</v>
      </c>
      <c r="AG212" s="294">
        <f>IF(NFI_Expiration=1,IF($A212&lt;VLOOKUP(P$5,NFI,5,0),1,0)*Table_NFI[[#This Row],[Plastic Bucket]],Table_NFI[Plastic Bucket])</f>
        <v>0</v>
      </c>
      <c r="AH212" s="294">
        <f>IF(NFI_Expiration=1,IF($A212&lt;VLOOKUP(Q$5,NFI,5,0),1,0)*Table_NFI[[#This Row],[Plastic Mat]],Table_NFI[Plastic Mat])*IF(Table_NFI[[#This Row],[Distribution Date]]&gt;"2014-04-01",1,2.5)</f>
        <v>0</v>
      </c>
      <c r="AI212" s="294">
        <f>IF(NFI_Expiration=1,IF($A212&lt;VLOOKUP(R$5,NFI,5,0),1,0)*Table_NFI[[#This Row],[Winter Clothes Adult]],Table_NFI[Winter Clothes Adult])</f>
        <v>0</v>
      </c>
      <c r="AJ212" s="294">
        <f>IF(NFI_Expiration=1,IF($A212&lt;VLOOKUP(S$5,NFI,5,0),1,0)*Table_NFI[[#This Row],[Winter Clothes Children]],Table_NFI[Winter Clothes Children])</f>
        <v>0</v>
      </c>
      <c r="AK212" s="294">
        <f>IF(NFI_Expiration=1,IF($A212&lt;VLOOKUP(T$5,NFI,5,0),1,0)*Table_NFI[[#This Row],[Winter Items Other]],Table_NFI[Winter Items Other])</f>
        <v>0</v>
      </c>
      <c r="AL212" s="294">
        <f>IF(NFI_Expiration=1,IF($A212&lt;VLOOKUP(M$5,NFI,5,0),1,0)*Table_NFI[[#This Row],[Winter Blanket]],Table_NFI[[#This Row],[Winter Blanket]])</f>
        <v>0</v>
      </c>
      <c r="AM212" s="294">
        <f>IF(Table_NFI[[#This Row],[Winter Clothes Adult]]+Table_NFI[[#This Row],[Winter Clothes Children]]+Table_NFI[[#This Row],[Winter Items Other]]+Table_NFI[[#This Row],[Winter Blanket]]&gt;0,1,0)</f>
        <v>0</v>
      </c>
      <c r="AN212" s="331">
        <f>IF(NFI_Expiration=1,IF($A212&lt;VLOOKUP(V$5,NFI,5,0),1,0)*Table_NFI[[#This Row],[Jerry Can]],Table_NFI[Jerry Can])</f>
        <v>0</v>
      </c>
      <c r="AO212" s="331">
        <f>IF(NFI_Expiration=1,IF($A212&lt;VLOOKUP(V$5,NFI,5,0),1,0)*Table_NFI[[#This Row],[Shelter Tool kit]],Table_NFI[Shelter Tool kit])</f>
        <v>0</v>
      </c>
      <c r="AP212" s="331">
        <f>IF(NFI_Expiration=1,IF($A212&lt;VLOOKUP(V$5,NFI,5,0),1,0)*Table_NFI[[#This Row],[Tent]],Table_NFI[Tent])</f>
        <v>0</v>
      </c>
      <c r="AQ212" s="473" t="str">
        <f>IFERROR(VLOOKUP(Table_NFI[[#This Row],[Camp Name]],CL,2,0),"")</f>
        <v>MMR001CMP072</v>
      </c>
      <c r="AR212" s="468">
        <f ca="1">IF(Table_NFI[[#This Row],[Pcode]]="","",IF(OFFSET(CampList[Opening Date],MATCH(Table_NFI[[#This Row],[Pcode]],CampList[CP_Pcode],0)-1,0,1,1)&gt;=NFI_Monitor_Date,1,0))</f>
        <v>0</v>
      </c>
      <c r="AS212" s="473" t="str">
        <f>IFERROR(VLOOKUP(Table_NFI[[#This Row],[Camp Name]],CL,3,0),"")</f>
        <v>Open</v>
      </c>
      <c r="AT212" s="294" t="str">
        <f ca="1">IF(Table_NFI[[#This Row],[Pcode]]="","",OFFSET(CampList[Priority],MATCH(Table_NFI[[#This Row],[Pcode]],CampList[CP_Pcode],0)-1,0,1,1))</f>
        <v>P3</v>
      </c>
      <c r="AU212" s="293">
        <f>IFERROR(Table_NFI[[#This Row],[Kitchen Set]]/VLOOKUP(Table_NFI[[#This Row],[Camp Name]],CL,4,0),"")</f>
        <v>0</v>
      </c>
      <c r="AV212" s="466"/>
      <c r="AW212" s="469"/>
    </row>
    <row r="213" spans="1:49" s="98" customFormat="1" ht="14.45" customHeight="1" x14ac:dyDescent="0.2">
      <c r="A213" s="297">
        <f t="shared" si="3"/>
        <v>22.8</v>
      </c>
      <c r="B213" s="465">
        <v>41991</v>
      </c>
      <c r="C213" s="466" t="s">
        <v>905</v>
      </c>
      <c r="D213" s="467" t="s">
        <v>905</v>
      </c>
      <c r="E213" s="466" t="s">
        <v>380</v>
      </c>
      <c r="F213" s="290" t="s">
        <v>185</v>
      </c>
      <c r="G213" s="290" t="s">
        <v>225</v>
      </c>
      <c r="H213" s="291"/>
      <c r="I213" s="291"/>
      <c r="J213" s="584">
        <v>61</v>
      </c>
      <c r="K213" s="291"/>
      <c r="L213" s="292"/>
      <c r="M213" s="292"/>
      <c r="N213" s="292"/>
      <c r="O213" s="292"/>
      <c r="P213" s="294"/>
      <c r="Q213" s="294"/>
      <c r="R213" s="294"/>
      <c r="S213" s="294"/>
      <c r="T213" s="294"/>
      <c r="U213" s="294"/>
      <c r="V213" s="431"/>
      <c r="W213" s="294"/>
      <c r="X213" s="294"/>
      <c r="Y213" s="294">
        <f>IF(NFI_Expiration=1,IF($A213&lt;VLOOKUP(H$5,NFI,5,0),1,0)*Table_NFI[[#This Row],[Hygiene Kit]],Table_NFI[Hygiene Kit])</f>
        <v>0</v>
      </c>
      <c r="Z213" s="294">
        <f>IF(NFI_Expiration=1,IF($A213&lt;VLOOKUP(I$5,NFI,5,0),1,0)*Table_NFI[[#This Row],[NFI Core Kit]],Table_NFI[NFI Core Kit])</f>
        <v>0</v>
      </c>
      <c r="AA213" s="294">
        <f>IF(NFI_Expiration=1,IF($A213&lt;VLOOKUP(J$5,NFI,5,0),1,0)*Table_NFI[[#This Row],[Sanitary Kit]],Table_NFI[Sanitary Kit])</f>
        <v>0</v>
      </c>
      <c r="AB213" s="294">
        <f>IF(NFI_Expiration=1,IF($A213&lt;VLOOKUP(K$5,NFI,5,0),1,0)*Table_NFI[[#This Row],[Mosquito net]],Table_NFI[Mosquito net])</f>
        <v>0</v>
      </c>
      <c r="AC213" s="294">
        <f>IF(NFI_Expiration=1,IF($A213&lt;VLOOKUP(L$5,NFI,5,0),1,0)*Table_NFI[[#This Row],[Tarpaulin]],Table_NFI[[#This Row],[Tarpaulin]])</f>
        <v>0</v>
      </c>
      <c r="AD213" s="294">
        <f>IF(NFI_Expiration=1,IF($A213&lt;VLOOKUP(M$5,NFI,5,0),1,0)*Table_NFI[[#This Row],[Blanket]],Table_NFI[[#This Row],[Blanket]])</f>
        <v>0</v>
      </c>
      <c r="AE213" s="294">
        <f>IF(NFI_Expiration=1,IF($A213&lt;VLOOKUP(N$5,NFI,5,0),1,0)*Table_NFI[[#This Row],[Kitchen Set]],Table_NFI[Kitchen Set])</f>
        <v>0</v>
      </c>
      <c r="AF213" s="294">
        <f>IF(NFI_Expiration=1,IF($A213&lt;VLOOKUP(O$5,NFI,5,0),1,0)*Table_NFI[[#This Row],[Clothes Kit]],Table_NFI[Clothes Kit])</f>
        <v>0</v>
      </c>
      <c r="AG213" s="294">
        <f>IF(NFI_Expiration=1,IF($A213&lt;VLOOKUP(P$5,NFI,5,0),1,0)*Table_NFI[[#This Row],[Plastic Bucket]],Table_NFI[Plastic Bucket])</f>
        <v>0</v>
      </c>
      <c r="AH213" s="294">
        <f>IF(NFI_Expiration=1,IF($A213&lt;VLOOKUP(Q$5,NFI,5,0),1,0)*Table_NFI[[#This Row],[Plastic Mat]],Table_NFI[Plastic Mat])*IF(Table_NFI[[#This Row],[Distribution Date]]&gt;"2014-04-01",1,2.5)</f>
        <v>0</v>
      </c>
      <c r="AI213" s="294">
        <f>IF(NFI_Expiration=1,IF($A213&lt;VLOOKUP(R$5,NFI,5,0),1,0)*Table_NFI[[#This Row],[Winter Clothes Adult]],Table_NFI[Winter Clothes Adult])</f>
        <v>0</v>
      </c>
      <c r="AJ213" s="294">
        <f>IF(NFI_Expiration=1,IF($A213&lt;VLOOKUP(S$5,NFI,5,0),1,0)*Table_NFI[[#This Row],[Winter Clothes Children]],Table_NFI[Winter Clothes Children])</f>
        <v>0</v>
      </c>
      <c r="AK213" s="294">
        <f>IF(NFI_Expiration=1,IF($A213&lt;VLOOKUP(T$5,NFI,5,0),1,0)*Table_NFI[[#This Row],[Winter Items Other]],Table_NFI[Winter Items Other])</f>
        <v>0</v>
      </c>
      <c r="AL213" s="294">
        <f>IF(NFI_Expiration=1,IF($A213&lt;VLOOKUP(M$5,NFI,5,0),1,0)*Table_NFI[[#This Row],[Winter Blanket]],Table_NFI[[#This Row],[Winter Blanket]])</f>
        <v>0</v>
      </c>
      <c r="AM213" s="294">
        <f>IF(Table_NFI[[#This Row],[Winter Clothes Adult]]+Table_NFI[[#This Row],[Winter Clothes Children]]+Table_NFI[[#This Row],[Winter Items Other]]+Table_NFI[[#This Row],[Winter Blanket]]&gt;0,1,0)</f>
        <v>0</v>
      </c>
      <c r="AN213" s="331">
        <f>IF(NFI_Expiration=1,IF($A213&lt;VLOOKUP(V$5,NFI,5,0),1,0)*Table_NFI[[#This Row],[Jerry Can]],Table_NFI[Jerry Can])</f>
        <v>0</v>
      </c>
      <c r="AO213" s="331">
        <f>IF(NFI_Expiration=1,IF($A213&lt;VLOOKUP(V$5,NFI,5,0),1,0)*Table_NFI[[#This Row],[Shelter Tool kit]],Table_NFI[Shelter Tool kit])</f>
        <v>0</v>
      </c>
      <c r="AP213" s="331">
        <f>IF(NFI_Expiration=1,IF($A213&lt;VLOOKUP(V$5,NFI,5,0),1,0)*Table_NFI[[#This Row],[Tent]],Table_NFI[Tent])</f>
        <v>0</v>
      </c>
      <c r="AQ213" s="473" t="str">
        <f>IFERROR(VLOOKUP(Table_NFI[[#This Row],[Camp Name]],CL,2,0),"")</f>
        <v>MMR001CMP073</v>
      </c>
      <c r="AR213" s="468">
        <f ca="1">IF(Table_NFI[[#This Row],[Pcode]]="","",IF(OFFSET(CampList[Opening Date],MATCH(Table_NFI[[#This Row],[Pcode]],CampList[CP_Pcode],0)-1,0,1,1)&gt;=NFI_Monitor_Date,1,0))</f>
        <v>0</v>
      </c>
      <c r="AS213" s="473" t="str">
        <f>IFERROR(VLOOKUP(Table_NFI[[#This Row],[Camp Name]],CL,3,0),"")</f>
        <v>Open</v>
      </c>
      <c r="AT213" s="294" t="str">
        <f ca="1">IF(Table_NFI[[#This Row],[Pcode]]="","",OFFSET(CampList[Priority],MATCH(Table_NFI[[#This Row],[Pcode]],CampList[CP_Pcode],0)-1,0,1,1))</f>
        <v>P3</v>
      </c>
      <c r="AU213" s="293">
        <f>IFERROR(Table_NFI[[#This Row],[Kitchen Set]]/VLOOKUP(Table_NFI[[#This Row],[Camp Name]],CL,4,0),"")</f>
        <v>0</v>
      </c>
      <c r="AV213" s="466"/>
      <c r="AW213" s="469"/>
    </row>
    <row r="214" spans="1:49" s="98" customFormat="1" ht="14.45" customHeight="1" x14ac:dyDescent="0.2">
      <c r="A214" s="297">
        <f t="shared" si="3"/>
        <v>22.833333333333332</v>
      </c>
      <c r="B214" s="465">
        <v>41990</v>
      </c>
      <c r="C214" s="466" t="s">
        <v>905</v>
      </c>
      <c r="D214" s="467" t="s">
        <v>905</v>
      </c>
      <c r="E214" s="466" t="s">
        <v>380</v>
      </c>
      <c r="F214" s="290" t="s">
        <v>185</v>
      </c>
      <c r="G214" s="290" t="s">
        <v>186</v>
      </c>
      <c r="H214" s="291"/>
      <c r="I214" s="291"/>
      <c r="J214" s="584"/>
      <c r="K214" s="291"/>
      <c r="L214" s="292"/>
      <c r="M214" s="292"/>
      <c r="N214" s="292"/>
      <c r="O214" s="292"/>
      <c r="P214" s="294"/>
      <c r="Q214" s="294"/>
      <c r="R214" s="294"/>
      <c r="S214" s="294"/>
      <c r="T214" s="294"/>
      <c r="U214" s="294"/>
      <c r="V214" s="431"/>
      <c r="W214" s="294"/>
      <c r="X214" s="294"/>
      <c r="Y214" s="294">
        <f>IF(NFI_Expiration=1,IF($A214&lt;VLOOKUP(H$5,NFI,5,0),1,0)*Table_NFI[[#This Row],[Hygiene Kit]],Table_NFI[Hygiene Kit])</f>
        <v>0</v>
      </c>
      <c r="Z214" s="294">
        <f>IF(NFI_Expiration=1,IF($A214&lt;VLOOKUP(I$5,NFI,5,0),1,0)*Table_NFI[[#This Row],[NFI Core Kit]],Table_NFI[NFI Core Kit])</f>
        <v>0</v>
      </c>
      <c r="AA214" s="294">
        <f>IF(NFI_Expiration=1,IF($A214&lt;VLOOKUP(J$5,NFI,5,0),1,0)*Table_NFI[[#This Row],[Sanitary Kit]],Table_NFI[Sanitary Kit])</f>
        <v>0</v>
      </c>
      <c r="AB214" s="294">
        <f>IF(NFI_Expiration=1,IF($A214&lt;VLOOKUP(K$5,NFI,5,0),1,0)*Table_NFI[[#This Row],[Mosquito net]],Table_NFI[Mosquito net])</f>
        <v>0</v>
      </c>
      <c r="AC214" s="294">
        <f>IF(NFI_Expiration=1,IF($A214&lt;VLOOKUP(L$5,NFI,5,0),1,0)*Table_NFI[[#This Row],[Tarpaulin]],Table_NFI[[#This Row],[Tarpaulin]])</f>
        <v>0</v>
      </c>
      <c r="AD214" s="294">
        <f>IF(NFI_Expiration=1,IF($A214&lt;VLOOKUP(M$5,NFI,5,0),1,0)*Table_NFI[[#This Row],[Blanket]],Table_NFI[[#This Row],[Blanket]])</f>
        <v>0</v>
      </c>
      <c r="AE214" s="294">
        <f>IF(NFI_Expiration=1,IF($A214&lt;VLOOKUP(N$5,NFI,5,0),1,0)*Table_NFI[[#This Row],[Kitchen Set]],Table_NFI[Kitchen Set])</f>
        <v>0</v>
      </c>
      <c r="AF214" s="294">
        <f>IF(NFI_Expiration=1,IF($A214&lt;VLOOKUP(O$5,NFI,5,0),1,0)*Table_NFI[[#This Row],[Clothes Kit]],Table_NFI[Clothes Kit])</f>
        <v>0</v>
      </c>
      <c r="AG214" s="294">
        <f>IF(NFI_Expiration=1,IF($A214&lt;VLOOKUP(P$5,NFI,5,0),1,0)*Table_NFI[[#This Row],[Plastic Bucket]],Table_NFI[Plastic Bucket])</f>
        <v>0</v>
      </c>
      <c r="AH214" s="294">
        <f>IF(NFI_Expiration=1,IF($A214&lt;VLOOKUP(Q$5,NFI,5,0),1,0)*Table_NFI[[#This Row],[Plastic Mat]],Table_NFI[Plastic Mat])*IF(Table_NFI[[#This Row],[Distribution Date]]&gt;"2014-04-01",1,2.5)</f>
        <v>0</v>
      </c>
      <c r="AI214" s="294">
        <f>IF(NFI_Expiration=1,IF($A214&lt;VLOOKUP(R$5,NFI,5,0),1,0)*Table_NFI[[#This Row],[Winter Clothes Adult]],Table_NFI[Winter Clothes Adult])</f>
        <v>0</v>
      </c>
      <c r="AJ214" s="294">
        <f>IF(NFI_Expiration=1,IF($A214&lt;VLOOKUP(S$5,NFI,5,0),1,0)*Table_NFI[[#This Row],[Winter Clothes Children]],Table_NFI[Winter Clothes Children])</f>
        <v>0</v>
      </c>
      <c r="AK214" s="294">
        <f>IF(NFI_Expiration=1,IF($A214&lt;VLOOKUP(T$5,NFI,5,0),1,0)*Table_NFI[[#This Row],[Winter Items Other]],Table_NFI[Winter Items Other])</f>
        <v>0</v>
      </c>
      <c r="AL214" s="294">
        <f>IF(NFI_Expiration=1,IF($A214&lt;VLOOKUP(M$5,NFI,5,0),1,0)*Table_NFI[[#This Row],[Winter Blanket]],Table_NFI[[#This Row],[Winter Blanket]])</f>
        <v>0</v>
      </c>
      <c r="AM214" s="294">
        <f>IF(Table_NFI[[#This Row],[Winter Clothes Adult]]+Table_NFI[[#This Row],[Winter Clothes Children]]+Table_NFI[[#This Row],[Winter Items Other]]+Table_NFI[[#This Row],[Winter Blanket]]&gt;0,1,0)</f>
        <v>0</v>
      </c>
      <c r="AN214" s="331">
        <f>IF(NFI_Expiration=1,IF($A214&lt;VLOOKUP(V$5,NFI,5,0),1,0)*Table_NFI[[#This Row],[Jerry Can]],Table_NFI[Jerry Can])</f>
        <v>0</v>
      </c>
      <c r="AO214" s="331">
        <f>IF(NFI_Expiration=1,IF($A214&lt;VLOOKUP(V$5,NFI,5,0),1,0)*Table_NFI[[#This Row],[Shelter Tool kit]],Table_NFI[Shelter Tool kit])</f>
        <v>0</v>
      </c>
      <c r="AP214" s="331">
        <f>IF(NFI_Expiration=1,IF($A214&lt;VLOOKUP(V$5,NFI,5,0),1,0)*Table_NFI[[#This Row],[Tent]],Table_NFI[Tent])</f>
        <v>0</v>
      </c>
      <c r="AQ214" s="473" t="str">
        <f>IFERROR(VLOOKUP(Table_NFI[[#This Row],[Camp Name]],CL,2,0),"")</f>
        <v>MMR001CMP071</v>
      </c>
      <c r="AR214" s="468">
        <f ca="1">IF(Table_NFI[[#This Row],[Pcode]]="","",IF(OFFSET(CampList[Opening Date],MATCH(Table_NFI[[#This Row],[Pcode]],CampList[CP_Pcode],0)-1,0,1,1)&gt;=NFI_Monitor_Date,1,0))</f>
        <v>0</v>
      </c>
      <c r="AS214" s="473" t="str">
        <f>IFERROR(VLOOKUP(Table_NFI[[#This Row],[Camp Name]],CL,3,0),"")</f>
        <v>Open</v>
      </c>
      <c r="AT214" s="294" t="str">
        <f ca="1">IF(Table_NFI[[#This Row],[Pcode]]="","",OFFSET(CampList[Priority],MATCH(Table_NFI[[#This Row],[Pcode]],CampList[CP_Pcode],0)-1,0,1,1))</f>
        <v>P3</v>
      </c>
      <c r="AU214" s="293">
        <f>IFERROR(Table_NFI[[#This Row],[Kitchen Set]]/VLOOKUP(Table_NFI[[#This Row],[Camp Name]],CL,4,0),"")</f>
        <v>0</v>
      </c>
      <c r="AV214" s="466"/>
      <c r="AW214" s="469"/>
    </row>
    <row r="215" spans="1:49" s="98" customFormat="1" x14ac:dyDescent="0.25">
      <c r="A215" s="297">
        <f t="shared" si="3"/>
        <v>22.833333333333332</v>
      </c>
      <c r="B215" s="465">
        <v>41990</v>
      </c>
      <c r="C215" s="466" t="s">
        <v>905</v>
      </c>
      <c r="D215" s="466" t="s">
        <v>905</v>
      </c>
      <c r="E215" s="466" t="s">
        <v>380</v>
      </c>
      <c r="F215" s="466" t="s">
        <v>185</v>
      </c>
      <c r="G215" s="290" t="s">
        <v>223</v>
      </c>
      <c r="H215" s="291"/>
      <c r="I215" s="291"/>
      <c r="J215" s="292">
        <v>124</v>
      </c>
      <c r="K215" s="291"/>
      <c r="L215" s="292"/>
      <c r="M215" s="292"/>
      <c r="N215" s="292"/>
      <c r="O215" s="292"/>
      <c r="P215" s="294"/>
      <c r="Q215" s="294"/>
      <c r="R215" s="294"/>
      <c r="S215" s="294"/>
      <c r="T215" s="294"/>
      <c r="U215" s="294"/>
      <c r="V215" s="431"/>
      <c r="W215" s="294"/>
      <c r="X215" s="294"/>
      <c r="Y215" s="294">
        <f>IF(NFI_Expiration=1,IF($A215&lt;VLOOKUP(H$5,NFI,5,0),1,0)*Table_NFI[[#This Row],[Hygiene Kit]],Table_NFI[Hygiene Kit])</f>
        <v>0</v>
      </c>
      <c r="Z215" s="294">
        <f>IF(NFI_Expiration=1,IF($A215&lt;VLOOKUP(I$5,NFI,5,0),1,0)*Table_NFI[[#This Row],[NFI Core Kit]],Table_NFI[NFI Core Kit])</f>
        <v>0</v>
      </c>
      <c r="AA215" s="294">
        <f>IF(NFI_Expiration=1,IF($A215&lt;VLOOKUP(J$5,NFI,5,0),1,0)*Table_NFI[[#This Row],[Sanitary Kit]],Table_NFI[Sanitary Kit])</f>
        <v>0</v>
      </c>
      <c r="AB215" s="294">
        <f>IF(NFI_Expiration=1,IF($A215&lt;VLOOKUP(K$5,NFI,5,0),1,0)*Table_NFI[[#This Row],[Mosquito net]],Table_NFI[Mosquito net])</f>
        <v>0</v>
      </c>
      <c r="AC215" s="294">
        <f>IF(NFI_Expiration=1,IF($A215&lt;VLOOKUP(L$5,NFI,5,0),1,0)*Table_NFI[[#This Row],[Tarpaulin]],Table_NFI[[#This Row],[Tarpaulin]])</f>
        <v>0</v>
      </c>
      <c r="AD215" s="294">
        <f>IF(NFI_Expiration=1,IF($A215&lt;VLOOKUP(M$5,NFI,5,0),1,0)*Table_NFI[[#This Row],[Blanket]],Table_NFI[[#This Row],[Blanket]])</f>
        <v>0</v>
      </c>
      <c r="AE215" s="294">
        <f>IF(NFI_Expiration=1,IF($A215&lt;VLOOKUP(N$5,NFI,5,0),1,0)*Table_NFI[[#This Row],[Kitchen Set]],Table_NFI[Kitchen Set])</f>
        <v>0</v>
      </c>
      <c r="AF215" s="294">
        <f>IF(NFI_Expiration=1,IF($A215&lt;VLOOKUP(O$5,NFI,5,0),1,0)*Table_NFI[[#This Row],[Clothes Kit]],Table_NFI[Clothes Kit])</f>
        <v>0</v>
      </c>
      <c r="AG215" s="294">
        <f>IF(NFI_Expiration=1,IF($A215&lt;VLOOKUP(P$5,NFI,5,0),1,0)*Table_NFI[[#This Row],[Plastic Bucket]],Table_NFI[Plastic Bucket])</f>
        <v>0</v>
      </c>
      <c r="AH215" s="294">
        <f>IF(NFI_Expiration=1,IF($A215&lt;VLOOKUP(Q$5,NFI,5,0),1,0)*Table_NFI[[#This Row],[Plastic Mat]],Table_NFI[Plastic Mat])*IF(Table_NFI[[#This Row],[Distribution Date]]&gt;"2014-04-01",1,2.5)</f>
        <v>0</v>
      </c>
      <c r="AI215" s="294">
        <f>IF(NFI_Expiration=1,IF($A215&lt;VLOOKUP(R$5,NFI,5,0),1,0)*Table_NFI[[#This Row],[Winter Clothes Adult]],Table_NFI[Winter Clothes Adult])</f>
        <v>0</v>
      </c>
      <c r="AJ215" s="294">
        <f>IF(NFI_Expiration=1,IF($A215&lt;VLOOKUP(S$5,NFI,5,0),1,0)*Table_NFI[[#This Row],[Winter Clothes Children]],Table_NFI[Winter Clothes Children])</f>
        <v>0</v>
      </c>
      <c r="AK215" s="294">
        <f>IF(NFI_Expiration=1,IF($A215&lt;VLOOKUP(T$5,NFI,5,0),1,0)*Table_NFI[[#This Row],[Winter Items Other]],Table_NFI[Winter Items Other])</f>
        <v>0</v>
      </c>
      <c r="AL215" s="294">
        <f>IF(NFI_Expiration=1,IF($A215&lt;VLOOKUP(M$5,NFI,5,0),1,0)*Table_NFI[[#This Row],[Winter Blanket]],Table_NFI[[#This Row],[Winter Blanket]])</f>
        <v>0</v>
      </c>
      <c r="AM215" s="294">
        <f>IF(Table_NFI[[#This Row],[Winter Clothes Adult]]+Table_NFI[[#This Row],[Winter Clothes Children]]+Table_NFI[[#This Row],[Winter Items Other]]+Table_NFI[[#This Row],[Winter Blanket]]&gt;0,1,0)</f>
        <v>0</v>
      </c>
      <c r="AN215" s="331">
        <f>IF(NFI_Expiration=1,IF($A215&lt;VLOOKUP(V$5,NFI,5,0),1,0)*Table_NFI[[#This Row],[Jerry Can]],Table_NFI[Jerry Can])</f>
        <v>0</v>
      </c>
      <c r="AO215" s="331">
        <f>IF(NFI_Expiration=1,IF($A215&lt;VLOOKUP(V$5,NFI,5,0),1,0)*Table_NFI[[#This Row],[Shelter Tool kit]],Table_NFI[Shelter Tool kit])</f>
        <v>0</v>
      </c>
      <c r="AP215" s="331">
        <f>IF(NFI_Expiration=1,IF($A215&lt;VLOOKUP(V$5,NFI,5,0),1,0)*Table_NFI[[#This Row],[Tent]],Table_NFI[Tent])</f>
        <v>0</v>
      </c>
      <c r="AQ215" s="473" t="str">
        <f>IFERROR(VLOOKUP(Table_NFI[[#This Row],[Camp Name]],CL,2,0),"")</f>
        <v>MMR001CMP069</v>
      </c>
      <c r="AR215" s="468">
        <f ca="1">IF(Table_NFI[[#This Row],[Pcode]]="","",IF(OFFSET(CampList[Opening Date],MATCH(Table_NFI[[#This Row],[Pcode]],CampList[CP_Pcode],0)-1,0,1,1)&gt;=NFI_Monitor_Date,1,0))</f>
        <v>0</v>
      </c>
      <c r="AS215" s="473" t="str">
        <f>IFERROR(VLOOKUP(Table_NFI[[#This Row],[Camp Name]],CL,3,0),"")</f>
        <v>Open</v>
      </c>
      <c r="AT215" s="294" t="str">
        <f ca="1">IF(Table_NFI[[#This Row],[Pcode]]="","",OFFSET(CampList[Priority],MATCH(Table_NFI[[#This Row],[Pcode]],CampList[CP_Pcode],0)-1,0,1,1))</f>
        <v>P3</v>
      </c>
      <c r="AU215" s="293">
        <f>IFERROR(Table_NFI[[#This Row],[Kitchen Set]]/VLOOKUP(Table_NFI[[#This Row],[Camp Name]],CL,4,0),"")</f>
        <v>0</v>
      </c>
      <c r="AV215" s="466"/>
      <c r="AW215" s="469"/>
    </row>
    <row r="216" spans="1:49" s="98" customFormat="1" ht="15" customHeight="1" x14ac:dyDescent="0.2">
      <c r="A216" s="297">
        <f t="shared" si="3"/>
        <v>22.833333333333332</v>
      </c>
      <c r="B216" s="465">
        <v>41990</v>
      </c>
      <c r="C216" s="466" t="s">
        <v>905</v>
      </c>
      <c r="D216" s="467" t="s">
        <v>905</v>
      </c>
      <c r="E216" s="466" t="s">
        <v>380</v>
      </c>
      <c r="F216" s="290" t="s">
        <v>185</v>
      </c>
      <c r="G216" s="290" t="s">
        <v>190</v>
      </c>
      <c r="H216" s="291"/>
      <c r="I216" s="291"/>
      <c r="J216" s="584">
        <v>283</v>
      </c>
      <c r="K216" s="291"/>
      <c r="L216" s="292"/>
      <c r="M216" s="292"/>
      <c r="N216" s="292"/>
      <c r="O216" s="292"/>
      <c r="P216" s="294"/>
      <c r="Q216" s="294"/>
      <c r="R216" s="294"/>
      <c r="S216" s="294"/>
      <c r="T216" s="294"/>
      <c r="U216" s="294"/>
      <c r="V216" s="431"/>
      <c r="W216" s="294"/>
      <c r="X216" s="294"/>
      <c r="Y216" s="294">
        <f>IF(NFI_Expiration=1,IF($A216&lt;VLOOKUP(H$5,NFI,5,0),1,0)*Table_NFI[[#This Row],[Hygiene Kit]],Table_NFI[Hygiene Kit])</f>
        <v>0</v>
      </c>
      <c r="Z216" s="294">
        <f>IF(NFI_Expiration=1,IF($A216&lt;VLOOKUP(I$5,NFI,5,0),1,0)*Table_NFI[[#This Row],[NFI Core Kit]],Table_NFI[NFI Core Kit])</f>
        <v>0</v>
      </c>
      <c r="AA216" s="294">
        <f>IF(NFI_Expiration=1,IF($A216&lt;VLOOKUP(J$5,NFI,5,0),1,0)*Table_NFI[[#This Row],[Sanitary Kit]],Table_NFI[Sanitary Kit])</f>
        <v>0</v>
      </c>
      <c r="AB216" s="294">
        <f>IF(NFI_Expiration=1,IF($A216&lt;VLOOKUP(K$5,NFI,5,0),1,0)*Table_NFI[[#This Row],[Mosquito net]],Table_NFI[Mosquito net])</f>
        <v>0</v>
      </c>
      <c r="AC216" s="294">
        <f>IF(NFI_Expiration=1,IF($A216&lt;VLOOKUP(L$5,NFI,5,0),1,0)*Table_NFI[[#This Row],[Tarpaulin]],Table_NFI[[#This Row],[Tarpaulin]])</f>
        <v>0</v>
      </c>
      <c r="AD216" s="294">
        <f>IF(NFI_Expiration=1,IF($A216&lt;VLOOKUP(M$5,NFI,5,0),1,0)*Table_NFI[[#This Row],[Blanket]],Table_NFI[[#This Row],[Blanket]])</f>
        <v>0</v>
      </c>
      <c r="AE216" s="294">
        <f>IF(NFI_Expiration=1,IF($A216&lt;VLOOKUP(N$5,NFI,5,0),1,0)*Table_NFI[[#This Row],[Kitchen Set]],Table_NFI[Kitchen Set])</f>
        <v>0</v>
      </c>
      <c r="AF216" s="294">
        <f>IF(NFI_Expiration=1,IF($A216&lt;VLOOKUP(O$5,NFI,5,0),1,0)*Table_NFI[[#This Row],[Clothes Kit]],Table_NFI[Clothes Kit])</f>
        <v>0</v>
      </c>
      <c r="AG216" s="294">
        <f>IF(NFI_Expiration=1,IF($A216&lt;VLOOKUP(P$5,NFI,5,0),1,0)*Table_NFI[[#This Row],[Plastic Bucket]],Table_NFI[Plastic Bucket])</f>
        <v>0</v>
      </c>
      <c r="AH216" s="294">
        <f>IF(NFI_Expiration=1,IF($A216&lt;VLOOKUP(Q$5,NFI,5,0),1,0)*Table_NFI[[#This Row],[Plastic Mat]],Table_NFI[Plastic Mat])*IF(Table_NFI[[#This Row],[Distribution Date]]&gt;"2014-04-01",1,2.5)</f>
        <v>0</v>
      </c>
      <c r="AI216" s="294">
        <f>IF(NFI_Expiration=1,IF($A216&lt;VLOOKUP(R$5,NFI,5,0),1,0)*Table_NFI[[#This Row],[Winter Clothes Adult]],Table_NFI[Winter Clothes Adult])</f>
        <v>0</v>
      </c>
      <c r="AJ216" s="294">
        <f>IF(NFI_Expiration=1,IF($A216&lt;VLOOKUP(S$5,NFI,5,0),1,0)*Table_NFI[[#This Row],[Winter Clothes Children]],Table_NFI[Winter Clothes Children])</f>
        <v>0</v>
      </c>
      <c r="AK216" s="294">
        <f>IF(NFI_Expiration=1,IF($A216&lt;VLOOKUP(T$5,NFI,5,0),1,0)*Table_NFI[[#This Row],[Winter Items Other]],Table_NFI[Winter Items Other])</f>
        <v>0</v>
      </c>
      <c r="AL216" s="294">
        <f>IF(NFI_Expiration=1,IF($A216&lt;VLOOKUP(M$5,NFI,5,0),1,0)*Table_NFI[[#This Row],[Winter Blanket]],Table_NFI[[#This Row],[Winter Blanket]])</f>
        <v>0</v>
      </c>
      <c r="AM216" s="294">
        <f>IF(Table_NFI[[#This Row],[Winter Clothes Adult]]+Table_NFI[[#This Row],[Winter Clothes Children]]+Table_NFI[[#This Row],[Winter Items Other]]+Table_NFI[[#This Row],[Winter Blanket]]&gt;0,1,0)</f>
        <v>0</v>
      </c>
      <c r="AN216" s="331">
        <f>IF(NFI_Expiration=1,IF($A216&lt;VLOOKUP(V$5,NFI,5,0),1,0)*Table_NFI[[#This Row],[Jerry Can]],Table_NFI[Jerry Can])</f>
        <v>0</v>
      </c>
      <c r="AO216" s="331">
        <f>IF(NFI_Expiration=1,IF($A216&lt;VLOOKUP(V$5,NFI,5,0),1,0)*Table_NFI[[#This Row],[Shelter Tool kit]],Table_NFI[Shelter Tool kit])</f>
        <v>0</v>
      </c>
      <c r="AP216" s="331">
        <f>IF(NFI_Expiration=1,IF($A216&lt;VLOOKUP(V$5,NFI,5,0),1,0)*Table_NFI[[#This Row],[Tent]],Table_NFI[Tent])</f>
        <v>0</v>
      </c>
      <c r="AQ216" s="473" t="str">
        <f>IFERROR(VLOOKUP(Table_NFI[[#This Row],[Camp Name]],CL,2,0),"")</f>
        <v>MMR001CMP070</v>
      </c>
      <c r="AR216" s="468">
        <f ca="1">IF(Table_NFI[[#This Row],[Pcode]]="","",IF(OFFSET(CampList[Opening Date],MATCH(Table_NFI[[#This Row],[Pcode]],CampList[CP_Pcode],0)-1,0,1,1)&gt;=NFI_Monitor_Date,1,0))</f>
        <v>0</v>
      </c>
      <c r="AS216" s="473" t="str">
        <f>IFERROR(VLOOKUP(Table_NFI[[#This Row],[Camp Name]],CL,3,0),"")</f>
        <v>Open</v>
      </c>
      <c r="AT216" s="294" t="str">
        <f ca="1">IF(Table_NFI[[#This Row],[Pcode]]="","",OFFSET(CampList[Priority],MATCH(Table_NFI[[#This Row],[Pcode]],CampList[CP_Pcode],0)-1,0,1,1))</f>
        <v>P3</v>
      </c>
      <c r="AU216" s="293">
        <f>IFERROR(Table_NFI[[#This Row],[Kitchen Set]]/VLOOKUP(Table_NFI[[#This Row],[Camp Name]],CL,4,0),"")</f>
        <v>0</v>
      </c>
      <c r="AV216" s="466"/>
      <c r="AW216" s="469"/>
    </row>
    <row r="217" spans="1:49" s="98" customFormat="1" x14ac:dyDescent="0.25">
      <c r="A217" s="297">
        <f t="shared" si="3"/>
        <v>23.066666666666666</v>
      </c>
      <c r="B217" s="465">
        <v>41983</v>
      </c>
      <c r="C217" s="466" t="s">
        <v>905</v>
      </c>
      <c r="D217" s="466" t="s">
        <v>905</v>
      </c>
      <c r="E217" s="466" t="s">
        <v>380</v>
      </c>
      <c r="F217" s="290" t="s">
        <v>185</v>
      </c>
      <c r="G217" s="290" t="s">
        <v>1437</v>
      </c>
      <c r="H217" s="291"/>
      <c r="I217" s="291"/>
      <c r="J217" s="294">
        <v>85</v>
      </c>
      <c r="K217" s="291"/>
      <c r="L217" s="292"/>
      <c r="M217" s="292"/>
      <c r="N217" s="292"/>
      <c r="O217" s="292"/>
      <c r="P217" s="294"/>
      <c r="Q217" s="294"/>
      <c r="R217" s="294"/>
      <c r="S217" s="294"/>
      <c r="T217" s="294"/>
      <c r="U217" s="294"/>
      <c r="V217" s="431"/>
      <c r="W217" s="294"/>
      <c r="X217" s="294"/>
      <c r="Y217" s="294">
        <f>IF(NFI_Expiration=1,IF($A217&lt;VLOOKUP(H$5,NFI,5,0),1,0)*Table_NFI[[#This Row],[Hygiene Kit]],Table_NFI[Hygiene Kit])</f>
        <v>0</v>
      </c>
      <c r="Z217" s="294">
        <f>IF(NFI_Expiration=1,IF($A217&lt;VLOOKUP(I$5,NFI,5,0),1,0)*Table_NFI[[#This Row],[NFI Core Kit]],Table_NFI[NFI Core Kit])</f>
        <v>0</v>
      </c>
      <c r="AA217" s="294">
        <f>IF(NFI_Expiration=1,IF($A217&lt;VLOOKUP(J$5,NFI,5,0),1,0)*Table_NFI[[#This Row],[Sanitary Kit]],Table_NFI[Sanitary Kit])</f>
        <v>0</v>
      </c>
      <c r="AB217" s="294">
        <f>IF(NFI_Expiration=1,IF($A217&lt;VLOOKUP(K$5,NFI,5,0),1,0)*Table_NFI[[#This Row],[Mosquito net]],Table_NFI[Mosquito net])</f>
        <v>0</v>
      </c>
      <c r="AC217" s="294">
        <f>IF(NFI_Expiration=1,IF($A217&lt;VLOOKUP(L$5,NFI,5,0),1,0)*Table_NFI[[#This Row],[Tarpaulin]],Table_NFI[[#This Row],[Tarpaulin]])</f>
        <v>0</v>
      </c>
      <c r="AD217" s="294">
        <f>IF(NFI_Expiration=1,IF($A217&lt;VLOOKUP(M$5,NFI,5,0),1,0)*Table_NFI[[#This Row],[Blanket]],Table_NFI[[#This Row],[Blanket]])</f>
        <v>0</v>
      </c>
      <c r="AE217" s="294">
        <f>IF(NFI_Expiration=1,IF($A217&lt;VLOOKUP(N$5,NFI,5,0),1,0)*Table_NFI[[#This Row],[Kitchen Set]],Table_NFI[Kitchen Set])</f>
        <v>0</v>
      </c>
      <c r="AF217" s="294">
        <f>IF(NFI_Expiration=1,IF($A217&lt;VLOOKUP(O$5,NFI,5,0),1,0)*Table_NFI[[#This Row],[Clothes Kit]],Table_NFI[Clothes Kit])</f>
        <v>0</v>
      </c>
      <c r="AG217" s="294">
        <f>IF(NFI_Expiration=1,IF($A217&lt;VLOOKUP(P$5,NFI,5,0),1,0)*Table_NFI[[#This Row],[Plastic Bucket]],Table_NFI[Plastic Bucket])</f>
        <v>0</v>
      </c>
      <c r="AH217" s="294">
        <f>IF(NFI_Expiration=1,IF($A217&lt;VLOOKUP(Q$5,NFI,5,0),1,0)*Table_NFI[[#This Row],[Plastic Mat]],Table_NFI[Plastic Mat])*IF(Table_NFI[[#This Row],[Distribution Date]]&gt;"2014-04-01",1,2.5)</f>
        <v>0</v>
      </c>
      <c r="AI217" s="294">
        <f>IF(NFI_Expiration=1,IF($A217&lt;VLOOKUP(R$5,NFI,5,0),1,0)*Table_NFI[[#This Row],[Winter Clothes Adult]],Table_NFI[Winter Clothes Adult])</f>
        <v>0</v>
      </c>
      <c r="AJ217" s="294">
        <f>IF(NFI_Expiration=1,IF($A217&lt;VLOOKUP(S$5,NFI,5,0),1,0)*Table_NFI[[#This Row],[Winter Clothes Children]],Table_NFI[Winter Clothes Children])</f>
        <v>0</v>
      </c>
      <c r="AK217" s="294">
        <f>IF(NFI_Expiration=1,IF($A217&lt;VLOOKUP(T$5,NFI,5,0),1,0)*Table_NFI[[#This Row],[Winter Items Other]],Table_NFI[Winter Items Other])</f>
        <v>0</v>
      </c>
      <c r="AL217" s="294">
        <f>IF(NFI_Expiration=1,IF($A217&lt;VLOOKUP(M$5,NFI,5,0),1,0)*Table_NFI[[#This Row],[Winter Blanket]],Table_NFI[[#This Row],[Winter Blanket]])</f>
        <v>0</v>
      </c>
      <c r="AM217" s="294">
        <f>IF(Table_NFI[[#This Row],[Winter Clothes Adult]]+Table_NFI[[#This Row],[Winter Clothes Children]]+Table_NFI[[#This Row],[Winter Items Other]]+Table_NFI[[#This Row],[Winter Blanket]]&gt;0,1,0)</f>
        <v>0</v>
      </c>
      <c r="AN217" s="331">
        <f>IF(NFI_Expiration=1,IF($A217&lt;VLOOKUP(V$5,NFI,5,0),1,0)*Table_NFI[[#This Row],[Jerry Can]],Table_NFI[Jerry Can])</f>
        <v>0</v>
      </c>
      <c r="AO217" s="331">
        <f>IF(NFI_Expiration=1,IF($A217&lt;VLOOKUP(V$5,NFI,5,0),1,0)*Table_NFI[[#This Row],[Shelter Tool kit]],Table_NFI[Shelter Tool kit])</f>
        <v>0</v>
      </c>
      <c r="AP217" s="331">
        <f>IF(NFI_Expiration=1,IF($A217&lt;VLOOKUP(V$5,NFI,5,0),1,0)*Table_NFI[[#This Row],[Tent]],Table_NFI[Tent])</f>
        <v>0</v>
      </c>
      <c r="AQ217" s="473" t="str">
        <f>IFERROR(VLOOKUP(Table_NFI[[#This Row],[Camp Name]],CL,2,0),"")</f>
        <v/>
      </c>
      <c r="AR217" s="468" t="str">
        <f ca="1">IF(Table_NFI[[#This Row],[Pcode]]="","",IF(OFFSET(CampList[Opening Date],MATCH(Table_NFI[[#This Row],[Pcode]],CampList[CP_Pcode],0)-1,0,1,1)&gt;=NFI_Monitor_Date,1,0))</f>
        <v/>
      </c>
      <c r="AS217" s="473" t="str">
        <f>IFERROR(VLOOKUP(Table_NFI[[#This Row],[Camp Name]],CL,3,0),"")</f>
        <v/>
      </c>
      <c r="AT217" s="294" t="str">
        <f ca="1">IF(Table_NFI[[#This Row],[Pcode]]="","",OFFSET(CampList[Priority],MATCH(Table_NFI[[#This Row],[Pcode]],CampList[CP_Pcode],0)-1,0,1,1))</f>
        <v/>
      </c>
      <c r="AU217" s="293" t="str">
        <f>IFERROR(Table_NFI[[#This Row],[Kitchen Set]]/VLOOKUP(Table_NFI[[#This Row],[Camp Name]],CL,4,0),"")</f>
        <v/>
      </c>
      <c r="AV217" s="466"/>
      <c r="AW217" s="469"/>
    </row>
    <row r="218" spans="1:49" s="98" customFormat="1" ht="14.45" customHeight="1" x14ac:dyDescent="0.2">
      <c r="A218" s="297">
        <f t="shared" si="3"/>
        <v>23.066666666666666</v>
      </c>
      <c r="B218" s="465">
        <v>41983</v>
      </c>
      <c r="C218" s="466" t="s">
        <v>905</v>
      </c>
      <c r="D218" s="466" t="s">
        <v>905</v>
      </c>
      <c r="E218" s="466" t="s">
        <v>380</v>
      </c>
      <c r="F218" s="466" t="s">
        <v>185</v>
      </c>
      <c r="G218" s="290" t="s">
        <v>217</v>
      </c>
      <c r="H218" s="291"/>
      <c r="I218" s="291"/>
      <c r="J218" s="584">
        <v>33</v>
      </c>
      <c r="K218" s="291"/>
      <c r="L218" s="292"/>
      <c r="M218" s="292"/>
      <c r="N218" s="292"/>
      <c r="O218" s="292"/>
      <c r="P218" s="294"/>
      <c r="Q218" s="294"/>
      <c r="R218" s="294"/>
      <c r="S218" s="294"/>
      <c r="T218" s="294"/>
      <c r="U218" s="294"/>
      <c r="V218" s="431"/>
      <c r="W218" s="294"/>
      <c r="X218" s="294"/>
      <c r="Y218" s="294">
        <f>IF(NFI_Expiration=1,IF($A218&lt;VLOOKUP(H$5,NFI,5,0),1,0)*Table_NFI[[#This Row],[Hygiene Kit]],Table_NFI[Hygiene Kit])</f>
        <v>0</v>
      </c>
      <c r="Z218" s="294">
        <f>IF(NFI_Expiration=1,IF($A218&lt;VLOOKUP(I$5,NFI,5,0),1,0)*Table_NFI[[#This Row],[NFI Core Kit]],Table_NFI[NFI Core Kit])</f>
        <v>0</v>
      </c>
      <c r="AA218" s="294">
        <f>IF(NFI_Expiration=1,IF($A218&lt;VLOOKUP(J$5,NFI,5,0),1,0)*Table_NFI[[#This Row],[Sanitary Kit]],Table_NFI[Sanitary Kit])</f>
        <v>0</v>
      </c>
      <c r="AB218" s="294">
        <f>IF(NFI_Expiration=1,IF($A218&lt;VLOOKUP(K$5,NFI,5,0),1,0)*Table_NFI[[#This Row],[Mosquito net]],Table_NFI[Mosquito net])</f>
        <v>0</v>
      </c>
      <c r="AC218" s="294">
        <f>IF(NFI_Expiration=1,IF($A218&lt;VLOOKUP(L$5,NFI,5,0),1,0)*Table_NFI[[#This Row],[Tarpaulin]],Table_NFI[[#This Row],[Tarpaulin]])</f>
        <v>0</v>
      </c>
      <c r="AD218" s="294">
        <f>IF(NFI_Expiration=1,IF($A218&lt;VLOOKUP(M$5,NFI,5,0),1,0)*Table_NFI[[#This Row],[Blanket]],Table_NFI[[#This Row],[Blanket]])</f>
        <v>0</v>
      </c>
      <c r="AE218" s="294">
        <f>IF(NFI_Expiration=1,IF($A218&lt;VLOOKUP(N$5,NFI,5,0),1,0)*Table_NFI[[#This Row],[Kitchen Set]],Table_NFI[Kitchen Set])</f>
        <v>0</v>
      </c>
      <c r="AF218" s="294">
        <f>IF(NFI_Expiration=1,IF($A218&lt;VLOOKUP(O$5,NFI,5,0),1,0)*Table_NFI[[#This Row],[Clothes Kit]],Table_NFI[Clothes Kit])</f>
        <v>0</v>
      </c>
      <c r="AG218" s="294">
        <f>IF(NFI_Expiration=1,IF($A218&lt;VLOOKUP(P$5,NFI,5,0),1,0)*Table_NFI[[#This Row],[Plastic Bucket]],Table_NFI[Plastic Bucket])</f>
        <v>0</v>
      </c>
      <c r="AH218" s="294">
        <f>IF(NFI_Expiration=1,IF($A218&lt;VLOOKUP(Q$5,NFI,5,0),1,0)*Table_NFI[[#This Row],[Plastic Mat]],Table_NFI[Plastic Mat])*IF(Table_NFI[[#This Row],[Distribution Date]]&gt;"2014-04-01",1,2.5)</f>
        <v>0</v>
      </c>
      <c r="AI218" s="294">
        <f>IF(NFI_Expiration=1,IF($A218&lt;VLOOKUP(R$5,NFI,5,0),1,0)*Table_NFI[[#This Row],[Winter Clothes Adult]],Table_NFI[Winter Clothes Adult])</f>
        <v>0</v>
      </c>
      <c r="AJ218" s="294">
        <f>IF(NFI_Expiration=1,IF($A218&lt;VLOOKUP(S$5,NFI,5,0),1,0)*Table_NFI[[#This Row],[Winter Clothes Children]],Table_NFI[Winter Clothes Children])</f>
        <v>0</v>
      </c>
      <c r="AK218" s="294">
        <f>IF(NFI_Expiration=1,IF($A218&lt;VLOOKUP(T$5,NFI,5,0),1,0)*Table_NFI[[#This Row],[Winter Items Other]],Table_NFI[Winter Items Other])</f>
        <v>0</v>
      </c>
      <c r="AL218" s="294">
        <f>IF(NFI_Expiration=1,IF($A218&lt;VLOOKUP(M$5,NFI,5,0),1,0)*Table_NFI[[#This Row],[Winter Blanket]],Table_NFI[[#This Row],[Winter Blanket]])</f>
        <v>0</v>
      </c>
      <c r="AM218" s="294">
        <f>IF(Table_NFI[[#This Row],[Winter Clothes Adult]]+Table_NFI[[#This Row],[Winter Clothes Children]]+Table_NFI[[#This Row],[Winter Items Other]]+Table_NFI[[#This Row],[Winter Blanket]]&gt;0,1,0)</f>
        <v>0</v>
      </c>
      <c r="AN218" s="331">
        <f>IF(NFI_Expiration=1,IF($A218&lt;VLOOKUP(V$5,NFI,5,0),1,0)*Table_NFI[[#This Row],[Jerry Can]],Table_NFI[Jerry Can])</f>
        <v>0</v>
      </c>
      <c r="AO218" s="331">
        <f>IF(NFI_Expiration=1,IF($A218&lt;VLOOKUP(V$5,NFI,5,0),1,0)*Table_NFI[[#This Row],[Shelter Tool kit]],Table_NFI[Shelter Tool kit])</f>
        <v>0</v>
      </c>
      <c r="AP218" s="331">
        <f>IF(NFI_Expiration=1,IF($A218&lt;VLOOKUP(V$5,NFI,5,0),1,0)*Table_NFI[[#This Row],[Tent]],Table_NFI[Tent])</f>
        <v>0</v>
      </c>
      <c r="AQ218" s="473" t="str">
        <f>IFERROR(VLOOKUP(Table_NFI[[#This Row],[Camp Name]],CL,2,0),"")</f>
        <v>MMR001CMP059</v>
      </c>
      <c r="AR218" s="468">
        <f ca="1">IF(Table_NFI[[#This Row],[Pcode]]="","",IF(OFFSET(CampList[Opening Date],MATCH(Table_NFI[[#This Row],[Pcode]],CampList[CP_Pcode],0)-1,0,1,1)&gt;=NFI_Monitor_Date,1,0))</f>
        <v>0</v>
      </c>
      <c r="AS218" s="473" t="str">
        <f>IFERROR(VLOOKUP(Table_NFI[[#This Row],[Camp Name]],CL,3,0),"")</f>
        <v>Closed</v>
      </c>
      <c r="AT218" s="294" t="str">
        <f ca="1">IF(Table_NFI[[#This Row],[Pcode]]="","",OFFSET(CampList[Priority],MATCH(Table_NFI[[#This Row],[Pcode]],CampList[CP_Pcode],0)-1,0,1,1))</f>
        <v>P4</v>
      </c>
      <c r="AU218" s="293" t="str">
        <f>IFERROR(Table_NFI[[#This Row],[Kitchen Set]]/VLOOKUP(Table_NFI[[#This Row],[Camp Name]],CL,4,0),"")</f>
        <v/>
      </c>
      <c r="AV218" s="466"/>
      <c r="AW218" s="469"/>
    </row>
    <row r="219" spans="1:49" s="98" customFormat="1" ht="14.45" customHeight="1" x14ac:dyDescent="0.2">
      <c r="A219" s="297">
        <f t="shared" si="3"/>
        <v>23.066666666666666</v>
      </c>
      <c r="B219" s="465">
        <v>41983</v>
      </c>
      <c r="C219" s="466" t="s">
        <v>905</v>
      </c>
      <c r="D219" s="466" t="s">
        <v>905</v>
      </c>
      <c r="E219" s="466" t="s">
        <v>380</v>
      </c>
      <c r="F219" s="466" t="s">
        <v>5</v>
      </c>
      <c r="G219" s="466" t="s">
        <v>366</v>
      </c>
      <c r="H219" s="291"/>
      <c r="I219" s="291"/>
      <c r="J219" s="584">
        <v>245</v>
      </c>
      <c r="K219" s="291"/>
      <c r="L219" s="292"/>
      <c r="M219" s="292"/>
      <c r="N219" s="292"/>
      <c r="O219" s="292"/>
      <c r="P219" s="294"/>
      <c r="Q219" s="294"/>
      <c r="R219" s="294"/>
      <c r="S219" s="294"/>
      <c r="T219" s="294"/>
      <c r="U219" s="294"/>
      <c r="V219" s="431"/>
      <c r="W219" s="294"/>
      <c r="X219" s="294"/>
      <c r="Y219" s="294">
        <f>IF(NFI_Expiration=1,IF($A219&lt;VLOOKUP(H$5,NFI,5,0),1,0)*Table_NFI[[#This Row],[Hygiene Kit]],Table_NFI[Hygiene Kit])</f>
        <v>0</v>
      </c>
      <c r="Z219" s="294">
        <f>IF(NFI_Expiration=1,IF($A219&lt;VLOOKUP(I$5,NFI,5,0),1,0)*Table_NFI[[#This Row],[NFI Core Kit]],Table_NFI[NFI Core Kit])</f>
        <v>0</v>
      </c>
      <c r="AA219" s="294">
        <f>IF(NFI_Expiration=1,IF($A219&lt;VLOOKUP(J$5,NFI,5,0),1,0)*Table_NFI[[#This Row],[Sanitary Kit]],Table_NFI[Sanitary Kit])</f>
        <v>0</v>
      </c>
      <c r="AB219" s="294">
        <f>IF(NFI_Expiration=1,IF($A219&lt;VLOOKUP(K$5,NFI,5,0),1,0)*Table_NFI[[#This Row],[Mosquito net]],Table_NFI[Mosquito net])</f>
        <v>0</v>
      </c>
      <c r="AC219" s="294">
        <f>IF(NFI_Expiration=1,IF($A219&lt;VLOOKUP(L$5,NFI,5,0),1,0)*Table_NFI[[#This Row],[Tarpaulin]],Table_NFI[[#This Row],[Tarpaulin]])</f>
        <v>0</v>
      </c>
      <c r="AD219" s="294">
        <f>IF(NFI_Expiration=1,IF($A219&lt;VLOOKUP(M$5,NFI,5,0),1,0)*Table_NFI[[#This Row],[Blanket]],Table_NFI[[#This Row],[Blanket]])</f>
        <v>0</v>
      </c>
      <c r="AE219" s="294">
        <f>IF(NFI_Expiration=1,IF($A219&lt;VLOOKUP(N$5,NFI,5,0),1,0)*Table_NFI[[#This Row],[Kitchen Set]],Table_NFI[Kitchen Set])</f>
        <v>0</v>
      </c>
      <c r="AF219" s="294">
        <f>IF(NFI_Expiration=1,IF($A219&lt;VLOOKUP(O$5,NFI,5,0),1,0)*Table_NFI[[#This Row],[Clothes Kit]],Table_NFI[Clothes Kit])</f>
        <v>0</v>
      </c>
      <c r="AG219" s="294">
        <f>IF(NFI_Expiration=1,IF($A219&lt;VLOOKUP(P$5,NFI,5,0),1,0)*Table_NFI[[#This Row],[Plastic Bucket]],Table_NFI[Plastic Bucket])</f>
        <v>0</v>
      </c>
      <c r="AH219" s="294">
        <f>IF(NFI_Expiration=1,IF($A219&lt;VLOOKUP(Q$5,NFI,5,0),1,0)*Table_NFI[[#This Row],[Plastic Mat]],Table_NFI[Plastic Mat])*IF(Table_NFI[[#This Row],[Distribution Date]]&gt;"2014-04-01",1,2.5)</f>
        <v>0</v>
      </c>
      <c r="AI219" s="294">
        <f>IF(NFI_Expiration=1,IF($A219&lt;VLOOKUP(R$5,NFI,5,0),1,0)*Table_NFI[[#This Row],[Winter Clothes Adult]],Table_NFI[Winter Clothes Adult])</f>
        <v>0</v>
      </c>
      <c r="AJ219" s="294">
        <f>IF(NFI_Expiration=1,IF($A219&lt;VLOOKUP(S$5,NFI,5,0),1,0)*Table_NFI[[#This Row],[Winter Clothes Children]],Table_NFI[Winter Clothes Children])</f>
        <v>0</v>
      </c>
      <c r="AK219" s="294">
        <f>IF(NFI_Expiration=1,IF($A219&lt;VLOOKUP(T$5,NFI,5,0),1,0)*Table_NFI[[#This Row],[Winter Items Other]],Table_NFI[Winter Items Other])</f>
        <v>0</v>
      </c>
      <c r="AL219" s="294">
        <f>IF(NFI_Expiration=1,IF($A219&lt;VLOOKUP(M$5,NFI,5,0),1,0)*Table_NFI[[#This Row],[Winter Blanket]],Table_NFI[[#This Row],[Winter Blanket]])</f>
        <v>0</v>
      </c>
      <c r="AM219" s="294">
        <f>IF(Table_NFI[[#This Row],[Winter Clothes Adult]]+Table_NFI[[#This Row],[Winter Clothes Children]]+Table_NFI[[#This Row],[Winter Items Other]]+Table_NFI[[#This Row],[Winter Blanket]]&gt;0,1,0)</f>
        <v>0</v>
      </c>
      <c r="AN219" s="331">
        <f>IF(NFI_Expiration=1,IF($A219&lt;VLOOKUP(V$5,NFI,5,0),1,0)*Table_NFI[[#This Row],[Jerry Can]],Table_NFI[Jerry Can])</f>
        <v>0</v>
      </c>
      <c r="AO219" s="331">
        <f>IF(NFI_Expiration=1,IF($A219&lt;VLOOKUP(V$5,NFI,5,0),1,0)*Table_NFI[[#This Row],[Shelter Tool kit]],Table_NFI[Shelter Tool kit])</f>
        <v>0</v>
      </c>
      <c r="AP219" s="331">
        <f>IF(NFI_Expiration=1,IF($A219&lt;VLOOKUP(V$5,NFI,5,0),1,0)*Table_NFI[[#This Row],[Tent]],Table_NFI[Tent])</f>
        <v>0</v>
      </c>
      <c r="AQ219" s="473" t="str">
        <f>IFERROR(VLOOKUP(Table_NFI[[#This Row],[Camp Name]],CL,2,0),"")</f>
        <v>MMR001CMP193</v>
      </c>
      <c r="AR219" s="468">
        <f ca="1">IF(Table_NFI[[#This Row],[Pcode]]="","",IF(OFFSET(CampList[Opening Date],MATCH(Table_NFI[[#This Row],[Pcode]],CampList[CP_Pcode],0)-1,0,1,1)&gt;=NFI_Monitor_Date,1,0))</f>
        <v>0</v>
      </c>
      <c r="AS219" s="473" t="str">
        <f>IFERROR(VLOOKUP(Table_NFI[[#This Row],[Camp Name]],CL,3,0),"")</f>
        <v>Open</v>
      </c>
      <c r="AT219" s="294" t="str">
        <f ca="1">IF(Table_NFI[[#This Row],[Pcode]]="","",OFFSET(CampList[Priority],MATCH(Table_NFI[[#This Row],[Pcode]],CampList[CP_Pcode],0)-1,0,1,1))</f>
        <v>P4</v>
      </c>
      <c r="AU219" s="293">
        <f>IFERROR(Table_NFI[[#This Row],[Kitchen Set]]/VLOOKUP(Table_NFI[[#This Row],[Camp Name]],CL,4,0),"")</f>
        <v>0</v>
      </c>
      <c r="AV219" s="466"/>
      <c r="AW219" s="469"/>
    </row>
    <row r="220" spans="1:49" s="470" customFormat="1" ht="14.45" customHeight="1" x14ac:dyDescent="0.2">
      <c r="A220" s="297">
        <f t="shared" si="3"/>
        <v>23.066666666666666</v>
      </c>
      <c r="B220" s="465">
        <v>41983</v>
      </c>
      <c r="C220" s="466" t="s">
        <v>905</v>
      </c>
      <c r="D220" s="466" t="s">
        <v>905</v>
      </c>
      <c r="E220" s="466" t="s">
        <v>380</v>
      </c>
      <c r="F220" s="466" t="s">
        <v>5</v>
      </c>
      <c r="G220" s="466" t="s">
        <v>24</v>
      </c>
      <c r="H220" s="291"/>
      <c r="I220" s="291"/>
      <c r="J220" s="584">
        <v>55</v>
      </c>
      <c r="K220" s="291"/>
      <c r="L220" s="292"/>
      <c r="M220" s="292"/>
      <c r="N220" s="292"/>
      <c r="O220" s="292"/>
      <c r="P220" s="294"/>
      <c r="Q220" s="294"/>
      <c r="R220" s="294"/>
      <c r="S220" s="294"/>
      <c r="T220" s="294"/>
      <c r="U220" s="294"/>
      <c r="V220" s="431"/>
      <c r="W220" s="294"/>
      <c r="X220" s="294"/>
      <c r="Y220" s="294">
        <f>IF(NFI_Expiration=1,IF($A220&lt;VLOOKUP(H$5,NFI,5,0),1,0)*Table_NFI[[#This Row],[Hygiene Kit]],Table_NFI[Hygiene Kit])</f>
        <v>0</v>
      </c>
      <c r="Z220" s="294">
        <f>IF(NFI_Expiration=1,IF($A220&lt;VLOOKUP(I$5,NFI,5,0),1,0)*Table_NFI[[#This Row],[NFI Core Kit]],Table_NFI[NFI Core Kit])</f>
        <v>0</v>
      </c>
      <c r="AA220" s="294">
        <f>IF(NFI_Expiration=1,IF($A220&lt;VLOOKUP(J$5,NFI,5,0),1,0)*Table_NFI[[#This Row],[Sanitary Kit]],Table_NFI[Sanitary Kit])</f>
        <v>0</v>
      </c>
      <c r="AB220" s="294">
        <f>IF(NFI_Expiration=1,IF($A220&lt;VLOOKUP(K$5,NFI,5,0),1,0)*Table_NFI[[#This Row],[Mosquito net]],Table_NFI[Mosquito net])</f>
        <v>0</v>
      </c>
      <c r="AC220" s="294">
        <f>IF(NFI_Expiration=1,IF($A220&lt;VLOOKUP(L$5,NFI,5,0),1,0)*Table_NFI[[#This Row],[Tarpaulin]],Table_NFI[[#This Row],[Tarpaulin]])</f>
        <v>0</v>
      </c>
      <c r="AD220" s="294">
        <f>IF(NFI_Expiration=1,IF($A220&lt;VLOOKUP(M$5,NFI,5,0),1,0)*Table_NFI[[#This Row],[Blanket]],Table_NFI[[#This Row],[Blanket]])</f>
        <v>0</v>
      </c>
      <c r="AE220" s="294">
        <f>IF(NFI_Expiration=1,IF($A220&lt;VLOOKUP(N$5,NFI,5,0),1,0)*Table_NFI[[#This Row],[Kitchen Set]],Table_NFI[Kitchen Set])</f>
        <v>0</v>
      </c>
      <c r="AF220" s="294">
        <f>IF(NFI_Expiration=1,IF($A220&lt;VLOOKUP(O$5,NFI,5,0),1,0)*Table_NFI[[#This Row],[Clothes Kit]],Table_NFI[Clothes Kit])</f>
        <v>0</v>
      </c>
      <c r="AG220" s="294">
        <f>IF(NFI_Expiration=1,IF($A220&lt;VLOOKUP(P$5,NFI,5,0),1,0)*Table_NFI[[#This Row],[Plastic Bucket]],Table_NFI[Plastic Bucket])</f>
        <v>0</v>
      </c>
      <c r="AH220" s="294">
        <f>IF(NFI_Expiration=1,IF($A220&lt;VLOOKUP(Q$5,NFI,5,0),1,0)*Table_NFI[[#This Row],[Plastic Mat]],Table_NFI[Plastic Mat])*IF(Table_NFI[[#This Row],[Distribution Date]]&gt;"2014-04-01",1,2.5)</f>
        <v>0</v>
      </c>
      <c r="AI220" s="294">
        <f>IF(NFI_Expiration=1,IF($A220&lt;VLOOKUP(R$5,NFI,5,0),1,0)*Table_NFI[[#This Row],[Winter Clothes Adult]],Table_NFI[Winter Clothes Adult])</f>
        <v>0</v>
      </c>
      <c r="AJ220" s="294">
        <f>IF(NFI_Expiration=1,IF($A220&lt;VLOOKUP(S$5,NFI,5,0),1,0)*Table_NFI[[#This Row],[Winter Clothes Children]],Table_NFI[Winter Clothes Children])</f>
        <v>0</v>
      </c>
      <c r="AK220" s="294">
        <f>IF(NFI_Expiration=1,IF($A220&lt;VLOOKUP(T$5,NFI,5,0),1,0)*Table_NFI[[#This Row],[Winter Items Other]],Table_NFI[Winter Items Other])</f>
        <v>0</v>
      </c>
      <c r="AL220" s="294">
        <f>IF(NFI_Expiration=1,IF($A220&lt;VLOOKUP(M$5,NFI,5,0),1,0)*Table_NFI[[#This Row],[Winter Blanket]],Table_NFI[[#This Row],[Winter Blanket]])</f>
        <v>0</v>
      </c>
      <c r="AM220" s="294">
        <f>IF(Table_NFI[[#This Row],[Winter Clothes Adult]]+Table_NFI[[#This Row],[Winter Clothes Children]]+Table_NFI[[#This Row],[Winter Items Other]]+Table_NFI[[#This Row],[Winter Blanket]]&gt;0,1,0)</f>
        <v>0</v>
      </c>
      <c r="AN220" s="331">
        <f>IF(NFI_Expiration=1,IF($A220&lt;VLOOKUP(V$5,NFI,5,0),1,0)*Table_NFI[[#This Row],[Jerry Can]],Table_NFI[Jerry Can])</f>
        <v>0</v>
      </c>
      <c r="AO220" s="331">
        <f>IF(NFI_Expiration=1,IF($A220&lt;VLOOKUP(V$5,NFI,5,0),1,0)*Table_NFI[[#This Row],[Shelter Tool kit]],Table_NFI[Shelter Tool kit])</f>
        <v>0</v>
      </c>
      <c r="AP220" s="331">
        <f>IF(NFI_Expiration=1,IF($A220&lt;VLOOKUP(V$5,NFI,5,0),1,0)*Table_NFI[[#This Row],[Tent]],Table_NFI[Tent])</f>
        <v>0</v>
      </c>
      <c r="AQ220" s="473" t="str">
        <f>IFERROR(VLOOKUP(Table_NFI[[#This Row],[Camp Name]],CL,2,0),"")</f>
        <v>MMR001CMP055</v>
      </c>
      <c r="AR220" s="468">
        <f ca="1">IF(Table_NFI[[#This Row],[Pcode]]="","",IF(OFFSET(CampList[Opening Date],MATCH(Table_NFI[[#This Row],[Pcode]],CampList[CP_Pcode],0)-1,0,1,1)&gt;=NFI_Monitor_Date,1,0))</f>
        <v>0</v>
      </c>
      <c r="AS220" s="473" t="str">
        <f>IFERROR(VLOOKUP(Table_NFI[[#This Row],[Camp Name]],CL,3,0),"")</f>
        <v>Open</v>
      </c>
      <c r="AT220" s="294" t="str">
        <f ca="1">IF(Table_NFI[[#This Row],[Pcode]]="","",OFFSET(CampList[Priority],MATCH(Table_NFI[[#This Row],[Pcode]],CampList[CP_Pcode],0)-1,0,1,1))</f>
        <v>P4</v>
      </c>
      <c r="AU220" s="293">
        <f>IFERROR(Table_NFI[[#This Row],[Kitchen Set]]/VLOOKUP(Table_NFI[[#This Row],[Camp Name]],CL,4,0),"")</f>
        <v>0</v>
      </c>
      <c r="AV220" s="466"/>
      <c r="AW220" s="469"/>
    </row>
    <row r="221" spans="1:49" s="470" customFormat="1" ht="14.45" customHeight="1" x14ac:dyDescent="0.25">
      <c r="A221" s="297">
        <f t="shared" si="3"/>
        <v>23.1</v>
      </c>
      <c r="B221" s="465">
        <v>41982</v>
      </c>
      <c r="C221" s="466" t="s">
        <v>905</v>
      </c>
      <c r="D221" s="466" t="s">
        <v>905</v>
      </c>
      <c r="E221" s="466" t="s">
        <v>380</v>
      </c>
      <c r="F221" s="290" t="s">
        <v>5</v>
      </c>
      <c r="G221" s="290" t="s">
        <v>6</v>
      </c>
      <c r="H221" s="291"/>
      <c r="I221" s="291"/>
      <c r="J221" s="294">
        <v>354</v>
      </c>
      <c r="K221" s="291"/>
      <c r="L221" s="292"/>
      <c r="M221" s="292"/>
      <c r="N221" s="292"/>
      <c r="O221" s="292"/>
      <c r="P221" s="294"/>
      <c r="Q221" s="294"/>
      <c r="R221" s="294"/>
      <c r="S221" s="294"/>
      <c r="T221" s="294"/>
      <c r="U221" s="294"/>
      <c r="V221" s="431"/>
      <c r="W221" s="294"/>
      <c r="X221" s="294"/>
      <c r="Y221" s="294">
        <f>IF(NFI_Expiration=1,IF($A221&lt;VLOOKUP(H$5,NFI,5,0),1,0)*Table_NFI[[#This Row],[Hygiene Kit]],Table_NFI[Hygiene Kit])</f>
        <v>0</v>
      </c>
      <c r="Z221" s="294">
        <f>IF(NFI_Expiration=1,IF($A221&lt;VLOOKUP(I$5,NFI,5,0),1,0)*Table_NFI[[#This Row],[NFI Core Kit]],Table_NFI[NFI Core Kit])</f>
        <v>0</v>
      </c>
      <c r="AA221" s="294">
        <f>IF(NFI_Expiration=1,IF($A221&lt;VLOOKUP(J$5,NFI,5,0),1,0)*Table_NFI[[#This Row],[Sanitary Kit]],Table_NFI[Sanitary Kit])</f>
        <v>0</v>
      </c>
      <c r="AB221" s="294">
        <f>IF(NFI_Expiration=1,IF($A221&lt;VLOOKUP(K$5,NFI,5,0),1,0)*Table_NFI[[#This Row],[Mosquito net]],Table_NFI[Mosquito net])</f>
        <v>0</v>
      </c>
      <c r="AC221" s="294">
        <f>IF(NFI_Expiration=1,IF($A221&lt;VLOOKUP(L$5,NFI,5,0),1,0)*Table_NFI[[#This Row],[Tarpaulin]],Table_NFI[[#This Row],[Tarpaulin]])</f>
        <v>0</v>
      </c>
      <c r="AD221" s="294">
        <f>IF(NFI_Expiration=1,IF($A221&lt;VLOOKUP(M$5,NFI,5,0),1,0)*Table_NFI[[#This Row],[Blanket]],Table_NFI[[#This Row],[Blanket]])</f>
        <v>0</v>
      </c>
      <c r="AE221" s="294">
        <f>IF(NFI_Expiration=1,IF($A221&lt;VLOOKUP(N$5,NFI,5,0),1,0)*Table_NFI[[#This Row],[Kitchen Set]],Table_NFI[Kitchen Set])</f>
        <v>0</v>
      </c>
      <c r="AF221" s="294">
        <f>IF(NFI_Expiration=1,IF($A221&lt;VLOOKUP(O$5,NFI,5,0),1,0)*Table_NFI[[#This Row],[Clothes Kit]],Table_NFI[Clothes Kit])</f>
        <v>0</v>
      </c>
      <c r="AG221" s="294">
        <f>IF(NFI_Expiration=1,IF($A221&lt;VLOOKUP(P$5,NFI,5,0),1,0)*Table_NFI[[#This Row],[Plastic Bucket]],Table_NFI[Plastic Bucket])</f>
        <v>0</v>
      </c>
      <c r="AH221" s="294">
        <f>IF(NFI_Expiration=1,IF($A221&lt;VLOOKUP(Q$5,NFI,5,0),1,0)*Table_NFI[[#This Row],[Plastic Mat]],Table_NFI[Plastic Mat])*IF(Table_NFI[[#This Row],[Distribution Date]]&gt;"2014-04-01",1,2.5)</f>
        <v>0</v>
      </c>
      <c r="AI221" s="294">
        <f>IF(NFI_Expiration=1,IF($A221&lt;VLOOKUP(R$5,NFI,5,0),1,0)*Table_NFI[[#This Row],[Winter Clothes Adult]],Table_NFI[Winter Clothes Adult])</f>
        <v>0</v>
      </c>
      <c r="AJ221" s="294">
        <f>IF(NFI_Expiration=1,IF($A221&lt;VLOOKUP(S$5,NFI,5,0),1,0)*Table_NFI[[#This Row],[Winter Clothes Children]],Table_NFI[Winter Clothes Children])</f>
        <v>0</v>
      </c>
      <c r="AK221" s="294">
        <f>IF(NFI_Expiration=1,IF($A221&lt;VLOOKUP(T$5,NFI,5,0),1,0)*Table_NFI[[#This Row],[Winter Items Other]],Table_NFI[Winter Items Other])</f>
        <v>0</v>
      </c>
      <c r="AL221" s="294">
        <f>IF(NFI_Expiration=1,IF($A221&lt;VLOOKUP(M$5,NFI,5,0),1,0)*Table_NFI[[#This Row],[Winter Blanket]],Table_NFI[[#This Row],[Winter Blanket]])</f>
        <v>0</v>
      </c>
      <c r="AM221" s="294">
        <f>IF(Table_NFI[[#This Row],[Winter Clothes Adult]]+Table_NFI[[#This Row],[Winter Clothes Children]]+Table_NFI[[#This Row],[Winter Items Other]]+Table_NFI[[#This Row],[Winter Blanket]]&gt;0,1,0)</f>
        <v>0</v>
      </c>
      <c r="AN221" s="331">
        <f>IF(NFI_Expiration=1,IF($A221&lt;VLOOKUP(V$5,NFI,5,0),1,0)*Table_NFI[[#This Row],[Jerry Can]],Table_NFI[Jerry Can])</f>
        <v>0</v>
      </c>
      <c r="AO221" s="331">
        <f>IF(NFI_Expiration=1,IF($A221&lt;VLOOKUP(V$5,NFI,5,0),1,0)*Table_NFI[[#This Row],[Shelter Tool kit]],Table_NFI[Shelter Tool kit])</f>
        <v>0</v>
      </c>
      <c r="AP221" s="331">
        <f>IF(NFI_Expiration=1,IF($A221&lt;VLOOKUP(V$5,NFI,5,0),1,0)*Table_NFI[[#This Row],[Tent]],Table_NFI[Tent])</f>
        <v>0</v>
      </c>
      <c r="AQ221" s="473" t="str">
        <f>IFERROR(VLOOKUP(Table_NFI[[#This Row],[Camp Name]],CL,2,0),"")</f>
        <v>MMR001CMP050</v>
      </c>
      <c r="AR221" s="468">
        <f ca="1">IF(Table_NFI[[#This Row],[Pcode]]="","",IF(OFFSET(CampList[Opening Date],MATCH(Table_NFI[[#This Row],[Pcode]],CampList[CP_Pcode],0)-1,0,1,1)&gt;=NFI_Monitor_Date,1,0))</f>
        <v>0</v>
      </c>
      <c r="AS221" s="473" t="str">
        <f>IFERROR(VLOOKUP(Table_NFI[[#This Row],[Camp Name]],CL,3,0),"")</f>
        <v>Open</v>
      </c>
      <c r="AT221" s="294" t="str">
        <f ca="1">IF(Table_NFI[[#This Row],[Pcode]]="","",OFFSET(CampList[Priority],MATCH(Table_NFI[[#This Row],[Pcode]],CampList[CP_Pcode],0)-1,0,1,1))</f>
        <v>P4</v>
      </c>
      <c r="AU221" s="293">
        <f>IFERROR(Table_NFI[[#This Row],[Kitchen Set]]/VLOOKUP(Table_NFI[[#This Row],[Camp Name]],CL,4,0),"")</f>
        <v>0</v>
      </c>
      <c r="AV221" s="466"/>
      <c r="AW221" s="469"/>
    </row>
    <row r="222" spans="1:49" s="470" customFormat="1" ht="14.45" customHeight="1" x14ac:dyDescent="0.2">
      <c r="A222" s="297">
        <f t="shared" si="3"/>
        <v>23.1</v>
      </c>
      <c r="B222" s="465">
        <v>41982</v>
      </c>
      <c r="C222" s="466" t="s">
        <v>905</v>
      </c>
      <c r="D222" s="467" t="s">
        <v>905</v>
      </c>
      <c r="E222" s="466" t="s">
        <v>380</v>
      </c>
      <c r="F222" s="290" t="s">
        <v>5</v>
      </c>
      <c r="G222" s="290" t="s">
        <v>22</v>
      </c>
      <c r="H222" s="291"/>
      <c r="I222" s="291"/>
      <c r="J222" s="584">
        <v>1135</v>
      </c>
      <c r="K222" s="291"/>
      <c r="L222" s="292"/>
      <c r="M222" s="292"/>
      <c r="N222" s="292"/>
      <c r="O222" s="292"/>
      <c r="P222" s="294"/>
      <c r="Q222" s="294"/>
      <c r="R222" s="294"/>
      <c r="S222" s="294"/>
      <c r="T222" s="294"/>
      <c r="U222" s="294"/>
      <c r="V222" s="431"/>
      <c r="W222" s="294"/>
      <c r="X222" s="294"/>
      <c r="Y222" s="294">
        <f>IF(NFI_Expiration=1,IF($A222&lt;VLOOKUP(H$5,NFI,5,0),1,0)*Table_NFI[[#This Row],[Hygiene Kit]],Table_NFI[Hygiene Kit])</f>
        <v>0</v>
      </c>
      <c r="Z222" s="294">
        <f>IF(NFI_Expiration=1,IF($A222&lt;VLOOKUP(I$5,NFI,5,0),1,0)*Table_NFI[[#This Row],[NFI Core Kit]],Table_NFI[NFI Core Kit])</f>
        <v>0</v>
      </c>
      <c r="AA222" s="294">
        <f>IF(NFI_Expiration=1,IF($A222&lt;VLOOKUP(J$5,NFI,5,0),1,0)*Table_NFI[[#This Row],[Sanitary Kit]],Table_NFI[Sanitary Kit])</f>
        <v>0</v>
      </c>
      <c r="AB222" s="294">
        <f>IF(NFI_Expiration=1,IF($A222&lt;VLOOKUP(K$5,NFI,5,0),1,0)*Table_NFI[[#This Row],[Mosquito net]],Table_NFI[Mosquito net])</f>
        <v>0</v>
      </c>
      <c r="AC222" s="294">
        <f>IF(NFI_Expiration=1,IF($A222&lt;VLOOKUP(L$5,NFI,5,0),1,0)*Table_NFI[[#This Row],[Tarpaulin]],Table_NFI[[#This Row],[Tarpaulin]])</f>
        <v>0</v>
      </c>
      <c r="AD222" s="294">
        <f>IF(NFI_Expiration=1,IF($A222&lt;VLOOKUP(M$5,NFI,5,0),1,0)*Table_NFI[[#This Row],[Blanket]],Table_NFI[[#This Row],[Blanket]])</f>
        <v>0</v>
      </c>
      <c r="AE222" s="294">
        <f>IF(NFI_Expiration=1,IF($A222&lt;VLOOKUP(N$5,NFI,5,0),1,0)*Table_NFI[[#This Row],[Kitchen Set]],Table_NFI[Kitchen Set])</f>
        <v>0</v>
      </c>
      <c r="AF222" s="294">
        <f>IF(NFI_Expiration=1,IF($A222&lt;VLOOKUP(O$5,NFI,5,0),1,0)*Table_NFI[[#This Row],[Clothes Kit]],Table_NFI[Clothes Kit])</f>
        <v>0</v>
      </c>
      <c r="AG222" s="294">
        <f>IF(NFI_Expiration=1,IF($A222&lt;VLOOKUP(P$5,NFI,5,0),1,0)*Table_NFI[[#This Row],[Plastic Bucket]],Table_NFI[Plastic Bucket])</f>
        <v>0</v>
      </c>
      <c r="AH222" s="294">
        <f>IF(NFI_Expiration=1,IF($A222&lt;VLOOKUP(Q$5,NFI,5,0),1,0)*Table_NFI[[#This Row],[Plastic Mat]],Table_NFI[Plastic Mat])*IF(Table_NFI[[#This Row],[Distribution Date]]&gt;"2014-04-01",1,2.5)</f>
        <v>0</v>
      </c>
      <c r="AI222" s="294">
        <f>IF(NFI_Expiration=1,IF($A222&lt;VLOOKUP(R$5,NFI,5,0),1,0)*Table_NFI[[#This Row],[Winter Clothes Adult]],Table_NFI[Winter Clothes Adult])</f>
        <v>0</v>
      </c>
      <c r="AJ222" s="294">
        <f>IF(NFI_Expiration=1,IF($A222&lt;VLOOKUP(S$5,NFI,5,0),1,0)*Table_NFI[[#This Row],[Winter Clothes Children]],Table_NFI[Winter Clothes Children])</f>
        <v>0</v>
      </c>
      <c r="AK222" s="294">
        <f>IF(NFI_Expiration=1,IF($A222&lt;VLOOKUP(T$5,NFI,5,0),1,0)*Table_NFI[[#This Row],[Winter Items Other]],Table_NFI[Winter Items Other])</f>
        <v>0</v>
      </c>
      <c r="AL222" s="294">
        <f>IF(NFI_Expiration=1,IF($A222&lt;VLOOKUP(M$5,NFI,5,0),1,0)*Table_NFI[[#This Row],[Winter Blanket]],Table_NFI[[#This Row],[Winter Blanket]])</f>
        <v>0</v>
      </c>
      <c r="AM222" s="294">
        <f>IF(Table_NFI[[#This Row],[Winter Clothes Adult]]+Table_NFI[[#This Row],[Winter Clothes Children]]+Table_NFI[[#This Row],[Winter Items Other]]+Table_NFI[[#This Row],[Winter Blanket]]&gt;0,1,0)</f>
        <v>0</v>
      </c>
      <c r="AN222" s="331">
        <f>IF(NFI_Expiration=1,IF($A222&lt;VLOOKUP(V$5,NFI,5,0),1,0)*Table_NFI[[#This Row],[Jerry Can]],Table_NFI[Jerry Can])</f>
        <v>0</v>
      </c>
      <c r="AO222" s="331">
        <f>IF(NFI_Expiration=1,IF($A222&lt;VLOOKUP(V$5,NFI,5,0),1,0)*Table_NFI[[#This Row],[Shelter Tool kit]],Table_NFI[Shelter Tool kit])</f>
        <v>0</v>
      </c>
      <c r="AP222" s="331">
        <f>IF(NFI_Expiration=1,IF($A222&lt;VLOOKUP(V$5,NFI,5,0),1,0)*Table_NFI[[#This Row],[Tent]],Table_NFI[Tent])</f>
        <v>0</v>
      </c>
      <c r="AQ222" s="473" t="str">
        <f>IFERROR(VLOOKUP(Table_NFI[[#This Row],[Camp Name]],CL,2,0),"")</f>
        <v>MMR001CMP047</v>
      </c>
      <c r="AR222" s="468">
        <f ca="1">IF(Table_NFI[[#This Row],[Pcode]]="","",IF(OFFSET(CampList[Opening Date],MATCH(Table_NFI[[#This Row],[Pcode]],CampList[CP_Pcode],0)-1,0,1,1)&gt;=NFI_Monitor_Date,1,0))</f>
        <v>0</v>
      </c>
      <c r="AS222" s="473" t="str">
        <f>IFERROR(VLOOKUP(Table_NFI[[#This Row],[Camp Name]],CL,3,0),"")</f>
        <v>Open</v>
      </c>
      <c r="AT222" s="294" t="str">
        <f ca="1">IF(Table_NFI[[#This Row],[Pcode]]="","",OFFSET(CampList[Priority],MATCH(Table_NFI[[#This Row],[Pcode]],CampList[CP_Pcode],0)-1,0,1,1))</f>
        <v>P4</v>
      </c>
      <c r="AU222" s="293">
        <f>IFERROR(Table_NFI[[#This Row],[Kitchen Set]]/VLOOKUP(Table_NFI[[#This Row],[Camp Name]],CL,4,0),"")</f>
        <v>0</v>
      </c>
      <c r="AV222" s="466"/>
      <c r="AW222" s="469"/>
    </row>
    <row r="223" spans="1:49" s="470" customFormat="1" ht="14.45" customHeight="1" x14ac:dyDescent="0.25">
      <c r="A223" s="297">
        <f t="shared" si="3"/>
        <v>23.233333333333334</v>
      </c>
      <c r="B223" s="465">
        <v>41978</v>
      </c>
      <c r="C223" s="466" t="s">
        <v>452</v>
      </c>
      <c r="D223" s="466" t="s">
        <v>506</v>
      </c>
      <c r="E223" s="466" t="s">
        <v>380</v>
      </c>
      <c r="F223" s="466" t="s">
        <v>310</v>
      </c>
      <c r="G223" s="466" t="s">
        <v>334</v>
      </c>
      <c r="H223" s="291"/>
      <c r="I223" s="291"/>
      <c r="J223" s="291"/>
      <c r="K223" s="291">
        <v>164</v>
      </c>
      <c r="L223" s="292"/>
      <c r="M223" s="292"/>
      <c r="N223" s="292"/>
      <c r="O223" s="292"/>
      <c r="P223" s="294"/>
      <c r="Q223" s="294"/>
      <c r="R223" s="294">
        <v>302</v>
      </c>
      <c r="S223" s="294">
        <v>440</v>
      </c>
      <c r="T223" s="294"/>
      <c r="U223" s="294">
        <v>297</v>
      </c>
      <c r="V223" s="431"/>
      <c r="W223" s="294"/>
      <c r="X223" s="294"/>
      <c r="Y223" s="294">
        <f>IF(NFI_Expiration=1,IF($A223&lt;VLOOKUP(H$5,NFI,5,0),1,0)*Table_NFI[[#This Row],[Hygiene Kit]],Table_NFI[Hygiene Kit])</f>
        <v>0</v>
      </c>
      <c r="Z223" s="294">
        <f>IF(NFI_Expiration=1,IF($A223&lt;VLOOKUP(I$5,NFI,5,0),1,0)*Table_NFI[[#This Row],[NFI Core Kit]],Table_NFI[NFI Core Kit])</f>
        <v>0</v>
      </c>
      <c r="AA223" s="294">
        <f>IF(NFI_Expiration=1,IF($A223&lt;VLOOKUP(J$5,NFI,5,0),1,0)*Table_NFI[[#This Row],[Sanitary Kit]],Table_NFI[Sanitary Kit])</f>
        <v>0</v>
      </c>
      <c r="AB223" s="294">
        <f>IF(NFI_Expiration=1,IF($A223&lt;VLOOKUP(K$5,NFI,5,0),1,0)*Table_NFI[[#This Row],[Mosquito net]],Table_NFI[Mosquito net])</f>
        <v>0</v>
      </c>
      <c r="AC223" s="294">
        <f>IF(NFI_Expiration=1,IF($A223&lt;VLOOKUP(L$5,NFI,5,0),1,0)*Table_NFI[[#This Row],[Tarpaulin]],Table_NFI[[#This Row],[Tarpaulin]])</f>
        <v>0</v>
      </c>
      <c r="AD223" s="294">
        <f>IF(NFI_Expiration=1,IF($A223&lt;VLOOKUP(M$5,NFI,5,0),1,0)*Table_NFI[[#This Row],[Blanket]],Table_NFI[[#This Row],[Blanket]])</f>
        <v>0</v>
      </c>
      <c r="AE223" s="294">
        <f>IF(NFI_Expiration=1,IF($A223&lt;VLOOKUP(N$5,NFI,5,0),1,0)*Table_NFI[[#This Row],[Kitchen Set]],Table_NFI[Kitchen Set])</f>
        <v>0</v>
      </c>
      <c r="AF223" s="294">
        <f>IF(NFI_Expiration=1,IF($A223&lt;VLOOKUP(O$5,NFI,5,0),1,0)*Table_NFI[[#This Row],[Clothes Kit]],Table_NFI[Clothes Kit])</f>
        <v>0</v>
      </c>
      <c r="AG223" s="294">
        <f>IF(NFI_Expiration=1,IF($A223&lt;VLOOKUP(P$5,NFI,5,0),1,0)*Table_NFI[[#This Row],[Plastic Bucket]],Table_NFI[Plastic Bucket])</f>
        <v>0</v>
      </c>
      <c r="AH223" s="294">
        <f>IF(NFI_Expiration=1,IF($A223&lt;VLOOKUP(Q$5,NFI,5,0),1,0)*Table_NFI[[#This Row],[Plastic Mat]],Table_NFI[Plastic Mat])*IF(Table_NFI[[#This Row],[Distribution Date]]&gt;"2014-04-01",1,2.5)</f>
        <v>0</v>
      </c>
      <c r="AI223" s="294">
        <f>IF(NFI_Expiration=1,IF($A223&lt;VLOOKUP(R$5,NFI,5,0),1,0)*Table_NFI[[#This Row],[Winter Clothes Adult]],Table_NFI[Winter Clothes Adult])</f>
        <v>0</v>
      </c>
      <c r="AJ223" s="294">
        <f>IF(NFI_Expiration=1,IF($A223&lt;VLOOKUP(S$5,NFI,5,0),1,0)*Table_NFI[[#This Row],[Winter Clothes Children]],Table_NFI[Winter Clothes Children])</f>
        <v>0</v>
      </c>
      <c r="AK223" s="294">
        <f>IF(NFI_Expiration=1,IF($A223&lt;VLOOKUP(T$5,NFI,5,0),1,0)*Table_NFI[[#This Row],[Winter Items Other]],Table_NFI[Winter Items Other])</f>
        <v>0</v>
      </c>
      <c r="AL223" s="294">
        <f>IF(NFI_Expiration=1,IF($A223&lt;VLOOKUP(M$5,NFI,5,0),1,0)*Table_NFI[[#This Row],[Winter Blanket]],Table_NFI[[#This Row],[Winter Blanket]])</f>
        <v>0</v>
      </c>
      <c r="AM223" s="294">
        <f>IF(Table_NFI[[#This Row],[Winter Clothes Adult]]+Table_NFI[[#This Row],[Winter Clothes Children]]+Table_NFI[[#This Row],[Winter Items Other]]+Table_NFI[[#This Row],[Winter Blanket]]&gt;0,1,0)</f>
        <v>1</v>
      </c>
      <c r="AN223" s="331">
        <f>IF(NFI_Expiration=1,IF($A223&lt;VLOOKUP(V$5,NFI,5,0),1,0)*Table_NFI[[#This Row],[Jerry Can]],Table_NFI[Jerry Can])</f>
        <v>0</v>
      </c>
      <c r="AO223" s="331">
        <f>IF(NFI_Expiration=1,IF($A223&lt;VLOOKUP(V$5,NFI,5,0),1,0)*Table_NFI[[#This Row],[Shelter Tool kit]],Table_NFI[Shelter Tool kit])</f>
        <v>0</v>
      </c>
      <c r="AP223" s="331">
        <f>IF(NFI_Expiration=1,IF($A223&lt;VLOOKUP(V$5,NFI,5,0),1,0)*Table_NFI[[#This Row],[Tent]],Table_NFI[Tent])</f>
        <v>0</v>
      </c>
      <c r="AQ223" s="473" t="str">
        <f>IFERROR(VLOOKUP(Table_NFI[[#This Row],[Camp Name]],CL,2,0),"")</f>
        <v>MMR001CMP113</v>
      </c>
      <c r="AR223" s="468">
        <f ca="1">IF(Table_NFI[[#This Row],[Pcode]]="","",IF(OFFSET(CampList[Opening Date],MATCH(Table_NFI[[#This Row],[Pcode]],CampList[CP_Pcode],0)-1,0,1,1)&gt;=NFI_Monitor_Date,1,0))</f>
        <v>0</v>
      </c>
      <c r="AS223" s="473" t="str">
        <f>IFERROR(VLOOKUP(Table_NFI[[#This Row],[Camp Name]],CL,3,0),"")</f>
        <v>Open</v>
      </c>
      <c r="AT223" s="294" t="str">
        <f ca="1">IF(Table_NFI[[#This Row],[Pcode]]="","",OFFSET(CampList[Priority],MATCH(Table_NFI[[#This Row],[Pcode]],CampList[CP_Pcode],0)-1,0,1,1))</f>
        <v>P1</v>
      </c>
      <c r="AU223" s="293">
        <f>IFERROR(Table_NFI[[#This Row],[Kitchen Set]]/VLOOKUP(Table_NFI[[#This Row],[Camp Name]],CL,4,0),"")</f>
        <v>0</v>
      </c>
      <c r="AV223" s="466"/>
      <c r="AW223" s="469"/>
    </row>
    <row r="224" spans="1:49" s="470" customFormat="1" ht="14.45" customHeight="1" x14ac:dyDescent="0.25">
      <c r="A224" s="297">
        <f t="shared" si="3"/>
        <v>23.233333333333334</v>
      </c>
      <c r="B224" s="465">
        <v>41978</v>
      </c>
      <c r="C224" s="466" t="s">
        <v>452</v>
      </c>
      <c r="D224" s="466" t="s">
        <v>506</v>
      </c>
      <c r="E224" s="466" t="s">
        <v>380</v>
      </c>
      <c r="F224" s="466" t="s">
        <v>310</v>
      </c>
      <c r="G224" s="466" t="s">
        <v>355</v>
      </c>
      <c r="H224" s="291"/>
      <c r="I224" s="291"/>
      <c r="J224" s="291"/>
      <c r="K224" s="291">
        <v>124</v>
      </c>
      <c r="L224" s="292"/>
      <c r="M224" s="292"/>
      <c r="N224" s="292"/>
      <c r="O224" s="292"/>
      <c r="P224" s="294"/>
      <c r="Q224" s="294"/>
      <c r="R224" s="294">
        <v>262</v>
      </c>
      <c r="S224" s="294">
        <v>400</v>
      </c>
      <c r="T224" s="294"/>
      <c r="U224" s="294">
        <v>257</v>
      </c>
      <c r="V224" s="431"/>
      <c r="W224" s="294"/>
      <c r="X224" s="294"/>
      <c r="Y224" s="294">
        <f>IF(NFI_Expiration=1,IF($A224&lt;VLOOKUP(H$5,NFI,5,0),1,0)*Table_NFI[[#This Row],[Hygiene Kit]],Table_NFI[Hygiene Kit])</f>
        <v>0</v>
      </c>
      <c r="Z224" s="294">
        <f>IF(NFI_Expiration=1,IF($A224&lt;VLOOKUP(I$5,NFI,5,0),1,0)*Table_NFI[[#This Row],[NFI Core Kit]],Table_NFI[NFI Core Kit])</f>
        <v>0</v>
      </c>
      <c r="AA224" s="294">
        <f>IF(NFI_Expiration=1,IF($A224&lt;VLOOKUP(J$5,NFI,5,0),1,0)*Table_NFI[[#This Row],[Sanitary Kit]],Table_NFI[Sanitary Kit])</f>
        <v>0</v>
      </c>
      <c r="AB224" s="294">
        <f>IF(NFI_Expiration=1,IF($A224&lt;VLOOKUP(K$5,NFI,5,0),1,0)*Table_NFI[[#This Row],[Mosquito net]],Table_NFI[Mosquito net])</f>
        <v>0</v>
      </c>
      <c r="AC224" s="294">
        <f>IF(NFI_Expiration=1,IF($A224&lt;VLOOKUP(L$5,NFI,5,0),1,0)*Table_NFI[[#This Row],[Tarpaulin]],Table_NFI[[#This Row],[Tarpaulin]])</f>
        <v>0</v>
      </c>
      <c r="AD224" s="294">
        <f>IF(NFI_Expiration=1,IF($A224&lt;VLOOKUP(M$5,NFI,5,0),1,0)*Table_NFI[[#This Row],[Blanket]],Table_NFI[[#This Row],[Blanket]])</f>
        <v>0</v>
      </c>
      <c r="AE224" s="294">
        <f>IF(NFI_Expiration=1,IF($A224&lt;VLOOKUP(N$5,NFI,5,0),1,0)*Table_NFI[[#This Row],[Kitchen Set]],Table_NFI[Kitchen Set])</f>
        <v>0</v>
      </c>
      <c r="AF224" s="294">
        <f>IF(NFI_Expiration=1,IF($A224&lt;VLOOKUP(O$5,NFI,5,0),1,0)*Table_NFI[[#This Row],[Clothes Kit]],Table_NFI[Clothes Kit])</f>
        <v>0</v>
      </c>
      <c r="AG224" s="294">
        <f>IF(NFI_Expiration=1,IF($A224&lt;VLOOKUP(P$5,NFI,5,0),1,0)*Table_NFI[[#This Row],[Plastic Bucket]],Table_NFI[Plastic Bucket])</f>
        <v>0</v>
      </c>
      <c r="AH224" s="294">
        <f>IF(NFI_Expiration=1,IF($A224&lt;VLOOKUP(Q$5,NFI,5,0),1,0)*Table_NFI[[#This Row],[Plastic Mat]],Table_NFI[Plastic Mat])*IF(Table_NFI[[#This Row],[Distribution Date]]&gt;"2014-04-01",1,2.5)</f>
        <v>0</v>
      </c>
      <c r="AI224" s="294">
        <f>IF(NFI_Expiration=1,IF($A224&lt;VLOOKUP(R$5,NFI,5,0),1,0)*Table_NFI[[#This Row],[Winter Clothes Adult]],Table_NFI[Winter Clothes Adult])</f>
        <v>0</v>
      </c>
      <c r="AJ224" s="294">
        <f>IF(NFI_Expiration=1,IF($A224&lt;VLOOKUP(S$5,NFI,5,0),1,0)*Table_NFI[[#This Row],[Winter Clothes Children]],Table_NFI[Winter Clothes Children])</f>
        <v>0</v>
      </c>
      <c r="AK224" s="294">
        <f>IF(NFI_Expiration=1,IF($A224&lt;VLOOKUP(T$5,NFI,5,0),1,0)*Table_NFI[[#This Row],[Winter Items Other]],Table_NFI[Winter Items Other])</f>
        <v>0</v>
      </c>
      <c r="AL224" s="294">
        <f>IF(NFI_Expiration=1,IF($A224&lt;VLOOKUP(M$5,NFI,5,0),1,0)*Table_NFI[[#This Row],[Winter Blanket]],Table_NFI[[#This Row],[Winter Blanket]])</f>
        <v>0</v>
      </c>
      <c r="AM224" s="294">
        <f>IF(Table_NFI[[#This Row],[Winter Clothes Adult]]+Table_NFI[[#This Row],[Winter Clothes Children]]+Table_NFI[[#This Row],[Winter Items Other]]+Table_NFI[[#This Row],[Winter Blanket]]&gt;0,1,0)</f>
        <v>1</v>
      </c>
      <c r="AN224" s="331">
        <f>IF(NFI_Expiration=1,IF($A224&lt;VLOOKUP(V$5,NFI,5,0),1,0)*Table_NFI[[#This Row],[Jerry Can]],Table_NFI[Jerry Can])</f>
        <v>0</v>
      </c>
      <c r="AO224" s="331">
        <f>IF(NFI_Expiration=1,IF($A224&lt;VLOOKUP(V$5,NFI,5,0),1,0)*Table_NFI[[#This Row],[Shelter Tool kit]],Table_NFI[Shelter Tool kit])</f>
        <v>0</v>
      </c>
      <c r="AP224" s="331">
        <f>IF(NFI_Expiration=1,IF($A224&lt;VLOOKUP(V$5,NFI,5,0),1,0)*Table_NFI[[#This Row],[Tent]],Table_NFI[Tent])</f>
        <v>0</v>
      </c>
      <c r="AQ224" s="473" t="str">
        <f>IFERROR(VLOOKUP(Table_NFI[[#This Row],[Camp Name]],CL,2,0),"")</f>
        <v>MMR001CMP160</v>
      </c>
      <c r="AR224" s="468">
        <f ca="1">IF(Table_NFI[[#This Row],[Pcode]]="","",IF(OFFSET(CampList[Opening Date],MATCH(Table_NFI[[#This Row],[Pcode]],CampList[CP_Pcode],0)-1,0,1,1)&gt;=NFI_Monitor_Date,1,0))</f>
        <v>0</v>
      </c>
      <c r="AS224" s="473" t="str">
        <f>IFERROR(VLOOKUP(Table_NFI[[#This Row],[Camp Name]],CL,3,0),"")</f>
        <v>Open</v>
      </c>
      <c r="AT224" s="294" t="str">
        <f ca="1">IF(Table_NFI[[#This Row],[Pcode]]="","",OFFSET(CampList[Priority],MATCH(Table_NFI[[#This Row],[Pcode]],CampList[CP_Pcode],0)-1,0,1,1))</f>
        <v>P1</v>
      </c>
      <c r="AU224" s="293">
        <f>IFERROR(Table_NFI[[#This Row],[Kitchen Set]]/VLOOKUP(Table_NFI[[#This Row],[Camp Name]],CL,4,0),"")</f>
        <v>0</v>
      </c>
      <c r="AV224" s="466"/>
      <c r="AW224" s="469"/>
    </row>
    <row r="225" spans="1:49" s="470" customFormat="1" ht="14.45" customHeight="1" x14ac:dyDescent="0.25">
      <c r="A225" s="297">
        <f t="shared" si="3"/>
        <v>23.633333333333333</v>
      </c>
      <c r="B225" s="465">
        <v>41966</v>
      </c>
      <c r="C225" s="466" t="s">
        <v>452</v>
      </c>
      <c r="D225" s="466" t="s">
        <v>460</v>
      </c>
      <c r="E225" s="466" t="s">
        <v>380</v>
      </c>
      <c r="F225" s="466" t="s">
        <v>237</v>
      </c>
      <c r="G225" s="466" t="s">
        <v>253</v>
      </c>
      <c r="H225" s="291"/>
      <c r="I225" s="291"/>
      <c r="J225" s="291"/>
      <c r="K225" s="291">
        <v>72</v>
      </c>
      <c r="L225" s="292">
        <v>36</v>
      </c>
      <c r="M225" s="292">
        <v>72</v>
      </c>
      <c r="N225" s="292">
        <v>36</v>
      </c>
      <c r="O225" s="292"/>
      <c r="P225" s="294">
        <v>36</v>
      </c>
      <c r="Q225" s="294">
        <v>180</v>
      </c>
      <c r="R225" s="294"/>
      <c r="S225" s="294"/>
      <c r="T225" s="294"/>
      <c r="U225" s="294"/>
      <c r="V225" s="431"/>
      <c r="W225" s="294"/>
      <c r="X225" s="294"/>
      <c r="Y225" s="294">
        <f>IF(NFI_Expiration=1,IF($A225&lt;VLOOKUP(H$5,NFI,5,0),1,0)*Table_NFI[[#This Row],[Hygiene Kit]],Table_NFI[Hygiene Kit])</f>
        <v>0</v>
      </c>
      <c r="Z225" s="294">
        <f>IF(NFI_Expiration=1,IF($A225&lt;VLOOKUP(I$5,NFI,5,0),1,0)*Table_NFI[[#This Row],[NFI Core Kit]],Table_NFI[NFI Core Kit])</f>
        <v>0</v>
      </c>
      <c r="AA225" s="294">
        <f>IF(NFI_Expiration=1,IF($A225&lt;VLOOKUP(J$5,NFI,5,0),1,0)*Table_NFI[[#This Row],[Sanitary Kit]],Table_NFI[Sanitary Kit])</f>
        <v>0</v>
      </c>
      <c r="AB225" s="294">
        <f>IF(NFI_Expiration=1,IF($A225&lt;VLOOKUP(K$5,NFI,5,0),1,0)*Table_NFI[[#This Row],[Mosquito net]],Table_NFI[Mosquito net])</f>
        <v>0</v>
      </c>
      <c r="AC225" s="294">
        <f>IF(NFI_Expiration=1,IF($A225&lt;VLOOKUP(L$5,NFI,5,0),1,0)*Table_NFI[[#This Row],[Tarpaulin]],Table_NFI[[#This Row],[Tarpaulin]])</f>
        <v>0</v>
      </c>
      <c r="AD225" s="294">
        <f>IF(NFI_Expiration=1,IF($A225&lt;VLOOKUP(M$5,NFI,5,0),1,0)*Table_NFI[[#This Row],[Blanket]],Table_NFI[[#This Row],[Blanket]])</f>
        <v>0</v>
      </c>
      <c r="AE225" s="294">
        <f>IF(NFI_Expiration=1,IF($A225&lt;VLOOKUP(N$5,NFI,5,0),1,0)*Table_NFI[[#This Row],[Kitchen Set]],Table_NFI[Kitchen Set])</f>
        <v>0</v>
      </c>
      <c r="AF225" s="294">
        <f>IF(NFI_Expiration=1,IF($A225&lt;VLOOKUP(O$5,NFI,5,0),1,0)*Table_NFI[[#This Row],[Clothes Kit]],Table_NFI[Clothes Kit])</f>
        <v>0</v>
      </c>
      <c r="AG225" s="294">
        <f>IF(NFI_Expiration=1,IF($A225&lt;VLOOKUP(P$5,NFI,5,0),1,0)*Table_NFI[[#This Row],[Plastic Bucket]],Table_NFI[Plastic Bucket])</f>
        <v>0</v>
      </c>
      <c r="AH225" s="294">
        <f>IF(NFI_Expiration=1,IF($A225&lt;VLOOKUP(Q$5,NFI,5,0),1,0)*Table_NFI[[#This Row],[Plastic Mat]],Table_NFI[Plastic Mat])*IF(Table_NFI[[#This Row],[Distribution Date]]&gt;"2014-04-01",1,2.5)</f>
        <v>0</v>
      </c>
      <c r="AI225" s="294">
        <f>IF(NFI_Expiration=1,IF($A225&lt;VLOOKUP(R$5,NFI,5,0),1,0)*Table_NFI[[#This Row],[Winter Clothes Adult]],Table_NFI[Winter Clothes Adult])</f>
        <v>0</v>
      </c>
      <c r="AJ225" s="294">
        <f>IF(NFI_Expiration=1,IF($A225&lt;VLOOKUP(S$5,NFI,5,0),1,0)*Table_NFI[[#This Row],[Winter Clothes Children]],Table_NFI[Winter Clothes Children])</f>
        <v>0</v>
      </c>
      <c r="AK225" s="294">
        <f>IF(NFI_Expiration=1,IF($A225&lt;VLOOKUP(T$5,NFI,5,0),1,0)*Table_NFI[[#This Row],[Winter Items Other]],Table_NFI[Winter Items Other])</f>
        <v>0</v>
      </c>
      <c r="AL225" s="294">
        <f>IF(NFI_Expiration=1,IF($A225&lt;VLOOKUP(M$5,NFI,5,0),1,0)*Table_NFI[[#This Row],[Winter Blanket]],Table_NFI[[#This Row],[Winter Blanket]])</f>
        <v>0</v>
      </c>
      <c r="AM225" s="294">
        <f>IF(Table_NFI[[#This Row],[Winter Clothes Adult]]+Table_NFI[[#This Row],[Winter Clothes Children]]+Table_NFI[[#This Row],[Winter Items Other]]+Table_NFI[[#This Row],[Winter Blanket]]&gt;0,1,0)</f>
        <v>0</v>
      </c>
      <c r="AN225" s="331">
        <f>IF(NFI_Expiration=1,IF($A225&lt;VLOOKUP(V$5,NFI,5,0),1,0)*Table_NFI[[#This Row],[Jerry Can]],Table_NFI[Jerry Can])</f>
        <v>0</v>
      </c>
      <c r="AO225" s="331">
        <f>IF(NFI_Expiration=1,IF($A225&lt;VLOOKUP(V$5,NFI,5,0),1,0)*Table_NFI[[#This Row],[Shelter Tool kit]],Table_NFI[Shelter Tool kit])</f>
        <v>0</v>
      </c>
      <c r="AP225" s="331">
        <f>IF(NFI_Expiration=1,IF($A225&lt;VLOOKUP(V$5,NFI,5,0),1,0)*Table_NFI[[#This Row],[Tent]],Table_NFI[Tent])</f>
        <v>0</v>
      </c>
      <c r="AQ225" s="473" t="str">
        <f>IFERROR(VLOOKUP(Table_NFI[[#This Row],[Camp Name]],CL,2,0),"")</f>
        <v>MMR001CMP018</v>
      </c>
      <c r="AR225" s="468">
        <f ca="1">IF(Table_NFI[[#This Row],[Pcode]]="","",IF(OFFSET(CampList[Opening Date],MATCH(Table_NFI[[#This Row],[Pcode]],CampList[CP_Pcode],0)-1,0,1,1)&gt;=NFI_Monitor_Date,1,0))</f>
        <v>0</v>
      </c>
      <c r="AS225" s="473" t="str">
        <f>IFERROR(VLOOKUP(Table_NFI[[#This Row],[Camp Name]],CL,3,0),"")</f>
        <v>Open</v>
      </c>
      <c r="AT225" s="294" t="str">
        <f ca="1">IF(Table_NFI[[#This Row],[Pcode]]="","",OFFSET(CampList[Priority],MATCH(Table_NFI[[#This Row],[Pcode]],CampList[CP_Pcode],0)-1,0,1,1))</f>
        <v>P4</v>
      </c>
      <c r="AU225" s="293">
        <f>IFERROR(Table_NFI[[#This Row],[Kitchen Set]]/VLOOKUP(Table_NFI[[#This Row],[Camp Name]],CL,4,0),"")</f>
        <v>0.18181818181818182</v>
      </c>
      <c r="AV225" s="466"/>
      <c r="AW225" s="469"/>
    </row>
    <row r="226" spans="1:49" s="98" customFormat="1" ht="14.45" customHeight="1" x14ac:dyDescent="0.25">
      <c r="A226" s="297">
        <f t="shared" si="3"/>
        <v>24.033333333333335</v>
      </c>
      <c r="B226" s="465">
        <v>41954</v>
      </c>
      <c r="C226" s="466" t="s">
        <v>452</v>
      </c>
      <c r="D226" s="466" t="s">
        <v>460</v>
      </c>
      <c r="E226" s="466" t="s">
        <v>380</v>
      </c>
      <c r="F226" s="466" t="s">
        <v>527</v>
      </c>
      <c r="G226" s="466" t="s">
        <v>88</v>
      </c>
      <c r="H226" s="291"/>
      <c r="I226" s="291"/>
      <c r="J226" s="291">
        <v>19</v>
      </c>
      <c r="K226" s="291">
        <v>38</v>
      </c>
      <c r="L226" s="292">
        <v>19</v>
      </c>
      <c r="M226" s="292">
        <v>38</v>
      </c>
      <c r="N226" s="292">
        <v>19</v>
      </c>
      <c r="O226" s="292"/>
      <c r="P226" s="294">
        <v>19</v>
      </c>
      <c r="Q226" s="294">
        <v>95</v>
      </c>
      <c r="R226" s="294"/>
      <c r="S226" s="294"/>
      <c r="T226" s="294"/>
      <c r="U226" s="294"/>
      <c r="V226" s="431"/>
      <c r="W226" s="294"/>
      <c r="X226" s="294"/>
      <c r="Y226" s="294">
        <f>IF(NFI_Expiration=1,IF($A226&lt;VLOOKUP(H$5,NFI,5,0),1,0)*Table_NFI[[#This Row],[Hygiene Kit]],Table_NFI[Hygiene Kit])</f>
        <v>0</v>
      </c>
      <c r="Z226" s="294">
        <f>IF(NFI_Expiration=1,IF($A226&lt;VLOOKUP(I$5,NFI,5,0),1,0)*Table_NFI[[#This Row],[NFI Core Kit]],Table_NFI[NFI Core Kit])</f>
        <v>0</v>
      </c>
      <c r="AA226" s="294">
        <f>IF(NFI_Expiration=1,IF($A226&lt;VLOOKUP(J$5,NFI,5,0),1,0)*Table_NFI[[#This Row],[Sanitary Kit]],Table_NFI[Sanitary Kit])</f>
        <v>0</v>
      </c>
      <c r="AB226" s="294">
        <f>IF(NFI_Expiration=1,IF($A226&lt;VLOOKUP(K$5,NFI,5,0),1,0)*Table_NFI[[#This Row],[Mosquito net]],Table_NFI[Mosquito net])</f>
        <v>0</v>
      </c>
      <c r="AC226" s="294">
        <f>IF(NFI_Expiration=1,IF($A226&lt;VLOOKUP(L$5,NFI,5,0),1,0)*Table_NFI[[#This Row],[Tarpaulin]],Table_NFI[[#This Row],[Tarpaulin]])</f>
        <v>0</v>
      </c>
      <c r="AD226" s="294">
        <f>IF(NFI_Expiration=1,IF($A226&lt;VLOOKUP(M$5,NFI,5,0),1,0)*Table_NFI[[#This Row],[Blanket]],Table_NFI[[#This Row],[Blanket]])</f>
        <v>0</v>
      </c>
      <c r="AE226" s="294">
        <f>IF(NFI_Expiration=1,IF($A226&lt;VLOOKUP(N$5,NFI,5,0),1,0)*Table_NFI[[#This Row],[Kitchen Set]],Table_NFI[Kitchen Set])</f>
        <v>0</v>
      </c>
      <c r="AF226" s="294">
        <f>IF(NFI_Expiration=1,IF($A226&lt;VLOOKUP(O$5,NFI,5,0),1,0)*Table_NFI[[#This Row],[Clothes Kit]],Table_NFI[Clothes Kit])</f>
        <v>0</v>
      </c>
      <c r="AG226" s="294">
        <f>IF(NFI_Expiration=1,IF($A226&lt;VLOOKUP(P$5,NFI,5,0),1,0)*Table_NFI[[#This Row],[Plastic Bucket]],Table_NFI[Plastic Bucket])</f>
        <v>0</v>
      </c>
      <c r="AH226" s="294">
        <f>IF(NFI_Expiration=1,IF($A226&lt;VLOOKUP(Q$5,NFI,5,0),1,0)*Table_NFI[[#This Row],[Plastic Mat]],Table_NFI[Plastic Mat])*IF(Table_NFI[[#This Row],[Distribution Date]]&gt;"2014-04-01",1,2.5)</f>
        <v>0</v>
      </c>
      <c r="AI226" s="294">
        <f>IF(NFI_Expiration=1,IF($A226&lt;VLOOKUP(R$5,NFI,5,0),1,0)*Table_NFI[[#This Row],[Winter Clothes Adult]],Table_NFI[Winter Clothes Adult])</f>
        <v>0</v>
      </c>
      <c r="AJ226" s="294">
        <f>IF(NFI_Expiration=1,IF($A226&lt;VLOOKUP(S$5,NFI,5,0),1,0)*Table_NFI[[#This Row],[Winter Clothes Children]],Table_NFI[Winter Clothes Children])</f>
        <v>0</v>
      </c>
      <c r="AK226" s="294">
        <f>IF(NFI_Expiration=1,IF($A226&lt;VLOOKUP(T$5,NFI,5,0),1,0)*Table_NFI[[#This Row],[Winter Items Other]],Table_NFI[Winter Items Other])</f>
        <v>0</v>
      </c>
      <c r="AL226" s="294">
        <f>IF(NFI_Expiration=1,IF($A226&lt;VLOOKUP(M$5,NFI,5,0),1,0)*Table_NFI[[#This Row],[Winter Blanket]],Table_NFI[[#This Row],[Winter Blanket]])</f>
        <v>0</v>
      </c>
      <c r="AM226" s="294">
        <f>IF(Table_NFI[[#This Row],[Winter Clothes Adult]]+Table_NFI[[#This Row],[Winter Clothes Children]]+Table_NFI[[#This Row],[Winter Items Other]]+Table_NFI[[#This Row],[Winter Blanket]]&gt;0,1,0)</f>
        <v>0</v>
      </c>
      <c r="AN226" s="331">
        <f>IF(NFI_Expiration=1,IF($A226&lt;VLOOKUP(V$5,NFI,5,0),1,0)*Table_NFI[[#This Row],[Jerry Can]],Table_NFI[Jerry Can])</f>
        <v>0</v>
      </c>
      <c r="AO226" s="331">
        <f>IF(NFI_Expiration=1,IF($A226&lt;VLOOKUP(V$5,NFI,5,0),1,0)*Table_NFI[[#This Row],[Shelter Tool kit]],Table_NFI[Shelter Tool kit])</f>
        <v>0</v>
      </c>
      <c r="AP226" s="331">
        <f>IF(NFI_Expiration=1,IF($A226&lt;VLOOKUP(V$5,NFI,5,0),1,0)*Table_NFI[[#This Row],[Tent]],Table_NFI[Tent])</f>
        <v>0</v>
      </c>
      <c r="AQ226" s="473" t="str">
        <f>IFERROR(VLOOKUP(Table_NFI[[#This Row],[Camp Name]],CL,2,0),"")</f>
        <v>MMR001CMP148</v>
      </c>
      <c r="AR226" s="468">
        <f ca="1">IF(Table_NFI[[#This Row],[Pcode]]="","",IF(OFFSET(CampList[Opening Date],MATCH(Table_NFI[[#This Row],[Pcode]],CampList[CP_Pcode],0)-1,0,1,1)&gt;=NFI_Monitor_Date,1,0))</f>
        <v>0</v>
      </c>
      <c r="AS226" s="473" t="str">
        <f>IFERROR(VLOOKUP(Table_NFI[[#This Row],[Camp Name]],CL,3,0),"")</f>
        <v>Open</v>
      </c>
      <c r="AT226" s="294" t="str">
        <f ca="1">IF(Table_NFI[[#This Row],[Pcode]]="","",OFFSET(CampList[Priority],MATCH(Table_NFI[[#This Row],[Pcode]],CampList[CP_Pcode],0)-1,0,1,1))</f>
        <v>P4</v>
      </c>
      <c r="AU226" s="293">
        <f>IFERROR(Table_NFI[[#This Row],[Kitchen Set]]/VLOOKUP(Table_NFI[[#This Row],[Camp Name]],CL,4,0),"")</f>
        <v>1.4615384615384615</v>
      </c>
      <c r="AV226" s="466"/>
      <c r="AW226" s="469"/>
    </row>
    <row r="227" spans="1:49" s="470" customFormat="1" ht="14.45" customHeight="1" x14ac:dyDescent="0.25">
      <c r="A227" s="297">
        <f t="shared" si="3"/>
        <v>24.066666666666666</v>
      </c>
      <c r="B227" s="465">
        <v>41953</v>
      </c>
      <c r="C227" s="466" t="s">
        <v>1094</v>
      </c>
      <c r="D227" s="466" t="s">
        <v>900</v>
      </c>
      <c r="E227" s="466" t="s">
        <v>380</v>
      </c>
      <c r="F227" s="466" t="s">
        <v>527</v>
      </c>
      <c r="G227" s="466" t="s">
        <v>611</v>
      </c>
      <c r="H227" s="291"/>
      <c r="I227" s="291"/>
      <c r="J227" s="291"/>
      <c r="K227" s="291"/>
      <c r="L227" s="292"/>
      <c r="M227" s="292"/>
      <c r="N227" s="292"/>
      <c r="O227" s="292"/>
      <c r="P227" s="294"/>
      <c r="Q227" s="294"/>
      <c r="R227" s="294">
        <v>50</v>
      </c>
      <c r="S227" s="294">
        <v>17</v>
      </c>
      <c r="T227" s="294"/>
      <c r="U227" s="294"/>
      <c r="V227" s="431"/>
      <c r="W227" s="294"/>
      <c r="X227" s="294"/>
      <c r="Y227" s="294">
        <f>IF(NFI_Expiration=1,IF($A227&lt;VLOOKUP(H$5,NFI,5,0),1,0)*Table_NFI[[#This Row],[Hygiene Kit]],Table_NFI[Hygiene Kit])</f>
        <v>0</v>
      </c>
      <c r="Z227" s="294">
        <f>IF(NFI_Expiration=1,IF($A227&lt;VLOOKUP(I$5,NFI,5,0),1,0)*Table_NFI[[#This Row],[NFI Core Kit]],Table_NFI[NFI Core Kit])</f>
        <v>0</v>
      </c>
      <c r="AA227" s="294">
        <f>IF(NFI_Expiration=1,IF($A227&lt;VLOOKUP(J$5,NFI,5,0),1,0)*Table_NFI[[#This Row],[Sanitary Kit]],Table_NFI[Sanitary Kit])</f>
        <v>0</v>
      </c>
      <c r="AB227" s="294">
        <f>IF(NFI_Expiration=1,IF($A227&lt;VLOOKUP(K$5,NFI,5,0),1,0)*Table_NFI[[#This Row],[Mosquito net]],Table_NFI[Mosquito net])</f>
        <v>0</v>
      </c>
      <c r="AC227" s="294">
        <f>IF(NFI_Expiration=1,IF($A227&lt;VLOOKUP(L$5,NFI,5,0),1,0)*Table_NFI[[#This Row],[Tarpaulin]],Table_NFI[[#This Row],[Tarpaulin]])</f>
        <v>0</v>
      </c>
      <c r="AD227" s="294">
        <f>IF(NFI_Expiration=1,IF($A227&lt;VLOOKUP(M$5,NFI,5,0),1,0)*Table_NFI[[#This Row],[Blanket]],Table_NFI[[#This Row],[Blanket]])</f>
        <v>0</v>
      </c>
      <c r="AE227" s="294">
        <f>IF(NFI_Expiration=1,IF($A227&lt;VLOOKUP(N$5,NFI,5,0),1,0)*Table_NFI[[#This Row],[Kitchen Set]],Table_NFI[Kitchen Set])</f>
        <v>0</v>
      </c>
      <c r="AF227" s="294">
        <f>IF(NFI_Expiration=1,IF($A227&lt;VLOOKUP(O$5,NFI,5,0),1,0)*Table_NFI[[#This Row],[Clothes Kit]],Table_NFI[Clothes Kit])</f>
        <v>0</v>
      </c>
      <c r="AG227" s="294">
        <f>IF(NFI_Expiration=1,IF($A227&lt;VLOOKUP(P$5,NFI,5,0),1,0)*Table_NFI[[#This Row],[Plastic Bucket]],Table_NFI[Plastic Bucket])</f>
        <v>0</v>
      </c>
      <c r="AH227" s="294">
        <f>IF(NFI_Expiration=1,IF($A227&lt;VLOOKUP(Q$5,NFI,5,0),1,0)*Table_NFI[[#This Row],[Plastic Mat]],Table_NFI[Plastic Mat])*IF(Table_NFI[[#This Row],[Distribution Date]]&gt;"2014-04-01",1,2.5)</f>
        <v>0</v>
      </c>
      <c r="AI227" s="294">
        <f>IF(NFI_Expiration=1,IF($A227&lt;VLOOKUP(R$5,NFI,5,0),1,0)*Table_NFI[[#This Row],[Winter Clothes Adult]],Table_NFI[Winter Clothes Adult])</f>
        <v>0</v>
      </c>
      <c r="AJ227" s="294">
        <f>IF(NFI_Expiration=1,IF($A227&lt;VLOOKUP(S$5,NFI,5,0),1,0)*Table_NFI[[#This Row],[Winter Clothes Children]],Table_NFI[Winter Clothes Children])</f>
        <v>0</v>
      </c>
      <c r="AK227" s="294">
        <f>IF(NFI_Expiration=1,IF($A227&lt;VLOOKUP(T$5,NFI,5,0),1,0)*Table_NFI[[#This Row],[Winter Items Other]],Table_NFI[Winter Items Other])</f>
        <v>0</v>
      </c>
      <c r="AL227" s="294">
        <f>IF(NFI_Expiration=1,IF($A227&lt;VLOOKUP(M$5,NFI,5,0),1,0)*Table_NFI[[#This Row],[Winter Blanket]],Table_NFI[[#This Row],[Winter Blanket]])</f>
        <v>0</v>
      </c>
      <c r="AM227" s="294">
        <f>IF(Table_NFI[[#This Row],[Winter Clothes Adult]]+Table_NFI[[#This Row],[Winter Clothes Children]]+Table_NFI[[#This Row],[Winter Items Other]]+Table_NFI[[#This Row],[Winter Blanket]]&gt;0,1,0)</f>
        <v>1</v>
      </c>
      <c r="AN227" s="331">
        <f>IF(NFI_Expiration=1,IF($A227&lt;VLOOKUP(V$5,NFI,5,0),1,0)*Table_NFI[[#This Row],[Jerry Can]],Table_NFI[Jerry Can])</f>
        <v>0</v>
      </c>
      <c r="AO227" s="331">
        <f>IF(NFI_Expiration=1,IF($A227&lt;VLOOKUP(V$5,NFI,5,0),1,0)*Table_NFI[[#This Row],[Shelter Tool kit]],Table_NFI[Shelter Tool kit])</f>
        <v>0</v>
      </c>
      <c r="AP227" s="331">
        <f>IF(NFI_Expiration=1,IF($A227&lt;VLOOKUP(V$5,NFI,5,0),1,0)*Table_NFI[[#This Row],[Tent]],Table_NFI[Tent])</f>
        <v>0</v>
      </c>
      <c r="AQ227" s="473" t="str">
        <f>IFERROR(VLOOKUP(Table_NFI[[#This Row],[Camp Name]],CL,2,0),"")</f>
        <v>MMR001CMP192</v>
      </c>
      <c r="AR227" s="468">
        <f ca="1">IF(Table_NFI[[#This Row],[Pcode]]="","",IF(OFFSET(CampList[Opening Date],MATCH(Table_NFI[[#This Row],[Pcode]],CampList[CP_Pcode],0)-1,0,1,1)&gt;=NFI_Monitor_Date,1,0))</f>
        <v>0</v>
      </c>
      <c r="AS227" s="473" t="str">
        <f>IFERROR(VLOOKUP(Table_NFI[[#This Row],[Camp Name]],CL,3,0),"")</f>
        <v>Open</v>
      </c>
      <c r="AT227" s="294" t="str">
        <f ca="1">IF(Table_NFI[[#This Row],[Pcode]]="","",OFFSET(CampList[Priority],MATCH(Table_NFI[[#This Row],[Pcode]],CampList[CP_Pcode],0)-1,0,1,1))</f>
        <v>P4</v>
      </c>
      <c r="AU227" s="293">
        <f>IFERROR(Table_NFI[[#This Row],[Kitchen Set]]/VLOOKUP(Table_NFI[[#This Row],[Camp Name]],CL,4,0),"")</f>
        <v>0</v>
      </c>
      <c r="AV227" s="466"/>
      <c r="AW227" s="469"/>
    </row>
    <row r="228" spans="1:49" s="470" customFormat="1" ht="14.45" customHeight="1" x14ac:dyDescent="0.25">
      <c r="A228" s="297">
        <f t="shared" si="3"/>
        <v>24.066666666666666</v>
      </c>
      <c r="B228" s="465">
        <v>41953</v>
      </c>
      <c r="C228" s="466" t="s">
        <v>1094</v>
      </c>
      <c r="D228" s="466" t="s">
        <v>900</v>
      </c>
      <c r="E228" s="466" t="s">
        <v>380</v>
      </c>
      <c r="F228" s="466" t="s">
        <v>527</v>
      </c>
      <c r="G228" s="466" t="s">
        <v>108</v>
      </c>
      <c r="H228" s="291"/>
      <c r="I228" s="291"/>
      <c r="J228" s="291"/>
      <c r="K228" s="291"/>
      <c r="L228" s="292"/>
      <c r="M228" s="292"/>
      <c r="N228" s="292"/>
      <c r="O228" s="292"/>
      <c r="P228" s="294"/>
      <c r="Q228" s="294"/>
      <c r="R228" s="294">
        <v>117</v>
      </c>
      <c r="S228" s="294">
        <v>65</v>
      </c>
      <c r="T228" s="294"/>
      <c r="U228" s="294"/>
      <c r="V228" s="431"/>
      <c r="W228" s="294"/>
      <c r="X228" s="294"/>
      <c r="Y228" s="294">
        <f>IF(NFI_Expiration=1,IF($A228&lt;VLOOKUP(H$5,NFI,5,0),1,0)*Table_NFI[[#This Row],[Hygiene Kit]],Table_NFI[Hygiene Kit])</f>
        <v>0</v>
      </c>
      <c r="Z228" s="294">
        <f>IF(NFI_Expiration=1,IF($A228&lt;VLOOKUP(I$5,NFI,5,0),1,0)*Table_NFI[[#This Row],[NFI Core Kit]],Table_NFI[NFI Core Kit])</f>
        <v>0</v>
      </c>
      <c r="AA228" s="294">
        <f>IF(NFI_Expiration=1,IF($A228&lt;VLOOKUP(J$5,NFI,5,0),1,0)*Table_NFI[[#This Row],[Sanitary Kit]],Table_NFI[Sanitary Kit])</f>
        <v>0</v>
      </c>
      <c r="AB228" s="294">
        <f>IF(NFI_Expiration=1,IF($A228&lt;VLOOKUP(K$5,NFI,5,0),1,0)*Table_NFI[[#This Row],[Mosquito net]],Table_NFI[Mosquito net])</f>
        <v>0</v>
      </c>
      <c r="AC228" s="294">
        <f>IF(NFI_Expiration=1,IF($A228&lt;VLOOKUP(L$5,NFI,5,0),1,0)*Table_NFI[[#This Row],[Tarpaulin]],Table_NFI[[#This Row],[Tarpaulin]])</f>
        <v>0</v>
      </c>
      <c r="AD228" s="294">
        <f>IF(NFI_Expiration=1,IF($A228&lt;VLOOKUP(M$5,NFI,5,0),1,0)*Table_NFI[[#This Row],[Blanket]],Table_NFI[[#This Row],[Blanket]])</f>
        <v>0</v>
      </c>
      <c r="AE228" s="294">
        <f>IF(NFI_Expiration=1,IF($A228&lt;VLOOKUP(N$5,NFI,5,0),1,0)*Table_NFI[[#This Row],[Kitchen Set]],Table_NFI[Kitchen Set])</f>
        <v>0</v>
      </c>
      <c r="AF228" s="294">
        <f>IF(NFI_Expiration=1,IF($A228&lt;VLOOKUP(O$5,NFI,5,0),1,0)*Table_NFI[[#This Row],[Clothes Kit]],Table_NFI[Clothes Kit])</f>
        <v>0</v>
      </c>
      <c r="AG228" s="294">
        <f>IF(NFI_Expiration=1,IF($A228&lt;VLOOKUP(P$5,NFI,5,0),1,0)*Table_NFI[[#This Row],[Plastic Bucket]],Table_NFI[Plastic Bucket])</f>
        <v>0</v>
      </c>
      <c r="AH228" s="294">
        <f>IF(NFI_Expiration=1,IF($A228&lt;VLOOKUP(Q$5,NFI,5,0),1,0)*Table_NFI[[#This Row],[Plastic Mat]],Table_NFI[Plastic Mat])*IF(Table_NFI[[#This Row],[Distribution Date]]&gt;"2014-04-01",1,2.5)</f>
        <v>0</v>
      </c>
      <c r="AI228" s="294">
        <f>IF(NFI_Expiration=1,IF($A228&lt;VLOOKUP(R$5,NFI,5,0),1,0)*Table_NFI[[#This Row],[Winter Clothes Adult]],Table_NFI[Winter Clothes Adult])</f>
        <v>0</v>
      </c>
      <c r="AJ228" s="294">
        <f>IF(NFI_Expiration=1,IF($A228&lt;VLOOKUP(S$5,NFI,5,0),1,0)*Table_NFI[[#This Row],[Winter Clothes Children]],Table_NFI[Winter Clothes Children])</f>
        <v>0</v>
      </c>
      <c r="AK228" s="294">
        <f>IF(NFI_Expiration=1,IF($A228&lt;VLOOKUP(T$5,NFI,5,0),1,0)*Table_NFI[[#This Row],[Winter Items Other]],Table_NFI[Winter Items Other])</f>
        <v>0</v>
      </c>
      <c r="AL228" s="294">
        <f>IF(NFI_Expiration=1,IF($A228&lt;VLOOKUP(M$5,NFI,5,0),1,0)*Table_NFI[[#This Row],[Winter Blanket]],Table_NFI[[#This Row],[Winter Blanket]])</f>
        <v>0</v>
      </c>
      <c r="AM228" s="294">
        <f>IF(Table_NFI[[#This Row],[Winter Clothes Adult]]+Table_NFI[[#This Row],[Winter Clothes Children]]+Table_NFI[[#This Row],[Winter Items Other]]+Table_NFI[[#This Row],[Winter Blanket]]&gt;0,1,0)</f>
        <v>1</v>
      </c>
      <c r="AN228" s="331">
        <f>IF(NFI_Expiration=1,IF($A228&lt;VLOOKUP(V$5,NFI,5,0),1,0)*Table_NFI[[#This Row],[Jerry Can]],Table_NFI[Jerry Can])</f>
        <v>0</v>
      </c>
      <c r="AO228" s="331">
        <f>IF(NFI_Expiration=1,IF($A228&lt;VLOOKUP(V$5,NFI,5,0),1,0)*Table_NFI[[#This Row],[Shelter Tool kit]],Table_NFI[Shelter Tool kit])</f>
        <v>0</v>
      </c>
      <c r="AP228" s="331">
        <f>IF(NFI_Expiration=1,IF($A228&lt;VLOOKUP(V$5,NFI,5,0),1,0)*Table_NFI[[#This Row],[Tent]],Table_NFI[Tent])</f>
        <v>0</v>
      </c>
      <c r="AQ228" s="473" t="str">
        <f>IFERROR(VLOOKUP(Table_NFI[[#This Row],[Camp Name]],CL,2,0),"")</f>
        <v>MMR001CMP103</v>
      </c>
      <c r="AR228" s="468">
        <f ca="1">IF(Table_NFI[[#This Row],[Pcode]]="","",IF(OFFSET(CampList[Opening Date],MATCH(Table_NFI[[#This Row],[Pcode]],CampList[CP_Pcode],0)-1,0,1,1)&gt;=NFI_Monitor_Date,1,0))</f>
        <v>0</v>
      </c>
      <c r="AS228" s="473" t="str">
        <f>IFERROR(VLOOKUP(Table_NFI[[#This Row],[Camp Name]],CL,3,0),"")</f>
        <v>Open</v>
      </c>
      <c r="AT228" s="294" t="str">
        <f ca="1">IF(Table_NFI[[#This Row],[Pcode]]="","",OFFSET(CampList[Priority],MATCH(Table_NFI[[#This Row],[Pcode]],CampList[CP_Pcode],0)-1,0,1,1))</f>
        <v>P4</v>
      </c>
      <c r="AU228" s="293">
        <f>IFERROR(Table_NFI[[#This Row],[Kitchen Set]]/VLOOKUP(Table_NFI[[#This Row],[Camp Name]],CL,4,0),"")</f>
        <v>0</v>
      </c>
      <c r="AV228" s="466"/>
      <c r="AW228" s="469"/>
    </row>
    <row r="229" spans="1:49" s="470" customFormat="1" ht="14.45" customHeight="1" x14ac:dyDescent="0.25">
      <c r="A229" s="297">
        <f t="shared" si="3"/>
        <v>24.066666666666666</v>
      </c>
      <c r="B229" s="465">
        <v>41953</v>
      </c>
      <c r="C229" s="466" t="s">
        <v>1094</v>
      </c>
      <c r="D229" s="466" t="s">
        <v>900</v>
      </c>
      <c r="E229" s="466" t="s">
        <v>380</v>
      </c>
      <c r="F229" s="466" t="s">
        <v>300</v>
      </c>
      <c r="G229" s="466" t="s">
        <v>890</v>
      </c>
      <c r="H229" s="291"/>
      <c r="I229" s="291"/>
      <c r="J229" s="291"/>
      <c r="K229" s="291"/>
      <c r="L229" s="292"/>
      <c r="M229" s="292"/>
      <c r="N229" s="292"/>
      <c r="O229" s="292"/>
      <c r="P229" s="294"/>
      <c r="Q229" s="294"/>
      <c r="R229" s="294">
        <v>52</v>
      </c>
      <c r="S229" s="294">
        <v>16</v>
      </c>
      <c r="T229" s="294"/>
      <c r="U229" s="294"/>
      <c r="V229" s="431"/>
      <c r="W229" s="294"/>
      <c r="X229" s="294"/>
      <c r="Y229" s="294">
        <f>IF(NFI_Expiration=1,IF($A229&lt;VLOOKUP(H$5,NFI,5,0),1,0)*Table_NFI[[#This Row],[Hygiene Kit]],Table_NFI[Hygiene Kit])</f>
        <v>0</v>
      </c>
      <c r="Z229" s="294">
        <f>IF(NFI_Expiration=1,IF($A229&lt;VLOOKUP(I$5,NFI,5,0),1,0)*Table_NFI[[#This Row],[NFI Core Kit]],Table_NFI[NFI Core Kit])</f>
        <v>0</v>
      </c>
      <c r="AA229" s="294">
        <f>IF(NFI_Expiration=1,IF($A229&lt;VLOOKUP(J$5,NFI,5,0),1,0)*Table_NFI[[#This Row],[Sanitary Kit]],Table_NFI[Sanitary Kit])</f>
        <v>0</v>
      </c>
      <c r="AB229" s="294">
        <f>IF(NFI_Expiration=1,IF($A229&lt;VLOOKUP(K$5,NFI,5,0),1,0)*Table_NFI[[#This Row],[Mosquito net]],Table_NFI[Mosquito net])</f>
        <v>0</v>
      </c>
      <c r="AC229" s="294">
        <f>IF(NFI_Expiration=1,IF($A229&lt;VLOOKUP(L$5,NFI,5,0),1,0)*Table_NFI[[#This Row],[Tarpaulin]],Table_NFI[[#This Row],[Tarpaulin]])</f>
        <v>0</v>
      </c>
      <c r="AD229" s="294">
        <f>IF(NFI_Expiration=1,IF($A229&lt;VLOOKUP(M$5,NFI,5,0),1,0)*Table_NFI[[#This Row],[Blanket]],Table_NFI[[#This Row],[Blanket]])</f>
        <v>0</v>
      </c>
      <c r="AE229" s="294">
        <f>IF(NFI_Expiration=1,IF($A229&lt;VLOOKUP(N$5,NFI,5,0),1,0)*Table_NFI[[#This Row],[Kitchen Set]],Table_NFI[Kitchen Set])</f>
        <v>0</v>
      </c>
      <c r="AF229" s="294">
        <f>IF(NFI_Expiration=1,IF($A229&lt;VLOOKUP(O$5,NFI,5,0),1,0)*Table_NFI[[#This Row],[Clothes Kit]],Table_NFI[Clothes Kit])</f>
        <v>0</v>
      </c>
      <c r="AG229" s="294">
        <f>IF(NFI_Expiration=1,IF($A229&lt;VLOOKUP(P$5,NFI,5,0),1,0)*Table_NFI[[#This Row],[Plastic Bucket]],Table_NFI[Plastic Bucket])</f>
        <v>0</v>
      </c>
      <c r="AH229" s="294">
        <f>IF(NFI_Expiration=1,IF($A229&lt;VLOOKUP(Q$5,NFI,5,0),1,0)*Table_NFI[[#This Row],[Plastic Mat]],Table_NFI[Plastic Mat])*IF(Table_NFI[[#This Row],[Distribution Date]]&gt;"2014-04-01",1,2.5)</f>
        <v>0</v>
      </c>
      <c r="AI229" s="294">
        <f>IF(NFI_Expiration=1,IF($A229&lt;VLOOKUP(R$5,NFI,5,0),1,0)*Table_NFI[[#This Row],[Winter Clothes Adult]],Table_NFI[Winter Clothes Adult])</f>
        <v>0</v>
      </c>
      <c r="AJ229" s="294">
        <f>IF(NFI_Expiration=1,IF($A229&lt;VLOOKUP(S$5,NFI,5,0),1,0)*Table_NFI[[#This Row],[Winter Clothes Children]],Table_NFI[Winter Clothes Children])</f>
        <v>0</v>
      </c>
      <c r="AK229" s="294">
        <f>IF(NFI_Expiration=1,IF($A229&lt;VLOOKUP(T$5,NFI,5,0),1,0)*Table_NFI[[#This Row],[Winter Items Other]],Table_NFI[Winter Items Other])</f>
        <v>0</v>
      </c>
      <c r="AL229" s="294">
        <f>IF(NFI_Expiration=1,IF($A229&lt;VLOOKUP(M$5,NFI,5,0),1,0)*Table_NFI[[#This Row],[Winter Blanket]],Table_NFI[[#This Row],[Winter Blanket]])</f>
        <v>0</v>
      </c>
      <c r="AM229" s="294">
        <f>IF(Table_NFI[[#This Row],[Winter Clothes Adult]]+Table_NFI[[#This Row],[Winter Clothes Children]]+Table_NFI[[#This Row],[Winter Items Other]]+Table_NFI[[#This Row],[Winter Blanket]]&gt;0,1,0)</f>
        <v>1</v>
      </c>
      <c r="AN229" s="331">
        <f>IF(NFI_Expiration=1,IF($A229&lt;VLOOKUP(V$5,NFI,5,0),1,0)*Table_NFI[[#This Row],[Jerry Can]],Table_NFI[Jerry Can])</f>
        <v>0</v>
      </c>
      <c r="AO229" s="331">
        <f>IF(NFI_Expiration=1,IF($A229&lt;VLOOKUP(V$5,NFI,5,0),1,0)*Table_NFI[[#This Row],[Shelter Tool kit]],Table_NFI[Shelter Tool kit])</f>
        <v>0</v>
      </c>
      <c r="AP229" s="331">
        <f>IF(NFI_Expiration=1,IF($A229&lt;VLOOKUP(V$5,NFI,5,0),1,0)*Table_NFI[[#This Row],[Tent]],Table_NFI[Tent])</f>
        <v>0</v>
      </c>
      <c r="AQ229" s="473" t="str">
        <f>IFERROR(VLOOKUP(Table_NFI[[#This Row],[Camp Name]],CL,2,0),"")</f>
        <v>MMR001CMP220</v>
      </c>
      <c r="AR229" s="468">
        <f ca="1">IF(Table_NFI[[#This Row],[Pcode]]="","",IF(OFFSET(CampList[Opening Date],MATCH(Table_NFI[[#This Row],[Pcode]],CampList[CP_Pcode],0)-1,0,1,1)&gt;=NFI_Monitor_Date,1,0))</f>
        <v>0</v>
      </c>
      <c r="AS229" s="473" t="str">
        <f>IFERROR(VLOOKUP(Table_NFI[[#This Row],[Camp Name]],CL,3,0),"")</f>
        <v>Closed</v>
      </c>
      <c r="AT229" s="294" t="str">
        <f ca="1">IF(Table_NFI[[#This Row],[Pcode]]="","",OFFSET(CampList[Priority],MATCH(Table_NFI[[#This Row],[Pcode]],CampList[CP_Pcode],0)-1,0,1,1))</f>
        <v>P3</v>
      </c>
      <c r="AU229" s="293" t="str">
        <f>IFERROR(Table_NFI[[#This Row],[Kitchen Set]]/VLOOKUP(Table_NFI[[#This Row],[Camp Name]],CL,4,0),"")</f>
        <v/>
      </c>
      <c r="AV229" s="466"/>
      <c r="AW229" s="469"/>
    </row>
    <row r="230" spans="1:49" s="470" customFormat="1" ht="14.45" customHeight="1" x14ac:dyDescent="0.25">
      <c r="A230" s="297">
        <f t="shared" si="3"/>
        <v>24.066666666666666</v>
      </c>
      <c r="B230" s="465">
        <v>41953</v>
      </c>
      <c r="C230" s="466" t="s">
        <v>1094</v>
      </c>
      <c r="D230" s="466" t="s">
        <v>900</v>
      </c>
      <c r="E230" s="466" t="s">
        <v>380</v>
      </c>
      <c r="F230" s="466" t="s">
        <v>300</v>
      </c>
      <c r="G230" s="466" t="s">
        <v>301</v>
      </c>
      <c r="H230" s="291"/>
      <c r="I230" s="291"/>
      <c r="J230" s="291"/>
      <c r="K230" s="291"/>
      <c r="L230" s="292"/>
      <c r="M230" s="292"/>
      <c r="N230" s="292"/>
      <c r="O230" s="292"/>
      <c r="P230" s="294"/>
      <c r="Q230" s="294"/>
      <c r="R230" s="294">
        <v>72</v>
      </c>
      <c r="S230" s="294">
        <v>11</v>
      </c>
      <c r="T230" s="294"/>
      <c r="U230" s="294"/>
      <c r="V230" s="431"/>
      <c r="W230" s="294"/>
      <c r="X230" s="294"/>
      <c r="Y230" s="294">
        <f>IF(NFI_Expiration=1,IF($A230&lt;VLOOKUP(H$5,NFI,5,0),1,0)*Table_NFI[[#This Row],[Hygiene Kit]],Table_NFI[Hygiene Kit])</f>
        <v>0</v>
      </c>
      <c r="Z230" s="294">
        <f>IF(NFI_Expiration=1,IF($A230&lt;VLOOKUP(I$5,NFI,5,0),1,0)*Table_NFI[[#This Row],[NFI Core Kit]],Table_NFI[NFI Core Kit])</f>
        <v>0</v>
      </c>
      <c r="AA230" s="294">
        <f>IF(NFI_Expiration=1,IF($A230&lt;VLOOKUP(J$5,NFI,5,0),1,0)*Table_NFI[[#This Row],[Sanitary Kit]],Table_NFI[Sanitary Kit])</f>
        <v>0</v>
      </c>
      <c r="AB230" s="294">
        <f>IF(NFI_Expiration=1,IF($A230&lt;VLOOKUP(K$5,NFI,5,0),1,0)*Table_NFI[[#This Row],[Mosquito net]],Table_NFI[Mosquito net])</f>
        <v>0</v>
      </c>
      <c r="AC230" s="294">
        <f>IF(NFI_Expiration=1,IF($A230&lt;VLOOKUP(L$5,NFI,5,0),1,0)*Table_NFI[[#This Row],[Tarpaulin]],Table_NFI[[#This Row],[Tarpaulin]])</f>
        <v>0</v>
      </c>
      <c r="AD230" s="294">
        <f>IF(NFI_Expiration=1,IF($A230&lt;VLOOKUP(M$5,NFI,5,0),1,0)*Table_NFI[[#This Row],[Blanket]],Table_NFI[[#This Row],[Blanket]])</f>
        <v>0</v>
      </c>
      <c r="AE230" s="294">
        <f>IF(NFI_Expiration=1,IF($A230&lt;VLOOKUP(N$5,NFI,5,0),1,0)*Table_NFI[[#This Row],[Kitchen Set]],Table_NFI[Kitchen Set])</f>
        <v>0</v>
      </c>
      <c r="AF230" s="294">
        <f>IF(NFI_Expiration=1,IF($A230&lt;VLOOKUP(O$5,NFI,5,0),1,0)*Table_NFI[[#This Row],[Clothes Kit]],Table_NFI[Clothes Kit])</f>
        <v>0</v>
      </c>
      <c r="AG230" s="294">
        <f>IF(NFI_Expiration=1,IF($A230&lt;VLOOKUP(P$5,NFI,5,0),1,0)*Table_NFI[[#This Row],[Plastic Bucket]],Table_NFI[Plastic Bucket])</f>
        <v>0</v>
      </c>
      <c r="AH230" s="294">
        <f>IF(NFI_Expiration=1,IF($A230&lt;VLOOKUP(Q$5,NFI,5,0),1,0)*Table_NFI[[#This Row],[Plastic Mat]],Table_NFI[Plastic Mat])*IF(Table_NFI[[#This Row],[Distribution Date]]&gt;"2014-04-01",1,2.5)</f>
        <v>0</v>
      </c>
      <c r="AI230" s="294">
        <f>IF(NFI_Expiration=1,IF($A230&lt;VLOOKUP(R$5,NFI,5,0),1,0)*Table_NFI[[#This Row],[Winter Clothes Adult]],Table_NFI[Winter Clothes Adult])</f>
        <v>0</v>
      </c>
      <c r="AJ230" s="294">
        <f>IF(NFI_Expiration=1,IF($A230&lt;VLOOKUP(S$5,NFI,5,0),1,0)*Table_NFI[[#This Row],[Winter Clothes Children]],Table_NFI[Winter Clothes Children])</f>
        <v>0</v>
      </c>
      <c r="AK230" s="294">
        <f>IF(NFI_Expiration=1,IF($A230&lt;VLOOKUP(T$5,NFI,5,0),1,0)*Table_NFI[[#This Row],[Winter Items Other]],Table_NFI[Winter Items Other])</f>
        <v>0</v>
      </c>
      <c r="AL230" s="294">
        <f>IF(NFI_Expiration=1,IF($A230&lt;VLOOKUP(M$5,NFI,5,0),1,0)*Table_NFI[[#This Row],[Winter Blanket]],Table_NFI[[#This Row],[Winter Blanket]])</f>
        <v>0</v>
      </c>
      <c r="AM230" s="294">
        <f>IF(Table_NFI[[#This Row],[Winter Clothes Adult]]+Table_NFI[[#This Row],[Winter Clothes Children]]+Table_NFI[[#This Row],[Winter Items Other]]+Table_NFI[[#This Row],[Winter Blanket]]&gt;0,1,0)</f>
        <v>1</v>
      </c>
      <c r="AN230" s="331">
        <f>IF(NFI_Expiration=1,IF($A230&lt;VLOOKUP(V$5,NFI,5,0),1,0)*Table_NFI[[#This Row],[Jerry Can]],Table_NFI[Jerry Can])</f>
        <v>0</v>
      </c>
      <c r="AO230" s="331">
        <f>IF(NFI_Expiration=1,IF($A230&lt;VLOOKUP(V$5,NFI,5,0),1,0)*Table_NFI[[#This Row],[Shelter Tool kit]],Table_NFI[Shelter Tool kit])</f>
        <v>0</v>
      </c>
      <c r="AP230" s="331">
        <f>IF(NFI_Expiration=1,IF($A230&lt;VLOOKUP(V$5,NFI,5,0),1,0)*Table_NFI[[#This Row],[Tent]],Table_NFI[Tent])</f>
        <v>0</v>
      </c>
      <c r="AQ230" s="473" t="str">
        <f>IFERROR(VLOOKUP(Table_NFI[[#This Row],[Camp Name]],CL,2,0),"")</f>
        <v>MMR001CMP075</v>
      </c>
      <c r="AR230" s="468">
        <f ca="1">IF(Table_NFI[[#This Row],[Pcode]]="","",IF(OFFSET(CampList[Opening Date],MATCH(Table_NFI[[#This Row],[Pcode]],CampList[CP_Pcode],0)-1,0,1,1)&gt;=NFI_Monitor_Date,1,0))</f>
        <v>0</v>
      </c>
      <c r="AS230" s="473" t="str">
        <f>IFERROR(VLOOKUP(Table_NFI[[#This Row],[Camp Name]],CL,3,0),"")</f>
        <v>Open</v>
      </c>
      <c r="AT230" s="294" t="str">
        <f ca="1">IF(Table_NFI[[#This Row],[Pcode]]="","",OFFSET(CampList[Priority],MATCH(Table_NFI[[#This Row],[Pcode]],CampList[CP_Pcode],0)-1,0,1,1))</f>
        <v>P3</v>
      </c>
      <c r="AU230" s="293">
        <f>IFERROR(Table_NFI[[#This Row],[Kitchen Set]]/VLOOKUP(Table_NFI[[#This Row],[Camp Name]],CL,4,0),"")</f>
        <v>0</v>
      </c>
      <c r="AV230" s="466"/>
      <c r="AW230" s="469"/>
    </row>
    <row r="231" spans="1:49" s="470" customFormat="1" ht="14.45" customHeight="1" x14ac:dyDescent="0.25">
      <c r="A231" s="297">
        <f t="shared" si="3"/>
        <v>24.3</v>
      </c>
      <c r="B231" s="465">
        <v>41946</v>
      </c>
      <c r="C231" s="466" t="s">
        <v>452</v>
      </c>
      <c r="D231" s="466" t="s">
        <v>505</v>
      </c>
      <c r="E231" s="466" t="s">
        <v>380</v>
      </c>
      <c r="F231" s="466" t="s">
        <v>310</v>
      </c>
      <c r="G231" s="466" t="s">
        <v>313</v>
      </c>
      <c r="H231" s="291"/>
      <c r="I231" s="291"/>
      <c r="J231" s="291">
        <v>15</v>
      </c>
      <c r="K231" s="291">
        <v>30</v>
      </c>
      <c r="L231" s="292">
        <v>15</v>
      </c>
      <c r="M231" s="292">
        <v>30</v>
      </c>
      <c r="N231" s="292">
        <v>15</v>
      </c>
      <c r="O231" s="292"/>
      <c r="P231" s="294">
        <v>15</v>
      </c>
      <c r="Q231" s="294">
        <v>75</v>
      </c>
      <c r="R231" s="294"/>
      <c r="S231" s="294"/>
      <c r="T231" s="294"/>
      <c r="U231" s="294"/>
      <c r="V231" s="431"/>
      <c r="W231" s="294"/>
      <c r="X231" s="294"/>
      <c r="Y231" s="294">
        <f>IF(NFI_Expiration=1,IF($A231&lt;VLOOKUP(H$5,NFI,5,0),1,0)*Table_NFI[[#This Row],[Hygiene Kit]],Table_NFI[Hygiene Kit])</f>
        <v>0</v>
      </c>
      <c r="Z231" s="294">
        <f>IF(NFI_Expiration=1,IF($A231&lt;VLOOKUP(I$5,NFI,5,0),1,0)*Table_NFI[[#This Row],[NFI Core Kit]],Table_NFI[NFI Core Kit])</f>
        <v>0</v>
      </c>
      <c r="AA231" s="294">
        <f>IF(NFI_Expiration=1,IF($A231&lt;VLOOKUP(J$5,NFI,5,0),1,0)*Table_NFI[[#This Row],[Sanitary Kit]],Table_NFI[Sanitary Kit])</f>
        <v>0</v>
      </c>
      <c r="AB231" s="294">
        <f>IF(NFI_Expiration=1,IF($A231&lt;VLOOKUP(K$5,NFI,5,0),1,0)*Table_NFI[[#This Row],[Mosquito net]],Table_NFI[Mosquito net])</f>
        <v>0</v>
      </c>
      <c r="AC231" s="294">
        <f>IF(NFI_Expiration=1,IF($A231&lt;VLOOKUP(L$5,NFI,5,0),1,0)*Table_NFI[[#This Row],[Tarpaulin]],Table_NFI[[#This Row],[Tarpaulin]])</f>
        <v>0</v>
      </c>
      <c r="AD231" s="294">
        <f>IF(NFI_Expiration=1,IF($A231&lt;VLOOKUP(M$5,NFI,5,0),1,0)*Table_NFI[[#This Row],[Blanket]],Table_NFI[[#This Row],[Blanket]])</f>
        <v>0</v>
      </c>
      <c r="AE231" s="294">
        <f>IF(NFI_Expiration=1,IF($A231&lt;VLOOKUP(N$5,NFI,5,0),1,0)*Table_NFI[[#This Row],[Kitchen Set]],Table_NFI[Kitchen Set])</f>
        <v>0</v>
      </c>
      <c r="AF231" s="294">
        <f>IF(NFI_Expiration=1,IF($A231&lt;VLOOKUP(O$5,NFI,5,0),1,0)*Table_NFI[[#This Row],[Clothes Kit]],Table_NFI[Clothes Kit])</f>
        <v>0</v>
      </c>
      <c r="AG231" s="294">
        <f>IF(NFI_Expiration=1,IF($A231&lt;VLOOKUP(P$5,NFI,5,0),1,0)*Table_NFI[[#This Row],[Plastic Bucket]],Table_NFI[Plastic Bucket])</f>
        <v>0</v>
      </c>
      <c r="AH231" s="294">
        <f>IF(NFI_Expiration=1,IF($A231&lt;VLOOKUP(Q$5,NFI,5,0),1,0)*Table_NFI[[#This Row],[Plastic Mat]],Table_NFI[Plastic Mat])*IF(Table_NFI[[#This Row],[Distribution Date]]&gt;"2014-04-01",1,2.5)</f>
        <v>0</v>
      </c>
      <c r="AI231" s="294">
        <f>IF(NFI_Expiration=1,IF($A231&lt;VLOOKUP(R$5,NFI,5,0),1,0)*Table_NFI[[#This Row],[Winter Clothes Adult]],Table_NFI[Winter Clothes Adult])</f>
        <v>0</v>
      </c>
      <c r="AJ231" s="294">
        <f>IF(NFI_Expiration=1,IF($A231&lt;VLOOKUP(S$5,NFI,5,0),1,0)*Table_NFI[[#This Row],[Winter Clothes Children]],Table_NFI[Winter Clothes Children])</f>
        <v>0</v>
      </c>
      <c r="AK231" s="294">
        <f>IF(NFI_Expiration=1,IF($A231&lt;VLOOKUP(T$5,NFI,5,0),1,0)*Table_NFI[[#This Row],[Winter Items Other]],Table_NFI[Winter Items Other])</f>
        <v>0</v>
      </c>
      <c r="AL231" s="294">
        <f>IF(NFI_Expiration=1,IF($A231&lt;VLOOKUP(M$5,NFI,5,0),1,0)*Table_NFI[[#This Row],[Winter Blanket]],Table_NFI[[#This Row],[Winter Blanket]])</f>
        <v>0</v>
      </c>
      <c r="AM231" s="294">
        <f>IF(Table_NFI[[#This Row],[Winter Clothes Adult]]+Table_NFI[[#This Row],[Winter Clothes Children]]+Table_NFI[[#This Row],[Winter Items Other]]+Table_NFI[[#This Row],[Winter Blanket]]&gt;0,1,0)</f>
        <v>0</v>
      </c>
      <c r="AN231" s="331">
        <f>IF(NFI_Expiration=1,IF($A231&lt;VLOOKUP(V$5,NFI,5,0),1,0)*Table_NFI[[#This Row],[Jerry Can]],Table_NFI[Jerry Can])</f>
        <v>0</v>
      </c>
      <c r="AO231" s="331">
        <f>IF(NFI_Expiration=1,IF($A231&lt;VLOOKUP(V$5,NFI,5,0),1,0)*Table_NFI[[#This Row],[Shelter Tool kit]],Table_NFI[Shelter Tool kit])</f>
        <v>0</v>
      </c>
      <c r="AP231" s="331">
        <f>IF(NFI_Expiration=1,IF($A231&lt;VLOOKUP(V$5,NFI,5,0),1,0)*Table_NFI[[#This Row],[Tent]],Table_NFI[Tent])</f>
        <v>0</v>
      </c>
      <c r="AQ231" s="473" t="str">
        <f>IFERROR(VLOOKUP(Table_NFI[[#This Row],[Camp Name]],CL,2,0),"")</f>
        <v>MMR001CMP028</v>
      </c>
      <c r="AR231" s="468">
        <f ca="1">IF(Table_NFI[[#This Row],[Pcode]]="","",IF(OFFSET(CampList[Opening Date],MATCH(Table_NFI[[#This Row],[Pcode]],CampList[CP_Pcode],0)-1,0,1,1)&gt;=NFI_Monitor_Date,1,0))</f>
        <v>0</v>
      </c>
      <c r="AS231" s="473" t="str">
        <f>IFERROR(VLOOKUP(Table_NFI[[#This Row],[Camp Name]],CL,3,0),"")</f>
        <v>Open</v>
      </c>
      <c r="AT231" s="294" t="str">
        <f ca="1">IF(Table_NFI[[#This Row],[Pcode]]="","",OFFSET(CampList[Priority],MATCH(Table_NFI[[#This Row],[Pcode]],CampList[CP_Pcode],0)-1,0,1,1))</f>
        <v>P4</v>
      </c>
      <c r="AU231" s="293">
        <f>IFERROR(Table_NFI[[#This Row],[Kitchen Set]]/VLOOKUP(Table_NFI[[#This Row],[Camp Name]],CL,4,0),"")</f>
        <v>0.15151515151515152</v>
      </c>
      <c r="AV231" s="466"/>
      <c r="AW231" s="469"/>
    </row>
    <row r="232" spans="1:49" s="470" customFormat="1" ht="14.45" customHeight="1" x14ac:dyDescent="0.25">
      <c r="A232" s="297">
        <f t="shared" si="3"/>
        <v>24.4</v>
      </c>
      <c r="B232" s="465">
        <v>41943</v>
      </c>
      <c r="C232" s="466" t="s">
        <v>452</v>
      </c>
      <c r="D232" s="466"/>
      <c r="E232" s="466" t="s">
        <v>380</v>
      </c>
      <c r="F232" s="466" t="s">
        <v>527</v>
      </c>
      <c r="G232" s="466" t="s">
        <v>62</v>
      </c>
      <c r="H232" s="291"/>
      <c r="I232" s="291"/>
      <c r="J232" s="291">
        <v>77</v>
      </c>
      <c r="K232" s="291">
        <v>154</v>
      </c>
      <c r="L232" s="292">
        <v>77</v>
      </c>
      <c r="M232" s="292">
        <v>154</v>
      </c>
      <c r="N232" s="292">
        <v>77</v>
      </c>
      <c r="O232" s="292"/>
      <c r="P232" s="294">
        <v>77</v>
      </c>
      <c r="Q232" s="294">
        <v>385</v>
      </c>
      <c r="R232" s="294"/>
      <c r="S232" s="294"/>
      <c r="T232" s="294"/>
      <c r="U232" s="294"/>
      <c r="V232" s="431"/>
      <c r="W232" s="294"/>
      <c r="X232" s="294"/>
      <c r="Y232" s="294">
        <f>IF(NFI_Expiration=1,IF($A232&lt;VLOOKUP(H$5,NFI,5,0),1,0)*Table_NFI[[#This Row],[Hygiene Kit]],Table_NFI[Hygiene Kit])</f>
        <v>0</v>
      </c>
      <c r="Z232" s="294">
        <f>IF(NFI_Expiration=1,IF($A232&lt;VLOOKUP(I$5,NFI,5,0),1,0)*Table_NFI[[#This Row],[NFI Core Kit]],Table_NFI[NFI Core Kit])</f>
        <v>0</v>
      </c>
      <c r="AA232" s="294">
        <f>IF(NFI_Expiration=1,IF($A232&lt;VLOOKUP(J$5,NFI,5,0),1,0)*Table_NFI[[#This Row],[Sanitary Kit]],Table_NFI[Sanitary Kit])</f>
        <v>0</v>
      </c>
      <c r="AB232" s="294">
        <f>IF(NFI_Expiration=1,IF($A232&lt;VLOOKUP(K$5,NFI,5,0),1,0)*Table_NFI[[#This Row],[Mosquito net]],Table_NFI[Mosquito net])</f>
        <v>0</v>
      </c>
      <c r="AC232" s="294">
        <f>IF(NFI_Expiration=1,IF($A232&lt;VLOOKUP(L$5,NFI,5,0),1,0)*Table_NFI[[#This Row],[Tarpaulin]],Table_NFI[[#This Row],[Tarpaulin]])</f>
        <v>0</v>
      </c>
      <c r="AD232" s="294">
        <f>IF(NFI_Expiration=1,IF($A232&lt;VLOOKUP(M$5,NFI,5,0),1,0)*Table_NFI[[#This Row],[Blanket]],Table_NFI[[#This Row],[Blanket]])</f>
        <v>0</v>
      </c>
      <c r="AE232" s="294">
        <f>IF(NFI_Expiration=1,IF($A232&lt;VLOOKUP(N$5,NFI,5,0),1,0)*Table_NFI[[#This Row],[Kitchen Set]],Table_NFI[Kitchen Set])</f>
        <v>0</v>
      </c>
      <c r="AF232" s="294">
        <f>IF(NFI_Expiration=1,IF($A232&lt;VLOOKUP(O$5,NFI,5,0),1,0)*Table_NFI[[#This Row],[Clothes Kit]],Table_NFI[Clothes Kit])</f>
        <v>0</v>
      </c>
      <c r="AG232" s="294">
        <f>IF(NFI_Expiration=1,IF($A232&lt;VLOOKUP(P$5,NFI,5,0),1,0)*Table_NFI[[#This Row],[Plastic Bucket]],Table_NFI[Plastic Bucket])</f>
        <v>0</v>
      </c>
      <c r="AH232" s="294">
        <f>IF(NFI_Expiration=1,IF($A232&lt;VLOOKUP(Q$5,NFI,5,0),1,0)*Table_NFI[[#This Row],[Plastic Mat]],Table_NFI[Plastic Mat])*IF(Table_NFI[[#This Row],[Distribution Date]]&gt;"2014-04-01",1,2.5)</f>
        <v>0</v>
      </c>
      <c r="AI232" s="294">
        <f>IF(NFI_Expiration=1,IF($A232&lt;VLOOKUP(R$5,NFI,5,0),1,0)*Table_NFI[[#This Row],[Winter Clothes Adult]],Table_NFI[Winter Clothes Adult])</f>
        <v>0</v>
      </c>
      <c r="AJ232" s="294">
        <f>IF(NFI_Expiration=1,IF($A232&lt;VLOOKUP(S$5,NFI,5,0),1,0)*Table_NFI[[#This Row],[Winter Clothes Children]],Table_NFI[Winter Clothes Children])</f>
        <v>0</v>
      </c>
      <c r="AK232" s="294">
        <f>IF(NFI_Expiration=1,IF($A232&lt;VLOOKUP(T$5,NFI,5,0),1,0)*Table_NFI[[#This Row],[Winter Items Other]],Table_NFI[Winter Items Other])</f>
        <v>0</v>
      </c>
      <c r="AL232" s="294">
        <f>IF(NFI_Expiration=1,IF($A232&lt;VLOOKUP(M$5,NFI,5,0),1,0)*Table_NFI[[#This Row],[Winter Blanket]],Table_NFI[[#This Row],[Winter Blanket]])</f>
        <v>0</v>
      </c>
      <c r="AM232" s="294">
        <f>IF(Table_NFI[[#This Row],[Winter Clothes Adult]]+Table_NFI[[#This Row],[Winter Clothes Children]]+Table_NFI[[#This Row],[Winter Items Other]]+Table_NFI[[#This Row],[Winter Blanket]]&gt;0,1,0)</f>
        <v>0</v>
      </c>
      <c r="AN232" s="331">
        <f>IF(NFI_Expiration=1,IF($A232&lt;VLOOKUP(V$5,NFI,5,0),1,0)*Table_NFI[[#This Row],[Jerry Can]],Table_NFI[Jerry Can])</f>
        <v>0</v>
      </c>
      <c r="AO232" s="331">
        <f>IF(NFI_Expiration=1,IF($A232&lt;VLOOKUP(V$5,NFI,5,0),1,0)*Table_NFI[[#This Row],[Shelter Tool kit]],Table_NFI[Shelter Tool kit])</f>
        <v>0</v>
      </c>
      <c r="AP232" s="331">
        <f>IF(NFI_Expiration=1,IF($A232&lt;VLOOKUP(V$5,NFI,5,0),1,0)*Table_NFI[[#This Row],[Tent]],Table_NFI[Tent])</f>
        <v>0</v>
      </c>
      <c r="AQ232" s="473" t="str">
        <f>IFERROR(VLOOKUP(Table_NFI[[#This Row],[Camp Name]],CL,2,0),"")</f>
        <v>MMR001CMP179</v>
      </c>
      <c r="AR232" s="468">
        <f ca="1">IF(Table_NFI[[#This Row],[Pcode]]="","",IF(OFFSET(CampList[Opening Date],MATCH(Table_NFI[[#This Row],[Pcode]],CampList[CP_Pcode],0)-1,0,1,1)&gt;=NFI_Monitor_Date,1,0))</f>
        <v>0</v>
      </c>
      <c r="AS232" s="473" t="str">
        <f>IFERROR(VLOOKUP(Table_NFI[[#This Row],[Camp Name]],CL,3,0),"")</f>
        <v>Open</v>
      </c>
      <c r="AT232" s="294" t="str">
        <f ca="1">IF(Table_NFI[[#This Row],[Pcode]]="","",OFFSET(CampList[Priority],MATCH(Table_NFI[[#This Row],[Pcode]],CampList[CP_Pcode],0)-1,0,1,1))</f>
        <v>P4</v>
      </c>
      <c r="AU232" s="293">
        <f>IFERROR(Table_NFI[[#This Row],[Kitchen Set]]/VLOOKUP(Table_NFI[[#This Row],[Camp Name]],CL,4,0),"")</f>
        <v>1.1492537313432836</v>
      </c>
      <c r="AV232" s="466"/>
      <c r="AW232" s="469"/>
    </row>
    <row r="233" spans="1:49" s="470" customFormat="1" ht="14.45" customHeight="1" x14ac:dyDescent="0.25">
      <c r="A233" s="297">
        <f t="shared" si="3"/>
        <v>24.4</v>
      </c>
      <c r="B233" s="465">
        <v>41943</v>
      </c>
      <c r="C233" s="466" t="s">
        <v>452</v>
      </c>
      <c r="D233" s="466"/>
      <c r="E233" s="466" t="s">
        <v>380</v>
      </c>
      <c r="F233" s="466" t="s">
        <v>527</v>
      </c>
      <c r="G233" s="466" t="s">
        <v>120</v>
      </c>
      <c r="H233" s="291"/>
      <c r="I233" s="291"/>
      <c r="J233" s="291">
        <v>59</v>
      </c>
      <c r="K233" s="291">
        <v>118</v>
      </c>
      <c r="L233" s="292">
        <v>59</v>
      </c>
      <c r="M233" s="292">
        <v>118</v>
      </c>
      <c r="N233" s="292">
        <v>59</v>
      </c>
      <c r="O233" s="292"/>
      <c r="P233" s="294">
        <v>59</v>
      </c>
      <c r="Q233" s="294">
        <v>295</v>
      </c>
      <c r="R233" s="294"/>
      <c r="S233" s="294"/>
      <c r="T233" s="294"/>
      <c r="U233" s="294"/>
      <c r="V233" s="431"/>
      <c r="W233" s="294"/>
      <c r="X233" s="294"/>
      <c r="Y233" s="294">
        <f>IF(NFI_Expiration=1,IF($A233&lt;VLOOKUP(H$5,NFI,5,0),1,0)*Table_NFI[[#This Row],[Hygiene Kit]],Table_NFI[Hygiene Kit])</f>
        <v>0</v>
      </c>
      <c r="Z233" s="294">
        <f>IF(NFI_Expiration=1,IF($A233&lt;VLOOKUP(I$5,NFI,5,0),1,0)*Table_NFI[[#This Row],[NFI Core Kit]],Table_NFI[NFI Core Kit])</f>
        <v>0</v>
      </c>
      <c r="AA233" s="294">
        <f>IF(NFI_Expiration=1,IF($A233&lt;VLOOKUP(J$5,NFI,5,0),1,0)*Table_NFI[[#This Row],[Sanitary Kit]],Table_NFI[Sanitary Kit])</f>
        <v>0</v>
      </c>
      <c r="AB233" s="294">
        <f>IF(NFI_Expiration=1,IF($A233&lt;VLOOKUP(K$5,NFI,5,0),1,0)*Table_NFI[[#This Row],[Mosquito net]],Table_NFI[Mosquito net])</f>
        <v>0</v>
      </c>
      <c r="AC233" s="294">
        <f>IF(NFI_Expiration=1,IF($A233&lt;VLOOKUP(L$5,NFI,5,0),1,0)*Table_NFI[[#This Row],[Tarpaulin]],Table_NFI[[#This Row],[Tarpaulin]])</f>
        <v>0</v>
      </c>
      <c r="AD233" s="294">
        <f>IF(NFI_Expiration=1,IF($A233&lt;VLOOKUP(M$5,NFI,5,0),1,0)*Table_NFI[[#This Row],[Blanket]],Table_NFI[[#This Row],[Blanket]])</f>
        <v>0</v>
      </c>
      <c r="AE233" s="294">
        <f>IF(NFI_Expiration=1,IF($A233&lt;VLOOKUP(N$5,NFI,5,0),1,0)*Table_NFI[[#This Row],[Kitchen Set]],Table_NFI[Kitchen Set])</f>
        <v>0</v>
      </c>
      <c r="AF233" s="294">
        <f>IF(NFI_Expiration=1,IF($A233&lt;VLOOKUP(O$5,NFI,5,0),1,0)*Table_NFI[[#This Row],[Clothes Kit]],Table_NFI[Clothes Kit])</f>
        <v>0</v>
      </c>
      <c r="AG233" s="294">
        <f>IF(NFI_Expiration=1,IF($A233&lt;VLOOKUP(P$5,NFI,5,0),1,0)*Table_NFI[[#This Row],[Plastic Bucket]],Table_NFI[Plastic Bucket])</f>
        <v>0</v>
      </c>
      <c r="AH233" s="294">
        <f>IF(NFI_Expiration=1,IF($A233&lt;VLOOKUP(Q$5,NFI,5,0),1,0)*Table_NFI[[#This Row],[Plastic Mat]],Table_NFI[Plastic Mat])*IF(Table_NFI[[#This Row],[Distribution Date]]&gt;"2014-04-01",1,2.5)</f>
        <v>0</v>
      </c>
      <c r="AI233" s="294">
        <f>IF(NFI_Expiration=1,IF($A233&lt;VLOOKUP(R$5,NFI,5,0),1,0)*Table_NFI[[#This Row],[Winter Clothes Adult]],Table_NFI[Winter Clothes Adult])</f>
        <v>0</v>
      </c>
      <c r="AJ233" s="294">
        <f>IF(NFI_Expiration=1,IF($A233&lt;VLOOKUP(S$5,NFI,5,0),1,0)*Table_NFI[[#This Row],[Winter Clothes Children]],Table_NFI[Winter Clothes Children])</f>
        <v>0</v>
      </c>
      <c r="AK233" s="294">
        <f>IF(NFI_Expiration=1,IF($A233&lt;VLOOKUP(T$5,NFI,5,0),1,0)*Table_NFI[[#This Row],[Winter Items Other]],Table_NFI[Winter Items Other])</f>
        <v>0</v>
      </c>
      <c r="AL233" s="294">
        <f>IF(NFI_Expiration=1,IF($A233&lt;VLOOKUP(M$5,NFI,5,0),1,0)*Table_NFI[[#This Row],[Winter Blanket]],Table_NFI[[#This Row],[Winter Blanket]])</f>
        <v>0</v>
      </c>
      <c r="AM233" s="294">
        <f>IF(Table_NFI[[#This Row],[Winter Clothes Adult]]+Table_NFI[[#This Row],[Winter Clothes Children]]+Table_NFI[[#This Row],[Winter Items Other]]+Table_NFI[[#This Row],[Winter Blanket]]&gt;0,1,0)</f>
        <v>0</v>
      </c>
      <c r="AN233" s="331">
        <f>IF(NFI_Expiration=1,IF($A233&lt;VLOOKUP(V$5,NFI,5,0),1,0)*Table_NFI[[#This Row],[Jerry Can]],Table_NFI[Jerry Can])</f>
        <v>0</v>
      </c>
      <c r="AO233" s="331">
        <f>IF(NFI_Expiration=1,IF($A233&lt;VLOOKUP(V$5,NFI,5,0),1,0)*Table_NFI[[#This Row],[Shelter Tool kit]],Table_NFI[Shelter Tool kit])</f>
        <v>0</v>
      </c>
      <c r="AP233" s="331">
        <f>IF(NFI_Expiration=1,IF($A233&lt;VLOOKUP(V$5,NFI,5,0),1,0)*Table_NFI[[#This Row],[Tent]],Table_NFI[Tent])</f>
        <v>0</v>
      </c>
      <c r="AQ233" s="473" t="str">
        <f>IFERROR(VLOOKUP(Table_NFI[[#This Row],[Camp Name]],CL,2,0),"")</f>
        <v>MMR001CMP168</v>
      </c>
      <c r="AR233" s="468">
        <f ca="1">IF(Table_NFI[[#This Row],[Pcode]]="","",IF(OFFSET(CampList[Opening Date],MATCH(Table_NFI[[#This Row],[Pcode]],CampList[CP_Pcode],0)-1,0,1,1)&gt;=NFI_Monitor_Date,1,0))</f>
        <v>0</v>
      </c>
      <c r="AS233" s="473" t="str">
        <f>IFERROR(VLOOKUP(Table_NFI[[#This Row],[Camp Name]],CL,3,0),"")</f>
        <v>Open</v>
      </c>
      <c r="AT233" s="294" t="str">
        <f ca="1">IF(Table_NFI[[#This Row],[Pcode]]="","",OFFSET(CampList[Priority],MATCH(Table_NFI[[#This Row],[Pcode]],CampList[CP_Pcode],0)-1,0,1,1))</f>
        <v>P4</v>
      </c>
      <c r="AU233" s="293">
        <f>IFERROR(Table_NFI[[#This Row],[Kitchen Set]]/VLOOKUP(Table_NFI[[#This Row],[Camp Name]],CL,4,0),"")</f>
        <v>0.76623376623376627</v>
      </c>
      <c r="AV233" s="466"/>
      <c r="AW233" s="469"/>
    </row>
    <row r="234" spans="1:49" s="470" customFormat="1" ht="14.45" customHeight="1" x14ac:dyDescent="0.25">
      <c r="A234" s="297">
        <f t="shared" si="3"/>
        <v>24.4</v>
      </c>
      <c r="B234" s="465">
        <v>41943</v>
      </c>
      <c r="C234" s="466" t="s">
        <v>452</v>
      </c>
      <c r="D234" s="466"/>
      <c r="E234" s="466" t="s">
        <v>380</v>
      </c>
      <c r="F234" s="466" t="s">
        <v>527</v>
      </c>
      <c r="G234" s="466" t="s">
        <v>41</v>
      </c>
      <c r="H234" s="291"/>
      <c r="I234" s="291"/>
      <c r="J234" s="291">
        <v>67</v>
      </c>
      <c r="K234" s="291">
        <v>134</v>
      </c>
      <c r="L234" s="292">
        <v>67</v>
      </c>
      <c r="M234" s="292">
        <v>134</v>
      </c>
      <c r="N234" s="292">
        <v>67</v>
      </c>
      <c r="O234" s="292"/>
      <c r="P234" s="294">
        <v>67</v>
      </c>
      <c r="Q234" s="294">
        <v>335</v>
      </c>
      <c r="R234" s="294"/>
      <c r="S234" s="294"/>
      <c r="T234" s="294"/>
      <c r="U234" s="294"/>
      <c r="V234" s="431"/>
      <c r="W234" s="294"/>
      <c r="X234" s="294"/>
      <c r="Y234" s="294">
        <f>IF(NFI_Expiration=1,IF($A234&lt;VLOOKUP(H$5,NFI,5,0),1,0)*Table_NFI[[#This Row],[Hygiene Kit]],Table_NFI[Hygiene Kit])</f>
        <v>0</v>
      </c>
      <c r="Z234" s="294">
        <f>IF(NFI_Expiration=1,IF($A234&lt;VLOOKUP(I$5,NFI,5,0),1,0)*Table_NFI[[#This Row],[NFI Core Kit]],Table_NFI[NFI Core Kit])</f>
        <v>0</v>
      </c>
      <c r="AA234" s="294">
        <f>IF(NFI_Expiration=1,IF($A234&lt;VLOOKUP(J$5,NFI,5,0),1,0)*Table_NFI[[#This Row],[Sanitary Kit]],Table_NFI[Sanitary Kit])</f>
        <v>0</v>
      </c>
      <c r="AB234" s="294">
        <f>IF(NFI_Expiration=1,IF($A234&lt;VLOOKUP(K$5,NFI,5,0),1,0)*Table_NFI[[#This Row],[Mosquito net]],Table_NFI[Mosquito net])</f>
        <v>0</v>
      </c>
      <c r="AC234" s="294">
        <f>IF(NFI_Expiration=1,IF($A234&lt;VLOOKUP(L$5,NFI,5,0),1,0)*Table_NFI[[#This Row],[Tarpaulin]],Table_NFI[[#This Row],[Tarpaulin]])</f>
        <v>0</v>
      </c>
      <c r="AD234" s="294">
        <f>IF(NFI_Expiration=1,IF($A234&lt;VLOOKUP(M$5,NFI,5,0),1,0)*Table_NFI[[#This Row],[Blanket]],Table_NFI[[#This Row],[Blanket]])</f>
        <v>0</v>
      </c>
      <c r="AE234" s="294">
        <f>IF(NFI_Expiration=1,IF($A234&lt;VLOOKUP(N$5,NFI,5,0),1,0)*Table_NFI[[#This Row],[Kitchen Set]],Table_NFI[Kitchen Set])</f>
        <v>0</v>
      </c>
      <c r="AF234" s="294">
        <f>IF(NFI_Expiration=1,IF($A234&lt;VLOOKUP(O$5,NFI,5,0),1,0)*Table_NFI[[#This Row],[Clothes Kit]],Table_NFI[Clothes Kit])</f>
        <v>0</v>
      </c>
      <c r="AG234" s="294">
        <f>IF(NFI_Expiration=1,IF($A234&lt;VLOOKUP(P$5,NFI,5,0),1,0)*Table_NFI[[#This Row],[Plastic Bucket]],Table_NFI[Plastic Bucket])</f>
        <v>0</v>
      </c>
      <c r="AH234" s="294">
        <f>IF(NFI_Expiration=1,IF($A234&lt;VLOOKUP(Q$5,NFI,5,0),1,0)*Table_NFI[[#This Row],[Plastic Mat]],Table_NFI[Plastic Mat])*IF(Table_NFI[[#This Row],[Distribution Date]]&gt;"2014-04-01",1,2.5)</f>
        <v>0</v>
      </c>
      <c r="AI234" s="294">
        <f>IF(NFI_Expiration=1,IF($A234&lt;VLOOKUP(R$5,NFI,5,0),1,0)*Table_NFI[[#This Row],[Winter Clothes Adult]],Table_NFI[Winter Clothes Adult])</f>
        <v>0</v>
      </c>
      <c r="AJ234" s="294">
        <f>IF(NFI_Expiration=1,IF($A234&lt;VLOOKUP(S$5,NFI,5,0),1,0)*Table_NFI[[#This Row],[Winter Clothes Children]],Table_NFI[Winter Clothes Children])</f>
        <v>0</v>
      </c>
      <c r="AK234" s="294">
        <f>IF(NFI_Expiration=1,IF($A234&lt;VLOOKUP(T$5,NFI,5,0),1,0)*Table_NFI[[#This Row],[Winter Items Other]],Table_NFI[Winter Items Other])</f>
        <v>0</v>
      </c>
      <c r="AL234" s="294">
        <f>IF(NFI_Expiration=1,IF($A234&lt;VLOOKUP(M$5,NFI,5,0),1,0)*Table_NFI[[#This Row],[Winter Blanket]],Table_NFI[[#This Row],[Winter Blanket]])</f>
        <v>0</v>
      </c>
      <c r="AM234" s="294">
        <f>IF(Table_NFI[[#This Row],[Winter Clothes Adult]]+Table_NFI[[#This Row],[Winter Clothes Children]]+Table_NFI[[#This Row],[Winter Items Other]]+Table_NFI[[#This Row],[Winter Blanket]]&gt;0,1,0)</f>
        <v>0</v>
      </c>
      <c r="AN234" s="331">
        <f>IF(NFI_Expiration=1,IF($A234&lt;VLOOKUP(V$5,NFI,5,0),1,0)*Table_NFI[[#This Row],[Jerry Can]],Table_NFI[Jerry Can])</f>
        <v>0</v>
      </c>
      <c r="AO234" s="331">
        <f>IF(NFI_Expiration=1,IF($A234&lt;VLOOKUP(V$5,NFI,5,0),1,0)*Table_NFI[[#This Row],[Shelter Tool kit]],Table_NFI[Shelter Tool kit])</f>
        <v>0</v>
      </c>
      <c r="AP234" s="331">
        <f>IF(NFI_Expiration=1,IF($A234&lt;VLOOKUP(V$5,NFI,5,0),1,0)*Table_NFI[[#This Row],[Tent]],Table_NFI[Tent])</f>
        <v>0</v>
      </c>
      <c r="AQ234" s="473" t="str">
        <f>IFERROR(VLOOKUP(Table_NFI[[#This Row],[Camp Name]],CL,2,0),"")</f>
        <v>MMR001CMP176</v>
      </c>
      <c r="AR234" s="468">
        <f ca="1">IF(Table_NFI[[#This Row],[Pcode]]="","",IF(OFFSET(CampList[Opening Date],MATCH(Table_NFI[[#This Row],[Pcode]],CampList[CP_Pcode],0)-1,0,1,1)&gt;=NFI_Monitor_Date,1,0))</f>
        <v>0</v>
      </c>
      <c r="AS234" s="473" t="str">
        <f>IFERROR(VLOOKUP(Table_NFI[[#This Row],[Camp Name]],CL,3,0),"")</f>
        <v>Open</v>
      </c>
      <c r="AT234" s="294" t="str">
        <f ca="1">IF(Table_NFI[[#This Row],[Pcode]]="","",OFFSET(CampList[Priority],MATCH(Table_NFI[[#This Row],[Pcode]],CampList[CP_Pcode],0)-1,0,1,1))</f>
        <v>P4</v>
      </c>
      <c r="AU234" s="293">
        <f>IFERROR(Table_NFI[[#This Row],[Kitchen Set]]/VLOOKUP(Table_NFI[[#This Row],[Camp Name]],CL,4,0),"")</f>
        <v>1</v>
      </c>
      <c r="AV234" s="466"/>
      <c r="AW234" s="469"/>
    </row>
    <row r="235" spans="1:49" s="470" customFormat="1" ht="14.45" customHeight="1" x14ac:dyDescent="0.25">
      <c r="A235" s="297">
        <f t="shared" si="3"/>
        <v>24.4</v>
      </c>
      <c r="B235" s="465">
        <v>41943</v>
      </c>
      <c r="C235" s="466" t="s">
        <v>452</v>
      </c>
      <c r="D235" s="466"/>
      <c r="E235" s="466" t="s">
        <v>380</v>
      </c>
      <c r="F235" s="466" t="s">
        <v>527</v>
      </c>
      <c r="G235" s="466" t="s">
        <v>43</v>
      </c>
      <c r="H235" s="291"/>
      <c r="I235" s="291"/>
      <c r="J235" s="291">
        <v>14</v>
      </c>
      <c r="K235" s="291">
        <v>28</v>
      </c>
      <c r="L235" s="292">
        <v>14</v>
      </c>
      <c r="M235" s="292">
        <v>28</v>
      </c>
      <c r="N235" s="292">
        <v>14</v>
      </c>
      <c r="O235" s="292"/>
      <c r="P235" s="294">
        <v>14</v>
      </c>
      <c r="Q235" s="294">
        <v>70</v>
      </c>
      <c r="R235" s="294"/>
      <c r="S235" s="294"/>
      <c r="T235" s="294"/>
      <c r="U235" s="294"/>
      <c r="V235" s="431"/>
      <c r="W235" s="294"/>
      <c r="X235" s="294"/>
      <c r="Y235" s="294">
        <f>IF(NFI_Expiration=1,IF($A235&lt;VLOOKUP(H$5,NFI,5,0),1,0)*Table_NFI[[#This Row],[Hygiene Kit]],Table_NFI[Hygiene Kit])</f>
        <v>0</v>
      </c>
      <c r="Z235" s="294">
        <f>IF(NFI_Expiration=1,IF($A235&lt;VLOOKUP(I$5,NFI,5,0),1,0)*Table_NFI[[#This Row],[NFI Core Kit]],Table_NFI[NFI Core Kit])</f>
        <v>0</v>
      </c>
      <c r="AA235" s="294">
        <f>IF(NFI_Expiration=1,IF($A235&lt;VLOOKUP(J$5,NFI,5,0),1,0)*Table_NFI[[#This Row],[Sanitary Kit]],Table_NFI[Sanitary Kit])</f>
        <v>0</v>
      </c>
      <c r="AB235" s="294">
        <f>IF(NFI_Expiration=1,IF($A235&lt;VLOOKUP(K$5,NFI,5,0),1,0)*Table_NFI[[#This Row],[Mosquito net]],Table_NFI[Mosquito net])</f>
        <v>0</v>
      </c>
      <c r="AC235" s="294">
        <f>IF(NFI_Expiration=1,IF($A235&lt;VLOOKUP(L$5,NFI,5,0),1,0)*Table_NFI[[#This Row],[Tarpaulin]],Table_NFI[[#This Row],[Tarpaulin]])</f>
        <v>0</v>
      </c>
      <c r="AD235" s="294">
        <f>IF(NFI_Expiration=1,IF($A235&lt;VLOOKUP(M$5,NFI,5,0),1,0)*Table_NFI[[#This Row],[Blanket]],Table_NFI[[#This Row],[Blanket]])</f>
        <v>0</v>
      </c>
      <c r="AE235" s="294">
        <f>IF(NFI_Expiration=1,IF($A235&lt;VLOOKUP(N$5,NFI,5,0),1,0)*Table_NFI[[#This Row],[Kitchen Set]],Table_NFI[Kitchen Set])</f>
        <v>0</v>
      </c>
      <c r="AF235" s="294">
        <f>IF(NFI_Expiration=1,IF($A235&lt;VLOOKUP(O$5,NFI,5,0),1,0)*Table_NFI[[#This Row],[Clothes Kit]],Table_NFI[Clothes Kit])</f>
        <v>0</v>
      </c>
      <c r="AG235" s="294">
        <f>IF(NFI_Expiration=1,IF($A235&lt;VLOOKUP(P$5,NFI,5,0),1,0)*Table_NFI[[#This Row],[Plastic Bucket]],Table_NFI[Plastic Bucket])</f>
        <v>0</v>
      </c>
      <c r="AH235" s="294">
        <f>IF(NFI_Expiration=1,IF($A235&lt;VLOOKUP(Q$5,NFI,5,0),1,0)*Table_NFI[[#This Row],[Plastic Mat]],Table_NFI[Plastic Mat])*IF(Table_NFI[[#This Row],[Distribution Date]]&gt;"2014-04-01",1,2.5)</f>
        <v>0</v>
      </c>
      <c r="AI235" s="294">
        <f>IF(NFI_Expiration=1,IF($A235&lt;VLOOKUP(R$5,NFI,5,0),1,0)*Table_NFI[[#This Row],[Winter Clothes Adult]],Table_NFI[Winter Clothes Adult])</f>
        <v>0</v>
      </c>
      <c r="AJ235" s="294">
        <f>IF(NFI_Expiration=1,IF($A235&lt;VLOOKUP(S$5,NFI,5,0),1,0)*Table_NFI[[#This Row],[Winter Clothes Children]],Table_NFI[Winter Clothes Children])</f>
        <v>0</v>
      </c>
      <c r="AK235" s="294">
        <f>IF(NFI_Expiration=1,IF($A235&lt;VLOOKUP(T$5,NFI,5,0),1,0)*Table_NFI[[#This Row],[Winter Items Other]],Table_NFI[Winter Items Other])</f>
        <v>0</v>
      </c>
      <c r="AL235" s="294">
        <f>IF(NFI_Expiration=1,IF($A235&lt;VLOOKUP(M$5,NFI,5,0),1,0)*Table_NFI[[#This Row],[Winter Blanket]],Table_NFI[[#This Row],[Winter Blanket]])</f>
        <v>0</v>
      </c>
      <c r="AM235" s="294">
        <f>IF(Table_NFI[[#This Row],[Winter Clothes Adult]]+Table_NFI[[#This Row],[Winter Clothes Children]]+Table_NFI[[#This Row],[Winter Items Other]]+Table_NFI[[#This Row],[Winter Blanket]]&gt;0,1,0)</f>
        <v>0</v>
      </c>
      <c r="AN235" s="331">
        <f>IF(NFI_Expiration=1,IF($A235&lt;VLOOKUP(V$5,NFI,5,0),1,0)*Table_NFI[[#This Row],[Jerry Can]],Table_NFI[Jerry Can])</f>
        <v>0</v>
      </c>
      <c r="AO235" s="331">
        <f>IF(NFI_Expiration=1,IF($A235&lt;VLOOKUP(V$5,NFI,5,0),1,0)*Table_NFI[[#This Row],[Shelter Tool kit]],Table_NFI[Shelter Tool kit])</f>
        <v>0</v>
      </c>
      <c r="AP235" s="331">
        <f>IF(NFI_Expiration=1,IF($A235&lt;VLOOKUP(V$5,NFI,5,0),1,0)*Table_NFI[[#This Row],[Tent]],Table_NFI[Tent])</f>
        <v>0</v>
      </c>
      <c r="AQ235" s="473" t="str">
        <f>IFERROR(VLOOKUP(Table_NFI[[#This Row],[Camp Name]],CL,2,0),"")</f>
        <v>MMR001CMP190</v>
      </c>
      <c r="AR235" s="468">
        <f ca="1">IF(Table_NFI[[#This Row],[Pcode]]="","",IF(OFFSET(CampList[Opening Date],MATCH(Table_NFI[[#This Row],[Pcode]],CampList[CP_Pcode],0)-1,0,1,1)&gt;=NFI_Monitor_Date,1,0))</f>
        <v>0</v>
      </c>
      <c r="AS235" s="473" t="str">
        <f>IFERROR(VLOOKUP(Table_NFI[[#This Row],[Camp Name]],CL,3,0),"")</f>
        <v>Open</v>
      </c>
      <c r="AT235" s="294" t="str">
        <f ca="1">IF(Table_NFI[[#This Row],[Pcode]]="","",OFFSET(CampList[Priority],MATCH(Table_NFI[[#This Row],[Pcode]],CampList[CP_Pcode],0)-1,0,1,1))</f>
        <v>P4</v>
      </c>
      <c r="AU235" s="293">
        <f>IFERROR(Table_NFI[[#This Row],[Kitchen Set]]/VLOOKUP(Table_NFI[[#This Row],[Camp Name]],CL,4,0),"")</f>
        <v>1</v>
      </c>
      <c r="AV235" s="466"/>
      <c r="AW235" s="469"/>
    </row>
    <row r="236" spans="1:49" s="470" customFormat="1" ht="14.45" customHeight="1" x14ac:dyDescent="0.25">
      <c r="A236" s="297">
        <f t="shared" si="3"/>
        <v>24.4</v>
      </c>
      <c r="B236" s="465">
        <v>41943</v>
      </c>
      <c r="C236" s="466" t="s">
        <v>452</v>
      </c>
      <c r="D236" s="466"/>
      <c r="E236" s="466" t="s">
        <v>380</v>
      </c>
      <c r="F236" s="466" t="s">
        <v>527</v>
      </c>
      <c r="G236" s="466" t="s">
        <v>52</v>
      </c>
      <c r="H236" s="291"/>
      <c r="I236" s="291"/>
      <c r="J236" s="291">
        <v>38</v>
      </c>
      <c r="K236" s="291">
        <v>76</v>
      </c>
      <c r="L236" s="292">
        <v>38</v>
      </c>
      <c r="M236" s="292">
        <v>76</v>
      </c>
      <c r="N236" s="292">
        <v>38</v>
      </c>
      <c r="O236" s="292"/>
      <c r="P236" s="294">
        <v>38</v>
      </c>
      <c r="Q236" s="294">
        <v>190</v>
      </c>
      <c r="R236" s="294"/>
      <c r="S236" s="294"/>
      <c r="T236" s="294"/>
      <c r="U236" s="294"/>
      <c r="V236" s="431"/>
      <c r="W236" s="294"/>
      <c r="X236" s="294"/>
      <c r="Y236" s="294">
        <f>IF(NFI_Expiration=1,IF($A236&lt;VLOOKUP(H$5,NFI,5,0),1,0)*Table_NFI[[#This Row],[Hygiene Kit]],Table_NFI[Hygiene Kit])</f>
        <v>0</v>
      </c>
      <c r="Z236" s="294">
        <f>IF(NFI_Expiration=1,IF($A236&lt;VLOOKUP(I$5,NFI,5,0),1,0)*Table_NFI[[#This Row],[NFI Core Kit]],Table_NFI[NFI Core Kit])</f>
        <v>0</v>
      </c>
      <c r="AA236" s="294">
        <f>IF(NFI_Expiration=1,IF($A236&lt;VLOOKUP(J$5,NFI,5,0),1,0)*Table_NFI[[#This Row],[Sanitary Kit]],Table_NFI[Sanitary Kit])</f>
        <v>0</v>
      </c>
      <c r="AB236" s="294">
        <f>IF(NFI_Expiration=1,IF($A236&lt;VLOOKUP(K$5,NFI,5,0),1,0)*Table_NFI[[#This Row],[Mosquito net]],Table_NFI[Mosquito net])</f>
        <v>0</v>
      </c>
      <c r="AC236" s="294">
        <f>IF(NFI_Expiration=1,IF($A236&lt;VLOOKUP(L$5,NFI,5,0),1,0)*Table_NFI[[#This Row],[Tarpaulin]],Table_NFI[[#This Row],[Tarpaulin]])</f>
        <v>0</v>
      </c>
      <c r="AD236" s="294">
        <f>IF(NFI_Expiration=1,IF($A236&lt;VLOOKUP(M$5,NFI,5,0),1,0)*Table_NFI[[#This Row],[Blanket]],Table_NFI[[#This Row],[Blanket]])</f>
        <v>0</v>
      </c>
      <c r="AE236" s="294">
        <f>IF(NFI_Expiration=1,IF($A236&lt;VLOOKUP(N$5,NFI,5,0),1,0)*Table_NFI[[#This Row],[Kitchen Set]],Table_NFI[Kitchen Set])</f>
        <v>0</v>
      </c>
      <c r="AF236" s="294">
        <f>IF(NFI_Expiration=1,IF($A236&lt;VLOOKUP(O$5,NFI,5,0),1,0)*Table_NFI[[#This Row],[Clothes Kit]],Table_NFI[Clothes Kit])</f>
        <v>0</v>
      </c>
      <c r="AG236" s="294">
        <f>IF(NFI_Expiration=1,IF($A236&lt;VLOOKUP(P$5,NFI,5,0),1,0)*Table_NFI[[#This Row],[Plastic Bucket]],Table_NFI[Plastic Bucket])</f>
        <v>0</v>
      </c>
      <c r="AH236" s="294">
        <f>IF(NFI_Expiration=1,IF($A236&lt;VLOOKUP(Q$5,NFI,5,0),1,0)*Table_NFI[[#This Row],[Plastic Mat]],Table_NFI[Plastic Mat])*IF(Table_NFI[[#This Row],[Distribution Date]]&gt;"2014-04-01",1,2.5)</f>
        <v>0</v>
      </c>
      <c r="AI236" s="294">
        <f>IF(NFI_Expiration=1,IF($A236&lt;VLOOKUP(R$5,NFI,5,0),1,0)*Table_NFI[[#This Row],[Winter Clothes Adult]],Table_NFI[Winter Clothes Adult])</f>
        <v>0</v>
      </c>
      <c r="AJ236" s="294">
        <f>IF(NFI_Expiration=1,IF($A236&lt;VLOOKUP(S$5,NFI,5,0),1,0)*Table_NFI[[#This Row],[Winter Clothes Children]],Table_NFI[Winter Clothes Children])</f>
        <v>0</v>
      </c>
      <c r="AK236" s="294">
        <f>IF(NFI_Expiration=1,IF($A236&lt;VLOOKUP(T$5,NFI,5,0),1,0)*Table_NFI[[#This Row],[Winter Items Other]],Table_NFI[Winter Items Other])</f>
        <v>0</v>
      </c>
      <c r="AL236" s="294">
        <f>IF(NFI_Expiration=1,IF($A236&lt;VLOOKUP(M$5,NFI,5,0),1,0)*Table_NFI[[#This Row],[Winter Blanket]],Table_NFI[[#This Row],[Winter Blanket]])</f>
        <v>0</v>
      </c>
      <c r="AM236" s="294">
        <f>IF(Table_NFI[[#This Row],[Winter Clothes Adult]]+Table_NFI[[#This Row],[Winter Clothes Children]]+Table_NFI[[#This Row],[Winter Items Other]]+Table_NFI[[#This Row],[Winter Blanket]]&gt;0,1,0)</f>
        <v>0</v>
      </c>
      <c r="AN236" s="331">
        <f>IF(NFI_Expiration=1,IF($A236&lt;VLOOKUP(V$5,NFI,5,0),1,0)*Table_NFI[[#This Row],[Jerry Can]],Table_NFI[Jerry Can])</f>
        <v>0</v>
      </c>
      <c r="AO236" s="331">
        <f>IF(NFI_Expiration=1,IF($A236&lt;VLOOKUP(V$5,NFI,5,0),1,0)*Table_NFI[[#This Row],[Shelter Tool kit]],Table_NFI[Shelter Tool kit])</f>
        <v>0</v>
      </c>
      <c r="AP236" s="331">
        <f>IF(NFI_Expiration=1,IF($A236&lt;VLOOKUP(V$5,NFI,5,0),1,0)*Table_NFI[[#This Row],[Tent]],Table_NFI[Tent])</f>
        <v>0</v>
      </c>
      <c r="AQ236" s="473" t="str">
        <f>IFERROR(VLOOKUP(Table_NFI[[#This Row],[Camp Name]],CL,2,0),"")</f>
        <v>MMR001CMP169</v>
      </c>
      <c r="AR236" s="468">
        <f ca="1">IF(Table_NFI[[#This Row],[Pcode]]="","",IF(OFFSET(CampList[Opening Date],MATCH(Table_NFI[[#This Row],[Pcode]],CampList[CP_Pcode],0)-1,0,1,1)&gt;=NFI_Monitor_Date,1,0))</f>
        <v>0</v>
      </c>
      <c r="AS236" s="473" t="str">
        <f>IFERROR(VLOOKUP(Table_NFI[[#This Row],[Camp Name]],CL,3,0),"")</f>
        <v>Open</v>
      </c>
      <c r="AT236" s="294" t="str">
        <f ca="1">IF(Table_NFI[[#This Row],[Pcode]]="","",OFFSET(CampList[Priority],MATCH(Table_NFI[[#This Row],[Pcode]],CampList[CP_Pcode],0)-1,0,1,1))</f>
        <v>P4</v>
      </c>
      <c r="AU236" s="293">
        <f>IFERROR(Table_NFI[[#This Row],[Kitchen Set]]/VLOOKUP(Table_NFI[[#This Row],[Camp Name]],CL,4,0),"")</f>
        <v>1</v>
      </c>
      <c r="AV236" s="466"/>
      <c r="AW236" s="469"/>
    </row>
    <row r="237" spans="1:49" s="470" customFormat="1" ht="14.45" customHeight="1" x14ac:dyDescent="0.25">
      <c r="A237" s="297">
        <f t="shared" si="3"/>
        <v>24.4</v>
      </c>
      <c r="B237" s="465">
        <v>41943</v>
      </c>
      <c r="C237" s="466" t="s">
        <v>452</v>
      </c>
      <c r="D237" s="466"/>
      <c r="E237" s="466" t="s">
        <v>380</v>
      </c>
      <c r="F237" s="466" t="s">
        <v>527</v>
      </c>
      <c r="G237" s="466" t="s">
        <v>72</v>
      </c>
      <c r="H237" s="291"/>
      <c r="I237" s="291"/>
      <c r="J237" s="291">
        <v>5</v>
      </c>
      <c r="K237" s="291">
        <v>10</v>
      </c>
      <c r="L237" s="292">
        <v>5</v>
      </c>
      <c r="M237" s="292">
        <v>10</v>
      </c>
      <c r="N237" s="292">
        <v>5</v>
      </c>
      <c r="O237" s="292"/>
      <c r="P237" s="294">
        <v>5</v>
      </c>
      <c r="Q237" s="294">
        <v>25</v>
      </c>
      <c r="R237" s="294"/>
      <c r="S237" s="294"/>
      <c r="T237" s="294"/>
      <c r="U237" s="294"/>
      <c r="V237" s="431"/>
      <c r="W237" s="294"/>
      <c r="X237" s="294"/>
      <c r="Y237" s="294">
        <f>IF(NFI_Expiration=1,IF($A237&lt;VLOOKUP(H$5,NFI,5,0),1,0)*Table_NFI[[#This Row],[Hygiene Kit]],Table_NFI[Hygiene Kit])</f>
        <v>0</v>
      </c>
      <c r="Z237" s="294">
        <f>IF(NFI_Expiration=1,IF($A237&lt;VLOOKUP(I$5,NFI,5,0),1,0)*Table_NFI[[#This Row],[NFI Core Kit]],Table_NFI[NFI Core Kit])</f>
        <v>0</v>
      </c>
      <c r="AA237" s="294">
        <f>IF(NFI_Expiration=1,IF($A237&lt;VLOOKUP(J$5,NFI,5,0),1,0)*Table_NFI[[#This Row],[Sanitary Kit]],Table_NFI[Sanitary Kit])</f>
        <v>0</v>
      </c>
      <c r="AB237" s="294">
        <f>IF(NFI_Expiration=1,IF($A237&lt;VLOOKUP(K$5,NFI,5,0),1,0)*Table_NFI[[#This Row],[Mosquito net]],Table_NFI[Mosquito net])</f>
        <v>0</v>
      </c>
      <c r="AC237" s="294">
        <f>IF(NFI_Expiration=1,IF($A237&lt;VLOOKUP(L$5,NFI,5,0),1,0)*Table_NFI[[#This Row],[Tarpaulin]],Table_NFI[[#This Row],[Tarpaulin]])</f>
        <v>0</v>
      </c>
      <c r="AD237" s="294">
        <f>IF(NFI_Expiration=1,IF($A237&lt;VLOOKUP(M$5,NFI,5,0),1,0)*Table_NFI[[#This Row],[Blanket]],Table_NFI[[#This Row],[Blanket]])</f>
        <v>0</v>
      </c>
      <c r="AE237" s="294">
        <f>IF(NFI_Expiration=1,IF($A237&lt;VLOOKUP(N$5,NFI,5,0),1,0)*Table_NFI[[#This Row],[Kitchen Set]],Table_NFI[Kitchen Set])</f>
        <v>0</v>
      </c>
      <c r="AF237" s="294">
        <f>IF(NFI_Expiration=1,IF($A237&lt;VLOOKUP(O$5,NFI,5,0),1,0)*Table_NFI[[#This Row],[Clothes Kit]],Table_NFI[Clothes Kit])</f>
        <v>0</v>
      </c>
      <c r="AG237" s="294">
        <f>IF(NFI_Expiration=1,IF($A237&lt;VLOOKUP(P$5,NFI,5,0),1,0)*Table_NFI[[#This Row],[Plastic Bucket]],Table_NFI[Plastic Bucket])</f>
        <v>0</v>
      </c>
      <c r="AH237" s="294">
        <f>IF(NFI_Expiration=1,IF($A237&lt;VLOOKUP(Q$5,NFI,5,0),1,0)*Table_NFI[[#This Row],[Plastic Mat]],Table_NFI[Plastic Mat])*IF(Table_NFI[[#This Row],[Distribution Date]]&gt;"2014-04-01",1,2.5)</f>
        <v>0</v>
      </c>
      <c r="AI237" s="294">
        <f>IF(NFI_Expiration=1,IF($A237&lt;VLOOKUP(R$5,NFI,5,0),1,0)*Table_NFI[[#This Row],[Winter Clothes Adult]],Table_NFI[Winter Clothes Adult])</f>
        <v>0</v>
      </c>
      <c r="AJ237" s="294">
        <f>IF(NFI_Expiration=1,IF($A237&lt;VLOOKUP(S$5,NFI,5,0),1,0)*Table_NFI[[#This Row],[Winter Clothes Children]],Table_NFI[Winter Clothes Children])</f>
        <v>0</v>
      </c>
      <c r="AK237" s="294">
        <f>IF(NFI_Expiration=1,IF($A237&lt;VLOOKUP(T$5,NFI,5,0),1,0)*Table_NFI[[#This Row],[Winter Items Other]],Table_NFI[Winter Items Other])</f>
        <v>0</v>
      </c>
      <c r="AL237" s="294">
        <f>IF(NFI_Expiration=1,IF($A237&lt;VLOOKUP(M$5,NFI,5,0),1,0)*Table_NFI[[#This Row],[Winter Blanket]],Table_NFI[[#This Row],[Winter Blanket]])</f>
        <v>0</v>
      </c>
      <c r="AM237" s="294">
        <f>IF(Table_NFI[[#This Row],[Winter Clothes Adult]]+Table_NFI[[#This Row],[Winter Clothes Children]]+Table_NFI[[#This Row],[Winter Items Other]]+Table_NFI[[#This Row],[Winter Blanket]]&gt;0,1,0)</f>
        <v>0</v>
      </c>
      <c r="AN237" s="331">
        <f>IF(NFI_Expiration=1,IF($A237&lt;VLOOKUP(V$5,NFI,5,0),1,0)*Table_NFI[[#This Row],[Jerry Can]],Table_NFI[Jerry Can])</f>
        <v>0</v>
      </c>
      <c r="AO237" s="331">
        <f>IF(NFI_Expiration=1,IF($A237&lt;VLOOKUP(V$5,NFI,5,0),1,0)*Table_NFI[[#This Row],[Shelter Tool kit]],Table_NFI[Shelter Tool kit])</f>
        <v>0</v>
      </c>
      <c r="AP237" s="331">
        <f>IF(NFI_Expiration=1,IF($A237&lt;VLOOKUP(V$5,NFI,5,0),1,0)*Table_NFI[[#This Row],[Tent]],Table_NFI[Tent])</f>
        <v>0</v>
      </c>
      <c r="AQ237" s="473" t="str">
        <f>IFERROR(VLOOKUP(Table_NFI[[#This Row],[Camp Name]],CL,2,0),"")</f>
        <v>MMR001CMP109</v>
      </c>
      <c r="AR237" s="468">
        <f ca="1">IF(Table_NFI[[#This Row],[Pcode]]="","",IF(OFFSET(CampList[Opening Date],MATCH(Table_NFI[[#This Row],[Pcode]],CampList[CP_Pcode],0)-1,0,1,1)&gt;=NFI_Monitor_Date,1,0))</f>
        <v>0</v>
      </c>
      <c r="AS237" s="473" t="str">
        <f>IFERROR(VLOOKUP(Table_NFI[[#This Row],[Camp Name]],CL,3,0),"")</f>
        <v>Open</v>
      </c>
      <c r="AT237" s="294" t="str">
        <f ca="1">IF(Table_NFI[[#This Row],[Pcode]]="","",OFFSET(CampList[Priority],MATCH(Table_NFI[[#This Row],[Pcode]],CampList[CP_Pcode],0)-1,0,1,1))</f>
        <v>P4</v>
      </c>
      <c r="AU237" s="293">
        <f>IFERROR(Table_NFI[[#This Row],[Kitchen Set]]/VLOOKUP(Table_NFI[[#This Row],[Camp Name]],CL,4,0),"")</f>
        <v>0.83333333333333337</v>
      </c>
      <c r="AV237" s="466"/>
      <c r="AW237" s="469"/>
    </row>
    <row r="238" spans="1:49" s="470" customFormat="1" ht="14.45" customHeight="1" x14ac:dyDescent="0.25">
      <c r="A238" s="297">
        <f t="shared" si="3"/>
        <v>24.4</v>
      </c>
      <c r="B238" s="465">
        <v>41943</v>
      </c>
      <c r="C238" s="466" t="s">
        <v>452</v>
      </c>
      <c r="D238" s="466"/>
      <c r="E238" s="466" t="s">
        <v>380</v>
      </c>
      <c r="F238" s="466" t="s">
        <v>527</v>
      </c>
      <c r="G238" s="466" t="s">
        <v>76</v>
      </c>
      <c r="H238" s="291"/>
      <c r="I238" s="291"/>
      <c r="J238" s="291">
        <v>67</v>
      </c>
      <c r="K238" s="291">
        <v>134</v>
      </c>
      <c r="L238" s="292">
        <v>67</v>
      </c>
      <c r="M238" s="292">
        <v>134</v>
      </c>
      <c r="N238" s="292">
        <v>67</v>
      </c>
      <c r="O238" s="292"/>
      <c r="P238" s="294">
        <v>67</v>
      </c>
      <c r="Q238" s="294">
        <v>335</v>
      </c>
      <c r="R238" s="294"/>
      <c r="S238" s="294"/>
      <c r="T238" s="294"/>
      <c r="U238" s="294"/>
      <c r="V238" s="431"/>
      <c r="W238" s="294"/>
      <c r="X238" s="294"/>
      <c r="Y238" s="294">
        <f>IF(NFI_Expiration=1,IF($A238&lt;VLOOKUP(H$5,NFI,5,0),1,0)*Table_NFI[[#This Row],[Hygiene Kit]],Table_NFI[Hygiene Kit])</f>
        <v>0</v>
      </c>
      <c r="Z238" s="294">
        <f>IF(NFI_Expiration=1,IF($A238&lt;VLOOKUP(I$5,NFI,5,0),1,0)*Table_NFI[[#This Row],[NFI Core Kit]],Table_NFI[NFI Core Kit])</f>
        <v>0</v>
      </c>
      <c r="AA238" s="294">
        <f>IF(NFI_Expiration=1,IF($A238&lt;VLOOKUP(J$5,NFI,5,0),1,0)*Table_NFI[[#This Row],[Sanitary Kit]],Table_NFI[Sanitary Kit])</f>
        <v>0</v>
      </c>
      <c r="AB238" s="294">
        <f>IF(NFI_Expiration=1,IF($A238&lt;VLOOKUP(K$5,NFI,5,0),1,0)*Table_NFI[[#This Row],[Mosquito net]],Table_NFI[Mosquito net])</f>
        <v>0</v>
      </c>
      <c r="AC238" s="294">
        <f>IF(NFI_Expiration=1,IF($A238&lt;VLOOKUP(L$5,NFI,5,0),1,0)*Table_NFI[[#This Row],[Tarpaulin]],Table_NFI[[#This Row],[Tarpaulin]])</f>
        <v>0</v>
      </c>
      <c r="AD238" s="294">
        <f>IF(NFI_Expiration=1,IF($A238&lt;VLOOKUP(M$5,NFI,5,0),1,0)*Table_NFI[[#This Row],[Blanket]],Table_NFI[[#This Row],[Blanket]])</f>
        <v>0</v>
      </c>
      <c r="AE238" s="294">
        <f>IF(NFI_Expiration=1,IF($A238&lt;VLOOKUP(N$5,NFI,5,0),1,0)*Table_NFI[[#This Row],[Kitchen Set]],Table_NFI[Kitchen Set])</f>
        <v>0</v>
      </c>
      <c r="AF238" s="294">
        <f>IF(NFI_Expiration=1,IF($A238&lt;VLOOKUP(O$5,NFI,5,0),1,0)*Table_NFI[[#This Row],[Clothes Kit]],Table_NFI[Clothes Kit])</f>
        <v>0</v>
      </c>
      <c r="AG238" s="294">
        <f>IF(NFI_Expiration=1,IF($A238&lt;VLOOKUP(P$5,NFI,5,0),1,0)*Table_NFI[[#This Row],[Plastic Bucket]],Table_NFI[Plastic Bucket])</f>
        <v>0</v>
      </c>
      <c r="AH238" s="294">
        <f>IF(NFI_Expiration=1,IF($A238&lt;VLOOKUP(Q$5,NFI,5,0),1,0)*Table_NFI[[#This Row],[Plastic Mat]],Table_NFI[Plastic Mat])*IF(Table_NFI[[#This Row],[Distribution Date]]&gt;"2014-04-01",1,2.5)</f>
        <v>0</v>
      </c>
      <c r="AI238" s="294">
        <f>IF(NFI_Expiration=1,IF($A238&lt;VLOOKUP(R$5,NFI,5,0),1,0)*Table_NFI[[#This Row],[Winter Clothes Adult]],Table_NFI[Winter Clothes Adult])</f>
        <v>0</v>
      </c>
      <c r="AJ238" s="294">
        <f>IF(NFI_Expiration=1,IF($A238&lt;VLOOKUP(S$5,NFI,5,0),1,0)*Table_NFI[[#This Row],[Winter Clothes Children]],Table_NFI[Winter Clothes Children])</f>
        <v>0</v>
      </c>
      <c r="AK238" s="294">
        <f>IF(NFI_Expiration=1,IF($A238&lt;VLOOKUP(T$5,NFI,5,0),1,0)*Table_NFI[[#This Row],[Winter Items Other]],Table_NFI[Winter Items Other])</f>
        <v>0</v>
      </c>
      <c r="AL238" s="294">
        <f>IF(NFI_Expiration=1,IF($A238&lt;VLOOKUP(M$5,NFI,5,0),1,0)*Table_NFI[[#This Row],[Winter Blanket]],Table_NFI[[#This Row],[Winter Blanket]])</f>
        <v>0</v>
      </c>
      <c r="AM238" s="294">
        <f>IF(Table_NFI[[#This Row],[Winter Clothes Adult]]+Table_NFI[[#This Row],[Winter Clothes Children]]+Table_NFI[[#This Row],[Winter Items Other]]+Table_NFI[[#This Row],[Winter Blanket]]&gt;0,1,0)</f>
        <v>0</v>
      </c>
      <c r="AN238" s="331">
        <f>IF(NFI_Expiration=1,IF($A238&lt;VLOOKUP(V$5,NFI,5,0),1,0)*Table_NFI[[#This Row],[Jerry Can]],Table_NFI[Jerry Can])</f>
        <v>0</v>
      </c>
      <c r="AO238" s="331">
        <f>IF(NFI_Expiration=1,IF($A238&lt;VLOOKUP(V$5,NFI,5,0),1,0)*Table_NFI[[#This Row],[Shelter Tool kit]],Table_NFI[Shelter Tool kit])</f>
        <v>0</v>
      </c>
      <c r="AP238" s="331">
        <f>IF(NFI_Expiration=1,IF($A238&lt;VLOOKUP(V$5,NFI,5,0),1,0)*Table_NFI[[#This Row],[Tent]],Table_NFI[Tent])</f>
        <v>0</v>
      </c>
      <c r="AQ238" s="473" t="str">
        <f>IFERROR(VLOOKUP(Table_NFI[[#This Row],[Camp Name]],CL,2,0),"")</f>
        <v>MMR001CMP174</v>
      </c>
      <c r="AR238" s="468">
        <f ca="1">IF(Table_NFI[[#This Row],[Pcode]]="","",IF(OFFSET(CampList[Opening Date],MATCH(Table_NFI[[#This Row],[Pcode]],CampList[CP_Pcode],0)-1,0,1,1)&gt;=NFI_Monitor_Date,1,0))</f>
        <v>0</v>
      </c>
      <c r="AS238" s="473" t="str">
        <f>IFERROR(VLOOKUP(Table_NFI[[#This Row],[Camp Name]],CL,3,0),"")</f>
        <v>Open</v>
      </c>
      <c r="AT238" s="294" t="str">
        <f ca="1">IF(Table_NFI[[#This Row],[Pcode]]="","",OFFSET(CampList[Priority],MATCH(Table_NFI[[#This Row],[Pcode]],CampList[CP_Pcode],0)-1,0,1,1))</f>
        <v>P4</v>
      </c>
      <c r="AU238" s="293">
        <f>IFERROR(Table_NFI[[#This Row],[Kitchen Set]]/VLOOKUP(Table_NFI[[#This Row],[Camp Name]],CL,4,0),"")</f>
        <v>1.0151515151515151</v>
      </c>
      <c r="AV238" s="466"/>
      <c r="AW238" s="469"/>
    </row>
    <row r="239" spans="1:49" s="470" customFormat="1" ht="14.45" customHeight="1" x14ac:dyDescent="0.25">
      <c r="A239" s="297">
        <f t="shared" si="3"/>
        <v>24.4</v>
      </c>
      <c r="B239" s="465">
        <v>41943</v>
      </c>
      <c r="C239" s="466" t="s">
        <v>452</v>
      </c>
      <c r="D239" s="466"/>
      <c r="E239" s="466" t="s">
        <v>380</v>
      </c>
      <c r="F239" s="466" t="s">
        <v>527</v>
      </c>
      <c r="G239" s="466" t="s">
        <v>44</v>
      </c>
      <c r="H239" s="291"/>
      <c r="I239" s="291"/>
      <c r="J239" s="291">
        <v>10</v>
      </c>
      <c r="K239" s="291">
        <v>20</v>
      </c>
      <c r="L239" s="292">
        <v>10</v>
      </c>
      <c r="M239" s="292">
        <v>20</v>
      </c>
      <c r="N239" s="292">
        <v>10</v>
      </c>
      <c r="O239" s="292"/>
      <c r="P239" s="294">
        <v>10</v>
      </c>
      <c r="Q239" s="294">
        <v>50</v>
      </c>
      <c r="R239" s="294"/>
      <c r="S239" s="294"/>
      <c r="T239" s="294"/>
      <c r="U239" s="294"/>
      <c r="V239" s="431"/>
      <c r="W239" s="294"/>
      <c r="X239" s="294"/>
      <c r="Y239" s="294">
        <f>IF(NFI_Expiration=1,IF($A239&lt;VLOOKUP(H$5,NFI,5,0),1,0)*Table_NFI[[#This Row],[Hygiene Kit]],Table_NFI[Hygiene Kit])</f>
        <v>0</v>
      </c>
      <c r="Z239" s="294">
        <f>IF(NFI_Expiration=1,IF($A239&lt;VLOOKUP(I$5,NFI,5,0),1,0)*Table_NFI[[#This Row],[NFI Core Kit]],Table_NFI[NFI Core Kit])</f>
        <v>0</v>
      </c>
      <c r="AA239" s="294">
        <f>IF(NFI_Expiration=1,IF($A239&lt;VLOOKUP(J$5,NFI,5,0),1,0)*Table_NFI[[#This Row],[Sanitary Kit]],Table_NFI[Sanitary Kit])</f>
        <v>0</v>
      </c>
      <c r="AB239" s="294">
        <f>IF(NFI_Expiration=1,IF($A239&lt;VLOOKUP(K$5,NFI,5,0),1,0)*Table_NFI[[#This Row],[Mosquito net]],Table_NFI[Mosquito net])</f>
        <v>0</v>
      </c>
      <c r="AC239" s="294">
        <f>IF(NFI_Expiration=1,IF($A239&lt;VLOOKUP(L$5,NFI,5,0),1,0)*Table_NFI[[#This Row],[Tarpaulin]],Table_NFI[[#This Row],[Tarpaulin]])</f>
        <v>0</v>
      </c>
      <c r="AD239" s="294">
        <f>IF(NFI_Expiration=1,IF($A239&lt;VLOOKUP(M$5,NFI,5,0),1,0)*Table_NFI[[#This Row],[Blanket]],Table_NFI[[#This Row],[Blanket]])</f>
        <v>0</v>
      </c>
      <c r="AE239" s="294">
        <f>IF(NFI_Expiration=1,IF($A239&lt;VLOOKUP(N$5,NFI,5,0),1,0)*Table_NFI[[#This Row],[Kitchen Set]],Table_NFI[Kitchen Set])</f>
        <v>0</v>
      </c>
      <c r="AF239" s="294">
        <f>IF(NFI_Expiration=1,IF($A239&lt;VLOOKUP(O$5,NFI,5,0),1,0)*Table_NFI[[#This Row],[Clothes Kit]],Table_NFI[Clothes Kit])</f>
        <v>0</v>
      </c>
      <c r="AG239" s="294">
        <f>IF(NFI_Expiration=1,IF($A239&lt;VLOOKUP(P$5,NFI,5,0),1,0)*Table_NFI[[#This Row],[Plastic Bucket]],Table_NFI[Plastic Bucket])</f>
        <v>0</v>
      </c>
      <c r="AH239" s="294">
        <f>IF(NFI_Expiration=1,IF($A239&lt;VLOOKUP(Q$5,NFI,5,0),1,0)*Table_NFI[[#This Row],[Plastic Mat]],Table_NFI[Plastic Mat])*IF(Table_NFI[[#This Row],[Distribution Date]]&gt;"2014-04-01",1,2.5)</f>
        <v>0</v>
      </c>
      <c r="AI239" s="294">
        <f>IF(NFI_Expiration=1,IF($A239&lt;VLOOKUP(R$5,NFI,5,0),1,0)*Table_NFI[[#This Row],[Winter Clothes Adult]],Table_NFI[Winter Clothes Adult])</f>
        <v>0</v>
      </c>
      <c r="AJ239" s="294">
        <f>IF(NFI_Expiration=1,IF($A239&lt;VLOOKUP(S$5,NFI,5,0),1,0)*Table_NFI[[#This Row],[Winter Clothes Children]],Table_NFI[Winter Clothes Children])</f>
        <v>0</v>
      </c>
      <c r="AK239" s="294">
        <f>IF(NFI_Expiration=1,IF($A239&lt;VLOOKUP(T$5,NFI,5,0),1,0)*Table_NFI[[#This Row],[Winter Items Other]],Table_NFI[Winter Items Other])</f>
        <v>0</v>
      </c>
      <c r="AL239" s="294">
        <f>IF(NFI_Expiration=1,IF($A239&lt;VLOOKUP(M$5,NFI,5,0),1,0)*Table_NFI[[#This Row],[Winter Blanket]],Table_NFI[[#This Row],[Winter Blanket]])</f>
        <v>0</v>
      </c>
      <c r="AM239" s="294">
        <f>IF(Table_NFI[[#This Row],[Winter Clothes Adult]]+Table_NFI[[#This Row],[Winter Clothes Children]]+Table_NFI[[#This Row],[Winter Items Other]]+Table_NFI[[#This Row],[Winter Blanket]]&gt;0,1,0)</f>
        <v>0</v>
      </c>
      <c r="AN239" s="331">
        <f>IF(NFI_Expiration=1,IF($A239&lt;VLOOKUP(V$5,NFI,5,0),1,0)*Table_NFI[[#This Row],[Jerry Can]],Table_NFI[Jerry Can])</f>
        <v>0</v>
      </c>
      <c r="AO239" s="331">
        <f>IF(NFI_Expiration=1,IF($A239&lt;VLOOKUP(V$5,NFI,5,0),1,0)*Table_NFI[[#This Row],[Shelter Tool kit]],Table_NFI[Shelter Tool kit])</f>
        <v>0</v>
      </c>
      <c r="AP239" s="331">
        <f>IF(NFI_Expiration=1,IF($A239&lt;VLOOKUP(V$5,NFI,5,0),1,0)*Table_NFI[[#This Row],[Tent]],Table_NFI[Tent])</f>
        <v>0</v>
      </c>
      <c r="AQ239" s="473" t="str">
        <f>IFERROR(VLOOKUP(Table_NFI[[#This Row],[Camp Name]],CL,2,0),"")</f>
        <v>MMR001CMP191</v>
      </c>
      <c r="AR239" s="468">
        <f ca="1">IF(Table_NFI[[#This Row],[Pcode]]="","",IF(OFFSET(CampList[Opening Date],MATCH(Table_NFI[[#This Row],[Pcode]],CampList[CP_Pcode],0)-1,0,1,1)&gt;=NFI_Monitor_Date,1,0))</f>
        <v>0</v>
      </c>
      <c r="AS239" s="473" t="str">
        <f>IFERROR(VLOOKUP(Table_NFI[[#This Row],[Camp Name]],CL,3,0),"")</f>
        <v>Open</v>
      </c>
      <c r="AT239" s="294" t="str">
        <f ca="1">IF(Table_NFI[[#This Row],[Pcode]]="","",OFFSET(CampList[Priority],MATCH(Table_NFI[[#This Row],[Pcode]],CampList[CP_Pcode],0)-1,0,1,1))</f>
        <v>P4</v>
      </c>
      <c r="AU239" s="293">
        <f>IFERROR(Table_NFI[[#This Row],[Kitchen Set]]/VLOOKUP(Table_NFI[[#This Row],[Camp Name]],CL,4,0),"")</f>
        <v>2</v>
      </c>
      <c r="AV239" s="466"/>
      <c r="AW239" s="469"/>
    </row>
    <row r="240" spans="1:49" s="470" customFormat="1" ht="14.45" customHeight="1" x14ac:dyDescent="0.25">
      <c r="A240" s="297">
        <f t="shared" si="3"/>
        <v>24.4</v>
      </c>
      <c r="B240" s="465">
        <v>41943</v>
      </c>
      <c r="C240" s="466" t="s">
        <v>452</v>
      </c>
      <c r="D240" s="466"/>
      <c r="E240" s="466" t="s">
        <v>380</v>
      </c>
      <c r="F240" s="466" t="s">
        <v>527</v>
      </c>
      <c r="G240" s="466" t="s">
        <v>1065</v>
      </c>
      <c r="H240" s="291"/>
      <c r="I240" s="291"/>
      <c r="J240" s="291">
        <v>64</v>
      </c>
      <c r="K240" s="291">
        <v>128</v>
      </c>
      <c r="L240" s="292">
        <v>64</v>
      </c>
      <c r="M240" s="292">
        <v>128</v>
      </c>
      <c r="N240" s="292">
        <v>64</v>
      </c>
      <c r="O240" s="292"/>
      <c r="P240" s="294">
        <v>64</v>
      </c>
      <c r="Q240" s="294">
        <v>320</v>
      </c>
      <c r="R240" s="294"/>
      <c r="S240" s="294"/>
      <c r="T240" s="294"/>
      <c r="U240" s="294"/>
      <c r="V240" s="431"/>
      <c r="W240" s="294"/>
      <c r="X240" s="294"/>
      <c r="Y240" s="294">
        <f>IF(NFI_Expiration=1,IF($A240&lt;VLOOKUP(H$5,NFI,5,0),1,0)*Table_NFI[[#This Row],[Hygiene Kit]],Table_NFI[Hygiene Kit])</f>
        <v>0</v>
      </c>
      <c r="Z240" s="294">
        <f>IF(NFI_Expiration=1,IF($A240&lt;VLOOKUP(I$5,NFI,5,0),1,0)*Table_NFI[[#This Row],[NFI Core Kit]],Table_NFI[NFI Core Kit])</f>
        <v>0</v>
      </c>
      <c r="AA240" s="294">
        <f>IF(NFI_Expiration=1,IF($A240&lt;VLOOKUP(J$5,NFI,5,0),1,0)*Table_NFI[[#This Row],[Sanitary Kit]],Table_NFI[Sanitary Kit])</f>
        <v>0</v>
      </c>
      <c r="AB240" s="294">
        <f>IF(NFI_Expiration=1,IF($A240&lt;VLOOKUP(K$5,NFI,5,0),1,0)*Table_NFI[[#This Row],[Mosquito net]],Table_NFI[Mosquito net])</f>
        <v>0</v>
      </c>
      <c r="AC240" s="294">
        <f>IF(NFI_Expiration=1,IF($A240&lt;VLOOKUP(L$5,NFI,5,0),1,0)*Table_NFI[[#This Row],[Tarpaulin]],Table_NFI[[#This Row],[Tarpaulin]])</f>
        <v>0</v>
      </c>
      <c r="AD240" s="294">
        <f>IF(NFI_Expiration=1,IF($A240&lt;VLOOKUP(M$5,NFI,5,0),1,0)*Table_NFI[[#This Row],[Blanket]],Table_NFI[[#This Row],[Blanket]])</f>
        <v>0</v>
      </c>
      <c r="AE240" s="294">
        <f>IF(NFI_Expiration=1,IF($A240&lt;VLOOKUP(N$5,NFI,5,0),1,0)*Table_NFI[[#This Row],[Kitchen Set]],Table_NFI[Kitchen Set])</f>
        <v>0</v>
      </c>
      <c r="AF240" s="294">
        <f>IF(NFI_Expiration=1,IF($A240&lt;VLOOKUP(O$5,NFI,5,0),1,0)*Table_NFI[[#This Row],[Clothes Kit]],Table_NFI[Clothes Kit])</f>
        <v>0</v>
      </c>
      <c r="AG240" s="294">
        <f>IF(NFI_Expiration=1,IF($A240&lt;VLOOKUP(P$5,NFI,5,0),1,0)*Table_NFI[[#This Row],[Plastic Bucket]],Table_NFI[Plastic Bucket])</f>
        <v>0</v>
      </c>
      <c r="AH240" s="294">
        <f>IF(NFI_Expiration=1,IF($A240&lt;VLOOKUP(Q$5,NFI,5,0),1,0)*Table_NFI[[#This Row],[Plastic Mat]],Table_NFI[Plastic Mat])*IF(Table_NFI[[#This Row],[Distribution Date]]&gt;"2014-04-01",1,2.5)</f>
        <v>0</v>
      </c>
      <c r="AI240" s="294">
        <f>IF(NFI_Expiration=1,IF($A240&lt;VLOOKUP(R$5,NFI,5,0),1,0)*Table_NFI[[#This Row],[Winter Clothes Adult]],Table_NFI[Winter Clothes Adult])</f>
        <v>0</v>
      </c>
      <c r="AJ240" s="294">
        <f>IF(NFI_Expiration=1,IF($A240&lt;VLOOKUP(S$5,NFI,5,0),1,0)*Table_NFI[[#This Row],[Winter Clothes Children]],Table_NFI[Winter Clothes Children])</f>
        <v>0</v>
      </c>
      <c r="AK240" s="294">
        <f>IF(NFI_Expiration=1,IF($A240&lt;VLOOKUP(T$5,NFI,5,0),1,0)*Table_NFI[[#This Row],[Winter Items Other]],Table_NFI[Winter Items Other])</f>
        <v>0</v>
      </c>
      <c r="AL240" s="294">
        <f>IF(NFI_Expiration=1,IF($A240&lt;VLOOKUP(M$5,NFI,5,0),1,0)*Table_NFI[[#This Row],[Winter Blanket]],Table_NFI[[#This Row],[Winter Blanket]])</f>
        <v>0</v>
      </c>
      <c r="AM240" s="294">
        <f>IF(Table_NFI[[#This Row],[Winter Clothes Adult]]+Table_NFI[[#This Row],[Winter Clothes Children]]+Table_NFI[[#This Row],[Winter Items Other]]+Table_NFI[[#This Row],[Winter Blanket]]&gt;0,1,0)</f>
        <v>0</v>
      </c>
      <c r="AN240" s="331">
        <f>IF(NFI_Expiration=1,IF($A240&lt;VLOOKUP(V$5,NFI,5,0),1,0)*Table_NFI[[#This Row],[Jerry Can]],Table_NFI[Jerry Can])</f>
        <v>0</v>
      </c>
      <c r="AO240" s="331">
        <f>IF(NFI_Expiration=1,IF($A240&lt;VLOOKUP(V$5,NFI,5,0),1,0)*Table_NFI[[#This Row],[Shelter Tool kit]],Table_NFI[Shelter Tool kit])</f>
        <v>0</v>
      </c>
      <c r="AP240" s="331">
        <f>IF(NFI_Expiration=1,IF($A240&lt;VLOOKUP(V$5,NFI,5,0),1,0)*Table_NFI[[#This Row],[Tent]],Table_NFI[Tent])</f>
        <v>0</v>
      </c>
      <c r="AQ240" s="473" t="str">
        <f>IFERROR(VLOOKUP(Table_NFI[[#This Row],[Camp Name]],CL,2,0),"")</f>
        <v>MMR001CMP229</v>
      </c>
      <c r="AR240" s="468">
        <f ca="1">IF(Table_NFI[[#This Row],[Pcode]]="","",IF(OFFSET(CampList[Opening Date],MATCH(Table_NFI[[#This Row],[Pcode]],CampList[CP_Pcode],0)-1,0,1,1)&gt;=NFI_Monitor_Date,1,0))</f>
        <v>0</v>
      </c>
      <c r="AS240" s="473" t="str">
        <f>IFERROR(VLOOKUP(Table_NFI[[#This Row],[Camp Name]],CL,3,0),"")</f>
        <v>Open</v>
      </c>
      <c r="AT240" s="294" t="str">
        <f ca="1">IF(Table_NFI[[#This Row],[Pcode]]="","",OFFSET(CampList[Priority],MATCH(Table_NFI[[#This Row],[Pcode]],CampList[CP_Pcode],0)-1,0,1,1))</f>
        <v>P4</v>
      </c>
      <c r="AU240" s="293">
        <f>IFERROR(Table_NFI[[#This Row],[Kitchen Set]]/VLOOKUP(Table_NFI[[#This Row],[Camp Name]],CL,4,0),"")</f>
        <v>0.62135922330097082</v>
      </c>
      <c r="AV240" s="466"/>
      <c r="AW240" s="469"/>
    </row>
    <row r="241" spans="1:49" s="470" customFormat="1" ht="14.45" customHeight="1" x14ac:dyDescent="0.25">
      <c r="A241" s="297">
        <f t="shared" si="3"/>
        <v>24.4</v>
      </c>
      <c r="B241" s="465">
        <v>41943</v>
      </c>
      <c r="C241" s="466" t="s">
        <v>452</v>
      </c>
      <c r="D241" s="466"/>
      <c r="E241" s="466" t="s">
        <v>380</v>
      </c>
      <c r="F241" s="466" t="s">
        <v>527</v>
      </c>
      <c r="G241" s="466" t="s">
        <v>90</v>
      </c>
      <c r="H241" s="291"/>
      <c r="I241" s="291"/>
      <c r="J241" s="291">
        <v>25</v>
      </c>
      <c r="K241" s="291">
        <v>50</v>
      </c>
      <c r="L241" s="292">
        <v>25</v>
      </c>
      <c r="M241" s="292">
        <v>50</v>
      </c>
      <c r="N241" s="292">
        <v>25</v>
      </c>
      <c r="O241" s="292"/>
      <c r="P241" s="294">
        <v>25</v>
      </c>
      <c r="Q241" s="294">
        <v>125</v>
      </c>
      <c r="R241" s="294"/>
      <c r="S241" s="294"/>
      <c r="T241" s="294"/>
      <c r="U241" s="294"/>
      <c r="V241" s="431"/>
      <c r="W241" s="294"/>
      <c r="X241" s="294"/>
      <c r="Y241" s="294">
        <f>IF(NFI_Expiration=1,IF($A241&lt;VLOOKUP(H$5,NFI,5,0),1,0)*Table_NFI[[#This Row],[Hygiene Kit]],Table_NFI[Hygiene Kit])</f>
        <v>0</v>
      </c>
      <c r="Z241" s="294">
        <f>IF(NFI_Expiration=1,IF($A241&lt;VLOOKUP(I$5,NFI,5,0),1,0)*Table_NFI[[#This Row],[NFI Core Kit]],Table_NFI[NFI Core Kit])</f>
        <v>0</v>
      </c>
      <c r="AA241" s="294">
        <f>IF(NFI_Expiration=1,IF($A241&lt;VLOOKUP(J$5,NFI,5,0),1,0)*Table_NFI[[#This Row],[Sanitary Kit]],Table_NFI[Sanitary Kit])</f>
        <v>0</v>
      </c>
      <c r="AB241" s="294">
        <f>IF(NFI_Expiration=1,IF($A241&lt;VLOOKUP(K$5,NFI,5,0),1,0)*Table_NFI[[#This Row],[Mosquito net]],Table_NFI[Mosquito net])</f>
        <v>0</v>
      </c>
      <c r="AC241" s="294">
        <f>IF(NFI_Expiration=1,IF($A241&lt;VLOOKUP(L$5,NFI,5,0),1,0)*Table_NFI[[#This Row],[Tarpaulin]],Table_NFI[[#This Row],[Tarpaulin]])</f>
        <v>0</v>
      </c>
      <c r="AD241" s="294">
        <f>IF(NFI_Expiration=1,IF($A241&lt;VLOOKUP(M$5,NFI,5,0),1,0)*Table_NFI[[#This Row],[Blanket]],Table_NFI[[#This Row],[Blanket]])</f>
        <v>0</v>
      </c>
      <c r="AE241" s="294">
        <f>IF(NFI_Expiration=1,IF($A241&lt;VLOOKUP(N$5,NFI,5,0),1,0)*Table_NFI[[#This Row],[Kitchen Set]],Table_NFI[Kitchen Set])</f>
        <v>0</v>
      </c>
      <c r="AF241" s="294">
        <f>IF(NFI_Expiration=1,IF($A241&lt;VLOOKUP(O$5,NFI,5,0),1,0)*Table_NFI[[#This Row],[Clothes Kit]],Table_NFI[Clothes Kit])</f>
        <v>0</v>
      </c>
      <c r="AG241" s="294">
        <f>IF(NFI_Expiration=1,IF($A241&lt;VLOOKUP(P$5,NFI,5,0),1,0)*Table_NFI[[#This Row],[Plastic Bucket]],Table_NFI[Plastic Bucket])</f>
        <v>0</v>
      </c>
      <c r="AH241" s="294">
        <f>IF(NFI_Expiration=1,IF($A241&lt;VLOOKUP(Q$5,NFI,5,0),1,0)*Table_NFI[[#This Row],[Plastic Mat]],Table_NFI[Plastic Mat])*IF(Table_NFI[[#This Row],[Distribution Date]]&gt;"2014-04-01",1,2.5)</f>
        <v>0</v>
      </c>
      <c r="AI241" s="294">
        <f>IF(NFI_Expiration=1,IF($A241&lt;VLOOKUP(R$5,NFI,5,0),1,0)*Table_NFI[[#This Row],[Winter Clothes Adult]],Table_NFI[Winter Clothes Adult])</f>
        <v>0</v>
      </c>
      <c r="AJ241" s="294">
        <f>IF(NFI_Expiration=1,IF($A241&lt;VLOOKUP(S$5,NFI,5,0),1,0)*Table_NFI[[#This Row],[Winter Clothes Children]],Table_NFI[Winter Clothes Children])</f>
        <v>0</v>
      </c>
      <c r="AK241" s="294">
        <f>IF(NFI_Expiration=1,IF($A241&lt;VLOOKUP(T$5,NFI,5,0),1,0)*Table_NFI[[#This Row],[Winter Items Other]],Table_NFI[Winter Items Other])</f>
        <v>0</v>
      </c>
      <c r="AL241" s="294">
        <f>IF(NFI_Expiration=1,IF($A241&lt;VLOOKUP(M$5,NFI,5,0),1,0)*Table_NFI[[#This Row],[Winter Blanket]],Table_NFI[[#This Row],[Winter Blanket]])</f>
        <v>0</v>
      </c>
      <c r="AM241" s="294">
        <f>IF(Table_NFI[[#This Row],[Winter Clothes Adult]]+Table_NFI[[#This Row],[Winter Clothes Children]]+Table_NFI[[#This Row],[Winter Items Other]]+Table_NFI[[#This Row],[Winter Blanket]]&gt;0,1,0)</f>
        <v>0</v>
      </c>
      <c r="AN241" s="331">
        <f>IF(NFI_Expiration=1,IF($A241&lt;VLOOKUP(V$5,NFI,5,0),1,0)*Table_NFI[[#This Row],[Jerry Can]],Table_NFI[Jerry Can])</f>
        <v>0</v>
      </c>
      <c r="AO241" s="331">
        <f>IF(NFI_Expiration=1,IF($A241&lt;VLOOKUP(V$5,NFI,5,0),1,0)*Table_NFI[[#This Row],[Shelter Tool kit]],Table_NFI[Shelter Tool kit])</f>
        <v>0</v>
      </c>
      <c r="AP241" s="331">
        <f>IF(NFI_Expiration=1,IF($A241&lt;VLOOKUP(V$5,NFI,5,0),1,0)*Table_NFI[[#This Row],[Tent]],Table_NFI[Tent])</f>
        <v>0</v>
      </c>
      <c r="AQ241" s="473" t="str">
        <f>IFERROR(VLOOKUP(Table_NFI[[#This Row],[Camp Name]],CL,2,0),"")</f>
        <v>MMR001CMP181</v>
      </c>
      <c r="AR241" s="468">
        <f ca="1">IF(Table_NFI[[#This Row],[Pcode]]="","",IF(OFFSET(CampList[Opening Date],MATCH(Table_NFI[[#This Row],[Pcode]],CampList[CP_Pcode],0)-1,0,1,1)&gt;=NFI_Monitor_Date,1,0))</f>
        <v>0</v>
      </c>
      <c r="AS241" s="473" t="str">
        <f>IFERROR(VLOOKUP(Table_NFI[[#This Row],[Camp Name]],CL,3,0),"")</f>
        <v>Open</v>
      </c>
      <c r="AT241" s="294" t="str">
        <f ca="1">IF(Table_NFI[[#This Row],[Pcode]]="","",OFFSET(CampList[Priority],MATCH(Table_NFI[[#This Row],[Pcode]],CampList[CP_Pcode],0)-1,0,1,1))</f>
        <v>P4</v>
      </c>
      <c r="AU241" s="293">
        <f>IFERROR(Table_NFI[[#This Row],[Kitchen Set]]/VLOOKUP(Table_NFI[[#This Row],[Camp Name]],CL,4,0),"")</f>
        <v>1</v>
      </c>
      <c r="AV241" s="466"/>
      <c r="AW241" s="469"/>
    </row>
    <row r="242" spans="1:49" s="470" customFormat="1" x14ac:dyDescent="0.25">
      <c r="A242" s="297">
        <f t="shared" si="3"/>
        <v>24.4</v>
      </c>
      <c r="B242" s="465">
        <v>41943</v>
      </c>
      <c r="C242" s="466" t="s">
        <v>452</v>
      </c>
      <c r="D242" s="466"/>
      <c r="E242" s="466" t="s">
        <v>380</v>
      </c>
      <c r="F242" s="466" t="s">
        <v>527</v>
      </c>
      <c r="G242" s="466" t="s">
        <v>92</v>
      </c>
      <c r="H242" s="291"/>
      <c r="I242" s="291"/>
      <c r="J242" s="291">
        <v>15</v>
      </c>
      <c r="K242" s="291">
        <v>30</v>
      </c>
      <c r="L242" s="292">
        <v>15</v>
      </c>
      <c r="M242" s="292">
        <v>30</v>
      </c>
      <c r="N242" s="292">
        <v>15</v>
      </c>
      <c r="O242" s="292"/>
      <c r="P242" s="294">
        <v>15</v>
      </c>
      <c r="Q242" s="294">
        <v>75</v>
      </c>
      <c r="R242" s="294"/>
      <c r="S242" s="294"/>
      <c r="T242" s="294"/>
      <c r="U242" s="294"/>
      <c r="V242" s="431"/>
      <c r="W242" s="331"/>
      <c r="X242" s="331"/>
      <c r="Y242" s="294">
        <f>IF(NFI_Expiration=1,IF($A242&lt;VLOOKUP(H$5,NFI,5,0),1,0)*Table_NFI[[#This Row],[Hygiene Kit]],Table_NFI[Hygiene Kit])</f>
        <v>0</v>
      </c>
      <c r="Z242" s="294">
        <f>IF(NFI_Expiration=1,IF($A242&lt;VLOOKUP(I$5,NFI,5,0),1,0)*Table_NFI[[#This Row],[NFI Core Kit]],Table_NFI[NFI Core Kit])</f>
        <v>0</v>
      </c>
      <c r="AA242" s="294">
        <f>IF(NFI_Expiration=1,IF($A242&lt;VLOOKUP(J$5,NFI,5,0),1,0)*Table_NFI[[#This Row],[Sanitary Kit]],Table_NFI[Sanitary Kit])</f>
        <v>0</v>
      </c>
      <c r="AB242" s="294">
        <f>IF(NFI_Expiration=1,IF($A242&lt;VLOOKUP(K$5,NFI,5,0),1,0)*Table_NFI[[#This Row],[Mosquito net]],Table_NFI[Mosquito net])</f>
        <v>0</v>
      </c>
      <c r="AC242" s="294">
        <f>IF(NFI_Expiration=1,IF($A242&lt;VLOOKUP(L$5,NFI,5,0),1,0)*Table_NFI[[#This Row],[Tarpaulin]],Table_NFI[[#This Row],[Tarpaulin]])</f>
        <v>0</v>
      </c>
      <c r="AD242" s="294">
        <f>IF(NFI_Expiration=1,IF($A242&lt;VLOOKUP(M$5,NFI,5,0),1,0)*Table_NFI[[#This Row],[Blanket]],Table_NFI[[#This Row],[Blanket]])</f>
        <v>0</v>
      </c>
      <c r="AE242" s="294">
        <f>IF(NFI_Expiration=1,IF($A242&lt;VLOOKUP(N$5,NFI,5,0),1,0)*Table_NFI[[#This Row],[Kitchen Set]],Table_NFI[Kitchen Set])</f>
        <v>0</v>
      </c>
      <c r="AF242" s="294">
        <f>IF(NFI_Expiration=1,IF($A242&lt;VLOOKUP(O$5,NFI,5,0),1,0)*Table_NFI[[#This Row],[Clothes Kit]],Table_NFI[Clothes Kit])</f>
        <v>0</v>
      </c>
      <c r="AG242" s="294">
        <f>IF(NFI_Expiration=1,IF($A242&lt;VLOOKUP(P$5,NFI,5,0),1,0)*Table_NFI[[#This Row],[Plastic Bucket]],Table_NFI[Plastic Bucket])</f>
        <v>0</v>
      </c>
      <c r="AH242" s="294">
        <f>IF(NFI_Expiration=1,IF($A242&lt;VLOOKUP(Q$5,NFI,5,0),1,0)*Table_NFI[[#This Row],[Plastic Mat]],Table_NFI[Plastic Mat])*IF(Table_NFI[[#This Row],[Distribution Date]]&gt;"2014-04-01",1,2.5)</f>
        <v>0</v>
      </c>
      <c r="AI242" s="294">
        <f>IF(NFI_Expiration=1,IF($A242&lt;VLOOKUP(R$5,NFI,5,0),1,0)*Table_NFI[[#This Row],[Winter Clothes Adult]],Table_NFI[Winter Clothes Adult])</f>
        <v>0</v>
      </c>
      <c r="AJ242" s="294">
        <f>IF(NFI_Expiration=1,IF($A242&lt;VLOOKUP(S$5,NFI,5,0),1,0)*Table_NFI[[#This Row],[Winter Clothes Children]],Table_NFI[Winter Clothes Children])</f>
        <v>0</v>
      </c>
      <c r="AK242" s="294">
        <f>IF(NFI_Expiration=1,IF($A242&lt;VLOOKUP(T$5,NFI,5,0),1,0)*Table_NFI[[#This Row],[Winter Items Other]],Table_NFI[Winter Items Other])</f>
        <v>0</v>
      </c>
      <c r="AL242" s="294">
        <f>IF(NFI_Expiration=1,IF($A242&lt;VLOOKUP(M$5,NFI,5,0),1,0)*Table_NFI[[#This Row],[Winter Blanket]],Table_NFI[[#This Row],[Winter Blanket]])</f>
        <v>0</v>
      </c>
      <c r="AM242" s="294">
        <f>IF(Table_NFI[[#This Row],[Winter Clothes Adult]]+Table_NFI[[#This Row],[Winter Clothes Children]]+Table_NFI[[#This Row],[Winter Items Other]]+Table_NFI[[#This Row],[Winter Blanket]]&gt;0,1,0)</f>
        <v>0</v>
      </c>
      <c r="AN242" s="331">
        <f>IF(NFI_Expiration=1,IF($A242&lt;VLOOKUP(V$5,NFI,5,0),1,0)*Table_NFI[[#This Row],[Jerry Can]],Table_NFI[Jerry Can])</f>
        <v>0</v>
      </c>
      <c r="AO242" s="331">
        <f>IF(NFI_Expiration=1,IF($A242&lt;VLOOKUP(V$5,NFI,5,0),1,0)*Table_NFI[[#This Row],[Shelter Tool kit]],Table_NFI[Shelter Tool kit])</f>
        <v>0</v>
      </c>
      <c r="AP242" s="331">
        <f>IF(NFI_Expiration=1,IF($A242&lt;VLOOKUP(V$5,NFI,5,0),1,0)*Table_NFI[[#This Row],[Tent]],Table_NFI[Tent])</f>
        <v>0</v>
      </c>
      <c r="AQ242" s="473" t="str">
        <f>IFERROR(VLOOKUP(Table_NFI[[#This Row],[Camp Name]],CL,2,0),"")</f>
        <v>MMR001CMP167</v>
      </c>
      <c r="AR242" s="468">
        <f ca="1">IF(Table_NFI[[#This Row],[Pcode]]="","",IF(OFFSET(CampList[Opening Date],MATCH(Table_NFI[[#This Row],[Pcode]],CampList[CP_Pcode],0)-1,0,1,1)&gt;=NFI_Monitor_Date,1,0))</f>
        <v>0</v>
      </c>
      <c r="AS242" s="473" t="str">
        <f>IFERROR(VLOOKUP(Table_NFI[[#This Row],[Camp Name]],CL,3,0),"")</f>
        <v>Open</v>
      </c>
      <c r="AT242" s="294" t="str">
        <f ca="1">IF(Table_NFI[[#This Row],[Pcode]]="","",OFFSET(CampList[Priority],MATCH(Table_NFI[[#This Row],[Pcode]],CampList[CP_Pcode],0)-1,0,1,1))</f>
        <v>P4</v>
      </c>
      <c r="AU242" s="293">
        <f>IFERROR(Table_NFI[[#This Row],[Kitchen Set]]/VLOOKUP(Table_NFI[[#This Row],[Camp Name]],CL,4,0),"")</f>
        <v>1</v>
      </c>
      <c r="AV242" s="466"/>
      <c r="AW242" s="469"/>
    </row>
    <row r="243" spans="1:49" s="470" customFormat="1" x14ac:dyDescent="0.25">
      <c r="A243" s="297">
        <f t="shared" si="3"/>
        <v>24.4</v>
      </c>
      <c r="B243" s="465">
        <v>41943</v>
      </c>
      <c r="C243" s="466" t="s">
        <v>1094</v>
      </c>
      <c r="D243" s="466" t="s">
        <v>900</v>
      </c>
      <c r="E243" s="466" t="s">
        <v>380</v>
      </c>
      <c r="F243" s="466" t="s">
        <v>892</v>
      </c>
      <c r="G243" s="466" t="s">
        <v>894</v>
      </c>
      <c r="H243" s="291"/>
      <c r="I243" s="291"/>
      <c r="J243" s="291"/>
      <c r="K243" s="291"/>
      <c r="L243" s="292"/>
      <c r="M243" s="292"/>
      <c r="N243" s="292"/>
      <c r="O243" s="292"/>
      <c r="P243" s="294"/>
      <c r="Q243" s="294"/>
      <c r="R243" s="294">
        <v>20</v>
      </c>
      <c r="S243" s="294">
        <v>8</v>
      </c>
      <c r="T243" s="294"/>
      <c r="U243" s="294"/>
      <c r="V243" s="431"/>
      <c r="W243" s="331"/>
      <c r="X243" s="331"/>
      <c r="Y243" s="294">
        <f>IF(NFI_Expiration=1,IF($A243&lt;VLOOKUP(H$5,NFI,5,0),1,0)*Table_NFI[[#This Row],[Hygiene Kit]],Table_NFI[Hygiene Kit])</f>
        <v>0</v>
      </c>
      <c r="Z243" s="294">
        <f>IF(NFI_Expiration=1,IF($A243&lt;VLOOKUP(I$5,NFI,5,0),1,0)*Table_NFI[[#This Row],[NFI Core Kit]],Table_NFI[NFI Core Kit])</f>
        <v>0</v>
      </c>
      <c r="AA243" s="294">
        <f>IF(NFI_Expiration=1,IF($A243&lt;VLOOKUP(J$5,NFI,5,0),1,0)*Table_NFI[[#This Row],[Sanitary Kit]],Table_NFI[Sanitary Kit])</f>
        <v>0</v>
      </c>
      <c r="AB243" s="294">
        <f>IF(NFI_Expiration=1,IF($A243&lt;VLOOKUP(K$5,NFI,5,0),1,0)*Table_NFI[[#This Row],[Mosquito net]],Table_NFI[Mosquito net])</f>
        <v>0</v>
      </c>
      <c r="AC243" s="294">
        <f>IF(NFI_Expiration=1,IF($A243&lt;VLOOKUP(L$5,NFI,5,0),1,0)*Table_NFI[[#This Row],[Tarpaulin]],Table_NFI[[#This Row],[Tarpaulin]])</f>
        <v>0</v>
      </c>
      <c r="AD243" s="294">
        <f>IF(NFI_Expiration=1,IF($A243&lt;VLOOKUP(M$5,NFI,5,0),1,0)*Table_NFI[[#This Row],[Blanket]],Table_NFI[[#This Row],[Blanket]])</f>
        <v>0</v>
      </c>
      <c r="AE243" s="294">
        <f>IF(NFI_Expiration=1,IF($A243&lt;VLOOKUP(N$5,NFI,5,0),1,0)*Table_NFI[[#This Row],[Kitchen Set]],Table_NFI[Kitchen Set])</f>
        <v>0</v>
      </c>
      <c r="AF243" s="294">
        <f>IF(NFI_Expiration=1,IF($A243&lt;VLOOKUP(O$5,NFI,5,0),1,0)*Table_NFI[[#This Row],[Clothes Kit]],Table_NFI[Clothes Kit])</f>
        <v>0</v>
      </c>
      <c r="AG243" s="294">
        <f>IF(NFI_Expiration=1,IF($A243&lt;VLOOKUP(P$5,NFI,5,0),1,0)*Table_NFI[[#This Row],[Plastic Bucket]],Table_NFI[Plastic Bucket])</f>
        <v>0</v>
      </c>
      <c r="AH243" s="294">
        <f>IF(NFI_Expiration=1,IF($A243&lt;VLOOKUP(Q$5,NFI,5,0),1,0)*Table_NFI[[#This Row],[Plastic Mat]],Table_NFI[Plastic Mat])*IF(Table_NFI[[#This Row],[Distribution Date]]&gt;"2014-04-01",1,2.5)</f>
        <v>0</v>
      </c>
      <c r="AI243" s="294">
        <f>IF(NFI_Expiration=1,IF($A243&lt;VLOOKUP(R$5,NFI,5,0),1,0)*Table_NFI[[#This Row],[Winter Clothes Adult]],Table_NFI[Winter Clothes Adult])</f>
        <v>0</v>
      </c>
      <c r="AJ243" s="294">
        <f>IF(NFI_Expiration=1,IF($A243&lt;VLOOKUP(S$5,NFI,5,0),1,0)*Table_NFI[[#This Row],[Winter Clothes Children]],Table_NFI[Winter Clothes Children])</f>
        <v>0</v>
      </c>
      <c r="AK243" s="294">
        <f>IF(NFI_Expiration=1,IF($A243&lt;VLOOKUP(T$5,NFI,5,0),1,0)*Table_NFI[[#This Row],[Winter Items Other]],Table_NFI[Winter Items Other])</f>
        <v>0</v>
      </c>
      <c r="AL243" s="294">
        <f>IF(NFI_Expiration=1,IF($A243&lt;VLOOKUP(M$5,NFI,5,0),1,0)*Table_NFI[[#This Row],[Winter Blanket]],Table_NFI[[#This Row],[Winter Blanket]])</f>
        <v>0</v>
      </c>
      <c r="AM243" s="294">
        <f>IF(Table_NFI[[#This Row],[Winter Clothes Adult]]+Table_NFI[[#This Row],[Winter Clothes Children]]+Table_NFI[[#This Row],[Winter Items Other]]+Table_NFI[[#This Row],[Winter Blanket]]&gt;0,1,0)</f>
        <v>1</v>
      </c>
      <c r="AN243" s="331">
        <f>IF(NFI_Expiration=1,IF($A243&lt;VLOOKUP(V$5,NFI,5,0),1,0)*Table_NFI[[#This Row],[Jerry Can]],Table_NFI[Jerry Can])</f>
        <v>0</v>
      </c>
      <c r="AO243" s="331">
        <f>IF(NFI_Expiration=1,IF($A243&lt;VLOOKUP(V$5,NFI,5,0),1,0)*Table_NFI[[#This Row],[Shelter Tool kit]],Table_NFI[Shelter Tool kit])</f>
        <v>0</v>
      </c>
      <c r="AP243" s="331">
        <f>IF(NFI_Expiration=1,IF($A243&lt;VLOOKUP(V$5,NFI,5,0),1,0)*Table_NFI[[#This Row],[Tent]],Table_NFI[Tent])</f>
        <v>0</v>
      </c>
      <c r="AQ243" s="473" t="str">
        <f>IFERROR(VLOOKUP(Table_NFI[[#This Row],[Camp Name]],CL,2,0),"")</f>
        <v>MMR001CMP221</v>
      </c>
      <c r="AR243" s="468">
        <f ca="1">IF(Table_NFI[[#This Row],[Pcode]]="","",IF(OFFSET(CampList[Opening Date],MATCH(Table_NFI[[#This Row],[Pcode]],CampList[CP_Pcode],0)-1,0,1,1)&gt;=NFI_Monitor_Date,1,0))</f>
        <v>0</v>
      </c>
      <c r="AS243" s="473" t="str">
        <f>IFERROR(VLOOKUP(Table_NFI[[#This Row],[Camp Name]],CL,3,0),"")</f>
        <v>Closed</v>
      </c>
      <c r="AT243" s="294" t="str">
        <f ca="1">IF(Table_NFI[[#This Row],[Pcode]]="","",OFFSET(CampList[Priority],MATCH(Table_NFI[[#This Row],[Pcode]],CampList[CP_Pcode],0)-1,0,1,1))</f>
        <v>P3</v>
      </c>
      <c r="AU243" s="293" t="str">
        <f>IFERROR(Table_NFI[[#This Row],[Kitchen Set]]/VLOOKUP(Table_NFI[[#This Row],[Camp Name]],CL,4,0),"")</f>
        <v/>
      </c>
      <c r="AV243" s="466"/>
      <c r="AW243" s="469"/>
    </row>
    <row r="244" spans="1:49" s="470" customFormat="1" x14ac:dyDescent="0.25">
      <c r="A244" s="297">
        <f t="shared" si="3"/>
        <v>24.4</v>
      </c>
      <c r="B244" s="465">
        <v>41943</v>
      </c>
      <c r="C244" s="466" t="s">
        <v>1094</v>
      </c>
      <c r="D244" s="466" t="s">
        <v>900</v>
      </c>
      <c r="E244" s="466" t="s">
        <v>380</v>
      </c>
      <c r="F244" s="466" t="s">
        <v>527</v>
      </c>
      <c r="G244" s="466" t="s">
        <v>100</v>
      </c>
      <c r="H244" s="291"/>
      <c r="I244" s="291"/>
      <c r="J244" s="291"/>
      <c r="K244" s="291"/>
      <c r="L244" s="292"/>
      <c r="M244" s="292"/>
      <c r="N244" s="292"/>
      <c r="O244" s="292"/>
      <c r="P244" s="294"/>
      <c r="Q244" s="294"/>
      <c r="R244" s="294">
        <v>11</v>
      </c>
      <c r="S244" s="294">
        <v>15</v>
      </c>
      <c r="T244" s="294"/>
      <c r="U244" s="294"/>
      <c r="V244" s="431"/>
      <c r="W244" s="331"/>
      <c r="X244" s="331"/>
      <c r="Y244" s="294">
        <f>IF(NFI_Expiration=1,IF($A244&lt;VLOOKUP(H$5,NFI,5,0),1,0)*Table_NFI[[#This Row],[Hygiene Kit]],Table_NFI[Hygiene Kit])</f>
        <v>0</v>
      </c>
      <c r="Z244" s="294">
        <f>IF(NFI_Expiration=1,IF($A244&lt;VLOOKUP(I$5,NFI,5,0),1,0)*Table_NFI[[#This Row],[NFI Core Kit]],Table_NFI[NFI Core Kit])</f>
        <v>0</v>
      </c>
      <c r="AA244" s="294">
        <f>IF(NFI_Expiration=1,IF($A244&lt;VLOOKUP(J$5,NFI,5,0),1,0)*Table_NFI[[#This Row],[Sanitary Kit]],Table_NFI[Sanitary Kit])</f>
        <v>0</v>
      </c>
      <c r="AB244" s="294">
        <f>IF(NFI_Expiration=1,IF($A244&lt;VLOOKUP(K$5,NFI,5,0),1,0)*Table_NFI[[#This Row],[Mosquito net]],Table_NFI[Mosquito net])</f>
        <v>0</v>
      </c>
      <c r="AC244" s="294">
        <f>IF(NFI_Expiration=1,IF($A244&lt;VLOOKUP(L$5,NFI,5,0),1,0)*Table_NFI[[#This Row],[Tarpaulin]],Table_NFI[[#This Row],[Tarpaulin]])</f>
        <v>0</v>
      </c>
      <c r="AD244" s="294">
        <f>IF(NFI_Expiration=1,IF($A244&lt;VLOOKUP(M$5,NFI,5,0),1,0)*Table_NFI[[#This Row],[Blanket]],Table_NFI[[#This Row],[Blanket]])</f>
        <v>0</v>
      </c>
      <c r="AE244" s="294">
        <f>IF(NFI_Expiration=1,IF($A244&lt;VLOOKUP(N$5,NFI,5,0),1,0)*Table_NFI[[#This Row],[Kitchen Set]],Table_NFI[Kitchen Set])</f>
        <v>0</v>
      </c>
      <c r="AF244" s="294">
        <f>IF(NFI_Expiration=1,IF($A244&lt;VLOOKUP(O$5,NFI,5,0),1,0)*Table_NFI[[#This Row],[Clothes Kit]],Table_NFI[Clothes Kit])</f>
        <v>0</v>
      </c>
      <c r="AG244" s="294">
        <f>IF(NFI_Expiration=1,IF($A244&lt;VLOOKUP(P$5,NFI,5,0),1,0)*Table_NFI[[#This Row],[Plastic Bucket]],Table_NFI[Plastic Bucket])</f>
        <v>0</v>
      </c>
      <c r="AH244" s="294">
        <f>IF(NFI_Expiration=1,IF($A244&lt;VLOOKUP(Q$5,NFI,5,0),1,0)*Table_NFI[[#This Row],[Plastic Mat]],Table_NFI[Plastic Mat])*IF(Table_NFI[[#This Row],[Distribution Date]]&gt;"2014-04-01",1,2.5)</f>
        <v>0</v>
      </c>
      <c r="AI244" s="294">
        <f>IF(NFI_Expiration=1,IF($A244&lt;VLOOKUP(R$5,NFI,5,0),1,0)*Table_NFI[[#This Row],[Winter Clothes Adult]],Table_NFI[Winter Clothes Adult])</f>
        <v>0</v>
      </c>
      <c r="AJ244" s="294">
        <f>IF(NFI_Expiration=1,IF($A244&lt;VLOOKUP(S$5,NFI,5,0),1,0)*Table_NFI[[#This Row],[Winter Clothes Children]],Table_NFI[Winter Clothes Children])</f>
        <v>0</v>
      </c>
      <c r="AK244" s="294">
        <f>IF(NFI_Expiration=1,IF($A244&lt;VLOOKUP(T$5,NFI,5,0),1,0)*Table_NFI[[#This Row],[Winter Items Other]],Table_NFI[Winter Items Other])</f>
        <v>0</v>
      </c>
      <c r="AL244" s="294">
        <f>IF(NFI_Expiration=1,IF($A244&lt;VLOOKUP(M$5,NFI,5,0),1,0)*Table_NFI[[#This Row],[Winter Blanket]],Table_NFI[[#This Row],[Winter Blanket]])</f>
        <v>0</v>
      </c>
      <c r="AM244" s="294">
        <f>IF(Table_NFI[[#This Row],[Winter Clothes Adult]]+Table_NFI[[#This Row],[Winter Clothes Children]]+Table_NFI[[#This Row],[Winter Items Other]]+Table_NFI[[#This Row],[Winter Blanket]]&gt;0,1,0)</f>
        <v>1</v>
      </c>
      <c r="AN244" s="331">
        <f>IF(NFI_Expiration=1,IF($A244&lt;VLOOKUP(V$5,NFI,5,0),1,0)*Table_NFI[[#This Row],[Jerry Can]],Table_NFI[Jerry Can])</f>
        <v>0</v>
      </c>
      <c r="AO244" s="331">
        <f>IF(NFI_Expiration=1,IF($A244&lt;VLOOKUP(V$5,NFI,5,0),1,0)*Table_NFI[[#This Row],[Shelter Tool kit]],Table_NFI[Shelter Tool kit])</f>
        <v>0</v>
      </c>
      <c r="AP244" s="331">
        <f>IF(NFI_Expiration=1,IF($A244&lt;VLOOKUP(V$5,NFI,5,0),1,0)*Table_NFI[[#This Row],[Tent]],Table_NFI[Tent])</f>
        <v>0</v>
      </c>
      <c r="AQ244" s="473" t="str">
        <f>IFERROR(VLOOKUP(Table_NFI[[#This Row],[Camp Name]],CL,2,0),"")</f>
        <v>MMR001CMP091</v>
      </c>
      <c r="AR244" s="468">
        <f ca="1">IF(Table_NFI[[#This Row],[Pcode]]="","",IF(OFFSET(CampList[Opening Date],MATCH(Table_NFI[[#This Row],[Pcode]],CampList[CP_Pcode],0)-1,0,1,1)&gt;=NFI_Monitor_Date,1,0))</f>
        <v>0</v>
      </c>
      <c r="AS244" s="473" t="str">
        <f>IFERROR(VLOOKUP(Table_NFI[[#This Row],[Camp Name]],CL,3,0),"")</f>
        <v>Open</v>
      </c>
      <c r="AT244" s="294" t="str">
        <f ca="1">IF(Table_NFI[[#This Row],[Pcode]]="","",OFFSET(CampList[Priority],MATCH(Table_NFI[[#This Row],[Pcode]],CampList[CP_Pcode],0)-1,0,1,1))</f>
        <v>P4</v>
      </c>
      <c r="AU244" s="293">
        <f>IFERROR(Table_NFI[[#This Row],[Kitchen Set]]/VLOOKUP(Table_NFI[[#This Row],[Camp Name]],CL,4,0),"")</f>
        <v>0</v>
      </c>
      <c r="AV244" s="466"/>
      <c r="AW244" s="469"/>
    </row>
    <row r="245" spans="1:49" s="470" customFormat="1" x14ac:dyDescent="0.25">
      <c r="A245" s="297">
        <f t="shared" si="3"/>
        <v>24.4</v>
      </c>
      <c r="B245" s="465">
        <v>41943</v>
      </c>
      <c r="C245" s="466" t="s">
        <v>452</v>
      </c>
      <c r="D245" s="466"/>
      <c r="E245" s="466" t="s">
        <v>380</v>
      </c>
      <c r="F245" s="466" t="s">
        <v>527</v>
      </c>
      <c r="G245" s="466" t="s">
        <v>100</v>
      </c>
      <c r="H245" s="291"/>
      <c r="I245" s="291"/>
      <c r="J245" s="291">
        <v>5</v>
      </c>
      <c r="K245" s="291">
        <v>10</v>
      </c>
      <c r="L245" s="292">
        <v>5</v>
      </c>
      <c r="M245" s="292">
        <v>10</v>
      </c>
      <c r="N245" s="292">
        <v>5</v>
      </c>
      <c r="O245" s="292"/>
      <c r="P245" s="294">
        <v>5</v>
      </c>
      <c r="Q245" s="294">
        <v>25</v>
      </c>
      <c r="R245" s="294"/>
      <c r="S245" s="294"/>
      <c r="T245" s="294"/>
      <c r="U245" s="294"/>
      <c r="V245" s="431"/>
      <c r="W245" s="294"/>
      <c r="X245" s="294"/>
      <c r="Y245" s="294">
        <f>IF(NFI_Expiration=1,IF($A245&lt;VLOOKUP(H$5,NFI,5,0),1,0)*Table_NFI[[#This Row],[Hygiene Kit]],Table_NFI[Hygiene Kit])</f>
        <v>0</v>
      </c>
      <c r="Z245" s="294">
        <f>IF(NFI_Expiration=1,IF($A245&lt;VLOOKUP(I$5,NFI,5,0),1,0)*Table_NFI[[#This Row],[NFI Core Kit]],Table_NFI[NFI Core Kit])</f>
        <v>0</v>
      </c>
      <c r="AA245" s="294">
        <f>IF(NFI_Expiration=1,IF($A245&lt;VLOOKUP(J$5,NFI,5,0),1,0)*Table_NFI[[#This Row],[Sanitary Kit]],Table_NFI[Sanitary Kit])</f>
        <v>0</v>
      </c>
      <c r="AB245" s="294">
        <f>IF(NFI_Expiration=1,IF($A245&lt;VLOOKUP(K$5,NFI,5,0),1,0)*Table_NFI[[#This Row],[Mosquito net]],Table_NFI[Mosquito net])</f>
        <v>0</v>
      </c>
      <c r="AC245" s="294">
        <f>IF(NFI_Expiration=1,IF($A245&lt;VLOOKUP(L$5,NFI,5,0),1,0)*Table_NFI[[#This Row],[Tarpaulin]],Table_NFI[[#This Row],[Tarpaulin]])</f>
        <v>0</v>
      </c>
      <c r="AD245" s="294">
        <f>IF(NFI_Expiration=1,IF($A245&lt;VLOOKUP(M$5,NFI,5,0),1,0)*Table_NFI[[#This Row],[Blanket]],Table_NFI[[#This Row],[Blanket]])</f>
        <v>0</v>
      </c>
      <c r="AE245" s="294">
        <f>IF(NFI_Expiration=1,IF($A245&lt;VLOOKUP(N$5,NFI,5,0),1,0)*Table_NFI[[#This Row],[Kitchen Set]],Table_NFI[Kitchen Set])</f>
        <v>0</v>
      </c>
      <c r="AF245" s="294">
        <f>IF(NFI_Expiration=1,IF($A245&lt;VLOOKUP(O$5,NFI,5,0),1,0)*Table_NFI[[#This Row],[Clothes Kit]],Table_NFI[Clothes Kit])</f>
        <v>0</v>
      </c>
      <c r="AG245" s="294">
        <f>IF(NFI_Expiration=1,IF($A245&lt;VLOOKUP(P$5,NFI,5,0),1,0)*Table_NFI[[#This Row],[Plastic Bucket]],Table_NFI[Plastic Bucket])</f>
        <v>0</v>
      </c>
      <c r="AH245" s="294">
        <f>IF(NFI_Expiration=1,IF($A245&lt;VLOOKUP(Q$5,NFI,5,0),1,0)*Table_NFI[[#This Row],[Plastic Mat]],Table_NFI[Plastic Mat])*IF(Table_NFI[[#This Row],[Distribution Date]]&gt;"2014-04-01",1,2.5)</f>
        <v>0</v>
      </c>
      <c r="AI245" s="294">
        <f>IF(NFI_Expiration=1,IF($A245&lt;VLOOKUP(R$5,NFI,5,0),1,0)*Table_NFI[[#This Row],[Winter Clothes Adult]],Table_NFI[Winter Clothes Adult])</f>
        <v>0</v>
      </c>
      <c r="AJ245" s="294">
        <f>IF(NFI_Expiration=1,IF($A245&lt;VLOOKUP(S$5,NFI,5,0),1,0)*Table_NFI[[#This Row],[Winter Clothes Children]],Table_NFI[Winter Clothes Children])</f>
        <v>0</v>
      </c>
      <c r="AK245" s="294">
        <f>IF(NFI_Expiration=1,IF($A245&lt;VLOOKUP(T$5,NFI,5,0),1,0)*Table_NFI[[#This Row],[Winter Items Other]],Table_NFI[Winter Items Other])</f>
        <v>0</v>
      </c>
      <c r="AL245" s="294">
        <f>IF(NFI_Expiration=1,IF($A245&lt;VLOOKUP(M$5,NFI,5,0),1,0)*Table_NFI[[#This Row],[Winter Blanket]],Table_NFI[[#This Row],[Winter Blanket]])</f>
        <v>0</v>
      </c>
      <c r="AM245" s="294">
        <f>IF(Table_NFI[[#This Row],[Winter Clothes Adult]]+Table_NFI[[#This Row],[Winter Clothes Children]]+Table_NFI[[#This Row],[Winter Items Other]]+Table_NFI[[#This Row],[Winter Blanket]]&gt;0,1,0)</f>
        <v>0</v>
      </c>
      <c r="AN245" s="331">
        <f>IF(NFI_Expiration=1,IF($A245&lt;VLOOKUP(V$5,NFI,5,0),1,0)*Table_NFI[[#This Row],[Jerry Can]],Table_NFI[Jerry Can])</f>
        <v>0</v>
      </c>
      <c r="AO245" s="331">
        <f>IF(NFI_Expiration=1,IF($A245&lt;VLOOKUP(V$5,NFI,5,0),1,0)*Table_NFI[[#This Row],[Shelter Tool kit]],Table_NFI[Shelter Tool kit])</f>
        <v>0</v>
      </c>
      <c r="AP245" s="331">
        <f>IF(NFI_Expiration=1,IF($A245&lt;VLOOKUP(V$5,NFI,5,0),1,0)*Table_NFI[[#This Row],[Tent]],Table_NFI[Tent])</f>
        <v>0</v>
      </c>
      <c r="AQ245" s="473" t="str">
        <f>IFERROR(VLOOKUP(Table_NFI[[#This Row],[Camp Name]],CL,2,0),"")</f>
        <v>MMR001CMP091</v>
      </c>
      <c r="AR245" s="468">
        <f ca="1">IF(Table_NFI[[#This Row],[Pcode]]="","",IF(OFFSET(CampList[Opening Date],MATCH(Table_NFI[[#This Row],[Pcode]],CampList[CP_Pcode],0)-1,0,1,1)&gt;=NFI_Monitor_Date,1,0))</f>
        <v>0</v>
      </c>
      <c r="AS245" s="473" t="str">
        <f>IFERROR(VLOOKUP(Table_NFI[[#This Row],[Camp Name]],CL,3,0),"")</f>
        <v>Open</v>
      </c>
      <c r="AT245" s="294" t="str">
        <f ca="1">IF(Table_NFI[[#This Row],[Pcode]]="","",OFFSET(CampList[Priority],MATCH(Table_NFI[[#This Row],[Pcode]],CampList[CP_Pcode],0)-1,0,1,1))</f>
        <v>P4</v>
      </c>
      <c r="AU245" s="293">
        <f>IFERROR(Table_NFI[[#This Row],[Kitchen Set]]/VLOOKUP(Table_NFI[[#This Row],[Camp Name]],CL,4,0),"")</f>
        <v>1.25</v>
      </c>
      <c r="AV245" s="466"/>
      <c r="AW245" s="469"/>
    </row>
    <row r="246" spans="1:49" s="470" customFormat="1" x14ac:dyDescent="0.25">
      <c r="A246" s="297">
        <f t="shared" si="3"/>
        <v>24.4</v>
      </c>
      <c r="B246" s="465">
        <v>41943</v>
      </c>
      <c r="C246" s="466" t="s">
        <v>452</v>
      </c>
      <c r="D246" s="466"/>
      <c r="E246" s="466" t="s">
        <v>380</v>
      </c>
      <c r="F246" s="466" t="s">
        <v>527</v>
      </c>
      <c r="G246" s="466" t="s">
        <v>611</v>
      </c>
      <c r="H246" s="291"/>
      <c r="I246" s="291"/>
      <c r="J246" s="291">
        <v>17</v>
      </c>
      <c r="K246" s="291">
        <v>34</v>
      </c>
      <c r="L246" s="292">
        <v>17</v>
      </c>
      <c r="M246" s="292">
        <v>34</v>
      </c>
      <c r="N246" s="292">
        <v>17</v>
      </c>
      <c r="O246" s="292"/>
      <c r="P246" s="294">
        <v>17</v>
      </c>
      <c r="Q246" s="294">
        <v>85</v>
      </c>
      <c r="R246" s="294"/>
      <c r="S246" s="294"/>
      <c r="T246" s="294"/>
      <c r="U246" s="294"/>
      <c r="V246" s="431"/>
      <c r="W246" s="294"/>
      <c r="X246" s="294"/>
      <c r="Y246" s="294">
        <f>IF(NFI_Expiration=1,IF($A246&lt;VLOOKUP(H$5,NFI,5,0),1,0)*Table_NFI[[#This Row],[Hygiene Kit]],Table_NFI[Hygiene Kit])</f>
        <v>0</v>
      </c>
      <c r="Z246" s="294">
        <f>IF(NFI_Expiration=1,IF($A246&lt;VLOOKUP(I$5,NFI,5,0),1,0)*Table_NFI[[#This Row],[NFI Core Kit]],Table_NFI[NFI Core Kit])</f>
        <v>0</v>
      </c>
      <c r="AA246" s="294">
        <f>IF(NFI_Expiration=1,IF($A246&lt;VLOOKUP(J$5,NFI,5,0),1,0)*Table_NFI[[#This Row],[Sanitary Kit]],Table_NFI[Sanitary Kit])</f>
        <v>0</v>
      </c>
      <c r="AB246" s="294">
        <f>IF(NFI_Expiration=1,IF($A246&lt;VLOOKUP(K$5,NFI,5,0),1,0)*Table_NFI[[#This Row],[Mosquito net]],Table_NFI[Mosquito net])</f>
        <v>0</v>
      </c>
      <c r="AC246" s="294">
        <f>IF(NFI_Expiration=1,IF($A246&lt;VLOOKUP(L$5,NFI,5,0),1,0)*Table_NFI[[#This Row],[Tarpaulin]],Table_NFI[[#This Row],[Tarpaulin]])</f>
        <v>0</v>
      </c>
      <c r="AD246" s="294">
        <f>IF(NFI_Expiration=1,IF($A246&lt;VLOOKUP(M$5,NFI,5,0),1,0)*Table_NFI[[#This Row],[Blanket]],Table_NFI[[#This Row],[Blanket]])</f>
        <v>0</v>
      </c>
      <c r="AE246" s="294">
        <f>IF(NFI_Expiration=1,IF($A246&lt;VLOOKUP(N$5,NFI,5,0),1,0)*Table_NFI[[#This Row],[Kitchen Set]],Table_NFI[Kitchen Set])</f>
        <v>0</v>
      </c>
      <c r="AF246" s="294">
        <f>IF(NFI_Expiration=1,IF($A246&lt;VLOOKUP(O$5,NFI,5,0),1,0)*Table_NFI[[#This Row],[Clothes Kit]],Table_NFI[Clothes Kit])</f>
        <v>0</v>
      </c>
      <c r="AG246" s="294">
        <f>IF(NFI_Expiration=1,IF($A246&lt;VLOOKUP(P$5,NFI,5,0),1,0)*Table_NFI[[#This Row],[Plastic Bucket]],Table_NFI[Plastic Bucket])</f>
        <v>0</v>
      </c>
      <c r="AH246" s="294">
        <f>IF(NFI_Expiration=1,IF($A246&lt;VLOOKUP(Q$5,NFI,5,0),1,0)*Table_NFI[[#This Row],[Plastic Mat]],Table_NFI[Plastic Mat])*IF(Table_NFI[[#This Row],[Distribution Date]]&gt;"2014-04-01",1,2.5)</f>
        <v>0</v>
      </c>
      <c r="AI246" s="294">
        <f>IF(NFI_Expiration=1,IF($A246&lt;VLOOKUP(R$5,NFI,5,0),1,0)*Table_NFI[[#This Row],[Winter Clothes Adult]],Table_NFI[Winter Clothes Adult])</f>
        <v>0</v>
      </c>
      <c r="AJ246" s="294">
        <f>IF(NFI_Expiration=1,IF($A246&lt;VLOOKUP(S$5,NFI,5,0),1,0)*Table_NFI[[#This Row],[Winter Clothes Children]],Table_NFI[Winter Clothes Children])</f>
        <v>0</v>
      </c>
      <c r="AK246" s="294">
        <f>IF(NFI_Expiration=1,IF($A246&lt;VLOOKUP(T$5,NFI,5,0),1,0)*Table_NFI[[#This Row],[Winter Items Other]],Table_NFI[Winter Items Other])</f>
        <v>0</v>
      </c>
      <c r="AL246" s="294">
        <f>IF(NFI_Expiration=1,IF($A246&lt;VLOOKUP(M$5,NFI,5,0),1,0)*Table_NFI[[#This Row],[Winter Blanket]],Table_NFI[[#This Row],[Winter Blanket]])</f>
        <v>0</v>
      </c>
      <c r="AM246" s="294">
        <f>IF(Table_NFI[[#This Row],[Winter Clothes Adult]]+Table_NFI[[#This Row],[Winter Clothes Children]]+Table_NFI[[#This Row],[Winter Items Other]]+Table_NFI[[#This Row],[Winter Blanket]]&gt;0,1,0)</f>
        <v>0</v>
      </c>
      <c r="AN246" s="331">
        <f>IF(NFI_Expiration=1,IF($A246&lt;VLOOKUP(V$5,NFI,5,0),1,0)*Table_NFI[[#This Row],[Jerry Can]],Table_NFI[Jerry Can])</f>
        <v>0</v>
      </c>
      <c r="AO246" s="331">
        <f>IF(NFI_Expiration=1,IF($A246&lt;VLOOKUP(V$5,NFI,5,0),1,0)*Table_NFI[[#This Row],[Shelter Tool kit]],Table_NFI[Shelter Tool kit])</f>
        <v>0</v>
      </c>
      <c r="AP246" s="331">
        <f>IF(NFI_Expiration=1,IF($A246&lt;VLOOKUP(V$5,NFI,5,0),1,0)*Table_NFI[[#This Row],[Tent]],Table_NFI[Tent])</f>
        <v>0</v>
      </c>
      <c r="AQ246" s="473" t="str">
        <f>IFERROR(VLOOKUP(Table_NFI[[#This Row],[Camp Name]],CL,2,0),"")</f>
        <v>MMR001CMP192</v>
      </c>
      <c r="AR246" s="468">
        <f ca="1">IF(Table_NFI[[#This Row],[Pcode]]="","",IF(OFFSET(CampList[Opening Date],MATCH(Table_NFI[[#This Row],[Pcode]],CampList[CP_Pcode],0)-1,0,1,1)&gt;=NFI_Monitor_Date,1,0))</f>
        <v>0</v>
      </c>
      <c r="AS246" s="473" t="str">
        <f>IFERROR(VLOOKUP(Table_NFI[[#This Row],[Camp Name]],CL,3,0),"")</f>
        <v>Open</v>
      </c>
      <c r="AT246" s="294" t="str">
        <f ca="1">IF(Table_NFI[[#This Row],[Pcode]]="","",OFFSET(CampList[Priority],MATCH(Table_NFI[[#This Row],[Pcode]],CampList[CP_Pcode],0)-1,0,1,1))</f>
        <v>P4</v>
      </c>
      <c r="AU246" s="293">
        <f>IFERROR(Table_NFI[[#This Row],[Kitchen Set]]/VLOOKUP(Table_NFI[[#This Row],[Camp Name]],CL,4,0),"")</f>
        <v>1.4166666666666667</v>
      </c>
      <c r="AV246" s="466"/>
      <c r="AW246" s="469"/>
    </row>
    <row r="247" spans="1:49" s="470" customFormat="1" x14ac:dyDescent="0.25">
      <c r="A247" s="297">
        <f t="shared" si="3"/>
        <v>24.4</v>
      </c>
      <c r="B247" s="465">
        <v>41943</v>
      </c>
      <c r="C247" s="466" t="s">
        <v>452</v>
      </c>
      <c r="D247" s="466"/>
      <c r="E247" s="466" t="s">
        <v>380</v>
      </c>
      <c r="F247" s="466" t="s">
        <v>527</v>
      </c>
      <c r="G247" s="466" t="s">
        <v>108</v>
      </c>
      <c r="H247" s="291"/>
      <c r="I247" s="291"/>
      <c r="J247" s="291">
        <v>36</v>
      </c>
      <c r="K247" s="291">
        <v>72</v>
      </c>
      <c r="L247" s="292">
        <v>36</v>
      </c>
      <c r="M247" s="292">
        <v>72</v>
      </c>
      <c r="N247" s="292">
        <v>36</v>
      </c>
      <c r="O247" s="292"/>
      <c r="P247" s="294">
        <v>36</v>
      </c>
      <c r="Q247" s="294">
        <v>180</v>
      </c>
      <c r="R247" s="294"/>
      <c r="S247" s="294"/>
      <c r="T247" s="294"/>
      <c r="U247" s="294"/>
      <c r="V247" s="431"/>
      <c r="W247" s="331"/>
      <c r="X247" s="331"/>
      <c r="Y247" s="294">
        <f>IF(NFI_Expiration=1,IF($A247&lt;VLOOKUP(H$5,NFI,5,0),1,0)*Table_NFI[[#This Row],[Hygiene Kit]],Table_NFI[Hygiene Kit])</f>
        <v>0</v>
      </c>
      <c r="Z247" s="294">
        <f>IF(NFI_Expiration=1,IF($A247&lt;VLOOKUP(I$5,NFI,5,0),1,0)*Table_NFI[[#This Row],[NFI Core Kit]],Table_NFI[NFI Core Kit])</f>
        <v>0</v>
      </c>
      <c r="AA247" s="294">
        <f>IF(NFI_Expiration=1,IF($A247&lt;VLOOKUP(J$5,NFI,5,0),1,0)*Table_NFI[[#This Row],[Sanitary Kit]],Table_NFI[Sanitary Kit])</f>
        <v>0</v>
      </c>
      <c r="AB247" s="294">
        <f>IF(NFI_Expiration=1,IF($A247&lt;VLOOKUP(K$5,NFI,5,0),1,0)*Table_NFI[[#This Row],[Mosquito net]],Table_NFI[Mosquito net])</f>
        <v>0</v>
      </c>
      <c r="AC247" s="294">
        <f>IF(NFI_Expiration=1,IF($A247&lt;VLOOKUP(L$5,NFI,5,0),1,0)*Table_NFI[[#This Row],[Tarpaulin]],Table_NFI[[#This Row],[Tarpaulin]])</f>
        <v>0</v>
      </c>
      <c r="AD247" s="294">
        <f>IF(NFI_Expiration=1,IF($A247&lt;VLOOKUP(M$5,NFI,5,0),1,0)*Table_NFI[[#This Row],[Blanket]],Table_NFI[[#This Row],[Blanket]])</f>
        <v>0</v>
      </c>
      <c r="AE247" s="294">
        <f>IF(NFI_Expiration=1,IF($A247&lt;VLOOKUP(N$5,NFI,5,0),1,0)*Table_NFI[[#This Row],[Kitchen Set]],Table_NFI[Kitchen Set])</f>
        <v>0</v>
      </c>
      <c r="AF247" s="294">
        <f>IF(NFI_Expiration=1,IF($A247&lt;VLOOKUP(O$5,NFI,5,0),1,0)*Table_NFI[[#This Row],[Clothes Kit]],Table_NFI[Clothes Kit])</f>
        <v>0</v>
      </c>
      <c r="AG247" s="294">
        <f>IF(NFI_Expiration=1,IF($A247&lt;VLOOKUP(P$5,NFI,5,0),1,0)*Table_NFI[[#This Row],[Plastic Bucket]],Table_NFI[Plastic Bucket])</f>
        <v>0</v>
      </c>
      <c r="AH247" s="294">
        <f>IF(NFI_Expiration=1,IF($A247&lt;VLOOKUP(Q$5,NFI,5,0),1,0)*Table_NFI[[#This Row],[Plastic Mat]],Table_NFI[Plastic Mat])*IF(Table_NFI[[#This Row],[Distribution Date]]&gt;"2014-04-01",1,2.5)</f>
        <v>0</v>
      </c>
      <c r="AI247" s="294">
        <f>IF(NFI_Expiration=1,IF($A247&lt;VLOOKUP(R$5,NFI,5,0),1,0)*Table_NFI[[#This Row],[Winter Clothes Adult]],Table_NFI[Winter Clothes Adult])</f>
        <v>0</v>
      </c>
      <c r="AJ247" s="294">
        <f>IF(NFI_Expiration=1,IF($A247&lt;VLOOKUP(S$5,NFI,5,0),1,0)*Table_NFI[[#This Row],[Winter Clothes Children]],Table_NFI[Winter Clothes Children])</f>
        <v>0</v>
      </c>
      <c r="AK247" s="294">
        <f>IF(NFI_Expiration=1,IF($A247&lt;VLOOKUP(T$5,NFI,5,0),1,0)*Table_NFI[[#This Row],[Winter Items Other]],Table_NFI[Winter Items Other])</f>
        <v>0</v>
      </c>
      <c r="AL247" s="294">
        <f>IF(NFI_Expiration=1,IF($A247&lt;VLOOKUP(M$5,NFI,5,0),1,0)*Table_NFI[[#This Row],[Winter Blanket]],Table_NFI[[#This Row],[Winter Blanket]])</f>
        <v>0</v>
      </c>
      <c r="AM247" s="294">
        <f>IF(Table_NFI[[#This Row],[Winter Clothes Adult]]+Table_NFI[[#This Row],[Winter Clothes Children]]+Table_NFI[[#This Row],[Winter Items Other]]+Table_NFI[[#This Row],[Winter Blanket]]&gt;0,1,0)</f>
        <v>0</v>
      </c>
      <c r="AN247" s="331">
        <f>IF(NFI_Expiration=1,IF($A247&lt;VLOOKUP(V$5,NFI,5,0),1,0)*Table_NFI[[#This Row],[Jerry Can]],Table_NFI[Jerry Can])</f>
        <v>0</v>
      </c>
      <c r="AO247" s="331">
        <f>IF(NFI_Expiration=1,IF($A247&lt;VLOOKUP(V$5,NFI,5,0),1,0)*Table_NFI[[#This Row],[Shelter Tool kit]],Table_NFI[Shelter Tool kit])</f>
        <v>0</v>
      </c>
      <c r="AP247" s="331">
        <f>IF(NFI_Expiration=1,IF($A247&lt;VLOOKUP(V$5,NFI,5,0),1,0)*Table_NFI[[#This Row],[Tent]],Table_NFI[Tent])</f>
        <v>0</v>
      </c>
      <c r="AQ247" s="473" t="str">
        <f>IFERROR(VLOOKUP(Table_NFI[[#This Row],[Camp Name]],CL,2,0),"")</f>
        <v>MMR001CMP103</v>
      </c>
      <c r="AR247" s="468">
        <f ca="1">IF(Table_NFI[[#This Row],[Pcode]]="","",IF(OFFSET(CampList[Opening Date],MATCH(Table_NFI[[#This Row],[Pcode]],CampList[CP_Pcode],0)-1,0,1,1)&gt;=NFI_Monitor_Date,1,0))</f>
        <v>0</v>
      </c>
      <c r="AS247" s="473" t="str">
        <f>IFERROR(VLOOKUP(Table_NFI[[#This Row],[Camp Name]],CL,3,0),"")</f>
        <v>Open</v>
      </c>
      <c r="AT247" s="294" t="str">
        <f ca="1">IF(Table_NFI[[#This Row],[Pcode]]="","",OFFSET(CampList[Priority],MATCH(Table_NFI[[#This Row],[Pcode]],CampList[CP_Pcode],0)-1,0,1,1))</f>
        <v>P4</v>
      </c>
      <c r="AU247" s="293">
        <f>IFERROR(Table_NFI[[#This Row],[Kitchen Set]]/VLOOKUP(Table_NFI[[#This Row],[Camp Name]],CL,4,0),"")</f>
        <v>0.70588235294117652</v>
      </c>
      <c r="AV247" s="466"/>
      <c r="AW247" s="469" t="s">
        <v>1110</v>
      </c>
    </row>
    <row r="248" spans="1:49" s="470" customFormat="1" ht="14.45" customHeight="1" x14ac:dyDescent="0.25">
      <c r="A248" s="297">
        <f t="shared" si="3"/>
        <v>24.4</v>
      </c>
      <c r="B248" s="465">
        <v>41943</v>
      </c>
      <c r="C248" s="466" t="s">
        <v>452</v>
      </c>
      <c r="D248" s="466"/>
      <c r="E248" s="466" t="s">
        <v>380</v>
      </c>
      <c r="F248" s="466" t="s">
        <v>527</v>
      </c>
      <c r="G248" s="466" t="s">
        <v>118</v>
      </c>
      <c r="H248" s="291"/>
      <c r="I248" s="291"/>
      <c r="J248" s="291">
        <v>12</v>
      </c>
      <c r="K248" s="291">
        <v>24</v>
      </c>
      <c r="L248" s="292">
        <v>12</v>
      </c>
      <c r="M248" s="292">
        <v>24</v>
      </c>
      <c r="N248" s="292">
        <v>12</v>
      </c>
      <c r="O248" s="292"/>
      <c r="P248" s="294">
        <v>12</v>
      </c>
      <c r="Q248" s="294">
        <v>60</v>
      </c>
      <c r="R248" s="294"/>
      <c r="S248" s="294"/>
      <c r="T248" s="294"/>
      <c r="U248" s="294"/>
      <c r="V248" s="431"/>
      <c r="W248" s="294"/>
      <c r="X248" s="294"/>
      <c r="Y248" s="294">
        <f>IF(NFI_Expiration=1,IF($A248&lt;VLOOKUP(H$5,NFI,5,0),1,0)*Table_NFI[[#This Row],[Hygiene Kit]],Table_NFI[Hygiene Kit])</f>
        <v>0</v>
      </c>
      <c r="Z248" s="294">
        <f>IF(NFI_Expiration=1,IF($A248&lt;VLOOKUP(I$5,NFI,5,0),1,0)*Table_NFI[[#This Row],[NFI Core Kit]],Table_NFI[NFI Core Kit])</f>
        <v>0</v>
      </c>
      <c r="AA248" s="294">
        <f>IF(NFI_Expiration=1,IF($A248&lt;VLOOKUP(J$5,NFI,5,0),1,0)*Table_NFI[[#This Row],[Sanitary Kit]],Table_NFI[Sanitary Kit])</f>
        <v>0</v>
      </c>
      <c r="AB248" s="294">
        <f>IF(NFI_Expiration=1,IF($A248&lt;VLOOKUP(K$5,NFI,5,0),1,0)*Table_NFI[[#This Row],[Mosquito net]],Table_NFI[Mosquito net])</f>
        <v>0</v>
      </c>
      <c r="AC248" s="294">
        <f>IF(NFI_Expiration=1,IF($A248&lt;VLOOKUP(L$5,NFI,5,0),1,0)*Table_NFI[[#This Row],[Tarpaulin]],Table_NFI[[#This Row],[Tarpaulin]])</f>
        <v>0</v>
      </c>
      <c r="AD248" s="294">
        <f>IF(NFI_Expiration=1,IF($A248&lt;VLOOKUP(M$5,NFI,5,0),1,0)*Table_NFI[[#This Row],[Blanket]],Table_NFI[[#This Row],[Blanket]])</f>
        <v>0</v>
      </c>
      <c r="AE248" s="294">
        <f>IF(NFI_Expiration=1,IF($A248&lt;VLOOKUP(N$5,NFI,5,0),1,0)*Table_NFI[[#This Row],[Kitchen Set]],Table_NFI[Kitchen Set])</f>
        <v>0</v>
      </c>
      <c r="AF248" s="294">
        <f>IF(NFI_Expiration=1,IF($A248&lt;VLOOKUP(O$5,NFI,5,0),1,0)*Table_NFI[[#This Row],[Clothes Kit]],Table_NFI[Clothes Kit])</f>
        <v>0</v>
      </c>
      <c r="AG248" s="294">
        <f>IF(NFI_Expiration=1,IF($A248&lt;VLOOKUP(P$5,NFI,5,0),1,0)*Table_NFI[[#This Row],[Plastic Bucket]],Table_NFI[Plastic Bucket])</f>
        <v>0</v>
      </c>
      <c r="AH248" s="294">
        <f>IF(NFI_Expiration=1,IF($A248&lt;VLOOKUP(Q$5,NFI,5,0),1,0)*Table_NFI[[#This Row],[Plastic Mat]],Table_NFI[Plastic Mat])*IF(Table_NFI[[#This Row],[Distribution Date]]&gt;"2014-04-01",1,2.5)</f>
        <v>0</v>
      </c>
      <c r="AI248" s="294">
        <f>IF(NFI_Expiration=1,IF($A248&lt;VLOOKUP(R$5,NFI,5,0),1,0)*Table_NFI[[#This Row],[Winter Clothes Adult]],Table_NFI[Winter Clothes Adult])</f>
        <v>0</v>
      </c>
      <c r="AJ248" s="294">
        <f>IF(NFI_Expiration=1,IF($A248&lt;VLOOKUP(S$5,NFI,5,0),1,0)*Table_NFI[[#This Row],[Winter Clothes Children]],Table_NFI[Winter Clothes Children])</f>
        <v>0</v>
      </c>
      <c r="AK248" s="294">
        <f>IF(NFI_Expiration=1,IF($A248&lt;VLOOKUP(T$5,NFI,5,0),1,0)*Table_NFI[[#This Row],[Winter Items Other]],Table_NFI[Winter Items Other])</f>
        <v>0</v>
      </c>
      <c r="AL248" s="294">
        <f>IF(NFI_Expiration=1,IF($A248&lt;VLOOKUP(M$5,NFI,5,0),1,0)*Table_NFI[[#This Row],[Winter Blanket]],Table_NFI[[#This Row],[Winter Blanket]])</f>
        <v>0</v>
      </c>
      <c r="AM248" s="294">
        <f>IF(Table_NFI[[#This Row],[Winter Clothes Adult]]+Table_NFI[[#This Row],[Winter Clothes Children]]+Table_NFI[[#This Row],[Winter Items Other]]+Table_NFI[[#This Row],[Winter Blanket]]&gt;0,1,0)</f>
        <v>0</v>
      </c>
      <c r="AN248" s="331">
        <f>IF(NFI_Expiration=1,IF($A248&lt;VLOOKUP(V$5,NFI,5,0),1,0)*Table_NFI[[#This Row],[Jerry Can]],Table_NFI[Jerry Can])</f>
        <v>0</v>
      </c>
      <c r="AO248" s="331">
        <f>IF(NFI_Expiration=1,IF($A248&lt;VLOOKUP(V$5,NFI,5,0),1,0)*Table_NFI[[#This Row],[Shelter Tool kit]],Table_NFI[Shelter Tool kit])</f>
        <v>0</v>
      </c>
      <c r="AP248" s="331">
        <f>IF(NFI_Expiration=1,IF($A248&lt;VLOOKUP(V$5,NFI,5,0),1,0)*Table_NFI[[#This Row],[Tent]],Table_NFI[Tent])</f>
        <v>0</v>
      </c>
      <c r="AQ248" s="473" t="str">
        <f>IFERROR(VLOOKUP(Table_NFI[[#This Row],[Camp Name]],CL,2,0),"")</f>
        <v>MMR001CMP182</v>
      </c>
      <c r="AR248" s="468">
        <f ca="1">IF(Table_NFI[[#This Row],[Pcode]]="","",IF(OFFSET(CampList[Opening Date],MATCH(Table_NFI[[#This Row],[Pcode]],CampList[CP_Pcode],0)-1,0,1,1)&gt;=NFI_Monitor_Date,1,0))</f>
        <v>0</v>
      </c>
      <c r="AS248" s="473" t="str">
        <f>IFERROR(VLOOKUP(Table_NFI[[#This Row],[Camp Name]],CL,3,0),"")</f>
        <v>Open</v>
      </c>
      <c r="AT248" s="294" t="str">
        <f ca="1">IF(Table_NFI[[#This Row],[Pcode]]="","",OFFSET(CampList[Priority],MATCH(Table_NFI[[#This Row],[Pcode]],CampList[CP_Pcode],0)-1,0,1,1))</f>
        <v>P4</v>
      </c>
      <c r="AU248" s="293">
        <f>IFERROR(Table_NFI[[#This Row],[Kitchen Set]]/VLOOKUP(Table_NFI[[#This Row],[Camp Name]],CL,4,0),"")</f>
        <v>1.2</v>
      </c>
      <c r="AV248" s="466"/>
      <c r="AW248" s="469"/>
    </row>
    <row r="249" spans="1:49" s="470" customFormat="1" x14ac:dyDescent="0.25">
      <c r="A249" s="297">
        <f t="shared" si="3"/>
        <v>24.4</v>
      </c>
      <c r="B249" s="465">
        <v>41943</v>
      </c>
      <c r="C249" s="466" t="s">
        <v>452</v>
      </c>
      <c r="D249" s="466"/>
      <c r="E249" s="466" t="s">
        <v>380</v>
      </c>
      <c r="F249" s="466" t="s">
        <v>527</v>
      </c>
      <c r="G249" s="466" t="s">
        <v>124</v>
      </c>
      <c r="H249" s="291"/>
      <c r="I249" s="291"/>
      <c r="J249" s="291">
        <v>9</v>
      </c>
      <c r="K249" s="291">
        <v>18</v>
      </c>
      <c r="L249" s="292">
        <v>9</v>
      </c>
      <c r="M249" s="292">
        <v>18</v>
      </c>
      <c r="N249" s="292">
        <v>9</v>
      </c>
      <c r="O249" s="292"/>
      <c r="P249" s="294">
        <v>9</v>
      </c>
      <c r="Q249" s="294">
        <v>45</v>
      </c>
      <c r="R249" s="294"/>
      <c r="S249" s="294"/>
      <c r="T249" s="294"/>
      <c r="U249" s="294"/>
      <c r="V249" s="431"/>
      <c r="W249" s="294"/>
      <c r="X249" s="294"/>
      <c r="Y249" s="294">
        <f>IF(NFI_Expiration=1,IF($A249&lt;VLOOKUP(H$5,NFI,5,0),1,0)*Table_NFI[[#This Row],[Hygiene Kit]],Table_NFI[Hygiene Kit])</f>
        <v>0</v>
      </c>
      <c r="Z249" s="294">
        <f>IF(NFI_Expiration=1,IF($A249&lt;VLOOKUP(I$5,NFI,5,0),1,0)*Table_NFI[[#This Row],[NFI Core Kit]],Table_NFI[NFI Core Kit])</f>
        <v>0</v>
      </c>
      <c r="AA249" s="294">
        <f>IF(NFI_Expiration=1,IF($A249&lt;VLOOKUP(J$5,NFI,5,0),1,0)*Table_NFI[[#This Row],[Sanitary Kit]],Table_NFI[Sanitary Kit])</f>
        <v>0</v>
      </c>
      <c r="AB249" s="294">
        <f>IF(NFI_Expiration=1,IF($A249&lt;VLOOKUP(K$5,NFI,5,0),1,0)*Table_NFI[[#This Row],[Mosquito net]],Table_NFI[Mosquito net])</f>
        <v>0</v>
      </c>
      <c r="AC249" s="294">
        <f>IF(NFI_Expiration=1,IF($A249&lt;VLOOKUP(L$5,NFI,5,0),1,0)*Table_NFI[[#This Row],[Tarpaulin]],Table_NFI[[#This Row],[Tarpaulin]])</f>
        <v>0</v>
      </c>
      <c r="AD249" s="294">
        <f>IF(NFI_Expiration=1,IF($A249&lt;VLOOKUP(M$5,NFI,5,0),1,0)*Table_NFI[[#This Row],[Blanket]],Table_NFI[[#This Row],[Blanket]])</f>
        <v>0</v>
      </c>
      <c r="AE249" s="294">
        <f>IF(NFI_Expiration=1,IF($A249&lt;VLOOKUP(N$5,NFI,5,0),1,0)*Table_NFI[[#This Row],[Kitchen Set]],Table_NFI[Kitchen Set])</f>
        <v>0</v>
      </c>
      <c r="AF249" s="294">
        <f>IF(NFI_Expiration=1,IF($A249&lt;VLOOKUP(O$5,NFI,5,0),1,0)*Table_NFI[[#This Row],[Clothes Kit]],Table_NFI[Clothes Kit])</f>
        <v>0</v>
      </c>
      <c r="AG249" s="294">
        <f>IF(NFI_Expiration=1,IF($A249&lt;VLOOKUP(P$5,NFI,5,0),1,0)*Table_NFI[[#This Row],[Plastic Bucket]],Table_NFI[Plastic Bucket])</f>
        <v>0</v>
      </c>
      <c r="AH249" s="294">
        <f>IF(NFI_Expiration=1,IF($A249&lt;VLOOKUP(Q$5,NFI,5,0),1,0)*Table_NFI[[#This Row],[Plastic Mat]],Table_NFI[Plastic Mat])*IF(Table_NFI[[#This Row],[Distribution Date]]&gt;"2014-04-01",1,2.5)</f>
        <v>0</v>
      </c>
      <c r="AI249" s="294">
        <f>IF(NFI_Expiration=1,IF($A249&lt;VLOOKUP(R$5,NFI,5,0),1,0)*Table_NFI[[#This Row],[Winter Clothes Adult]],Table_NFI[Winter Clothes Adult])</f>
        <v>0</v>
      </c>
      <c r="AJ249" s="294">
        <f>IF(NFI_Expiration=1,IF($A249&lt;VLOOKUP(S$5,NFI,5,0),1,0)*Table_NFI[[#This Row],[Winter Clothes Children]],Table_NFI[Winter Clothes Children])</f>
        <v>0</v>
      </c>
      <c r="AK249" s="294">
        <f>IF(NFI_Expiration=1,IF($A249&lt;VLOOKUP(T$5,NFI,5,0),1,0)*Table_NFI[[#This Row],[Winter Items Other]],Table_NFI[Winter Items Other])</f>
        <v>0</v>
      </c>
      <c r="AL249" s="294">
        <f>IF(NFI_Expiration=1,IF($A249&lt;VLOOKUP(M$5,NFI,5,0),1,0)*Table_NFI[[#This Row],[Winter Blanket]],Table_NFI[[#This Row],[Winter Blanket]])</f>
        <v>0</v>
      </c>
      <c r="AM249" s="294">
        <f>IF(Table_NFI[[#This Row],[Winter Clothes Adult]]+Table_NFI[[#This Row],[Winter Clothes Children]]+Table_NFI[[#This Row],[Winter Items Other]]+Table_NFI[[#This Row],[Winter Blanket]]&gt;0,1,0)</f>
        <v>0</v>
      </c>
      <c r="AN249" s="331">
        <f>IF(NFI_Expiration=1,IF($A249&lt;VLOOKUP(V$5,NFI,5,0),1,0)*Table_NFI[[#This Row],[Jerry Can]],Table_NFI[Jerry Can])</f>
        <v>0</v>
      </c>
      <c r="AO249" s="331">
        <f>IF(NFI_Expiration=1,IF($A249&lt;VLOOKUP(V$5,NFI,5,0),1,0)*Table_NFI[[#This Row],[Shelter Tool kit]],Table_NFI[Shelter Tool kit])</f>
        <v>0</v>
      </c>
      <c r="AP249" s="331">
        <f>IF(NFI_Expiration=1,IF($A249&lt;VLOOKUP(V$5,NFI,5,0),1,0)*Table_NFI[[#This Row],[Tent]],Table_NFI[Tent])</f>
        <v>0</v>
      </c>
      <c r="AQ249" s="473" t="str">
        <f>IFERROR(VLOOKUP(Table_NFI[[#This Row],[Camp Name]],CL,2,0),"")</f>
        <v>MMR001CMP183</v>
      </c>
      <c r="AR249" s="468">
        <f ca="1">IF(Table_NFI[[#This Row],[Pcode]]="","",IF(OFFSET(CampList[Opening Date],MATCH(Table_NFI[[#This Row],[Pcode]],CampList[CP_Pcode],0)-1,0,1,1)&gt;=NFI_Monitor_Date,1,0))</f>
        <v>0</v>
      </c>
      <c r="AS249" s="473" t="str">
        <f>IFERROR(VLOOKUP(Table_NFI[[#This Row],[Camp Name]],CL,3,0),"")</f>
        <v>Open</v>
      </c>
      <c r="AT249" s="294" t="str">
        <f ca="1">IF(Table_NFI[[#This Row],[Pcode]]="","",OFFSET(CampList[Priority],MATCH(Table_NFI[[#This Row],[Pcode]],CampList[CP_Pcode],0)-1,0,1,1))</f>
        <v>P4</v>
      </c>
      <c r="AU249" s="293">
        <f>IFERROR(Table_NFI[[#This Row],[Kitchen Set]]/VLOOKUP(Table_NFI[[#This Row],[Camp Name]],CL,4,0),"")</f>
        <v>1.125</v>
      </c>
      <c r="AV249" s="466"/>
      <c r="AW249" s="469"/>
    </row>
    <row r="250" spans="1:49" s="470" customFormat="1" ht="14.45" customHeight="1" x14ac:dyDescent="0.25">
      <c r="A250" s="297">
        <f t="shared" si="3"/>
        <v>24.4</v>
      </c>
      <c r="B250" s="465">
        <v>41943</v>
      </c>
      <c r="C250" s="466" t="s">
        <v>452</v>
      </c>
      <c r="D250" s="466"/>
      <c r="E250" s="466" t="s">
        <v>380</v>
      </c>
      <c r="F250" s="466" t="s">
        <v>527</v>
      </c>
      <c r="G250" s="466" t="s">
        <v>126</v>
      </c>
      <c r="H250" s="291"/>
      <c r="I250" s="291"/>
      <c r="J250" s="291">
        <v>38</v>
      </c>
      <c r="K250" s="291">
        <v>76</v>
      </c>
      <c r="L250" s="292">
        <v>38</v>
      </c>
      <c r="M250" s="292">
        <v>76</v>
      </c>
      <c r="N250" s="292">
        <v>38</v>
      </c>
      <c r="O250" s="292"/>
      <c r="P250" s="294">
        <v>38</v>
      </c>
      <c r="Q250" s="294">
        <v>190</v>
      </c>
      <c r="R250" s="294"/>
      <c r="S250" s="294"/>
      <c r="T250" s="294"/>
      <c r="U250" s="294"/>
      <c r="V250" s="431"/>
      <c r="W250" s="294"/>
      <c r="X250" s="294"/>
      <c r="Y250" s="294">
        <f>IF(NFI_Expiration=1,IF($A250&lt;VLOOKUP(H$5,NFI,5,0),1,0)*Table_NFI[[#This Row],[Hygiene Kit]],Table_NFI[Hygiene Kit])</f>
        <v>0</v>
      </c>
      <c r="Z250" s="294">
        <f>IF(NFI_Expiration=1,IF($A250&lt;VLOOKUP(I$5,NFI,5,0),1,0)*Table_NFI[[#This Row],[NFI Core Kit]],Table_NFI[NFI Core Kit])</f>
        <v>0</v>
      </c>
      <c r="AA250" s="294">
        <f>IF(NFI_Expiration=1,IF($A250&lt;VLOOKUP(J$5,NFI,5,0),1,0)*Table_NFI[[#This Row],[Sanitary Kit]],Table_NFI[Sanitary Kit])</f>
        <v>0</v>
      </c>
      <c r="AB250" s="294">
        <f>IF(NFI_Expiration=1,IF($A250&lt;VLOOKUP(K$5,NFI,5,0),1,0)*Table_NFI[[#This Row],[Mosquito net]],Table_NFI[Mosquito net])</f>
        <v>0</v>
      </c>
      <c r="AC250" s="294">
        <f>IF(NFI_Expiration=1,IF($A250&lt;VLOOKUP(L$5,NFI,5,0),1,0)*Table_NFI[[#This Row],[Tarpaulin]],Table_NFI[[#This Row],[Tarpaulin]])</f>
        <v>0</v>
      </c>
      <c r="AD250" s="294">
        <f>IF(NFI_Expiration=1,IF($A250&lt;VLOOKUP(M$5,NFI,5,0),1,0)*Table_NFI[[#This Row],[Blanket]],Table_NFI[[#This Row],[Blanket]])</f>
        <v>0</v>
      </c>
      <c r="AE250" s="294">
        <f>IF(NFI_Expiration=1,IF($A250&lt;VLOOKUP(N$5,NFI,5,0),1,0)*Table_NFI[[#This Row],[Kitchen Set]],Table_NFI[Kitchen Set])</f>
        <v>0</v>
      </c>
      <c r="AF250" s="294">
        <f>IF(NFI_Expiration=1,IF($A250&lt;VLOOKUP(O$5,NFI,5,0),1,0)*Table_NFI[[#This Row],[Clothes Kit]],Table_NFI[Clothes Kit])</f>
        <v>0</v>
      </c>
      <c r="AG250" s="294">
        <f>IF(NFI_Expiration=1,IF($A250&lt;VLOOKUP(P$5,NFI,5,0),1,0)*Table_NFI[[#This Row],[Plastic Bucket]],Table_NFI[Plastic Bucket])</f>
        <v>0</v>
      </c>
      <c r="AH250" s="294">
        <f>IF(NFI_Expiration=1,IF($A250&lt;VLOOKUP(Q$5,NFI,5,0),1,0)*Table_NFI[[#This Row],[Plastic Mat]],Table_NFI[Plastic Mat])*IF(Table_NFI[[#This Row],[Distribution Date]]&gt;"2014-04-01",1,2.5)</f>
        <v>0</v>
      </c>
      <c r="AI250" s="294">
        <f>IF(NFI_Expiration=1,IF($A250&lt;VLOOKUP(R$5,NFI,5,0),1,0)*Table_NFI[[#This Row],[Winter Clothes Adult]],Table_NFI[Winter Clothes Adult])</f>
        <v>0</v>
      </c>
      <c r="AJ250" s="294">
        <f>IF(NFI_Expiration=1,IF($A250&lt;VLOOKUP(S$5,NFI,5,0),1,0)*Table_NFI[[#This Row],[Winter Clothes Children]],Table_NFI[Winter Clothes Children])</f>
        <v>0</v>
      </c>
      <c r="AK250" s="294">
        <f>IF(NFI_Expiration=1,IF($A250&lt;VLOOKUP(T$5,NFI,5,0),1,0)*Table_NFI[[#This Row],[Winter Items Other]],Table_NFI[Winter Items Other])</f>
        <v>0</v>
      </c>
      <c r="AL250" s="294">
        <f>IF(NFI_Expiration=1,IF($A250&lt;VLOOKUP(M$5,NFI,5,0),1,0)*Table_NFI[[#This Row],[Winter Blanket]],Table_NFI[[#This Row],[Winter Blanket]])</f>
        <v>0</v>
      </c>
      <c r="AM250" s="294">
        <f>IF(Table_NFI[[#This Row],[Winter Clothes Adult]]+Table_NFI[[#This Row],[Winter Clothes Children]]+Table_NFI[[#This Row],[Winter Items Other]]+Table_NFI[[#This Row],[Winter Blanket]]&gt;0,1,0)</f>
        <v>0</v>
      </c>
      <c r="AN250" s="331">
        <f>IF(NFI_Expiration=1,IF($A250&lt;VLOOKUP(V$5,NFI,5,0),1,0)*Table_NFI[[#This Row],[Jerry Can]],Table_NFI[Jerry Can])</f>
        <v>0</v>
      </c>
      <c r="AO250" s="331">
        <f>IF(NFI_Expiration=1,IF($A250&lt;VLOOKUP(V$5,NFI,5,0),1,0)*Table_NFI[[#This Row],[Shelter Tool kit]],Table_NFI[Shelter Tool kit])</f>
        <v>0</v>
      </c>
      <c r="AP250" s="331">
        <f>IF(NFI_Expiration=1,IF($A250&lt;VLOOKUP(V$5,NFI,5,0),1,0)*Table_NFI[[#This Row],[Tent]],Table_NFI[Tent])</f>
        <v>0</v>
      </c>
      <c r="AQ250" s="473" t="str">
        <f>IFERROR(VLOOKUP(Table_NFI[[#This Row],[Camp Name]],CL,2,0),"")</f>
        <v>MMR001CMP184</v>
      </c>
      <c r="AR250" s="468">
        <f ca="1">IF(Table_NFI[[#This Row],[Pcode]]="","",IF(OFFSET(CampList[Opening Date],MATCH(Table_NFI[[#This Row],[Pcode]],CampList[CP_Pcode],0)-1,0,1,1)&gt;=NFI_Monitor_Date,1,0))</f>
        <v>0</v>
      </c>
      <c r="AS250" s="473" t="str">
        <f>IFERROR(VLOOKUP(Table_NFI[[#This Row],[Camp Name]],CL,3,0),"")</f>
        <v>Open</v>
      </c>
      <c r="AT250" s="294" t="str">
        <f ca="1">IF(Table_NFI[[#This Row],[Pcode]]="","",OFFSET(CampList[Priority],MATCH(Table_NFI[[#This Row],[Pcode]],CampList[CP_Pcode],0)-1,0,1,1))</f>
        <v>P4</v>
      </c>
      <c r="AU250" s="293">
        <f>IFERROR(Table_NFI[[#This Row],[Kitchen Set]]/VLOOKUP(Table_NFI[[#This Row],[Camp Name]],CL,4,0),"")</f>
        <v>1.0857142857142856</v>
      </c>
      <c r="AV250" s="466"/>
      <c r="AW250" s="469"/>
    </row>
    <row r="251" spans="1:49" s="470" customFormat="1" ht="14.45" customHeight="1" x14ac:dyDescent="0.25">
      <c r="A251" s="297">
        <f t="shared" si="3"/>
        <v>24.4</v>
      </c>
      <c r="B251" s="465">
        <v>41943</v>
      </c>
      <c r="C251" s="466" t="s">
        <v>452</v>
      </c>
      <c r="D251" s="466"/>
      <c r="E251" s="466" t="s">
        <v>380</v>
      </c>
      <c r="F251" s="466" t="s">
        <v>527</v>
      </c>
      <c r="G251" s="466" t="s">
        <v>140</v>
      </c>
      <c r="H251" s="291"/>
      <c r="I251" s="291"/>
      <c r="J251" s="291">
        <v>10</v>
      </c>
      <c r="K251" s="291">
        <v>20</v>
      </c>
      <c r="L251" s="292">
        <v>10</v>
      </c>
      <c r="M251" s="292">
        <v>20</v>
      </c>
      <c r="N251" s="292">
        <v>10</v>
      </c>
      <c r="O251" s="292"/>
      <c r="P251" s="294">
        <v>10</v>
      </c>
      <c r="Q251" s="294">
        <v>50</v>
      </c>
      <c r="R251" s="294"/>
      <c r="S251" s="294"/>
      <c r="T251" s="294"/>
      <c r="U251" s="294"/>
      <c r="V251" s="431"/>
      <c r="W251" s="294"/>
      <c r="X251" s="294"/>
      <c r="Y251" s="294">
        <f>IF(NFI_Expiration=1,IF($A251&lt;VLOOKUP(H$5,NFI,5,0),1,0)*Table_NFI[[#This Row],[Hygiene Kit]],Table_NFI[Hygiene Kit])</f>
        <v>0</v>
      </c>
      <c r="Z251" s="294">
        <f>IF(NFI_Expiration=1,IF($A251&lt;VLOOKUP(I$5,NFI,5,0),1,0)*Table_NFI[[#This Row],[NFI Core Kit]],Table_NFI[NFI Core Kit])</f>
        <v>0</v>
      </c>
      <c r="AA251" s="294">
        <f>IF(NFI_Expiration=1,IF($A251&lt;VLOOKUP(J$5,NFI,5,0),1,0)*Table_NFI[[#This Row],[Sanitary Kit]],Table_NFI[Sanitary Kit])</f>
        <v>0</v>
      </c>
      <c r="AB251" s="294">
        <f>IF(NFI_Expiration=1,IF($A251&lt;VLOOKUP(K$5,NFI,5,0),1,0)*Table_NFI[[#This Row],[Mosquito net]],Table_NFI[Mosquito net])</f>
        <v>0</v>
      </c>
      <c r="AC251" s="294">
        <f>IF(NFI_Expiration=1,IF($A251&lt;VLOOKUP(L$5,NFI,5,0),1,0)*Table_NFI[[#This Row],[Tarpaulin]],Table_NFI[[#This Row],[Tarpaulin]])</f>
        <v>0</v>
      </c>
      <c r="AD251" s="294">
        <f>IF(NFI_Expiration=1,IF($A251&lt;VLOOKUP(M$5,NFI,5,0),1,0)*Table_NFI[[#This Row],[Blanket]],Table_NFI[[#This Row],[Blanket]])</f>
        <v>0</v>
      </c>
      <c r="AE251" s="294">
        <f>IF(NFI_Expiration=1,IF($A251&lt;VLOOKUP(N$5,NFI,5,0),1,0)*Table_NFI[[#This Row],[Kitchen Set]],Table_NFI[Kitchen Set])</f>
        <v>0</v>
      </c>
      <c r="AF251" s="294">
        <f>IF(NFI_Expiration=1,IF($A251&lt;VLOOKUP(O$5,NFI,5,0),1,0)*Table_NFI[[#This Row],[Clothes Kit]],Table_NFI[Clothes Kit])</f>
        <v>0</v>
      </c>
      <c r="AG251" s="294">
        <f>IF(NFI_Expiration=1,IF($A251&lt;VLOOKUP(P$5,NFI,5,0),1,0)*Table_NFI[[#This Row],[Plastic Bucket]],Table_NFI[Plastic Bucket])</f>
        <v>0</v>
      </c>
      <c r="AH251" s="294">
        <f>IF(NFI_Expiration=1,IF($A251&lt;VLOOKUP(Q$5,NFI,5,0),1,0)*Table_NFI[[#This Row],[Plastic Mat]],Table_NFI[Plastic Mat])*IF(Table_NFI[[#This Row],[Distribution Date]]&gt;"2014-04-01",1,2.5)</f>
        <v>0</v>
      </c>
      <c r="AI251" s="294">
        <f>IF(NFI_Expiration=1,IF($A251&lt;VLOOKUP(R$5,NFI,5,0),1,0)*Table_NFI[[#This Row],[Winter Clothes Adult]],Table_NFI[Winter Clothes Adult])</f>
        <v>0</v>
      </c>
      <c r="AJ251" s="294">
        <f>IF(NFI_Expiration=1,IF($A251&lt;VLOOKUP(S$5,NFI,5,0),1,0)*Table_NFI[[#This Row],[Winter Clothes Children]],Table_NFI[Winter Clothes Children])</f>
        <v>0</v>
      </c>
      <c r="AK251" s="294">
        <f>IF(NFI_Expiration=1,IF($A251&lt;VLOOKUP(T$5,NFI,5,0),1,0)*Table_NFI[[#This Row],[Winter Items Other]],Table_NFI[Winter Items Other])</f>
        <v>0</v>
      </c>
      <c r="AL251" s="294">
        <f>IF(NFI_Expiration=1,IF($A251&lt;VLOOKUP(M$5,NFI,5,0),1,0)*Table_NFI[[#This Row],[Winter Blanket]],Table_NFI[[#This Row],[Winter Blanket]])</f>
        <v>0</v>
      </c>
      <c r="AM251" s="294">
        <f>IF(Table_NFI[[#This Row],[Winter Clothes Adult]]+Table_NFI[[#This Row],[Winter Clothes Children]]+Table_NFI[[#This Row],[Winter Items Other]]+Table_NFI[[#This Row],[Winter Blanket]]&gt;0,1,0)</f>
        <v>0</v>
      </c>
      <c r="AN251" s="331">
        <f>IF(NFI_Expiration=1,IF($A251&lt;VLOOKUP(V$5,NFI,5,0),1,0)*Table_NFI[[#This Row],[Jerry Can]],Table_NFI[Jerry Can])</f>
        <v>0</v>
      </c>
      <c r="AO251" s="331">
        <f>IF(NFI_Expiration=1,IF($A251&lt;VLOOKUP(V$5,NFI,5,0),1,0)*Table_NFI[[#This Row],[Shelter Tool kit]],Table_NFI[Shelter Tool kit])</f>
        <v>0</v>
      </c>
      <c r="AP251" s="331">
        <f>IF(NFI_Expiration=1,IF($A251&lt;VLOOKUP(V$5,NFI,5,0),1,0)*Table_NFI[[#This Row],[Tent]],Table_NFI[Tent])</f>
        <v>0</v>
      </c>
      <c r="AQ251" s="473" t="str">
        <f>IFERROR(VLOOKUP(Table_NFI[[#This Row],[Camp Name]],CL,2,0),"")</f>
        <v>MMR001CMP105</v>
      </c>
      <c r="AR251" s="468">
        <f ca="1">IF(Table_NFI[[#This Row],[Pcode]]="","",IF(OFFSET(CampList[Opening Date],MATCH(Table_NFI[[#This Row],[Pcode]],CampList[CP_Pcode],0)-1,0,1,1)&gt;=NFI_Monitor_Date,1,0))</f>
        <v>0</v>
      </c>
      <c r="AS251" s="473" t="str">
        <f>IFERROR(VLOOKUP(Table_NFI[[#This Row],[Camp Name]],CL,3,0),"")</f>
        <v>Open</v>
      </c>
      <c r="AT251" s="294" t="str">
        <f ca="1">IF(Table_NFI[[#This Row],[Pcode]]="","",OFFSET(CampList[Priority],MATCH(Table_NFI[[#This Row],[Pcode]],CampList[CP_Pcode],0)-1,0,1,1))</f>
        <v>P4</v>
      </c>
      <c r="AU251" s="293">
        <f>IFERROR(Table_NFI[[#This Row],[Kitchen Set]]/VLOOKUP(Table_NFI[[#This Row],[Camp Name]],CL,4,0),"")</f>
        <v>0.83333333333333337</v>
      </c>
      <c r="AV251" s="466"/>
      <c r="AW251" s="469"/>
    </row>
    <row r="252" spans="1:49" s="470" customFormat="1" ht="14.45" customHeight="1" x14ac:dyDescent="0.25">
      <c r="A252" s="297">
        <f t="shared" si="3"/>
        <v>24.433333333333334</v>
      </c>
      <c r="B252" s="465">
        <v>41942</v>
      </c>
      <c r="C252" s="471" t="s">
        <v>452</v>
      </c>
      <c r="D252" s="471"/>
      <c r="E252" s="471" t="s">
        <v>380</v>
      </c>
      <c r="F252" s="471" t="s">
        <v>5</v>
      </c>
      <c r="G252" s="471" t="s">
        <v>512</v>
      </c>
      <c r="H252" s="292"/>
      <c r="I252" s="292"/>
      <c r="J252" s="292"/>
      <c r="K252" s="292"/>
      <c r="L252" s="292"/>
      <c r="M252" s="292"/>
      <c r="N252" s="292"/>
      <c r="O252" s="292"/>
      <c r="P252" s="294"/>
      <c r="Q252" s="294"/>
      <c r="R252" s="294"/>
      <c r="S252" s="294"/>
      <c r="T252" s="294"/>
      <c r="U252" s="294"/>
      <c r="V252" s="431"/>
      <c r="W252" s="294"/>
      <c r="X252" s="294"/>
      <c r="Y252" s="294">
        <f>IF(NFI_Expiration=1,IF($A252&lt;VLOOKUP(H$5,NFI,5,0),1,0)*Table_NFI[[#This Row],[Hygiene Kit]],Table_NFI[Hygiene Kit])</f>
        <v>0</v>
      </c>
      <c r="Z252" s="294">
        <f>IF(NFI_Expiration=1,IF($A252&lt;VLOOKUP(I$5,NFI,5,0),1,0)*Table_NFI[[#This Row],[NFI Core Kit]],Table_NFI[NFI Core Kit])</f>
        <v>0</v>
      </c>
      <c r="AA252" s="294">
        <f>IF(NFI_Expiration=1,IF($A252&lt;VLOOKUP(J$5,NFI,5,0),1,0)*Table_NFI[[#This Row],[Sanitary Kit]],Table_NFI[Sanitary Kit])</f>
        <v>0</v>
      </c>
      <c r="AB252" s="294">
        <f>IF(NFI_Expiration=1,IF($A252&lt;VLOOKUP(K$5,NFI,5,0),1,0)*Table_NFI[[#This Row],[Mosquito net]],Table_NFI[Mosquito net])</f>
        <v>0</v>
      </c>
      <c r="AC252" s="294">
        <f>IF(NFI_Expiration=1,IF($A252&lt;VLOOKUP(L$5,NFI,5,0),1,0)*Table_NFI[[#This Row],[Tarpaulin]],Table_NFI[[#This Row],[Tarpaulin]])</f>
        <v>0</v>
      </c>
      <c r="AD252" s="294">
        <f>IF(NFI_Expiration=1,IF($A252&lt;VLOOKUP(M$5,NFI,5,0),1,0)*Table_NFI[[#This Row],[Blanket]],Table_NFI[[#This Row],[Blanket]])</f>
        <v>0</v>
      </c>
      <c r="AE252" s="294">
        <f>IF(NFI_Expiration=1,IF($A252&lt;VLOOKUP(N$5,NFI,5,0),1,0)*Table_NFI[[#This Row],[Kitchen Set]],Table_NFI[Kitchen Set])</f>
        <v>0</v>
      </c>
      <c r="AF252" s="294">
        <f>IF(NFI_Expiration=1,IF($A252&lt;VLOOKUP(O$5,NFI,5,0),1,0)*Table_NFI[[#This Row],[Clothes Kit]],Table_NFI[Clothes Kit])</f>
        <v>0</v>
      </c>
      <c r="AG252" s="294">
        <f>IF(NFI_Expiration=1,IF($A252&lt;VLOOKUP(P$5,NFI,5,0),1,0)*Table_NFI[[#This Row],[Plastic Bucket]],Table_NFI[Plastic Bucket])</f>
        <v>0</v>
      </c>
      <c r="AH252" s="294">
        <f>IF(NFI_Expiration=1,IF($A252&lt;VLOOKUP(Q$5,NFI,5,0),1,0)*Table_NFI[[#This Row],[Plastic Mat]],Table_NFI[Plastic Mat])*IF(Table_NFI[[#This Row],[Distribution Date]]&gt;"2014-04-01",1,2.5)</f>
        <v>0</v>
      </c>
      <c r="AI252" s="294">
        <f>IF(NFI_Expiration=1,IF($A252&lt;VLOOKUP(R$5,NFI,5,0),1,0)*Table_NFI[[#This Row],[Winter Clothes Adult]],Table_NFI[Winter Clothes Adult])</f>
        <v>0</v>
      </c>
      <c r="AJ252" s="294">
        <f>IF(NFI_Expiration=1,IF($A252&lt;VLOOKUP(S$5,NFI,5,0),1,0)*Table_NFI[[#This Row],[Winter Clothes Children]],Table_NFI[Winter Clothes Children])</f>
        <v>0</v>
      </c>
      <c r="AK252" s="294">
        <f>IF(NFI_Expiration=1,IF($A252&lt;VLOOKUP(T$5,NFI,5,0),1,0)*Table_NFI[[#This Row],[Winter Items Other]],Table_NFI[Winter Items Other])</f>
        <v>0</v>
      </c>
      <c r="AL252" s="294">
        <f>IF(NFI_Expiration=1,IF($A252&lt;VLOOKUP(M$5,NFI,5,0),1,0)*Table_NFI[[#This Row],[Winter Blanket]],Table_NFI[[#This Row],[Winter Blanket]])</f>
        <v>0</v>
      </c>
      <c r="AM252" s="294">
        <f>IF(Table_NFI[[#This Row],[Winter Clothes Adult]]+Table_NFI[[#This Row],[Winter Clothes Children]]+Table_NFI[[#This Row],[Winter Items Other]]+Table_NFI[[#This Row],[Winter Blanket]]&gt;0,1,0)</f>
        <v>0</v>
      </c>
      <c r="AN252" s="331">
        <f>IF(NFI_Expiration=1,IF($A252&lt;VLOOKUP(V$5,NFI,5,0),1,0)*Table_NFI[[#This Row],[Jerry Can]],Table_NFI[Jerry Can])</f>
        <v>0</v>
      </c>
      <c r="AO252" s="331">
        <f>IF(NFI_Expiration=1,IF($A252&lt;VLOOKUP(V$5,NFI,5,0),1,0)*Table_NFI[[#This Row],[Shelter Tool kit]],Table_NFI[Shelter Tool kit])</f>
        <v>0</v>
      </c>
      <c r="AP252" s="331">
        <f>IF(NFI_Expiration=1,IF($A252&lt;VLOOKUP(V$5,NFI,5,0),1,0)*Table_NFI[[#This Row],[Tent]],Table_NFI[Tent])</f>
        <v>0</v>
      </c>
      <c r="AQ252" s="473" t="str">
        <f>IFERROR(VLOOKUP(Table_NFI[[#This Row],[Camp Name]],CL,2,0),"")</f>
        <v>MMR001CMP194</v>
      </c>
      <c r="AR252" s="468">
        <f ca="1">IF(Table_NFI[[#This Row],[Pcode]]="","",IF(OFFSET(CampList[Opening Date],MATCH(Table_NFI[[#This Row],[Pcode]],CampList[CP_Pcode],0)-1,0,1,1)&gt;=NFI_Monitor_Date,1,0))</f>
        <v>0</v>
      </c>
      <c r="AS252" s="473" t="str">
        <f>IFERROR(VLOOKUP(Table_NFI[[#This Row],[Camp Name]],CL,3,0),"")</f>
        <v>Open</v>
      </c>
      <c r="AT252" s="294" t="str">
        <f ca="1">IF(Table_NFI[[#This Row],[Pcode]]="","",OFFSET(CampList[Priority],MATCH(Table_NFI[[#This Row],[Pcode]],CampList[CP_Pcode],0)-1,0,1,1))</f>
        <v>P4</v>
      </c>
      <c r="AU252" s="293">
        <f>IFERROR(Table_NFI[[#This Row],[Kitchen Set]]/VLOOKUP(Table_NFI[[#This Row],[Camp Name]],CL,4,0),"")</f>
        <v>0</v>
      </c>
      <c r="AV252" s="471"/>
      <c r="AW252" s="474"/>
    </row>
    <row r="253" spans="1:49" s="470" customFormat="1" ht="14.45" customHeight="1" x14ac:dyDescent="0.25">
      <c r="A253" s="297">
        <f t="shared" si="3"/>
        <v>24.6</v>
      </c>
      <c r="B253" s="465">
        <v>41937</v>
      </c>
      <c r="C253" s="466" t="s">
        <v>1094</v>
      </c>
      <c r="D253" s="466" t="s">
        <v>900</v>
      </c>
      <c r="E253" s="466" t="s">
        <v>380</v>
      </c>
      <c r="F253" s="466" t="s">
        <v>527</v>
      </c>
      <c r="G253" s="466" t="s">
        <v>62</v>
      </c>
      <c r="H253" s="291"/>
      <c r="I253" s="291"/>
      <c r="J253" s="291"/>
      <c r="K253" s="291"/>
      <c r="L253" s="292"/>
      <c r="M253" s="292"/>
      <c r="N253" s="292"/>
      <c r="O253" s="292"/>
      <c r="P253" s="294"/>
      <c r="Q253" s="294"/>
      <c r="R253" s="294">
        <v>229</v>
      </c>
      <c r="S253" s="294">
        <v>126</v>
      </c>
      <c r="T253" s="294"/>
      <c r="U253" s="294"/>
      <c r="V253" s="431"/>
      <c r="W253" s="294"/>
      <c r="X253" s="294"/>
      <c r="Y253" s="294">
        <f>IF(NFI_Expiration=1,IF($A253&lt;VLOOKUP(H$5,NFI,5,0),1,0)*Table_NFI[[#This Row],[Hygiene Kit]],Table_NFI[Hygiene Kit])</f>
        <v>0</v>
      </c>
      <c r="Z253" s="294">
        <f>IF(NFI_Expiration=1,IF($A253&lt;VLOOKUP(I$5,NFI,5,0),1,0)*Table_NFI[[#This Row],[NFI Core Kit]],Table_NFI[NFI Core Kit])</f>
        <v>0</v>
      </c>
      <c r="AA253" s="294">
        <f>IF(NFI_Expiration=1,IF($A253&lt;VLOOKUP(J$5,NFI,5,0),1,0)*Table_NFI[[#This Row],[Sanitary Kit]],Table_NFI[Sanitary Kit])</f>
        <v>0</v>
      </c>
      <c r="AB253" s="294">
        <f>IF(NFI_Expiration=1,IF($A253&lt;VLOOKUP(K$5,NFI,5,0),1,0)*Table_NFI[[#This Row],[Mosquito net]],Table_NFI[Mosquito net])</f>
        <v>0</v>
      </c>
      <c r="AC253" s="294">
        <f>IF(NFI_Expiration=1,IF($A253&lt;VLOOKUP(L$5,NFI,5,0),1,0)*Table_NFI[[#This Row],[Tarpaulin]],Table_NFI[[#This Row],[Tarpaulin]])</f>
        <v>0</v>
      </c>
      <c r="AD253" s="294">
        <f>IF(NFI_Expiration=1,IF($A253&lt;VLOOKUP(M$5,NFI,5,0),1,0)*Table_NFI[[#This Row],[Blanket]],Table_NFI[[#This Row],[Blanket]])</f>
        <v>0</v>
      </c>
      <c r="AE253" s="294">
        <f>IF(NFI_Expiration=1,IF($A253&lt;VLOOKUP(N$5,NFI,5,0),1,0)*Table_NFI[[#This Row],[Kitchen Set]],Table_NFI[Kitchen Set])</f>
        <v>0</v>
      </c>
      <c r="AF253" s="294">
        <f>IF(NFI_Expiration=1,IF($A253&lt;VLOOKUP(O$5,NFI,5,0),1,0)*Table_NFI[[#This Row],[Clothes Kit]],Table_NFI[Clothes Kit])</f>
        <v>0</v>
      </c>
      <c r="AG253" s="294">
        <f>IF(NFI_Expiration=1,IF($A253&lt;VLOOKUP(P$5,NFI,5,0),1,0)*Table_NFI[[#This Row],[Plastic Bucket]],Table_NFI[Plastic Bucket])</f>
        <v>0</v>
      </c>
      <c r="AH253" s="294">
        <f>IF(NFI_Expiration=1,IF($A253&lt;VLOOKUP(Q$5,NFI,5,0),1,0)*Table_NFI[[#This Row],[Plastic Mat]],Table_NFI[Plastic Mat])*IF(Table_NFI[[#This Row],[Distribution Date]]&gt;"2014-04-01",1,2.5)</f>
        <v>0</v>
      </c>
      <c r="AI253" s="294">
        <f>IF(NFI_Expiration=1,IF($A253&lt;VLOOKUP(R$5,NFI,5,0),1,0)*Table_NFI[[#This Row],[Winter Clothes Adult]],Table_NFI[Winter Clothes Adult])</f>
        <v>0</v>
      </c>
      <c r="AJ253" s="294">
        <f>IF(NFI_Expiration=1,IF($A253&lt;VLOOKUP(S$5,NFI,5,0),1,0)*Table_NFI[[#This Row],[Winter Clothes Children]],Table_NFI[Winter Clothes Children])</f>
        <v>0</v>
      </c>
      <c r="AK253" s="294">
        <f>IF(NFI_Expiration=1,IF($A253&lt;VLOOKUP(T$5,NFI,5,0),1,0)*Table_NFI[[#This Row],[Winter Items Other]],Table_NFI[Winter Items Other])</f>
        <v>0</v>
      </c>
      <c r="AL253" s="294">
        <f>IF(NFI_Expiration=1,IF($A253&lt;VLOOKUP(M$5,NFI,5,0),1,0)*Table_NFI[[#This Row],[Winter Blanket]],Table_NFI[[#This Row],[Winter Blanket]])</f>
        <v>0</v>
      </c>
      <c r="AM253" s="294">
        <f>IF(Table_NFI[[#This Row],[Winter Clothes Adult]]+Table_NFI[[#This Row],[Winter Clothes Children]]+Table_NFI[[#This Row],[Winter Items Other]]+Table_NFI[[#This Row],[Winter Blanket]]&gt;0,1,0)</f>
        <v>1</v>
      </c>
      <c r="AN253" s="331">
        <f>IF(NFI_Expiration=1,IF($A253&lt;VLOOKUP(V$5,NFI,5,0),1,0)*Table_NFI[[#This Row],[Jerry Can]],Table_NFI[Jerry Can])</f>
        <v>0</v>
      </c>
      <c r="AO253" s="331">
        <f>IF(NFI_Expiration=1,IF($A253&lt;VLOOKUP(V$5,NFI,5,0),1,0)*Table_NFI[[#This Row],[Shelter Tool kit]],Table_NFI[Shelter Tool kit])</f>
        <v>0</v>
      </c>
      <c r="AP253" s="331">
        <f>IF(NFI_Expiration=1,IF($A253&lt;VLOOKUP(V$5,NFI,5,0),1,0)*Table_NFI[[#This Row],[Tent]],Table_NFI[Tent])</f>
        <v>0</v>
      </c>
      <c r="AQ253" s="473" t="str">
        <f>IFERROR(VLOOKUP(Table_NFI[[#This Row],[Camp Name]],CL,2,0),"")</f>
        <v>MMR001CMP179</v>
      </c>
      <c r="AR253" s="468">
        <f ca="1">IF(Table_NFI[[#This Row],[Pcode]]="","",IF(OFFSET(CampList[Opening Date],MATCH(Table_NFI[[#This Row],[Pcode]],CampList[CP_Pcode],0)-1,0,1,1)&gt;=NFI_Monitor_Date,1,0))</f>
        <v>0</v>
      </c>
      <c r="AS253" s="473" t="str">
        <f>IFERROR(VLOOKUP(Table_NFI[[#This Row],[Camp Name]],CL,3,0),"")</f>
        <v>Open</v>
      </c>
      <c r="AT253" s="294" t="str">
        <f ca="1">IF(Table_NFI[[#This Row],[Pcode]]="","",OFFSET(CampList[Priority],MATCH(Table_NFI[[#This Row],[Pcode]],CampList[CP_Pcode],0)-1,0,1,1))</f>
        <v>P4</v>
      </c>
      <c r="AU253" s="293">
        <f>IFERROR(Table_NFI[[#This Row],[Kitchen Set]]/VLOOKUP(Table_NFI[[#This Row],[Camp Name]],CL,4,0),"")</f>
        <v>0</v>
      </c>
      <c r="AV253" s="466"/>
      <c r="AW253" s="469"/>
    </row>
    <row r="254" spans="1:49" s="470" customFormat="1" ht="14.45" customHeight="1" x14ac:dyDescent="0.25">
      <c r="A254" s="297">
        <f t="shared" si="3"/>
        <v>24.6</v>
      </c>
      <c r="B254" s="465">
        <v>41937</v>
      </c>
      <c r="C254" s="466" t="s">
        <v>1094</v>
      </c>
      <c r="D254" s="466" t="s">
        <v>900</v>
      </c>
      <c r="E254" s="466" t="s">
        <v>380</v>
      </c>
      <c r="F254" s="466" t="s">
        <v>527</v>
      </c>
      <c r="G254" s="466" t="s">
        <v>120</v>
      </c>
      <c r="H254" s="291"/>
      <c r="I254" s="291"/>
      <c r="J254" s="291"/>
      <c r="K254" s="291"/>
      <c r="L254" s="292"/>
      <c r="M254" s="292"/>
      <c r="N254" s="292"/>
      <c r="O254" s="292"/>
      <c r="P254" s="294"/>
      <c r="Q254" s="294"/>
      <c r="R254" s="294">
        <v>223</v>
      </c>
      <c r="S254" s="294">
        <v>96</v>
      </c>
      <c r="T254" s="294"/>
      <c r="U254" s="294"/>
      <c r="V254" s="431"/>
      <c r="W254" s="294"/>
      <c r="X254" s="294"/>
      <c r="Y254" s="294">
        <f>IF(NFI_Expiration=1,IF($A254&lt;VLOOKUP(H$5,NFI,5,0),1,0)*Table_NFI[[#This Row],[Hygiene Kit]],Table_NFI[Hygiene Kit])</f>
        <v>0</v>
      </c>
      <c r="Z254" s="294">
        <f>IF(NFI_Expiration=1,IF($A254&lt;VLOOKUP(I$5,NFI,5,0),1,0)*Table_NFI[[#This Row],[NFI Core Kit]],Table_NFI[NFI Core Kit])</f>
        <v>0</v>
      </c>
      <c r="AA254" s="294">
        <f>IF(NFI_Expiration=1,IF($A254&lt;VLOOKUP(J$5,NFI,5,0),1,0)*Table_NFI[[#This Row],[Sanitary Kit]],Table_NFI[Sanitary Kit])</f>
        <v>0</v>
      </c>
      <c r="AB254" s="294">
        <f>IF(NFI_Expiration=1,IF($A254&lt;VLOOKUP(K$5,NFI,5,0),1,0)*Table_NFI[[#This Row],[Mosquito net]],Table_NFI[Mosquito net])</f>
        <v>0</v>
      </c>
      <c r="AC254" s="294">
        <f>IF(NFI_Expiration=1,IF($A254&lt;VLOOKUP(L$5,NFI,5,0),1,0)*Table_NFI[[#This Row],[Tarpaulin]],Table_NFI[[#This Row],[Tarpaulin]])</f>
        <v>0</v>
      </c>
      <c r="AD254" s="294">
        <f>IF(NFI_Expiration=1,IF($A254&lt;VLOOKUP(M$5,NFI,5,0),1,0)*Table_NFI[[#This Row],[Blanket]],Table_NFI[[#This Row],[Blanket]])</f>
        <v>0</v>
      </c>
      <c r="AE254" s="294">
        <f>IF(NFI_Expiration=1,IF($A254&lt;VLOOKUP(N$5,NFI,5,0),1,0)*Table_NFI[[#This Row],[Kitchen Set]],Table_NFI[Kitchen Set])</f>
        <v>0</v>
      </c>
      <c r="AF254" s="294">
        <f>IF(NFI_Expiration=1,IF($A254&lt;VLOOKUP(O$5,NFI,5,0),1,0)*Table_NFI[[#This Row],[Clothes Kit]],Table_NFI[Clothes Kit])</f>
        <v>0</v>
      </c>
      <c r="AG254" s="294">
        <f>IF(NFI_Expiration=1,IF($A254&lt;VLOOKUP(P$5,NFI,5,0),1,0)*Table_NFI[[#This Row],[Plastic Bucket]],Table_NFI[Plastic Bucket])</f>
        <v>0</v>
      </c>
      <c r="AH254" s="294">
        <f>IF(NFI_Expiration=1,IF($A254&lt;VLOOKUP(Q$5,NFI,5,0),1,0)*Table_NFI[[#This Row],[Plastic Mat]],Table_NFI[Plastic Mat])*IF(Table_NFI[[#This Row],[Distribution Date]]&gt;"2014-04-01",1,2.5)</f>
        <v>0</v>
      </c>
      <c r="AI254" s="294">
        <f>IF(NFI_Expiration=1,IF($A254&lt;VLOOKUP(R$5,NFI,5,0),1,0)*Table_NFI[[#This Row],[Winter Clothes Adult]],Table_NFI[Winter Clothes Adult])</f>
        <v>0</v>
      </c>
      <c r="AJ254" s="294">
        <f>IF(NFI_Expiration=1,IF($A254&lt;VLOOKUP(S$5,NFI,5,0),1,0)*Table_NFI[[#This Row],[Winter Clothes Children]],Table_NFI[Winter Clothes Children])</f>
        <v>0</v>
      </c>
      <c r="AK254" s="294">
        <f>IF(NFI_Expiration=1,IF($A254&lt;VLOOKUP(T$5,NFI,5,0),1,0)*Table_NFI[[#This Row],[Winter Items Other]],Table_NFI[Winter Items Other])</f>
        <v>0</v>
      </c>
      <c r="AL254" s="294">
        <f>IF(NFI_Expiration=1,IF($A254&lt;VLOOKUP(M$5,NFI,5,0),1,0)*Table_NFI[[#This Row],[Winter Blanket]],Table_NFI[[#This Row],[Winter Blanket]])</f>
        <v>0</v>
      </c>
      <c r="AM254" s="294">
        <f>IF(Table_NFI[[#This Row],[Winter Clothes Adult]]+Table_NFI[[#This Row],[Winter Clothes Children]]+Table_NFI[[#This Row],[Winter Items Other]]+Table_NFI[[#This Row],[Winter Blanket]]&gt;0,1,0)</f>
        <v>1</v>
      </c>
      <c r="AN254" s="331">
        <f>IF(NFI_Expiration=1,IF($A254&lt;VLOOKUP(V$5,NFI,5,0),1,0)*Table_NFI[[#This Row],[Jerry Can]],Table_NFI[Jerry Can])</f>
        <v>0</v>
      </c>
      <c r="AO254" s="331">
        <f>IF(NFI_Expiration=1,IF($A254&lt;VLOOKUP(V$5,NFI,5,0),1,0)*Table_NFI[[#This Row],[Shelter Tool kit]],Table_NFI[Shelter Tool kit])</f>
        <v>0</v>
      </c>
      <c r="AP254" s="331">
        <f>IF(NFI_Expiration=1,IF($A254&lt;VLOOKUP(V$5,NFI,5,0),1,0)*Table_NFI[[#This Row],[Tent]],Table_NFI[Tent])</f>
        <v>0</v>
      </c>
      <c r="AQ254" s="473" t="str">
        <f>IFERROR(VLOOKUP(Table_NFI[[#This Row],[Camp Name]],CL,2,0),"")</f>
        <v>MMR001CMP168</v>
      </c>
      <c r="AR254" s="468">
        <f ca="1">IF(Table_NFI[[#This Row],[Pcode]]="","",IF(OFFSET(CampList[Opening Date],MATCH(Table_NFI[[#This Row],[Pcode]],CampList[CP_Pcode],0)-1,0,1,1)&gt;=NFI_Monitor_Date,1,0))</f>
        <v>0</v>
      </c>
      <c r="AS254" s="473" t="str">
        <f>IFERROR(VLOOKUP(Table_NFI[[#This Row],[Camp Name]],CL,3,0),"")</f>
        <v>Open</v>
      </c>
      <c r="AT254" s="294" t="str">
        <f ca="1">IF(Table_NFI[[#This Row],[Pcode]]="","",OFFSET(CampList[Priority],MATCH(Table_NFI[[#This Row],[Pcode]],CampList[CP_Pcode],0)-1,0,1,1))</f>
        <v>P4</v>
      </c>
      <c r="AU254" s="293">
        <f>IFERROR(Table_NFI[[#This Row],[Kitchen Set]]/VLOOKUP(Table_NFI[[#This Row],[Camp Name]],CL,4,0),"")</f>
        <v>0</v>
      </c>
      <c r="AV254" s="466"/>
      <c r="AW254" s="469"/>
    </row>
    <row r="255" spans="1:49" s="470" customFormat="1" ht="14.45" customHeight="1" x14ac:dyDescent="0.25">
      <c r="A255" s="297">
        <f t="shared" si="3"/>
        <v>24.6</v>
      </c>
      <c r="B255" s="465">
        <v>41937</v>
      </c>
      <c r="C255" s="466" t="s">
        <v>1094</v>
      </c>
      <c r="D255" s="466" t="s">
        <v>900</v>
      </c>
      <c r="E255" s="466" t="s">
        <v>380</v>
      </c>
      <c r="F255" s="466" t="s">
        <v>527</v>
      </c>
      <c r="G255" s="466" t="s">
        <v>41</v>
      </c>
      <c r="H255" s="291"/>
      <c r="I255" s="291"/>
      <c r="J255" s="291"/>
      <c r="K255" s="291"/>
      <c r="L255" s="292"/>
      <c r="M255" s="292"/>
      <c r="N255" s="292"/>
      <c r="O255" s="292"/>
      <c r="P255" s="294"/>
      <c r="Q255" s="294"/>
      <c r="R255" s="294">
        <v>232</v>
      </c>
      <c r="S255" s="294">
        <v>105</v>
      </c>
      <c r="T255" s="294"/>
      <c r="U255" s="294"/>
      <c r="V255" s="431"/>
      <c r="W255" s="294"/>
      <c r="X255" s="294"/>
      <c r="Y255" s="294">
        <f>IF(NFI_Expiration=1,IF($A255&lt;VLOOKUP(H$5,NFI,5,0),1,0)*Table_NFI[[#This Row],[Hygiene Kit]],Table_NFI[Hygiene Kit])</f>
        <v>0</v>
      </c>
      <c r="Z255" s="294">
        <f>IF(NFI_Expiration=1,IF($A255&lt;VLOOKUP(I$5,NFI,5,0),1,0)*Table_NFI[[#This Row],[NFI Core Kit]],Table_NFI[NFI Core Kit])</f>
        <v>0</v>
      </c>
      <c r="AA255" s="294">
        <f>IF(NFI_Expiration=1,IF($A255&lt;VLOOKUP(J$5,NFI,5,0),1,0)*Table_NFI[[#This Row],[Sanitary Kit]],Table_NFI[Sanitary Kit])</f>
        <v>0</v>
      </c>
      <c r="AB255" s="294">
        <f>IF(NFI_Expiration=1,IF($A255&lt;VLOOKUP(K$5,NFI,5,0),1,0)*Table_NFI[[#This Row],[Mosquito net]],Table_NFI[Mosquito net])</f>
        <v>0</v>
      </c>
      <c r="AC255" s="294">
        <f>IF(NFI_Expiration=1,IF($A255&lt;VLOOKUP(L$5,NFI,5,0),1,0)*Table_NFI[[#This Row],[Tarpaulin]],Table_NFI[[#This Row],[Tarpaulin]])</f>
        <v>0</v>
      </c>
      <c r="AD255" s="294">
        <f>IF(NFI_Expiration=1,IF($A255&lt;VLOOKUP(M$5,NFI,5,0),1,0)*Table_NFI[[#This Row],[Blanket]],Table_NFI[[#This Row],[Blanket]])</f>
        <v>0</v>
      </c>
      <c r="AE255" s="294">
        <f>IF(NFI_Expiration=1,IF($A255&lt;VLOOKUP(N$5,NFI,5,0),1,0)*Table_NFI[[#This Row],[Kitchen Set]],Table_NFI[Kitchen Set])</f>
        <v>0</v>
      </c>
      <c r="AF255" s="294">
        <f>IF(NFI_Expiration=1,IF($A255&lt;VLOOKUP(O$5,NFI,5,0),1,0)*Table_NFI[[#This Row],[Clothes Kit]],Table_NFI[Clothes Kit])</f>
        <v>0</v>
      </c>
      <c r="AG255" s="294">
        <f>IF(NFI_Expiration=1,IF($A255&lt;VLOOKUP(P$5,NFI,5,0),1,0)*Table_NFI[[#This Row],[Plastic Bucket]],Table_NFI[Plastic Bucket])</f>
        <v>0</v>
      </c>
      <c r="AH255" s="294">
        <f>IF(NFI_Expiration=1,IF($A255&lt;VLOOKUP(Q$5,NFI,5,0),1,0)*Table_NFI[[#This Row],[Plastic Mat]],Table_NFI[Plastic Mat])*IF(Table_NFI[[#This Row],[Distribution Date]]&gt;"2014-04-01",1,2.5)</f>
        <v>0</v>
      </c>
      <c r="AI255" s="294">
        <f>IF(NFI_Expiration=1,IF($A255&lt;VLOOKUP(R$5,NFI,5,0),1,0)*Table_NFI[[#This Row],[Winter Clothes Adult]],Table_NFI[Winter Clothes Adult])</f>
        <v>0</v>
      </c>
      <c r="AJ255" s="294">
        <f>IF(NFI_Expiration=1,IF($A255&lt;VLOOKUP(S$5,NFI,5,0),1,0)*Table_NFI[[#This Row],[Winter Clothes Children]],Table_NFI[Winter Clothes Children])</f>
        <v>0</v>
      </c>
      <c r="AK255" s="294">
        <f>IF(NFI_Expiration=1,IF($A255&lt;VLOOKUP(T$5,NFI,5,0),1,0)*Table_NFI[[#This Row],[Winter Items Other]],Table_NFI[Winter Items Other])</f>
        <v>0</v>
      </c>
      <c r="AL255" s="294">
        <f>IF(NFI_Expiration=1,IF($A255&lt;VLOOKUP(M$5,NFI,5,0),1,0)*Table_NFI[[#This Row],[Winter Blanket]],Table_NFI[[#This Row],[Winter Blanket]])</f>
        <v>0</v>
      </c>
      <c r="AM255" s="294">
        <f>IF(Table_NFI[[#This Row],[Winter Clothes Adult]]+Table_NFI[[#This Row],[Winter Clothes Children]]+Table_NFI[[#This Row],[Winter Items Other]]+Table_NFI[[#This Row],[Winter Blanket]]&gt;0,1,0)</f>
        <v>1</v>
      </c>
      <c r="AN255" s="331">
        <f>IF(NFI_Expiration=1,IF($A255&lt;VLOOKUP(V$5,NFI,5,0),1,0)*Table_NFI[[#This Row],[Jerry Can]],Table_NFI[Jerry Can])</f>
        <v>0</v>
      </c>
      <c r="AO255" s="331">
        <f>IF(NFI_Expiration=1,IF($A255&lt;VLOOKUP(V$5,NFI,5,0),1,0)*Table_NFI[[#This Row],[Shelter Tool kit]],Table_NFI[Shelter Tool kit])</f>
        <v>0</v>
      </c>
      <c r="AP255" s="331">
        <f>IF(NFI_Expiration=1,IF($A255&lt;VLOOKUP(V$5,NFI,5,0),1,0)*Table_NFI[[#This Row],[Tent]],Table_NFI[Tent])</f>
        <v>0</v>
      </c>
      <c r="AQ255" s="473" t="str">
        <f>IFERROR(VLOOKUP(Table_NFI[[#This Row],[Camp Name]],CL,2,0),"")</f>
        <v>MMR001CMP176</v>
      </c>
      <c r="AR255" s="468">
        <f ca="1">IF(Table_NFI[[#This Row],[Pcode]]="","",IF(OFFSET(CampList[Opening Date],MATCH(Table_NFI[[#This Row],[Pcode]],CampList[CP_Pcode],0)-1,0,1,1)&gt;=NFI_Monitor_Date,1,0))</f>
        <v>0</v>
      </c>
      <c r="AS255" s="473" t="str">
        <f>IFERROR(VLOOKUP(Table_NFI[[#This Row],[Camp Name]],CL,3,0),"")</f>
        <v>Open</v>
      </c>
      <c r="AT255" s="294" t="str">
        <f ca="1">IF(Table_NFI[[#This Row],[Pcode]]="","",OFFSET(CampList[Priority],MATCH(Table_NFI[[#This Row],[Pcode]],CampList[CP_Pcode],0)-1,0,1,1))</f>
        <v>P4</v>
      </c>
      <c r="AU255" s="293">
        <f>IFERROR(Table_NFI[[#This Row],[Kitchen Set]]/VLOOKUP(Table_NFI[[#This Row],[Camp Name]],CL,4,0),"")</f>
        <v>0</v>
      </c>
      <c r="AV255" s="466"/>
      <c r="AW255" s="469"/>
    </row>
    <row r="256" spans="1:49" s="470" customFormat="1" ht="14.45" customHeight="1" x14ac:dyDescent="0.25">
      <c r="A256" s="297">
        <f t="shared" si="3"/>
        <v>24.6</v>
      </c>
      <c r="B256" s="465">
        <v>41937</v>
      </c>
      <c r="C256" s="466" t="s">
        <v>1094</v>
      </c>
      <c r="D256" s="466" t="s">
        <v>900</v>
      </c>
      <c r="E256" s="466" t="s">
        <v>380</v>
      </c>
      <c r="F256" s="466" t="s">
        <v>527</v>
      </c>
      <c r="G256" s="466" t="s">
        <v>43</v>
      </c>
      <c r="H256" s="291"/>
      <c r="I256" s="291"/>
      <c r="J256" s="291"/>
      <c r="K256" s="291"/>
      <c r="L256" s="292"/>
      <c r="M256" s="292"/>
      <c r="N256" s="292"/>
      <c r="O256" s="292"/>
      <c r="P256" s="294"/>
      <c r="Q256" s="294"/>
      <c r="R256" s="294">
        <v>55</v>
      </c>
      <c r="S256" s="294">
        <v>27</v>
      </c>
      <c r="T256" s="294"/>
      <c r="U256" s="294"/>
      <c r="V256" s="431"/>
      <c r="W256" s="294"/>
      <c r="X256" s="294"/>
      <c r="Y256" s="294">
        <f>IF(NFI_Expiration=1,IF($A256&lt;VLOOKUP(H$5,NFI,5,0),1,0)*Table_NFI[[#This Row],[Hygiene Kit]],Table_NFI[Hygiene Kit])</f>
        <v>0</v>
      </c>
      <c r="Z256" s="294">
        <f>IF(NFI_Expiration=1,IF($A256&lt;VLOOKUP(I$5,NFI,5,0),1,0)*Table_NFI[[#This Row],[NFI Core Kit]],Table_NFI[NFI Core Kit])</f>
        <v>0</v>
      </c>
      <c r="AA256" s="294">
        <f>IF(NFI_Expiration=1,IF($A256&lt;VLOOKUP(J$5,NFI,5,0),1,0)*Table_NFI[[#This Row],[Sanitary Kit]],Table_NFI[Sanitary Kit])</f>
        <v>0</v>
      </c>
      <c r="AB256" s="294">
        <f>IF(NFI_Expiration=1,IF($A256&lt;VLOOKUP(K$5,NFI,5,0),1,0)*Table_NFI[[#This Row],[Mosquito net]],Table_NFI[Mosquito net])</f>
        <v>0</v>
      </c>
      <c r="AC256" s="294">
        <f>IF(NFI_Expiration=1,IF($A256&lt;VLOOKUP(L$5,NFI,5,0),1,0)*Table_NFI[[#This Row],[Tarpaulin]],Table_NFI[[#This Row],[Tarpaulin]])</f>
        <v>0</v>
      </c>
      <c r="AD256" s="294">
        <f>IF(NFI_Expiration=1,IF($A256&lt;VLOOKUP(M$5,NFI,5,0),1,0)*Table_NFI[[#This Row],[Blanket]],Table_NFI[[#This Row],[Blanket]])</f>
        <v>0</v>
      </c>
      <c r="AE256" s="294">
        <f>IF(NFI_Expiration=1,IF($A256&lt;VLOOKUP(N$5,NFI,5,0),1,0)*Table_NFI[[#This Row],[Kitchen Set]],Table_NFI[Kitchen Set])</f>
        <v>0</v>
      </c>
      <c r="AF256" s="294">
        <f>IF(NFI_Expiration=1,IF($A256&lt;VLOOKUP(O$5,NFI,5,0),1,0)*Table_NFI[[#This Row],[Clothes Kit]],Table_NFI[Clothes Kit])</f>
        <v>0</v>
      </c>
      <c r="AG256" s="294">
        <f>IF(NFI_Expiration=1,IF($A256&lt;VLOOKUP(P$5,NFI,5,0),1,0)*Table_NFI[[#This Row],[Plastic Bucket]],Table_NFI[Plastic Bucket])</f>
        <v>0</v>
      </c>
      <c r="AH256" s="294">
        <f>IF(NFI_Expiration=1,IF($A256&lt;VLOOKUP(Q$5,NFI,5,0),1,0)*Table_NFI[[#This Row],[Plastic Mat]],Table_NFI[Plastic Mat])*IF(Table_NFI[[#This Row],[Distribution Date]]&gt;"2014-04-01",1,2.5)</f>
        <v>0</v>
      </c>
      <c r="AI256" s="294">
        <f>IF(NFI_Expiration=1,IF($A256&lt;VLOOKUP(R$5,NFI,5,0),1,0)*Table_NFI[[#This Row],[Winter Clothes Adult]],Table_NFI[Winter Clothes Adult])</f>
        <v>0</v>
      </c>
      <c r="AJ256" s="294">
        <f>IF(NFI_Expiration=1,IF($A256&lt;VLOOKUP(S$5,NFI,5,0),1,0)*Table_NFI[[#This Row],[Winter Clothes Children]],Table_NFI[Winter Clothes Children])</f>
        <v>0</v>
      </c>
      <c r="AK256" s="294">
        <f>IF(NFI_Expiration=1,IF($A256&lt;VLOOKUP(T$5,NFI,5,0),1,0)*Table_NFI[[#This Row],[Winter Items Other]],Table_NFI[Winter Items Other])</f>
        <v>0</v>
      </c>
      <c r="AL256" s="294">
        <f>IF(NFI_Expiration=1,IF($A256&lt;VLOOKUP(M$5,NFI,5,0),1,0)*Table_NFI[[#This Row],[Winter Blanket]],Table_NFI[[#This Row],[Winter Blanket]])</f>
        <v>0</v>
      </c>
      <c r="AM256" s="294">
        <f>IF(Table_NFI[[#This Row],[Winter Clothes Adult]]+Table_NFI[[#This Row],[Winter Clothes Children]]+Table_NFI[[#This Row],[Winter Items Other]]+Table_NFI[[#This Row],[Winter Blanket]]&gt;0,1,0)</f>
        <v>1</v>
      </c>
      <c r="AN256" s="331">
        <f>IF(NFI_Expiration=1,IF($A256&lt;VLOOKUP(V$5,NFI,5,0),1,0)*Table_NFI[[#This Row],[Jerry Can]],Table_NFI[Jerry Can])</f>
        <v>0</v>
      </c>
      <c r="AO256" s="331">
        <f>IF(NFI_Expiration=1,IF($A256&lt;VLOOKUP(V$5,NFI,5,0),1,0)*Table_NFI[[#This Row],[Shelter Tool kit]],Table_NFI[Shelter Tool kit])</f>
        <v>0</v>
      </c>
      <c r="AP256" s="331">
        <f>IF(NFI_Expiration=1,IF($A256&lt;VLOOKUP(V$5,NFI,5,0),1,0)*Table_NFI[[#This Row],[Tent]],Table_NFI[Tent])</f>
        <v>0</v>
      </c>
      <c r="AQ256" s="473" t="str">
        <f>IFERROR(VLOOKUP(Table_NFI[[#This Row],[Camp Name]],CL,2,0),"")</f>
        <v>MMR001CMP190</v>
      </c>
      <c r="AR256" s="468">
        <f ca="1">IF(Table_NFI[[#This Row],[Pcode]]="","",IF(OFFSET(CampList[Opening Date],MATCH(Table_NFI[[#This Row],[Pcode]],CampList[CP_Pcode],0)-1,0,1,1)&gt;=NFI_Monitor_Date,1,0))</f>
        <v>0</v>
      </c>
      <c r="AS256" s="473" t="str">
        <f>IFERROR(VLOOKUP(Table_NFI[[#This Row],[Camp Name]],CL,3,0),"")</f>
        <v>Open</v>
      </c>
      <c r="AT256" s="294" t="str">
        <f ca="1">IF(Table_NFI[[#This Row],[Pcode]]="","",OFFSET(CampList[Priority],MATCH(Table_NFI[[#This Row],[Pcode]],CampList[CP_Pcode],0)-1,0,1,1))</f>
        <v>P4</v>
      </c>
      <c r="AU256" s="293">
        <f>IFERROR(Table_NFI[[#This Row],[Kitchen Set]]/VLOOKUP(Table_NFI[[#This Row],[Camp Name]],CL,4,0),"")</f>
        <v>0</v>
      </c>
      <c r="AV256" s="466"/>
      <c r="AW256" s="469"/>
    </row>
    <row r="257" spans="1:49" s="470" customFormat="1" ht="14.45" customHeight="1" x14ac:dyDescent="0.25">
      <c r="A257" s="297">
        <f t="shared" si="3"/>
        <v>24.6</v>
      </c>
      <c r="B257" s="465">
        <v>41937</v>
      </c>
      <c r="C257" s="466" t="s">
        <v>1094</v>
      </c>
      <c r="D257" s="466" t="s">
        <v>900</v>
      </c>
      <c r="E257" s="466" t="s">
        <v>380</v>
      </c>
      <c r="F257" s="466" t="s">
        <v>527</v>
      </c>
      <c r="G257" s="466" t="s">
        <v>52</v>
      </c>
      <c r="H257" s="291"/>
      <c r="I257" s="291"/>
      <c r="J257" s="291"/>
      <c r="K257" s="291"/>
      <c r="L257" s="292"/>
      <c r="M257" s="292"/>
      <c r="N257" s="292"/>
      <c r="O257" s="292"/>
      <c r="P257" s="294"/>
      <c r="Q257" s="294"/>
      <c r="R257" s="294">
        <v>123</v>
      </c>
      <c r="S257" s="294">
        <v>104</v>
      </c>
      <c r="T257" s="294"/>
      <c r="U257" s="294"/>
      <c r="V257" s="431"/>
      <c r="W257" s="294"/>
      <c r="X257" s="294"/>
      <c r="Y257" s="294">
        <f>IF(NFI_Expiration=1,IF($A257&lt;VLOOKUP(H$5,NFI,5,0),1,0)*Table_NFI[[#This Row],[Hygiene Kit]],Table_NFI[Hygiene Kit])</f>
        <v>0</v>
      </c>
      <c r="Z257" s="294">
        <f>IF(NFI_Expiration=1,IF($A257&lt;VLOOKUP(I$5,NFI,5,0),1,0)*Table_NFI[[#This Row],[NFI Core Kit]],Table_NFI[NFI Core Kit])</f>
        <v>0</v>
      </c>
      <c r="AA257" s="294">
        <f>IF(NFI_Expiration=1,IF($A257&lt;VLOOKUP(J$5,NFI,5,0),1,0)*Table_NFI[[#This Row],[Sanitary Kit]],Table_NFI[Sanitary Kit])</f>
        <v>0</v>
      </c>
      <c r="AB257" s="294">
        <f>IF(NFI_Expiration=1,IF($A257&lt;VLOOKUP(K$5,NFI,5,0),1,0)*Table_NFI[[#This Row],[Mosquito net]],Table_NFI[Mosquito net])</f>
        <v>0</v>
      </c>
      <c r="AC257" s="294">
        <f>IF(NFI_Expiration=1,IF($A257&lt;VLOOKUP(L$5,NFI,5,0),1,0)*Table_NFI[[#This Row],[Tarpaulin]],Table_NFI[[#This Row],[Tarpaulin]])</f>
        <v>0</v>
      </c>
      <c r="AD257" s="294">
        <f>IF(NFI_Expiration=1,IF($A257&lt;VLOOKUP(M$5,NFI,5,0),1,0)*Table_NFI[[#This Row],[Blanket]],Table_NFI[[#This Row],[Blanket]])</f>
        <v>0</v>
      </c>
      <c r="AE257" s="294">
        <f>IF(NFI_Expiration=1,IF($A257&lt;VLOOKUP(N$5,NFI,5,0),1,0)*Table_NFI[[#This Row],[Kitchen Set]],Table_NFI[Kitchen Set])</f>
        <v>0</v>
      </c>
      <c r="AF257" s="294">
        <f>IF(NFI_Expiration=1,IF($A257&lt;VLOOKUP(O$5,NFI,5,0),1,0)*Table_NFI[[#This Row],[Clothes Kit]],Table_NFI[Clothes Kit])</f>
        <v>0</v>
      </c>
      <c r="AG257" s="294">
        <f>IF(NFI_Expiration=1,IF($A257&lt;VLOOKUP(P$5,NFI,5,0),1,0)*Table_NFI[[#This Row],[Plastic Bucket]],Table_NFI[Plastic Bucket])</f>
        <v>0</v>
      </c>
      <c r="AH257" s="294">
        <f>IF(NFI_Expiration=1,IF($A257&lt;VLOOKUP(Q$5,NFI,5,0),1,0)*Table_NFI[[#This Row],[Plastic Mat]],Table_NFI[Plastic Mat])*IF(Table_NFI[[#This Row],[Distribution Date]]&gt;"2014-04-01",1,2.5)</f>
        <v>0</v>
      </c>
      <c r="AI257" s="294">
        <f>IF(NFI_Expiration=1,IF($A257&lt;VLOOKUP(R$5,NFI,5,0),1,0)*Table_NFI[[#This Row],[Winter Clothes Adult]],Table_NFI[Winter Clothes Adult])</f>
        <v>0</v>
      </c>
      <c r="AJ257" s="294">
        <f>IF(NFI_Expiration=1,IF($A257&lt;VLOOKUP(S$5,NFI,5,0),1,0)*Table_NFI[[#This Row],[Winter Clothes Children]],Table_NFI[Winter Clothes Children])</f>
        <v>0</v>
      </c>
      <c r="AK257" s="294">
        <f>IF(NFI_Expiration=1,IF($A257&lt;VLOOKUP(T$5,NFI,5,0),1,0)*Table_NFI[[#This Row],[Winter Items Other]],Table_NFI[Winter Items Other])</f>
        <v>0</v>
      </c>
      <c r="AL257" s="294">
        <f>IF(NFI_Expiration=1,IF($A257&lt;VLOOKUP(M$5,NFI,5,0),1,0)*Table_NFI[[#This Row],[Winter Blanket]],Table_NFI[[#This Row],[Winter Blanket]])</f>
        <v>0</v>
      </c>
      <c r="AM257" s="294">
        <f>IF(Table_NFI[[#This Row],[Winter Clothes Adult]]+Table_NFI[[#This Row],[Winter Clothes Children]]+Table_NFI[[#This Row],[Winter Items Other]]+Table_NFI[[#This Row],[Winter Blanket]]&gt;0,1,0)</f>
        <v>1</v>
      </c>
      <c r="AN257" s="331">
        <f>IF(NFI_Expiration=1,IF($A257&lt;VLOOKUP(V$5,NFI,5,0),1,0)*Table_NFI[[#This Row],[Jerry Can]],Table_NFI[Jerry Can])</f>
        <v>0</v>
      </c>
      <c r="AO257" s="331">
        <f>IF(NFI_Expiration=1,IF($A257&lt;VLOOKUP(V$5,NFI,5,0),1,0)*Table_NFI[[#This Row],[Shelter Tool kit]],Table_NFI[Shelter Tool kit])</f>
        <v>0</v>
      </c>
      <c r="AP257" s="331">
        <f>IF(NFI_Expiration=1,IF($A257&lt;VLOOKUP(V$5,NFI,5,0),1,0)*Table_NFI[[#This Row],[Tent]],Table_NFI[Tent])</f>
        <v>0</v>
      </c>
      <c r="AQ257" s="473" t="str">
        <f>IFERROR(VLOOKUP(Table_NFI[[#This Row],[Camp Name]],CL,2,0),"")</f>
        <v>MMR001CMP169</v>
      </c>
      <c r="AR257" s="468">
        <f ca="1">IF(Table_NFI[[#This Row],[Pcode]]="","",IF(OFFSET(CampList[Opening Date],MATCH(Table_NFI[[#This Row],[Pcode]],CampList[CP_Pcode],0)-1,0,1,1)&gt;=NFI_Monitor_Date,1,0))</f>
        <v>0</v>
      </c>
      <c r="AS257" s="473" t="str">
        <f>IFERROR(VLOOKUP(Table_NFI[[#This Row],[Camp Name]],CL,3,0),"")</f>
        <v>Open</v>
      </c>
      <c r="AT257" s="294" t="str">
        <f ca="1">IF(Table_NFI[[#This Row],[Pcode]]="","",OFFSET(CampList[Priority],MATCH(Table_NFI[[#This Row],[Pcode]],CampList[CP_Pcode],0)-1,0,1,1))</f>
        <v>P4</v>
      </c>
      <c r="AU257" s="293">
        <f>IFERROR(Table_NFI[[#This Row],[Kitchen Set]]/VLOOKUP(Table_NFI[[#This Row],[Camp Name]],CL,4,0),"")</f>
        <v>0</v>
      </c>
      <c r="AV257" s="466"/>
      <c r="AW257" s="469"/>
    </row>
    <row r="258" spans="1:49" s="470" customFormat="1" ht="14.45" customHeight="1" x14ac:dyDescent="0.25">
      <c r="A258" s="297">
        <f t="shared" si="3"/>
        <v>24.6</v>
      </c>
      <c r="B258" s="465">
        <v>41937</v>
      </c>
      <c r="C258" s="466" t="s">
        <v>1094</v>
      </c>
      <c r="D258" s="466" t="s">
        <v>900</v>
      </c>
      <c r="E258" s="466" t="s">
        <v>380</v>
      </c>
      <c r="F258" s="466" t="s">
        <v>527</v>
      </c>
      <c r="G258" s="466" t="s">
        <v>58</v>
      </c>
      <c r="H258" s="291"/>
      <c r="I258" s="291"/>
      <c r="J258" s="291"/>
      <c r="K258" s="291"/>
      <c r="L258" s="292"/>
      <c r="M258" s="292"/>
      <c r="N258" s="292"/>
      <c r="O258" s="292"/>
      <c r="P258" s="294"/>
      <c r="Q258" s="294"/>
      <c r="R258" s="294">
        <v>48</v>
      </c>
      <c r="S258" s="294">
        <v>30</v>
      </c>
      <c r="T258" s="294"/>
      <c r="U258" s="294"/>
      <c r="V258" s="431"/>
      <c r="W258" s="294"/>
      <c r="X258" s="294"/>
      <c r="Y258" s="294">
        <f>IF(NFI_Expiration=1,IF($A258&lt;VLOOKUP(H$5,NFI,5,0),1,0)*Table_NFI[[#This Row],[Hygiene Kit]],Table_NFI[Hygiene Kit])</f>
        <v>0</v>
      </c>
      <c r="Z258" s="294">
        <f>IF(NFI_Expiration=1,IF($A258&lt;VLOOKUP(I$5,NFI,5,0),1,0)*Table_NFI[[#This Row],[NFI Core Kit]],Table_NFI[NFI Core Kit])</f>
        <v>0</v>
      </c>
      <c r="AA258" s="294">
        <f>IF(NFI_Expiration=1,IF($A258&lt;VLOOKUP(J$5,NFI,5,0),1,0)*Table_NFI[[#This Row],[Sanitary Kit]],Table_NFI[Sanitary Kit])</f>
        <v>0</v>
      </c>
      <c r="AB258" s="294">
        <f>IF(NFI_Expiration=1,IF($A258&lt;VLOOKUP(K$5,NFI,5,0),1,0)*Table_NFI[[#This Row],[Mosquito net]],Table_NFI[Mosquito net])</f>
        <v>0</v>
      </c>
      <c r="AC258" s="294">
        <f>IF(NFI_Expiration=1,IF($A258&lt;VLOOKUP(L$5,NFI,5,0),1,0)*Table_NFI[[#This Row],[Tarpaulin]],Table_NFI[[#This Row],[Tarpaulin]])</f>
        <v>0</v>
      </c>
      <c r="AD258" s="294">
        <f>IF(NFI_Expiration=1,IF($A258&lt;VLOOKUP(M$5,NFI,5,0),1,0)*Table_NFI[[#This Row],[Blanket]],Table_NFI[[#This Row],[Blanket]])</f>
        <v>0</v>
      </c>
      <c r="AE258" s="294">
        <f>IF(NFI_Expiration=1,IF($A258&lt;VLOOKUP(N$5,NFI,5,0),1,0)*Table_NFI[[#This Row],[Kitchen Set]],Table_NFI[Kitchen Set])</f>
        <v>0</v>
      </c>
      <c r="AF258" s="294">
        <f>IF(NFI_Expiration=1,IF($A258&lt;VLOOKUP(O$5,NFI,5,0),1,0)*Table_NFI[[#This Row],[Clothes Kit]],Table_NFI[Clothes Kit])</f>
        <v>0</v>
      </c>
      <c r="AG258" s="294">
        <f>IF(NFI_Expiration=1,IF($A258&lt;VLOOKUP(P$5,NFI,5,0),1,0)*Table_NFI[[#This Row],[Plastic Bucket]],Table_NFI[Plastic Bucket])</f>
        <v>0</v>
      </c>
      <c r="AH258" s="294">
        <f>IF(NFI_Expiration=1,IF($A258&lt;VLOOKUP(Q$5,NFI,5,0),1,0)*Table_NFI[[#This Row],[Plastic Mat]],Table_NFI[Plastic Mat])*IF(Table_NFI[[#This Row],[Distribution Date]]&gt;"2014-04-01",1,2.5)</f>
        <v>0</v>
      </c>
      <c r="AI258" s="294">
        <f>IF(NFI_Expiration=1,IF($A258&lt;VLOOKUP(R$5,NFI,5,0),1,0)*Table_NFI[[#This Row],[Winter Clothes Adult]],Table_NFI[Winter Clothes Adult])</f>
        <v>0</v>
      </c>
      <c r="AJ258" s="294">
        <f>IF(NFI_Expiration=1,IF($A258&lt;VLOOKUP(S$5,NFI,5,0),1,0)*Table_NFI[[#This Row],[Winter Clothes Children]],Table_NFI[Winter Clothes Children])</f>
        <v>0</v>
      </c>
      <c r="AK258" s="294">
        <f>IF(NFI_Expiration=1,IF($A258&lt;VLOOKUP(T$5,NFI,5,0),1,0)*Table_NFI[[#This Row],[Winter Items Other]],Table_NFI[Winter Items Other])</f>
        <v>0</v>
      </c>
      <c r="AL258" s="294">
        <f>IF(NFI_Expiration=1,IF($A258&lt;VLOOKUP(M$5,NFI,5,0),1,0)*Table_NFI[[#This Row],[Winter Blanket]],Table_NFI[[#This Row],[Winter Blanket]])</f>
        <v>0</v>
      </c>
      <c r="AM258" s="294">
        <f>IF(Table_NFI[[#This Row],[Winter Clothes Adult]]+Table_NFI[[#This Row],[Winter Clothes Children]]+Table_NFI[[#This Row],[Winter Items Other]]+Table_NFI[[#This Row],[Winter Blanket]]&gt;0,1,0)</f>
        <v>1</v>
      </c>
      <c r="AN258" s="331">
        <f>IF(NFI_Expiration=1,IF($A258&lt;VLOOKUP(V$5,NFI,5,0),1,0)*Table_NFI[[#This Row],[Jerry Can]],Table_NFI[Jerry Can])</f>
        <v>0</v>
      </c>
      <c r="AO258" s="331">
        <f>IF(NFI_Expiration=1,IF($A258&lt;VLOOKUP(V$5,NFI,5,0),1,0)*Table_NFI[[#This Row],[Shelter Tool kit]],Table_NFI[Shelter Tool kit])</f>
        <v>0</v>
      </c>
      <c r="AP258" s="331">
        <f>IF(NFI_Expiration=1,IF($A258&lt;VLOOKUP(V$5,NFI,5,0),1,0)*Table_NFI[[#This Row],[Tent]],Table_NFI[Tent])</f>
        <v>0</v>
      </c>
      <c r="AQ258" s="473" t="str">
        <f>IFERROR(VLOOKUP(Table_NFI[[#This Row],[Camp Name]],CL,2,0),"")</f>
        <v>MMR001CMP188</v>
      </c>
      <c r="AR258" s="468">
        <f ca="1">IF(Table_NFI[[#This Row],[Pcode]]="","",IF(OFFSET(CampList[Opening Date],MATCH(Table_NFI[[#This Row],[Pcode]],CampList[CP_Pcode],0)-1,0,1,1)&gt;=NFI_Monitor_Date,1,0))</f>
        <v>0</v>
      </c>
      <c r="AS258" s="473" t="str">
        <f>IFERROR(VLOOKUP(Table_NFI[[#This Row],[Camp Name]],CL,3,0),"")</f>
        <v>Closed</v>
      </c>
      <c r="AT258" s="294" t="str">
        <f ca="1">IF(Table_NFI[[#This Row],[Pcode]]="","",OFFSET(CampList[Priority],MATCH(Table_NFI[[#This Row],[Pcode]],CampList[CP_Pcode],0)-1,0,1,1))</f>
        <v>P4</v>
      </c>
      <c r="AU258" s="293" t="str">
        <f>IFERROR(Table_NFI[[#This Row],[Kitchen Set]]/VLOOKUP(Table_NFI[[#This Row],[Camp Name]],CL,4,0),"")</f>
        <v/>
      </c>
      <c r="AV258" s="466"/>
      <c r="AW258" s="469"/>
    </row>
    <row r="259" spans="1:49" s="470" customFormat="1" ht="14.45" customHeight="1" x14ac:dyDescent="0.25">
      <c r="A259" s="297">
        <f t="shared" si="3"/>
        <v>24.6</v>
      </c>
      <c r="B259" s="465">
        <v>41937</v>
      </c>
      <c r="C259" s="466" t="s">
        <v>1094</v>
      </c>
      <c r="D259" s="466" t="s">
        <v>900</v>
      </c>
      <c r="E259" s="466" t="s">
        <v>380</v>
      </c>
      <c r="F259" s="466" t="s">
        <v>527</v>
      </c>
      <c r="G259" s="466" t="s">
        <v>72</v>
      </c>
      <c r="H259" s="291"/>
      <c r="I259" s="291"/>
      <c r="J259" s="291"/>
      <c r="K259" s="291"/>
      <c r="L259" s="292"/>
      <c r="M259" s="292"/>
      <c r="N259" s="292"/>
      <c r="O259" s="292"/>
      <c r="P259" s="294"/>
      <c r="Q259" s="294"/>
      <c r="R259" s="294">
        <v>15</v>
      </c>
      <c r="S259" s="294">
        <v>10</v>
      </c>
      <c r="T259" s="294"/>
      <c r="U259" s="294"/>
      <c r="V259" s="431"/>
      <c r="W259" s="294"/>
      <c r="X259" s="294"/>
      <c r="Y259" s="294">
        <f>IF(NFI_Expiration=1,IF($A259&lt;VLOOKUP(H$5,NFI,5,0),1,0)*Table_NFI[[#This Row],[Hygiene Kit]],Table_NFI[Hygiene Kit])</f>
        <v>0</v>
      </c>
      <c r="Z259" s="294">
        <f>IF(NFI_Expiration=1,IF($A259&lt;VLOOKUP(I$5,NFI,5,0),1,0)*Table_NFI[[#This Row],[NFI Core Kit]],Table_NFI[NFI Core Kit])</f>
        <v>0</v>
      </c>
      <c r="AA259" s="294">
        <f>IF(NFI_Expiration=1,IF($A259&lt;VLOOKUP(J$5,NFI,5,0),1,0)*Table_NFI[[#This Row],[Sanitary Kit]],Table_NFI[Sanitary Kit])</f>
        <v>0</v>
      </c>
      <c r="AB259" s="294">
        <f>IF(NFI_Expiration=1,IF($A259&lt;VLOOKUP(K$5,NFI,5,0),1,0)*Table_NFI[[#This Row],[Mosquito net]],Table_NFI[Mosquito net])</f>
        <v>0</v>
      </c>
      <c r="AC259" s="294">
        <f>IF(NFI_Expiration=1,IF($A259&lt;VLOOKUP(L$5,NFI,5,0),1,0)*Table_NFI[[#This Row],[Tarpaulin]],Table_NFI[[#This Row],[Tarpaulin]])</f>
        <v>0</v>
      </c>
      <c r="AD259" s="294">
        <f>IF(NFI_Expiration=1,IF($A259&lt;VLOOKUP(M$5,NFI,5,0),1,0)*Table_NFI[[#This Row],[Blanket]],Table_NFI[[#This Row],[Blanket]])</f>
        <v>0</v>
      </c>
      <c r="AE259" s="294">
        <f>IF(NFI_Expiration=1,IF($A259&lt;VLOOKUP(N$5,NFI,5,0),1,0)*Table_NFI[[#This Row],[Kitchen Set]],Table_NFI[Kitchen Set])</f>
        <v>0</v>
      </c>
      <c r="AF259" s="294">
        <f>IF(NFI_Expiration=1,IF($A259&lt;VLOOKUP(O$5,NFI,5,0),1,0)*Table_NFI[[#This Row],[Clothes Kit]],Table_NFI[Clothes Kit])</f>
        <v>0</v>
      </c>
      <c r="AG259" s="294">
        <f>IF(NFI_Expiration=1,IF($A259&lt;VLOOKUP(P$5,NFI,5,0),1,0)*Table_NFI[[#This Row],[Plastic Bucket]],Table_NFI[Plastic Bucket])</f>
        <v>0</v>
      </c>
      <c r="AH259" s="294">
        <f>IF(NFI_Expiration=1,IF($A259&lt;VLOOKUP(Q$5,NFI,5,0),1,0)*Table_NFI[[#This Row],[Plastic Mat]],Table_NFI[Plastic Mat])*IF(Table_NFI[[#This Row],[Distribution Date]]&gt;"2014-04-01",1,2.5)</f>
        <v>0</v>
      </c>
      <c r="AI259" s="294">
        <f>IF(NFI_Expiration=1,IF($A259&lt;VLOOKUP(R$5,NFI,5,0),1,0)*Table_NFI[[#This Row],[Winter Clothes Adult]],Table_NFI[Winter Clothes Adult])</f>
        <v>0</v>
      </c>
      <c r="AJ259" s="294">
        <f>IF(NFI_Expiration=1,IF($A259&lt;VLOOKUP(S$5,NFI,5,0),1,0)*Table_NFI[[#This Row],[Winter Clothes Children]],Table_NFI[Winter Clothes Children])</f>
        <v>0</v>
      </c>
      <c r="AK259" s="294">
        <f>IF(NFI_Expiration=1,IF($A259&lt;VLOOKUP(T$5,NFI,5,0),1,0)*Table_NFI[[#This Row],[Winter Items Other]],Table_NFI[Winter Items Other])</f>
        <v>0</v>
      </c>
      <c r="AL259" s="294">
        <f>IF(NFI_Expiration=1,IF($A259&lt;VLOOKUP(M$5,NFI,5,0),1,0)*Table_NFI[[#This Row],[Winter Blanket]],Table_NFI[[#This Row],[Winter Blanket]])</f>
        <v>0</v>
      </c>
      <c r="AM259" s="294">
        <f>IF(Table_NFI[[#This Row],[Winter Clothes Adult]]+Table_NFI[[#This Row],[Winter Clothes Children]]+Table_NFI[[#This Row],[Winter Items Other]]+Table_NFI[[#This Row],[Winter Blanket]]&gt;0,1,0)</f>
        <v>1</v>
      </c>
      <c r="AN259" s="331">
        <f>IF(NFI_Expiration=1,IF($A259&lt;VLOOKUP(V$5,NFI,5,0),1,0)*Table_NFI[[#This Row],[Jerry Can]],Table_NFI[Jerry Can])</f>
        <v>0</v>
      </c>
      <c r="AO259" s="331">
        <f>IF(NFI_Expiration=1,IF($A259&lt;VLOOKUP(V$5,NFI,5,0),1,0)*Table_NFI[[#This Row],[Shelter Tool kit]],Table_NFI[Shelter Tool kit])</f>
        <v>0</v>
      </c>
      <c r="AP259" s="331">
        <f>IF(NFI_Expiration=1,IF($A259&lt;VLOOKUP(V$5,NFI,5,0),1,0)*Table_NFI[[#This Row],[Tent]],Table_NFI[Tent])</f>
        <v>0</v>
      </c>
      <c r="AQ259" s="473" t="str">
        <f>IFERROR(VLOOKUP(Table_NFI[[#This Row],[Camp Name]],CL,2,0),"")</f>
        <v>MMR001CMP109</v>
      </c>
      <c r="AR259" s="468">
        <f ca="1">IF(Table_NFI[[#This Row],[Pcode]]="","",IF(OFFSET(CampList[Opening Date],MATCH(Table_NFI[[#This Row],[Pcode]],CampList[CP_Pcode],0)-1,0,1,1)&gt;=NFI_Monitor_Date,1,0))</f>
        <v>0</v>
      </c>
      <c r="AS259" s="473" t="str">
        <f>IFERROR(VLOOKUP(Table_NFI[[#This Row],[Camp Name]],CL,3,0),"")</f>
        <v>Open</v>
      </c>
      <c r="AT259" s="294" t="str">
        <f ca="1">IF(Table_NFI[[#This Row],[Pcode]]="","",OFFSET(CampList[Priority],MATCH(Table_NFI[[#This Row],[Pcode]],CampList[CP_Pcode],0)-1,0,1,1))</f>
        <v>P4</v>
      </c>
      <c r="AU259" s="293">
        <f>IFERROR(Table_NFI[[#This Row],[Kitchen Set]]/VLOOKUP(Table_NFI[[#This Row],[Camp Name]],CL,4,0),"")</f>
        <v>0</v>
      </c>
      <c r="AV259" s="466"/>
      <c r="AW259" s="469"/>
    </row>
    <row r="260" spans="1:49" s="470" customFormat="1" ht="41.45" customHeight="1" x14ac:dyDescent="0.25">
      <c r="A260" s="297">
        <f t="shared" si="3"/>
        <v>24.6</v>
      </c>
      <c r="B260" s="465">
        <v>41937</v>
      </c>
      <c r="C260" s="466" t="s">
        <v>1094</v>
      </c>
      <c r="D260" s="466" t="s">
        <v>900</v>
      </c>
      <c r="E260" s="466" t="s">
        <v>380</v>
      </c>
      <c r="F260" s="466" t="s">
        <v>527</v>
      </c>
      <c r="G260" s="466" t="s">
        <v>76</v>
      </c>
      <c r="H260" s="291"/>
      <c r="I260" s="291"/>
      <c r="J260" s="291"/>
      <c r="K260" s="291"/>
      <c r="L260" s="292"/>
      <c r="M260" s="292"/>
      <c r="N260" s="292"/>
      <c r="O260" s="292"/>
      <c r="P260" s="294"/>
      <c r="Q260" s="294"/>
      <c r="R260" s="294">
        <v>214</v>
      </c>
      <c r="S260" s="294">
        <v>112</v>
      </c>
      <c r="T260" s="294"/>
      <c r="U260" s="294"/>
      <c r="V260" s="431"/>
      <c r="W260" s="294"/>
      <c r="X260" s="294"/>
      <c r="Y260" s="294">
        <f>IF(NFI_Expiration=1,IF($A260&lt;VLOOKUP(H$5,NFI,5,0),1,0)*Table_NFI[[#This Row],[Hygiene Kit]],Table_NFI[Hygiene Kit])</f>
        <v>0</v>
      </c>
      <c r="Z260" s="294">
        <f>IF(NFI_Expiration=1,IF($A260&lt;VLOOKUP(I$5,NFI,5,0),1,0)*Table_NFI[[#This Row],[NFI Core Kit]],Table_NFI[NFI Core Kit])</f>
        <v>0</v>
      </c>
      <c r="AA260" s="294">
        <f>IF(NFI_Expiration=1,IF($A260&lt;VLOOKUP(J$5,NFI,5,0),1,0)*Table_NFI[[#This Row],[Sanitary Kit]],Table_NFI[Sanitary Kit])</f>
        <v>0</v>
      </c>
      <c r="AB260" s="294">
        <f>IF(NFI_Expiration=1,IF($A260&lt;VLOOKUP(K$5,NFI,5,0),1,0)*Table_NFI[[#This Row],[Mosquito net]],Table_NFI[Mosquito net])</f>
        <v>0</v>
      </c>
      <c r="AC260" s="294">
        <f>IF(NFI_Expiration=1,IF($A260&lt;VLOOKUP(L$5,NFI,5,0),1,0)*Table_NFI[[#This Row],[Tarpaulin]],Table_NFI[[#This Row],[Tarpaulin]])</f>
        <v>0</v>
      </c>
      <c r="AD260" s="294">
        <f>IF(NFI_Expiration=1,IF($A260&lt;VLOOKUP(M$5,NFI,5,0),1,0)*Table_NFI[[#This Row],[Blanket]],Table_NFI[[#This Row],[Blanket]])</f>
        <v>0</v>
      </c>
      <c r="AE260" s="294">
        <f>IF(NFI_Expiration=1,IF($A260&lt;VLOOKUP(N$5,NFI,5,0),1,0)*Table_NFI[[#This Row],[Kitchen Set]],Table_NFI[Kitchen Set])</f>
        <v>0</v>
      </c>
      <c r="AF260" s="294">
        <f>IF(NFI_Expiration=1,IF($A260&lt;VLOOKUP(O$5,NFI,5,0),1,0)*Table_NFI[[#This Row],[Clothes Kit]],Table_NFI[Clothes Kit])</f>
        <v>0</v>
      </c>
      <c r="AG260" s="294">
        <f>IF(NFI_Expiration=1,IF($A260&lt;VLOOKUP(P$5,NFI,5,0),1,0)*Table_NFI[[#This Row],[Plastic Bucket]],Table_NFI[Plastic Bucket])</f>
        <v>0</v>
      </c>
      <c r="AH260" s="294">
        <f>IF(NFI_Expiration=1,IF($A260&lt;VLOOKUP(Q$5,NFI,5,0),1,0)*Table_NFI[[#This Row],[Plastic Mat]],Table_NFI[Plastic Mat])*IF(Table_NFI[[#This Row],[Distribution Date]]&gt;"2014-04-01",1,2.5)</f>
        <v>0</v>
      </c>
      <c r="AI260" s="294">
        <f>IF(NFI_Expiration=1,IF($A260&lt;VLOOKUP(R$5,NFI,5,0),1,0)*Table_NFI[[#This Row],[Winter Clothes Adult]],Table_NFI[Winter Clothes Adult])</f>
        <v>0</v>
      </c>
      <c r="AJ260" s="294">
        <f>IF(NFI_Expiration=1,IF($A260&lt;VLOOKUP(S$5,NFI,5,0),1,0)*Table_NFI[[#This Row],[Winter Clothes Children]],Table_NFI[Winter Clothes Children])</f>
        <v>0</v>
      </c>
      <c r="AK260" s="294">
        <f>IF(NFI_Expiration=1,IF($A260&lt;VLOOKUP(T$5,NFI,5,0),1,0)*Table_NFI[[#This Row],[Winter Items Other]],Table_NFI[Winter Items Other])</f>
        <v>0</v>
      </c>
      <c r="AL260" s="294">
        <f>IF(NFI_Expiration=1,IF($A260&lt;VLOOKUP(M$5,NFI,5,0),1,0)*Table_NFI[[#This Row],[Winter Blanket]],Table_NFI[[#This Row],[Winter Blanket]])</f>
        <v>0</v>
      </c>
      <c r="AM260" s="294">
        <f>IF(Table_NFI[[#This Row],[Winter Clothes Adult]]+Table_NFI[[#This Row],[Winter Clothes Children]]+Table_NFI[[#This Row],[Winter Items Other]]+Table_NFI[[#This Row],[Winter Blanket]]&gt;0,1,0)</f>
        <v>1</v>
      </c>
      <c r="AN260" s="331">
        <f>IF(NFI_Expiration=1,IF($A260&lt;VLOOKUP(V$5,NFI,5,0),1,0)*Table_NFI[[#This Row],[Jerry Can]],Table_NFI[Jerry Can])</f>
        <v>0</v>
      </c>
      <c r="AO260" s="331">
        <f>IF(NFI_Expiration=1,IF($A260&lt;VLOOKUP(V$5,NFI,5,0),1,0)*Table_NFI[[#This Row],[Shelter Tool kit]],Table_NFI[Shelter Tool kit])</f>
        <v>0</v>
      </c>
      <c r="AP260" s="331">
        <f>IF(NFI_Expiration=1,IF($A260&lt;VLOOKUP(V$5,NFI,5,0),1,0)*Table_NFI[[#This Row],[Tent]],Table_NFI[Tent])</f>
        <v>0</v>
      </c>
      <c r="AQ260" s="473" t="str">
        <f>IFERROR(VLOOKUP(Table_NFI[[#This Row],[Camp Name]],CL,2,0),"")</f>
        <v>MMR001CMP174</v>
      </c>
      <c r="AR260" s="468">
        <f ca="1">IF(Table_NFI[[#This Row],[Pcode]]="","",IF(OFFSET(CampList[Opening Date],MATCH(Table_NFI[[#This Row],[Pcode]],CampList[CP_Pcode],0)-1,0,1,1)&gt;=NFI_Monitor_Date,1,0))</f>
        <v>0</v>
      </c>
      <c r="AS260" s="473" t="str">
        <f>IFERROR(VLOOKUP(Table_NFI[[#This Row],[Camp Name]],CL,3,0),"")</f>
        <v>Open</v>
      </c>
      <c r="AT260" s="294" t="str">
        <f ca="1">IF(Table_NFI[[#This Row],[Pcode]]="","",OFFSET(CampList[Priority],MATCH(Table_NFI[[#This Row],[Pcode]],CampList[CP_Pcode],0)-1,0,1,1))</f>
        <v>P4</v>
      </c>
      <c r="AU260" s="293">
        <f>IFERROR(Table_NFI[[#This Row],[Kitchen Set]]/VLOOKUP(Table_NFI[[#This Row],[Camp Name]],CL,4,0),"")</f>
        <v>0</v>
      </c>
      <c r="AV260" s="466"/>
      <c r="AW260" s="469"/>
    </row>
    <row r="261" spans="1:49" s="470" customFormat="1" ht="14.45" customHeight="1" x14ac:dyDescent="0.25">
      <c r="A261" s="297">
        <f t="shared" si="3"/>
        <v>24.6</v>
      </c>
      <c r="B261" s="465">
        <v>41937</v>
      </c>
      <c r="C261" s="466" t="s">
        <v>1094</v>
      </c>
      <c r="D261" s="466" t="s">
        <v>900</v>
      </c>
      <c r="E261" s="466" t="s">
        <v>380</v>
      </c>
      <c r="F261" s="466" t="s">
        <v>527</v>
      </c>
      <c r="G261" s="466" t="s">
        <v>88</v>
      </c>
      <c r="H261" s="291"/>
      <c r="I261" s="291"/>
      <c r="J261" s="291"/>
      <c r="K261" s="291"/>
      <c r="L261" s="292"/>
      <c r="M261" s="292"/>
      <c r="N261" s="292"/>
      <c r="O261" s="292"/>
      <c r="P261" s="294"/>
      <c r="Q261" s="294"/>
      <c r="R261" s="294">
        <v>37</v>
      </c>
      <c r="S261" s="294">
        <v>24</v>
      </c>
      <c r="T261" s="294"/>
      <c r="U261" s="294"/>
      <c r="V261" s="431"/>
      <c r="W261" s="294"/>
      <c r="X261" s="294"/>
      <c r="Y261" s="294">
        <f>IF(NFI_Expiration=1,IF($A261&lt;VLOOKUP(H$5,NFI,5,0),1,0)*Table_NFI[[#This Row],[Hygiene Kit]],Table_NFI[Hygiene Kit])</f>
        <v>0</v>
      </c>
      <c r="Z261" s="294">
        <f>IF(NFI_Expiration=1,IF($A261&lt;VLOOKUP(I$5,NFI,5,0),1,0)*Table_NFI[[#This Row],[NFI Core Kit]],Table_NFI[NFI Core Kit])</f>
        <v>0</v>
      </c>
      <c r="AA261" s="294">
        <f>IF(NFI_Expiration=1,IF($A261&lt;VLOOKUP(J$5,NFI,5,0),1,0)*Table_NFI[[#This Row],[Sanitary Kit]],Table_NFI[Sanitary Kit])</f>
        <v>0</v>
      </c>
      <c r="AB261" s="294">
        <f>IF(NFI_Expiration=1,IF($A261&lt;VLOOKUP(K$5,NFI,5,0),1,0)*Table_NFI[[#This Row],[Mosquito net]],Table_NFI[Mosquito net])</f>
        <v>0</v>
      </c>
      <c r="AC261" s="294">
        <f>IF(NFI_Expiration=1,IF($A261&lt;VLOOKUP(L$5,NFI,5,0),1,0)*Table_NFI[[#This Row],[Tarpaulin]],Table_NFI[[#This Row],[Tarpaulin]])</f>
        <v>0</v>
      </c>
      <c r="AD261" s="294">
        <f>IF(NFI_Expiration=1,IF($A261&lt;VLOOKUP(M$5,NFI,5,0),1,0)*Table_NFI[[#This Row],[Blanket]],Table_NFI[[#This Row],[Blanket]])</f>
        <v>0</v>
      </c>
      <c r="AE261" s="294">
        <f>IF(NFI_Expiration=1,IF($A261&lt;VLOOKUP(N$5,NFI,5,0),1,0)*Table_NFI[[#This Row],[Kitchen Set]],Table_NFI[Kitchen Set])</f>
        <v>0</v>
      </c>
      <c r="AF261" s="294">
        <f>IF(NFI_Expiration=1,IF($A261&lt;VLOOKUP(O$5,NFI,5,0),1,0)*Table_NFI[[#This Row],[Clothes Kit]],Table_NFI[Clothes Kit])</f>
        <v>0</v>
      </c>
      <c r="AG261" s="294">
        <f>IF(NFI_Expiration=1,IF($A261&lt;VLOOKUP(P$5,NFI,5,0),1,0)*Table_NFI[[#This Row],[Plastic Bucket]],Table_NFI[Plastic Bucket])</f>
        <v>0</v>
      </c>
      <c r="AH261" s="294">
        <f>IF(NFI_Expiration=1,IF($A261&lt;VLOOKUP(Q$5,NFI,5,0),1,0)*Table_NFI[[#This Row],[Plastic Mat]],Table_NFI[Plastic Mat])*IF(Table_NFI[[#This Row],[Distribution Date]]&gt;"2014-04-01",1,2.5)</f>
        <v>0</v>
      </c>
      <c r="AI261" s="294">
        <f>IF(NFI_Expiration=1,IF($A261&lt;VLOOKUP(R$5,NFI,5,0),1,0)*Table_NFI[[#This Row],[Winter Clothes Adult]],Table_NFI[Winter Clothes Adult])</f>
        <v>0</v>
      </c>
      <c r="AJ261" s="294">
        <f>IF(NFI_Expiration=1,IF($A261&lt;VLOOKUP(S$5,NFI,5,0),1,0)*Table_NFI[[#This Row],[Winter Clothes Children]],Table_NFI[Winter Clothes Children])</f>
        <v>0</v>
      </c>
      <c r="AK261" s="294">
        <f>IF(NFI_Expiration=1,IF($A261&lt;VLOOKUP(T$5,NFI,5,0),1,0)*Table_NFI[[#This Row],[Winter Items Other]],Table_NFI[Winter Items Other])</f>
        <v>0</v>
      </c>
      <c r="AL261" s="294">
        <f>IF(NFI_Expiration=1,IF($A261&lt;VLOOKUP(M$5,NFI,5,0),1,0)*Table_NFI[[#This Row],[Winter Blanket]],Table_NFI[[#This Row],[Winter Blanket]])</f>
        <v>0</v>
      </c>
      <c r="AM261" s="294">
        <f>IF(Table_NFI[[#This Row],[Winter Clothes Adult]]+Table_NFI[[#This Row],[Winter Clothes Children]]+Table_NFI[[#This Row],[Winter Items Other]]+Table_NFI[[#This Row],[Winter Blanket]]&gt;0,1,0)</f>
        <v>1</v>
      </c>
      <c r="AN261" s="331">
        <f>IF(NFI_Expiration=1,IF($A261&lt;VLOOKUP(V$5,NFI,5,0),1,0)*Table_NFI[[#This Row],[Jerry Can]],Table_NFI[Jerry Can])</f>
        <v>0</v>
      </c>
      <c r="AO261" s="331">
        <f>IF(NFI_Expiration=1,IF($A261&lt;VLOOKUP(V$5,NFI,5,0),1,0)*Table_NFI[[#This Row],[Shelter Tool kit]],Table_NFI[Shelter Tool kit])</f>
        <v>0</v>
      </c>
      <c r="AP261" s="331">
        <f>IF(NFI_Expiration=1,IF($A261&lt;VLOOKUP(V$5,NFI,5,0),1,0)*Table_NFI[[#This Row],[Tent]],Table_NFI[Tent])</f>
        <v>0</v>
      </c>
      <c r="AQ261" s="473" t="str">
        <f>IFERROR(VLOOKUP(Table_NFI[[#This Row],[Camp Name]],CL,2,0),"")</f>
        <v>MMR001CMP148</v>
      </c>
      <c r="AR261" s="468">
        <f ca="1">IF(Table_NFI[[#This Row],[Pcode]]="","",IF(OFFSET(CampList[Opening Date],MATCH(Table_NFI[[#This Row],[Pcode]],CampList[CP_Pcode],0)-1,0,1,1)&gt;=NFI_Monitor_Date,1,0))</f>
        <v>0</v>
      </c>
      <c r="AS261" s="473" t="str">
        <f>IFERROR(VLOOKUP(Table_NFI[[#This Row],[Camp Name]],CL,3,0),"")</f>
        <v>Open</v>
      </c>
      <c r="AT261" s="294" t="str">
        <f ca="1">IF(Table_NFI[[#This Row],[Pcode]]="","",OFFSET(CampList[Priority],MATCH(Table_NFI[[#This Row],[Pcode]],CampList[CP_Pcode],0)-1,0,1,1))</f>
        <v>P4</v>
      </c>
      <c r="AU261" s="293">
        <f>IFERROR(Table_NFI[[#This Row],[Kitchen Set]]/VLOOKUP(Table_NFI[[#This Row],[Camp Name]],CL,4,0),"")</f>
        <v>0</v>
      </c>
      <c r="AV261" s="466"/>
      <c r="AW261" s="469"/>
    </row>
    <row r="262" spans="1:49" s="470" customFormat="1" ht="14.45" customHeight="1" x14ac:dyDescent="0.25">
      <c r="A262" s="297">
        <f t="shared" ref="A262:A325" si="4">IF(ISBLANK(B262),"",(Report_Date-B262)/30)</f>
        <v>24.6</v>
      </c>
      <c r="B262" s="465">
        <v>41937</v>
      </c>
      <c r="C262" s="466" t="s">
        <v>1094</v>
      </c>
      <c r="D262" s="466" t="s">
        <v>900</v>
      </c>
      <c r="E262" s="466" t="s">
        <v>380</v>
      </c>
      <c r="F262" s="466" t="s">
        <v>527</v>
      </c>
      <c r="G262" s="466" t="s">
        <v>44</v>
      </c>
      <c r="H262" s="291"/>
      <c r="I262" s="291"/>
      <c r="J262" s="291"/>
      <c r="K262" s="291"/>
      <c r="L262" s="292"/>
      <c r="M262" s="292"/>
      <c r="N262" s="292"/>
      <c r="O262" s="292"/>
      <c r="P262" s="294"/>
      <c r="Q262" s="294"/>
      <c r="R262" s="294">
        <v>33</v>
      </c>
      <c r="S262" s="294">
        <v>24</v>
      </c>
      <c r="T262" s="294"/>
      <c r="U262" s="294"/>
      <c r="V262" s="431"/>
      <c r="W262" s="294"/>
      <c r="X262" s="294"/>
      <c r="Y262" s="294">
        <f>IF(NFI_Expiration=1,IF($A262&lt;VLOOKUP(H$5,NFI,5,0),1,0)*Table_NFI[[#This Row],[Hygiene Kit]],Table_NFI[Hygiene Kit])</f>
        <v>0</v>
      </c>
      <c r="Z262" s="294">
        <f>IF(NFI_Expiration=1,IF($A262&lt;VLOOKUP(I$5,NFI,5,0),1,0)*Table_NFI[[#This Row],[NFI Core Kit]],Table_NFI[NFI Core Kit])</f>
        <v>0</v>
      </c>
      <c r="AA262" s="294">
        <f>IF(NFI_Expiration=1,IF($A262&lt;VLOOKUP(J$5,NFI,5,0),1,0)*Table_NFI[[#This Row],[Sanitary Kit]],Table_NFI[Sanitary Kit])</f>
        <v>0</v>
      </c>
      <c r="AB262" s="294">
        <f>IF(NFI_Expiration=1,IF($A262&lt;VLOOKUP(K$5,NFI,5,0),1,0)*Table_NFI[[#This Row],[Mosquito net]],Table_NFI[Mosquito net])</f>
        <v>0</v>
      </c>
      <c r="AC262" s="294">
        <f>IF(NFI_Expiration=1,IF($A262&lt;VLOOKUP(L$5,NFI,5,0),1,0)*Table_NFI[[#This Row],[Tarpaulin]],Table_NFI[[#This Row],[Tarpaulin]])</f>
        <v>0</v>
      </c>
      <c r="AD262" s="294">
        <f>IF(NFI_Expiration=1,IF($A262&lt;VLOOKUP(M$5,NFI,5,0),1,0)*Table_NFI[[#This Row],[Blanket]],Table_NFI[[#This Row],[Blanket]])</f>
        <v>0</v>
      </c>
      <c r="AE262" s="294">
        <f>IF(NFI_Expiration=1,IF($A262&lt;VLOOKUP(N$5,NFI,5,0),1,0)*Table_NFI[[#This Row],[Kitchen Set]],Table_NFI[Kitchen Set])</f>
        <v>0</v>
      </c>
      <c r="AF262" s="294">
        <f>IF(NFI_Expiration=1,IF($A262&lt;VLOOKUP(O$5,NFI,5,0),1,0)*Table_NFI[[#This Row],[Clothes Kit]],Table_NFI[Clothes Kit])</f>
        <v>0</v>
      </c>
      <c r="AG262" s="294">
        <f>IF(NFI_Expiration=1,IF($A262&lt;VLOOKUP(P$5,NFI,5,0),1,0)*Table_NFI[[#This Row],[Plastic Bucket]],Table_NFI[Plastic Bucket])</f>
        <v>0</v>
      </c>
      <c r="AH262" s="294">
        <f>IF(NFI_Expiration=1,IF($A262&lt;VLOOKUP(Q$5,NFI,5,0),1,0)*Table_NFI[[#This Row],[Plastic Mat]],Table_NFI[Plastic Mat])*IF(Table_NFI[[#This Row],[Distribution Date]]&gt;"2014-04-01",1,2.5)</f>
        <v>0</v>
      </c>
      <c r="AI262" s="294">
        <f>IF(NFI_Expiration=1,IF($A262&lt;VLOOKUP(R$5,NFI,5,0),1,0)*Table_NFI[[#This Row],[Winter Clothes Adult]],Table_NFI[Winter Clothes Adult])</f>
        <v>0</v>
      </c>
      <c r="AJ262" s="294">
        <f>IF(NFI_Expiration=1,IF($A262&lt;VLOOKUP(S$5,NFI,5,0),1,0)*Table_NFI[[#This Row],[Winter Clothes Children]],Table_NFI[Winter Clothes Children])</f>
        <v>0</v>
      </c>
      <c r="AK262" s="294">
        <f>IF(NFI_Expiration=1,IF($A262&lt;VLOOKUP(T$5,NFI,5,0),1,0)*Table_NFI[[#This Row],[Winter Items Other]],Table_NFI[Winter Items Other])</f>
        <v>0</v>
      </c>
      <c r="AL262" s="294">
        <f>IF(NFI_Expiration=1,IF($A262&lt;VLOOKUP(M$5,NFI,5,0),1,0)*Table_NFI[[#This Row],[Winter Blanket]],Table_NFI[[#This Row],[Winter Blanket]])</f>
        <v>0</v>
      </c>
      <c r="AM262" s="294">
        <f>IF(Table_NFI[[#This Row],[Winter Clothes Adult]]+Table_NFI[[#This Row],[Winter Clothes Children]]+Table_NFI[[#This Row],[Winter Items Other]]+Table_NFI[[#This Row],[Winter Blanket]]&gt;0,1,0)</f>
        <v>1</v>
      </c>
      <c r="AN262" s="331">
        <f>IF(NFI_Expiration=1,IF($A262&lt;VLOOKUP(V$5,NFI,5,0),1,0)*Table_NFI[[#This Row],[Jerry Can]],Table_NFI[Jerry Can])</f>
        <v>0</v>
      </c>
      <c r="AO262" s="331">
        <f>IF(NFI_Expiration=1,IF($A262&lt;VLOOKUP(V$5,NFI,5,0),1,0)*Table_NFI[[#This Row],[Shelter Tool kit]],Table_NFI[Shelter Tool kit])</f>
        <v>0</v>
      </c>
      <c r="AP262" s="331">
        <f>IF(NFI_Expiration=1,IF($A262&lt;VLOOKUP(V$5,NFI,5,0),1,0)*Table_NFI[[#This Row],[Tent]],Table_NFI[Tent])</f>
        <v>0</v>
      </c>
      <c r="AQ262" s="473" t="str">
        <f>IFERROR(VLOOKUP(Table_NFI[[#This Row],[Camp Name]],CL,2,0),"")</f>
        <v>MMR001CMP191</v>
      </c>
      <c r="AR262" s="468">
        <f ca="1">IF(Table_NFI[[#This Row],[Pcode]]="","",IF(OFFSET(CampList[Opening Date],MATCH(Table_NFI[[#This Row],[Pcode]],CampList[CP_Pcode],0)-1,0,1,1)&gt;=NFI_Monitor_Date,1,0))</f>
        <v>0</v>
      </c>
      <c r="AS262" s="473" t="str">
        <f>IFERROR(VLOOKUP(Table_NFI[[#This Row],[Camp Name]],CL,3,0),"")</f>
        <v>Open</v>
      </c>
      <c r="AT262" s="294" t="str">
        <f ca="1">IF(Table_NFI[[#This Row],[Pcode]]="","",OFFSET(CampList[Priority],MATCH(Table_NFI[[#This Row],[Pcode]],CampList[CP_Pcode],0)-1,0,1,1))</f>
        <v>P4</v>
      </c>
      <c r="AU262" s="293">
        <f>IFERROR(Table_NFI[[#This Row],[Kitchen Set]]/VLOOKUP(Table_NFI[[#This Row],[Camp Name]],CL,4,0),"")</f>
        <v>0</v>
      </c>
      <c r="AV262" s="466"/>
      <c r="AW262" s="469"/>
    </row>
    <row r="263" spans="1:49" s="470" customFormat="1" ht="14.45" customHeight="1" x14ac:dyDescent="0.25">
      <c r="A263" s="297">
        <f t="shared" si="4"/>
        <v>24.6</v>
      </c>
      <c r="B263" s="465">
        <v>41937</v>
      </c>
      <c r="C263" s="466" t="s">
        <v>1094</v>
      </c>
      <c r="D263" s="466" t="s">
        <v>900</v>
      </c>
      <c r="E263" s="466" t="s">
        <v>380</v>
      </c>
      <c r="F263" s="466" t="s">
        <v>527</v>
      </c>
      <c r="G263" s="466" t="s">
        <v>1065</v>
      </c>
      <c r="H263" s="291"/>
      <c r="I263" s="291"/>
      <c r="J263" s="291"/>
      <c r="K263" s="291"/>
      <c r="L263" s="292"/>
      <c r="M263" s="292"/>
      <c r="N263" s="292"/>
      <c r="O263" s="292"/>
      <c r="P263" s="294"/>
      <c r="Q263" s="294"/>
      <c r="R263" s="294">
        <v>186</v>
      </c>
      <c r="S263" s="294">
        <v>125</v>
      </c>
      <c r="T263" s="294"/>
      <c r="U263" s="294"/>
      <c r="V263" s="431"/>
      <c r="W263" s="294"/>
      <c r="X263" s="294"/>
      <c r="Y263" s="294">
        <f>IF(NFI_Expiration=1,IF($A263&lt;VLOOKUP(H$5,NFI,5,0),1,0)*Table_NFI[[#This Row],[Hygiene Kit]],Table_NFI[Hygiene Kit])</f>
        <v>0</v>
      </c>
      <c r="Z263" s="294">
        <f>IF(NFI_Expiration=1,IF($A263&lt;VLOOKUP(I$5,NFI,5,0),1,0)*Table_NFI[[#This Row],[NFI Core Kit]],Table_NFI[NFI Core Kit])</f>
        <v>0</v>
      </c>
      <c r="AA263" s="294">
        <f>IF(NFI_Expiration=1,IF($A263&lt;VLOOKUP(J$5,NFI,5,0),1,0)*Table_NFI[[#This Row],[Sanitary Kit]],Table_NFI[Sanitary Kit])</f>
        <v>0</v>
      </c>
      <c r="AB263" s="294">
        <f>IF(NFI_Expiration=1,IF($A263&lt;VLOOKUP(K$5,NFI,5,0),1,0)*Table_NFI[[#This Row],[Mosquito net]],Table_NFI[Mosquito net])</f>
        <v>0</v>
      </c>
      <c r="AC263" s="294">
        <f>IF(NFI_Expiration=1,IF($A263&lt;VLOOKUP(L$5,NFI,5,0),1,0)*Table_NFI[[#This Row],[Tarpaulin]],Table_NFI[[#This Row],[Tarpaulin]])</f>
        <v>0</v>
      </c>
      <c r="AD263" s="294">
        <f>IF(NFI_Expiration=1,IF($A263&lt;VLOOKUP(M$5,NFI,5,0),1,0)*Table_NFI[[#This Row],[Blanket]],Table_NFI[[#This Row],[Blanket]])</f>
        <v>0</v>
      </c>
      <c r="AE263" s="294">
        <f>IF(NFI_Expiration=1,IF($A263&lt;VLOOKUP(N$5,NFI,5,0),1,0)*Table_NFI[[#This Row],[Kitchen Set]],Table_NFI[Kitchen Set])</f>
        <v>0</v>
      </c>
      <c r="AF263" s="294">
        <f>IF(NFI_Expiration=1,IF($A263&lt;VLOOKUP(O$5,NFI,5,0),1,0)*Table_NFI[[#This Row],[Clothes Kit]],Table_NFI[Clothes Kit])</f>
        <v>0</v>
      </c>
      <c r="AG263" s="294">
        <f>IF(NFI_Expiration=1,IF($A263&lt;VLOOKUP(P$5,NFI,5,0),1,0)*Table_NFI[[#This Row],[Plastic Bucket]],Table_NFI[Plastic Bucket])</f>
        <v>0</v>
      </c>
      <c r="AH263" s="294">
        <f>IF(NFI_Expiration=1,IF($A263&lt;VLOOKUP(Q$5,NFI,5,0),1,0)*Table_NFI[[#This Row],[Plastic Mat]],Table_NFI[Plastic Mat])*IF(Table_NFI[[#This Row],[Distribution Date]]&gt;"2014-04-01",1,2.5)</f>
        <v>0</v>
      </c>
      <c r="AI263" s="294">
        <f>IF(NFI_Expiration=1,IF($A263&lt;VLOOKUP(R$5,NFI,5,0),1,0)*Table_NFI[[#This Row],[Winter Clothes Adult]],Table_NFI[Winter Clothes Adult])</f>
        <v>0</v>
      </c>
      <c r="AJ263" s="294">
        <f>IF(NFI_Expiration=1,IF($A263&lt;VLOOKUP(S$5,NFI,5,0),1,0)*Table_NFI[[#This Row],[Winter Clothes Children]],Table_NFI[Winter Clothes Children])</f>
        <v>0</v>
      </c>
      <c r="AK263" s="294">
        <f>IF(NFI_Expiration=1,IF($A263&lt;VLOOKUP(T$5,NFI,5,0),1,0)*Table_NFI[[#This Row],[Winter Items Other]],Table_NFI[Winter Items Other])</f>
        <v>0</v>
      </c>
      <c r="AL263" s="294">
        <f>IF(NFI_Expiration=1,IF($A263&lt;VLOOKUP(M$5,NFI,5,0),1,0)*Table_NFI[[#This Row],[Winter Blanket]],Table_NFI[[#This Row],[Winter Blanket]])</f>
        <v>0</v>
      </c>
      <c r="AM263" s="294">
        <f>IF(Table_NFI[[#This Row],[Winter Clothes Adult]]+Table_NFI[[#This Row],[Winter Clothes Children]]+Table_NFI[[#This Row],[Winter Items Other]]+Table_NFI[[#This Row],[Winter Blanket]]&gt;0,1,0)</f>
        <v>1</v>
      </c>
      <c r="AN263" s="331">
        <f>IF(NFI_Expiration=1,IF($A263&lt;VLOOKUP(V$5,NFI,5,0),1,0)*Table_NFI[[#This Row],[Jerry Can]],Table_NFI[Jerry Can])</f>
        <v>0</v>
      </c>
      <c r="AO263" s="331">
        <f>IF(NFI_Expiration=1,IF($A263&lt;VLOOKUP(V$5,NFI,5,0),1,0)*Table_NFI[[#This Row],[Shelter Tool kit]],Table_NFI[Shelter Tool kit])</f>
        <v>0</v>
      </c>
      <c r="AP263" s="331">
        <f>IF(NFI_Expiration=1,IF($A263&lt;VLOOKUP(V$5,NFI,5,0),1,0)*Table_NFI[[#This Row],[Tent]],Table_NFI[Tent])</f>
        <v>0</v>
      </c>
      <c r="AQ263" s="473" t="str">
        <f>IFERROR(VLOOKUP(Table_NFI[[#This Row],[Camp Name]],CL,2,0),"")</f>
        <v>MMR001CMP229</v>
      </c>
      <c r="AR263" s="468">
        <f ca="1">IF(Table_NFI[[#This Row],[Pcode]]="","",IF(OFFSET(CampList[Opening Date],MATCH(Table_NFI[[#This Row],[Pcode]],CampList[CP_Pcode],0)-1,0,1,1)&gt;=NFI_Monitor_Date,1,0))</f>
        <v>0</v>
      </c>
      <c r="AS263" s="473" t="str">
        <f>IFERROR(VLOOKUP(Table_NFI[[#This Row],[Camp Name]],CL,3,0),"")</f>
        <v>Open</v>
      </c>
      <c r="AT263" s="294" t="str">
        <f ca="1">IF(Table_NFI[[#This Row],[Pcode]]="","",OFFSET(CampList[Priority],MATCH(Table_NFI[[#This Row],[Pcode]],CampList[CP_Pcode],0)-1,0,1,1))</f>
        <v>P4</v>
      </c>
      <c r="AU263" s="293">
        <f>IFERROR(Table_NFI[[#This Row],[Kitchen Set]]/VLOOKUP(Table_NFI[[#This Row],[Camp Name]],CL,4,0),"")</f>
        <v>0</v>
      </c>
      <c r="AV263" s="466"/>
      <c r="AW263" s="469"/>
    </row>
    <row r="264" spans="1:49" s="470" customFormat="1" x14ac:dyDescent="0.25">
      <c r="A264" s="297">
        <f t="shared" si="4"/>
        <v>24.6</v>
      </c>
      <c r="B264" s="465">
        <v>41937</v>
      </c>
      <c r="C264" s="466" t="s">
        <v>1094</v>
      </c>
      <c r="D264" s="466" t="s">
        <v>900</v>
      </c>
      <c r="E264" s="466" t="s">
        <v>380</v>
      </c>
      <c r="F264" s="466" t="s">
        <v>527</v>
      </c>
      <c r="G264" s="466" t="s">
        <v>90</v>
      </c>
      <c r="H264" s="291"/>
      <c r="I264" s="291"/>
      <c r="J264" s="291"/>
      <c r="K264" s="291"/>
      <c r="L264" s="292"/>
      <c r="M264" s="292"/>
      <c r="N264" s="292"/>
      <c r="O264" s="292"/>
      <c r="P264" s="294"/>
      <c r="Q264" s="294"/>
      <c r="R264" s="294">
        <v>90</v>
      </c>
      <c r="S264" s="294">
        <v>39</v>
      </c>
      <c r="T264" s="294"/>
      <c r="U264" s="294"/>
      <c r="V264" s="431"/>
      <c r="W264" s="294"/>
      <c r="X264" s="294"/>
      <c r="Y264" s="294">
        <f>IF(NFI_Expiration=1,IF($A264&lt;VLOOKUP(H$5,NFI,5,0),1,0)*Table_NFI[[#This Row],[Hygiene Kit]],Table_NFI[Hygiene Kit])</f>
        <v>0</v>
      </c>
      <c r="Z264" s="294">
        <f>IF(NFI_Expiration=1,IF($A264&lt;VLOOKUP(I$5,NFI,5,0),1,0)*Table_NFI[[#This Row],[NFI Core Kit]],Table_NFI[NFI Core Kit])</f>
        <v>0</v>
      </c>
      <c r="AA264" s="294">
        <f>IF(NFI_Expiration=1,IF($A264&lt;VLOOKUP(J$5,NFI,5,0),1,0)*Table_NFI[[#This Row],[Sanitary Kit]],Table_NFI[Sanitary Kit])</f>
        <v>0</v>
      </c>
      <c r="AB264" s="294">
        <f>IF(NFI_Expiration=1,IF($A264&lt;VLOOKUP(K$5,NFI,5,0),1,0)*Table_NFI[[#This Row],[Mosquito net]],Table_NFI[Mosquito net])</f>
        <v>0</v>
      </c>
      <c r="AC264" s="294">
        <f>IF(NFI_Expiration=1,IF($A264&lt;VLOOKUP(L$5,NFI,5,0),1,0)*Table_NFI[[#This Row],[Tarpaulin]],Table_NFI[[#This Row],[Tarpaulin]])</f>
        <v>0</v>
      </c>
      <c r="AD264" s="294">
        <f>IF(NFI_Expiration=1,IF($A264&lt;VLOOKUP(M$5,NFI,5,0),1,0)*Table_NFI[[#This Row],[Blanket]],Table_NFI[[#This Row],[Blanket]])</f>
        <v>0</v>
      </c>
      <c r="AE264" s="294">
        <f>IF(NFI_Expiration=1,IF($A264&lt;VLOOKUP(N$5,NFI,5,0),1,0)*Table_NFI[[#This Row],[Kitchen Set]],Table_NFI[Kitchen Set])</f>
        <v>0</v>
      </c>
      <c r="AF264" s="294">
        <f>IF(NFI_Expiration=1,IF($A264&lt;VLOOKUP(O$5,NFI,5,0),1,0)*Table_NFI[[#This Row],[Clothes Kit]],Table_NFI[Clothes Kit])</f>
        <v>0</v>
      </c>
      <c r="AG264" s="294">
        <f>IF(NFI_Expiration=1,IF($A264&lt;VLOOKUP(P$5,NFI,5,0),1,0)*Table_NFI[[#This Row],[Plastic Bucket]],Table_NFI[Plastic Bucket])</f>
        <v>0</v>
      </c>
      <c r="AH264" s="294">
        <f>IF(NFI_Expiration=1,IF($A264&lt;VLOOKUP(Q$5,NFI,5,0),1,0)*Table_NFI[[#This Row],[Plastic Mat]],Table_NFI[Plastic Mat])*IF(Table_NFI[[#This Row],[Distribution Date]]&gt;"2014-04-01",1,2.5)</f>
        <v>0</v>
      </c>
      <c r="AI264" s="294">
        <f>IF(NFI_Expiration=1,IF($A264&lt;VLOOKUP(R$5,NFI,5,0),1,0)*Table_NFI[[#This Row],[Winter Clothes Adult]],Table_NFI[Winter Clothes Adult])</f>
        <v>0</v>
      </c>
      <c r="AJ264" s="294">
        <f>IF(NFI_Expiration=1,IF($A264&lt;VLOOKUP(S$5,NFI,5,0),1,0)*Table_NFI[[#This Row],[Winter Clothes Children]],Table_NFI[Winter Clothes Children])</f>
        <v>0</v>
      </c>
      <c r="AK264" s="294">
        <f>IF(NFI_Expiration=1,IF($A264&lt;VLOOKUP(T$5,NFI,5,0),1,0)*Table_NFI[[#This Row],[Winter Items Other]],Table_NFI[Winter Items Other])</f>
        <v>0</v>
      </c>
      <c r="AL264" s="294">
        <f>IF(NFI_Expiration=1,IF($A264&lt;VLOOKUP(M$5,NFI,5,0),1,0)*Table_NFI[[#This Row],[Winter Blanket]],Table_NFI[[#This Row],[Winter Blanket]])</f>
        <v>0</v>
      </c>
      <c r="AM264" s="294">
        <f>IF(Table_NFI[[#This Row],[Winter Clothes Adult]]+Table_NFI[[#This Row],[Winter Clothes Children]]+Table_NFI[[#This Row],[Winter Items Other]]+Table_NFI[[#This Row],[Winter Blanket]]&gt;0,1,0)</f>
        <v>1</v>
      </c>
      <c r="AN264" s="331">
        <f>IF(NFI_Expiration=1,IF($A264&lt;VLOOKUP(V$5,NFI,5,0),1,0)*Table_NFI[[#This Row],[Jerry Can]],Table_NFI[Jerry Can])</f>
        <v>0</v>
      </c>
      <c r="AO264" s="331">
        <f>IF(NFI_Expiration=1,IF($A264&lt;VLOOKUP(V$5,NFI,5,0),1,0)*Table_NFI[[#This Row],[Shelter Tool kit]],Table_NFI[Shelter Tool kit])</f>
        <v>0</v>
      </c>
      <c r="AP264" s="331">
        <f>IF(NFI_Expiration=1,IF($A264&lt;VLOOKUP(V$5,NFI,5,0),1,0)*Table_NFI[[#This Row],[Tent]],Table_NFI[Tent])</f>
        <v>0</v>
      </c>
      <c r="AQ264" s="473" t="str">
        <f>IFERROR(VLOOKUP(Table_NFI[[#This Row],[Camp Name]],CL,2,0),"")</f>
        <v>MMR001CMP181</v>
      </c>
      <c r="AR264" s="468">
        <f ca="1">IF(Table_NFI[[#This Row],[Pcode]]="","",IF(OFFSET(CampList[Opening Date],MATCH(Table_NFI[[#This Row],[Pcode]],CampList[CP_Pcode],0)-1,0,1,1)&gt;=NFI_Monitor_Date,1,0))</f>
        <v>0</v>
      </c>
      <c r="AS264" s="473" t="str">
        <f>IFERROR(VLOOKUP(Table_NFI[[#This Row],[Camp Name]],CL,3,0),"")</f>
        <v>Open</v>
      </c>
      <c r="AT264" s="294" t="str">
        <f ca="1">IF(Table_NFI[[#This Row],[Pcode]]="","",OFFSET(CampList[Priority],MATCH(Table_NFI[[#This Row],[Pcode]],CampList[CP_Pcode],0)-1,0,1,1))</f>
        <v>P4</v>
      </c>
      <c r="AU264" s="293">
        <f>IFERROR(Table_NFI[[#This Row],[Kitchen Set]]/VLOOKUP(Table_NFI[[#This Row],[Camp Name]],CL,4,0),"")</f>
        <v>0</v>
      </c>
      <c r="AV264" s="466"/>
      <c r="AW264" s="469"/>
    </row>
    <row r="265" spans="1:49" s="470" customFormat="1" x14ac:dyDescent="0.25">
      <c r="A265" s="297">
        <f t="shared" si="4"/>
        <v>24.6</v>
      </c>
      <c r="B265" s="465">
        <v>41937</v>
      </c>
      <c r="C265" s="466" t="s">
        <v>1094</v>
      </c>
      <c r="D265" s="466" t="s">
        <v>900</v>
      </c>
      <c r="E265" s="466" t="s">
        <v>380</v>
      </c>
      <c r="F265" s="466" t="s">
        <v>527</v>
      </c>
      <c r="G265" s="466" t="s">
        <v>92</v>
      </c>
      <c r="H265" s="291"/>
      <c r="I265" s="291"/>
      <c r="J265" s="291"/>
      <c r="K265" s="291"/>
      <c r="L265" s="292"/>
      <c r="M265" s="292"/>
      <c r="N265" s="292"/>
      <c r="O265" s="292"/>
      <c r="P265" s="294"/>
      <c r="Q265" s="294"/>
      <c r="R265" s="294">
        <v>48</v>
      </c>
      <c r="S265" s="294">
        <v>23</v>
      </c>
      <c r="T265" s="294"/>
      <c r="U265" s="294"/>
      <c r="V265" s="431"/>
      <c r="W265" s="294"/>
      <c r="X265" s="294"/>
      <c r="Y265" s="294">
        <f>IF(NFI_Expiration=1,IF($A265&lt;VLOOKUP(H$5,NFI,5,0),1,0)*Table_NFI[[#This Row],[Hygiene Kit]],Table_NFI[Hygiene Kit])</f>
        <v>0</v>
      </c>
      <c r="Z265" s="294">
        <f>IF(NFI_Expiration=1,IF($A265&lt;VLOOKUP(I$5,NFI,5,0),1,0)*Table_NFI[[#This Row],[NFI Core Kit]],Table_NFI[NFI Core Kit])</f>
        <v>0</v>
      </c>
      <c r="AA265" s="294">
        <f>IF(NFI_Expiration=1,IF($A265&lt;VLOOKUP(J$5,NFI,5,0),1,0)*Table_NFI[[#This Row],[Sanitary Kit]],Table_NFI[Sanitary Kit])</f>
        <v>0</v>
      </c>
      <c r="AB265" s="294">
        <f>IF(NFI_Expiration=1,IF($A265&lt;VLOOKUP(K$5,NFI,5,0),1,0)*Table_NFI[[#This Row],[Mosquito net]],Table_NFI[Mosquito net])</f>
        <v>0</v>
      </c>
      <c r="AC265" s="294">
        <f>IF(NFI_Expiration=1,IF($A265&lt;VLOOKUP(L$5,NFI,5,0),1,0)*Table_NFI[[#This Row],[Tarpaulin]],Table_NFI[[#This Row],[Tarpaulin]])</f>
        <v>0</v>
      </c>
      <c r="AD265" s="294">
        <f>IF(NFI_Expiration=1,IF($A265&lt;VLOOKUP(M$5,NFI,5,0),1,0)*Table_NFI[[#This Row],[Blanket]],Table_NFI[[#This Row],[Blanket]])</f>
        <v>0</v>
      </c>
      <c r="AE265" s="294">
        <f>IF(NFI_Expiration=1,IF($A265&lt;VLOOKUP(N$5,NFI,5,0),1,0)*Table_NFI[[#This Row],[Kitchen Set]],Table_NFI[Kitchen Set])</f>
        <v>0</v>
      </c>
      <c r="AF265" s="294">
        <f>IF(NFI_Expiration=1,IF($A265&lt;VLOOKUP(O$5,NFI,5,0),1,0)*Table_NFI[[#This Row],[Clothes Kit]],Table_NFI[Clothes Kit])</f>
        <v>0</v>
      </c>
      <c r="AG265" s="294">
        <f>IF(NFI_Expiration=1,IF($A265&lt;VLOOKUP(P$5,NFI,5,0),1,0)*Table_NFI[[#This Row],[Plastic Bucket]],Table_NFI[Plastic Bucket])</f>
        <v>0</v>
      </c>
      <c r="AH265" s="294">
        <f>IF(NFI_Expiration=1,IF($A265&lt;VLOOKUP(Q$5,NFI,5,0),1,0)*Table_NFI[[#This Row],[Plastic Mat]],Table_NFI[Plastic Mat])*IF(Table_NFI[[#This Row],[Distribution Date]]&gt;"2014-04-01",1,2.5)</f>
        <v>0</v>
      </c>
      <c r="AI265" s="294">
        <f>IF(NFI_Expiration=1,IF($A265&lt;VLOOKUP(R$5,NFI,5,0),1,0)*Table_NFI[[#This Row],[Winter Clothes Adult]],Table_NFI[Winter Clothes Adult])</f>
        <v>0</v>
      </c>
      <c r="AJ265" s="294">
        <f>IF(NFI_Expiration=1,IF($A265&lt;VLOOKUP(S$5,NFI,5,0),1,0)*Table_NFI[[#This Row],[Winter Clothes Children]],Table_NFI[Winter Clothes Children])</f>
        <v>0</v>
      </c>
      <c r="AK265" s="294">
        <f>IF(NFI_Expiration=1,IF($A265&lt;VLOOKUP(T$5,NFI,5,0),1,0)*Table_NFI[[#This Row],[Winter Items Other]],Table_NFI[Winter Items Other])</f>
        <v>0</v>
      </c>
      <c r="AL265" s="294">
        <f>IF(NFI_Expiration=1,IF($A265&lt;VLOOKUP(M$5,NFI,5,0),1,0)*Table_NFI[[#This Row],[Winter Blanket]],Table_NFI[[#This Row],[Winter Blanket]])</f>
        <v>0</v>
      </c>
      <c r="AM265" s="294">
        <f>IF(Table_NFI[[#This Row],[Winter Clothes Adult]]+Table_NFI[[#This Row],[Winter Clothes Children]]+Table_NFI[[#This Row],[Winter Items Other]]+Table_NFI[[#This Row],[Winter Blanket]]&gt;0,1,0)</f>
        <v>1</v>
      </c>
      <c r="AN265" s="331">
        <f>IF(NFI_Expiration=1,IF($A265&lt;VLOOKUP(V$5,NFI,5,0),1,0)*Table_NFI[[#This Row],[Jerry Can]],Table_NFI[Jerry Can])</f>
        <v>0</v>
      </c>
      <c r="AO265" s="331">
        <f>IF(NFI_Expiration=1,IF($A265&lt;VLOOKUP(V$5,NFI,5,0),1,0)*Table_NFI[[#This Row],[Shelter Tool kit]],Table_NFI[Shelter Tool kit])</f>
        <v>0</v>
      </c>
      <c r="AP265" s="331">
        <f>IF(NFI_Expiration=1,IF($A265&lt;VLOOKUP(V$5,NFI,5,0),1,0)*Table_NFI[[#This Row],[Tent]],Table_NFI[Tent])</f>
        <v>0</v>
      </c>
      <c r="AQ265" s="473" t="str">
        <f>IFERROR(VLOOKUP(Table_NFI[[#This Row],[Camp Name]],CL,2,0),"")</f>
        <v>MMR001CMP167</v>
      </c>
      <c r="AR265" s="468">
        <f ca="1">IF(Table_NFI[[#This Row],[Pcode]]="","",IF(OFFSET(CampList[Opening Date],MATCH(Table_NFI[[#This Row],[Pcode]],CampList[CP_Pcode],0)-1,0,1,1)&gt;=NFI_Monitor_Date,1,0))</f>
        <v>0</v>
      </c>
      <c r="AS265" s="473" t="str">
        <f>IFERROR(VLOOKUP(Table_NFI[[#This Row],[Camp Name]],CL,3,0),"")</f>
        <v>Open</v>
      </c>
      <c r="AT265" s="294" t="str">
        <f ca="1">IF(Table_NFI[[#This Row],[Pcode]]="","",OFFSET(CampList[Priority],MATCH(Table_NFI[[#This Row],[Pcode]],CampList[CP_Pcode],0)-1,0,1,1))</f>
        <v>P4</v>
      </c>
      <c r="AU265" s="293">
        <f>IFERROR(Table_NFI[[#This Row],[Kitchen Set]]/VLOOKUP(Table_NFI[[#This Row],[Camp Name]],CL,4,0),"")</f>
        <v>0</v>
      </c>
      <c r="AV265" s="466"/>
      <c r="AW265" s="469"/>
    </row>
    <row r="266" spans="1:49" s="470" customFormat="1" x14ac:dyDescent="0.25">
      <c r="A266" s="297">
        <f t="shared" si="4"/>
        <v>24.6</v>
      </c>
      <c r="B266" s="465">
        <v>41937</v>
      </c>
      <c r="C266" s="466" t="s">
        <v>1094</v>
      </c>
      <c r="D266" s="466" t="s">
        <v>900</v>
      </c>
      <c r="E266" s="466" t="s">
        <v>380</v>
      </c>
      <c r="F266" s="466" t="s">
        <v>185</v>
      </c>
      <c r="G266" s="466" t="s">
        <v>186</v>
      </c>
      <c r="H266" s="291"/>
      <c r="I266" s="291"/>
      <c r="J266" s="291"/>
      <c r="K266" s="291"/>
      <c r="L266" s="292"/>
      <c r="M266" s="292"/>
      <c r="N266" s="292"/>
      <c r="O266" s="292"/>
      <c r="P266" s="294"/>
      <c r="Q266" s="294"/>
      <c r="R266" s="294">
        <v>112</v>
      </c>
      <c r="S266" s="294">
        <v>59</v>
      </c>
      <c r="T266" s="294"/>
      <c r="U266" s="294">
        <v>74</v>
      </c>
      <c r="V266" s="431"/>
      <c r="W266" s="294"/>
      <c r="X266" s="294"/>
      <c r="Y266" s="294">
        <f>IF(NFI_Expiration=1,IF($A266&lt;VLOOKUP(H$5,NFI,5,0),1,0)*Table_NFI[[#This Row],[Hygiene Kit]],Table_NFI[Hygiene Kit])</f>
        <v>0</v>
      </c>
      <c r="Z266" s="294">
        <f>IF(NFI_Expiration=1,IF($A266&lt;VLOOKUP(I$5,NFI,5,0),1,0)*Table_NFI[[#This Row],[NFI Core Kit]],Table_NFI[NFI Core Kit])</f>
        <v>0</v>
      </c>
      <c r="AA266" s="294">
        <f>IF(NFI_Expiration=1,IF($A266&lt;VLOOKUP(J$5,NFI,5,0),1,0)*Table_NFI[[#This Row],[Sanitary Kit]],Table_NFI[Sanitary Kit])</f>
        <v>0</v>
      </c>
      <c r="AB266" s="294">
        <f>IF(NFI_Expiration=1,IF($A266&lt;VLOOKUP(K$5,NFI,5,0),1,0)*Table_NFI[[#This Row],[Mosquito net]],Table_NFI[Mosquito net])</f>
        <v>0</v>
      </c>
      <c r="AC266" s="294">
        <f>IF(NFI_Expiration=1,IF($A266&lt;VLOOKUP(L$5,NFI,5,0),1,0)*Table_NFI[[#This Row],[Tarpaulin]],Table_NFI[[#This Row],[Tarpaulin]])</f>
        <v>0</v>
      </c>
      <c r="AD266" s="294">
        <f>IF(NFI_Expiration=1,IF($A266&lt;VLOOKUP(M$5,NFI,5,0),1,0)*Table_NFI[[#This Row],[Blanket]],Table_NFI[[#This Row],[Blanket]])</f>
        <v>0</v>
      </c>
      <c r="AE266" s="294">
        <f>IF(NFI_Expiration=1,IF($A266&lt;VLOOKUP(N$5,NFI,5,0),1,0)*Table_NFI[[#This Row],[Kitchen Set]],Table_NFI[Kitchen Set])</f>
        <v>0</v>
      </c>
      <c r="AF266" s="294">
        <f>IF(NFI_Expiration=1,IF($A266&lt;VLOOKUP(O$5,NFI,5,0),1,0)*Table_NFI[[#This Row],[Clothes Kit]],Table_NFI[Clothes Kit])</f>
        <v>0</v>
      </c>
      <c r="AG266" s="294">
        <f>IF(NFI_Expiration=1,IF($A266&lt;VLOOKUP(P$5,NFI,5,0),1,0)*Table_NFI[[#This Row],[Plastic Bucket]],Table_NFI[Plastic Bucket])</f>
        <v>0</v>
      </c>
      <c r="AH266" s="294">
        <f>IF(NFI_Expiration=1,IF($A266&lt;VLOOKUP(Q$5,NFI,5,0),1,0)*Table_NFI[[#This Row],[Plastic Mat]],Table_NFI[Plastic Mat])*IF(Table_NFI[[#This Row],[Distribution Date]]&gt;"2014-04-01",1,2.5)</f>
        <v>0</v>
      </c>
      <c r="AI266" s="294">
        <f>IF(NFI_Expiration=1,IF($A266&lt;VLOOKUP(R$5,NFI,5,0),1,0)*Table_NFI[[#This Row],[Winter Clothes Adult]],Table_NFI[Winter Clothes Adult])</f>
        <v>0</v>
      </c>
      <c r="AJ266" s="294">
        <f>IF(NFI_Expiration=1,IF($A266&lt;VLOOKUP(S$5,NFI,5,0),1,0)*Table_NFI[[#This Row],[Winter Clothes Children]],Table_NFI[Winter Clothes Children])</f>
        <v>0</v>
      </c>
      <c r="AK266" s="294">
        <f>IF(NFI_Expiration=1,IF($A266&lt;VLOOKUP(T$5,NFI,5,0),1,0)*Table_NFI[[#This Row],[Winter Items Other]],Table_NFI[Winter Items Other])</f>
        <v>0</v>
      </c>
      <c r="AL266" s="294">
        <f>IF(NFI_Expiration=1,IF($A266&lt;VLOOKUP(M$5,NFI,5,0),1,0)*Table_NFI[[#This Row],[Winter Blanket]],Table_NFI[[#This Row],[Winter Blanket]])</f>
        <v>0</v>
      </c>
      <c r="AM266" s="294">
        <f>IF(Table_NFI[[#This Row],[Winter Clothes Adult]]+Table_NFI[[#This Row],[Winter Clothes Children]]+Table_NFI[[#This Row],[Winter Items Other]]+Table_NFI[[#This Row],[Winter Blanket]]&gt;0,1,0)</f>
        <v>1</v>
      </c>
      <c r="AN266" s="331">
        <f>IF(NFI_Expiration=1,IF($A266&lt;VLOOKUP(V$5,NFI,5,0),1,0)*Table_NFI[[#This Row],[Jerry Can]],Table_NFI[Jerry Can])</f>
        <v>0</v>
      </c>
      <c r="AO266" s="331">
        <f>IF(NFI_Expiration=1,IF($A266&lt;VLOOKUP(V$5,NFI,5,0),1,0)*Table_NFI[[#This Row],[Shelter Tool kit]],Table_NFI[Shelter Tool kit])</f>
        <v>0</v>
      </c>
      <c r="AP266" s="331">
        <f>IF(NFI_Expiration=1,IF($A266&lt;VLOOKUP(V$5,NFI,5,0),1,0)*Table_NFI[[#This Row],[Tent]],Table_NFI[Tent])</f>
        <v>0</v>
      </c>
      <c r="AQ266" s="473" t="str">
        <f>IFERROR(VLOOKUP(Table_NFI[[#This Row],[Camp Name]],CL,2,0),"")</f>
        <v>MMR001CMP071</v>
      </c>
      <c r="AR266" s="468">
        <f ca="1">IF(Table_NFI[[#This Row],[Pcode]]="","",IF(OFFSET(CampList[Opening Date],MATCH(Table_NFI[[#This Row],[Pcode]],CampList[CP_Pcode],0)-1,0,1,1)&gt;=NFI_Monitor_Date,1,0))</f>
        <v>0</v>
      </c>
      <c r="AS266" s="473" t="str">
        <f>IFERROR(VLOOKUP(Table_NFI[[#This Row],[Camp Name]],CL,3,0),"")</f>
        <v>Open</v>
      </c>
      <c r="AT266" s="294" t="str">
        <f ca="1">IF(Table_NFI[[#This Row],[Pcode]]="","",OFFSET(CampList[Priority],MATCH(Table_NFI[[#This Row],[Pcode]],CampList[CP_Pcode],0)-1,0,1,1))</f>
        <v>P3</v>
      </c>
      <c r="AU266" s="293">
        <f>IFERROR(Table_NFI[[#This Row],[Kitchen Set]]/VLOOKUP(Table_NFI[[#This Row],[Camp Name]],CL,4,0),"")</f>
        <v>0</v>
      </c>
      <c r="AV266" s="466"/>
      <c r="AW266" s="469"/>
    </row>
    <row r="267" spans="1:49" s="470" customFormat="1" ht="14.45" customHeight="1" x14ac:dyDescent="0.25">
      <c r="A267" s="297">
        <f t="shared" si="4"/>
        <v>24.6</v>
      </c>
      <c r="B267" s="465">
        <v>41937</v>
      </c>
      <c r="C267" s="466" t="s">
        <v>1094</v>
      </c>
      <c r="D267" s="466" t="s">
        <v>900</v>
      </c>
      <c r="E267" s="466" t="s">
        <v>380</v>
      </c>
      <c r="F267" s="466" t="s">
        <v>185</v>
      </c>
      <c r="G267" s="466" t="s">
        <v>223</v>
      </c>
      <c r="H267" s="291"/>
      <c r="I267" s="291"/>
      <c r="J267" s="291"/>
      <c r="K267" s="291"/>
      <c r="L267" s="292"/>
      <c r="M267" s="292"/>
      <c r="N267" s="292"/>
      <c r="O267" s="292"/>
      <c r="P267" s="294"/>
      <c r="Q267" s="294"/>
      <c r="R267" s="294">
        <v>203</v>
      </c>
      <c r="S267" s="294">
        <v>102</v>
      </c>
      <c r="T267" s="294"/>
      <c r="U267" s="294">
        <v>138</v>
      </c>
      <c r="V267" s="431"/>
      <c r="W267" s="294"/>
      <c r="X267" s="294"/>
      <c r="Y267" s="294">
        <f>IF(NFI_Expiration=1,IF($A267&lt;VLOOKUP(H$5,NFI,5,0),1,0)*Table_NFI[[#This Row],[Hygiene Kit]],Table_NFI[Hygiene Kit])</f>
        <v>0</v>
      </c>
      <c r="Z267" s="294">
        <f>IF(NFI_Expiration=1,IF($A267&lt;VLOOKUP(I$5,NFI,5,0),1,0)*Table_NFI[[#This Row],[NFI Core Kit]],Table_NFI[NFI Core Kit])</f>
        <v>0</v>
      </c>
      <c r="AA267" s="294">
        <f>IF(NFI_Expiration=1,IF($A267&lt;VLOOKUP(J$5,NFI,5,0),1,0)*Table_NFI[[#This Row],[Sanitary Kit]],Table_NFI[Sanitary Kit])</f>
        <v>0</v>
      </c>
      <c r="AB267" s="294">
        <f>IF(NFI_Expiration=1,IF($A267&lt;VLOOKUP(K$5,NFI,5,0),1,0)*Table_NFI[[#This Row],[Mosquito net]],Table_NFI[Mosquito net])</f>
        <v>0</v>
      </c>
      <c r="AC267" s="294">
        <f>IF(NFI_Expiration=1,IF($A267&lt;VLOOKUP(L$5,NFI,5,0),1,0)*Table_NFI[[#This Row],[Tarpaulin]],Table_NFI[[#This Row],[Tarpaulin]])</f>
        <v>0</v>
      </c>
      <c r="AD267" s="294">
        <f>IF(NFI_Expiration=1,IF($A267&lt;VLOOKUP(M$5,NFI,5,0),1,0)*Table_NFI[[#This Row],[Blanket]],Table_NFI[[#This Row],[Blanket]])</f>
        <v>0</v>
      </c>
      <c r="AE267" s="294">
        <f>IF(NFI_Expiration=1,IF($A267&lt;VLOOKUP(N$5,NFI,5,0),1,0)*Table_NFI[[#This Row],[Kitchen Set]],Table_NFI[Kitchen Set])</f>
        <v>0</v>
      </c>
      <c r="AF267" s="294">
        <f>IF(NFI_Expiration=1,IF($A267&lt;VLOOKUP(O$5,NFI,5,0),1,0)*Table_NFI[[#This Row],[Clothes Kit]],Table_NFI[Clothes Kit])</f>
        <v>0</v>
      </c>
      <c r="AG267" s="294">
        <f>IF(NFI_Expiration=1,IF($A267&lt;VLOOKUP(P$5,NFI,5,0),1,0)*Table_NFI[[#This Row],[Plastic Bucket]],Table_NFI[Plastic Bucket])</f>
        <v>0</v>
      </c>
      <c r="AH267" s="294">
        <f>IF(NFI_Expiration=1,IF($A267&lt;VLOOKUP(Q$5,NFI,5,0),1,0)*Table_NFI[[#This Row],[Plastic Mat]],Table_NFI[Plastic Mat])*IF(Table_NFI[[#This Row],[Distribution Date]]&gt;"2014-04-01",1,2.5)</f>
        <v>0</v>
      </c>
      <c r="AI267" s="294">
        <f>IF(NFI_Expiration=1,IF($A267&lt;VLOOKUP(R$5,NFI,5,0),1,0)*Table_NFI[[#This Row],[Winter Clothes Adult]],Table_NFI[Winter Clothes Adult])</f>
        <v>0</v>
      </c>
      <c r="AJ267" s="294">
        <f>IF(NFI_Expiration=1,IF($A267&lt;VLOOKUP(S$5,NFI,5,0),1,0)*Table_NFI[[#This Row],[Winter Clothes Children]],Table_NFI[Winter Clothes Children])</f>
        <v>0</v>
      </c>
      <c r="AK267" s="294">
        <f>IF(NFI_Expiration=1,IF($A267&lt;VLOOKUP(T$5,NFI,5,0),1,0)*Table_NFI[[#This Row],[Winter Items Other]],Table_NFI[Winter Items Other])</f>
        <v>0</v>
      </c>
      <c r="AL267" s="294">
        <f>IF(NFI_Expiration=1,IF($A267&lt;VLOOKUP(M$5,NFI,5,0),1,0)*Table_NFI[[#This Row],[Winter Blanket]],Table_NFI[[#This Row],[Winter Blanket]])</f>
        <v>0</v>
      </c>
      <c r="AM267" s="294">
        <f>IF(Table_NFI[[#This Row],[Winter Clothes Adult]]+Table_NFI[[#This Row],[Winter Clothes Children]]+Table_NFI[[#This Row],[Winter Items Other]]+Table_NFI[[#This Row],[Winter Blanket]]&gt;0,1,0)</f>
        <v>1</v>
      </c>
      <c r="AN267" s="331">
        <f>IF(NFI_Expiration=1,IF($A267&lt;VLOOKUP(V$5,NFI,5,0),1,0)*Table_NFI[[#This Row],[Jerry Can]],Table_NFI[Jerry Can])</f>
        <v>0</v>
      </c>
      <c r="AO267" s="331">
        <f>IF(NFI_Expiration=1,IF($A267&lt;VLOOKUP(V$5,NFI,5,0),1,0)*Table_NFI[[#This Row],[Shelter Tool kit]],Table_NFI[Shelter Tool kit])</f>
        <v>0</v>
      </c>
      <c r="AP267" s="331">
        <f>IF(NFI_Expiration=1,IF($A267&lt;VLOOKUP(V$5,NFI,5,0),1,0)*Table_NFI[[#This Row],[Tent]],Table_NFI[Tent])</f>
        <v>0</v>
      </c>
      <c r="AQ267" s="473" t="str">
        <f>IFERROR(VLOOKUP(Table_NFI[[#This Row],[Camp Name]],CL,2,0),"")</f>
        <v>MMR001CMP069</v>
      </c>
      <c r="AR267" s="468">
        <f ca="1">IF(Table_NFI[[#This Row],[Pcode]]="","",IF(OFFSET(CampList[Opening Date],MATCH(Table_NFI[[#This Row],[Pcode]],CampList[CP_Pcode],0)-1,0,1,1)&gt;=NFI_Monitor_Date,1,0))</f>
        <v>0</v>
      </c>
      <c r="AS267" s="473" t="str">
        <f>IFERROR(VLOOKUP(Table_NFI[[#This Row],[Camp Name]],CL,3,0),"")</f>
        <v>Open</v>
      </c>
      <c r="AT267" s="294" t="str">
        <f ca="1">IF(Table_NFI[[#This Row],[Pcode]]="","",OFFSET(CampList[Priority],MATCH(Table_NFI[[#This Row],[Pcode]],CampList[CP_Pcode],0)-1,0,1,1))</f>
        <v>P3</v>
      </c>
      <c r="AU267" s="293">
        <f>IFERROR(Table_NFI[[#This Row],[Kitchen Set]]/VLOOKUP(Table_NFI[[#This Row],[Camp Name]],CL,4,0),"")</f>
        <v>0</v>
      </c>
      <c r="AV267" s="466"/>
      <c r="AW267" s="469"/>
    </row>
    <row r="268" spans="1:49" s="470" customFormat="1" x14ac:dyDescent="0.25">
      <c r="A268" s="297">
        <f t="shared" si="4"/>
        <v>24.6</v>
      </c>
      <c r="B268" s="465">
        <v>41937</v>
      </c>
      <c r="C268" s="466" t="s">
        <v>1094</v>
      </c>
      <c r="D268" s="466" t="s">
        <v>900</v>
      </c>
      <c r="E268" s="466" t="s">
        <v>380</v>
      </c>
      <c r="F268" s="466" t="s">
        <v>185</v>
      </c>
      <c r="G268" s="466" t="s">
        <v>190</v>
      </c>
      <c r="H268" s="291"/>
      <c r="I268" s="291"/>
      <c r="J268" s="291"/>
      <c r="K268" s="291"/>
      <c r="L268" s="292"/>
      <c r="M268" s="292"/>
      <c r="N268" s="292"/>
      <c r="O268" s="292"/>
      <c r="P268" s="294"/>
      <c r="Q268" s="294"/>
      <c r="R268" s="294">
        <v>591</v>
      </c>
      <c r="S268" s="294">
        <v>347</v>
      </c>
      <c r="T268" s="294"/>
      <c r="U268" s="294">
        <v>311</v>
      </c>
      <c r="V268" s="431"/>
      <c r="W268" s="331"/>
      <c r="X268" s="331"/>
      <c r="Y268" s="294">
        <f>IF(NFI_Expiration=1,IF($A268&lt;VLOOKUP(H$5,NFI,5,0),1,0)*Table_NFI[[#This Row],[Hygiene Kit]],Table_NFI[Hygiene Kit])</f>
        <v>0</v>
      </c>
      <c r="Z268" s="294">
        <f>IF(NFI_Expiration=1,IF($A268&lt;VLOOKUP(I$5,NFI,5,0),1,0)*Table_NFI[[#This Row],[NFI Core Kit]],Table_NFI[NFI Core Kit])</f>
        <v>0</v>
      </c>
      <c r="AA268" s="294">
        <f>IF(NFI_Expiration=1,IF($A268&lt;VLOOKUP(J$5,NFI,5,0),1,0)*Table_NFI[[#This Row],[Sanitary Kit]],Table_NFI[Sanitary Kit])</f>
        <v>0</v>
      </c>
      <c r="AB268" s="294">
        <f>IF(NFI_Expiration=1,IF($A268&lt;VLOOKUP(K$5,NFI,5,0),1,0)*Table_NFI[[#This Row],[Mosquito net]],Table_NFI[Mosquito net])</f>
        <v>0</v>
      </c>
      <c r="AC268" s="294">
        <f>IF(NFI_Expiration=1,IF($A268&lt;VLOOKUP(L$5,NFI,5,0),1,0)*Table_NFI[[#This Row],[Tarpaulin]],Table_NFI[[#This Row],[Tarpaulin]])</f>
        <v>0</v>
      </c>
      <c r="AD268" s="294">
        <f>IF(NFI_Expiration=1,IF($A268&lt;VLOOKUP(M$5,NFI,5,0),1,0)*Table_NFI[[#This Row],[Blanket]],Table_NFI[[#This Row],[Blanket]])</f>
        <v>0</v>
      </c>
      <c r="AE268" s="294">
        <f>IF(NFI_Expiration=1,IF($A268&lt;VLOOKUP(N$5,NFI,5,0),1,0)*Table_NFI[[#This Row],[Kitchen Set]],Table_NFI[Kitchen Set])</f>
        <v>0</v>
      </c>
      <c r="AF268" s="294">
        <f>IF(NFI_Expiration=1,IF($A268&lt;VLOOKUP(O$5,NFI,5,0),1,0)*Table_NFI[[#This Row],[Clothes Kit]],Table_NFI[Clothes Kit])</f>
        <v>0</v>
      </c>
      <c r="AG268" s="294">
        <f>IF(NFI_Expiration=1,IF($A268&lt;VLOOKUP(P$5,NFI,5,0),1,0)*Table_NFI[[#This Row],[Plastic Bucket]],Table_NFI[Plastic Bucket])</f>
        <v>0</v>
      </c>
      <c r="AH268" s="294">
        <f>IF(NFI_Expiration=1,IF($A268&lt;VLOOKUP(Q$5,NFI,5,0),1,0)*Table_NFI[[#This Row],[Plastic Mat]],Table_NFI[Plastic Mat])*IF(Table_NFI[[#This Row],[Distribution Date]]&gt;"2014-04-01",1,2.5)</f>
        <v>0</v>
      </c>
      <c r="AI268" s="294">
        <f>IF(NFI_Expiration=1,IF($A268&lt;VLOOKUP(R$5,NFI,5,0),1,0)*Table_NFI[[#This Row],[Winter Clothes Adult]],Table_NFI[Winter Clothes Adult])</f>
        <v>0</v>
      </c>
      <c r="AJ268" s="294">
        <f>IF(NFI_Expiration=1,IF($A268&lt;VLOOKUP(S$5,NFI,5,0),1,0)*Table_NFI[[#This Row],[Winter Clothes Children]],Table_NFI[Winter Clothes Children])</f>
        <v>0</v>
      </c>
      <c r="AK268" s="294">
        <f>IF(NFI_Expiration=1,IF($A268&lt;VLOOKUP(T$5,NFI,5,0),1,0)*Table_NFI[[#This Row],[Winter Items Other]],Table_NFI[Winter Items Other])</f>
        <v>0</v>
      </c>
      <c r="AL268" s="294">
        <f>IF(NFI_Expiration=1,IF($A268&lt;VLOOKUP(M$5,NFI,5,0),1,0)*Table_NFI[[#This Row],[Winter Blanket]],Table_NFI[[#This Row],[Winter Blanket]])</f>
        <v>0</v>
      </c>
      <c r="AM268" s="294">
        <f>IF(Table_NFI[[#This Row],[Winter Clothes Adult]]+Table_NFI[[#This Row],[Winter Clothes Children]]+Table_NFI[[#This Row],[Winter Items Other]]+Table_NFI[[#This Row],[Winter Blanket]]&gt;0,1,0)</f>
        <v>1</v>
      </c>
      <c r="AN268" s="331">
        <f>IF(NFI_Expiration=1,IF($A268&lt;VLOOKUP(V$5,NFI,5,0),1,0)*Table_NFI[[#This Row],[Jerry Can]],Table_NFI[Jerry Can])</f>
        <v>0</v>
      </c>
      <c r="AO268" s="331">
        <f>IF(NFI_Expiration=1,IF($A268&lt;VLOOKUP(V$5,NFI,5,0),1,0)*Table_NFI[[#This Row],[Shelter Tool kit]],Table_NFI[Shelter Tool kit])</f>
        <v>0</v>
      </c>
      <c r="AP268" s="331">
        <f>IF(NFI_Expiration=1,IF($A268&lt;VLOOKUP(V$5,NFI,5,0),1,0)*Table_NFI[[#This Row],[Tent]],Table_NFI[Tent])</f>
        <v>0</v>
      </c>
      <c r="AQ268" s="473" t="str">
        <f>IFERROR(VLOOKUP(Table_NFI[[#This Row],[Camp Name]],CL,2,0),"")</f>
        <v>MMR001CMP070</v>
      </c>
      <c r="AR268" s="468">
        <f ca="1">IF(Table_NFI[[#This Row],[Pcode]]="","",IF(OFFSET(CampList[Opening Date],MATCH(Table_NFI[[#This Row],[Pcode]],CampList[CP_Pcode],0)-1,0,1,1)&gt;=NFI_Monitor_Date,1,0))</f>
        <v>0</v>
      </c>
      <c r="AS268" s="473" t="str">
        <f>IFERROR(VLOOKUP(Table_NFI[[#This Row],[Camp Name]],CL,3,0),"")</f>
        <v>Open</v>
      </c>
      <c r="AT268" s="294" t="str">
        <f ca="1">IF(Table_NFI[[#This Row],[Pcode]]="","",OFFSET(CampList[Priority],MATCH(Table_NFI[[#This Row],[Pcode]],CampList[CP_Pcode],0)-1,0,1,1))</f>
        <v>P3</v>
      </c>
      <c r="AU268" s="293">
        <f>IFERROR(Table_NFI[[#This Row],[Kitchen Set]]/VLOOKUP(Table_NFI[[#This Row],[Camp Name]],CL,4,0),"")</f>
        <v>0</v>
      </c>
      <c r="AV268" s="466"/>
      <c r="AW268" s="469"/>
    </row>
    <row r="269" spans="1:49" s="470" customFormat="1" x14ac:dyDescent="0.25">
      <c r="A269" s="297">
        <f t="shared" si="4"/>
        <v>25.033333333333335</v>
      </c>
      <c r="B269" s="465">
        <v>41924</v>
      </c>
      <c r="C269" s="466" t="s">
        <v>452</v>
      </c>
      <c r="D269" s="466"/>
      <c r="E269" s="466" t="s">
        <v>380</v>
      </c>
      <c r="F269" s="466" t="s">
        <v>185</v>
      </c>
      <c r="G269" s="466" t="s">
        <v>202</v>
      </c>
      <c r="H269" s="291"/>
      <c r="I269" s="291"/>
      <c r="J269" s="291"/>
      <c r="K269" s="291"/>
      <c r="L269" s="292">
        <v>25</v>
      </c>
      <c r="M269" s="292"/>
      <c r="N269" s="292"/>
      <c r="O269" s="292"/>
      <c r="P269" s="294"/>
      <c r="Q269" s="294"/>
      <c r="R269" s="294"/>
      <c r="S269" s="294"/>
      <c r="T269" s="294"/>
      <c r="U269" s="294"/>
      <c r="V269" s="431"/>
      <c r="W269" s="294"/>
      <c r="X269" s="294"/>
      <c r="Y269" s="294">
        <f>IF(NFI_Expiration=1,IF($A269&lt;VLOOKUP(H$5,NFI,5,0),1,0)*Table_NFI[[#This Row],[Hygiene Kit]],Table_NFI[Hygiene Kit])</f>
        <v>0</v>
      </c>
      <c r="Z269" s="294">
        <f>IF(NFI_Expiration=1,IF($A269&lt;VLOOKUP(I$5,NFI,5,0),1,0)*Table_NFI[[#This Row],[NFI Core Kit]],Table_NFI[NFI Core Kit])</f>
        <v>0</v>
      </c>
      <c r="AA269" s="294">
        <f>IF(NFI_Expiration=1,IF($A269&lt;VLOOKUP(J$5,NFI,5,0),1,0)*Table_NFI[[#This Row],[Sanitary Kit]],Table_NFI[Sanitary Kit])</f>
        <v>0</v>
      </c>
      <c r="AB269" s="294">
        <f>IF(NFI_Expiration=1,IF($A269&lt;VLOOKUP(K$5,NFI,5,0),1,0)*Table_NFI[[#This Row],[Mosquito net]],Table_NFI[Mosquito net])</f>
        <v>0</v>
      </c>
      <c r="AC269" s="294">
        <f>IF(NFI_Expiration=1,IF($A269&lt;VLOOKUP(L$5,NFI,5,0),1,0)*Table_NFI[[#This Row],[Tarpaulin]],Table_NFI[[#This Row],[Tarpaulin]])</f>
        <v>0</v>
      </c>
      <c r="AD269" s="294">
        <f>IF(NFI_Expiration=1,IF($A269&lt;VLOOKUP(M$5,NFI,5,0),1,0)*Table_NFI[[#This Row],[Blanket]],Table_NFI[[#This Row],[Blanket]])</f>
        <v>0</v>
      </c>
      <c r="AE269" s="294">
        <f>IF(NFI_Expiration=1,IF($A269&lt;VLOOKUP(N$5,NFI,5,0),1,0)*Table_NFI[[#This Row],[Kitchen Set]],Table_NFI[Kitchen Set])</f>
        <v>0</v>
      </c>
      <c r="AF269" s="294">
        <f>IF(NFI_Expiration=1,IF($A269&lt;VLOOKUP(O$5,NFI,5,0),1,0)*Table_NFI[[#This Row],[Clothes Kit]],Table_NFI[Clothes Kit])</f>
        <v>0</v>
      </c>
      <c r="AG269" s="294">
        <f>IF(NFI_Expiration=1,IF($A269&lt;VLOOKUP(P$5,NFI,5,0),1,0)*Table_NFI[[#This Row],[Plastic Bucket]],Table_NFI[Plastic Bucket])</f>
        <v>0</v>
      </c>
      <c r="AH269" s="294">
        <f>IF(NFI_Expiration=1,IF($A269&lt;VLOOKUP(Q$5,NFI,5,0),1,0)*Table_NFI[[#This Row],[Plastic Mat]],Table_NFI[Plastic Mat])*IF(Table_NFI[[#This Row],[Distribution Date]]&gt;"2014-04-01",1,2.5)</f>
        <v>0</v>
      </c>
      <c r="AI269" s="294">
        <f>IF(NFI_Expiration=1,IF($A269&lt;VLOOKUP(R$5,NFI,5,0),1,0)*Table_NFI[[#This Row],[Winter Clothes Adult]],Table_NFI[Winter Clothes Adult])</f>
        <v>0</v>
      </c>
      <c r="AJ269" s="294">
        <f>IF(NFI_Expiration=1,IF($A269&lt;VLOOKUP(S$5,NFI,5,0),1,0)*Table_NFI[[#This Row],[Winter Clothes Children]],Table_NFI[Winter Clothes Children])</f>
        <v>0</v>
      </c>
      <c r="AK269" s="294">
        <f>IF(NFI_Expiration=1,IF($A269&lt;VLOOKUP(T$5,NFI,5,0),1,0)*Table_NFI[[#This Row],[Winter Items Other]],Table_NFI[Winter Items Other])</f>
        <v>0</v>
      </c>
      <c r="AL269" s="294">
        <f>IF(NFI_Expiration=1,IF($A269&lt;VLOOKUP(M$5,NFI,5,0),1,0)*Table_NFI[[#This Row],[Winter Blanket]],Table_NFI[[#This Row],[Winter Blanket]])</f>
        <v>0</v>
      </c>
      <c r="AM269" s="294">
        <f>IF(Table_NFI[[#This Row],[Winter Clothes Adult]]+Table_NFI[[#This Row],[Winter Clothes Children]]+Table_NFI[[#This Row],[Winter Items Other]]+Table_NFI[[#This Row],[Winter Blanket]]&gt;0,1,0)</f>
        <v>0</v>
      </c>
      <c r="AN269" s="331">
        <f>IF(NFI_Expiration=1,IF($A269&lt;VLOOKUP(V$5,NFI,5,0),1,0)*Table_NFI[[#This Row],[Jerry Can]],Table_NFI[Jerry Can])</f>
        <v>0</v>
      </c>
      <c r="AO269" s="331">
        <f>IF(NFI_Expiration=1,IF($A269&lt;VLOOKUP(V$5,NFI,5,0),1,0)*Table_NFI[[#This Row],[Shelter Tool kit]],Table_NFI[Shelter Tool kit])</f>
        <v>0</v>
      </c>
      <c r="AP269" s="331">
        <f>IF(NFI_Expiration=1,IF($A269&lt;VLOOKUP(V$5,NFI,5,0),1,0)*Table_NFI[[#This Row],[Tent]],Table_NFI[Tent])</f>
        <v>0</v>
      </c>
      <c r="AQ269" s="473" t="str">
        <f>IFERROR(VLOOKUP(Table_NFI[[#This Row],[Camp Name]],CL,2,0),"")</f>
        <v>MMR001CMP062</v>
      </c>
      <c r="AR269" s="468">
        <f ca="1">IF(Table_NFI[[#This Row],[Pcode]]="","",IF(OFFSET(CampList[Opening Date],MATCH(Table_NFI[[#This Row],[Pcode]],CampList[CP_Pcode],0)-1,0,1,1)&gt;=NFI_Monitor_Date,1,0))</f>
        <v>0</v>
      </c>
      <c r="AS269" s="473" t="str">
        <f>IFERROR(VLOOKUP(Table_NFI[[#This Row],[Camp Name]],CL,3,0),"")</f>
        <v>Open</v>
      </c>
      <c r="AT269" s="294" t="str">
        <f ca="1">IF(Table_NFI[[#This Row],[Pcode]]="","",OFFSET(CampList[Priority],MATCH(Table_NFI[[#This Row],[Pcode]],CampList[CP_Pcode],0)-1,0,1,1))</f>
        <v>P4</v>
      </c>
      <c r="AU269" s="293">
        <f>IFERROR(Table_NFI[[#This Row],[Kitchen Set]]/VLOOKUP(Table_NFI[[#This Row],[Camp Name]],CL,4,0),"")</f>
        <v>0</v>
      </c>
      <c r="AV269" s="466"/>
      <c r="AW269" s="469"/>
    </row>
    <row r="270" spans="1:49" s="470" customFormat="1" ht="14.45" customHeight="1" x14ac:dyDescent="0.25">
      <c r="A270" s="297">
        <f t="shared" si="4"/>
        <v>25.1</v>
      </c>
      <c r="B270" s="465">
        <v>41922</v>
      </c>
      <c r="C270" s="466" t="s">
        <v>452</v>
      </c>
      <c r="D270" s="466"/>
      <c r="E270" s="466" t="s">
        <v>380</v>
      </c>
      <c r="F270" s="466" t="s">
        <v>185</v>
      </c>
      <c r="G270" s="466" t="s">
        <v>186</v>
      </c>
      <c r="H270" s="291"/>
      <c r="I270" s="291"/>
      <c r="J270" s="291"/>
      <c r="K270" s="291"/>
      <c r="L270" s="292">
        <v>60</v>
      </c>
      <c r="M270" s="292"/>
      <c r="N270" s="292"/>
      <c r="O270" s="292"/>
      <c r="P270" s="294"/>
      <c r="Q270" s="294"/>
      <c r="R270" s="294"/>
      <c r="S270" s="294"/>
      <c r="T270" s="294"/>
      <c r="U270" s="294"/>
      <c r="V270" s="431"/>
      <c r="W270" s="294"/>
      <c r="X270" s="294"/>
      <c r="Y270" s="294">
        <f>IF(NFI_Expiration=1,IF($A270&lt;VLOOKUP(H$5,NFI,5,0),1,0)*Table_NFI[[#This Row],[Hygiene Kit]],Table_NFI[Hygiene Kit])</f>
        <v>0</v>
      </c>
      <c r="Z270" s="294">
        <f>IF(NFI_Expiration=1,IF($A270&lt;VLOOKUP(I$5,NFI,5,0),1,0)*Table_NFI[[#This Row],[NFI Core Kit]],Table_NFI[NFI Core Kit])</f>
        <v>0</v>
      </c>
      <c r="AA270" s="294">
        <f>IF(NFI_Expiration=1,IF($A270&lt;VLOOKUP(J$5,NFI,5,0),1,0)*Table_NFI[[#This Row],[Sanitary Kit]],Table_NFI[Sanitary Kit])</f>
        <v>0</v>
      </c>
      <c r="AB270" s="294">
        <f>IF(NFI_Expiration=1,IF($A270&lt;VLOOKUP(K$5,NFI,5,0),1,0)*Table_NFI[[#This Row],[Mosquito net]],Table_NFI[Mosquito net])</f>
        <v>0</v>
      </c>
      <c r="AC270" s="294">
        <f>IF(NFI_Expiration=1,IF($A270&lt;VLOOKUP(L$5,NFI,5,0),1,0)*Table_NFI[[#This Row],[Tarpaulin]],Table_NFI[[#This Row],[Tarpaulin]])</f>
        <v>0</v>
      </c>
      <c r="AD270" s="294">
        <f>IF(NFI_Expiration=1,IF($A270&lt;VLOOKUP(M$5,NFI,5,0),1,0)*Table_NFI[[#This Row],[Blanket]],Table_NFI[[#This Row],[Blanket]])</f>
        <v>0</v>
      </c>
      <c r="AE270" s="294">
        <f>IF(NFI_Expiration=1,IF($A270&lt;VLOOKUP(N$5,NFI,5,0),1,0)*Table_NFI[[#This Row],[Kitchen Set]],Table_NFI[Kitchen Set])</f>
        <v>0</v>
      </c>
      <c r="AF270" s="294">
        <f>IF(NFI_Expiration=1,IF($A270&lt;VLOOKUP(O$5,NFI,5,0),1,0)*Table_NFI[[#This Row],[Clothes Kit]],Table_NFI[Clothes Kit])</f>
        <v>0</v>
      </c>
      <c r="AG270" s="294">
        <f>IF(NFI_Expiration=1,IF($A270&lt;VLOOKUP(P$5,NFI,5,0),1,0)*Table_NFI[[#This Row],[Plastic Bucket]],Table_NFI[Plastic Bucket])</f>
        <v>0</v>
      </c>
      <c r="AH270" s="294">
        <f>IF(NFI_Expiration=1,IF($A270&lt;VLOOKUP(Q$5,NFI,5,0),1,0)*Table_NFI[[#This Row],[Plastic Mat]],Table_NFI[Plastic Mat])*IF(Table_NFI[[#This Row],[Distribution Date]]&gt;"2014-04-01",1,2.5)</f>
        <v>0</v>
      </c>
      <c r="AI270" s="294">
        <f>IF(NFI_Expiration=1,IF($A270&lt;VLOOKUP(R$5,NFI,5,0),1,0)*Table_NFI[[#This Row],[Winter Clothes Adult]],Table_NFI[Winter Clothes Adult])</f>
        <v>0</v>
      </c>
      <c r="AJ270" s="294">
        <f>IF(NFI_Expiration=1,IF($A270&lt;VLOOKUP(S$5,NFI,5,0),1,0)*Table_NFI[[#This Row],[Winter Clothes Children]],Table_NFI[Winter Clothes Children])</f>
        <v>0</v>
      </c>
      <c r="AK270" s="294">
        <f>IF(NFI_Expiration=1,IF($A270&lt;VLOOKUP(T$5,NFI,5,0),1,0)*Table_NFI[[#This Row],[Winter Items Other]],Table_NFI[Winter Items Other])</f>
        <v>0</v>
      </c>
      <c r="AL270" s="294">
        <f>IF(NFI_Expiration=1,IF($A270&lt;VLOOKUP(M$5,NFI,5,0),1,0)*Table_NFI[[#This Row],[Winter Blanket]],Table_NFI[[#This Row],[Winter Blanket]])</f>
        <v>0</v>
      </c>
      <c r="AM270" s="294">
        <f>IF(Table_NFI[[#This Row],[Winter Clothes Adult]]+Table_NFI[[#This Row],[Winter Clothes Children]]+Table_NFI[[#This Row],[Winter Items Other]]+Table_NFI[[#This Row],[Winter Blanket]]&gt;0,1,0)</f>
        <v>0</v>
      </c>
      <c r="AN270" s="331">
        <f>IF(NFI_Expiration=1,IF($A270&lt;VLOOKUP(V$5,NFI,5,0),1,0)*Table_NFI[[#This Row],[Jerry Can]],Table_NFI[Jerry Can])</f>
        <v>0</v>
      </c>
      <c r="AO270" s="331">
        <f>IF(NFI_Expiration=1,IF($A270&lt;VLOOKUP(V$5,NFI,5,0),1,0)*Table_NFI[[#This Row],[Shelter Tool kit]],Table_NFI[Shelter Tool kit])</f>
        <v>0</v>
      </c>
      <c r="AP270" s="331">
        <f>IF(NFI_Expiration=1,IF($A270&lt;VLOOKUP(V$5,NFI,5,0),1,0)*Table_NFI[[#This Row],[Tent]],Table_NFI[Tent])</f>
        <v>0</v>
      </c>
      <c r="AQ270" s="473" t="str">
        <f>IFERROR(VLOOKUP(Table_NFI[[#This Row],[Camp Name]],CL,2,0),"")</f>
        <v>MMR001CMP071</v>
      </c>
      <c r="AR270" s="468">
        <f ca="1">IF(Table_NFI[[#This Row],[Pcode]]="","",IF(OFFSET(CampList[Opening Date],MATCH(Table_NFI[[#This Row],[Pcode]],CampList[CP_Pcode],0)-1,0,1,1)&gt;=NFI_Monitor_Date,1,0))</f>
        <v>0</v>
      </c>
      <c r="AS270" s="473" t="str">
        <f>IFERROR(VLOOKUP(Table_NFI[[#This Row],[Camp Name]],CL,3,0),"")</f>
        <v>Open</v>
      </c>
      <c r="AT270" s="294" t="str">
        <f ca="1">IF(Table_NFI[[#This Row],[Pcode]]="","",OFFSET(CampList[Priority],MATCH(Table_NFI[[#This Row],[Pcode]],CampList[CP_Pcode],0)-1,0,1,1))</f>
        <v>P3</v>
      </c>
      <c r="AU270" s="293">
        <f>IFERROR(Table_NFI[[#This Row],[Kitchen Set]]/VLOOKUP(Table_NFI[[#This Row],[Camp Name]],CL,4,0),"")</f>
        <v>0</v>
      </c>
      <c r="AV270" s="466"/>
      <c r="AW270" s="469"/>
    </row>
    <row r="271" spans="1:49" s="470" customFormat="1" x14ac:dyDescent="0.25">
      <c r="A271" s="297">
        <f t="shared" si="4"/>
        <v>25.1</v>
      </c>
      <c r="B271" s="465">
        <v>41922</v>
      </c>
      <c r="C271" s="466" t="s">
        <v>452</v>
      </c>
      <c r="D271" s="466"/>
      <c r="E271" s="466" t="s">
        <v>380</v>
      </c>
      <c r="F271" s="466" t="s">
        <v>185</v>
      </c>
      <c r="G271" s="466" t="s">
        <v>190</v>
      </c>
      <c r="H271" s="291"/>
      <c r="I271" s="291"/>
      <c r="J271" s="291"/>
      <c r="K271" s="291"/>
      <c r="L271" s="292">
        <v>30</v>
      </c>
      <c r="M271" s="292"/>
      <c r="N271" s="292"/>
      <c r="O271" s="292"/>
      <c r="P271" s="294"/>
      <c r="Q271" s="294"/>
      <c r="R271" s="294"/>
      <c r="S271" s="294"/>
      <c r="T271" s="294"/>
      <c r="U271" s="294"/>
      <c r="V271" s="431"/>
      <c r="W271" s="294"/>
      <c r="X271" s="294"/>
      <c r="Y271" s="294">
        <f>IF(NFI_Expiration=1,IF($A271&lt;VLOOKUP(H$5,NFI,5,0),1,0)*Table_NFI[[#This Row],[Hygiene Kit]],Table_NFI[Hygiene Kit])</f>
        <v>0</v>
      </c>
      <c r="Z271" s="294">
        <f>IF(NFI_Expiration=1,IF($A271&lt;VLOOKUP(I$5,NFI,5,0),1,0)*Table_NFI[[#This Row],[NFI Core Kit]],Table_NFI[NFI Core Kit])</f>
        <v>0</v>
      </c>
      <c r="AA271" s="294">
        <f>IF(NFI_Expiration=1,IF($A271&lt;VLOOKUP(J$5,NFI,5,0),1,0)*Table_NFI[[#This Row],[Sanitary Kit]],Table_NFI[Sanitary Kit])</f>
        <v>0</v>
      </c>
      <c r="AB271" s="294">
        <f>IF(NFI_Expiration=1,IF($A271&lt;VLOOKUP(K$5,NFI,5,0),1,0)*Table_NFI[[#This Row],[Mosquito net]],Table_NFI[Mosquito net])</f>
        <v>0</v>
      </c>
      <c r="AC271" s="294">
        <f>IF(NFI_Expiration=1,IF($A271&lt;VLOOKUP(L$5,NFI,5,0),1,0)*Table_NFI[[#This Row],[Tarpaulin]],Table_NFI[[#This Row],[Tarpaulin]])</f>
        <v>0</v>
      </c>
      <c r="AD271" s="294">
        <f>IF(NFI_Expiration=1,IF($A271&lt;VLOOKUP(M$5,NFI,5,0),1,0)*Table_NFI[[#This Row],[Blanket]],Table_NFI[[#This Row],[Blanket]])</f>
        <v>0</v>
      </c>
      <c r="AE271" s="294">
        <f>IF(NFI_Expiration=1,IF($A271&lt;VLOOKUP(N$5,NFI,5,0),1,0)*Table_NFI[[#This Row],[Kitchen Set]],Table_NFI[Kitchen Set])</f>
        <v>0</v>
      </c>
      <c r="AF271" s="294">
        <f>IF(NFI_Expiration=1,IF($A271&lt;VLOOKUP(O$5,NFI,5,0),1,0)*Table_NFI[[#This Row],[Clothes Kit]],Table_NFI[Clothes Kit])</f>
        <v>0</v>
      </c>
      <c r="AG271" s="294">
        <f>IF(NFI_Expiration=1,IF($A271&lt;VLOOKUP(P$5,NFI,5,0),1,0)*Table_NFI[[#This Row],[Plastic Bucket]],Table_NFI[Plastic Bucket])</f>
        <v>0</v>
      </c>
      <c r="AH271" s="294">
        <f>IF(NFI_Expiration=1,IF($A271&lt;VLOOKUP(Q$5,NFI,5,0),1,0)*Table_NFI[[#This Row],[Plastic Mat]],Table_NFI[Plastic Mat])*IF(Table_NFI[[#This Row],[Distribution Date]]&gt;"2014-04-01",1,2.5)</f>
        <v>0</v>
      </c>
      <c r="AI271" s="294">
        <f>IF(NFI_Expiration=1,IF($A271&lt;VLOOKUP(R$5,NFI,5,0),1,0)*Table_NFI[[#This Row],[Winter Clothes Adult]],Table_NFI[Winter Clothes Adult])</f>
        <v>0</v>
      </c>
      <c r="AJ271" s="294">
        <f>IF(NFI_Expiration=1,IF($A271&lt;VLOOKUP(S$5,NFI,5,0),1,0)*Table_NFI[[#This Row],[Winter Clothes Children]],Table_NFI[Winter Clothes Children])</f>
        <v>0</v>
      </c>
      <c r="AK271" s="294">
        <f>IF(NFI_Expiration=1,IF($A271&lt;VLOOKUP(T$5,NFI,5,0),1,0)*Table_NFI[[#This Row],[Winter Items Other]],Table_NFI[Winter Items Other])</f>
        <v>0</v>
      </c>
      <c r="AL271" s="294">
        <f>IF(NFI_Expiration=1,IF($A271&lt;VLOOKUP(M$5,NFI,5,0),1,0)*Table_NFI[[#This Row],[Winter Blanket]],Table_NFI[[#This Row],[Winter Blanket]])</f>
        <v>0</v>
      </c>
      <c r="AM271" s="294">
        <f>IF(Table_NFI[[#This Row],[Winter Clothes Adult]]+Table_NFI[[#This Row],[Winter Clothes Children]]+Table_NFI[[#This Row],[Winter Items Other]]+Table_NFI[[#This Row],[Winter Blanket]]&gt;0,1,0)</f>
        <v>0</v>
      </c>
      <c r="AN271" s="331">
        <f>IF(NFI_Expiration=1,IF($A271&lt;VLOOKUP(V$5,NFI,5,0),1,0)*Table_NFI[[#This Row],[Jerry Can]],Table_NFI[Jerry Can])</f>
        <v>0</v>
      </c>
      <c r="AO271" s="331">
        <f>IF(NFI_Expiration=1,IF($A271&lt;VLOOKUP(V$5,NFI,5,0),1,0)*Table_NFI[[#This Row],[Shelter Tool kit]],Table_NFI[Shelter Tool kit])</f>
        <v>0</v>
      </c>
      <c r="AP271" s="331">
        <f>IF(NFI_Expiration=1,IF($A271&lt;VLOOKUP(V$5,NFI,5,0),1,0)*Table_NFI[[#This Row],[Tent]],Table_NFI[Tent])</f>
        <v>0</v>
      </c>
      <c r="AQ271" s="473" t="str">
        <f>IFERROR(VLOOKUP(Table_NFI[[#This Row],[Camp Name]],CL,2,0),"")</f>
        <v>MMR001CMP070</v>
      </c>
      <c r="AR271" s="468">
        <f ca="1">IF(Table_NFI[[#This Row],[Pcode]]="","",IF(OFFSET(CampList[Opening Date],MATCH(Table_NFI[[#This Row],[Pcode]],CampList[CP_Pcode],0)-1,0,1,1)&gt;=NFI_Monitor_Date,1,0))</f>
        <v>0</v>
      </c>
      <c r="AS271" s="473" t="str">
        <f>IFERROR(VLOOKUP(Table_NFI[[#This Row],[Camp Name]],CL,3,0),"")</f>
        <v>Open</v>
      </c>
      <c r="AT271" s="294" t="str">
        <f ca="1">IF(Table_NFI[[#This Row],[Pcode]]="","",OFFSET(CampList[Priority],MATCH(Table_NFI[[#This Row],[Pcode]],CampList[CP_Pcode],0)-1,0,1,1))</f>
        <v>P3</v>
      </c>
      <c r="AU271" s="293">
        <f>IFERROR(Table_NFI[[#This Row],[Kitchen Set]]/VLOOKUP(Table_NFI[[#This Row],[Camp Name]],CL,4,0),"")</f>
        <v>0</v>
      </c>
      <c r="AV271" s="466"/>
      <c r="AW271" s="469"/>
    </row>
    <row r="272" spans="1:49" s="470" customFormat="1" ht="14.45" customHeight="1" x14ac:dyDescent="0.25">
      <c r="A272" s="297">
        <f t="shared" si="4"/>
        <v>25.1</v>
      </c>
      <c r="B272" s="465">
        <v>41922</v>
      </c>
      <c r="C272" s="466" t="s">
        <v>452</v>
      </c>
      <c r="D272" s="466"/>
      <c r="E272" s="466" t="s">
        <v>380</v>
      </c>
      <c r="F272" s="466" t="s">
        <v>185</v>
      </c>
      <c r="G272" s="466" t="s">
        <v>229</v>
      </c>
      <c r="H272" s="291"/>
      <c r="I272" s="291"/>
      <c r="J272" s="291"/>
      <c r="K272" s="291"/>
      <c r="L272" s="292">
        <v>60</v>
      </c>
      <c r="M272" s="292"/>
      <c r="N272" s="292"/>
      <c r="O272" s="292"/>
      <c r="P272" s="294"/>
      <c r="Q272" s="294"/>
      <c r="R272" s="294"/>
      <c r="S272" s="294"/>
      <c r="T272" s="294"/>
      <c r="U272" s="294"/>
      <c r="V272" s="431"/>
      <c r="W272" s="294"/>
      <c r="X272" s="294"/>
      <c r="Y272" s="294">
        <f>IF(NFI_Expiration=1,IF($A272&lt;VLOOKUP(H$5,NFI,5,0),1,0)*Table_NFI[[#This Row],[Hygiene Kit]],Table_NFI[Hygiene Kit])</f>
        <v>0</v>
      </c>
      <c r="Z272" s="294">
        <f>IF(NFI_Expiration=1,IF($A272&lt;VLOOKUP(I$5,NFI,5,0),1,0)*Table_NFI[[#This Row],[NFI Core Kit]],Table_NFI[NFI Core Kit])</f>
        <v>0</v>
      </c>
      <c r="AA272" s="294">
        <f>IF(NFI_Expiration=1,IF($A272&lt;VLOOKUP(J$5,NFI,5,0),1,0)*Table_NFI[[#This Row],[Sanitary Kit]],Table_NFI[Sanitary Kit])</f>
        <v>0</v>
      </c>
      <c r="AB272" s="294">
        <f>IF(NFI_Expiration=1,IF($A272&lt;VLOOKUP(K$5,NFI,5,0),1,0)*Table_NFI[[#This Row],[Mosquito net]],Table_NFI[Mosquito net])</f>
        <v>0</v>
      </c>
      <c r="AC272" s="294">
        <f>IF(NFI_Expiration=1,IF($A272&lt;VLOOKUP(L$5,NFI,5,0),1,0)*Table_NFI[[#This Row],[Tarpaulin]],Table_NFI[[#This Row],[Tarpaulin]])</f>
        <v>0</v>
      </c>
      <c r="AD272" s="294">
        <f>IF(NFI_Expiration=1,IF($A272&lt;VLOOKUP(M$5,NFI,5,0),1,0)*Table_NFI[[#This Row],[Blanket]],Table_NFI[[#This Row],[Blanket]])</f>
        <v>0</v>
      </c>
      <c r="AE272" s="294">
        <f>IF(NFI_Expiration=1,IF($A272&lt;VLOOKUP(N$5,NFI,5,0),1,0)*Table_NFI[[#This Row],[Kitchen Set]],Table_NFI[Kitchen Set])</f>
        <v>0</v>
      </c>
      <c r="AF272" s="294">
        <f>IF(NFI_Expiration=1,IF($A272&lt;VLOOKUP(O$5,NFI,5,0),1,0)*Table_NFI[[#This Row],[Clothes Kit]],Table_NFI[Clothes Kit])</f>
        <v>0</v>
      </c>
      <c r="AG272" s="294">
        <f>IF(NFI_Expiration=1,IF($A272&lt;VLOOKUP(P$5,NFI,5,0),1,0)*Table_NFI[[#This Row],[Plastic Bucket]],Table_NFI[Plastic Bucket])</f>
        <v>0</v>
      </c>
      <c r="AH272" s="294">
        <f>IF(NFI_Expiration=1,IF($A272&lt;VLOOKUP(Q$5,NFI,5,0),1,0)*Table_NFI[[#This Row],[Plastic Mat]],Table_NFI[Plastic Mat])*IF(Table_NFI[[#This Row],[Distribution Date]]&gt;"2014-04-01",1,2.5)</f>
        <v>0</v>
      </c>
      <c r="AI272" s="294">
        <f>IF(NFI_Expiration=1,IF($A272&lt;VLOOKUP(R$5,NFI,5,0),1,0)*Table_NFI[[#This Row],[Winter Clothes Adult]],Table_NFI[Winter Clothes Adult])</f>
        <v>0</v>
      </c>
      <c r="AJ272" s="294">
        <f>IF(NFI_Expiration=1,IF($A272&lt;VLOOKUP(S$5,NFI,5,0),1,0)*Table_NFI[[#This Row],[Winter Clothes Children]],Table_NFI[Winter Clothes Children])</f>
        <v>0</v>
      </c>
      <c r="AK272" s="294">
        <f>IF(NFI_Expiration=1,IF($A272&lt;VLOOKUP(T$5,NFI,5,0),1,0)*Table_NFI[[#This Row],[Winter Items Other]],Table_NFI[Winter Items Other])</f>
        <v>0</v>
      </c>
      <c r="AL272" s="294">
        <f>IF(NFI_Expiration=1,IF($A272&lt;VLOOKUP(M$5,NFI,5,0),1,0)*Table_NFI[[#This Row],[Winter Blanket]],Table_NFI[[#This Row],[Winter Blanket]])</f>
        <v>0</v>
      </c>
      <c r="AM272" s="294">
        <f>IF(Table_NFI[[#This Row],[Winter Clothes Adult]]+Table_NFI[[#This Row],[Winter Clothes Children]]+Table_NFI[[#This Row],[Winter Items Other]]+Table_NFI[[#This Row],[Winter Blanket]]&gt;0,1,0)</f>
        <v>0</v>
      </c>
      <c r="AN272" s="331">
        <f>IF(NFI_Expiration=1,IF($A272&lt;VLOOKUP(V$5,NFI,5,0),1,0)*Table_NFI[[#This Row],[Jerry Can]],Table_NFI[Jerry Can])</f>
        <v>0</v>
      </c>
      <c r="AO272" s="331">
        <f>IF(NFI_Expiration=1,IF($A272&lt;VLOOKUP(V$5,NFI,5,0),1,0)*Table_NFI[[#This Row],[Shelter Tool kit]],Table_NFI[Shelter Tool kit])</f>
        <v>0</v>
      </c>
      <c r="AP272" s="331">
        <f>IF(NFI_Expiration=1,IF($A272&lt;VLOOKUP(V$5,NFI,5,0),1,0)*Table_NFI[[#This Row],[Tent]],Table_NFI[Tent])</f>
        <v>0</v>
      </c>
      <c r="AQ272" s="473" t="str">
        <f>IFERROR(VLOOKUP(Table_NFI[[#This Row],[Camp Name]],CL,2,0),"")</f>
        <v>MMR001CMP072</v>
      </c>
      <c r="AR272" s="468">
        <f ca="1">IF(Table_NFI[[#This Row],[Pcode]]="","",IF(OFFSET(CampList[Opening Date],MATCH(Table_NFI[[#This Row],[Pcode]],CampList[CP_Pcode],0)-1,0,1,1)&gt;=NFI_Monitor_Date,1,0))</f>
        <v>0</v>
      </c>
      <c r="AS272" s="473" t="str">
        <f>IFERROR(VLOOKUP(Table_NFI[[#This Row],[Camp Name]],CL,3,0),"")</f>
        <v>Open</v>
      </c>
      <c r="AT272" s="294" t="str">
        <f ca="1">IF(Table_NFI[[#This Row],[Pcode]]="","",OFFSET(CampList[Priority],MATCH(Table_NFI[[#This Row],[Pcode]],CampList[CP_Pcode],0)-1,0,1,1))</f>
        <v>P3</v>
      </c>
      <c r="AU272" s="293">
        <f>IFERROR(Table_NFI[[#This Row],[Kitchen Set]]/VLOOKUP(Table_NFI[[#This Row],[Camp Name]],CL,4,0),"")</f>
        <v>0</v>
      </c>
      <c r="AV272" s="466"/>
      <c r="AW272" s="469"/>
    </row>
    <row r="273" spans="1:49" s="470" customFormat="1" ht="14.45" customHeight="1" x14ac:dyDescent="0.25">
      <c r="A273" s="297">
        <f t="shared" si="4"/>
        <v>25.4</v>
      </c>
      <c r="B273" s="465">
        <v>41913</v>
      </c>
      <c r="C273" s="466" t="s">
        <v>452</v>
      </c>
      <c r="D273" s="471" t="s">
        <v>506</v>
      </c>
      <c r="E273" s="471" t="s">
        <v>380</v>
      </c>
      <c r="F273" s="471" t="s">
        <v>527</v>
      </c>
      <c r="G273" s="471" t="s">
        <v>120</v>
      </c>
      <c r="H273" s="292"/>
      <c r="I273" s="292"/>
      <c r="J273" s="292"/>
      <c r="K273" s="292">
        <v>156</v>
      </c>
      <c r="L273" s="292"/>
      <c r="M273" s="292"/>
      <c r="N273" s="292"/>
      <c r="O273" s="292"/>
      <c r="P273" s="294"/>
      <c r="Q273" s="294"/>
      <c r="R273" s="294"/>
      <c r="S273" s="294"/>
      <c r="T273" s="294"/>
      <c r="U273" s="294"/>
      <c r="V273" s="431"/>
      <c r="W273" s="294"/>
      <c r="X273" s="294"/>
      <c r="Y273" s="294">
        <f>IF(NFI_Expiration=1,IF($A273&lt;VLOOKUP(H$5,NFI,5,0),1,0)*Table_NFI[[#This Row],[Hygiene Kit]],Table_NFI[Hygiene Kit])</f>
        <v>0</v>
      </c>
      <c r="Z273" s="294">
        <f>IF(NFI_Expiration=1,IF($A273&lt;VLOOKUP(I$5,NFI,5,0),1,0)*Table_NFI[[#This Row],[NFI Core Kit]],Table_NFI[NFI Core Kit])</f>
        <v>0</v>
      </c>
      <c r="AA273" s="294">
        <f>IF(NFI_Expiration=1,IF($A273&lt;VLOOKUP(J$5,NFI,5,0),1,0)*Table_NFI[[#This Row],[Sanitary Kit]],Table_NFI[Sanitary Kit])</f>
        <v>0</v>
      </c>
      <c r="AB273" s="294">
        <f>IF(NFI_Expiration=1,IF($A273&lt;VLOOKUP(K$5,NFI,5,0),1,0)*Table_NFI[[#This Row],[Mosquito net]],Table_NFI[Mosquito net])</f>
        <v>0</v>
      </c>
      <c r="AC273" s="294">
        <f>IF(NFI_Expiration=1,IF($A273&lt;VLOOKUP(L$5,NFI,5,0),1,0)*Table_NFI[[#This Row],[Tarpaulin]],Table_NFI[[#This Row],[Tarpaulin]])</f>
        <v>0</v>
      </c>
      <c r="AD273" s="294">
        <f>IF(NFI_Expiration=1,IF($A273&lt;VLOOKUP(M$5,NFI,5,0),1,0)*Table_NFI[[#This Row],[Blanket]],Table_NFI[[#This Row],[Blanket]])</f>
        <v>0</v>
      </c>
      <c r="AE273" s="294">
        <f>IF(NFI_Expiration=1,IF($A273&lt;VLOOKUP(N$5,NFI,5,0),1,0)*Table_NFI[[#This Row],[Kitchen Set]],Table_NFI[Kitchen Set])</f>
        <v>0</v>
      </c>
      <c r="AF273" s="294">
        <f>IF(NFI_Expiration=1,IF($A273&lt;VLOOKUP(O$5,NFI,5,0),1,0)*Table_NFI[[#This Row],[Clothes Kit]],Table_NFI[Clothes Kit])</f>
        <v>0</v>
      </c>
      <c r="AG273" s="294">
        <f>IF(NFI_Expiration=1,IF($A273&lt;VLOOKUP(P$5,NFI,5,0),1,0)*Table_NFI[[#This Row],[Plastic Bucket]],Table_NFI[Plastic Bucket])</f>
        <v>0</v>
      </c>
      <c r="AH273" s="294">
        <f>IF(NFI_Expiration=1,IF($A273&lt;VLOOKUP(Q$5,NFI,5,0),1,0)*Table_NFI[[#This Row],[Plastic Mat]],Table_NFI[Plastic Mat])*IF(Table_NFI[[#This Row],[Distribution Date]]&gt;"2014-04-01",1,2.5)</f>
        <v>0</v>
      </c>
      <c r="AI273" s="294">
        <f>IF(NFI_Expiration=1,IF($A273&lt;VLOOKUP(R$5,NFI,5,0),1,0)*Table_NFI[[#This Row],[Winter Clothes Adult]],Table_NFI[Winter Clothes Adult])</f>
        <v>0</v>
      </c>
      <c r="AJ273" s="294">
        <f>IF(NFI_Expiration=1,IF($A273&lt;VLOOKUP(S$5,NFI,5,0),1,0)*Table_NFI[[#This Row],[Winter Clothes Children]],Table_NFI[Winter Clothes Children])</f>
        <v>0</v>
      </c>
      <c r="AK273" s="294">
        <f>IF(NFI_Expiration=1,IF($A273&lt;VLOOKUP(T$5,NFI,5,0),1,0)*Table_NFI[[#This Row],[Winter Items Other]],Table_NFI[Winter Items Other])</f>
        <v>0</v>
      </c>
      <c r="AL273" s="294">
        <f>IF(NFI_Expiration=1,IF($A273&lt;VLOOKUP(M$5,NFI,5,0),1,0)*Table_NFI[[#This Row],[Winter Blanket]],Table_NFI[[#This Row],[Winter Blanket]])</f>
        <v>0</v>
      </c>
      <c r="AM273" s="294">
        <f>IF(Table_NFI[[#This Row],[Winter Clothes Adult]]+Table_NFI[[#This Row],[Winter Clothes Children]]+Table_NFI[[#This Row],[Winter Items Other]]+Table_NFI[[#This Row],[Winter Blanket]]&gt;0,1,0)</f>
        <v>0</v>
      </c>
      <c r="AN273" s="331">
        <f>IF(NFI_Expiration=1,IF($A273&lt;VLOOKUP(V$5,NFI,5,0),1,0)*Table_NFI[[#This Row],[Jerry Can]],Table_NFI[Jerry Can])</f>
        <v>0</v>
      </c>
      <c r="AO273" s="331">
        <f>IF(NFI_Expiration=1,IF($A273&lt;VLOOKUP(V$5,NFI,5,0),1,0)*Table_NFI[[#This Row],[Shelter Tool kit]],Table_NFI[Shelter Tool kit])</f>
        <v>0</v>
      </c>
      <c r="AP273" s="331">
        <f>IF(NFI_Expiration=1,IF($A273&lt;VLOOKUP(V$5,NFI,5,0),1,0)*Table_NFI[[#This Row],[Tent]],Table_NFI[Tent])</f>
        <v>0</v>
      </c>
      <c r="AQ273" s="473" t="str">
        <f>IFERROR(VLOOKUP(Table_NFI[[#This Row],[Camp Name]],CL,2,0),"")</f>
        <v>MMR001CMP168</v>
      </c>
      <c r="AR273" s="468">
        <f ca="1">IF(Table_NFI[[#This Row],[Pcode]]="","",IF(OFFSET(CampList[Opening Date],MATCH(Table_NFI[[#This Row],[Pcode]],CampList[CP_Pcode],0)-1,0,1,1)&gt;=NFI_Monitor_Date,1,0))</f>
        <v>0</v>
      </c>
      <c r="AS273" s="473" t="str">
        <f>IFERROR(VLOOKUP(Table_NFI[[#This Row],[Camp Name]],CL,3,0),"")</f>
        <v>Open</v>
      </c>
      <c r="AT273" s="294" t="str">
        <f ca="1">IF(Table_NFI[[#This Row],[Pcode]]="","",OFFSET(CampList[Priority],MATCH(Table_NFI[[#This Row],[Pcode]],CampList[CP_Pcode],0)-1,0,1,1))</f>
        <v>P4</v>
      </c>
      <c r="AU273" s="293">
        <f>IFERROR(Table_NFI[[#This Row],[Kitchen Set]]/VLOOKUP(Table_NFI[[#This Row],[Camp Name]],CL,4,0),"")</f>
        <v>0</v>
      </c>
      <c r="AV273" s="471"/>
      <c r="AW273" s="474"/>
    </row>
    <row r="274" spans="1:49" s="470" customFormat="1" ht="14.45" customHeight="1" x14ac:dyDescent="0.25">
      <c r="A274" s="297">
        <f t="shared" si="4"/>
        <v>25.4</v>
      </c>
      <c r="B274" s="465">
        <v>41913</v>
      </c>
      <c r="C274" s="466" t="s">
        <v>452</v>
      </c>
      <c r="D274" s="471" t="s">
        <v>505</v>
      </c>
      <c r="E274" s="471" t="s">
        <v>380</v>
      </c>
      <c r="F274" s="471" t="s">
        <v>527</v>
      </c>
      <c r="G274" s="471" t="s">
        <v>41</v>
      </c>
      <c r="H274" s="292"/>
      <c r="I274" s="292"/>
      <c r="J274" s="292"/>
      <c r="K274" s="292">
        <v>130</v>
      </c>
      <c r="L274" s="292"/>
      <c r="M274" s="292"/>
      <c r="N274" s="292"/>
      <c r="O274" s="292"/>
      <c r="P274" s="294"/>
      <c r="Q274" s="294"/>
      <c r="R274" s="294"/>
      <c r="S274" s="294"/>
      <c r="T274" s="294"/>
      <c r="U274" s="294"/>
      <c r="V274" s="431"/>
      <c r="W274" s="294"/>
      <c r="X274" s="294"/>
      <c r="Y274" s="294">
        <f>IF(NFI_Expiration=1,IF($A274&lt;VLOOKUP(H$5,NFI,5,0),1,0)*Table_NFI[[#This Row],[Hygiene Kit]],Table_NFI[Hygiene Kit])</f>
        <v>0</v>
      </c>
      <c r="Z274" s="294">
        <f>IF(NFI_Expiration=1,IF($A274&lt;VLOOKUP(I$5,NFI,5,0),1,0)*Table_NFI[[#This Row],[NFI Core Kit]],Table_NFI[NFI Core Kit])</f>
        <v>0</v>
      </c>
      <c r="AA274" s="294">
        <f>IF(NFI_Expiration=1,IF($A274&lt;VLOOKUP(J$5,NFI,5,0),1,0)*Table_NFI[[#This Row],[Sanitary Kit]],Table_NFI[Sanitary Kit])</f>
        <v>0</v>
      </c>
      <c r="AB274" s="294">
        <f>IF(NFI_Expiration=1,IF($A274&lt;VLOOKUP(K$5,NFI,5,0),1,0)*Table_NFI[[#This Row],[Mosquito net]],Table_NFI[Mosquito net])</f>
        <v>0</v>
      </c>
      <c r="AC274" s="294">
        <f>IF(NFI_Expiration=1,IF($A274&lt;VLOOKUP(L$5,NFI,5,0),1,0)*Table_NFI[[#This Row],[Tarpaulin]],Table_NFI[[#This Row],[Tarpaulin]])</f>
        <v>0</v>
      </c>
      <c r="AD274" s="294">
        <f>IF(NFI_Expiration=1,IF($A274&lt;VLOOKUP(M$5,NFI,5,0),1,0)*Table_NFI[[#This Row],[Blanket]],Table_NFI[[#This Row],[Blanket]])</f>
        <v>0</v>
      </c>
      <c r="AE274" s="294">
        <f>IF(NFI_Expiration=1,IF($A274&lt;VLOOKUP(N$5,NFI,5,0),1,0)*Table_NFI[[#This Row],[Kitchen Set]],Table_NFI[Kitchen Set])</f>
        <v>0</v>
      </c>
      <c r="AF274" s="294">
        <f>IF(NFI_Expiration=1,IF($A274&lt;VLOOKUP(O$5,NFI,5,0),1,0)*Table_NFI[[#This Row],[Clothes Kit]],Table_NFI[Clothes Kit])</f>
        <v>0</v>
      </c>
      <c r="AG274" s="294">
        <f>IF(NFI_Expiration=1,IF($A274&lt;VLOOKUP(P$5,NFI,5,0),1,0)*Table_NFI[[#This Row],[Plastic Bucket]],Table_NFI[Plastic Bucket])</f>
        <v>0</v>
      </c>
      <c r="AH274" s="294">
        <f>IF(NFI_Expiration=1,IF($A274&lt;VLOOKUP(Q$5,NFI,5,0),1,0)*Table_NFI[[#This Row],[Plastic Mat]],Table_NFI[Plastic Mat])*IF(Table_NFI[[#This Row],[Distribution Date]]&gt;"2014-04-01",1,2.5)</f>
        <v>0</v>
      </c>
      <c r="AI274" s="294">
        <f>IF(NFI_Expiration=1,IF($A274&lt;VLOOKUP(R$5,NFI,5,0),1,0)*Table_NFI[[#This Row],[Winter Clothes Adult]],Table_NFI[Winter Clothes Adult])</f>
        <v>0</v>
      </c>
      <c r="AJ274" s="294">
        <f>IF(NFI_Expiration=1,IF($A274&lt;VLOOKUP(S$5,NFI,5,0),1,0)*Table_NFI[[#This Row],[Winter Clothes Children]],Table_NFI[Winter Clothes Children])</f>
        <v>0</v>
      </c>
      <c r="AK274" s="294">
        <f>IF(NFI_Expiration=1,IF($A274&lt;VLOOKUP(T$5,NFI,5,0),1,0)*Table_NFI[[#This Row],[Winter Items Other]],Table_NFI[Winter Items Other])</f>
        <v>0</v>
      </c>
      <c r="AL274" s="294">
        <f>IF(NFI_Expiration=1,IF($A274&lt;VLOOKUP(M$5,NFI,5,0),1,0)*Table_NFI[[#This Row],[Winter Blanket]],Table_NFI[[#This Row],[Winter Blanket]])</f>
        <v>0</v>
      </c>
      <c r="AM274" s="294">
        <f>IF(Table_NFI[[#This Row],[Winter Clothes Adult]]+Table_NFI[[#This Row],[Winter Clothes Children]]+Table_NFI[[#This Row],[Winter Items Other]]+Table_NFI[[#This Row],[Winter Blanket]]&gt;0,1,0)</f>
        <v>0</v>
      </c>
      <c r="AN274" s="331">
        <f>IF(NFI_Expiration=1,IF($A274&lt;VLOOKUP(V$5,NFI,5,0),1,0)*Table_NFI[[#This Row],[Jerry Can]],Table_NFI[Jerry Can])</f>
        <v>0</v>
      </c>
      <c r="AO274" s="331">
        <f>IF(NFI_Expiration=1,IF($A274&lt;VLOOKUP(V$5,NFI,5,0),1,0)*Table_NFI[[#This Row],[Shelter Tool kit]],Table_NFI[Shelter Tool kit])</f>
        <v>0</v>
      </c>
      <c r="AP274" s="331">
        <f>IF(NFI_Expiration=1,IF($A274&lt;VLOOKUP(V$5,NFI,5,0),1,0)*Table_NFI[[#This Row],[Tent]],Table_NFI[Tent])</f>
        <v>0</v>
      </c>
      <c r="AQ274" s="473" t="str">
        <f>IFERROR(VLOOKUP(Table_NFI[[#This Row],[Camp Name]],CL,2,0),"")</f>
        <v>MMR001CMP176</v>
      </c>
      <c r="AR274" s="468">
        <f ca="1">IF(Table_NFI[[#This Row],[Pcode]]="","",IF(OFFSET(CampList[Opening Date],MATCH(Table_NFI[[#This Row],[Pcode]],CampList[CP_Pcode],0)-1,0,1,1)&gt;=NFI_Monitor_Date,1,0))</f>
        <v>0</v>
      </c>
      <c r="AS274" s="473" t="str">
        <f>IFERROR(VLOOKUP(Table_NFI[[#This Row],[Camp Name]],CL,3,0),"")</f>
        <v>Open</v>
      </c>
      <c r="AT274" s="294" t="str">
        <f ca="1">IF(Table_NFI[[#This Row],[Pcode]]="","",OFFSET(CampList[Priority],MATCH(Table_NFI[[#This Row],[Pcode]],CampList[CP_Pcode],0)-1,0,1,1))</f>
        <v>P4</v>
      </c>
      <c r="AU274" s="293">
        <f>IFERROR(Table_NFI[[#This Row],[Kitchen Set]]/VLOOKUP(Table_NFI[[#This Row],[Camp Name]],CL,4,0),"")</f>
        <v>0</v>
      </c>
      <c r="AV274" s="471"/>
      <c r="AW274" s="474"/>
    </row>
    <row r="275" spans="1:49" s="470" customFormat="1" ht="14.45" customHeight="1" x14ac:dyDescent="0.25">
      <c r="A275" s="297">
        <f t="shared" si="4"/>
        <v>25.4</v>
      </c>
      <c r="B275" s="465">
        <v>41913</v>
      </c>
      <c r="C275" s="466" t="s">
        <v>452</v>
      </c>
      <c r="D275" s="471" t="s">
        <v>505</v>
      </c>
      <c r="E275" s="471" t="s">
        <v>380</v>
      </c>
      <c r="F275" s="471" t="s">
        <v>527</v>
      </c>
      <c r="G275" s="471" t="s">
        <v>43</v>
      </c>
      <c r="H275" s="292"/>
      <c r="I275" s="292"/>
      <c r="J275" s="292"/>
      <c r="K275" s="292">
        <v>30</v>
      </c>
      <c r="L275" s="292"/>
      <c r="M275" s="292"/>
      <c r="N275" s="292"/>
      <c r="O275" s="292"/>
      <c r="P275" s="294"/>
      <c r="Q275" s="294"/>
      <c r="R275" s="294"/>
      <c r="S275" s="294"/>
      <c r="T275" s="294"/>
      <c r="U275" s="294"/>
      <c r="V275" s="431"/>
      <c r="W275" s="294"/>
      <c r="X275" s="294"/>
      <c r="Y275" s="294">
        <f>IF(NFI_Expiration=1,IF($A275&lt;VLOOKUP(H$5,NFI,5,0),1,0)*Table_NFI[[#This Row],[Hygiene Kit]],Table_NFI[Hygiene Kit])</f>
        <v>0</v>
      </c>
      <c r="Z275" s="294">
        <f>IF(NFI_Expiration=1,IF($A275&lt;VLOOKUP(I$5,NFI,5,0),1,0)*Table_NFI[[#This Row],[NFI Core Kit]],Table_NFI[NFI Core Kit])</f>
        <v>0</v>
      </c>
      <c r="AA275" s="294">
        <f>IF(NFI_Expiration=1,IF($A275&lt;VLOOKUP(J$5,NFI,5,0),1,0)*Table_NFI[[#This Row],[Sanitary Kit]],Table_NFI[Sanitary Kit])</f>
        <v>0</v>
      </c>
      <c r="AB275" s="294">
        <f>IF(NFI_Expiration=1,IF($A275&lt;VLOOKUP(K$5,NFI,5,0),1,0)*Table_NFI[[#This Row],[Mosquito net]],Table_NFI[Mosquito net])</f>
        <v>0</v>
      </c>
      <c r="AC275" s="294">
        <f>IF(NFI_Expiration=1,IF($A275&lt;VLOOKUP(L$5,NFI,5,0),1,0)*Table_NFI[[#This Row],[Tarpaulin]],Table_NFI[[#This Row],[Tarpaulin]])</f>
        <v>0</v>
      </c>
      <c r="AD275" s="294">
        <f>IF(NFI_Expiration=1,IF($A275&lt;VLOOKUP(M$5,NFI,5,0),1,0)*Table_NFI[[#This Row],[Blanket]],Table_NFI[[#This Row],[Blanket]])</f>
        <v>0</v>
      </c>
      <c r="AE275" s="294">
        <f>IF(NFI_Expiration=1,IF($A275&lt;VLOOKUP(N$5,NFI,5,0),1,0)*Table_NFI[[#This Row],[Kitchen Set]],Table_NFI[Kitchen Set])</f>
        <v>0</v>
      </c>
      <c r="AF275" s="294">
        <f>IF(NFI_Expiration=1,IF($A275&lt;VLOOKUP(O$5,NFI,5,0),1,0)*Table_NFI[[#This Row],[Clothes Kit]],Table_NFI[Clothes Kit])</f>
        <v>0</v>
      </c>
      <c r="AG275" s="294">
        <f>IF(NFI_Expiration=1,IF($A275&lt;VLOOKUP(P$5,NFI,5,0),1,0)*Table_NFI[[#This Row],[Plastic Bucket]],Table_NFI[Plastic Bucket])</f>
        <v>0</v>
      </c>
      <c r="AH275" s="294">
        <f>IF(NFI_Expiration=1,IF($A275&lt;VLOOKUP(Q$5,NFI,5,0),1,0)*Table_NFI[[#This Row],[Plastic Mat]],Table_NFI[Plastic Mat])*IF(Table_NFI[[#This Row],[Distribution Date]]&gt;"2014-04-01",1,2.5)</f>
        <v>0</v>
      </c>
      <c r="AI275" s="294">
        <f>IF(NFI_Expiration=1,IF($A275&lt;VLOOKUP(R$5,NFI,5,0),1,0)*Table_NFI[[#This Row],[Winter Clothes Adult]],Table_NFI[Winter Clothes Adult])</f>
        <v>0</v>
      </c>
      <c r="AJ275" s="294">
        <f>IF(NFI_Expiration=1,IF($A275&lt;VLOOKUP(S$5,NFI,5,0),1,0)*Table_NFI[[#This Row],[Winter Clothes Children]],Table_NFI[Winter Clothes Children])</f>
        <v>0</v>
      </c>
      <c r="AK275" s="294">
        <f>IF(NFI_Expiration=1,IF($A275&lt;VLOOKUP(T$5,NFI,5,0),1,0)*Table_NFI[[#This Row],[Winter Items Other]],Table_NFI[Winter Items Other])</f>
        <v>0</v>
      </c>
      <c r="AL275" s="294">
        <f>IF(NFI_Expiration=1,IF($A275&lt;VLOOKUP(M$5,NFI,5,0),1,0)*Table_NFI[[#This Row],[Winter Blanket]],Table_NFI[[#This Row],[Winter Blanket]])</f>
        <v>0</v>
      </c>
      <c r="AM275" s="294">
        <f>IF(Table_NFI[[#This Row],[Winter Clothes Adult]]+Table_NFI[[#This Row],[Winter Clothes Children]]+Table_NFI[[#This Row],[Winter Items Other]]+Table_NFI[[#This Row],[Winter Blanket]]&gt;0,1,0)</f>
        <v>0</v>
      </c>
      <c r="AN275" s="331">
        <f>IF(NFI_Expiration=1,IF($A275&lt;VLOOKUP(V$5,NFI,5,0),1,0)*Table_NFI[[#This Row],[Jerry Can]],Table_NFI[Jerry Can])</f>
        <v>0</v>
      </c>
      <c r="AO275" s="331">
        <f>IF(NFI_Expiration=1,IF($A275&lt;VLOOKUP(V$5,NFI,5,0),1,0)*Table_NFI[[#This Row],[Shelter Tool kit]],Table_NFI[Shelter Tool kit])</f>
        <v>0</v>
      </c>
      <c r="AP275" s="331">
        <f>IF(NFI_Expiration=1,IF($A275&lt;VLOOKUP(V$5,NFI,5,0),1,0)*Table_NFI[[#This Row],[Tent]],Table_NFI[Tent])</f>
        <v>0</v>
      </c>
      <c r="AQ275" s="473" t="str">
        <f>IFERROR(VLOOKUP(Table_NFI[[#This Row],[Camp Name]],CL,2,0),"")</f>
        <v>MMR001CMP190</v>
      </c>
      <c r="AR275" s="468">
        <f ca="1">IF(Table_NFI[[#This Row],[Pcode]]="","",IF(OFFSET(CampList[Opening Date],MATCH(Table_NFI[[#This Row],[Pcode]],CampList[CP_Pcode],0)-1,0,1,1)&gt;=NFI_Monitor_Date,1,0))</f>
        <v>0</v>
      </c>
      <c r="AS275" s="473" t="str">
        <f>IFERROR(VLOOKUP(Table_NFI[[#This Row],[Camp Name]],CL,3,0),"")</f>
        <v>Open</v>
      </c>
      <c r="AT275" s="294" t="str">
        <f ca="1">IF(Table_NFI[[#This Row],[Pcode]]="","",OFFSET(CampList[Priority],MATCH(Table_NFI[[#This Row],[Pcode]],CampList[CP_Pcode],0)-1,0,1,1))</f>
        <v>P4</v>
      </c>
      <c r="AU275" s="293">
        <f>IFERROR(Table_NFI[[#This Row],[Kitchen Set]]/VLOOKUP(Table_NFI[[#This Row],[Camp Name]],CL,4,0),"")</f>
        <v>0</v>
      </c>
      <c r="AV275" s="471"/>
      <c r="AW275" s="474"/>
    </row>
    <row r="276" spans="1:49" s="470" customFormat="1" ht="14.45" customHeight="1" x14ac:dyDescent="0.25">
      <c r="A276" s="297">
        <f t="shared" si="4"/>
        <v>25.4</v>
      </c>
      <c r="B276" s="465">
        <v>41913</v>
      </c>
      <c r="C276" s="466" t="s">
        <v>452</v>
      </c>
      <c r="D276" s="471" t="s">
        <v>505</v>
      </c>
      <c r="E276" s="471" t="s">
        <v>380</v>
      </c>
      <c r="F276" s="471" t="s">
        <v>527</v>
      </c>
      <c r="G276" s="471" t="s">
        <v>58</v>
      </c>
      <c r="H276" s="292"/>
      <c r="I276" s="292"/>
      <c r="J276" s="292"/>
      <c r="K276" s="292">
        <v>30</v>
      </c>
      <c r="L276" s="292"/>
      <c r="M276" s="292"/>
      <c r="N276" s="292"/>
      <c r="O276" s="292"/>
      <c r="P276" s="294"/>
      <c r="Q276" s="294"/>
      <c r="R276" s="294"/>
      <c r="S276" s="294"/>
      <c r="T276" s="294"/>
      <c r="U276" s="294"/>
      <c r="V276" s="431"/>
      <c r="W276" s="294"/>
      <c r="X276" s="294"/>
      <c r="Y276" s="294">
        <f>IF(NFI_Expiration=1,IF($A276&lt;VLOOKUP(H$5,NFI,5,0),1,0)*Table_NFI[[#This Row],[Hygiene Kit]],Table_NFI[Hygiene Kit])</f>
        <v>0</v>
      </c>
      <c r="Z276" s="294">
        <f>IF(NFI_Expiration=1,IF($A276&lt;VLOOKUP(I$5,NFI,5,0),1,0)*Table_NFI[[#This Row],[NFI Core Kit]],Table_NFI[NFI Core Kit])</f>
        <v>0</v>
      </c>
      <c r="AA276" s="294">
        <f>IF(NFI_Expiration=1,IF($A276&lt;VLOOKUP(J$5,NFI,5,0),1,0)*Table_NFI[[#This Row],[Sanitary Kit]],Table_NFI[Sanitary Kit])</f>
        <v>0</v>
      </c>
      <c r="AB276" s="294">
        <f>IF(NFI_Expiration=1,IF($A276&lt;VLOOKUP(K$5,NFI,5,0),1,0)*Table_NFI[[#This Row],[Mosquito net]],Table_NFI[Mosquito net])</f>
        <v>0</v>
      </c>
      <c r="AC276" s="294">
        <f>IF(NFI_Expiration=1,IF($A276&lt;VLOOKUP(L$5,NFI,5,0),1,0)*Table_NFI[[#This Row],[Tarpaulin]],Table_NFI[[#This Row],[Tarpaulin]])</f>
        <v>0</v>
      </c>
      <c r="AD276" s="294">
        <f>IF(NFI_Expiration=1,IF($A276&lt;VLOOKUP(M$5,NFI,5,0),1,0)*Table_NFI[[#This Row],[Blanket]],Table_NFI[[#This Row],[Blanket]])</f>
        <v>0</v>
      </c>
      <c r="AE276" s="294">
        <f>IF(NFI_Expiration=1,IF($A276&lt;VLOOKUP(N$5,NFI,5,0),1,0)*Table_NFI[[#This Row],[Kitchen Set]],Table_NFI[Kitchen Set])</f>
        <v>0</v>
      </c>
      <c r="AF276" s="294">
        <f>IF(NFI_Expiration=1,IF($A276&lt;VLOOKUP(O$5,NFI,5,0),1,0)*Table_NFI[[#This Row],[Clothes Kit]],Table_NFI[Clothes Kit])</f>
        <v>0</v>
      </c>
      <c r="AG276" s="294">
        <f>IF(NFI_Expiration=1,IF($A276&lt;VLOOKUP(P$5,NFI,5,0),1,0)*Table_NFI[[#This Row],[Plastic Bucket]],Table_NFI[Plastic Bucket])</f>
        <v>0</v>
      </c>
      <c r="AH276" s="294">
        <f>IF(NFI_Expiration=1,IF($A276&lt;VLOOKUP(Q$5,NFI,5,0),1,0)*Table_NFI[[#This Row],[Plastic Mat]],Table_NFI[Plastic Mat])*IF(Table_NFI[[#This Row],[Distribution Date]]&gt;"2014-04-01",1,2.5)</f>
        <v>0</v>
      </c>
      <c r="AI276" s="294">
        <f>IF(NFI_Expiration=1,IF($A276&lt;VLOOKUP(R$5,NFI,5,0),1,0)*Table_NFI[[#This Row],[Winter Clothes Adult]],Table_NFI[Winter Clothes Adult])</f>
        <v>0</v>
      </c>
      <c r="AJ276" s="294">
        <f>IF(NFI_Expiration=1,IF($A276&lt;VLOOKUP(S$5,NFI,5,0),1,0)*Table_NFI[[#This Row],[Winter Clothes Children]],Table_NFI[Winter Clothes Children])</f>
        <v>0</v>
      </c>
      <c r="AK276" s="294">
        <f>IF(NFI_Expiration=1,IF($A276&lt;VLOOKUP(T$5,NFI,5,0),1,0)*Table_NFI[[#This Row],[Winter Items Other]],Table_NFI[Winter Items Other])</f>
        <v>0</v>
      </c>
      <c r="AL276" s="294">
        <f>IF(NFI_Expiration=1,IF($A276&lt;VLOOKUP(M$5,NFI,5,0),1,0)*Table_NFI[[#This Row],[Winter Blanket]],Table_NFI[[#This Row],[Winter Blanket]])</f>
        <v>0</v>
      </c>
      <c r="AM276" s="294">
        <f>IF(Table_NFI[[#This Row],[Winter Clothes Adult]]+Table_NFI[[#This Row],[Winter Clothes Children]]+Table_NFI[[#This Row],[Winter Items Other]]+Table_NFI[[#This Row],[Winter Blanket]]&gt;0,1,0)</f>
        <v>0</v>
      </c>
      <c r="AN276" s="331">
        <f>IF(NFI_Expiration=1,IF($A276&lt;VLOOKUP(V$5,NFI,5,0),1,0)*Table_NFI[[#This Row],[Jerry Can]],Table_NFI[Jerry Can])</f>
        <v>0</v>
      </c>
      <c r="AO276" s="331">
        <f>IF(NFI_Expiration=1,IF($A276&lt;VLOOKUP(V$5,NFI,5,0),1,0)*Table_NFI[[#This Row],[Shelter Tool kit]],Table_NFI[Shelter Tool kit])</f>
        <v>0</v>
      </c>
      <c r="AP276" s="331">
        <f>IF(NFI_Expiration=1,IF($A276&lt;VLOOKUP(V$5,NFI,5,0),1,0)*Table_NFI[[#This Row],[Tent]],Table_NFI[Tent])</f>
        <v>0</v>
      </c>
      <c r="AQ276" s="473" t="str">
        <f>IFERROR(VLOOKUP(Table_NFI[[#This Row],[Camp Name]],CL,2,0),"")</f>
        <v>MMR001CMP188</v>
      </c>
      <c r="AR276" s="468">
        <f ca="1">IF(Table_NFI[[#This Row],[Pcode]]="","",IF(OFFSET(CampList[Opening Date],MATCH(Table_NFI[[#This Row],[Pcode]],CampList[CP_Pcode],0)-1,0,1,1)&gt;=NFI_Monitor_Date,1,0))</f>
        <v>0</v>
      </c>
      <c r="AS276" s="473" t="str">
        <f>IFERROR(VLOOKUP(Table_NFI[[#This Row],[Camp Name]],CL,3,0),"")</f>
        <v>Closed</v>
      </c>
      <c r="AT276" s="294" t="str">
        <f ca="1">IF(Table_NFI[[#This Row],[Pcode]]="","",OFFSET(CampList[Priority],MATCH(Table_NFI[[#This Row],[Pcode]],CampList[CP_Pcode],0)-1,0,1,1))</f>
        <v>P4</v>
      </c>
      <c r="AU276" s="293" t="str">
        <f>IFERROR(Table_NFI[[#This Row],[Kitchen Set]]/VLOOKUP(Table_NFI[[#This Row],[Camp Name]],CL,4,0),"")</f>
        <v/>
      </c>
      <c r="AV276" s="471"/>
      <c r="AW276" s="474"/>
    </row>
    <row r="277" spans="1:49" s="470" customFormat="1" x14ac:dyDescent="0.25">
      <c r="A277" s="297">
        <f t="shared" si="4"/>
        <v>25.4</v>
      </c>
      <c r="B277" s="465">
        <v>41913</v>
      </c>
      <c r="C277" s="466" t="s">
        <v>452</v>
      </c>
      <c r="D277" s="471" t="s">
        <v>505</v>
      </c>
      <c r="E277" s="471" t="s">
        <v>380</v>
      </c>
      <c r="F277" s="471" t="s">
        <v>527</v>
      </c>
      <c r="G277" s="471" t="s">
        <v>72</v>
      </c>
      <c r="H277" s="292"/>
      <c r="I277" s="292"/>
      <c r="J277" s="292"/>
      <c r="K277" s="292">
        <v>8</v>
      </c>
      <c r="L277" s="292"/>
      <c r="M277" s="292"/>
      <c r="N277" s="292"/>
      <c r="O277" s="292"/>
      <c r="P277" s="294"/>
      <c r="Q277" s="294"/>
      <c r="R277" s="294"/>
      <c r="S277" s="294"/>
      <c r="T277" s="294"/>
      <c r="U277" s="294"/>
      <c r="V277" s="431"/>
      <c r="W277" s="294"/>
      <c r="X277" s="294"/>
      <c r="Y277" s="294">
        <f>IF(NFI_Expiration=1,IF($A277&lt;VLOOKUP(H$5,NFI,5,0),1,0)*Table_NFI[[#This Row],[Hygiene Kit]],Table_NFI[Hygiene Kit])</f>
        <v>0</v>
      </c>
      <c r="Z277" s="294">
        <f>IF(NFI_Expiration=1,IF($A277&lt;VLOOKUP(I$5,NFI,5,0),1,0)*Table_NFI[[#This Row],[NFI Core Kit]],Table_NFI[NFI Core Kit])</f>
        <v>0</v>
      </c>
      <c r="AA277" s="294">
        <f>IF(NFI_Expiration=1,IF($A277&lt;VLOOKUP(J$5,NFI,5,0),1,0)*Table_NFI[[#This Row],[Sanitary Kit]],Table_NFI[Sanitary Kit])</f>
        <v>0</v>
      </c>
      <c r="AB277" s="294">
        <f>IF(NFI_Expiration=1,IF($A277&lt;VLOOKUP(K$5,NFI,5,0),1,0)*Table_NFI[[#This Row],[Mosquito net]],Table_NFI[Mosquito net])</f>
        <v>0</v>
      </c>
      <c r="AC277" s="294">
        <f>IF(NFI_Expiration=1,IF($A277&lt;VLOOKUP(L$5,NFI,5,0),1,0)*Table_NFI[[#This Row],[Tarpaulin]],Table_NFI[[#This Row],[Tarpaulin]])</f>
        <v>0</v>
      </c>
      <c r="AD277" s="294">
        <f>IF(NFI_Expiration=1,IF($A277&lt;VLOOKUP(M$5,NFI,5,0),1,0)*Table_NFI[[#This Row],[Blanket]],Table_NFI[[#This Row],[Blanket]])</f>
        <v>0</v>
      </c>
      <c r="AE277" s="294">
        <f>IF(NFI_Expiration=1,IF($A277&lt;VLOOKUP(N$5,NFI,5,0),1,0)*Table_NFI[[#This Row],[Kitchen Set]],Table_NFI[Kitchen Set])</f>
        <v>0</v>
      </c>
      <c r="AF277" s="294">
        <f>IF(NFI_Expiration=1,IF($A277&lt;VLOOKUP(O$5,NFI,5,0),1,0)*Table_NFI[[#This Row],[Clothes Kit]],Table_NFI[Clothes Kit])</f>
        <v>0</v>
      </c>
      <c r="AG277" s="294">
        <f>IF(NFI_Expiration=1,IF($A277&lt;VLOOKUP(P$5,NFI,5,0),1,0)*Table_NFI[[#This Row],[Plastic Bucket]],Table_NFI[Plastic Bucket])</f>
        <v>0</v>
      </c>
      <c r="AH277" s="294">
        <f>IF(NFI_Expiration=1,IF($A277&lt;VLOOKUP(Q$5,NFI,5,0),1,0)*Table_NFI[[#This Row],[Plastic Mat]],Table_NFI[Plastic Mat])*IF(Table_NFI[[#This Row],[Distribution Date]]&gt;"2014-04-01",1,2.5)</f>
        <v>0</v>
      </c>
      <c r="AI277" s="294">
        <f>IF(NFI_Expiration=1,IF($A277&lt;VLOOKUP(R$5,NFI,5,0),1,0)*Table_NFI[[#This Row],[Winter Clothes Adult]],Table_NFI[Winter Clothes Adult])</f>
        <v>0</v>
      </c>
      <c r="AJ277" s="294">
        <f>IF(NFI_Expiration=1,IF($A277&lt;VLOOKUP(S$5,NFI,5,0),1,0)*Table_NFI[[#This Row],[Winter Clothes Children]],Table_NFI[Winter Clothes Children])</f>
        <v>0</v>
      </c>
      <c r="AK277" s="294">
        <f>IF(NFI_Expiration=1,IF($A277&lt;VLOOKUP(T$5,NFI,5,0),1,0)*Table_NFI[[#This Row],[Winter Items Other]],Table_NFI[Winter Items Other])</f>
        <v>0</v>
      </c>
      <c r="AL277" s="294">
        <f>IF(NFI_Expiration=1,IF($A277&lt;VLOOKUP(M$5,NFI,5,0),1,0)*Table_NFI[[#This Row],[Winter Blanket]],Table_NFI[[#This Row],[Winter Blanket]])</f>
        <v>0</v>
      </c>
      <c r="AM277" s="294">
        <f>IF(Table_NFI[[#This Row],[Winter Clothes Adult]]+Table_NFI[[#This Row],[Winter Clothes Children]]+Table_NFI[[#This Row],[Winter Items Other]]+Table_NFI[[#This Row],[Winter Blanket]]&gt;0,1,0)</f>
        <v>0</v>
      </c>
      <c r="AN277" s="331">
        <f>IF(NFI_Expiration=1,IF($A277&lt;VLOOKUP(V$5,NFI,5,0),1,0)*Table_NFI[[#This Row],[Jerry Can]],Table_NFI[Jerry Can])</f>
        <v>0</v>
      </c>
      <c r="AO277" s="331">
        <f>IF(NFI_Expiration=1,IF($A277&lt;VLOOKUP(V$5,NFI,5,0),1,0)*Table_NFI[[#This Row],[Shelter Tool kit]],Table_NFI[Shelter Tool kit])</f>
        <v>0</v>
      </c>
      <c r="AP277" s="331">
        <f>IF(NFI_Expiration=1,IF($A277&lt;VLOOKUP(V$5,NFI,5,0),1,0)*Table_NFI[[#This Row],[Tent]],Table_NFI[Tent])</f>
        <v>0</v>
      </c>
      <c r="AQ277" s="473" t="str">
        <f>IFERROR(VLOOKUP(Table_NFI[[#This Row],[Camp Name]],CL,2,0),"")</f>
        <v>MMR001CMP109</v>
      </c>
      <c r="AR277" s="468">
        <f ca="1">IF(Table_NFI[[#This Row],[Pcode]]="","",IF(OFFSET(CampList[Opening Date],MATCH(Table_NFI[[#This Row],[Pcode]],CampList[CP_Pcode],0)-1,0,1,1)&gt;=NFI_Monitor_Date,1,0))</f>
        <v>0</v>
      </c>
      <c r="AS277" s="473" t="str">
        <f>IFERROR(VLOOKUP(Table_NFI[[#This Row],[Camp Name]],CL,3,0),"")</f>
        <v>Open</v>
      </c>
      <c r="AT277" s="294" t="str">
        <f ca="1">IF(Table_NFI[[#This Row],[Pcode]]="","",OFFSET(CampList[Priority],MATCH(Table_NFI[[#This Row],[Pcode]],CampList[CP_Pcode],0)-1,0,1,1))</f>
        <v>P4</v>
      </c>
      <c r="AU277" s="293">
        <f>IFERROR(Table_NFI[[#This Row],[Kitchen Set]]/VLOOKUP(Table_NFI[[#This Row],[Camp Name]],CL,4,0),"")</f>
        <v>0</v>
      </c>
      <c r="AV277" s="471"/>
      <c r="AW277" s="474"/>
    </row>
    <row r="278" spans="1:49" s="470" customFormat="1" ht="14.45" customHeight="1" x14ac:dyDescent="0.25">
      <c r="A278" s="297">
        <f t="shared" si="4"/>
        <v>25.4</v>
      </c>
      <c r="B278" s="465">
        <v>41913</v>
      </c>
      <c r="C278" s="466" t="s">
        <v>452</v>
      </c>
      <c r="D278" s="471" t="s">
        <v>505</v>
      </c>
      <c r="E278" s="471" t="s">
        <v>380</v>
      </c>
      <c r="F278" s="471" t="s">
        <v>27</v>
      </c>
      <c r="G278" s="471" t="s">
        <v>28</v>
      </c>
      <c r="H278" s="292"/>
      <c r="I278" s="292"/>
      <c r="J278" s="292"/>
      <c r="K278" s="292">
        <v>214</v>
      </c>
      <c r="L278" s="292"/>
      <c r="M278" s="292"/>
      <c r="N278" s="292"/>
      <c r="O278" s="292"/>
      <c r="P278" s="294"/>
      <c r="Q278" s="294"/>
      <c r="R278" s="294"/>
      <c r="S278" s="294"/>
      <c r="T278" s="294"/>
      <c r="U278" s="294">
        <v>214</v>
      </c>
      <c r="V278" s="431"/>
      <c r="W278" s="294"/>
      <c r="X278" s="294"/>
      <c r="Y278" s="294">
        <f>IF(NFI_Expiration=1,IF($A278&lt;VLOOKUP(H$5,NFI,5,0),1,0)*Table_NFI[[#This Row],[Hygiene Kit]],Table_NFI[Hygiene Kit])</f>
        <v>0</v>
      </c>
      <c r="Z278" s="294">
        <f>IF(NFI_Expiration=1,IF($A278&lt;VLOOKUP(I$5,NFI,5,0),1,0)*Table_NFI[[#This Row],[NFI Core Kit]],Table_NFI[NFI Core Kit])</f>
        <v>0</v>
      </c>
      <c r="AA278" s="294">
        <f>IF(NFI_Expiration=1,IF($A278&lt;VLOOKUP(J$5,NFI,5,0),1,0)*Table_NFI[[#This Row],[Sanitary Kit]],Table_NFI[Sanitary Kit])</f>
        <v>0</v>
      </c>
      <c r="AB278" s="294">
        <f>IF(NFI_Expiration=1,IF($A278&lt;VLOOKUP(K$5,NFI,5,0),1,0)*Table_NFI[[#This Row],[Mosquito net]],Table_NFI[Mosquito net])</f>
        <v>0</v>
      </c>
      <c r="AC278" s="294">
        <f>IF(NFI_Expiration=1,IF($A278&lt;VLOOKUP(L$5,NFI,5,0),1,0)*Table_NFI[[#This Row],[Tarpaulin]],Table_NFI[[#This Row],[Tarpaulin]])</f>
        <v>0</v>
      </c>
      <c r="AD278" s="294">
        <f>IF(NFI_Expiration=1,IF($A278&lt;VLOOKUP(M$5,NFI,5,0),1,0)*Table_NFI[[#This Row],[Blanket]],Table_NFI[[#This Row],[Blanket]])</f>
        <v>0</v>
      </c>
      <c r="AE278" s="294">
        <f>IF(NFI_Expiration=1,IF($A278&lt;VLOOKUP(N$5,NFI,5,0),1,0)*Table_NFI[[#This Row],[Kitchen Set]],Table_NFI[Kitchen Set])</f>
        <v>0</v>
      </c>
      <c r="AF278" s="294">
        <f>IF(NFI_Expiration=1,IF($A278&lt;VLOOKUP(O$5,NFI,5,0),1,0)*Table_NFI[[#This Row],[Clothes Kit]],Table_NFI[Clothes Kit])</f>
        <v>0</v>
      </c>
      <c r="AG278" s="294">
        <f>IF(NFI_Expiration=1,IF($A278&lt;VLOOKUP(P$5,NFI,5,0),1,0)*Table_NFI[[#This Row],[Plastic Bucket]],Table_NFI[Plastic Bucket])</f>
        <v>0</v>
      </c>
      <c r="AH278" s="294">
        <f>IF(NFI_Expiration=1,IF($A278&lt;VLOOKUP(Q$5,NFI,5,0),1,0)*Table_NFI[[#This Row],[Plastic Mat]],Table_NFI[Plastic Mat])*IF(Table_NFI[[#This Row],[Distribution Date]]&gt;"2014-04-01",1,2.5)</f>
        <v>0</v>
      </c>
      <c r="AI278" s="294">
        <f>IF(NFI_Expiration=1,IF($A278&lt;VLOOKUP(R$5,NFI,5,0),1,0)*Table_NFI[[#This Row],[Winter Clothes Adult]],Table_NFI[Winter Clothes Adult])</f>
        <v>0</v>
      </c>
      <c r="AJ278" s="294">
        <f>IF(NFI_Expiration=1,IF($A278&lt;VLOOKUP(S$5,NFI,5,0),1,0)*Table_NFI[[#This Row],[Winter Clothes Children]],Table_NFI[Winter Clothes Children])</f>
        <v>0</v>
      </c>
      <c r="AK278" s="294">
        <f>IF(NFI_Expiration=1,IF($A278&lt;VLOOKUP(T$5,NFI,5,0),1,0)*Table_NFI[[#This Row],[Winter Items Other]],Table_NFI[Winter Items Other])</f>
        <v>0</v>
      </c>
      <c r="AL278" s="294">
        <f>IF(NFI_Expiration=1,IF($A278&lt;VLOOKUP(M$5,NFI,5,0),1,0)*Table_NFI[[#This Row],[Winter Blanket]],Table_NFI[[#This Row],[Winter Blanket]])</f>
        <v>0</v>
      </c>
      <c r="AM278" s="294">
        <f>IF(Table_NFI[[#This Row],[Winter Clothes Adult]]+Table_NFI[[#This Row],[Winter Clothes Children]]+Table_NFI[[#This Row],[Winter Items Other]]+Table_NFI[[#This Row],[Winter Blanket]]&gt;0,1,0)</f>
        <v>1</v>
      </c>
      <c r="AN278" s="331">
        <f>IF(NFI_Expiration=1,IF($A278&lt;VLOOKUP(V$5,NFI,5,0),1,0)*Table_NFI[[#This Row],[Jerry Can]],Table_NFI[Jerry Can])</f>
        <v>0</v>
      </c>
      <c r="AO278" s="331">
        <f>IF(NFI_Expiration=1,IF($A278&lt;VLOOKUP(V$5,NFI,5,0),1,0)*Table_NFI[[#This Row],[Shelter Tool kit]],Table_NFI[Shelter Tool kit])</f>
        <v>0</v>
      </c>
      <c r="AP278" s="331">
        <f>IF(NFI_Expiration=1,IF($A278&lt;VLOOKUP(V$5,NFI,5,0),1,0)*Table_NFI[[#This Row],[Tent]],Table_NFI[Tent])</f>
        <v>0</v>
      </c>
      <c r="AQ278" s="473" t="str">
        <f>IFERROR(VLOOKUP(Table_NFI[[#This Row],[Camp Name]],CL,2,0),"")</f>
        <v>MMR001CMP042</v>
      </c>
      <c r="AR278" s="468">
        <f ca="1">IF(Table_NFI[[#This Row],[Pcode]]="","",IF(OFFSET(CampList[Opening Date],MATCH(Table_NFI[[#This Row],[Pcode]],CampList[CP_Pcode],0)-1,0,1,1)&gt;=NFI_Monitor_Date,1,0))</f>
        <v>0</v>
      </c>
      <c r="AS278" s="473" t="str">
        <f>IFERROR(VLOOKUP(Table_NFI[[#This Row],[Camp Name]],CL,3,0),"")</f>
        <v>Open</v>
      </c>
      <c r="AT278" s="294" t="str">
        <f ca="1">IF(Table_NFI[[#This Row],[Pcode]]="","",OFFSET(CampList[Priority],MATCH(Table_NFI[[#This Row],[Pcode]],CampList[CP_Pcode],0)-1,0,1,1))</f>
        <v>P1</v>
      </c>
      <c r="AU278" s="293">
        <f>IFERROR(Table_NFI[[#This Row],[Kitchen Set]]/VLOOKUP(Table_NFI[[#This Row],[Camp Name]],CL,4,0),"")</f>
        <v>0</v>
      </c>
      <c r="AV278" s="471"/>
      <c r="AW278" s="474"/>
    </row>
    <row r="279" spans="1:49" s="470" customFormat="1" x14ac:dyDescent="0.25">
      <c r="A279" s="297">
        <f t="shared" si="4"/>
        <v>25.4</v>
      </c>
      <c r="B279" s="465">
        <v>41913</v>
      </c>
      <c r="C279" s="466" t="s">
        <v>452</v>
      </c>
      <c r="D279" s="471" t="s">
        <v>505</v>
      </c>
      <c r="E279" s="471" t="s">
        <v>380</v>
      </c>
      <c r="F279" s="471" t="s">
        <v>527</v>
      </c>
      <c r="G279" s="471" t="s">
        <v>76</v>
      </c>
      <c r="H279" s="292"/>
      <c r="I279" s="292"/>
      <c r="J279" s="292"/>
      <c r="K279" s="292">
        <v>130</v>
      </c>
      <c r="L279" s="292"/>
      <c r="M279" s="292"/>
      <c r="N279" s="292"/>
      <c r="O279" s="292"/>
      <c r="P279" s="294"/>
      <c r="Q279" s="294"/>
      <c r="R279" s="294"/>
      <c r="S279" s="294"/>
      <c r="T279" s="294"/>
      <c r="U279" s="294"/>
      <c r="V279" s="431"/>
      <c r="W279" s="294"/>
      <c r="X279" s="294"/>
      <c r="Y279" s="294">
        <f>IF(NFI_Expiration=1,IF($A279&lt;VLOOKUP(H$5,NFI,5,0),1,0)*Table_NFI[[#This Row],[Hygiene Kit]],Table_NFI[Hygiene Kit])</f>
        <v>0</v>
      </c>
      <c r="Z279" s="294">
        <f>IF(NFI_Expiration=1,IF($A279&lt;VLOOKUP(I$5,NFI,5,0),1,0)*Table_NFI[[#This Row],[NFI Core Kit]],Table_NFI[NFI Core Kit])</f>
        <v>0</v>
      </c>
      <c r="AA279" s="294">
        <f>IF(NFI_Expiration=1,IF($A279&lt;VLOOKUP(J$5,NFI,5,0),1,0)*Table_NFI[[#This Row],[Sanitary Kit]],Table_NFI[Sanitary Kit])</f>
        <v>0</v>
      </c>
      <c r="AB279" s="294">
        <f>IF(NFI_Expiration=1,IF($A279&lt;VLOOKUP(K$5,NFI,5,0),1,0)*Table_NFI[[#This Row],[Mosquito net]],Table_NFI[Mosquito net])</f>
        <v>0</v>
      </c>
      <c r="AC279" s="294">
        <f>IF(NFI_Expiration=1,IF($A279&lt;VLOOKUP(L$5,NFI,5,0),1,0)*Table_NFI[[#This Row],[Tarpaulin]],Table_NFI[[#This Row],[Tarpaulin]])</f>
        <v>0</v>
      </c>
      <c r="AD279" s="294">
        <f>IF(NFI_Expiration=1,IF($A279&lt;VLOOKUP(M$5,NFI,5,0),1,0)*Table_NFI[[#This Row],[Blanket]],Table_NFI[[#This Row],[Blanket]])</f>
        <v>0</v>
      </c>
      <c r="AE279" s="294">
        <f>IF(NFI_Expiration=1,IF($A279&lt;VLOOKUP(N$5,NFI,5,0),1,0)*Table_NFI[[#This Row],[Kitchen Set]],Table_NFI[Kitchen Set])</f>
        <v>0</v>
      </c>
      <c r="AF279" s="294">
        <f>IF(NFI_Expiration=1,IF($A279&lt;VLOOKUP(O$5,NFI,5,0),1,0)*Table_NFI[[#This Row],[Clothes Kit]],Table_NFI[Clothes Kit])</f>
        <v>0</v>
      </c>
      <c r="AG279" s="294">
        <f>IF(NFI_Expiration=1,IF($A279&lt;VLOOKUP(P$5,NFI,5,0),1,0)*Table_NFI[[#This Row],[Plastic Bucket]],Table_NFI[Plastic Bucket])</f>
        <v>0</v>
      </c>
      <c r="AH279" s="294">
        <f>IF(NFI_Expiration=1,IF($A279&lt;VLOOKUP(Q$5,NFI,5,0),1,0)*Table_NFI[[#This Row],[Plastic Mat]],Table_NFI[Plastic Mat])*IF(Table_NFI[[#This Row],[Distribution Date]]&gt;"2014-04-01",1,2.5)</f>
        <v>0</v>
      </c>
      <c r="AI279" s="294">
        <f>IF(NFI_Expiration=1,IF($A279&lt;VLOOKUP(R$5,NFI,5,0),1,0)*Table_NFI[[#This Row],[Winter Clothes Adult]],Table_NFI[Winter Clothes Adult])</f>
        <v>0</v>
      </c>
      <c r="AJ279" s="294">
        <f>IF(NFI_Expiration=1,IF($A279&lt;VLOOKUP(S$5,NFI,5,0),1,0)*Table_NFI[[#This Row],[Winter Clothes Children]],Table_NFI[Winter Clothes Children])</f>
        <v>0</v>
      </c>
      <c r="AK279" s="294">
        <f>IF(NFI_Expiration=1,IF($A279&lt;VLOOKUP(T$5,NFI,5,0),1,0)*Table_NFI[[#This Row],[Winter Items Other]],Table_NFI[Winter Items Other])</f>
        <v>0</v>
      </c>
      <c r="AL279" s="294">
        <f>IF(NFI_Expiration=1,IF($A279&lt;VLOOKUP(M$5,NFI,5,0),1,0)*Table_NFI[[#This Row],[Winter Blanket]],Table_NFI[[#This Row],[Winter Blanket]])</f>
        <v>0</v>
      </c>
      <c r="AM279" s="294">
        <f>IF(Table_NFI[[#This Row],[Winter Clothes Adult]]+Table_NFI[[#This Row],[Winter Clothes Children]]+Table_NFI[[#This Row],[Winter Items Other]]+Table_NFI[[#This Row],[Winter Blanket]]&gt;0,1,0)</f>
        <v>0</v>
      </c>
      <c r="AN279" s="331">
        <f>IF(NFI_Expiration=1,IF($A279&lt;VLOOKUP(V$5,NFI,5,0),1,0)*Table_NFI[[#This Row],[Jerry Can]],Table_NFI[Jerry Can])</f>
        <v>0</v>
      </c>
      <c r="AO279" s="331">
        <f>IF(NFI_Expiration=1,IF($A279&lt;VLOOKUP(V$5,NFI,5,0),1,0)*Table_NFI[[#This Row],[Shelter Tool kit]],Table_NFI[Shelter Tool kit])</f>
        <v>0</v>
      </c>
      <c r="AP279" s="331">
        <f>IF(NFI_Expiration=1,IF($A279&lt;VLOOKUP(V$5,NFI,5,0),1,0)*Table_NFI[[#This Row],[Tent]],Table_NFI[Tent])</f>
        <v>0</v>
      </c>
      <c r="AQ279" s="473" t="str">
        <f>IFERROR(VLOOKUP(Table_NFI[[#This Row],[Camp Name]],CL,2,0),"")</f>
        <v>MMR001CMP174</v>
      </c>
      <c r="AR279" s="468">
        <f ca="1">IF(Table_NFI[[#This Row],[Pcode]]="","",IF(OFFSET(CampList[Opening Date],MATCH(Table_NFI[[#This Row],[Pcode]],CampList[CP_Pcode],0)-1,0,1,1)&gt;=NFI_Monitor_Date,1,0))</f>
        <v>0</v>
      </c>
      <c r="AS279" s="473" t="str">
        <f>IFERROR(VLOOKUP(Table_NFI[[#This Row],[Camp Name]],CL,3,0),"")</f>
        <v>Open</v>
      </c>
      <c r="AT279" s="294" t="str">
        <f ca="1">IF(Table_NFI[[#This Row],[Pcode]]="","",OFFSET(CampList[Priority],MATCH(Table_NFI[[#This Row],[Pcode]],CampList[CP_Pcode],0)-1,0,1,1))</f>
        <v>P4</v>
      </c>
      <c r="AU279" s="293">
        <f>IFERROR(Table_NFI[[#This Row],[Kitchen Set]]/VLOOKUP(Table_NFI[[#This Row],[Camp Name]],CL,4,0),"")</f>
        <v>0</v>
      </c>
      <c r="AV279" s="471"/>
      <c r="AW279" s="474"/>
    </row>
    <row r="280" spans="1:49" s="470" customFormat="1" ht="14.45" customHeight="1" x14ac:dyDescent="0.25">
      <c r="A280" s="297">
        <f t="shared" si="4"/>
        <v>25.4</v>
      </c>
      <c r="B280" s="465">
        <v>41913</v>
      </c>
      <c r="C280" s="466" t="s">
        <v>452</v>
      </c>
      <c r="D280" s="471" t="s">
        <v>506</v>
      </c>
      <c r="E280" s="471" t="s">
        <v>380</v>
      </c>
      <c r="F280" s="471" t="s">
        <v>185</v>
      </c>
      <c r="G280" s="471" t="s">
        <v>192</v>
      </c>
      <c r="H280" s="292"/>
      <c r="I280" s="292"/>
      <c r="J280" s="292"/>
      <c r="K280" s="292">
        <v>238</v>
      </c>
      <c r="L280" s="292"/>
      <c r="M280" s="292"/>
      <c r="N280" s="292"/>
      <c r="O280" s="292"/>
      <c r="P280" s="294"/>
      <c r="Q280" s="294"/>
      <c r="R280" s="294"/>
      <c r="S280" s="294"/>
      <c r="T280" s="294"/>
      <c r="U280" s="294">
        <v>238</v>
      </c>
      <c r="V280" s="431"/>
      <c r="W280" s="294"/>
      <c r="X280" s="294"/>
      <c r="Y280" s="294">
        <f>IF(NFI_Expiration=1,IF($A280&lt;VLOOKUP(H$5,NFI,5,0),1,0)*Table_NFI[[#This Row],[Hygiene Kit]],Table_NFI[Hygiene Kit])</f>
        <v>0</v>
      </c>
      <c r="Z280" s="294">
        <f>IF(NFI_Expiration=1,IF($A280&lt;VLOOKUP(I$5,NFI,5,0),1,0)*Table_NFI[[#This Row],[NFI Core Kit]],Table_NFI[NFI Core Kit])</f>
        <v>0</v>
      </c>
      <c r="AA280" s="294">
        <f>IF(NFI_Expiration=1,IF($A280&lt;VLOOKUP(J$5,NFI,5,0),1,0)*Table_NFI[[#This Row],[Sanitary Kit]],Table_NFI[Sanitary Kit])</f>
        <v>0</v>
      </c>
      <c r="AB280" s="294">
        <f>IF(NFI_Expiration=1,IF($A280&lt;VLOOKUP(K$5,NFI,5,0),1,0)*Table_NFI[[#This Row],[Mosquito net]],Table_NFI[Mosquito net])</f>
        <v>0</v>
      </c>
      <c r="AC280" s="294">
        <f>IF(NFI_Expiration=1,IF($A280&lt;VLOOKUP(L$5,NFI,5,0),1,0)*Table_NFI[[#This Row],[Tarpaulin]],Table_NFI[[#This Row],[Tarpaulin]])</f>
        <v>0</v>
      </c>
      <c r="AD280" s="294">
        <f>IF(NFI_Expiration=1,IF($A280&lt;VLOOKUP(M$5,NFI,5,0),1,0)*Table_NFI[[#This Row],[Blanket]],Table_NFI[[#This Row],[Blanket]])</f>
        <v>0</v>
      </c>
      <c r="AE280" s="294">
        <f>IF(NFI_Expiration=1,IF($A280&lt;VLOOKUP(N$5,NFI,5,0),1,0)*Table_NFI[[#This Row],[Kitchen Set]],Table_NFI[Kitchen Set])</f>
        <v>0</v>
      </c>
      <c r="AF280" s="294">
        <f>IF(NFI_Expiration=1,IF($A280&lt;VLOOKUP(O$5,NFI,5,0),1,0)*Table_NFI[[#This Row],[Clothes Kit]],Table_NFI[Clothes Kit])</f>
        <v>0</v>
      </c>
      <c r="AG280" s="294">
        <f>IF(NFI_Expiration=1,IF($A280&lt;VLOOKUP(P$5,NFI,5,0),1,0)*Table_NFI[[#This Row],[Plastic Bucket]],Table_NFI[Plastic Bucket])</f>
        <v>0</v>
      </c>
      <c r="AH280" s="294">
        <f>IF(NFI_Expiration=1,IF($A280&lt;VLOOKUP(Q$5,NFI,5,0),1,0)*Table_NFI[[#This Row],[Plastic Mat]],Table_NFI[Plastic Mat])*IF(Table_NFI[[#This Row],[Distribution Date]]&gt;"2014-04-01",1,2.5)</f>
        <v>0</v>
      </c>
      <c r="AI280" s="294">
        <f>IF(NFI_Expiration=1,IF($A280&lt;VLOOKUP(R$5,NFI,5,0),1,0)*Table_NFI[[#This Row],[Winter Clothes Adult]],Table_NFI[Winter Clothes Adult])</f>
        <v>0</v>
      </c>
      <c r="AJ280" s="294">
        <f>IF(NFI_Expiration=1,IF($A280&lt;VLOOKUP(S$5,NFI,5,0),1,0)*Table_NFI[[#This Row],[Winter Clothes Children]],Table_NFI[Winter Clothes Children])</f>
        <v>0</v>
      </c>
      <c r="AK280" s="294">
        <f>IF(NFI_Expiration=1,IF($A280&lt;VLOOKUP(T$5,NFI,5,0),1,0)*Table_NFI[[#This Row],[Winter Items Other]],Table_NFI[Winter Items Other])</f>
        <v>0</v>
      </c>
      <c r="AL280" s="294">
        <f>IF(NFI_Expiration=1,IF($A280&lt;VLOOKUP(M$5,NFI,5,0),1,0)*Table_NFI[[#This Row],[Winter Blanket]],Table_NFI[[#This Row],[Winter Blanket]])</f>
        <v>0</v>
      </c>
      <c r="AM280" s="294">
        <f>IF(Table_NFI[[#This Row],[Winter Clothes Adult]]+Table_NFI[[#This Row],[Winter Clothes Children]]+Table_NFI[[#This Row],[Winter Items Other]]+Table_NFI[[#This Row],[Winter Blanket]]&gt;0,1,0)</f>
        <v>1</v>
      </c>
      <c r="AN280" s="331">
        <f>IF(NFI_Expiration=1,IF($A280&lt;VLOOKUP(V$5,NFI,5,0),1,0)*Table_NFI[[#This Row],[Jerry Can]],Table_NFI[Jerry Can])</f>
        <v>0</v>
      </c>
      <c r="AO280" s="331">
        <f>IF(NFI_Expiration=1,IF($A280&lt;VLOOKUP(V$5,NFI,5,0),1,0)*Table_NFI[[#This Row],[Shelter Tool kit]],Table_NFI[Shelter Tool kit])</f>
        <v>0</v>
      </c>
      <c r="AP280" s="331">
        <f>IF(NFI_Expiration=1,IF($A280&lt;VLOOKUP(V$5,NFI,5,0),1,0)*Table_NFI[[#This Row],[Tent]],Table_NFI[Tent])</f>
        <v>0</v>
      </c>
      <c r="AQ280" s="473" t="str">
        <f>IFERROR(VLOOKUP(Table_NFI[[#This Row],[Camp Name]],CL,2,0),"")</f>
        <v>MMR001CMP123</v>
      </c>
      <c r="AR280" s="468">
        <f ca="1">IF(Table_NFI[[#This Row],[Pcode]]="","",IF(OFFSET(CampList[Opening Date],MATCH(Table_NFI[[#This Row],[Pcode]],CampList[CP_Pcode],0)-1,0,1,1)&gt;=NFI_Monitor_Date,1,0))</f>
        <v>0</v>
      </c>
      <c r="AS280" s="473" t="str">
        <f>IFERROR(VLOOKUP(Table_NFI[[#This Row],[Camp Name]],CL,3,0),"")</f>
        <v>Open</v>
      </c>
      <c r="AT280" s="294" t="str">
        <f ca="1">IF(Table_NFI[[#This Row],[Pcode]]="","",OFFSET(CampList[Priority],MATCH(Table_NFI[[#This Row],[Pcode]],CampList[CP_Pcode],0)-1,0,1,1))</f>
        <v>P2</v>
      </c>
      <c r="AU280" s="293">
        <f>IFERROR(Table_NFI[[#This Row],[Kitchen Set]]/VLOOKUP(Table_NFI[[#This Row],[Camp Name]],CL,4,0),"")</f>
        <v>0</v>
      </c>
      <c r="AV280" s="471"/>
      <c r="AW280" s="474"/>
    </row>
    <row r="281" spans="1:49" s="470" customFormat="1" ht="14.45" customHeight="1" x14ac:dyDescent="0.25">
      <c r="A281" s="297">
        <f t="shared" si="4"/>
        <v>25.4</v>
      </c>
      <c r="B281" s="465">
        <v>41913</v>
      </c>
      <c r="C281" s="466" t="s">
        <v>452</v>
      </c>
      <c r="D281" s="471" t="s">
        <v>505</v>
      </c>
      <c r="E281" s="471" t="s">
        <v>380</v>
      </c>
      <c r="F281" s="471" t="s">
        <v>310</v>
      </c>
      <c r="G281" s="471" t="s">
        <v>313</v>
      </c>
      <c r="H281" s="292"/>
      <c r="I281" s="292"/>
      <c r="J281" s="292"/>
      <c r="K281" s="292">
        <v>268</v>
      </c>
      <c r="L281" s="292"/>
      <c r="M281" s="292"/>
      <c r="N281" s="292"/>
      <c r="O281" s="292"/>
      <c r="P281" s="294"/>
      <c r="Q281" s="294"/>
      <c r="R281" s="294"/>
      <c r="S281" s="294"/>
      <c r="T281" s="294"/>
      <c r="U281" s="294"/>
      <c r="V281" s="431"/>
      <c r="W281" s="294"/>
      <c r="X281" s="294"/>
      <c r="Y281" s="294">
        <f>IF(NFI_Expiration=1,IF($A281&lt;VLOOKUP(H$5,NFI,5,0),1,0)*Table_NFI[[#This Row],[Hygiene Kit]],Table_NFI[Hygiene Kit])</f>
        <v>0</v>
      </c>
      <c r="Z281" s="294">
        <f>IF(NFI_Expiration=1,IF($A281&lt;VLOOKUP(I$5,NFI,5,0),1,0)*Table_NFI[[#This Row],[NFI Core Kit]],Table_NFI[NFI Core Kit])</f>
        <v>0</v>
      </c>
      <c r="AA281" s="294">
        <f>IF(NFI_Expiration=1,IF($A281&lt;VLOOKUP(J$5,NFI,5,0),1,0)*Table_NFI[[#This Row],[Sanitary Kit]],Table_NFI[Sanitary Kit])</f>
        <v>0</v>
      </c>
      <c r="AB281" s="294">
        <f>IF(NFI_Expiration=1,IF($A281&lt;VLOOKUP(K$5,NFI,5,0),1,0)*Table_NFI[[#This Row],[Mosquito net]],Table_NFI[Mosquito net])</f>
        <v>0</v>
      </c>
      <c r="AC281" s="294">
        <f>IF(NFI_Expiration=1,IF($A281&lt;VLOOKUP(L$5,NFI,5,0),1,0)*Table_NFI[[#This Row],[Tarpaulin]],Table_NFI[[#This Row],[Tarpaulin]])</f>
        <v>0</v>
      </c>
      <c r="AD281" s="294">
        <f>IF(NFI_Expiration=1,IF($A281&lt;VLOOKUP(M$5,NFI,5,0),1,0)*Table_NFI[[#This Row],[Blanket]],Table_NFI[[#This Row],[Blanket]])</f>
        <v>0</v>
      </c>
      <c r="AE281" s="294">
        <f>IF(NFI_Expiration=1,IF($A281&lt;VLOOKUP(N$5,NFI,5,0),1,0)*Table_NFI[[#This Row],[Kitchen Set]],Table_NFI[Kitchen Set])</f>
        <v>0</v>
      </c>
      <c r="AF281" s="294">
        <f>IF(NFI_Expiration=1,IF($A281&lt;VLOOKUP(O$5,NFI,5,0),1,0)*Table_NFI[[#This Row],[Clothes Kit]],Table_NFI[Clothes Kit])</f>
        <v>0</v>
      </c>
      <c r="AG281" s="294">
        <f>IF(NFI_Expiration=1,IF($A281&lt;VLOOKUP(P$5,NFI,5,0),1,0)*Table_NFI[[#This Row],[Plastic Bucket]],Table_NFI[Plastic Bucket])</f>
        <v>0</v>
      </c>
      <c r="AH281" s="294">
        <f>IF(NFI_Expiration=1,IF($A281&lt;VLOOKUP(Q$5,NFI,5,0),1,0)*Table_NFI[[#This Row],[Plastic Mat]],Table_NFI[Plastic Mat])*IF(Table_NFI[[#This Row],[Distribution Date]]&gt;"2014-04-01",1,2.5)</f>
        <v>0</v>
      </c>
      <c r="AI281" s="294">
        <f>IF(NFI_Expiration=1,IF($A281&lt;VLOOKUP(R$5,NFI,5,0),1,0)*Table_NFI[[#This Row],[Winter Clothes Adult]],Table_NFI[Winter Clothes Adult])</f>
        <v>0</v>
      </c>
      <c r="AJ281" s="294">
        <f>IF(NFI_Expiration=1,IF($A281&lt;VLOOKUP(S$5,NFI,5,0),1,0)*Table_NFI[[#This Row],[Winter Clothes Children]],Table_NFI[Winter Clothes Children])</f>
        <v>0</v>
      </c>
      <c r="AK281" s="294">
        <f>IF(NFI_Expiration=1,IF($A281&lt;VLOOKUP(T$5,NFI,5,0),1,0)*Table_NFI[[#This Row],[Winter Items Other]],Table_NFI[Winter Items Other])</f>
        <v>0</v>
      </c>
      <c r="AL281" s="294">
        <f>IF(NFI_Expiration=1,IF($A281&lt;VLOOKUP(M$5,NFI,5,0),1,0)*Table_NFI[[#This Row],[Winter Blanket]],Table_NFI[[#This Row],[Winter Blanket]])</f>
        <v>0</v>
      </c>
      <c r="AM281" s="294">
        <f>IF(Table_NFI[[#This Row],[Winter Clothes Adult]]+Table_NFI[[#This Row],[Winter Clothes Children]]+Table_NFI[[#This Row],[Winter Items Other]]+Table_NFI[[#This Row],[Winter Blanket]]&gt;0,1,0)</f>
        <v>0</v>
      </c>
      <c r="AN281" s="331">
        <f>IF(NFI_Expiration=1,IF($A281&lt;VLOOKUP(V$5,NFI,5,0),1,0)*Table_NFI[[#This Row],[Jerry Can]],Table_NFI[Jerry Can])</f>
        <v>0</v>
      </c>
      <c r="AO281" s="331">
        <f>IF(NFI_Expiration=1,IF($A281&lt;VLOOKUP(V$5,NFI,5,0),1,0)*Table_NFI[[#This Row],[Shelter Tool kit]],Table_NFI[Shelter Tool kit])</f>
        <v>0</v>
      </c>
      <c r="AP281" s="331">
        <f>IF(NFI_Expiration=1,IF($A281&lt;VLOOKUP(V$5,NFI,5,0),1,0)*Table_NFI[[#This Row],[Tent]],Table_NFI[Tent])</f>
        <v>0</v>
      </c>
      <c r="AQ281" s="473" t="str">
        <f>IFERROR(VLOOKUP(Table_NFI[[#This Row],[Camp Name]],CL,2,0),"")</f>
        <v>MMR001CMP028</v>
      </c>
      <c r="AR281" s="468">
        <f ca="1">IF(Table_NFI[[#This Row],[Pcode]]="","",IF(OFFSET(CampList[Opening Date],MATCH(Table_NFI[[#This Row],[Pcode]],CampList[CP_Pcode],0)-1,0,1,1)&gt;=NFI_Monitor_Date,1,0))</f>
        <v>0</v>
      </c>
      <c r="AS281" s="473" t="str">
        <f>IFERROR(VLOOKUP(Table_NFI[[#This Row],[Camp Name]],CL,3,0),"")</f>
        <v>Open</v>
      </c>
      <c r="AT281" s="294" t="str">
        <f ca="1">IF(Table_NFI[[#This Row],[Pcode]]="","",OFFSET(CampList[Priority],MATCH(Table_NFI[[#This Row],[Pcode]],CampList[CP_Pcode],0)-1,0,1,1))</f>
        <v>P4</v>
      </c>
      <c r="AU281" s="293">
        <f>IFERROR(Table_NFI[[#This Row],[Kitchen Set]]/VLOOKUP(Table_NFI[[#This Row],[Camp Name]],CL,4,0),"")</f>
        <v>0</v>
      </c>
      <c r="AV281" s="471"/>
      <c r="AW281" s="474"/>
    </row>
    <row r="282" spans="1:49" s="470" customFormat="1" ht="14.45" customHeight="1" x14ac:dyDescent="0.25">
      <c r="A282" s="297">
        <f t="shared" si="4"/>
        <v>25.4</v>
      </c>
      <c r="B282" s="465">
        <v>41913</v>
      </c>
      <c r="C282" s="466" t="s">
        <v>452</v>
      </c>
      <c r="D282" s="471" t="s">
        <v>505</v>
      </c>
      <c r="E282" s="471" t="s">
        <v>380</v>
      </c>
      <c r="F282" s="471" t="s">
        <v>527</v>
      </c>
      <c r="G282" s="471" t="s">
        <v>44</v>
      </c>
      <c r="H282" s="292"/>
      <c r="I282" s="292"/>
      <c r="J282" s="292"/>
      <c r="K282" s="292">
        <v>20</v>
      </c>
      <c r="L282" s="292"/>
      <c r="M282" s="292"/>
      <c r="N282" s="292"/>
      <c r="O282" s="292"/>
      <c r="P282" s="294"/>
      <c r="Q282" s="294"/>
      <c r="R282" s="294"/>
      <c r="S282" s="294"/>
      <c r="T282" s="294"/>
      <c r="U282" s="294"/>
      <c r="V282" s="431"/>
      <c r="W282" s="294"/>
      <c r="X282" s="294"/>
      <c r="Y282" s="294">
        <f>IF(NFI_Expiration=1,IF($A282&lt;VLOOKUP(H$5,NFI,5,0),1,0)*Table_NFI[[#This Row],[Hygiene Kit]],Table_NFI[Hygiene Kit])</f>
        <v>0</v>
      </c>
      <c r="Z282" s="294">
        <f>IF(NFI_Expiration=1,IF($A282&lt;VLOOKUP(I$5,NFI,5,0),1,0)*Table_NFI[[#This Row],[NFI Core Kit]],Table_NFI[NFI Core Kit])</f>
        <v>0</v>
      </c>
      <c r="AA282" s="294">
        <f>IF(NFI_Expiration=1,IF($A282&lt;VLOOKUP(J$5,NFI,5,0),1,0)*Table_NFI[[#This Row],[Sanitary Kit]],Table_NFI[Sanitary Kit])</f>
        <v>0</v>
      </c>
      <c r="AB282" s="294">
        <f>IF(NFI_Expiration=1,IF($A282&lt;VLOOKUP(K$5,NFI,5,0),1,0)*Table_NFI[[#This Row],[Mosquito net]],Table_NFI[Mosquito net])</f>
        <v>0</v>
      </c>
      <c r="AC282" s="294">
        <f>IF(NFI_Expiration=1,IF($A282&lt;VLOOKUP(L$5,NFI,5,0),1,0)*Table_NFI[[#This Row],[Tarpaulin]],Table_NFI[[#This Row],[Tarpaulin]])</f>
        <v>0</v>
      </c>
      <c r="AD282" s="294">
        <f>IF(NFI_Expiration=1,IF($A282&lt;VLOOKUP(M$5,NFI,5,0),1,0)*Table_NFI[[#This Row],[Blanket]],Table_NFI[[#This Row],[Blanket]])</f>
        <v>0</v>
      </c>
      <c r="AE282" s="294">
        <f>IF(NFI_Expiration=1,IF($A282&lt;VLOOKUP(N$5,NFI,5,0),1,0)*Table_NFI[[#This Row],[Kitchen Set]],Table_NFI[Kitchen Set])</f>
        <v>0</v>
      </c>
      <c r="AF282" s="294">
        <f>IF(NFI_Expiration=1,IF($A282&lt;VLOOKUP(O$5,NFI,5,0),1,0)*Table_NFI[[#This Row],[Clothes Kit]],Table_NFI[Clothes Kit])</f>
        <v>0</v>
      </c>
      <c r="AG282" s="294">
        <f>IF(NFI_Expiration=1,IF($A282&lt;VLOOKUP(P$5,NFI,5,0),1,0)*Table_NFI[[#This Row],[Plastic Bucket]],Table_NFI[Plastic Bucket])</f>
        <v>0</v>
      </c>
      <c r="AH282" s="294">
        <f>IF(NFI_Expiration=1,IF($A282&lt;VLOOKUP(Q$5,NFI,5,0),1,0)*Table_NFI[[#This Row],[Plastic Mat]],Table_NFI[Plastic Mat])*IF(Table_NFI[[#This Row],[Distribution Date]]&gt;"2014-04-01",1,2.5)</f>
        <v>0</v>
      </c>
      <c r="AI282" s="294">
        <f>IF(NFI_Expiration=1,IF($A282&lt;VLOOKUP(R$5,NFI,5,0),1,0)*Table_NFI[[#This Row],[Winter Clothes Adult]],Table_NFI[Winter Clothes Adult])</f>
        <v>0</v>
      </c>
      <c r="AJ282" s="294">
        <f>IF(NFI_Expiration=1,IF($A282&lt;VLOOKUP(S$5,NFI,5,0),1,0)*Table_NFI[[#This Row],[Winter Clothes Children]],Table_NFI[Winter Clothes Children])</f>
        <v>0</v>
      </c>
      <c r="AK282" s="294">
        <f>IF(NFI_Expiration=1,IF($A282&lt;VLOOKUP(T$5,NFI,5,0),1,0)*Table_NFI[[#This Row],[Winter Items Other]],Table_NFI[Winter Items Other])</f>
        <v>0</v>
      </c>
      <c r="AL282" s="294">
        <f>IF(NFI_Expiration=1,IF($A282&lt;VLOOKUP(M$5,NFI,5,0),1,0)*Table_NFI[[#This Row],[Winter Blanket]],Table_NFI[[#This Row],[Winter Blanket]])</f>
        <v>0</v>
      </c>
      <c r="AM282" s="294">
        <f>IF(Table_NFI[[#This Row],[Winter Clothes Adult]]+Table_NFI[[#This Row],[Winter Clothes Children]]+Table_NFI[[#This Row],[Winter Items Other]]+Table_NFI[[#This Row],[Winter Blanket]]&gt;0,1,0)</f>
        <v>0</v>
      </c>
      <c r="AN282" s="331">
        <f>IF(NFI_Expiration=1,IF($A282&lt;VLOOKUP(V$5,NFI,5,0),1,0)*Table_NFI[[#This Row],[Jerry Can]],Table_NFI[Jerry Can])</f>
        <v>0</v>
      </c>
      <c r="AO282" s="331">
        <f>IF(NFI_Expiration=1,IF($A282&lt;VLOOKUP(V$5,NFI,5,0),1,0)*Table_NFI[[#This Row],[Shelter Tool kit]],Table_NFI[Shelter Tool kit])</f>
        <v>0</v>
      </c>
      <c r="AP282" s="331">
        <f>IF(NFI_Expiration=1,IF($A282&lt;VLOOKUP(V$5,NFI,5,0),1,0)*Table_NFI[[#This Row],[Tent]],Table_NFI[Tent])</f>
        <v>0</v>
      </c>
      <c r="AQ282" s="473" t="str">
        <f>IFERROR(VLOOKUP(Table_NFI[[#This Row],[Camp Name]],CL,2,0),"")</f>
        <v>MMR001CMP191</v>
      </c>
      <c r="AR282" s="468">
        <f ca="1">IF(Table_NFI[[#This Row],[Pcode]]="","",IF(OFFSET(CampList[Opening Date],MATCH(Table_NFI[[#This Row],[Pcode]],CampList[CP_Pcode],0)-1,0,1,1)&gt;=NFI_Monitor_Date,1,0))</f>
        <v>0</v>
      </c>
      <c r="AS282" s="473" t="str">
        <f>IFERROR(VLOOKUP(Table_NFI[[#This Row],[Camp Name]],CL,3,0),"")</f>
        <v>Open</v>
      </c>
      <c r="AT282" s="294" t="str">
        <f ca="1">IF(Table_NFI[[#This Row],[Pcode]]="","",OFFSET(CampList[Priority],MATCH(Table_NFI[[#This Row],[Pcode]],CampList[CP_Pcode],0)-1,0,1,1))</f>
        <v>P4</v>
      </c>
      <c r="AU282" s="293">
        <f>IFERROR(Table_NFI[[#This Row],[Kitchen Set]]/VLOOKUP(Table_NFI[[#This Row],[Camp Name]],CL,4,0),"")</f>
        <v>0</v>
      </c>
      <c r="AV282" s="471"/>
      <c r="AW282" s="474"/>
    </row>
    <row r="283" spans="1:49" s="470" customFormat="1" x14ac:dyDescent="0.25">
      <c r="A283" s="297">
        <f t="shared" si="4"/>
        <v>25.4</v>
      </c>
      <c r="B283" s="465">
        <v>41913</v>
      </c>
      <c r="C283" s="466" t="s">
        <v>452</v>
      </c>
      <c r="D283" s="471" t="s">
        <v>506</v>
      </c>
      <c r="E283" s="471" t="s">
        <v>380</v>
      </c>
      <c r="F283" s="471" t="s">
        <v>237</v>
      </c>
      <c r="G283" s="471" t="s">
        <v>255</v>
      </c>
      <c r="H283" s="292"/>
      <c r="I283" s="292"/>
      <c r="J283" s="292"/>
      <c r="K283" s="292">
        <v>218</v>
      </c>
      <c r="L283" s="292"/>
      <c r="M283" s="292"/>
      <c r="N283" s="292"/>
      <c r="O283" s="292"/>
      <c r="P283" s="294"/>
      <c r="Q283" s="294"/>
      <c r="R283" s="294"/>
      <c r="S283" s="294"/>
      <c r="T283" s="294"/>
      <c r="U283" s="294"/>
      <c r="V283" s="431"/>
      <c r="W283" s="294"/>
      <c r="X283" s="294"/>
      <c r="Y283" s="294">
        <f>IF(NFI_Expiration=1,IF($A283&lt;VLOOKUP(H$5,NFI,5,0),1,0)*Table_NFI[[#This Row],[Hygiene Kit]],Table_NFI[Hygiene Kit])</f>
        <v>0</v>
      </c>
      <c r="Z283" s="294">
        <f>IF(NFI_Expiration=1,IF($A283&lt;VLOOKUP(I$5,NFI,5,0),1,0)*Table_NFI[[#This Row],[NFI Core Kit]],Table_NFI[NFI Core Kit])</f>
        <v>0</v>
      </c>
      <c r="AA283" s="294">
        <f>IF(NFI_Expiration=1,IF($A283&lt;VLOOKUP(J$5,NFI,5,0),1,0)*Table_NFI[[#This Row],[Sanitary Kit]],Table_NFI[Sanitary Kit])</f>
        <v>0</v>
      </c>
      <c r="AB283" s="294">
        <f>IF(NFI_Expiration=1,IF($A283&lt;VLOOKUP(K$5,NFI,5,0),1,0)*Table_NFI[[#This Row],[Mosquito net]],Table_NFI[Mosquito net])</f>
        <v>0</v>
      </c>
      <c r="AC283" s="294">
        <f>IF(NFI_Expiration=1,IF($A283&lt;VLOOKUP(L$5,NFI,5,0),1,0)*Table_NFI[[#This Row],[Tarpaulin]],Table_NFI[[#This Row],[Tarpaulin]])</f>
        <v>0</v>
      </c>
      <c r="AD283" s="294">
        <f>IF(NFI_Expiration=1,IF($A283&lt;VLOOKUP(M$5,NFI,5,0),1,0)*Table_NFI[[#This Row],[Blanket]],Table_NFI[[#This Row],[Blanket]])</f>
        <v>0</v>
      </c>
      <c r="AE283" s="294">
        <f>IF(NFI_Expiration=1,IF($A283&lt;VLOOKUP(N$5,NFI,5,0),1,0)*Table_NFI[[#This Row],[Kitchen Set]],Table_NFI[Kitchen Set])</f>
        <v>0</v>
      </c>
      <c r="AF283" s="294">
        <f>IF(NFI_Expiration=1,IF($A283&lt;VLOOKUP(O$5,NFI,5,0),1,0)*Table_NFI[[#This Row],[Clothes Kit]],Table_NFI[Clothes Kit])</f>
        <v>0</v>
      </c>
      <c r="AG283" s="294">
        <f>IF(NFI_Expiration=1,IF($A283&lt;VLOOKUP(P$5,NFI,5,0),1,0)*Table_NFI[[#This Row],[Plastic Bucket]],Table_NFI[Plastic Bucket])</f>
        <v>0</v>
      </c>
      <c r="AH283" s="294">
        <f>IF(NFI_Expiration=1,IF($A283&lt;VLOOKUP(Q$5,NFI,5,0),1,0)*Table_NFI[[#This Row],[Plastic Mat]],Table_NFI[Plastic Mat])*IF(Table_NFI[[#This Row],[Distribution Date]]&gt;"2014-04-01",1,2.5)</f>
        <v>0</v>
      </c>
      <c r="AI283" s="294">
        <f>IF(NFI_Expiration=1,IF($A283&lt;VLOOKUP(R$5,NFI,5,0),1,0)*Table_NFI[[#This Row],[Winter Clothes Adult]],Table_NFI[Winter Clothes Adult])</f>
        <v>0</v>
      </c>
      <c r="AJ283" s="294">
        <f>IF(NFI_Expiration=1,IF($A283&lt;VLOOKUP(S$5,NFI,5,0),1,0)*Table_NFI[[#This Row],[Winter Clothes Children]],Table_NFI[Winter Clothes Children])</f>
        <v>0</v>
      </c>
      <c r="AK283" s="294">
        <f>IF(NFI_Expiration=1,IF($A283&lt;VLOOKUP(T$5,NFI,5,0),1,0)*Table_NFI[[#This Row],[Winter Items Other]],Table_NFI[Winter Items Other])</f>
        <v>0</v>
      </c>
      <c r="AL283" s="294">
        <f>IF(NFI_Expiration=1,IF($A283&lt;VLOOKUP(M$5,NFI,5,0),1,0)*Table_NFI[[#This Row],[Winter Blanket]],Table_NFI[[#This Row],[Winter Blanket]])</f>
        <v>0</v>
      </c>
      <c r="AM283" s="294">
        <f>IF(Table_NFI[[#This Row],[Winter Clothes Adult]]+Table_NFI[[#This Row],[Winter Clothes Children]]+Table_NFI[[#This Row],[Winter Items Other]]+Table_NFI[[#This Row],[Winter Blanket]]&gt;0,1,0)</f>
        <v>0</v>
      </c>
      <c r="AN283" s="331">
        <f>IF(NFI_Expiration=1,IF($A283&lt;VLOOKUP(V$5,NFI,5,0),1,0)*Table_NFI[[#This Row],[Jerry Can]],Table_NFI[Jerry Can])</f>
        <v>0</v>
      </c>
      <c r="AO283" s="331">
        <f>IF(NFI_Expiration=1,IF($A283&lt;VLOOKUP(V$5,NFI,5,0),1,0)*Table_NFI[[#This Row],[Shelter Tool kit]],Table_NFI[Shelter Tool kit])</f>
        <v>0</v>
      </c>
      <c r="AP283" s="331">
        <f>IF(NFI_Expiration=1,IF($A283&lt;VLOOKUP(V$5,NFI,5,0),1,0)*Table_NFI[[#This Row],[Tent]],Table_NFI[Tent])</f>
        <v>0</v>
      </c>
      <c r="AQ283" s="473" t="str">
        <f>IFERROR(VLOOKUP(Table_NFI[[#This Row],[Camp Name]],CL,2,0),"")</f>
        <v>MMR001CMP019</v>
      </c>
      <c r="AR283" s="468">
        <f ca="1">IF(Table_NFI[[#This Row],[Pcode]]="","",IF(OFFSET(CampList[Opening Date],MATCH(Table_NFI[[#This Row],[Pcode]],CampList[CP_Pcode],0)-1,0,1,1)&gt;=NFI_Monitor_Date,1,0))</f>
        <v>0</v>
      </c>
      <c r="AS283" s="473" t="str">
        <f>IFERROR(VLOOKUP(Table_NFI[[#This Row],[Camp Name]],CL,3,0),"")</f>
        <v>Open</v>
      </c>
      <c r="AT283" s="294" t="str">
        <f ca="1">IF(Table_NFI[[#This Row],[Pcode]]="","",OFFSET(CampList[Priority],MATCH(Table_NFI[[#This Row],[Pcode]],CampList[CP_Pcode],0)-1,0,1,1))</f>
        <v>P4</v>
      </c>
      <c r="AU283" s="293">
        <f>IFERROR(Table_NFI[[#This Row],[Kitchen Set]]/VLOOKUP(Table_NFI[[#This Row],[Camp Name]],CL,4,0),"")</f>
        <v>0</v>
      </c>
      <c r="AV283" s="471"/>
      <c r="AW283" s="474"/>
    </row>
    <row r="284" spans="1:49" s="470" customFormat="1" ht="14.45" customHeight="1" x14ac:dyDescent="0.25">
      <c r="A284" s="297">
        <f t="shared" si="4"/>
        <v>25.4</v>
      </c>
      <c r="B284" s="465">
        <v>41913</v>
      </c>
      <c r="C284" s="466" t="s">
        <v>452</v>
      </c>
      <c r="D284" s="471" t="s">
        <v>505</v>
      </c>
      <c r="E284" s="471" t="s">
        <v>380</v>
      </c>
      <c r="F284" s="471" t="s">
        <v>27</v>
      </c>
      <c r="G284" s="471" t="s">
        <v>365</v>
      </c>
      <c r="H284" s="292"/>
      <c r="I284" s="292"/>
      <c r="J284" s="292"/>
      <c r="K284" s="292">
        <v>278</v>
      </c>
      <c r="L284" s="292"/>
      <c r="M284" s="292"/>
      <c r="N284" s="292"/>
      <c r="O284" s="292"/>
      <c r="P284" s="294"/>
      <c r="Q284" s="294"/>
      <c r="R284" s="294"/>
      <c r="S284" s="294"/>
      <c r="T284" s="294"/>
      <c r="U284" s="294">
        <v>278</v>
      </c>
      <c r="V284" s="431"/>
      <c r="W284" s="294"/>
      <c r="X284" s="294"/>
      <c r="Y284" s="294">
        <f>IF(NFI_Expiration=1,IF($A284&lt;VLOOKUP(H$5,NFI,5,0),1,0)*Table_NFI[[#This Row],[Hygiene Kit]],Table_NFI[Hygiene Kit])</f>
        <v>0</v>
      </c>
      <c r="Z284" s="294">
        <f>IF(NFI_Expiration=1,IF($A284&lt;VLOOKUP(I$5,NFI,5,0),1,0)*Table_NFI[[#This Row],[NFI Core Kit]],Table_NFI[NFI Core Kit])</f>
        <v>0</v>
      </c>
      <c r="AA284" s="294">
        <f>IF(NFI_Expiration=1,IF($A284&lt;VLOOKUP(J$5,NFI,5,0),1,0)*Table_NFI[[#This Row],[Sanitary Kit]],Table_NFI[Sanitary Kit])</f>
        <v>0</v>
      </c>
      <c r="AB284" s="294">
        <f>IF(NFI_Expiration=1,IF($A284&lt;VLOOKUP(K$5,NFI,5,0),1,0)*Table_NFI[[#This Row],[Mosquito net]],Table_NFI[Mosquito net])</f>
        <v>0</v>
      </c>
      <c r="AC284" s="294">
        <f>IF(NFI_Expiration=1,IF($A284&lt;VLOOKUP(L$5,NFI,5,0),1,0)*Table_NFI[[#This Row],[Tarpaulin]],Table_NFI[[#This Row],[Tarpaulin]])</f>
        <v>0</v>
      </c>
      <c r="AD284" s="294">
        <f>IF(NFI_Expiration=1,IF($A284&lt;VLOOKUP(M$5,NFI,5,0),1,0)*Table_NFI[[#This Row],[Blanket]],Table_NFI[[#This Row],[Blanket]])</f>
        <v>0</v>
      </c>
      <c r="AE284" s="294">
        <f>IF(NFI_Expiration=1,IF($A284&lt;VLOOKUP(N$5,NFI,5,0),1,0)*Table_NFI[[#This Row],[Kitchen Set]],Table_NFI[Kitchen Set])</f>
        <v>0</v>
      </c>
      <c r="AF284" s="294">
        <f>IF(NFI_Expiration=1,IF($A284&lt;VLOOKUP(O$5,NFI,5,0),1,0)*Table_NFI[[#This Row],[Clothes Kit]],Table_NFI[Clothes Kit])</f>
        <v>0</v>
      </c>
      <c r="AG284" s="294">
        <f>IF(NFI_Expiration=1,IF($A284&lt;VLOOKUP(P$5,NFI,5,0),1,0)*Table_NFI[[#This Row],[Plastic Bucket]],Table_NFI[Plastic Bucket])</f>
        <v>0</v>
      </c>
      <c r="AH284" s="294">
        <f>IF(NFI_Expiration=1,IF($A284&lt;VLOOKUP(Q$5,NFI,5,0),1,0)*Table_NFI[[#This Row],[Plastic Mat]],Table_NFI[Plastic Mat])*IF(Table_NFI[[#This Row],[Distribution Date]]&gt;"2014-04-01",1,2.5)</f>
        <v>0</v>
      </c>
      <c r="AI284" s="294">
        <f>IF(NFI_Expiration=1,IF($A284&lt;VLOOKUP(R$5,NFI,5,0),1,0)*Table_NFI[[#This Row],[Winter Clothes Adult]],Table_NFI[Winter Clothes Adult])</f>
        <v>0</v>
      </c>
      <c r="AJ284" s="294">
        <f>IF(NFI_Expiration=1,IF($A284&lt;VLOOKUP(S$5,NFI,5,0),1,0)*Table_NFI[[#This Row],[Winter Clothes Children]],Table_NFI[Winter Clothes Children])</f>
        <v>0</v>
      </c>
      <c r="AK284" s="294">
        <f>IF(NFI_Expiration=1,IF($A284&lt;VLOOKUP(T$5,NFI,5,0),1,0)*Table_NFI[[#This Row],[Winter Items Other]],Table_NFI[Winter Items Other])</f>
        <v>0</v>
      </c>
      <c r="AL284" s="294">
        <f>IF(NFI_Expiration=1,IF($A284&lt;VLOOKUP(M$5,NFI,5,0),1,0)*Table_NFI[[#This Row],[Winter Blanket]],Table_NFI[[#This Row],[Winter Blanket]])</f>
        <v>0</v>
      </c>
      <c r="AM284" s="294">
        <f>IF(Table_NFI[[#This Row],[Winter Clothes Adult]]+Table_NFI[[#This Row],[Winter Clothes Children]]+Table_NFI[[#This Row],[Winter Items Other]]+Table_NFI[[#This Row],[Winter Blanket]]&gt;0,1,0)</f>
        <v>1</v>
      </c>
      <c r="AN284" s="331">
        <f>IF(NFI_Expiration=1,IF($A284&lt;VLOOKUP(V$5,NFI,5,0),1,0)*Table_NFI[[#This Row],[Jerry Can]],Table_NFI[Jerry Can])</f>
        <v>0</v>
      </c>
      <c r="AO284" s="331">
        <f>IF(NFI_Expiration=1,IF($A284&lt;VLOOKUP(V$5,NFI,5,0),1,0)*Table_NFI[[#This Row],[Shelter Tool kit]],Table_NFI[Shelter Tool kit])</f>
        <v>0</v>
      </c>
      <c r="AP284" s="331">
        <f>IF(NFI_Expiration=1,IF($A284&lt;VLOOKUP(V$5,NFI,5,0),1,0)*Table_NFI[[#This Row],[Tent]],Table_NFI[Tent])</f>
        <v>0</v>
      </c>
      <c r="AQ284" s="473" t="str">
        <f>IFERROR(VLOOKUP(Table_NFI[[#This Row],[Camp Name]],CL,2,0),"")</f>
        <v>MMR001CMP195</v>
      </c>
      <c r="AR284" s="468">
        <f ca="1">IF(Table_NFI[[#This Row],[Pcode]]="","",IF(OFFSET(CampList[Opening Date],MATCH(Table_NFI[[#This Row],[Pcode]],CampList[CP_Pcode],0)-1,0,1,1)&gt;=NFI_Monitor_Date,1,0))</f>
        <v>0</v>
      </c>
      <c r="AS284" s="473" t="str">
        <f>IFERROR(VLOOKUP(Table_NFI[[#This Row],[Camp Name]],CL,3,0),"")</f>
        <v>Open</v>
      </c>
      <c r="AT284" s="294" t="str">
        <f ca="1">IF(Table_NFI[[#This Row],[Pcode]]="","",OFFSET(CampList[Priority],MATCH(Table_NFI[[#This Row],[Pcode]],CampList[CP_Pcode],0)-1,0,1,1))</f>
        <v>P1</v>
      </c>
      <c r="AU284" s="293">
        <f>IFERROR(Table_NFI[[#This Row],[Kitchen Set]]/VLOOKUP(Table_NFI[[#This Row],[Camp Name]],CL,4,0),"")</f>
        <v>0</v>
      </c>
      <c r="AV284" s="471"/>
      <c r="AW284" s="474"/>
    </row>
    <row r="285" spans="1:49" s="470" customFormat="1" ht="14.45" customHeight="1" x14ac:dyDescent="0.25">
      <c r="A285" s="297">
        <f t="shared" si="4"/>
        <v>25.4</v>
      </c>
      <c r="B285" s="465">
        <v>41913</v>
      </c>
      <c r="C285" s="466" t="s">
        <v>452</v>
      </c>
      <c r="D285" s="471" t="s">
        <v>505</v>
      </c>
      <c r="E285" s="471" t="s">
        <v>380</v>
      </c>
      <c r="F285" s="471" t="s">
        <v>527</v>
      </c>
      <c r="G285" s="471" t="s">
        <v>90</v>
      </c>
      <c r="H285" s="292"/>
      <c r="I285" s="292"/>
      <c r="J285" s="292"/>
      <c r="K285" s="292">
        <v>40</v>
      </c>
      <c r="L285" s="292"/>
      <c r="M285" s="292"/>
      <c r="N285" s="292"/>
      <c r="O285" s="292"/>
      <c r="P285" s="294"/>
      <c r="Q285" s="294"/>
      <c r="R285" s="294"/>
      <c r="S285" s="294"/>
      <c r="T285" s="294"/>
      <c r="U285" s="294"/>
      <c r="V285" s="431"/>
      <c r="W285" s="294"/>
      <c r="X285" s="294"/>
      <c r="Y285" s="294">
        <f>IF(NFI_Expiration=1,IF($A285&lt;VLOOKUP(H$5,NFI,5,0),1,0)*Table_NFI[[#This Row],[Hygiene Kit]],Table_NFI[Hygiene Kit])</f>
        <v>0</v>
      </c>
      <c r="Z285" s="294">
        <f>IF(NFI_Expiration=1,IF($A285&lt;VLOOKUP(I$5,NFI,5,0),1,0)*Table_NFI[[#This Row],[NFI Core Kit]],Table_NFI[NFI Core Kit])</f>
        <v>0</v>
      </c>
      <c r="AA285" s="294">
        <f>IF(NFI_Expiration=1,IF($A285&lt;VLOOKUP(J$5,NFI,5,0),1,0)*Table_NFI[[#This Row],[Sanitary Kit]],Table_NFI[Sanitary Kit])</f>
        <v>0</v>
      </c>
      <c r="AB285" s="294">
        <f>IF(NFI_Expiration=1,IF($A285&lt;VLOOKUP(K$5,NFI,5,0),1,0)*Table_NFI[[#This Row],[Mosquito net]],Table_NFI[Mosquito net])</f>
        <v>0</v>
      </c>
      <c r="AC285" s="294">
        <f>IF(NFI_Expiration=1,IF($A285&lt;VLOOKUP(L$5,NFI,5,0),1,0)*Table_NFI[[#This Row],[Tarpaulin]],Table_NFI[[#This Row],[Tarpaulin]])</f>
        <v>0</v>
      </c>
      <c r="AD285" s="294">
        <f>IF(NFI_Expiration=1,IF($A285&lt;VLOOKUP(M$5,NFI,5,0),1,0)*Table_NFI[[#This Row],[Blanket]],Table_NFI[[#This Row],[Blanket]])</f>
        <v>0</v>
      </c>
      <c r="AE285" s="294">
        <f>IF(NFI_Expiration=1,IF($A285&lt;VLOOKUP(N$5,NFI,5,0),1,0)*Table_NFI[[#This Row],[Kitchen Set]],Table_NFI[Kitchen Set])</f>
        <v>0</v>
      </c>
      <c r="AF285" s="294">
        <f>IF(NFI_Expiration=1,IF($A285&lt;VLOOKUP(O$5,NFI,5,0),1,0)*Table_NFI[[#This Row],[Clothes Kit]],Table_NFI[Clothes Kit])</f>
        <v>0</v>
      </c>
      <c r="AG285" s="294">
        <f>IF(NFI_Expiration=1,IF($A285&lt;VLOOKUP(P$5,NFI,5,0),1,0)*Table_NFI[[#This Row],[Plastic Bucket]],Table_NFI[Plastic Bucket])</f>
        <v>0</v>
      </c>
      <c r="AH285" s="294">
        <f>IF(NFI_Expiration=1,IF($A285&lt;VLOOKUP(Q$5,NFI,5,0),1,0)*Table_NFI[[#This Row],[Plastic Mat]],Table_NFI[Plastic Mat])*IF(Table_NFI[[#This Row],[Distribution Date]]&gt;"2014-04-01",1,2.5)</f>
        <v>0</v>
      </c>
      <c r="AI285" s="294">
        <f>IF(NFI_Expiration=1,IF($A285&lt;VLOOKUP(R$5,NFI,5,0),1,0)*Table_NFI[[#This Row],[Winter Clothes Adult]],Table_NFI[Winter Clothes Adult])</f>
        <v>0</v>
      </c>
      <c r="AJ285" s="294">
        <f>IF(NFI_Expiration=1,IF($A285&lt;VLOOKUP(S$5,NFI,5,0),1,0)*Table_NFI[[#This Row],[Winter Clothes Children]],Table_NFI[Winter Clothes Children])</f>
        <v>0</v>
      </c>
      <c r="AK285" s="294">
        <f>IF(NFI_Expiration=1,IF($A285&lt;VLOOKUP(T$5,NFI,5,0),1,0)*Table_NFI[[#This Row],[Winter Items Other]],Table_NFI[Winter Items Other])</f>
        <v>0</v>
      </c>
      <c r="AL285" s="294">
        <f>IF(NFI_Expiration=1,IF($A285&lt;VLOOKUP(M$5,NFI,5,0),1,0)*Table_NFI[[#This Row],[Winter Blanket]],Table_NFI[[#This Row],[Winter Blanket]])</f>
        <v>0</v>
      </c>
      <c r="AM285" s="294">
        <f>IF(Table_NFI[[#This Row],[Winter Clothes Adult]]+Table_NFI[[#This Row],[Winter Clothes Children]]+Table_NFI[[#This Row],[Winter Items Other]]+Table_NFI[[#This Row],[Winter Blanket]]&gt;0,1,0)</f>
        <v>0</v>
      </c>
      <c r="AN285" s="331">
        <f>IF(NFI_Expiration=1,IF($A285&lt;VLOOKUP(V$5,NFI,5,0),1,0)*Table_NFI[[#This Row],[Jerry Can]],Table_NFI[Jerry Can])</f>
        <v>0</v>
      </c>
      <c r="AO285" s="331">
        <f>IF(NFI_Expiration=1,IF($A285&lt;VLOOKUP(V$5,NFI,5,0),1,0)*Table_NFI[[#This Row],[Shelter Tool kit]],Table_NFI[Shelter Tool kit])</f>
        <v>0</v>
      </c>
      <c r="AP285" s="331">
        <f>IF(NFI_Expiration=1,IF($A285&lt;VLOOKUP(V$5,NFI,5,0),1,0)*Table_NFI[[#This Row],[Tent]],Table_NFI[Tent])</f>
        <v>0</v>
      </c>
      <c r="AQ285" s="473" t="str">
        <f>IFERROR(VLOOKUP(Table_NFI[[#This Row],[Camp Name]],CL,2,0),"")</f>
        <v>MMR001CMP181</v>
      </c>
      <c r="AR285" s="468">
        <f ca="1">IF(Table_NFI[[#This Row],[Pcode]]="","",IF(OFFSET(CampList[Opening Date],MATCH(Table_NFI[[#This Row],[Pcode]],CampList[CP_Pcode],0)-1,0,1,1)&gt;=NFI_Monitor_Date,1,0))</f>
        <v>0</v>
      </c>
      <c r="AS285" s="473" t="str">
        <f>IFERROR(VLOOKUP(Table_NFI[[#This Row],[Camp Name]],CL,3,0),"")</f>
        <v>Open</v>
      </c>
      <c r="AT285" s="294" t="str">
        <f ca="1">IF(Table_NFI[[#This Row],[Pcode]]="","",OFFSET(CampList[Priority],MATCH(Table_NFI[[#This Row],[Pcode]],CampList[CP_Pcode],0)-1,0,1,1))</f>
        <v>P4</v>
      </c>
      <c r="AU285" s="293">
        <f>IFERROR(Table_NFI[[#This Row],[Kitchen Set]]/VLOOKUP(Table_NFI[[#This Row],[Camp Name]],CL,4,0),"")</f>
        <v>0</v>
      </c>
      <c r="AV285" s="471"/>
      <c r="AW285" s="474"/>
    </row>
    <row r="286" spans="1:49" s="470" customFormat="1" ht="14.45" customHeight="1" x14ac:dyDescent="0.25">
      <c r="A286" s="297">
        <f t="shared" si="4"/>
        <v>25.4</v>
      </c>
      <c r="B286" s="465">
        <v>41913</v>
      </c>
      <c r="C286" s="466" t="s">
        <v>452</v>
      </c>
      <c r="D286" s="471" t="s">
        <v>505</v>
      </c>
      <c r="E286" s="471" t="s">
        <v>380</v>
      </c>
      <c r="F286" s="471" t="s">
        <v>527</v>
      </c>
      <c r="G286" s="471" t="s">
        <v>92</v>
      </c>
      <c r="H286" s="292"/>
      <c r="I286" s="292"/>
      <c r="J286" s="292"/>
      <c r="K286" s="292">
        <v>16</v>
      </c>
      <c r="L286" s="292"/>
      <c r="M286" s="292"/>
      <c r="N286" s="292"/>
      <c r="O286" s="292"/>
      <c r="P286" s="294"/>
      <c r="Q286" s="294"/>
      <c r="R286" s="294"/>
      <c r="S286" s="294"/>
      <c r="T286" s="294"/>
      <c r="U286" s="294"/>
      <c r="V286" s="431"/>
      <c r="W286" s="294"/>
      <c r="X286" s="294"/>
      <c r="Y286" s="294">
        <f>IF(NFI_Expiration=1,IF($A286&lt;VLOOKUP(H$5,NFI,5,0),1,0)*Table_NFI[[#This Row],[Hygiene Kit]],Table_NFI[Hygiene Kit])</f>
        <v>0</v>
      </c>
      <c r="Z286" s="294">
        <f>IF(NFI_Expiration=1,IF($A286&lt;VLOOKUP(I$5,NFI,5,0),1,0)*Table_NFI[[#This Row],[NFI Core Kit]],Table_NFI[NFI Core Kit])</f>
        <v>0</v>
      </c>
      <c r="AA286" s="294">
        <f>IF(NFI_Expiration=1,IF($A286&lt;VLOOKUP(J$5,NFI,5,0),1,0)*Table_NFI[[#This Row],[Sanitary Kit]],Table_NFI[Sanitary Kit])</f>
        <v>0</v>
      </c>
      <c r="AB286" s="294">
        <f>IF(NFI_Expiration=1,IF($A286&lt;VLOOKUP(K$5,NFI,5,0),1,0)*Table_NFI[[#This Row],[Mosquito net]],Table_NFI[Mosquito net])</f>
        <v>0</v>
      </c>
      <c r="AC286" s="294">
        <f>IF(NFI_Expiration=1,IF($A286&lt;VLOOKUP(L$5,NFI,5,0),1,0)*Table_NFI[[#This Row],[Tarpaulin]],Table_NFI[[#This Row],[Tarpaulin]])</f>
        <v>0</v>
      </c>
      <c r="AD286" s="294">
        <f>IF(NFI_Expiration=1,IF($A286&lt;VLOOKUP(M$5,NFI,5,0),1,0)*Table_NFI[[#This Row],[Blanket]],Table_NFI[[#This Row],[Blanket]])</f>
        <v>0</v>
      </c>
      <c r="AE286" s="294">
        <f>IF(NFI_Expiration=1,IF($A286&lt;VLOOKUP(N$5,NFI,5,0),1,0)*Table_NFI[[#This Row],[Kitchen Set]],Table_NFI[Kitchen Set])</f>
        <v>0</v>
      </c>
      <c r="AF286" s="294">
        <f>IF(NFI_Expiration=1,IF($A286&lt;VLOOKUP(O$5,NFI,5,0),1,0)*Table_NFI[[#This Row],[Clothes Kit]],Table_NFI[Clothes Kit])</f>
        <v>0</v>
      </c>
      <c r="AG286" s="294">
        <f>IF(NFI_Expiration=1,IF($A286&lt;VLOOKUP(P$5,NFI,5,0),1,0)*Table_NFI[[#This Row],[Plastic Bucket]],Table_NFI[Plastic Bucket])</f>
        <v>0</v>
      </c>
      <c r="AH286" s="294">
        <f>IF(NFI_Expiration=1,IF($A286&lt;VLOOKUP(Q$5,NFI,5,0),1,0)*Table_NFI[[#This Row],[Plastic Mat]],Table_NFI[Plastic Mat])*IF(Table_NFI[[#This Row],[Distribution Date]]&gt;"2014-04-01",1,2.5)</f>
        <v>0</v>
      </c>
      <c r="AI286" s="294">
        <f>IF(NFI_Expiration=1,IF($A286&lt;VLOOKUP(R$5,NFI,5,0),1,0)*Table_NFI[[#This Row],[Winter Clothes Adult]],Table_NFI[Winter Clothes Adult])</f>
        <v>0</v>
      </c>
      <c r="AJ286" s="294">
        <f>IF(NFI_Expiration=1,IF($A286&lt;VLOOKUP(S$5,NFI,5,0),1,0)*Table_NFI[[#This Row],[Winter Clothes Children]],Table_NFI[Winter Clothes Children])</f>
        <v>0</v>
      </c>
      <c r="AK286" s="294">
        <f>IF(NFI_Expiration=1,IF($A286&lt;VLOOKUP(T$5,NFI,5,0),1,0)*Table_NFI[[#This Row],[Winter Items Other]],Table_NFI[Winter Items Other])</f>
        <v>0</v>
      </c>
      <c r="AL286" s="294">
        <f>IF(NFI_Expiration=1,IF($A286&lt;VLOOKUP(M$5,NFI,5,0),1,0)*Table_NFI[[#This Row],[Winter Blanket]],Table_NFI[[#This Row],[Winter Blanket]])</f>
        <v>0</v>
      </c>
      <c r="AM286" s="294">
        <f>IF(Table_NFI[[#This Row],[Winter Clothes Adult]]+Table_NFI[[#This Row],[Winter Clothes Children]]+Table_NFI[[#This Row],[Winter Items Other]]+Table_NFI[[#This Row],[Winter Blanket]]&gt;0,1,0)</f>
        <v>0</v>
      </c>
      <c r="AN286" s="331">
        <f>IF(NFI_Expiration=1,IF($A286&lt;VLOOKUP(V$5,NFI,5,0),1,0)*Table_NFI[[#This Row],[Jerry Can]],Table_NFI[Jerry Can])</f>
        <v>0</v>
      </c>
      <c r="AO286" s="331">
        <f>IF(NFI_Expiration=1,IF($A286&lt;VLOOKUP(V$5,NFI,5,0),1,0)*Table_NFI[[#This Row],[Shelter Tool kit]],Table_NFI[Shelter Tool kit])</f>
        <v>0</v>
      </c>
      <c r="AP286" s="331">
        <f>IF(NFI_Expiration=1,IF($A286&lt;VLOOKUP(V$5,NFI,5,0),1,0)*Table_NFI[[#This Row],[Tent]],Table_NFI[Tent])</f>
        <v>0</v>
      </c>
      <c r="AQ286" s="473" t="str">
        <f>IFERROR(VLOOKUP(Table_NFI[[#This Row],[Camp Name]],CL,2,0),"")</f>
        <v>MMR001CMP167</v>
      </c>
      <c r="AR286" s="468">
        <f ca="1">IF(Table_NFI[[#This Row],[Pcode]]="","",IF(OFFSET(CampList[Opening Date],MATCH(Table_NFI[[#This Row],[Pcode]],CampList[CP_Pcode],0)-1,0,1,1)&gt;=NFI_Monitor_Date,1,0))</f>
        <v>0</v>
      </c>
      <c r="AS286" s="473" t="str">
        <f>IFERROR(VLOOKUP(Table_NFI[[#This Row],[Camp Name]],CL,3,0),"")</f>
        <v>Open</v>
      </c>
      <c r="AT286" s="294" t="str">
        <f ca="1">IF(Table_NFI[[#This Row],[Pcode]]="","",OFFSET(CampList[Priority],MATCH(Table_NFI[[#This Row],[Pcode]],CampList[CP_Pcode],0)-1,0,1,1))</f>
        <v>P4</v>
      </c>
      <c r="AU286" s="293">
        <f>IFERROR(Table_NFI[[#This Row],[Kitchen Set]]/VLOOKUP(Table_NFI[[#This Row],[Camp Name]],CL,4,0),"")</f>
        <v>0</v>
      </c>
      <c r="AV286" s="471"/>
      <c r="AW286" s="474"/>
    </row>
    <row r="287" spans="1:49" s="470" customFormat="1" ht="14.45" customHeight="1" x14ac:dyDescent="0.25">
      <c r="A287" s="297">
        <f t="shared" si="4"/>
        <v>25.4</v>
      </c>
      <c r="B287" s="465">
        <v>41913</v>
      </c>
      <c r="C287" s="466" t="s">
        <v>452</v>
      </c>
      <c r="D287" s="471" t="s">
        <v>506</v>
      </c>
      <c r="E287" s="471" t="s">
        <v>380</v>
      </c>
      <c r="F287" s="471" t="s">
        <v>310</v>
      </c>
      <c r="G287" s="471" t="s">
        <v>322</v>
      </c>
      <c r="H287" s="292"/>
      <c r="I287" s="292"/>
      <c r="J287" s="292"/>
      <c r="K287" s="292">
        <v>1248</v>
      </c>
      <c r="L287" s="292"/>
      <c r="M287" s="292"/>
      <c r="N287" s="292"/>
      <c r="O287" s="292"/>
      <c r="P287" s="294"/>
      <c r="Q287" s="294"/>
      <c r="R287" s="294"/>
      <c r="S287" s="294"/>
      <c r="T287" s="294"/>
      <c r="U287" s="294">
        <v>1248</v>
      </c>
      <c r="V287" s="431"/>
      <c r="W287" s="294"/>
      <c r="X287" s="294"/>
      <c r="Y287" s="294">
        <f>IF(NFI_Expiration=1,IF($A287&lt;VLOOKUP(H$5,NFI,5,0),1,0)*Table_NFI[[#This Row],[Hygiene Kit]],Table_NFI[Hygiene Kit])</f>
        <v>0</v>
      </c>
      <c r="Z287" s="294">
        <f>IF(NFI_Expiration=1,IF($A287&lt;VLOOKUP(I$5,NFI,5,0),1,0)*Table_NFI[[#This Row],[NFI Core Kit]],Table_NFI[NFI Core Kit])</f>
        <v>0</v>
      </c>
      <c r="AA287" s="294">
        <f>IF(NFI_Expiration=1,IF($A287&lt;VLOOKUP(J$5,NFI,5,0),1,0)*Table_NFI[[#This Row],[Sanitary Kit]],Table_NFI[Sanitary Kit])</f>
        <v>0</v>
      </c>
      <c r="AB287" s="294">
        <f>IF(NFI_Expiration=1,IF($A287&lt;VLOOKUP(K$5,NFI,5,0),1,0)*Table_NFI[[#This Row],[Mosquito net]],Table_NFI[Mosquito net])</f>
        <v>0</v>
      </c>
      <c r="AC287" s="294">
        <f>IF(NFI_Expiration=1,IF($A287&lt;VLOOKUP(L$5,NFI,5,0),1,0)*Table_NFI[[#This Row],[Tarpaulin]],Table_NFI[[#This Row],[Tarpaulin]])</f>
        <v>0</v>
      </c>
      <c r="AD287" s="294">
        <f>IF(NFI_Expiration=1,IF($A287&lt;VLOOKUP(M$5,NFI,5,0),1,0)*Table_NFI[[#This Row],[Blanket]],Table_NFI[[#This Row],[Blanket]])</f>
        <v>0</v>
      </c>
      <c r="AE287" s="294">
        <f>IF(NFI_Expiration=1,IF($A287&lt;VLOOKUP(N$5,NFI,5,0),1,0)*Table_NFI[[#This Row],[Kitchen Set]],Table_NFI[Kitchen Set])</f>
        <v>0</v>
      </c>
      <c r="AF287" s="294">
        <f>IF(NFI_Expiration=1,IF($A287&lt;VLOOKUP(O$5,NFI,5,0),1,0)*Table_NFI[[#This Row],[Clothes Kit]],Table_NFI[Clothes Kit])</f>
        <v>0</v>
      </c>
      <c r="AG287" s="294">
        <f>IF(NFI_Expiration=1,IF($A287&lt;VLOOKUP(P$5,NFI,5,0),1,0)*Table_NFI[[#This Row],[Plastic Bucket]],Table_NFI[Plastic Bucket])</f>
        <v>0</v>
      </c>
      <c r="AH287" s="294">
        <f>IF(NFI_Expiration=1,IF($A287&lt;VLOOKUP(Q$5,NFI,5,0),1,0)*Table_NFI[[#This Row],[Plastic Mat]],Table_NFI[Plastic Mat])*IF(Table_NFI[[#This Row],[Distribution Date]]&gt;"2014-04-01",1,2.5)</f>
        <v>0</v>
      </c>
      <c r="AI287" s="294">
        <f>IF(NFI_Expiration=1,IF($A287&lt;VLOOKUP(R$5,NFI,5,0),1,0)*Table_NFI[[#This Row],[Winter Clothes Adult]],Table_NFI[Winter Clothes Adult])</f>
        <v>0</v>
      </c>
      <c r="AJ287" s="294">
        <f>IF(NFI_Expiration=1,IF($A287&lt;VLOOKUP(S$5,NFI,5,0),1,0)*Table_NFI[[#This Row],[Winter Clothes Children]],Table_NFI[Winter Clothes Children])</f>
        <v>0</v>
      </c>
      <c r="AK287" s="294">
        <f>IF(NFI_Expiration=1,IF($A287&lt;VLOOKUP(T$5,NFI,5,0),1,0)*Table_NFI[[#This Row],[Winter Items Other]],Table_NFI[Winter Items Other])</f>
        <v>0</v>
      </c>
      <c r="AL287" s="294">
        <f>IF(NFI_Expiration=1,IF($A287&lt;VLOOKUP(M$5,NFI,5,0),1,0)*Table_NFI[[#This Row],[Winter Blanket]],Table_NFI[[#This Row],[Winter Blanket]])</f>
        <v>0</v>
      </c>
      <c r="AM287" s="294">
        <f>IF(Table_NFI[[#This Row],[Winter Clothes Adult]]+Table_NFI[[#This Row],[Winter Clothes Children]]+Table_NFI[[#This Row],[Winter Items Other]]+Table_NFI[[#This Row],[Winter Blanket]]&gt;0,1,0)</f>
        <v>1</v>
      </c>
      <c r="AN287" s="331">
        <f>IF(NFI_Expiration=1,IF($A287&lt;VLOOKUP(V$5,NFI,5,0),1,0)*Table_NFI[[#This Row],[Jerry Can]],Table_NFI[Jerry Can])</f>
        <v>0</v>
      </c>
      <c r="AO287" s="331">
        <f>IF(NFI_Expiration=1,IF($A287&lt;VLOOKUP(V$5,NFI,5,0),1,0)*Table_NFI[[#This Row],[Shelter Tool kit]],Table_NFI[Shelter Tool kit])</f>
        <v>0</v>
      </c>
      <c r="AP287" s="331">
        <f>IF(NFI_Expiration=1,IF($A287&lt;VLOOKUP(V$5,NFI,5,0),1,0)*Table_NFI[[#This Row],[Tent]],Table_NFI[Tent])</f>
        <v>0</v>
      </c>
      <c r="AQ287" s="473" t="str">
        <f>IFERROR(VLOOKUP(Table_NFI[[#This Row],[Camp Name]],CL,2,0),"")</f>
        <v>MMR001CMP119</v>
      </c>
      <c r="AR287" s="468">
        <f ca="1">IF(Table_NFI[[#This Row],[Pcode]]="","",IF(OFFSET(CampList[Opening Date],MATCH(Table_NFI[[#This Row],[Pcode]],CampList[CP_Pcode],0)-1,0,1,1)&gt;=NFI_Monitor_Date,1,0))</f>
        <v>0</v>
      </c>
      <c r="AS287" s="473" t="str">
        <f>IFERROR(VLOOKUP(Table_NFI[[#This Row],[Camp Name]],CL,3,0),"")</f>
        <v>Open</v>
      </c>
      <c r="AT287" s="294" t="str">
        <f ca="1">IF(Table_NFI[[#This Row],[Pcode]]="","",OFFSET(CampList[Priority],MATCH(Table_NFI[[#This Row],[Pcode]],CampList[CP_Pcode],0)-1,0,1,1))</f>
        <v>P2</v>
      </c>
      <c r="AU287" s="293">
        <f>IFERROR(Table_NFI[[#This Row],[Kitchen Set]]/VLOOKUP(Table_NFI[[#This Row],[Camp Name]],CL,4,0),"")</f>
        <v>0</v>
      </c>
      <c r="AV287" s="471"/>
      <c r="AW287" s="474"/>
    </row>
    <row r="288" spans="1:49" s="470" customFormat="1" ht="14.45" customHeight="1" x14ac:dyDescent="0.25">
      <c r="A288" s="297">
        <f t="shared" si="4"/>
        <v>25.4</v>
      </c>
      <c r="B288" s="465">
        <v>41913</v>
      </c>
      <c r="C288" s="466" t="s">
        <v>452</v>
      </c>
      <c r="D288" s="471" t="s">
        <v>505</v>
      </c>
      <c r="E288" s="471" t="s">
        <v>380</v>
      </c>
      <c r="F288" s="471" t="s">
        <v>310</v>
      </c>
      <c r="G288" s="471" t="s">
        <v>328</v>
      </c>
      <c r="H288" s="292"/>
      <c r="I288" s="292"/>
      <c r="J288" s="292"/>
      <c r="K288" s="292">
        <v>286</v>
      </c>
      <c r="L288" s="292"/>
      <c r="M288" s="292"/>
      <c r="N288" s="292"/>
      <c r="O288" s="292"/>
      <c r="P288" s="294"/>
      <c r="Q288" s="294"/>
      <c r="R288" s="294"/>
      <c r="S288" s="294"/>
      <c r="T288" s="294"/>
      <c r="U288" s="294"/>
      <c r="V288" s="431"/>
      <c r="W288" s="294"/>
      <c r="X288" s="294"/>
      <c r="Y288" s="294">
        <f>IF(NFI_Expiration=1,IF($A288&lt;VLOOKUP(H$5,NFI,5,0),1,0)*Table_NFI[[#This Row],[Hygiene Kit]],Table_NFI[Hygiene Kit])</f>
        <v>0</v>
      </c>
      <c r="Z288" s="294">
        <f>IF(NFI_Expiration=1,IF($A288&lt;VLOOKUP(I$5,NFI,5,0),1,0)*Table_NFI[[#This Row],[NFI Core Kit]],Table_NFI[NFI Core Kit])</f>
        <v>0</v>
      </c>
      <c r="AA288" s="294">
        <f>IF(NFI_Expiration=1,IF($A288&lt;VLOOKUP(J$5,NFI,5,0),1,0)*Table_NFI[[#This Row],[Sanitary Kit]],Table_NFI[Sanitary Kit])</f>
        <v>0</v>
      </c>
      <c r="AB288" s="294">
        <f>IF(NFI_Expiration=1,IF($A288&lt;VLOOKUP(K$5,NFI,5,0),1,0)*Table_NFI[[#This Row],[Mosquito net]],Table_NFI[Mosquito net])</f>
        <v>0</v>
      </c>
      <c r="AC288" s="294">
        <f>IF(NFI_Expiration=1,IF($A288&lt;VLOOKUP(L$5,NFI,5,0),1,0)*Table_NFI[[#This Row],[Tarpaulin]],Table_NFI[[#This Row],[Tarpaulin]])</f>
        <v>0</v>
      </c>
      <c r="AD288" s="294">
        <f>IF(NFI_Expiration=1,IF($A288&lt;VLOOKUP(M$5,NFI,5,0),1,0)*Table_NFI[[#This Row],[Blanket]],Table_NFI[[#This Row],[Blanket]])</f>
        <v>0</v>
      </c>
      <c r="AE288" s="294">
        <f>IF(NFI_Expiration=1,IF($A288&lt;VLOOKUP(N$5,NFI,5,0),1,0)*Table_NFI[[#This Row],[Kitchen Set]],Table_NFI[Kitchen Set])</f>
        <v>0</v>
      </c>
      <c r="AF288" s="294">
        <f>IF(NFI_Expiration=1,IF($A288&lt;VLOOKUP(O$5,NFI,5,0),1,0)*Table_NFI[[#This Row],[Clothes Kit]],Table_NFI[Clothes Kit])</f>
        <v>0</v>
      </c>
      <c r="AG288" s="294">
        <f>IF(NFI_Expiration=1,IF($A288&lt;VLOOKUP(P$5,NFI,5,0),1,0)*Table_NFI[[#This Row],[Plastic Bucket]],Table_NFI[Plastic Bucket])</f>
        <v>0</v>
      </c>
      <c r="AH288" s="294">
        <f>IF(NFI_Expiration=1,IF($A288&lt;VLOOKUP(Q$5,NFI,5,0),1,0)*Table_NFI[[#This Row],[Plastic Mat]],Table_NFI[Plastic Mat])*IF(Table_NFI[[#This Row],[Distribution Date]]&gt;"2014-04-01",1,2.5)</f>
        <v>0</v>
      </c>
      <c r="AI288" s="294">
        <f>IF(NFI_Expiration=1,IF($A288&lt;VLOOKUP(R$5,NFI,5,0),1,0)*Table_NFI[[#This Row],[Winter Clothes Adult]],Table_NFI[Winter Clothes Adult])</f>
        <v>0</v>
      </c>
      <c r="AJ288" s="294">
        <f>IF(NFI_Expiration=1,IF($A288&lt;VLOOKUP(S$5,NFI,5,0),1,0)*Table_NFI[[#This Row],[Winter Clothes Children]],Table_NFI[Winter Clothes Children])</f>
        <v>0</v>
      </c>
      <c r="AK288" s="294">
        <f>IF(NFI_Expiration=1,IF($A288&lt;VLOOKUP(T$5,NFI,5,0),1,0)*Table_NFI[[#This Row],[Winter Items Other]],Table_NFI[Winter Items Other])</f>
        <v>0</v>
      </c>
      <c r="AL288" s="294">
        <f>IF(NFI_Expiration=1,IF($A288&lt;VLOOKUP(M$5,NFI,5,0),1,0)*Table_NFI[[#This Row],[Winter Blanket]],Table_NFI[[#This Row],[Winter Blanket]])</f>
        <v>0</v>
      </c>
      <c r="AM288" s="294">
        <f>IF(Table_NFI[[#This Row],[Winter Clothes Adult]]+Table_NFI[[#This Row],[Winter Clothes Children]]+Table_NFI[[#This Row],[Winter Items Other]]+Table_NFI[[#This Row],[Winter Blanket]]&gt;0,1,0)</f>
        <v>0</v>
      </c>
      <c r="AN288" s="331">
        <f>IF(NFI_Expiration=1,IF($A288&lt;VLOOKUP(V$5,NFI,5,0),1,0)*Table_NFI[[#This Row],[Jerry Can]],Table_NFI[Jerry Can])</f>
        <v>0</v>
      </c>
      <c r="AO288" s="331">
        <f>IF(NFI_Expiration=1,IF($A288&lt;VLOOKUP(V$5,NFI,5,0),1,0)*Table_NFI[[#This Row],[Shelter Tool kit]],Table_NFI[Shelter Tool kit])</f>
        <v>0</v>
      </c>
      <c r="AP288" s="331">
        <f>IF(NFI_Expiration=1,IF($A288&lt;VLOOKUP(V$5,NFI,5,0),1,0)*Table_NFI[[#This Row],[Tent]],Table_NFI[Tent])</f>
        <v>0</v>
      </c>
      <c r="AQ288" s="473" t="str">
        <f>IFERROR(VLOOKUP(Table_NFI[[#This Row],[Camp Name]],CL,2,0),"")</f>
        <v>MMR001CMP031</v>
      </c>
      <c r="AR288" s="468">
        <f ca="1">IF(Table_NFI[[#This Row],[Pcode]]="","",IF(OFFSET(CampList[Opening Date],MATCH(Table_NFI[[#This Row],[Pcode]],CampList[CP_Pcode],0)-1,0,1,1)&gt;=NFI_Monitor_Date,1,0))</f>
        <v>0</v>
      </c>
      <c r="AS288" s="473" t="str">
        <f>IFERROR(VLOOKUP(Table_NFI[[#This Row],[Camp Name]],CL,3,0),"")</f>
        <v>Open</v>
      </c>
      <c r="AT288" s="294" t="str">
        <f ca="1">IF(Table_NFI[[#This Row],[Pcode]]="","",OFFSET(CampList[Priority],MATCH(Table_NFI[[#This Row],[Pcode]],CampList[CP_Pcode],0)-1,0,1,1))</f>
        <v>P4</v>
      </c>
      <c r="AU288" s="293">
        <f>IFERROR(Table_NFI[[#This Row],[Kitchen Set]]/VLOOKUP(Table_NFI[[#This Row],[Camp Name]],CL,4,0),"")</f>
        <v>0</v>
      </c>
      <c r="AV288" s="471"/>
      <c r="AW288" s="474"/>
    </row>
    <row r="289" spans="1:49" s="470" customFormat="1" ht="14.45" customHeight="1" x14ac:dyDescent="0.25">
      <c r="A289" s="297">
        <f t="shared" si="4"/>
        <v>25.4</v>
      </c>
      <c r="B289" s="465">
        <v>41913</v>
      </c>
      <c r="C289" s="466" t="s">
        <v>452</v>
      </c>
      <c r="D289" s="471" t="s">
        <v>506</v>
      </c>
      <c r="E289" s="471" t="s">
        <v>380</v>
      </c>
      <c r="F289" s="471" t="s">
        <v>310</v>
      </c>
      <c r="G289" s="471" t="s">
        <v>330</v>
      </c>
      <c r="H289" s="292"/>
      <c r="I289" s="292"/>
      <c r="J289" s="292"/>
      <c r="K289" s="292">
        <v>462</v>
      </c>
      <c r="L289" s="292"/>
      <c r="M289" s="292"/>
      <c r="N289" s="292"/>
      <c r="O289" s="292"/>
      <c r="P289" s="294"/>
      <c r="Q289" s="294"/>
      <c r="R289" s="294"/>
      <c r="S289" s="294"/>
      <c r="T289" s="294"/>
      <c r="U289" s="294"/>
      <c r="V289" s="431"/>
      <c r="W289" s="294"/>
      <c r="X289" s="294"/>
      <c r="Y289" s="294">
        <f>IF(NFI_Expiration=1,IF($A289&lt;VLOOKUP(H$5,NFI,5,0),1,0)*Table_NFI[[#This Row],[Hygiene Kit]],Table_NFI[Hygiene Kit])</f>
        <v>0</v>
      </c>
      <c r="Z289" s="294">
        <f>IF(NFI_Expiration=1,IF($A289&lt;VLOOKUP(I$5,NFI,5,0),1,0)*Table_NFI[[#This Row],[NFI Core Kit]],Table_NFI[NFI Core Kit])</f>
        <v>0</v>
      </c>
      <c r="AA289" s="294">
        <f>IF(NFI_Expiration=1,IF($A289&lt;VLOOKUP(J$5,NFI,5,0),1,0)*Table_NFI[[#This Row],[Sanitary Kit]],Table_NFI[Sanitary Kit])</f>
        <v>0</v>
      </c>
      <c r="AB289" s="294">
        <f>IF(NFI_Expiration=1,IF($A289&lt;VLOOKUP(K$5,NFI,5,0),1,0)*Table_NFI[[#This Row],[Mosquito net]],Table_NFI[Mosquito net])</f>
        <v>0</v>
      </c>
      <c r="AC289" s="294">
        <f>IF(NFI_Expiration=1,IF($A289&lt;VLOOKUP(L$5,NFI,5,0),1,0)*Table_NFI[[#This Row],[Tarpaulin]],Table_NFI[[#This Row],[Tarpaulin]])</f>
        <v>0</v>
      </c>
      <c r="AD289" s="294">
        <f>IF(NFI_Expiration=1,IF($A289&lt;VLOOKUP(M$5,NFI,5,0),1,0)*Table_NFI[[#This Row],[Blanket]],Table_NFI[[#This Row],[Blanket]])</f>
        <v>0</v>
      </c>
      <c r="AE289" s="294">
        <f>IF(NFI_Expiration=1,IF($A289&lt;VLOOKUP(N$5,NFI,5,0),1,0)*Table_NFI[[#This Row],[Kitchen Set]],Table_NFI[Kitchen Set])</f>
        <v>0</v>
      </c>
      <c r="AF289" s="294">
        <f>IF(NFI_Expiration=1,IF($A289&lt;VLOOKUP(O$5,NFI,5,0),1,0)*Table_NFI[[#This Row],[Clothes Kit]],Table_NFI[Clothes Kit])</f>
        <v>0</v>
      </c>
      <c r="AG289" s="294">
        <f>IF(NFI_Expiration=1,IF($A289&lt;VLOOKUP(P$5,NFI,5,0),1,0)*Table_NFI[[#This Row],[Plastic Bucket]],Table_NFI[Plastic Bucket])</f>
        <v>0</v>
      </c>
      <c r="AH289" s="294">
        <f>IF(NFI_Expiration=1,IF($A289&lt;VLOOKUP(Q$5,NFI,5,0),1,0)*Table_NFI[[#This Row],[Plastic Mat]],Table_NFI[Plastic Mat])*IF(Table_NFI[[#This Row],[Distribution Date]]&gt;"2014-04-01",1,2.5)</f>
        <v>0</v>
      </c>
      <c r="AI289" s="294">
        <f>IF(NFI_Expiration=1,IF($A289&lt;VLOOKUP(R$5,NFI,5,0),1,0)*Table_NFI[[#This Row],[Winter Clothes Adult]],Table_NFI[Winter Clothes Adult])</f>
        <v>0</v>
      </c>
      <c r="AJ289" s="294">
        <f>IF(NFI_Expiration=1,IF($A289&lt;VLOOKUP(S$5,NFI,5,0),1,0)*Table_NFI[[#This Row],[Winter Clothes Children]],Table_NFI[Winter Clothes Children])</f>
        <v>0</v>
      </c>
      <c r="AK289" s="294">
        <f>IF(NFI_Expiration=1,IF($A289&lt;VLOOKUP(T$5,NFI,5,0),1,0)*Table_NFI[[#This Row],[Winter Items Other]],Table_NFI[Winter Items Other])</f>
        <v>0</v>
      </c>
      <c r="AL289" s="294">
        <f>IF(NFI_Expiration=1,IF($A289&lt;VLOOKUP(M$5,NFI,5,0),1,0)*Table_NFI[[#This Row],[Winter Blanket]],Table_NFI[[#This Row],[Winter Blanket]])</f>
        <v>0</v>
      </c>
      <c r="AM289" s="294">
        <f>IF(Table_NFI[[#This Row],[Winter Clothes Adult]]+Table_NFI[[#This Row],[Winter Clothes Children]]+Table_NFI[[#This Row],[Winter Items Other]]+Table_NFI[[#This Row],[Winter Blanket]]&gt;0,1,0)</f>
        <v>0</v>
      </c>
      <c r="AN289" s="331">
        <f>IF(NFI_Expiration=1,IF($A289&lt;VLOOKUP(V$5,NFI,5,0),1,0)*Table_NFI[[#This Row],[Jerry Can]],Table_NFI[Jerry Can])</f>
        <v>0</v>
      </c>
      <c r="AO289" s="331">
        <f>IF(NFI_Expiration=1,IF($A289&lt;VLOOKUP(V$5,NFI,5,0),1,0)*Table_NFI[[#This Row],[Shelter Tool kit]],Table_NFI[Shelter Tool kit])</f>
        <v>0</v>
      </c>
      <c r="AP289" s="331">
        <f>IF(NFI_Expiration=1,IF($A289&lt;VLOOKUP(V$5,NFI,5,0),1,0)*Table_NFI[[#This Row],[Tent]],Table_NFI[Tent])</f>
        <v>0</v>
      </c>
      <c r="AQ289" s="473" t="str">
        <f>IFERROR(VLOOKUP(Table_NFI[[#This Row],[Camp Name]],CL,2,0),"")</f>
        <v>MMR001CMP029</v>
      </c>
      <c r="AR289" s="468">
        <f ca="1">IF(Table_NFI[[#This Row],[Pcode]]="","",IF(OFFSET(CampList[Opening Date],MATCH(Table_NFI[[#This Row],[Pcode]],CampList[CP_Pcode],0)-1,0,1,1)&gt;=NFI_Monitor_Date,1,0))</f>
        <v>0</v>
      </c>
      <c r="AS289" s="473" t="str">
        <f>IFERROR(VLOOKUP(Table_NFI[[#This Row],[Camp Name]],CL,3,0),"")</f>
        <v>Open</v>
      </c>
      <c r="AT289" s="294" t="str">
        <f ca="1">IF(Table_NFI[[#This Row],[Pcode]]="","",OFFSET(CampList[Priority],MATCH(Table_NFI[[#This Row],[Pcode]],CampList[CP_Pcode],0)-1,0,1,1))</f>
        <v>P4</v>
      </c>
      <c r="AU289" s="293">
        <f>IFERROR(Table_NFI[[#This Row],[Kitchen Set]]/VLOOKUP(Table_NFI[[#This Row],[Camp Name]],CL,4,0),"")</f>
        <v>0</v>
      </c>
      <c r="AV289" s="471"/>
      <c r="AW289" s="474"/>
    </row>
    <row r="290" spans="1:49" s="470" customFormat="1" ht="14.45" customHeight="1" x14ac:dyDescent="0.25">
      <c r="A290" s="297">
        <f t="shared" si="4"/>
        <v>25.4</v>
      </c>
      <c r="B290" s="465">
        <v>41913</v>
      </c>
      <c r="C290" s="466" t="s">
        <v>452</v>
      </c>
      <c r="D290" s="471" t="s">
        <v>505</v>
      </c>
      <c r="E290" s="471" t="s">
        <v>380</v>
      </c>
      <c r="F290" s="471" t="s">
        <v>237</v>
      </c>
      <c r="G290" s="471" t="s">
        <v>263</v>
      </c>
      <c r="H290" s="292"/>
      <c r="I290" s="292"/>
      <c r="J290" s="292"/>
      <c r="K290" s="292">
        <v>52</v>
      </c>
      <c r="L290" s="292"/>
      <c r="M290" s="292"/>
      <c r="N290" s="292"/>
      <c r="O290" s="292"/>
      <c r="P290" s="294"/>
      <c r="Q290" s="294"/>
      <c r="R290" s="294"/>
      <c r="S290" s="294"/>
      <c r="T290" s="294"/>
      <c r="U290" s="294"/>
      <c r="V290" s="431"/>
      <c r="W290" s="294"/>
      <c r="X290" s="294"/>
      <c r="Y290" s="294">
        <f>IF(NFI_Expiration=1,IF($A290&lt;VLOOKUP(H$5,NFI,5,0),1,0)*Table_NFI[[#This Row],[Hygiene Kit]],Table_NFI[Hygiene Kit])</f>
        <v>0</v>
      </c>
      <c r="Z290" s="294">
        <f>IF(NFI_Expiration=1,IF($A290&lt;VLOOKUP(I$5,NFI,5,0),1,0)*Table_NFI[[#This Row],[NFI Core Kit]],Table_NFI[NFI Core Kit])</f>
        <v>0</v>
      </c>
      <c r="AA290" s="294">
        <f>IF(NFI_Expiration=1,IF($A290&lt;VLOOKUP(J$5,NFI,5,0),1,0)*Table_NFI[[#This Row],[Sanitary Kit]],Table_NFI[Sanitary Kit])</f>
        <v>0</v>
      </c>
      <c r="AB290" s="294">
        <f>IF(NFI_Expiration=1,IF($A290&lt;VLOOKUP(K$5,NFI,5,0),1,0)*Table_NFI[[#This Row],[Mosquito net]],Table_NFI[Mosquito net])</f>
        <v>0</v>
      </c>
      <c r="AC290" s="294">
        <f>IF(NFI_Expiration=1,IF($A290&lt;VLOOKUP(L$5,NFI,5,0),1,0)*Table_NFI[[#This Row],[Tarpaulin]],Table_NFI[[#This Row],[Tarpaulin]])</f>
        <v>0</v>
      </c>
      <c r="AD290" s="294">
        <f>IF(NFI_Expiration=1,IF($A290&lt;VLOOKUP(M$5,NFI,5,0),1,0)*Table_NFI[[#This Row],[Blanket]],Table_NFI[[#This Row],[Blanket]])</f>
        <v>0</v>
      </c>
      <c r="AE290" s="294">
        <f>IF(NFI_Expiration=1,IF($A290&lt;VLOOKUP(N$5,NFI,5,0),1,0)*Table_NFI[[#This Row],[Kitchen Set]],Table_NFI[Kitchen Set])</f>
        <v>0</v>
      </c>
      <c r="AF290" s="294">
        <f>IF(NFI_Expiration=1,IF($A290&lt;VLOOKUP(O$5,NFI,5,0),1,0)*Table_NFI[[#This Row],[Clothes Kit]],Table_NFI[Clothes Kit])</f>
        <v>0</v>
      </c>
      <c r="AG290" s="294">
        <f>IF(NFI_Expiration=1,IF($A290&lt;VLOOKUP(P$5,NFI,5,0),1,0)*Table_NFI[[#This Row],[Plastic Bucket]],Table_NFI[Plastic Bucket])</f>
        <v>0</v>
      </c>
      <c r="AH290" s="294">
        <f>IF(NFI_Expiration=1,IF($A290&lt;VLOOKUP(Q$5,NFI,5,0),1,0)*Table_NFI[[#This Row],[Plastic Mat]],Table_NFI[Plastic Mat])*IF(Table_NFI[[#This Row],[Distribution Date]]&gt;"2014-04-01",1,2.5)</f>
        <v>0</v>
      </c>
      <c r="AI290" s="294">
        <f>IF(NFI_Expiration=1,IF($A290&lt;VLOOKUP(R$5,NFI,5,0),1,0)*Table_NFI[[#This Row],[Winter Clothes Adult]],Table_NFI[Winter Clothes Adult])</f>
        <v>0</v>
      </c>
      <c r="AJ290" s="294">
        <f>IF(NFI_Expiration=1,IF($A290&lt;VLOOKUP(S$5,NFI,5,0),1,0)*Table_NFI[[#This Row],[Winter Clothes Children]],Table_NFI[Winter Clothes Children])</f>
        <v>0</v>
      </c>
      <c r="AK290" s="294">
        <f>IF(NFI_Expiration=1,IF($A290&lt;VLOOKUP(T$5,NFI,5,0),1,0)*Table_NFI[[#This Row],[Winter Items Other]],Table_NFI[Winter Items Other])</f>
        <v>0</v>
      </c>
      <c r="AL290" s="294">
        <f>IF(NFI_Expiration=1,IF($A290&lt;VLOOKUP(M$5,NFI,5,0),1,0)*Table_NFI[[#This Row],[Winter Blanket]],Table_NFI[[#This Row],[Winter Blanket]])</f>
        <v>0</v>
      </c>
      <c r="AM290" s="294">
        <f>IF(Table_NFI[[#This Row],[Winter Clothes Adult]]+Table_NFI[[#This Row],[Winter Clothes Children]]+Table_NFI[[#This Row],[Winter Items Other]]+Table_NFI[[#This Row],[Winter Blanket]]&gt;0,1,0)</f>
        <v>0</v>
      </c>
      <c r="AN290" s="331">
        <f>IF(NFI_Expiration=1,IF($A290&lt;VLOOKUP(V$5,NFI,5,0),1,0)*Table_NFI[[#This Row],[Jerry Can]],Table_NFI[Jerry Can])</f>
        <v>0</v>
      </c>
      <c r="AO290" s="331">
        <f>IF(NFI_Expiration=1,IF($A290&lt;VLOOKUP(V$5,NFI,5,0),1,0)*Table_NFI[[#This Row],[Shelter Tool kit]],Table_NFI[Shelter Tool kit])</f>
        <v>0</v>
      </c>
      <c r="AP290" s="331">
        <f>IF(NFI_Expiration=1,IF($A290&lt;VLOOKUP(V$5,NFI,5,0),1,0)*Table_NFI[[#This Row],[Tent]],Table_NFI[Tent])</f>
        <v>0</v>
      </c>
      <c r="AQ290" s="473" t="str">
        <f>IFERROR(VLOOKUP(Table_NFI[[#This Row],[Camp Name]],CL,2,0),"")</f>
        <v>MMR001CMP020</v>
      </c>
      <c r="AR290" s="468">
        <f ca="1">IF(Table_NFI[[#This Row],[Pcode]]="","",IF(OFFSET(CampList[Opening Date],MATCH(Table_NFI[[#This Row],[Pcode]],CampList[CP_Pcode],0)-1,0,1,1)&gt;=NFI_Monitor_Date,1,0))</f>
        <v>0</v>
      </c>
      <c r="AS290" s="473" t="str">
        <f>IFERROR(VLOOKUP(Table_NFI[[#This Row],[Camp Name]],CL,3,0),"")</f>
        <v>Open</v>
      </c>
      <c r="AT290" s="294" t="str">
        <f ca="1">IF(Table_NFI[[#This Row],[Pcode]]="","",OFFSET(CampList[Priority],MATCH(Table_NFI[[#This Row],[Pcode]],CampList[CP_Pcode],0)-1,0,1,1))</f>
        <v>P4</v>
      </c>
      <c r="AU290" s="293">
        <f>IFERROR(Table_NFI[[#This Row],[Kitchen Set]]/VLOOKUP(Table_NFI[[#This Row],[Camp Name]],CL,4,0),"")</f>
        <v>0</v>
      </c>
      <c r="AV290" s="471"/>
      <c r="AW290" s="474"/>
    </row>
    <row r="291" spans="1:49" s="470" customFormat="1" ht="14.45" customHeight="1" x14ac:dyDescent="0.25">
      <c r="A291" s="297">
        <f t="shared" si="4"/>
        <v>25.4</v>
      </c>
      <c r="B291" s="465">
        <v>41913</v>
      </c>
      <c r="C291" s="466" t="s">
        <v>452</v>
      </c>
      <c r="D291" s="471" t="s">
        <v>505</v>
      </c>
      <c r="E291" s="471" t="s">
        <v>380</v>
      </c>
      <c r="F291" s="471" t="s">
        <v>237</v>
      </c>
      <c r="G291" s="471" t="s">
        <v>265</v>
      </c>
      <c r="H291" s="292"/>
      <c r="I291" s="292"/>
      <c r="J291" s="292"/>
      <c r="K291" s="292">
        <v>42</v>
      </c>
      <c r="L291" s="292"/>
      <c r="M291" s="292"/>
      <c r="N291" s="292"/>
      <c r="O291" s="292"/>
      <c r="P291" s="294"/>
      <c r="Q291" s="294"/>
      <c r="R291" s="294"/>
      <c r="S291" s="294"/>
      <c r="T291" s="294"/>
      <c r="U291" s="294"/>
      <c r="V291" s="431"/>
      <c r="W291" s="294"/>
      <c r="X291" s="294"/>
      <c r="Y291" s="294">
        <f>IF(NFI_Expiration=1,IF($A291&lt;VLOOKUP(H$5,NFI,5,0),1,0)*Table_NFI[[#This Row],[Hygiene Kit]],Table_NFI[Hygiene Kit])</f>
        <v>0</v>
      </c>
      <c r="Z291" s="294">
        <f>IF(NFI_Expiration=1,IF($A291&lt;VLOOKUP(I$5,NFI,5,0),1,0)*Table_NFI[[#This Row],[NFI Core Kit]],Table_NFI[NFI Core Kit])</f>
        <v>0</v>
      </c>
      <c r="AA291" s="294">
        <f>IF(NFI_Expiration=1,IF($A291&lt;VLOOKUP(J$5,NFI,5,0),1,0)*Table_NFI[[#This Row],[Sanitary Kit]],Table_NFI[Sanitary Kit])</f>
        <v>0</v>
      </c>
      <c r="AB291" s="294">
        <f>IF(NFI_Expiration=1,IF($A291&lt;VLOOKUP(K$5,NFI,5,0),1,0)*Table_NFI[[#This Row],[Mosquito net]],Table_NFI[Mosquito net])</f>
        <v>0</v>
      </c>
      <c r="AC291" s="294">
        <f>IF(NFI_Expiration=1,IF($A291&lt;VLOOKUP(L$5,NFI,5,0),1,0)*Table_NFI[[#This Row],[Tarpaulin]],Table_NFI[[#This Row],[Tarpaulin]])</f>
        <v>0</v>
      </c>
      <c r="AD291" s="294">
        <f>IF(NFI_Expiration=1,IF($A291&lt;VLOOKUP(M$5,NFI,5,0),1,0)*Table_NFI[[#This Row],[Blanket]],Table_NFI[[#This Row],[Blanket]])</f>
        <v>0</v>
      </c>
      <c r="AE291" s="294">
        <f>IF(NFI_Expiration=1,IF($A291&lt;VLOOKUP(N$5,NFI,5,0),1,0)*Table_NFI[[#This Row],[Kitchen Set]],Table_NFI[Kitchen Set])</f>
        <v>0</v>
      </c>
      <c r="AF291" s="294">
        <f>IF(NFI_Expiration=1,IF($A291&lt;VLOOKUP(O$5,NFI,5,0),1,0)*Table_NFI[[#This Row],[Clothes Kit]],Table_NFI[Clothes Kit])</f>
        <v>0</v>
      </c>
      <c r="AG291" s="294">
        <f>IF(NFI_Expiration=1,IF($A291&lt;VLOOKUP(P$5,NFI,5,0),1,0)*Table_NFI[[#This Row],[Plastic Bucket]],Table_NFI[Plastic Bucket])</f>
        <v>0</v>
      </c>
      <c r="AH291" s="294">
        <f>IF(NFI_Expiration=1,IF($A291&lt;VLOOKUP(Q$5,NFI,5,0),1,0)*Table_NFI[[#This Row],[Plastic Mat]],Table_NFI[Plastic Mat])*IF(Table_NFI[[#This Row],[Distribution Date]]&gt;"2014-04-01",1,2.5)</f>
        <v>0</v>
      </c>
      <c r="AI291" s="294">
        <f>IF(NFI_Expiration=1,IF($A291&lt;VLOOKUP(R$5,NFI,5,0),1,0)*Table_NFI[[#This Row],[Winter Clothes Adult]],Table_NFI[Winter Clothes Adult])</f>
        <v>0</v>
      </c>
      <c r="AJ291" s="294">
        <f>IF(NFI_Expiration=1,IF($A291&lt;VLOOKUP(S$5,NFI,5,0),1,0)*Table_NFI[[#This Row],[Winter Clothes Children]],Table_NFI[Winter Clothes Children])</f>
        <v>0</v>
      </c>
      <c r="AK291" s="294">
        <f>IF(NFI_Expiration=1,IF($A291&lt;VLOOKUP(T$5,NFI,5,0),1,0)*Table_NFI[[#This Row],[Winter Items Other]],Table_NFI[Winter Items Other])</f>
        <v>0</v>
      </c>
      <c r="AL291" s="294">
        <f>IF(NFI_Expiration=1,IF($A291&lt;VLOOKUP(M$5,NFI,5,0),1,0)*Table_NFI[[#This Row],[Winter Blanket]],Table_NFI[[#This Row],[Winter Blanket]])</f>
        <v>0</v>
      </c>
      <c r="AM291" s="294">
        <f>IF(Table_NFI[[#This Row],[Winter Clothes Adult]]+Table_NFI[[#This Row],[Winter Clothes Children]]+Table_NFI[[#This Row],[Winter Items Other]]+Table_NFI[[#This Row],[Winter Blanket]]&gt;0,1,0)</f>
        <v>0</v>
      </c>
      <c r="AN291" s="331">
        <f>IF(NFI_Expiration=1,IF($A291&lt;VLOOKUP(V$5,NFI,5,0),1,0)*Table_NFI[[#This Row],[Jerry Can]],Table_NFI[Jerry Can])</f>
        <v>0</v>
      </c>
      <c r="AO291" s="331">
        <f>IF(NFI_Expiration=1,IF($A291&lt;VLOOKUP(V$5,NFI,5,0),1,0)*Table_NFI[[#This Row],[Shelter Tool kit]],Table_NFI[Shelter Tool kit])</f>
        <v>0</v>
      </c>
      <c r="AP291" s="331">
        <f>IF(NFI_Expiration=1,IF($A291&lt;VLOOKUP(V$5,NFI,5,0),1,0)*Table_NFI[[#This Row],[Tent]],Table_NFI[Tent])</f>
        <v>0</v>
      </c>
      <c r="AQ291" s="473" t="str">
        <f>IFERROR(VLOOKUP(Table_NFI[[#This Row],[Camp Name]],CL,2,0),"")</f>
        <v>MMR001CMP021</v>
      </c>
      <c r="AR291" s="468">
        <f ca="1">IF(Table_NFI[[#This Row],[Pcode]]="","",IF(OFFSET(CampList[Opening Date],MATCH(Table_NFI[[#This Row],[Pcode]],CampList[CP_Pcode],0)-1,0,1,1)&gt;=NFI_Monitor_Date,1,0))</f>
        <v>0</v>
      </c>
      <c r="AS291" s="473" t="str">
        <f>IFERROR(VLOOKUP(Table_NFI[[#This Row],[Camp Name]],CL,3,0),"")</f>
        <v>Open</v>
      </c>
      <c r="AT291" s="294" t="str">
        <f ca="1">IF(Table_NFI[[#This Row],[Pcode]]="","",OFFSET(CampList[Priority],MATCH(Table_NFI[[#This Row],[Pcode]],CampList[CP_Pcode],0)-1,0,1,1))</f>
        <v>P4</v>
      </c>
      <c r="AU291" s="293">
        <f>IFERROR(Table_NFI[[#This Row],[Kitchen Set]]/VLOOKUP(Table_NFI[[#This Row],[Camp Name]],CL,4,0),"")</f>
        <v>0</v>
      </c>
      <c r="AV291" s="471"/>
      <c r="AW291" s="474"/>
    </row>
    <row r="292" spans="1:49" s="470" customFormat="1" ht="14.45" customHeight="1" x14ac:dyDescent="0.25">
      <c r="A292" s="297">
        <f t="shared" si="4"/>
        <v>25.4</v>
      </c>
      <c r="B292" s="465">
        <v>41913</v>
      </c>
      <c r="C292" s="466" t="s">
        <v>452</v>
      </c>
      <c r="D292" s="471" t="s">
        <v>505</v>
      </c>
      <c r="E292" s="471" t="s">
        <v>380</v>
      </c>
      <c r="F292" s="471" t="s">
        <v>527</v>
      </c>
      <c r="G292" s="471" t="s">
        <v>100</v>
      </c>
      <c r="H292" s="292"/>
      <c r="I292" s="292"/>
      <c r="J292" s="292"/>
      <c r="K292" s="292">
        <v>10</v>
      </c>
      <c r="L292" s="292"/>
      <c r="M292" s="292"/>
      <c r="N292" s="292"/>
      <c r="O292" s="292"/>
      <c r="P292" s="294"/>
      <c r="Q292" s="294"/>
      <c r="R292" s="294"/>
      <c r="S292" s="294"/>
      <c r="T292" s="294"/>
      <c r="U292" s="294"/>
      <c r="V292" s="431"/>
      <c r="W292" s="294"/>
      <c r="X292" s="294"/>
      <c r="Y292" s="294">
        <f>IF(NFI_Expiration=1,IF($A292&lt;VLOOKUP(H$5,NFI,5,0),1,0)*Table_NFI[[#This Row],[Hygiene Kit]],Table_NFI[Hygiene Kit])</f>
        <v>0</v>
      </c>
      <c r="Z292" s="294">
        <f>IF(NFI_Expiration=1,IF($A292&lt;VLOOKUP(I$5,NFI,5,0),1,0)*Table_NFI[[#This Row],[NFI Core Kit]],Table_NFI[NFI Core Kit])</f>
        <v>0</v>
      </c>
      <c r="AA292" s="294">
        <f>IF(NFI_Expiration=1,IF($A292&lt;VLOOKUP(J$5,NFI,5,0),1,0)*Table_NFI[[#This Row],[Sanitary Kit]],Table_NFI[Sanitary Kit])</f>
        <v>0</v>
      </c>
      <c r="AB292" s="294">
        <f>IF(NFI_Expiration=1,IF($A292&lt;VLOOKUP(K$5,NFI,5,0),1,0)*Table_NFI[[#This Row],[Mosquito net]],Table_NFI[Mosquito net])</f>
        <v>0</v>
      </c>
      <c r="AC292" s="294">
        <f>IF(NFI_Expiration=1,IF($A292&lt;VLOOKUP(L$5,NFI,5,0),1,0)*Table_NFI[[#This Row],[Tarpaulin]],Table_NFI[[#This Row],[Tarpaulin]])</f>
        <v>0</v>
      </c>
      <c r="AD292" s="294">
        <f>IF(NFI_Expiration=1,IF($A292&lt;VLOOKUP(M$5,NFI,5,0),1,0)*Table_NFI[[#This Row],[Blanket]],Table_NFI[[#This Row],[Blanket]])</f>
        <v>0</v>
      </c>
      <c r="AE292" s="294">
        <f>IF(NFI_Expiration=1,IF($A292&lt;VLOOKUP(N$5,NFI,5,0),1,0)*Table_NFI[[#This Row],[Kitchen Set]],Table_NFI[Kitchen Set])</f>
        <v>0</v>
      </c>
      <c r="AF292" s="294">
        <f>IF(NFI_Expiration=1,IF($A292&lt;VLOOKUP(O$5,NFI,5,0),1,0)*Table_NFI[[#This Row],[Clothes Kit]],Table_NFI[Clothes Kit])</f>
        <v>0</v>
      </c>
      <c r="AG292" s="294">
        <f>IF(NFI_Expiration=1,IF($A292&lt;VLOOKUP(P$5,NFI,5,0),1,0)*Table_NFI[[#This Row],[Plastic Bucket]],Table_NFI[Plastic Bucket])</f>
        <v>0</v>
      </c>
      <c r="AH292" s="294">
        <f>IF(NFI_Expiration=1,IF($A292&lt;VLOOKUP(Q$5,NFI,5,0),1,0)*Table_NFI[[#This Row],[Plastic Mat]],Table_NFI[Plastic Mat])*IF(Table_NFI[[#This Row],[Distribution Date]]&gt;"2014-04-01",1,2.5)</f>
        <v>0</v>
      </c>
      <c r="AI292" s="294">
        <f>IF(NFI_Expiration=1,IF($A292&lt;VLOOKUP(R$5,NFI,5,0),1,0)*Table_NFI[[#This Row],[Winter Clothes Adult]],Table_NFI[Winter Clothes Adult])</f>
        <v>0</v>
      </c>
      <c r="AJ292" s="294">
        <f>IF(NFI_Expiration=1,IF($A292&lt;VLOOKUP(S$5,NFI,5,0),1,0)*Table_NFI[[#This Row],[Winter Clothes Children]],Table_NFI[Winter Clothes Children])</f>
        <v>0</v>
      </c>
      <c r="AK292" s="294">
        <f>IF(NFI_Expiration=1,IF($A292&lt;VLOOKUP(T$5,NFI,5,0),1,0)*Table_NFI[[#This Row],[Winter Items Other]],Table_NFI[Winter Items Other])</f>
        <v>0</v>
      </c>
      <c r="AL292" s="294">
        <f>IF(NFI_Expiration=1,IF($A292&lt;VLOOKUP(M$5,NFI,5,0),1,0)*Table_NFI[[#This Row],[Winter Blanket]],Table_NFI[[#This Row],[Winter Blanket]])</f>
        <v>0</v>
      </c>
      <c r="AM292" s="294">
        <f>IF(Table_NFI[[#This Row],[Winter Clothes Adult]]+Table_NFI[[#This Row],[Winter Clothes Children]]+Table_NFI[[#This Row],[Winter Items Other]]+Table_NFI[[#This Row],[Winter Blanket]]&gt;0,1,0)</f>
        <v>0</v>
      </c>
      <c r="AN292" s="331">
        <f>IF(NFI_Expiration=1,IF($A292&lt;VLOOKUP(V$5,NFI,5,0),1,0)*Table_NFI[[#This Row],[Jerry Can]],Table_NFI[Jerry Can])</f>
        <v>0</v>
      </c>
      <c r="AO292" s="331">
        <f>IF(NFI_Expiration=1,IF($A292&lt;VLOOKUP(V$5,NFI,5,0),1,0)*Table_NFI[[#This Row],[Shelter Tool kit]],Table_NFI[Shelter Tool kit])</f>
        <v>0</v>
      </c>
      <c r="AP292" s="331">
        <f>IF(NFI_Expiration=1,IF($A292&lt;VLOOKUP(V$5,NFI,5,0),1,0)*Table_NFI[[#This Row],[Tent]],Table_NFI[Tent])</f>
        <v>0</v>
      </c>
      <c r="AQ292" s="473" t="str">
        <f>IFERROR(VLOOKUP(Table_NFI[[#This Row],[Camp Name]],CL,2,0),"")</f>
        <v>MMR001CMP091</v>
      </c>
      <c r="AR292" s="468">
        <f ca="1">IF(Table_NFI[[#This Row],[Pcode]]="","",IF(OFFSET(CampList[Opening Date],MATCH(Table_NFI[[#This Row],[Pcode]],CampList[CP_Pcode],0)-1,0,1,1)&gt;=NFI_Monitor_Date,1,0))</f>
        <v>0</v>
      </c>
      <c r="AS292" s="473" t="str">
        <f>IFERROR(VLOOKUP(Table_NFI[[#This Row],[Camp Name]],CL,3,0),"")</f>
        <v>Open</v>
      </c>
      <c r="AT292" s="294" t="str">
        <f ca="1">IF(Table_NFI[[#This Row],[Pcode]]="","",OFFSET(CampList[Priority],MATCH(Table_NFI[[#This Row],[Pcode]],CampList[CP_Pcode],0)-1,0,1,1))</f>
        <v>P4</v>
      </c>
      <c r="AU292" s="293">
        <f>IFERROR(Table_NFI[[#This Row],[Kitchen Set]]/VLOOKUP(Table_NFI[[#This Row],[Camp Name]],CL,4,0),"")</f>
        <v>0</v>
      </c>
      <c r="AV292" s="471"/>
      <c r="AW292" s="474"/>
    </row>
    <row r="293" spans="1:49" s="470" customFormat="1" ht="14.45" customHeight="1" x14ac:dyDescent="0.25">
      <c r="A293" s="297">
        <f t="shared" si="4"/>
        <v>25.4</v>
      </c>
      <c r="B293" s="465">
        <v>41913</v>
      </c>
      <c r="C293" s="466" t="s">
        <v>452</v>
      </c>
      <c r="D293" s="471" t="s">
        <v>505</v>
      </c>
      <c r="E293" s="471" t="s">
        <v>380</v>
      </c>
      <c r="F293" s="471" t="s">
        <v>237</v>
      </c>
      <c r="G293" s="471" t="s">
        <v>267</v>
      </c>
      <c r="H293" s="292"/>
      <c r="I293" s="292"/>
      <c r="J293" s="292"/>
      <c r="K293" s="292">
        <v>24</v>
      </c>
      <c r="L293" s="292"/>
      <c r="M293" s="292"/>
      <c r="N293" s="292"/>
      <c r="O293" s="292"/>
      <c r="P293" s="294"/>
      <c r="Q293" s="294"/>
      <c r="R293" s="294"/>
      <c r="S293" s="294"/>
      <c r="T293" s="294"/>
      <c r="U293" s="294"/>
      <c r="V293" s="431"/>
      <c r="W293" s="294"/>
      <c r="X293" s="294"/>
      <c r="Y293" s="294">
        <f>IF(NFI_Expiration=1,IF($A293&lt;VLOOKUP(H$5,NFI,5,0),1,0)*Table_NFI[[#This Row],[Hygiene Kit]],Table_NFI[Hygiene Kit])</f>
        <v>0</v>
      </c>
      <c r="Z293" s="294">
        <f>IF(NFI_Expiration=1,IF($A293&lt;VLOOKUP(I$5,NFI,5,0),1,0)*Table_NFI[[#This Row],[NFI Core Kit]],Table_NFI[NFI Core Kit])</f>
        <v>0</v>
      </c>
      <c r="AA293" s="294">
        <f>IF(NFI_Expiration=1,IF($A293&lt;VLOOKUP(J$5,NFI,5,0),1,0)*Table_NFI[[#This Row],[Sanitary Kit]],Table_NFI[Sanitary Kit])</f>
        <v>0</v>
      </c>
      <c r="AB293" s="294">
        <f>IF(NFI_Expiration=1,IF($A293&lt;VLOOKUP(K$5,NFI,5,0),1,0)*Table_NFI[[#This Row],[Mosquito net]],Table_NFI[Mosquito net])</f>
        <v>0</v>
      </c>
      <c r="AC293" s="294">
        <f>IF(NFI_Expiration=1,IF($A293&lt;VLOOKUP(L$5,NFI,5,0),1,0)*Table_NFI[[#This Row],[Tarpaulin]],Table_NFI[[#This Row],[Tarpaulin]])</f>
        <v>0</v>
      </c>
      <c r="AD293" s="294">
        <f>IF(NFI_Expiration=1,IF($A293&lt;VLOOKUP(M$5,NFI,5,0),1,0)*Table_NFI[[#This Row],[Blanket]],Table_NFI[[#This Row],[Blanket]])</f>
        <v>0</v>
      </c>
      <c r="AE293" s="294">
        <f>IF(NFI_Expiration=1,IF($A293&lt;VLOOKUP(N$5,NFI,5,0),1,0)*Table_NFI[[#This Row],[Kitchen Set]],Table_NFI[Kitchen Set])</f>
        <v>0</v>
      </c>
      <c r="AF293" s="294">
        <f>IF(NFI_Expiration=1,IF($A293&lt;VLOOKUP(O$5,NFI,5,0),1,0)*Table_NFI[[#This Row],[Clothes Kit]],Table_NFI[Clothes Kit])</f>
        <v>0</v>
      </c>
      <c r="AG293" s="294">
        <f>IF(NFI_Expiration=1,IF($A293&lt;VLOOKUP(P$5,NFI,5,0),1,0)*Table_NFI[[#This Row],[Plastic Bucket]],Table_NFI[Plastic Bucket])</f>
        <v>0</v>
      </c>
      <c r="AH293" s="294">
        <f>IF(NFI_Expiration=1,IF($A293&lt;VLOOKUP(Q$5,NFI,5,0),1,0)*Table_NFI[[#This Row],[Plastic Mat]],Table_NFI[Plastic Mat])*IF(Table_NFI[[#This Row],[Distribution Date]]&gt;"2014-04-01",1,2.5)</f>
        <v>0</v>
      </c>
      <c r="AI293" s="294">
        <f>IF(NFI_Expiration=1,IF($A293&lt;VLOOKUP(R$5,NFI,5,0),1,0)*Table_NFI[[#This Row],[Winter Clothes Adult]],Table_NFI[Winter Clothes Adult])</f>
        <v>0</v>
      </c>
      <c r="AJ293" s="294">
        <f>IF(NFI_Expiration=1,IF($A293&lt;VLOOKUP(S$5,NFI,5,0),1,0)*Table_NFI[[#This Row],[Winter Clothes Children]],Table_NFI[Winter Clothes Children])</f>
        <v>0</v>
      </c>
      <c r="AK293" s="294">
        <f>IF(NFI_Expiration=1,IF($A293&lt;VLOOKUP(T$5,NFI,5,0),1,0)*Table_NFI[[#This Row],[Winter Items Other]],Table_NFI[Winter Items Other])</f>
        <v>0</v>
      </c>
      <c r="AL293" s="294">
        <f>IF(NFI_Expiration=1,IF($A293&lt;VLOOKUP(M$5,NFI,5,0),1,0)*Table_NFI[[#This Row],[Winter Blanket]],Table_NFI[[#This Row],[Winter Blanket]])</f>
        <v>0</v>
      </c>
      <c r="AM293" s="294">
        <f>IF(Table_NFI[[#This Row],[Winter Clothes Adult]]+Table_NFI[[#This Row],[Winter Clothes Children]]+Table_NFI[[#This Row],[Winter Items Other]]+Table_NFI[[#This Row],[Winter Blanket]]&gt;0,1,0)</f>
        <v>0</v>
      </c>
      <c r="AN293" s="331">
        <f>IF(NFI_Expiration=1,IF($A293&lt;VLOOKUP(V$5,NFI,5,0),1,0)*Table_NFI[[#This Row],[Jerry Can]],Table_NFI[Jerry Can])</f>
        <v>0</v>
      </c>
      <c r="AO293" s="331">
        <f>IF(NFI_Expiration=1,IF($A293&lt;VLOOKUP(V$5,NFI,5,0),1,0)*Table_NFI[[#This Row],[Shelter Tool kit]],Table_NFI[Shelter Tool kit])</f>
        <v>0</v>
      </c>
      <c r="AP293" s="331">
        <f>IF(NFI_Expiration=1,IF($A293&lt;VLOOKUP(V$5,NFI,5,0),1,0)*Table_NFI[[#This Row],[Tent]],Table_NFI[Tent])</f>
        <v>0</v>
      </c>
      <c r="AQ293" s="473" t="str">
        <f>IFERROR(VLOOKUP(Table_NFI[[#This Row],[Camp Name]],CL,2,0),"")</f>
        <v>MMR001CMP017</v>
      </c>
      <c r="AR293" s="468">
        <f ca="1">IF(Table_NFI[[#This Row],[Pcode]]="","",IF(OFFSET(CampList[Opening Date],MATCH(Table_NFI[[#This Row],[Pcode]],CampList[CP_Pcode],0)-1,0,1,1)&gt;=NFI_Monitor_Date,1,0))</f>
        <v>0</v>
      </c>
      <c r="AS293" s="473" t="str">
        <f>IFERROR(VLOOKUP(Table_NFI[[#This Row],[Camp Name]],CL,3,0),"")</f>
        <v>Closed</v>
      </c>
      <c r="AT293" s="294" t="str">
        <f ca="1">IF(Table_NFI[[#This Row],[Pcode]]="","",OFFSET(CampList[Priority],MATCH(Table_NFI[[#This Row],[Pcode]],CampList[CP_Pcode],0)-1,0,1,1))</f>
        <v>P4</v>
      </c>
      <c r="AU293" s="293" t="str">
        <f>IFERROR(Table_NFI[[#This Row],[Kitchen Set]]/VLOOKUP(Table_NFI[[#This Row],[Camp Name]],CL,4,0),"")</f>
        <v/>
      </c>
      <c r="AV293" s="471"/>
      <c r="AW293" s="474"/>
    </row>
    <row r="294" spans="1:49" s="470" customFormat="1" ht="14.45" customHeight="1" x14ac:dyDescent="0.25">
      <c r="A294" s="297">
        <f t="shared" si="4"/>
        <v>25.4</v>
      </c>
      <c r="B294" s="465">
        <v>41913</v>
      </c>
      <c r="C294" s="466" t="s">
        <v>452</v>
      </c>
      <c r="D294" s="471" t="s">
        <v>505</v>
      </c>
      <c r="E294" s="471" t="s">
        <v>380</v>
      </c>
      <c r="F294" s="471" t="s">
        <v>527</v>
      </c>
      <c r="G294" s="471" t="s">
        <v>611</v>
      </c>
      <c r="H294" s="292"/>
      <c r="I294" s="292"/>
      <c r="J294" s="292"/>
      <c r="K294" s="292">
        <v>36</v>
      </c>
      <c r="L294" s="292"/>
      <c r="M294" s="292"/>
      <c r="N294" s="292"/>
      <c r="O294" s="292"/>
      <c r="P294" s="294"/>
      <c r="Q294" s="294"/>
      <c r="R294" s="294"/>
      <c r="S294" s="294"/>
      <c r="T294" s="294"/>
      <c r="U294" s="294"/>
      <c r="V294" s="431"/>
      <c r="W294" s="294"/>
      <c r="X294" s="294"/>
      <c r="Y294" s="294">
        <f>IF(NFI_Expiration=1,IF($A294&lt;VLOOKUP(H$5,NFI,5,0),1,0)*Table_NFI[[#This Row],[Hygiene Kit]],Table_NFI[Hygiene Kit])</f>
        <v>0</v>
      </c>
      <c r="Z294" s="294">
        <f>IF(NFI_Expiration=1,IF($A294&lt;VLOOKUP(I$5,NFI,5,0),1,0)*Table_NFI[[#This Row],[NFI Core Kit]],Table_NFI[NFI Core Kit])</f>
        <v>0</v>
      </c>
      <c r="AA294" s="294">
        <f>IF(NFI_Expiration=1,IF($A294&lt;VLOOKUP(J$5,NFI,5,0),1,0)*Table_NFI[[#This Row],[Sanitary Kit]],Table_NFI[Sanitary Kit])</f>
        <v>0</v>
      </c>
      <c r="AB294" s="294">
        <f>IF(NFI_Expiration=1,IF($A294&lt;VLOOKUP(K$5,NFI,5,0),1,0)*Table_NFI[[#This Row],[Mosquito net]],Table_NFI[Mosquito net])</f>
        <v>0</v>
      </c>
      <c r="AC294" s="294">
        <f>IF(NFI_Expiration=1,IF($A294&lt;VLOOKUP(L$5,NFI,5,0),1,0)*Table_NFI[[#This Row],[Tarpaulin]],Table_NFI[[#This Row],[Tarpaulin]])</f>
        <v>0</v>
      </c>
      <c r="AD294" s="294">
        <f>IF(NFI_Expiration=1,IF($A294&lt;VLOOKUP(M$5,NFI,5,0),1,0)*Table_NFI[[#This Row],[Blanket]],Table_NFI[[#This Row],[Blanket]])</f>
        <v>0</v>
      </c>
      <c r="AE294" s="294">
        <f>IF(NFI_Expiration=1,IF($A294&lt;VLOOKUP(N$5,NFI,5,0),1,0)*Table_NFI[[#This Row],[Kitchen Set]],Table_NFI[Kitchen Set])</f>
        <v>0</v>
      </c>
      <c r="AF294" s="294">
        <f>IF(NFI_Expiration=1,IF($A294&lt;VLOOKUP(O$5,NFI,5,0),1,0)*Table_NFI[[#This Row],[Clothes Kit]],Table_NFI[Clothes Kit])</f>
        <v>0</v>
      </c>
      <c r="AG294" s="294">
        <f>IF(NFI_Expiration=1,IF($A294&lt;VLOOKUP(P$5,NFI,5,0),1,0)*Table_NFI[[#This Row],[Plastic Bucket]],Table_NFI[Plastic Bucket])</f>
        <v>0</v>
      </c>
      <c r="AH294" s="294">
        <f>IF(NFI_Expiration=1,IF($A294&lt;VLOOKUP(Q$5,NFI,5,0),1,0)*Table_NFI[[#This Row],[Plastic Mat]],Table_NFI[Plastic Mat])*IF(Table_NFI[[#This Row],[Distribution Date]]&gt;"2014-04-01",1,2.5)</f>
        <v>0</v>
      </c>
      <c r="AI294" s="294">
        <f>IF(NFI_Expiration=1,IF($A294&lt;VLOOKUP(R$5,NFI,5,0),1,0)*Table_NFI[[#This Row],[Winter Clothes Adult]],Table_NFI[Winter Clothes Adult])</f>
        <v>0</v>
      </c>
      <c r="AJ294" s="294">
        <f>IF(NFI_Expiration=1,IF($A294&lt;VLOOKUP(S$5,NFI,5,0),1,0)*Table_NFI[[#This Row],[Winter Clothes Children]],Table_NFI[Winter Clothes Children])</f>
        <v>0</v>
      </c>
      <c r="AK294" s="294">
        <f>IF(NFI_Expiration=1,IF($A294&lt;VLOOKUP(T$5,NFI,5,0),1,0)*Table_NFI[[#This Row],[Winter Items Other]],Table_NFI[Winter Items Other])</f>
        <v>0</v>
      </c>
      <c r="AL294" s="294">
        <f>IF(NFI_Expiration=1,IF($A294&lt;VLOOKUP(M$5,NFI,5,0),1,0)*Table_NFI[[#This Row],[Winter Blanket]],Table_NFI[[#This Row],[Winter Blanket]])</f>
        <v>0</v>
      </c>
      <c r="AM294" s="294">
        <f>IF(Table_NFI[[#This Row],[Winter Clothes Adult]]+Table_NFI[[#This Row],[Winter Clothes Children]]+Table_NFI[[#This Row],[Winter Items Other]]+Table_NFI[[#This Row],[Winter Blanket]]&gt;0,1,0)</f>
        <v>0</v>
      </c>
      <c r="AN294" s="331">
        <f>IF(NFI_Expiration=1,IF($A294&lt;VLOOKUP(V$5,NFI,5,0),1,0)*Table_NFI[[#This Row],[Jerry Can]],Table_NFI[Jerry Can])</f>
        <v>0</v>
      </c>
      <c r="AO294" s="331">
        <f>IF(NFI_Expiration=1,IF($A294&lt;VLOOKUP(V$5,NFI,5,0),1,0)*Table_NFI[[#This Row],[Shelter Tool kit]],Table_NFI[Shelter Tool kit])</f>
        <v>0</v>
      </c>
      <c r="AP294" s="331">
        <f>IF(NFI_Expiration=1,IF($A294&lt;VLOOKUP(V$5,NFI,5,0),1,0)*Table_NFI[[#This Row],[Tent]],Table_NFI[Tent])</f>
        <v>0</v>
      </c>
      <c r="AQ294" s="473" t="str">
        <f>IFERROR(VLOOKUP(Table_NFI[[#This Row],[Camp Name]],CL,2,0),"")</f>
        <v>MMR001CMP192</v>
      </c>
      <c r="AR294" s="468">
        <f ca="1">IF(Table_NFI[[#This Row],[Pcode]]="","",IF(OFFSET(CampList[Opening Date],MATCH(Table_NFI[[#This Row],[Pcode]],CampList[CP_Pcode],0)-1,0,1,1)&gt;=NFI_Monitor_Date,1,0))</f>
        <v>0</v>
      </c>
      <c r="AS294" s="473" t="str">
        <f>IFERROR(VLOOKUP(Table_NFI[[#This Row],[Camp Name]],CL,3,0),"")</f>
        <v>Open</v>
      </c>
      <c r="AT294" s="294" t="str">
        <f ca="1">IF(Table_NFI[[#This Row],[Pcode]]="","",OFFSET(CampList[Priority],MATCH(Table_NFI[[#This Row],[Pcode]],CampList[CP_Pcode],0)-1,0,1,1))</f>
        <v>P4</v>
      </c>
      <c r="AU294" s="293">
        <f>IFERROR(Table_NFI[[#This Row],[Kitchen Set]]/VLOOKUP(Table_NFI[[#This Row],[Camp Name]],CL,4,0),"")</f>
        <v>0</v>
      </c>
      <c r="AV294" s="471"/>
      <c r="AW294" s="474"/>
    </row>
    <row r="295" spans="1:49" s="470" customFormat="1" ht="14.45" customHeight="1" x14ac:dyDescent="0.25">
      <c r="A295" s="297">
        <f t="shared" si="4"/>
        <v>25.4</v>
      </c>
      <c r="B295" s="465">
        <v>41913</v>
      </c>
      <c r="C295" s="466" t="s">
        <v>452</v>
      </c>
      <c r="D295" s="471" t="s">
        <v>506</v>
      </c>
      <c r="E295" s="471" t="s">
        <v>380</v>
      </c>
      <c r="F295" s="471" t="s">
        <v>237</v>
      </c>
      <c r="G295" s="471" t="s">
        <v>271</v>
      </c>
      <c r="H295" s="292"/>
      <c r="I295" s="292"/>
      <c r="J295" s="292"/>
      <c r="K295" s="292">
        <v>144</v>
      </c>
      <c r="L295" s="292"/>
      <c r="M295" s="292"/>
      <c r="N295" s="292"/>
      <c r="O295" s="292"/>
      <c r="P295" s="294"/>
      <c r="Q295" s="294"/>
      <c r="R295" s="294"/>
      <c r="S295" s="294"/>
      <c r="T295" s="294"/>
      <c r="U295" s="294"/>
      <c r="V295" s="431"/>
      <c r="W295" s="294"/>
      <c r="X295" s="294"/>
      <c r="Y295" s="294">
        <f>IF(NFI_Expiration=1,IF($A295&lt;VLOOKUP(H$5,NFI,5,0),1,0)*Table_NFI[[#This Row],[Hygiene Kit]],Table_NFI[Hygiene Kit])</f>
        <v>0</v>
      </c>
      <c r="Z295" s="294">
        <f>IF(NFI_Expiration=1,IF($A295&lt;VLOOKUP(I$5,NFI,5,0),1,0)*Table_NFI[[#This Row],[NFI Core Kit]],Table_NFI[NFI Core Kit])</f>
        <v>0</v>
      </c>
      <c r="AA295" s="294">
        <f>IF(NFI_Expiration=1,IF($A295&lt;VLOOKUP(J$5,NFI,5,0),1,0)*Table_NFI[[#This Row],[Sanitary Kit]],Table_NFI[Sanitary Kit])</f>
        <v>0</v>
      </c>
      <c r="AB295" s="294">
        <f>IF(NFI_Expiration=1,IF($A295&lt;VLOOKUP(K$5,NFI,5,0),1,0)*Table_NFI[[#This Row],[Mosquito net]],Table_NFI[Mosquito net])</f>
        <v>0</v>
      </c>
      <c r="AC295" s="294">
        <f>IF(NFI_Expiration=1,IF($A295&lt;VLOOKUP(L$5,NFI,5,0),1,0)*Table_NFI[[#This Row],[Tarpaulin]],Table_NFI[[#This Row],[Tarpaulin]])</f>
        <v>0</v>
      </c>
      <c r="AD295" s="294">
        <f>IF(NFI_Expiration=1,IF($A295&lt;VLOOKUP(M$5,NFI,5,0),1,0)*Table_NFI[[#This Row],[Blanket]],Table_NFI[[#This Row],[Blanket]])</f>
        <v>0</v>
      </c>
      <c r="AE295" s="294">
        <f>IF(NFI_Expiration=1,IF($A295&lt;VLOOKUP(N$5,NFI,5,0),1,0)*Table_NFI[[#This Row],[Kitchen Set]],Table_NFI[Kitchen Set])</f>
        <v>0</v>
      </c>
      <c r="AF295" s="294">
        <f>IF(NFI_Expiration=1,IF($A295&lt;VLOOKUP(O$5,NFI,5,0),1,0)*Table_NFI[[#This Row],[Clothes Kit]],Table_NFI[Clothes Kit])</f>
        <v>0</v>
      </c>
      <c r="AG295" s="294">
        <f>IF(NFI_Expiration=1,IF($A295&lt;VLOOKUP(P$5,NFI,5,0),1,0)*Table_NFI[[#This Row],[Plastic Bucket]],Table_NFI[Plastic Bucket])</f>
        <v>0</v>
      </c>
      <c r="AH295" s="294">
        <f>IF(NFI_Expiration=1,IF($A295&lt;VLOOKUP(Q$5,NFI,5,0),1,0)*Table_NFI[[#This Row],[Plastic Mat]],Table_NFI[Plastic Mat])*IF(Table_NFI[[#This Row],[Distribution Date]]&gt;"2014-04-01",1,2.5)</f>
        <v>0</v>
      </c>
      <c r="AI295" s="294">
        <f>IF(NFI_Expiration=1,IF($A295&lt;VLOOKUP(R$5,NFI,5,0),1,0)*Table_NFI[[#This Row],[Winter Clothes Adult]],Table_NFI[Winter Clothes Adult])</f>
        <v>0</v>
      </c>
      <c r="AJ295" s="294">
        <f>IF(NFI_Expiration=1,IF($A295&lt;VLOOKUP(S$5,NFI,5,0),1,0)*Table_NFI[[#This Row],[Winter Clothes Children]],Table_NFI[Winter Clothes Children])</f>
        <v>0</v>
      </c>
      <c r="AK295" s="294">
        <f>IF(NFI_Expiration=1,IF($A295&lt;VLOOKUP(T$5,NFI,5,0),1,0)*Table_NFI[[#This Row],[Winter Items Other]],Table_NFI[Winter Items Other])</f>
        <v>0</v>
      </c>
      <c r="AL295" s="294">
        <f>IF(NFI_Expiration=1,IF($A295&lt;VLOOKUP(M$5,NFI,5,0),1,0)*Table_NFI[[#This Row],[Winter Blanket]],Table_NFI[[#This Row],[Winter Blanket]])</f>
        <v>0</v>
      </c>
      <c r="AM295" s="294">
        <f>IF(Table_NFI[[#This Row],[Winter Clothes Adult]]+Table_NFI[[#This Row],[Winter Clothes Children]]+Table_NFI[[#This Row],[Winter Items Other]]+Table_NFI[[#This Row],[Winter Blanket]]&gt;0,1,0)</f>
        <v>0</v>
      </c>
      <c r="AN295" s="331">
        <f>IF(NFI_Expiration=1,IF($A295&lt;VLOOKUP(V$5,NFI,5,0),1,0)*Table_NFI[[#This Row],[Jerry Can]],Table_NFI[Jerry Can])</f>
        <v>0</v>
      </c>
      <c r="AO295" s="331">
        <f>IF(NFI_Expiration=1,IF($A295&lt;VLOOKUP(V$5,NFI,5,0),1,0)*Table_NFI[[#This Row],[Shelter Tool kit]],Table_NFI[Shelter Tool kit])</f>
        <v>0</v>
      </c>
      <c r="AP295" s="331">
        <f>IF(NFI_Expiration=1,IF($A295&lt;VLOOKUP(V$5,NFI,5,0),1,0)*Table_NFI[[#This Row],[Tent]],Table_NFI[Tent])</f>
        <v>0</v>
      </c>
      <c r="AQ295" s="473" t="str">
        <f>IFERROR(VLOOKUP(Table_NFI[[#This Row],[Camp Name]],CL,2,0),"")</f>
        <v>MMR001CMP024</v>
      </c>
      <c r="AR295" s="468">
        <f ca="1">IF(Table_NFI[[#This Row],[Pcode]]="","",IF(OFFSET(CampList[Opening Date],MATCH(Table_NFI[[#This Row],[Pcode]],CampList[CP_Pcode],0)-1,0,1,1)&gt;=NFI_Monitor_Date,1,0))</f>
        <v>0</v>
      </c>
      <c r="AS295" s="473" t="str">
        <f>IFERROR(VLOOKUP(Table_NFI[[#This Row],[Camp Name]],CL,3,0),"")</f>
        <v>Open</v>
      </c>
      <c r="AT295" s="294" t="str">
        <f ca="1">IF(Table_NFI[[#This Row],[Pcode]]="","",OFFSET(CampList[Priority],MATCH(Table_NFI[[#This Row],[Pcode]],CampList[CP_Pcode],0)-1,0,1,1))</f>
        <v>P4</v>
      </c>
      <c r="AU295" s="293">
        <f>IFERROR(Table_NFI[[#This Row],[Kitchen Set]]/VLOOKUP(Table_NFI[[#This Row],[Camp Name]],CL,4,0),"")</f>
        <v>0</v>
      </c>
      <c r="AV295" s="471"/>
      <c r="AW295" s="474"/>
    </row>
    <row r="296" spans="1:49" s="470" customFormat="1" ht="14.45" customHeight="1" x14ac:dyDescent="0.25">
      <c r="A296" s="297">
        <f t="shared" si="4"/>
        <v>25.4</v>
      </c>
      <c r="B296" s="465">
        <v>41913</v>
      </c>
      <c r="C296" s="466" t="s">
        <v>452</v>
      </c>
      <c r="D296" s="471" t="s">
        <v>506</v>
      </c>
      <c r="E296" s="471" t="s">
        <v>380</v>
      </c>
      <c r="F296" s="471" t="s">
        <v>527</v>
      </c>
      <c r="G296" s="471" t="s">
        <v>108</v>
      </c>
      <c r="H296" s="292"/>
      <c r="I296" s="292"/>
      <c r="J296" s="292"/>
      <c r="K296" s="292">
        <v>80</v>
      </c>
      <c r="L296" s="292"/>
      <c r="M296" s="292"/>
      <c r="N296" s="292"/>
      <c r="O296" s="292"/>
      <c r="P296" s="294"/>
      <c r="Q296" s="294"/>
      <c r="R296" s="294"/>
      <c r="S296" s="294"/>
      <c r="T296" s="294"/>
      <c r="U296" s="294"/>
      <c r="V296" s="431"/>
      <c r="W296" s="294"/>
      <c r="X296" s="294"/>
      <c r="Y296" s="294">
        <f>IF(NFI_Expiration=1,IF($A296&lt;VLOOKUP(H$5,NFI,5,0),1,0)*Table_NFI[[#This Row],[Hygiene Kit]],Table_NFI[Hygiene Kit])</f>
        <v>0</v>
      </c>
      <c r="Z296" s="294">
        <f>IF(NFI_Expiration=1,IF($A296&lt;VLOOKUP(I$5,NFI,5,0),1,0)*Table_NFI[[#This Row],[NFI Core Kit]],Table_NFI[NFI Core Kit])</f>
        <v>0</v>
      </c>
      <c r="AA296" s="294">
        <f>IF(NFI_Expiration=1,IF($A296&lt;VLOOKUP(J$5,NFI,5,0),1,0)*Table_NFI[[#This Row],[Sanitary Kit]],Table_NFI[Sanitary Kit])</f>
        <v>0</v>
      </c>
      <c r="AB296" s="294">
        <f>IF(NFI_Expiration=1,IF($A296&lt;VLOOKUP(K$5,NFI,5,0),1,0)*Table_NFI[[#This Row],[Mosquito net]],Table_NFI[Mosquito net])</f>
        <v>0</v>
      </c>
      <c r="AC296" s="294">
        <f>IF(NFI_Expiration=1,IF($A296&lt;VLOOKUP(L$5,NFI,5,0),1,0)*Table_NFI[[#This Row],[Tarpaulin]],Table_NFI[[#This Row],[Tarpaulin]])</f>
        <v>0</v>
      </c>
      <c r="AD296" s="294">
        <f>IF(NFI_Expiration=1,IF($A296&lt;VLOOKUP(M$5,NFI,5,0),1,0)*Table_NFI[[#This Row],[Blanket]],Table_NFI[[#This Row],[Blanket]])</f>
        <v>0</v>
      </c>
      <c r="AE296" s="294">
        <f>IF(NFI_Expiration=1,IF($A296&lt;VLOOKUP(N$5,NFI,5,0),1,0)*Table_NFI[[#This Row],[Kitchen Set]],Table_NFI[Kitchen Set])</f>
        <v>0</v>
      </c>
      <c r="AF296" s="294">
        <f>IF(NFI_Expiration=1,IF($A296&lt;VLOOKUP(O$5,NFI,5,0),1,0)*Table_NFI[[#This Row],[Clothes Kit]],Table_NFI[Clothes Kit])</f>
        <v>0</v>
      </c>
      <c r="AG296" s="294">
        <f>IF(NFI_Expiration=1,IF($A296&lt;VLOOKUP(P$5,NFI,5,0),1,0)*Table_NFI[[#This Row],[Plastic Bucket]],Table_NFI[Plastic Bucket])</f>
        <v>0</v>
      </c>
      <c r="AH296" s="294">
        <f>IF(NFI_Expiration=1,IF($A296&lt;VLOOKUP(Q$5,NFI,5,0),1,0)*Table_NFI[[#This Row],[Plastic Mat]],Table_NFI[Plastic Mat])*IF(Table_NFI[[#This Row],[Distribution Date]]&gt;"2014-04-01",1,2.5)</f>
        <v>0</v>
      </c>
      <c r="AI296" s="294">
        <f>IF(NFI_Expiration=1,IF($A296&lt;VLOOKUP(R$5,NFI,5,0),1,0)*Table_NFI[[#This Row],[Winter Clothes Adult]],Table_NFI[Winter Clothes Adult])</f>
        <v>0</v>
      </c>
      <c r="AJ296" s="294">
        <f>IF(NFI_Expiration=1,IF($A296&lt;VLOOKUP(S$5,NFI,5,0),1,0)*Table_NFI[[#This Row],[Winter Clothes Children]],Table_NFI[Winter Clothes Children])</f>
        <v>0</v>
      </c>
      <c r="AK296" s="294">
        <f>IF(NFI_Expiration=1,IF($A296&lt;VLOOKUP(T$5,NFI,5,0),1,0)*Table_NFI[[#This Row],[Winter Items Other]],Table_NFI[Winter Items Other])</f>
        <v>0</v>
      </c>
      <c r="AL296" s="294">
        <f>IF(NFI_Expiration=1,IF($A296&lt;VLOOKUP(M$5,NFI,5,0),1,0)*Table_NFI[[#This Row],[Winter Blanket]],Table_NFI[[#This Row],[Winter Blanket]])</f>
        <v>0</v>
      </c>
      <c r="AM296" s="294">
        <f>IF(Table_NFI[[#This Row],[Winter Clothes Adult]]+Table_NFI[[#This Row],[Winter Clothes Children]]+Table_NFI[[#This Row],[Winter Items Other]]+Table_NFI[[#This Row],[Winter Blanket]]&gt;0,1,0)</f>
        <v>0</v>
      </c>
      <c r="AN296" s="331">
        <f>IF(NFI_Expiration=1,IF($A296&lt;VLOOKUP(V$5,NFI,5,0),1,0)*Table_NFI[[#This Row],[Jerry Can]],Table_NFI[Jerry Can])</f>
        <v>0</v>
      </c>
      <c r="AO296" s="331">
        <f>IF(NFI_Expiration=1,IF($A296&lt;VLOOKUP(V$5,NFI,5,0),1,0)*Table_NFI[[#This Row],[Shelter Tool kit]],Table_NFI[Shelter Tool kit])</f>
        <v>0</v>
      </c>
      <c r="AP296" s="331">
        <f>IF(NFI_Expiration=1,IF($A296&lt;VLOOKUP(V$5,NFI,5,0),1,0)*Table_NFI[[#This Row],[Tent]],Table_NFI[Tent])</f>
        <v>0</v>
      </c>
      <c r="AQ296" s="473" t="str">
        <f>IFERROR(VLOOKUP(Table_NFI[[#This Row],[Camp Name]],CL,2,0),"")</f>
        <v>MMR001CMP103</v>
      </c>
      <c r="AR296" s="468">
        <f ca="1">IF(Table_NFI[[#This Row],[Pcode]]="","",IF(OFFSET(CampList[Opening Date],MATCH(Table_NFI[[#This Row],[Pcode]],CampList[CP_Pcode],0)-1,0,1,1)&gt;=NFI_Monitor_Date,1,0))</f>
        <v>0</v>
      </c>
      <c r="AS296" s="473" t="str">
        <f>IFERROR(VLOOKUP(Table_NFI[[#This Row],[Camp Name]],CL,3,0),"")</f>
        <v>Open</v>
      </c>
      <c r="AT296" s="294" t="str">
        <f ca="1">IF(Table_NFI[[#This Row],[Pcode]]="","",OFFSET(CampList[Priority],MATCH(Table_NFI[[#This Row],[Pcode]],CampList[CP_Pcode],0)-1,0,1,1))</f>
        <v>P4</v>
      </c>
      <c r="AU296" s="293">
        <f>IFERROR(Table_NFI[[#This Row],[Kitchen Set]]/VLOOKUP(Table_NFI[[#This Row],[Camp Name]],CL,4,0),"")</f>
        <v>0</v>
      </c>
      <c r="AV296" s="471"/>
      <c r="AW296" s="474"/>
    </row>
    <row r="297" spans="1:49" s="470" customFormat="1" ht="14.45" customHeight="1" x14ac:dyDescent="0.25">
      <c r="A297" s="297">
        <f t="shared" si="4"/>
        <v>25.4</v>
      </c>
      <c r="B297" s="465">
        <v>41913</v>
      </c>
      <c r="C297" s="466" t="s">
        <v>452</v>
      </c>
      <c r="D297" s="471" t="s">
        <v>505</v>
      </c>
      <c r="E297" s="471" t="s">
        <v>380</v>
      </c>
      <c r="F297" s="471" t="s">
        <v>310</v>
      </c>
      <c r="G297" s="471" t="s">
        <v>344</v>
      </c>
      <c r="H297" s="292"/>
      <c r="I297" s="292"/>
      <c r="J297" s="292"/>
      <c r="K297" s="292">
        <v>36</v>
      </c>
      <c r="L297" s="292"/>
      <c r="M297" s="292"/>
      <c r="N297" s="292"/>
      <c r="O297" s="292"/>
      <c r="P297" s="294"/>
      <c r="Q297" s="294"/>
      <c r="R297" s="294"/>
      <c r="S297" s="294"/>
      <c r="T297" s="294"/>
      <c r="U297" s="294"/>
      <c r="V297" s="431"/>
      <c r="W297" s="294"/>
      <c r="X297" s="294"/>
      <c r="Y297" s="294">
        <f>IF(NFI_Expiration=1,IF($A297&lt;VLOOKUP(H$5,NFI,5,0),1,0)*Table_NFI[[#This Row],[Hygiene Kit]],Table_NFI[Hygiene Kit])</f>
        <v>0</v>
      </c>
      <c r="Z297" s="294">
        <f>IF(NFI_Expiration=1,IF($A297&lt;VLOOKUP(I$5,NFI,5,0),1,0)*Table_NFI[[#This Row],[NFI Core Kit]],Table_NFI[NFI Core Kit])</f>
        <v>0</v>
      </c>
      <c r="AA297" s="294">
        <f>IF(NFI_Expiration=1,IF($A297&lt;VLOOKUP(J$5,NFI,5,0),1,0)*Table_NFI[[#This Row],[Sanitary Kit]],Table_NFI[Sanitary Kit])</f>
        <v>0</v>
      </c>
      <c r="AB297" s="294">
        <f>IF(NFI_Expiration=1,IF($A297&lt;VLOOKUP(K$5,NFI,5,0),1,0)*Table_NFI[[#This Row],[Mosquito net]],Table_NFI[Mosquito net])</f>
        <v>0</v>
      </c>
      <c r="AC297" s="294">
        <f>IF(NFI_Expiration=1,IF($A297&lt;VLOOKUP(L$5,NFI,5,0),1,0)*Table_NFI[[#This Row],[Tarpaulin]],Table_NFI[[#This Row],[Tarpaulin]])</f>
        <v>0</v>
      </c>
      <c r="AD297" s="294">
        <f>IF(NFI_Expiration=1,IF($A297&lt;VLOOKUP(M$5,NFI,5,0),1,0)*Table_NFI[[#This Row],[Blanket]],Table_NFI[[#This Row],[Blanket]])</f>
        <v>0</v>
      </c>
      <c r="AE297" s="294">
        <f>IF(NFI_Expiration=1,IF($A297&lt;VLOOKUP(N$5,NFI,5,0),1,0)*Table_NFI[[#This Row],[Kitchen Set]],Table_NFI[Kitchen Set])</f>
        <v>0</v>
      </c>
      <c r="AF297" s="294">
        <f>IF(NFI_Expiration=1,IF($A297&lt;VLOOKUP(O$5,NFI,5,0),1,0)*Table_NFI[[#This Row],[Clothes Kit]],Table_NFI[Clothes Kit])</f>
        <v>0</v>
      </c>
      <c r="AG297" s="294">
        <f>IF(NFI_Expiration=1,IF($A297&lt;VLOOKUP(P$5,NFI,5,0),1,0)*Table_NFI[[#This Row],[Plastic Bucket]],Table_NFI[Plastic Bucket])</f>
        <v>0</v>
      </c>
      <c r="AH297" s="294">
        <f>IF(NFI_Expiration=1,IF($A297&lt;VLOOKUP(Q$5,NFI,5,0),1,0)*Table_NFI[[#This Row],[Plastic Mat]],Table_NFI[Plastic Mat])*IF(Table_NFI[[#This Row],[Distribution Date]]&gt;"2014-04-01",1,2.5)</f>
        <v>0</v>
      </c>
      <c r="AI297" s="294">
        <f>IF(NFI_Expiration=1,IF($A297&lt;VLOOKUP(R$5,NFI,5,0),1,0)*Table_NFI[[#This Row],[Winter Clothes Adult]],Table_NFI[Winter Clothes Adult])</f>
        <v>0</v>
      </c>
      <c r="AJ297" s="294">
        <f>IF(NFI_Expiration=1,IF($A297&lt;VLOOKUP(S$5,NFI,5,0),1,0)*Table_NFI[[#This Row],[Winter Clothes Children]],Table_NFI[Winter Clothes Children])</f>
        <v>0</v>
      </c>
      <c r="AK297" s="294">
        <f>IF(NFI_Expiration=1,IF($A297&lt;VLOOKUP(T$5,NFI,5,0),1,0)*Table_NFI[[#This Row],[Winter Items Other]],Table_NFI[Winter Items Other])</f>
        <v>0</v>
      </c>
      <c r="AL297" s="294">
        <f>IF(NFI_Expiration=1,IF($A297&lt;VLOOKUP(M$5,NFI,5,0),1,0)*Table_NFI[[#This Row],[Winter Blanket]],Table_NFI[[#This Row],[Winter Blanket]])</f>
        <v>0</v>
      </c>
      <c r="AM297" s="294">
        <f>IF(Table_NFI[[#This Row],[Winter Clothes Adult]]+Table_NFI[[#This Row],[Winter Clothes Children]]+Table_NFI[[#This Row],[Winter Items Other]]+Table_NFI[[#This Row],[Winter Blanket]]&gt;0,1,0)</f>
        <v>0</v>
      </c>
      <c r="AN297" s="331">
        <f>IF(NFI_Expiration=1,IF($A297&lt;VLOOKUP(V$5,NFI,5,0),1,0)*Table_NFI[[#This Row],[Jerry Can]],Table_NFI[Jerry Can])</f>
        <v>0</v>
      </c>
      <c r="AO297" s="331">
        <f>IF(NFI_Expiration=1,IF($A297&lt;VLOOKUP(V$5,NFI,5,0),1,0)*Table_NFI[[#This Row],[Shelter Tool kit]],Table_NFI[Shelter Tool kit])</f>
        <v>0</v>
      </c>
      <c r="AP297" s="331">
        <f>IF(NFI_Expiration=1,IF($A297&lt;VLOOKUP(V$5,NFI,5,0),1,0)*Table_NFI[[#This Row],[Tent]],Table_NFI[Tent])</f>
        <v>0</v>
      </c>
      <c r="AQ297" s="473" t="str">
        <f>IFERROR(VLOOKUP(Table_NFI[[#This Row],[Camp Name]],CL,2,0),"")</f>
        <v>MMR001CMP033</v>
      </c>
      <c r="AR297" s="468">
        <f ca="1">IF(Table_NFI[[#This Row],[Pcode]]="","",IF(OFFSET(CampList[Opening Date],MATCH(Table_NFI[[#This Row],[Pcode]],CampList[CP_Pcode],0)-1,0,1,1)&gt;=NFI_Monitor_Date,1,0))</f>
        <v>0</v>
      </c>
      <c r="AS297" s="473" t="str">
        <f>IFERROR(VLOOKUP(Table_NFI[[#This Row],[Camp Name]],CL,3,0),"")</f>
        <v>Open</v>
      </c>
      <c r="AT297" s="294" t="str">
        <f ca="1">IF(Table_NFI[[#This Row],[Pcode]]="","",OFFSET(CampList[Priority],MATCH(Table_NFI[[#This Row],[Pcode]],CampList[CP_Pcode],0)-1,0,1,1))</f>
        <v>P4</v>
      </c>
      <c r="AU297" s="293">
        <f>IFERROR(Table_NFI[[#This Row],[Kitchen Set]]/VLOOKUP(Table_NFI[[#This Row],[Camp Name]],CL,4,0),"")</f>
        <v>0</v>
      </c>
      <c r="AV297" s="471"/>
      <c r="AW297" s="474"/>
    </row>
    <row r="298" spans="1:49" s="470" customFormat="1" ht="14.45" customHeight="1" x14ac:dyDescent="0.25">
      <c r="A298" s="297">
        <f t="shared" si="4"/>
        <v>25.4</v>
      </c>
      <c r="B298" s="465">
        <v>41913</v>
      </c>
      <c r="C298" s="466" t="s">
        <v>452</v>
      </c>
      <c r="D298" s="471" t="s">
        <v>506</v>
      </c>
      <c r="E298" s="471" t="s">
        <v>380</v>
      </c>
      <c r="F298" s="471" t="s">
        <v>237</v>
      </c>
      <c r="G298" s="471" t="s">
        <v>273</v>
      </c>
      <c r="H298" s="292"/>
      <c r="I298" s="292"/>
      <c r="J298" s="292"/>
      <c r="K298" s="292">
        <v>62</v>
      </c>
      <c r="L298" s="292"/>
      <c r="M298" s="292"/>
      <c r="N298" s="292"/>
      <c r="O298" s="292"/>
      <c r="P298" s="294"/>
      <c r="Q298" s="294"/>
      <c r="R298" s="294"/>
      <c r="S298" s="294"/>
      <c r="T298" s="294"/>
      <c r="U298" s="294"/>
      <c r="V298" s="431"/>
      <c r="W298" s="294"/>
      <c r="X298" s="294"/>
      <c r="Y298" s="294">
        <f>IF(NFI_Expiration=1,IF($A298&lt;VLOOKUP(H$5,NFI,5,0),1,0)*Table_NFI[[#This Row],[Hygiene Kit]],Table_NFI[Hygiene Kit])</f>
        <v>0</v>
      </c>
      <c r="Z298" s="294">
        <f>IF(NFI_Expiration=1,IF($A298&lt;VLOOKUP(I$5,NFI,5,0),1,0)*Table_NFI[[#This Row],[NFI Core Kit]],Table_NFI[NFI Core Kit])</f>
        <v>0</v>
      </c>
      <c r="AA298" s="294">
        <f>IF(NFI_Expiration=1,IF($A298&lt;VLOOKUP(J$5,NFI,5,0),1,0)*Table_NFI[[#This Row],[Sanitary Kit]],Table_NFI[Sanitary Kit])</f>
        <v>0</v>
      </c>
      <c r="AB298" s="294">
        <f>IF(NFI_Expiration=1,IF($A298&lt;VLOOKUP(K$5,NFI,5,0),1,0)*Table_NFI[[#This Row],[Mosquito net]],Table_NFI[Mosquito net])</f>
        <v>0</v>
      </c>
      <c r="AC298" s="294">
        <f>IF(NFI_Expiration=1,IF($A298&lt;VLOOKUP(L$5,NFI,5,0),1,0)*Table_NFI[[#This Row],[Tarpaulin]],Table_NFI[[#This Row],[Tarpaulin]])</f>
        <v>0</v>
      </c>
      <c r="AD298" s="294">
        <f>IF(NFI_Expiration=1,IF($A298&lt;VLOOKUP(M$5,NFI,5,0),1,0)*Table_NFI[[#This Row],[Blanket]],Table_NFI[[#This Row],[Blanket]])</f>
        <v>0</v>
      </c>
      <c r="AE298" s="294">
        <f>IF(NFI_Expiration=1,IF($A298&lt;VLOOKUP(N$5,NFI,5,0),1,0)*Table_NFI[[#This Row],[Kitchen Set]],Table_NFI[Kitchen Set])</f>
        <v>0</v>
      </c>
      <c r="AF298" s="294">
        <f>IF(NFI_Expiration=1,IF($A298&lt;VLOOKUP(O$5,NFI,5,0),1,0)*Table_NFI[[#This Row],[Clothes Kit]],Table_NFI[Clothes Kit])</f>
        <v>0</v>
      </c>
      <c r="AG298" s="294">
        <f>IF(NFI_Expiration=1,IF($A298&lt;VLOOKUP(P$5,NFI,5,0),1,0)*Table_NFI[[#This Row],[Plastic Bucket]],Table_NFI[Plastic Bucket])</f>
        <v>0</v>
      </c>
      <c r="AH298" s="294">
        <f>IF(NFI_Expiration=1,IF($A298&lt;VLOOKUP(Q$5,NFI,5,0),1,0)*Table_NFI[[#This Row],[Plastic Mat]],Table_NFI[Plastic Mat])*IF(Table_NFI[[#This Row],[Distribution Date]]&gt;"2014-04-01",1,2.5)</f>
        <v>0</v>
      </c>
      <c r="AI298" s="294">
        <f>IF(NFI_Expiration=1,IF($A298&lt;VLOOKUP(R$5,NFI,5,0),1,0)*Table_NFI[[#This Row],[Winter Clothes Adult]],Table_NFI[Winter Clothes Adult])</f>
        <v>0</v>
      </c>
      <c r="AJ298" s="294">
        <f>IF(NFI_Expiration=1,IF($A298&lt;VLOOKUP(S$5,NFI,5,0),1,0)*Table_NFI[[#This Row],[Winter Clothes Children]],Table_NFI[Winter Clothes Children])</f>
        <v>0</v>
      </c>
      <c r="AK298" s="294">
        <f>IF(NFI_Expiration=1,IF($A298&lt;VLOOKUP(T$5,NFI,5,0),1,0)*Table_NFI[[#This Row],[Winter Items Other]],Table_NFI[Winter Items Other])</f>
        <v>0</v>
      </c>
      <c r="AL298" s="294">
        <f>IF(NFI_Expiration=1,IF($A298&lt;VLOOKUP(M$5,NFI,5,0),1,0)*Table_NFI[[#This Row],[Winter Blanket]],Table_NFI[[#This Row],[Winter Blanket]])</f>
        <v>0</v>
      </c>
      <c r="AM298" s="294">
        <f>IF(Table_NFI[[#This Row],[Winter Clothes Adult]]+Table_NFI[[#This Row],[Winter Clothes Children]]+Table_NFI[[#This Row],[Winter Items Other]]+Table_NFI[[#This Row],[Winter Blanket]]&gt;0,1,0)</f>
        <v>0</v>
      </c>
      <c r="AN298" s="331">
        <f>IF(NFI_Expiration=1,IF($A298&lt;VLOOKUP(V$5,NFI,5,0),1,0)*Table_NFI[[#This Row],[Jerry Can]],Table_NFI[Jerry Can])</f>
        <v>0</v>
      </c>
      <c r="AO298" s="331">
        <f>IF(NFI_Expiration=1,IF($A298&lt;VLOOKUP(V$5,NFI,5,0),1,0)*Table_NFI[[#This Row],[Shelter Tool kit]],Table_NFI[Shelter Tool kit])</f>
        <v>0</v>
      </c>
      <c r="AP298" s="331">
        <f>IF(NFI_Expiration=1,IF($A298&lt;VLOOKUP(V$5,NFI,5,0),1,0)*Table_NFI[[#This Row],[Tent]],Table_NFI[Tent])</f>
        <v>0</v>
      </c>
      <c r="AQ298" s="473" t="str">
        <f>IFERROR(VLOOKUP(Table_NFI[[#This Row],[Camp Name]],CL,2,0),"")</f>
        <v>MMR001CMP162</v>
      </c>
      <c r="AR298" s="468">
        <f ca="1">IF(Table_NFI[[#This Row],[Pcode]]="","",IF(OFFSET(CampList[Opening Date],MATCH(Table_NFI[[#This Row],[Pcode]],CampList[CP_Pcode],0)-1,0,1,1)&gt;=NFI_Monitor_Date,1,0))</f>
        <v>0</v>
      </c>
      <c r="AS298" s="473" t="str">
        <f>IFERROR(VLOOKUP(Table_NFI[[#This Row],[Camp Name]],CL,3,0),"")</f>
        <v>Open</v>
      </c>
      <c r="AT298" s="294" t="str">
        <f ca="1">IF(Table_NFI[[#This Row],[Pcode]]="","",OFFSET(CampList[Priority],MATCH(Table_NFI[[#This Row],[Pcode]],CampList[CP_Pcode],0)-1,0,1,1))</f>
        <v>P4</v>
      </c>
      <c r="AU298" s="293">
        <f>IFERROR(Table_NFI[[#This Row],[Kitchen Set]]/VLOOKUP(Table_NFI[[#This Row],[Camp Name]],CL,4,0),"")</f>
        <v>0</v>
      </c>
      <c r="AV298" s="471"/>
      <c r="AW298" s="474"/>
    </row>
    <row r="299" spans="1:49" s="470" customFormat="1" ht="14.45" customHeight="1" x14ac:dyDescent="0.25">
      <c r="A299" s="297">
        <f t="shared" si="4"/>
        <v>25.4</v>
      </c>
      <c r="B299" s="465">
        <v>41913</v>
      </c>
      <c r="C299" s="466" t="s">
        <v>452</v>
      </c>
      <c r="D299" s="471" t="s">
        <v>506</v>
      </c>
      <c r="E299" s="471" t="s">
        <v>380</v>
      </c>
      <c r="F299" s="471" t="s">
        <v>27</v>
      </c>
      <c r="G299" s="471" t="s">
        <v>864</v>
      </c>
      <c r="H299" s="292"/>
      <c r="I299" s="292"/>
      <c r="J299" s="292"/>
      <c r="K299" s="292">
        <v>130</v>
      </c>
      <c r="L299" s="292"/>
      <c r="M299" s="292"/>
      <c r="N299" s="292"/>
      <c r="O299" s="292"/>
      <c r="P299" s="294"/>
      <c r="Q299" s="294"/>
      <c r="R299" s="294"/>
      <c r="S299" s="294"/>
      <c r="T299" s="294"/>
      <c r="U299" s="294">
        <v>130</v>
      </c>
      <c r="V299" s="431"/>
      <c r="W299" s="294"/>
      <c r="X299" s="294"/>
      <c r="Y299" s="294">
        <f>IF(NFI_Expiration=1,IF($A299&lt;VLOOKUP(H$5,NFI,5,0),1,0)*Table_NFI[[#This Row],[Hygiene Kit]],Table_NFI[Hygiene Kit])</f>
        <v>0</v>
      </c>
      <c r="Z299" s="294">
        <f>IF(NFI_Expiration=1,IF($A299&lt;VLOOKUP(I$5,NFI,5,0),1,0)*Table_NFI[[#This Row],[NFI Core Kit]],Table_NFI[NFI Core Kit])</f>
        <v>0</v>
      </c>
      <c r="AA299" s="294">
        <f>IF(NFI_Expiration=1,IF($A299&lt;VLOOKUP(J$5,NFI,5,0),1,0)*Table_NFI[[#This Row],[Sanitary Kit]],Table_NFI[Sanitary Kit])</f>
        <v>0</v>
      </c>
      <c r="AB299" s="294">
        <f>IF(NFI_Expiration=1,IF($A299&lt;VLOOKUP(K$5,NFI,5,0),1,0)*Table_NFI[[#This Row],[Mosquito net]],Table_NFI[Mosquito net])</f>
        <v>0</v>
      </c>
      <c r="AC299" s="294">
        <f>IF(NFI_Expiration=1,IF($A299&lt;VLOOKUP(L$5,NFI,5,0),1,0)*Table_NFI[[#This Row],[Tarpaulin]],Table_NFI[[#This Row],[Tarpaulin]])</f>
        <v>0</v>
      </c>
      <c r="AD299" s="294">
        <f>IF(NFI_Expiration=1,IF($A299&lt;VLOOKUP(M$5,NFI,5,0),1,0)*Table_NFI[[#This Row],[Blanket]],Table_NFI[[#This Row],[Blanket]])</f>
        <v>0</v>
      </c>
      <c r="AE299" s="294">
        <f>IF(NFI_Expiration=1,IF($A299&lt;VLOOKUP(N$5,NFI,5,0),1,0)*Table_NFI[[#This Row],[Kitchen Set]],Table_NFI[Kitchen Set])</f>
        <v>0</v>
      </c>
      <c r="AF299" s="294">
        <f>IF(NFI_Expiration=1,IF($A299&lt;VLOOKUP(O$5,NFI,5,0),1,0)*Table_NFI[[#This Row],[Clothes Kit]],Table_NFI[Clothes Kit])</f>
        <v>0</v>
      </c>
      <c r="AG299" s="294">
        <f>IF(NFI_Expiration=1,IF($A299&lt;VLOOKUP(P$5,NFI,5,0),1,0)*Table_NFI[[#This Row],[Plastic Bucket]],Table_NFI[Plastic Bucket])</f>
        <v>0</v>
      </c>
      <c r="AH299" s="294">
        <f>IF(NFI_Expiration=1,IF($A299&lt;VLOOKUP(Q$5,NFI,5,0),1,0)*Table_NFI[[#This Row],[Plastic Mat]],Table_NFI[Plastic Mat])*IF(Table_NFI[[#This Row],[Distribution Date]]&gt;"2014-04-01",1,2.5)</f>
        <v>0</v>
      </c>
      <c r="AI299" s="294">
        <f>IF(NFI_Expiration=1,IF($A299&lt;VLOOKUP(R$5,NFI,5,0),1,0)*Table_NFI[[#This Row],[Winter Clothes Adult]],Table_NFI[Winter Clothes Adult])</f>
        <v>0</v>
      </c>
      <c r="AJ299" s="294">
        <f>IF(NFI_Expiration=1,IF($A299&lt;VLOOKUP(S$5,NFI,5,0),1,0)*Table_NFI[[#This Row],[Winter Clothes Children]],Table_NFI[Winter Clothes Children])</f>
        <v>0</v>
      </c>
      <c r="AK299" s="294">
        <f>IF(NFI_Expiration=1,IF($A299&lt;VLOOKUP(T$5,NFI,5,0),1,0)*Table_NFI[[#This Row],[Winter Items Other]],Table_NFI[Winter Items Other])</f>
        <v>0</v>
      </c>
      <c r="AL299" s="294">
        <f>IF(NFI_Expiration=1,IF($A299&lt;VLOOKUP(M$5,NFI,5,0),1,0)*Table_NFI[[#This Row],[Winter Blanket]],Table_NFI[[#This Row],[Winter Blanket]])</f>
        <v>0</v>
      </c>
      <c r="AM299" s="294">
        <f>IF(Table_NFI[[#This Row],[Winter Clothes Adult]]+Table_NFI[[#This Row],[Winter Clothes Children]]+Table_NFI[[#This Row],[Winter Items Other]]+Table_NFI[[#This Row],[Winter Blanket]]&gt;0,1,0)</f>
        <v>1</v>
      </c>
      <c r="AN299" s="331">
        <f>IF(NFI_Expiration=1,IF($A299&lt;VLOOKUP(V$5,NFI,5,0),1,0)*Table_NFI[[#This Row],[Jerry Can]],Table_NFI[Jerry Can])</f>
        <v>0</v>
      </c>
      <c r="AO299" s="331">
        <f>IF(NFI_Expiration=1,IF($A299&lt;VLOOKUP(V$5,NFI,5,0),1,0)*Table_NFI[[#This Row],[Shelter Tool kit]],Table_NFI[Shelter Tool kit])</f>
        <v>0</v>
      </c>
      <c r="AP299" s="331">
        <f>IF(NFI_Expiration=1,IF($A299&lt;VLOOKUP(V$5,NFI,5,0),1,0)*Table_NFI[[#This Row],[Tent]],Table_NFI[Tent])</f>
        <v>0</v>
      </c>
      <c r="AQ299" s="473" t="str">
        <f>IFERROR(VLOOKUP(Table_NFI[[#This Row],[Camp Name]],CL,2,0),"")</f>
        <v>MMR001CMP210</v>
      </c>
      <c r="AR299" s="468">
        <f ca="1">IF(Table_NFI[[#This Row],[Pcode]]="","",IF(OFFSET(CampList[Opening Date],MATCH(Table_NFI[[#This Row],[Pcode]],CampList[CP_Pcode],0)-1,0,1,1)&gt;=NFI_Monitor_Date,1,0))</f>
        <v>0</v>
      </c>
      <c r="AS299" s="473" t="str">
        <f>IFERROR(VLOOKUP(Table_NFI[[#This Row],[Camp Name]],CL,3,0),"")</f>
        <v>Open</v>
      </c>
      <c r="AT299" s="294" t="str">
        <f ca="1">IF(Table_NFI[[#This Row],[Pcode]]="","",OFFSET(CampList[Priority],MATCH(Table_NFI[[#This Row],[Pcode]],CampList[CP_Pcode],0)-1,0,1,1))</f>
        <v>P1</v>
      </c>
      <c r="AU299" s="293">
        <f>IFERROR(Table_NFI[[#This Row],[Kitchen Set]]/VLOOKUP(Table_NFI[[#This Row],[Camp Name]],CL,4,0),"")</f>
        <v>0</v>
      </c>
      <c r="AV299" s="471"/>
      <c r="AW299" s="474"/>
    </row>
    <row r="300" spans="1:49" s="470" customFormat="1" ht="14.45" customHeight="1" x14ac:dyDescent="0.25">
      <c r="A300" s="297">
        <f t="shared" si="4"/>
        <v>25.4</v>
      </c>
      <c r="B300" s="465">
        <v>41913</v>
      </c>
      <c r="C300" s="466" t="s">
        <v>452</v>
      </c>
      <c r="D300" s="471" t="s">
        <v>505</v>
      </c>
      <c r="E300" s="471" t="s">
        <v>380</v>
      </c>
      <c r="F300" s="471" t="s">
        <v>310</v>
      </c>
      <c r="G300" s="471" t="s">
        <v>318</v>
      </c>
      <c r="H300" s="292"/>
      <c r="I300" s="292"/>
      <c r="J300" s="292"/>
      <c r="K300" s="292">
        <v>240</v>
      </c>
      <c r="L300" s="292"/>
      <c r="M300" s="292"/>
      <c r="N300" s="292"/>
      <c r="O300" s="292"/>
      <c r="P300" s="294"/>
      <c r="Q300" s="294"/>
      <c r="R300" s="294"/>
      <c r="S300" s="294"/>
      <c r="T300" s="294"/>
      <c r="U300" s="294"/>
      <c r="V300" s="431"/>
      <c r="W300" s="294"/>
      <c r="X300" s="294"/>
      <c r="Y300" s="294">
        <f>IF(NFI_Expiration=1,IF($A300&lt;VLOOKUP(H$5,NFI,5,0),1,0)*Table_NFI[[#This Row],[Hygiene Kit]],Table_NFI[Hygiene Kit])</f>
        <v>0</v>
      </c>
      <c r="Z300" s="294">
        <f>IF(NFI_Expiration=1,IF($A300&lt;VLOOKUP(I$5,NFI,5,0),1,0)*Table_NFI[[#This Row],[NFI Core Kit]],Table_NFI[NFI Core Kit])</f>
        <v>0</v>
      </c>
      <c r="AA300" s="294">
        <f>IF(NFI_Expiration=1,IF($A300&lt;VLOOKUP(J$5,NFI,5,0),1,0)*Table_NFI[[#This Row],[Sanitary Kit]],Table_NFI[Sanitary Kit])</f>
        <v>0</v>
      </c>
      <c r="AB300" s="294">
        <f>IF(NFI_Expiration=1,IF($A300&lt;VLOOKUP(K$5,NFI,5,0),1,0)*Table_NFI[[#This Row],[Mosquito net]],Table_NFI[Mosquito net])</f>
        <v>0</v>
      </c>
      <c r="AC300" s="294">
        <f>IF(NFI_Expiration=1,IF($A300&lt;VLOOKUP(L$5,NFI,5,0),1,0)*Table_NFI[[#This Row],[Tarpaulin]],Table_NFI[[#This Row],[Tarpaulin]])</f>
        <v>0</v>
      </c>
      <c r="AD300" s="294">
        <f>IF(NFI_Expiration=1,IF($A300&lt;VLOOKUP(M$5,NFI,5,0),1,0)*Table_NFI[[#This Row],[Blanket]],Table_NFI[[#This Row],[Blanket]])</f>
        <v>0</v>
      </c>
      <c r="AE300" s="294">
        <f>IF(NFI_Expiration=1,IF($A300&lt;VLOOKUP(N$5,NFI,5,0),1,0)*Table_NFI[[#This Row],[Kitchen Set]],Table_NFI[Kitchen Set])</f>
        <v>0</v>
      </c>
      <c r="AF300" s="294">
        <f>IF(NFI_Expiration=1,IF($A300&lt;VLOOKUP(O$5,NFI,5,0),1,0)*Table_NFI[[#This Row],[Clothes Kit]],Table_NFI[Clothes Kit])</f>
        <v>0</v>
      </c>
      <c r="AG300" s="294">
        <f>IF(NFI_Expiration=1,IF($A300&lt;VLOOKUP(P$5,NFI,5,0),1,0)*Table_NFI[[#This Row],[Plastic Bucket]],Table_NFI[Plastic Bucket])</f>
        <v>0</v>
      </c>
      <c r="AH300" s="294">
        <f>IF(NFI_Expiration=1,IF($A300&lt;VLOOKUP(Q$5,NFI,5,0),1,0)*Table_NFI[[#This Row],[Plastic Mat]],Table_NFI[Plastic Mat])*IF(Table_NFI[[#This Row],[Distribution Date]]&gt;"2014-04-01",1,2.5)</f>
        <v>0</v>
      </c>
      <c r="AI300" s="294">
        <f>IF(NFI_Expiration=1,IF($A300&lt;VLOOKUP(R$5,NFI,5,0),1,0)*Table_NFI[[#This Row],[Winter Clothes Adult]],Table_NFI[Winter Clothes Adult])</f>
        <v>0</v>
      </c>
      <c r="AJ300" s="294">
        <f>IF(NFI_Expiration=1,IF($A300&lt;VLOOKUP(S$5,NFI,5,0),1,0)*Table_NFI[[#This Row],[Winter Clothes Children]],Table_NFI[Winter Clothes Children])</f>
        <v>0</v>
      </c>
      <c r="AK300" s="294">
        <f>IF(NFI_Expiration=1,IF($A300&lt;VLOOKUP(T$5,NFI,5,0),1,0)*Table_NFI[[#This Row],[Winter Items Other]],Table_NFI[Winter Items Other])</f>
        <v>0</v>
      </c>
      <c r="AL300" s="294">
        <f>IF(NFI_Expiration=1,IF($A300&lt;VLOOKUP(M$5,NFI,5,0),1,0)*Table_NFI[[#This Row],[Winter Blanket]],Table_NFI[[#This Row],[Winter Blanket]])</f>
        <v>0</v>
      </c>
      <c r="AM300" s="294">
        <f>IF(Table_NFI[[#This Row],[Winter Clothes Adult]]+Table_NFI[[#This Row],[Winter Clothes Children]]+Table_NFI[[#This Row],[Winter Items Other]]+Table_NFI[[#This Row],[Winter Blanket]]&gt;0,1,0)</f>
        <v>0</v>
      </c>
      <c r="AN300" s="331">
        <f>IF(NFI_Expiration=1,IF($A300&lt;VLOOKUP(V$5,NFI,5,0),1,0)*Table_NFI[[#This Row],[Jerry Can]],Table_NFI[Jerry Can])</f>
        <v>0</v>
      </c>
      <c r="AO300" s="331">
        <f>IF(NFI_Expiration=1,IF($A300&lt;VLOOKUP(V$5,NFI,5,0),1,0)*Table_NFI[[#This Row],[Shelter Tool kit]],Table_NFI[Shelter Tool kit])</f>
        <v>0</v>
      </c>
      <c r="AP300" s="331">
        <f>IF(NFI_Expiration=1,IF($A300&lt;VLOOKUP(V$5,NFI,5,0),1,0)*Table_NFI[[#This Row],[Tent]],Table_NFI[Tent])</f>
        <v>0</v>
      </c>
      <c r="AQ300" s="473" t="str">
        <f>IFERROR(VLOOKUP(Table_NFI[[#This Row],[Camp Name]],CL,2,0),"")</f>
        <v>MMR001CMP032</v>
      </c>
      <c r="AR300" s="468">
        <f ca="1">IF(Table_NFI[[#This Row],[Pcode]]="","",IF(OFFSET(CampList[Opening Date],MATCH(Table_NFI[[#This Row],[Pcode]],CampList[CP_Pcode],0)-1,0,1,1)&gt;=NFI_Monitor_Date,1,0))</f>
        <v>0</v>
      </c>
      <c r="AS300" s="473" t="str">
        <f>IFERROR(VLOOKUP(Table_NFI[[#This Row],[Camp Name]],CL,3,0),"")</f>
        <v>Open</v>
      </c>
      <c r="AT300" s="294" t="str">
        <f ca="1">IF(Table_NFI[[#This Row],[Pcode]]="","",OFFSET(CampList[Priority],MATCH(Table_NFI[[#This Row],[Pcode]],CampList[CP_Pcode],0)-1,0,1,1))</f>
        <v>P4</v>
      </c>
      <c r="AU300" s="293">
        <f>IFERROR(Table_NFI[[#This Row],[Kitchen Set]]/VLOOKUP(Table_NFI[[#This Row],[Camp Name]],CL,4,0),"")</f>
        <v>0</v>
      </c>
      <c r="AV300" s="471"/>
      <c r="AW300" s="474"/>
    </row>
    <row r="301" spans="1:49" s="470" customFormat="1" ht="14.45" customHeight="1" x14ac:dyDescent="0.25">
      <c r="A301" s="297">
        <f t="shared" si="4"/>
        <v>25.4</v>
      </c>
      <c r="B301" s="465">
        <v>41913</v>
      </c>
      <c r="C301" s="466" t="s">
        <v>452</v>
      </c>
      <c r="D301" s="471" t="s">
        <v>505</v>
      </c>
      <c r="E301" s="471" t="s">
        <v>380</v>
      </c>
      <c r="F301" s="471" t="s">
        <v>310</v>
      </c>
      <c r="G301" s="471" t="s">
        <v>338</v>
      </c>
      <c r="H301" s="292"/>
      <c r="I301" s="292"/>
      <c r="J301" s="292"/>
      <c r="K301" s="292">
        <v>46</v>
      </c>
      <c r="L301" s="292"/>
      <c r="M301" s="292"/>
      <c r="N301" s="292"/>
      <c r="O301" s="292"/>
      <c r="P301" s="294"/>
      <c r="Q301" s="294"/>
      <c r="R301" s="294"/>
      <c r="S301" s="294"/>
      <c r="T301" s="294"/>
      <c r="U301" s="294"/>
      <c r="V301" s="431"/>
      <c r="W301" s="294"/>
      <c r="X301" s="294"/>
      <c r="Y301" s="294">
        <f>IF(NFI_Expiration=1,IF($A301&lt;VLOOKUP(H$5,NFI,5,0),1,0)*Table_NFI[[#This Row],[Hygiene Kit]],Table_NFI[Hygiene Kit])</f>
        <v>0</v>
      </c>
      <c r="Z301" s="294">
        <f>IF(NFI_Expiration=1,IF($A301&lt;VLOOKUP(I$5,NFI,5,0),1,0)*Table_NFI[[#This Row],[NFI Core Kit]],Table_NFI[NFI Core Kit])</f>
        <v>0</v>
      </c>
      <c r="AA301" s="294">
        <f>IF(NFI_Expiration=1,IF($A301&lt;VLOOKUP(J$5,NFI,5,0),1,0)*Table_NFI[[#This Row],[Sanitary Kit]],Table_NFI[Sanitary Kit])</f>
        <v>0</v>
      </c>
      <c r="AB301" s="294">
        <f>IF(NFI_Expiration=1,IF($A301&lt;VLOOKUP(K$5,NFI,5,0),1,0)*Table_NFI[[#This Row],[Mosquito net]],Table_NFI[Mosquito net])</f>
        <v>0</v>
      </c>
      <c r="AC301" s="294">
        <f>IF(NFI_Expiration=1,IF($A301&lt;VLOOKUP(L$5,NFI,5,0),1,0)*Table_NFI[[#This Row],[Tarpaulin]],Table_NFI[[#This Row],[Tarpaulin]])</f>
        <v>0</v>
      </c>
      <c r="AD301" s="294">
        <f>IF(NFI_Expiration=1,IF($A301&lt;VLOOKUP(M$5,NFI,5,0),1,0)*Table_NFI[[#This Row],[Blanket]],Table_NFI[[#This Row],[Blanket]])</f>
        <v>0</v>
      </c>
      <c r="AE301" s="294">
        <f>IF(NFI_Expiration=1,IF($A301&lt;VLOOKUP(N$5,NFI,5,0),1,0)*Table_NFI[[#This Row],[Kitchen Set]],Table_NFI[Kitchen Set])</f>
        <v>0</v>
      </c>
      <c r="AF301" s="294">
        <f>IF(NFI_Expiration=1,IF($A301&lt;VLOOKUP(O$5,NFI,5,0),1,0)*Table_NFI[[#This Row],[Clothes Kit]],Table_NFI[Clothes Kit])</f>
        <v>0</v>
      </c>
      <c r="AG301" s="294">
        <f>IF(NFI_Expiration=1,IF($A301&lt;VLOOKUP(P$5,NFI,5,0),1,0)*Table_NFI[[#This Row],[Plastic Bucket]],Table_NFI[Plastic Bucket])</f>
        <v>0</v>
      </c>
      <c r="AH301" s="294">
        <f>IF(NFI_Expiration=1,IF($A301&lt;VLOOKUP(Q$5,NFI,5,0),1,0)*Table_NFI[[#This Row],[Plastic Mat]],Table_NFI[Plastic Mat])*IF(Table_NFI[[#This Row],[Distribution Date]]&gt;"2014-04-01",1,2.5)</f>
        <v>0</v>
      </c>
      <c r="AI301" s="294">
        <f>IF(NFI_Expiration=1,IF($A301&lt;VLOOKUP(R$5,NFI,5,0),1,0)*Table_NFI[[#This Row],[Winter Clothes Adult]],Table_NFI[Winter Clothes Adult])</f>
        <v>0</v>
      </c>
      <c r="AJ301" s="294">
        <f>IF(NFI_Expiration=1,IF($A301&lt;VLOOKUP(S$5,NFI,5,0),1,0)*Table_NFI[[#This Row],[Winter Clothes Children]],Table_NFI[Winter Clothes Children])</f>
        <v>0</v>
      </c>
      <c r="AK301" s="294">
        <f>IF(NFI_Expiration=1,IF($A301&lt;VLOOKUP(T$5,NFI,5,0),1,0)*Table_NFI[[#This Row],[Winter Items Other]],Table_NFI[Winter Items Other])</f>
        <v>0</v>
      </c>
      <c r="AL301" s="294">
        <f>IF(NFI_Expiration=1,IF($A301&lt;VLOOKUP(M$5,NFI,5,0),1,0)*Table_NFI[[#This Row],[Winter Blanket]],Table_NFI[[#This Row],[Winter Blanket]])</f>
        <v>0</v>
      </c>
      <c r="AM301" s="294">
        <f>IF(Table_NFI[[#This Row],[Winter Clothes Adult]]+Table_NFI[[#This Row],[Winter Clothes Children]]+Table_NFI[[#This Row],[Winter Items Other]]+Table_NFI[[#This Row],[Winter Blanket]]&gt;0,1,0)</f>
        <v>0</v>
      </c>
      <c r="AN301" s="331">
        <f>IF(NFI_Expiration=1,IF($A301&lt;VLOOKUP(V$5,NFI,5,0),1,0)*Table_NFI[[#This Row],[Jerry Can]],Table_NFI[Jerry Can])</f>
        <v>0</v>
      </c>
      <c r="AO301" s="331">
        <f>IF(NFI_Expiration=1,IF($A301&lt;VLOOKUP(V$5,NFI,5,0),1,0)*Table_NFI[[#This Row],[Shelter Tool kit]],Table_NFI[Shelter Tool kit])</f>
        <v>0</v>
      </c>
      <c r="AP301" s="331">
        <f>IF(NFI_Expiration=1,IF($A301&lt;VLOOKUP(V$5,NFI,5,0),1,0)*Table_NFI[[#This Row],[Tent]],Table_NFI[Tent])</f>
        <v>0</v>
      </c>
      <c r="AQ301" s="473" t="str">
        <f>IFERROR(VLOOKUP(Table_NFI[[#This Row],[Camp Name]],CL,2,0),"")</f>
        <v>MMR001CMP030</v>
      </c>
      <c r="AR301" s="468">
        <f ca="1">IF(Table_NFI[[#This Row],[Pcode]]="","",IF(OFFSET(CampList[Opening Date],MATCH(Table_NFI[[#This Row],[Pcode]],CampList[CP_Pcode],0)-1,0,1,1)&gt;=NFI_Monitor_Date,1,0))</f>
        <v>0</v>
      </c>
      <c r="AS301" s="473" t="str">
        <f>IFERROR(VLOOKUP(Table_NFI[[#This Row],[Camp Name]],CL,3,0),"")</f>
        <v>Open</v>
      </c>
      <c r="AT301" s="294" t="str">
        <f ca="1">IF(Table_NFI[[#This Row],[Pcode]]="","",OFFSET(CampList[Priority],MATCH(Table_NFI[[#This Row],[Pcode]],CampList[CP_Pcode],0)-1,0,1,1))</f>
        <v>P4</v>
      </c>
      <c r="AU301" s="293">
        <f>IFERROR(Table_NFI[[#This Row],[Kitchen Set]]/VLOOKUP(Table_NFI[[#This Row],[Camp Name]],CL,4,0),"")</f>
        <v>0</v>
      </c>
      <c r="AV301" s="471"/>
      <c r="AW301" s="474"/>
    </row>
    <row r="302" spans="1:49" s="470" customFormat="1" x14ac:dyDescent="0.25">
      <c r="A302" s="297">
        <f t="shared" si="4"/>
        <v>25.4</v>
      </c>
      <c r="B302" s="465">
        <v>41913</v>
      </c>
      <c r="C302" s="466" t="s">
        <v>452</v>
      </c>
      <c r="D302" s="471" t="s">
        <v>505</v>
      </c>
      <c r="E302" s="471" t="s">
        <v>380</v>
      </c>
      <c r="F302" s="471" t="s">
        <v>310</v>
      </c>
      <c r="G302" s="471" t="s">
        <v>351</v>
      </c>
      <c r="H302" s="292"/>
      <c r="I302" s="292"/>
      <c r="J302" s="292"/>
      <c r="K302" s="292">
        <v>204</v>
      </c>
      <c r="L302" s="292"/>
      <c r="M302" s="292"/>
      <c r="N302" s="292"/>
      <c r="O302" s="292"/>
      <c r="P302" s="294"/>
      <c r="Q302" s="294"/>
      <c r="R302" s="294"/>
      <c r="S302" s="294"/>
      <c r="T302" s="294"/>
      <c r="U302" s="294"/>
      <c r="V302" s="431"/>
      <c r="W302" s="294"/>
      <c r="X302" s="294"/>
      <c r="Y302" s="294">
        <f>IF(NFI_Expiration=1,IF($A302&lt;VLOOKUP(H$5,NFI,5,0),1,0)*Table_NFI[[#This Row],[Hygiene Kit]],Table_NFI[Hygiene Kit])</f>
        <v>0</v>
      </c>
      <c r="Z302" s="294">
        <f>IF(NFI_Expiration=1,IF($A302&lt;VLOOKUP(I$5,NFI,5,0),1,0)*Table_NFI[[#This Row],[NFI Core Kit]],Table_NFI[NFI Core Kit])</f>
        <v>0</v>
      </c>
      <c r="AA302" s="294">
        <f>IF(NFI_Expiration=1,IF($A302&lt;VLOOKUP(J$5,NFI,5,0),1,0)*Table_NFI[[#This Row],[Sanitary Kit]],Table_NFI[Sanitary Kit])</f>
        <v>0</v>
      </c>
      <c r="AB302" s="294">
        <f>IF(NFI_Expiration=1,IF($A302&lt;VLOOKUP(K$5,NFI,5,0),1,0)*Table_NFI[[#This Row],[Mosquito net]],Table_NFI[Mosquito net])</f>
        <v>0</v>
      </c>
      <c r="AC302" s="294">
        <f>IF(NFI_Expiration=1,IF($A302&lt;VLOOKUP(L$5,NFI,5,0),1,0)*Table_NFI[[#This Row],[Tarpaulin]],Table_NFI[[#This Row],[Tarpaulin]])</f>
        <v>0</v>
      </c>
      <c r="AD302" s="294">
        <f>IF(NFI_Expiration=1,IF($A302&lt;VLOOKUP(M$5,NFI,5,0),1,0)*Table_NFI[[#This Row],[Blanket]],Table_NFI[[#This Row],[Blanket]])</f>
        <v>0</v>
      </c>
      <c r="AE302" s="294">
        <f>IF(NFI_Expiration=1,IF($A302&lt;VLOOKUP(N$5,NFI,5,0),1,0)*Table_NFI[[#This Row],[Kitchen Set]],Table_NFI[Kitchen Set])</f>
        <v>0</v>
      </c>
      <c r="AF302" s="294">
        <f>IF(NFI_Expiration=1,IF($A302&lt;VLOOKUP(O$5,NFI,5,0),1,0)*Table_NFI[[#This Row],[Clothes Kit]],Table_NFI[Clothes Kit])</f>
        <v>0</v>
      </c>
      <c r="AG302" s="294">
        <f>IF(NFI_Expiration=1,IF($A302&lt;VLOOKUP(P$5,NFI,5,0),1,0)*Table_NFI[[#This Row],[Plastic Bucket]],Table_NFI[Plastic Bucket])</f>
        <v>0</v>
      </c>
      <c r="AH302" s="294">
        <f>IF(NFI_Expiration=1,IF($A302&lt;VLOOKUP(Q$5,NFI,5,0),1,0)*Table_NFI[[#This Row],[Plastic Mat]],Table_NFI[Plastic Mat])*IF(Table_NFI[[#This Row],[Distribution Date]]&gt;"2014-04-01",1,2.5)</f>
        <v>0</v>
      </c>
      <c r="AI302" s="294">
        <f>IF(NFI_Expiration=1,IF($A302&lt;VLOOKUP(R$5,NFI,5,0),1,0)*Table_NFI[[#This Row],[Winter Clothes Adult]],Table_NFI[Winter Clothes Adult])</f>
        <v>0</v>
      </c>
      <c r="AJ302" s="294">
        <f>IF(NFI_Expiration=1,IF($A302&lt;VLOOKUP(S$5,NFI,5,0),1,0)*Table_NFI[[#This Row],[Winter Clothes Children]],Table_NFI[Winter Clothes Children])</f>
        <v>0</v>
      </c>
      <c r="AK302" s="294">
        <f>IF(NFI_Expiration=1,IF($A302&lt;VLOOKUP(T$5,NFI,5,0),1,0)*Table_NFI[[#This Row],[Winter Items Other]],Table_NFI[Winter Items Other])</f>
        <v>0</v>
      </c>
      <c r="AL302" s="294">
        <f>IF(NFI_Expiration=1,IF($A302&lt;VLOOKUP(M$5,NFI,5,0),1,0)*Table_NFI[[#This Row],[Winter Blanket]],Table_NFI[[#This Row],[Winter Blanket]])</f>
        <v>0</v>
      </c>
      <c r="AM302" s="294">
        <f>IF(Table_NFI[[#This Row],[Winter Clothes Adult]]+Table_NFI[[#This Row],[Winter Clothes Children]]+Table_NFI[[#This Row],[Winter Items Other]]+Table_NFI[[#This Row],[Winter Blanket]]&gt;0,1,0)</f>
        <v>0</v>
      </c>
      <c r="AN302" s="331">
        <f>IF(NFI_Expiration=1,IF($A302&lt;VLOOKUP(V$5,NFI,5,0),1,0)*Table_NFI[[#This Row],[Jerry Can]],Table_NFI[Jerry Can])</f>
        <v>0</v>
      </c>
      <c r="AO302" s="331">
        <f>IF(NFI_Expiration=1,IF($A302&lt;VLOOKUP(V$5,NFI,5,0),1,0)*Table_NFI[[#This Row],[Shelter Tool kit]],Table_NFI[Shelter Tool kit])</f>
        <v>0</v>
      </c>
      <c r="AP302" s="331">
        <f>IF(NFI_Expiration=1,IF($A302&lt;VLOOKUP(V$5,NFI,5,0),1,0)*Table_NFI[[#This Row],[Tent]],Table_NFI[Tent])</f>
        <v>0</v>
      </c>
      <c r="AQ302" s="473" t="str">
        <f>IFERROR(VLOOKUP(Table_NFI[[#This Row],[Camp Name]],CL,2,0),"")</f>
        <v>MMR001CMP026</v>
      </c>
      <c r="AR302" s="468">
        <f ca="1">IF(Table_NFI[[#This Row],[Pcode]]="","",IF(OFFSET(CampList[Opening Date],MATCH(Table_NFI[[#This Row],[Pcode]],CampList[CP_Pcode],0)-1,0,1,1)&gt;=NFI_Monitor_Date,1,0))</f>
        <v>0</v>
      </c>
      <c r="AS302" s="473" t="str">
        <f>IFERROR(VLOOKUP(Table_NFI[[#This Row],[Camp Name]],CL,3,0),"")</f>
        <v>Open</v>
      </c>
      <c r="AT302" s="294" t="str">
        <f ca="1">IF(Table_NFI[[#This Row],[Pcode]]="","",OFFSET(CampList[Priority],MATCH(Table_NFI[[#This Row],[Pcode]],CampList[CP_Pcode],0)-1,0,1,1))</f>
        <v>P4</v>
      </c>
      <c r="AU302" s="293">
        <f>IFERROR(Table_NFI[[#This Row],[Kitchen Set]]/VLOOKUP(Table_NFI[[#This Row],[Camp Name]],CL,4,0),"")</f>
        <v>0</v>
      </c>
      <c r="AV302" s="471"/>
      <c r="AW302" s="474"/>
    </row>
    <row r="303" spans="1:49" s="470" customFormat="1" ht="14.45" customHeight="1" x14ac:dyDescent="0.25">
      <c r="A303" s="297">
        <f t="shared" si="4"/>
        <v>25.4</v>
      </c>
      <c r="B303" s="465">
        <v>41913</v>
      </c>
      <c r="C303" s="466" t="s">
        <v>452</v>
      </c>
      <c r="D303" s="471" t="s">
        <v>505</v>
      </c>
      <c r="E303" s="471" t="s">
        <v>380</v>
      </c>
      <c r="F303" s="471" t="s">
        <v>527</v>
      </c>
      <c r="G303" s="471" t="s">
        <v>118</v>
      </c>
      <c r="H303" s="292"/>
      <c r="I303" s="292"/>
      <c r="J303" s="292"/>
      <c r="K303" s="292">
        <v>24</v>
      </c>
      <c r="L303" s="292"/>
      <c r="M303" s="292"/>
      <c r="N303" s="292"/>
      <c r="O303" s="292"/>
      <c r="P303" s="294"/>
      <c r="Q303" s="294"/>
      <c r="R303" s="294"/>
      <c r="S303" s="294"/>
      <c r="T303" s="294"/>
      <c r="U303" s="294"/>
      <c r="V303" s="431"/>
      <c r="W303" s="294"/>
      <c r="X303" s="294"/>
      <c r="Y303" s="294">
        <f>IF(NFI_Expiration=1,IF($A303&lt;VLOOKUP(H$5,NFI,5,0),1,0)*Table_NFI[[#This Row],[Hygiene Kit]],Table_NFI[Hygiene Kit])</f>
        <v>0</v>
      </c>
      <c r="Z303" s="294">
        <f>IF(NFI_Expiration=1,IF($A303&lt;VLOOKUP(I$5,NFI,5,0),1,0)*Table_NFI[[#This Row],[NFI Core Kit]],Table_NFI[NFI Core Kit])</f>
        <v>0</v>
      </c>
      <c r="AA303" s="294">
        <f>IF(NFI_Expiration=1,IF($A303&lt;VLOOKUP(J$5,NFI,5,0),1,0)*Table_NFI[[#This Row],[Sanitary Kit]],Table_NFI[Sanitary Kit])</f>
        <v>0</v>
      </c>
      <c r="AB303" s="294">
        <f>IF(NFI_Expiration=1,IF($A303&lt;VLOOKUP(K$5,NFI,5,0),1,0)*Table_NFI[[#This Row],[Mosquito net]],Table_NFI[Mosquito net])</f>
        <v>0</v>
      </c>
      <c r="AC303" s="294">
        <f>IF(NFI_Expiration=1,IF($A303&lt;VLOOKUP(L$5,NFI,5,0),1,0)*Table_NFI[[#This Row],[Tarpaulin]],Table_NFI[[#This Row],[Tarpaulin]])</f>
        <v>0</v>
      </c>
      <c r="AD303" s="294">
        <f>IF(NFI_Expiration=1,IF($A303&lt;VLOOKUP(M$5,NFI,5,0),1,0)*Table_NFI[[#This Row],[Blanket]],Table_NFI[[#This Row],[Blanket]])</f>
        <v>0</v>
      </c>
      <c r="AE303" s="294">
        <f>IF(NFI_Expiration=1,IF($A303&lt;VLOOKUP(N$5,NFI,5,0),1,0)*Table_NFI[[#This Row],[Kitchen Set]],Table_NFI[Kitchen Set])</f>
        <v>0</v>
      </c>
      <c r="AF303" s="294">
        <f>IF(NFI_Expiration=1,IF($A303&lt;VLOOKUP(O$5,NFI,5,0),1,0)*Table_NFI[[#This Row],[Clothes Kit]],Table_NFI[Clothes Kit])</f>
        <v>0</v>
      </c>
      <c r="AG303" s="294">
        <f>IF(NFI_Expiration=1,IF($A303&lt;VLOOKUP(P$5,NFI,5,0),1,0)*Table_NFI[[#This Row],[Plastic Bucket]],Table_NFI[Plastic Bucket])</f>
        <v>0</v>
      </c>
      <c r="AH303" s="294">
        <f>IF(NFI_Expiration=1,IF($A303&lt;VLOOKUP(Q$5,NFI,5,0),1,0)*Table_NFI[[#This Row],[Plastic Mat]],Table_NFI[Plastic Mat])*IF(Table_NFI[[#This Row],[Distribution Date]]&gt;"2014-04-01",1,2.5)</f>
        <v>0</v>
      </c>
      <c r="AI303" s="294">
        <f>IF(NFI_Expiration=1,IF($A303&lt;VLOOKUP(R$5,NFI,5,0),1,0)*Table_NFI[[#This Row],[Winter Clothes Adult]],Table_NFI[Winter Clothes Adult])</f>
        <v>0</v>
      </c>
      <c r="AJ303" s="294">
        <f>IF(NFI_Expiration=1,IF($A303&lt;VLOOKUP(S$5,NFI,5,0),1,0)*Table_NFI[[#This Row],[Winter Clothes Children]],Table_NFI[Winter Clothes Children])</f>
        <v>0</v>
      </c>
      <c r="AK303" s="294">
        <f>IF(NFI_Expiration=1,IF($A303&lt;VLOOKUP(T$5,NFI,5,0),1,0)*Table_NFI[[#This Row],[Winter Items Other]],Table_NFI[Winter Items Other])</f>
        <v>0</v>
      </c>
      <c r="AL303" s="294">
        <f>IF(NFI_Expiration=1,IF($A303&lt;VLOOKUP(M$5,NFI,5,0),1,0)*Table_NFI[[#This Row],[Winter Blanket]],Table_NFI[[#This Row],[Winter Blanket]])</f>
        <v>0</v>
      </c>
      <c r="AM303" s="294">
        <f>IF(Table_NFI[[#This Row],[Winter Clothes Adult]]+Table_NFI[[#This Row],[Winter Clothes Children]]+Table_NFI[[#This Row],[Winter Items Other]]+Table_NFI[[#This Row],[Winter Blanket]]&gt;0,1,0)</f>
        <v>0</v>
      </c>
      <c r="AN303" s="331">
        <f>IF(NFI_Expiration=1,IF($A303&lt;VLOOKUP(V$5,NFI,5,0),1,0)*Table_NFI[[#This Row],[Jerry Can]],Table_NFI[Jerry Can])</f>
        <v>0</v>
      </c>
      <c r="AO303" s="331">
        <f>IF(NFI_Expiration=1,IF($A303&lt;VLOOKUP(V$5,NFI,5,0),1,0)*Table_NFI[[#This Row],[Shelter Tool kit]],Table_NFI[Shelter Tool kit])</f>
        <v>0</v>
      </c>
      <c r="AP303" s="331">
        <f>IF(NFI_Expiration=1,IF($A303&lt;VLOOKUP(V$5,NFI,5,0),1,0)*Table_NFI[[#This Row],[Tent]],Table_NFI[Tent])</f>
        <v>0</v>
      </c>
      <c r="AQ303" s="473" t="str">
        <f>IFERROR(VLOOKUP(Table_NFI[[#This Row],[Camp Name]],CL,2,0),"")</f>
        <v>MMR001CMP182</v>
      </c>
      <c r="AR303" s="468">
        <f ca="1">IF(Table_NFI[[#This Row],[Pcode]]="","",IF(OFFSET(CampList[Opening Date],MATCH(Table_NFI[[#This Row],[Pcode]],CampList[CP_Pcode],0)-1,0,1,1)&gt;=NFI_Monitor_Date,1,0))</f>
        <v>0</v>
      </c>
      <c r="AS303" s="473" t="str">
        <f>IFERROR(VLOOKUP(Table_NFI[[#This Row],[Camp Name]],CL,3,0),"")</f>
        <v>Open</v>
      </c>
      <c r="AT303" s="294" t="str">
        <f ca="1">IF(Table_NFI[[#This Row],[Pcode]]="","",OFFSET(CampList[Priority],MATCH(Table_NFI[[#This Row],[Pcode]],CampList[CP_Pcode],0)-1,0,1,1))</f>
        <v>P4</v>
      </c>
      <c r="AU303" s="293">
        <f>IFERROR(Table_NFI[[#This Row],[Kitchen Set]]/VLOOKUP(Table_NFI[[#This Row],[Camp Name]],CL,4,0),"")</f>
        <v>0</v>
      </c>
      <c r="AV303" s="471"/>
      <c r="AW303" s="474"/>
    </row>
    <row r="304" spans="1:49" s="470" customFormat="1" ht="14.45" customHeight="1" x14ac:dyDescent="0.25">
      <c r="A304" s="297">
        <f t="shared" si="4"/>
        <v>25.4</v>
      </c>
      <c r="B304" s="465">
        <v>41913</v>
      </c>
      <c r="C304" s="466" t="s">
        <v>452</v>
      </c>
      <c r="D304" s="471" t="s">
        <v>506</v>
      </c>
      <c r="E304" s="471" t="s">
        <v>380</v>
      </c>
      <c r="F304" s="471" t="s">
        <v>27</v>
      </c>
      <c r="G304" s="471" t="s">
        <v>1019</v>
      </c>
      <c r="H304" s="292"/>
      <c r="I304" s="292"/>
      <c r="J304" s="292"/>
      <c r="K304" s="292">
        <v>56</v>
      </c>
      <c r="L304" s="292"/>
      <c r="M304" s="292"/>
      <c r="N304" s="292"/>
      <c r="O304" s="292"/>
      <c r="P304" s="294"/>
      <c r="Q304" s="294"/>
      <c r="R304" s="294"/>
      <c r="S304" s="294"/>
      <c r="T304" s="294"/>
      <c r="U304" s="294">
        <v>56</v>
      </c>
      <c r="V304" s="431"/>
      <c r="W304" s="294"/>
      <c r="X304" s="294"/>
      <c r="Y304" s="294">
        <f>IF(NFI_Expiration=1,IF($A304&lt;VLOOKUP(H$5,NFI,5,0),1,0)*Table_NFI[[#This Row],[Hygiene Kit]],Table_NFI[Hygiene Kit])</f>
        <v>0</v>
      </c>
      <c r="Z304" s="294">
        <f>IF(NFI_Expiration=1,IF($A304&lt;VLOOKUP(I$5,NFI,5,0),1,0)*Table_NFI[[#This Row],[NFI Core Kit]],Table_NFI[NFI Core Kit])</f>
        <v>0</v>
      </c>
      <c r="AA304" s="294">
        <f>IF(NFI_Expiration=1,IF($A304&lt;VLOOKUP(J$5,NFI,5,0),1,0)*Table_NFI[[#This Row],[Sanitary Kit]],Table_NFI[Sanitary Kit])</f>
        <v>0</v>
      </c>
      <c r="AB304" s="294">
        <f>IF(NFI_Expiration=1,IF($A304&lt;VLOOKUP(K$5,NFI,5,0),1,0)*Table_NFI[[#This Row],[Mosquito net]],Table_NFI[Mosquito net])</f>
        <v>0</v>
      </c>
      <c r="AC304" s="294">
        <f>IF(NFI_Expiration=1,IF($A304&lt;VLOOKUP(L$5,NFI,5,0),1,0)*Table_NFI[[#This Row],[Tarpaulin]],Table_NFI[[#This Row],[Tarpaulin]])</f>
        <v>0</v>
      </c>
      <c r="AD304" s="294">
        <f>IF(NFI_Expiration=1,IF($A304&lt;VLOOKUP(M$5,NFI,5,0),1,0)*Table_NFI[[#This Row],[Blanket]],Table_NFI[[#This Row],[Blanket]])</f>
        <v>0</v>
      </c>
      <c r="AE304" s="294">
        <f>IF(NFI_Expiration=1,IF($A304&lt;VLOOKUP(N$5,NFI,5,0),1,0)*Table_NFI[[#This Row],[Kitchen Set]],Table_NFI[Kitchen Set])</f>
        <v>0</v>
      </c>
      <c r="AF304" s="294">
        <f>IF(NFI_Expiration=1,IF($A304&lt;VLOOKUP(O$5,NFI,5,0),1,0)*Table_NFI[[#This Row],[Clothes Kit]],Table_NFI[Clothes Kit])</f>
        <v>0</v>
      </c>
      <c r="AG304" s="294">
        <f>IF(NFI_Expiration=1,IF($A304&lt;VLOOKUP(P$5,NFI,5,0),1,0)*Table_NFI[[#This Row],[Plastic Bucket]],Table_NFI[Plastic Bucket])</f>
        <v>0</v>
      </c>
      <c r="AH304" s="294">
        <f>IF(NFI_Expiration=1,IF($A304&lt;VLOOKUP(Q$5,NFI,5,0),1,0)*Table_NFI[[#This Row],[Plastic Mat]],Table_NFI[Plastic Mat])*IF(Table_NFI[[#This Row],[Distribution Date]]&gt;"2014-04-01",1,2.5)</f>
        <v>0</v>
      </c>
      <c r="AI304" s="294">
        <f>IF(NFI_Expiration=1,IF($A304&lt;VLOOKUP(R$5,NFI,5,0),1,0)*Table_NFI[[#This Row],[Winter Clothes Adult]],Table_NFI[Winter Clothes Adult])</f>
        <v>0</v>
      </c>
      <c r="AJ304" s="294">
        <f>IF(NFI_Expiration=1,IF($A304&lt;VLOOKUP(S$5,NFI,5,0),1,0)*Table_NFI[[#This Row],[Winter Clothes Children]],Table_NFI[Winter Clothes Children])</f>
        <v>0</v>
      </c>
      <c r="AK304" s="294">
        <f>IF(NFI_Expiration=1,IF($A304&lt;VLOOKUP(T$5,NFI,5,0),1,0)*Table_NFI[[#This Row],[Winter Items Other]],Table_NFI[Winter Items Other])</f>
        <v>0</v>
      </c>
      <c r="AL304" s="294">
        <f>IF(NFI_Expiration=1,IF($A304&lt;VLOOKUP(M$5,NFI,5,0),1,0)*Table_NFI[[#This Row],[Winter Blanket]],Table_NFI[[#This Row],[Winter Blanket]])</f>
        <v>0</v>
      </c>
      <c r="AM304" s="294">
        <f>IF(Table_NFI[[#This Row],[Winter Clothes Adult]]+Table_NFI[[#This Row],[Winter Clothes Children]]+Table_NFI[[#This Row],[Winter Items Other]]+Table_NFI[[#This Row],[Winter Blanket]]&gt;0,1,0)</f>
        <v>1</v>
      </c>
      <c r="AN304" s="331">
        <f>IF(NFI_Expiration=1,IF($A304&lt;VLOOKUP(V$5,NFI,5,0),1,0)*Table_NFI[[#This Row],[Jerry Can]],Table_NFI[Jerry Can])</f>
        <v>0</v>
      </c>
      <c r="AO304" s="331">
        <f>IF(NFI_Expiration=1,IF($A304&lt;VLOOKUP(V$5,NFI,5,0),1,0)*Table_NFI[[#This Row],[Shelter Tool kit]],Table_NFI[Shelter Tool kit])</f>
        <v>0</v>
      </c>
      <c r="AP304" s="331">
        <f>IF(NFI_Expiration=1,IF($A304&lt;VLOOKUP(V$5,NFI,5,0),1,0)*Table_NFI[[#This Row],[Tent]],Table_NFI[Tent])</f>
        <v>0</v>
      </c>
      <c r="AQ304" s="473" t="str">
        <f>IFERROR(VLOOKUP(Table_NFI[[#This Row],[Camp Name]],CL,2,0),"")</f>
        <v>MMR001CMP225</v>
      </c>
      <c r="AR304" s="468">
        <f ca="1">IF(Table_NFI[[#This Row],[Pcode]]="","",IF(OFFSET(CampList[Opening Date],MATCH(Table_NFI[[#This Row],[Pcode]],CampList[CP_Pcode],0)-1,0,1,1)&gt;=NFI_Monitor_Date,1,0))</f>
        <v>0</v>
      </c>
      <c r="AS304" s="473" t="str">
        <f>IFERROR(VLOOKUP(Table_NFI[[#This Row],[Camp Name]],CL,3,0),"")</f>
        <v>Open</v>
      </c>
      <c r="AT304" s="294" t="str">
        <f ca="1">IF(Table_NFI[[#This Row],[Pcode]]="","",OFFSET(CampList[Priority],MATCH(Table_NFI[[#This Row],[Pcode]],CampList[CP_Pcode],0)-1,0,1,1))</f>
        <v>P1</v>
      </c>
      <c r="AU304" s="293">
        <f>IFERROR(Table_NFI[[#This Row],[Kitchen Set]]/VLOOKUP(Table_NFI[[#This Row],[Camp Name]],CL,4,0),"")</f>
        <v>0</v>
      </c>
      <c r="AV304" s="471"/>
      <c r="AW304" s="474"/>
    </row>
    <row r="305" spans="1:49" s="470" customFormat="1" ht="14.45" customHeight="1" x14ac:dyDescent="0.25">
      <c r="A305" s="297">
        <f t="shared" si="4"/>
        <v>25.4</v>
      </c>
      <c r="B305" s="465">
        <v>41913</v>
      </c>
      <c r="C305" s="466" t="s">
        <v>452</v>
      </c>
      <c r="D305" s="471" t="s">
        <v>505</v>
      </c>
      <c r="E305" s="471" t="s">
        <v>380</v>
      </c>
      <c r="F305" s="471" t="s">
        <v>237</v>
      </c>
      <c r="G305" s="471" t="s">
        <v>279</v>
      </c>
      <c r="H305" s="292"/>
      <c r="I305" s="292"/>
      <c r="J305" s="292"/>
      <c r="K305" s="292">
        <v>30</v>
      </c>
      <c r="L305" s="292"/>
      <c r="M305" s="292"/>
      <c r="N305" s="292"/>
      <c r="O305" s="292"/>
      <c r="P305" s="294"/>
      <c r="Q305" s="294"/>
      <c r="R305" s="294"/>
      <c r="S305" s="294"/>
      <c r="T305" s="294"/>
      <c r="U305" s="294"/>
      <c r="V305" s="431"/>
      <c r="W305" s="294"/>
      <c r="X305" s="294"/>
      <c r="Y305" s="294">
        <f>IF(NFI_Expiration=1,IF($A305&lt;VLOOKUP(H$5,NFI,5,0),1,0)*Table_NFI[[#This Row],[Hygiene Kit]],Table_NFI[Hygiene Kit])</f>
        <v>0</v>
      </c>
      <c r="Z305" s="294">
        <f>IF(NFI_Expiration=1,IF($A305&lt;VLOOKUP(I$5,NFI,5,0),1,0)*Table_NFI[[#This Row],[NFI Core Kit]],Table_NFI[NFI Core Kit])</f>
        <v>0</v>
      </c>
      <c r="AA305" s="294">
        <f>IF(NFI_Expiration=1,IF($A305&lt;VLOOKUP(J$5,NFI,5,0),1,0)*Table_NFI[[#This Row],[Sanitary Kit]],Table_NFI[Sanitary Kit])</f>
        <v>0</v>
      </c>
      <c r="AB305" s="294">
        <f>IF(NFI_Expiration=1,IF($A305&lt;VLOOKUP(K$5,NFI,5,0),1,0)*Table_NFI[[#This Row],[Mosquito net]],Table_NFI[Mosquito net])</f>
        <v>0</v>
      </c>
      <c r="AC305" s="294">
        <f>IF(NFI_Expiration=1,IF($A305&lt;VLOOKUP(L$5,NFI,5,0),1,0)*Table_NFI[[#This Row],[Tarpaulin]],Table_NFI[[#This Row],[Tarpaulin]])</f>
        <v>0</v>
      </c>
      <c r="AD305" s="294">
        <f>IF(NFI_Expiration=1,IF($A305&lt;VLOOKUP(M$5,NFI,5,0),1,0)*Table_NFI[[#This Row],[Blanket]],Table_NFI[[#This Row],[Blanket]])</f>
        <v>0</v>
      </c>
      <c r="AE305" s="294">
        <f>IF(NFI_Expiration=1,IF($A305&lt;VLOOKUP(N$5,NFI,5,0),1,0)*Table_NFI[[#This Row],[Kitchen Set]],Table_NFI[Kitchen Set])</f>
        <v>0</v>
      </c>
      <c r="AF305" s="294">
        <f>IF(NFI_Expiration=1,IF($A305&lt;VLOOKUP(O$5,NFI,5,0),1,0)*Table_NFI[[#This Row],[Clothes Kit]],Table_NFI[Clothes Kit])</f>
        <v>0</v>
      </c>
      <c r="AG305" s="294">
        <f>IF(NFI_Expiration=1,IF($A305&lt;VLOOKUP(P$5,NFI,5,0),1,0)*Table_NFI[[#This Row],[Plastic Bucket]],Table_NFI[Plastic Bucket])</f>
        <v>0</v>
      </c>
      <c r="AH305" s="294">
        <f>IF(NFI_Expiration=1,IF($A305&lt;VLOOKUP(Q$5,NFI,5,0),1,0)*Table_NFI[[#This Row],[Plastic Mat]],Table_NFI[Plastic Mat])*IF(Table_NFI[[#This Row],[Distribution Date]]&gt;"2014-04-01",1,2.5)</f>
        <v>0</v>
      </c>
      <c r="AI305" s="294">
        <f>IF(NFI_Expiration=1,IF($A305&lt;VLOOKUP(R$5,NFI,5,0),1,0)*Table_NFI[[#This Row],[Winter Clothes Adult]],Table_NFI[Winter Clothes Adult])</f>
        <v>0</v>
      </c>
      <c r="AJ305" s="294">
        <f>IF(NFI_Expiration=1,IF($A305&lt;VLOOKUP(S$5,NFI,5,0),1,0)*Table_NFI[[#This Row],[Winter Clothes Children]],Table_NFI[Winter Clothes Children])</f>
        <v>0</v>
      </c>
      <c r="AK305" s="294">
        <f>IF(NFI_Expiration=1,IF($A305&lt;VLOOKUP(T$5,NFI,5,0),1,0)*Table_NFI[[#This Row],[Winter Items Other]],Table_NFI[Winter Items Other])</f>
        <v>0</v>
      </c>
      <c r="AL305" s="294">
        <f>IF(NFI_Expiration=1,IF($A305&lt;VLOOKUP(M$5,NFI,5,0),1,0)*Table_NFI[[#This Row],[Winter Blanket]],Table_NFI[[#This Row],[Winter Blanket]])</f>
        <v>0</v>
      </c>
      <c r="AM305" s="294">
        <f>IF(Table_NFI[[#This Row],[Winter Clothes Adult]]+Table_NFI[[#This Row],[Winter Clothes Children]]+Table_NFI[[#This Row],[Winter Items Other]]+Table_NFI[[#This Row],[Winter Blanket]]&gt;0,1,0)</f>
        <v>0</v>
      </c>
      <c r="AN305" s="331">
        <f>IF(NFI_Expiration=1,IF($A305&lt;VLOOKUP(V$5,NFI,5,0),1,0)*Table_NFI[[#This Row],[Jerry Can]],Table_NFI[Jerry Can])</f>
        <v>0</v>
      </c>
      <c r="AO305" s="331">
        <f>IF(NFI_Expiration=1,IF($A305&lt;VLOOKUP(V$5,NFI,5,0),1,0)*Table_NFI[[#This Row],[Shelter Tool kit]],Table_NFI[Shelter Tool kit])</f>
        <v>0</v>
      </c>
      <c r="AP305" s="331">
        <f>IF(NFI_Expiration=1,IF($A305&lt;VLOOKUP(V$5,NFI,5,0),1,0)*Table_NFI[[#This Row],[Tent]],Table_NFI[Tent])</f>
        <v>0</v>
      </c>
      <c r="AQ305" s="473" t="str">
        <f>IFERROR(VLOOKUP(Table_NFI[[#This Row],[Camp Name]],CL,2,0),"")</f>
        <v>MMR001CMP007</v>
      </c>
      <c r="AR305" s="468">
        <f ca="1">IF(Table_NFI[[#This Row],[Pcode]]="","",IF(OFFSET(CampList[Opening Date],MATCH(Table_NFI[[#This Row],[Pcode]],CampList[CP_Pcode],0)-1,0,1,1)&gt;=NFI_Monitor_Date,1,0))</f>
        <v>0</v>
      </c>
      <c r="AS305" s="473" t="str">
        <f>IFERROR(VLOOKUP(Table_NFI[[#This Row],[Camp Name]],CL,3,0),"")</f>
        <v>Open</v>
      </c>
      <c r="AT305" s="294" t="str">
        <f ca="1">IF(Table_NFI[[#This Row],[Pcode]]="","",OFFSET(CampList[Priority],MATCH(Table_NFI[[#This Row],[Pcode]],CampList[CP_Pcode],0)-1,0,1,1))</f>
        <v>P4</v>
      </c>
      <c r="AU305" s="293">
        <f>IFERROR(Table_NFI[[#This Row],[Kitchen Set]]/VLOOKUP(Table_NFI[[#This Row],[Camp Name]],CL,4,0),"")</f>
        <v>0</v>
      </c>
      <c r="AV305" s="471"/>
      <c r="AW305" s="474"/>
    </row>
    <row r="306" spans="1:49" s="470" customFormat="1" ht="14.45" customHeight="1" x14ac:dyDescent="0.25">
      <c r="A306" s="297">
        <f t="shared" si="4"/>
        <v>25.4</v>
      </c>
      <c r="B306" s="465">
        <v>41913</v>
      </c>
      <c r="C306" s="466" t="s">
        <v>452</v>
      </c>
      <c r="D306" s="471" t="s">
        <v>506</v>
      </c>
      <c r="E306" s="471" t="s">
        <v>380</v>
      </c>
      <c r="F306" s="471" t="s">
        <v>180</v>
      </c>
      <c r="G306" s="471" t="s">
        <v>181</v>
      </c>
      <c r="H306" s="292"/>
      <c r="I306" s="292"/>
      <c r="J306" s="292"/>
      <c r="K306" s="292">
        <v>24</v>
      </c>
      <c r="L306" s="292"/>
      <c r="M306" s="292"/>
      <c r="N306" s="292"/>
      <c r="O306" s="292"/>
      <c r="P306" s="294"/>
      <c r="Q306" s="294"/>
      <c r="R306" s="294"/>
      <c r="S306" s="294"/>
      <c r="T306" s="294"/>
      <c r="U306" s="294"/>
      <c r="V306" s="431"/>
      <c r="W306" s="294"/>
      <c r="X306" s="294"/>
      <c r="Y306" s="294">
        <f>IF(NFI_Expiration=1,IF($A306&lt;VLOOKUP(H$5,NFI,5,0),1,0)*Table_NFI[[#This Row],[Hygiene Kit]],Table_NFI[Hygiene Kit])</f>
        <v>0</v>
      </c>
      <c r="Z306" s="294">
        <f>IF(NFI_Expiration=1,IF($A306&lt;VLOOKUP(I$5,NFI,5,0),1,0)*Table_NFI[[#This Row],[NFI Core Kit]],Table_NFI[NFI Core Kit])</f>
        <v>0</v>
      </c>
      <c r="AA306" s="294">
        <f>IF(NFI_Expiration=1,IF($A306&lt;VLOOKUP(J$5,NFI,5,0),1,0)*Table_NFI[[#This Row],[Sanitary Kit]],Table_NFI[Sanitary Kit])</f>
        <v>0</v>
      </c>
      <c r="AB306" s="294">
        <f>IF(NFI_Expiration=1,IF($A306&lt;VLOOKUP(K$5,NFI,5,0),1,0)*Table_NFI[[#This Row],[Mosquito net]],Table_NFI[Mosquito net])</f>
        <v>0</v>
      </c>
      <c r="AC306" s="294">
        <f>IF(NFI_Expiration=1,IF($A306&lt;VLOOKUP(L$5,NFI,5,0),1,0)*Table_NFI[[#This Row],[Tarpaulin]],Table_NFI[[#This Row],[Tarpaulin]])</f>
        <v>0</v>
      </c>
      <c r="AD306" s="294">
        <f>IF(NFI_Expiration=1,IF($A306&lt;VLOOKUP(M$5,NFI,5,0),1,0)*Table_NFI[[#This Row],[Blanket]],Table_NFI[[#This Row],[Blanket]])</f>
        <v>0</v>
      </c>
      <c r="AE306" s="294">
        <f>IF(NFI_Expiration=1,IF($A306&lt;VLOOKUP(N$5,NFI,5,0),1,0)*Table_NFI[[#This Row],[Kitchen Set]],Table_NFI[Kitchen Set])</f>
        <v>0</v>
      </c>
      <c r="AF306" s="294">
        <f>IF(NFI_Expiration=1,IF($A306&lt;VLOOKUP(O$5,NFI,5,0),1,0)*Table_NFI[[#This Row],[Clothes Kit]],Table_NFI[Clothes Kit])</f>
        <v>0</v>
      </c>
      <c r="AG306" s="294">
        <f>IF(NFI_Expiration=1,IF($A306&lt;VLOOKUP(P$5,NFI,5,0),1,0)*Table_NFI[[#This Row],[Plastic Bucket]],Table_NFI[Plastic Bucket])</f>
        <v>0</v>
      </c>
      <c r="AH306" s="294">
        <f>IF(NFI_Expiration=1,IF($A306&lt;VLOOKUP(Q$5,NFI,5,0),1,0)*Table_NFI[[#This Row],[Plastic Mat]],Table_NFI[Plastic Mat])*IF(Table_NFI[[#This Row],[Distribution Date]]&gt;"2014-04-01",1,2.5)</f>
        <v>0</v>
      </c>
      <c r="AI306" s="294">
        <f>IF(NFI_Expiration=1,IF($A306&lt;VLOOKUP(R$5,NFI,5,0),1,0)*Table_NFI[[#This Row],[Winter Clothes Adult]],Table_NFI[Winter Clothes Adult])</f>
        <v>0</v>
      </c>
      <c r="AJ306" s="294">
        <f>IF(NFI_Expiration=1,IF($A306&lt;VLOOKUP(S$5,NFI,5,0),1,0)*Table_NFI[[#This Row],[Winter Clothes Children]],Table_NFI[Winter Clothes Children])</f>
        <v>0</v>
      </c>
      <c r="AK306" s="294">
        <f>IF(NFI_Expiration=1,IF($A306&lt;VLOOKUP(T$5,NFI,5,0),1,0)*Table_NFI[[#This Row],[Winter Items Other]],Table_NFI[Winter Items Other])</f>
        <v>0</v>
      </c>
      <c r="AL306" s="294">
        <f>IF(NFI_Expiration=1,IF($A306&lt;VLOOKUP(M$5,NFI,5,0),1,0)*Table_NFI[[#This Row],[Winter Blanket]],Table_NFI[[#This Row],[Winter Blanket]])</f>
        <v>0</v>
      </c>
      <c r="AM306" s="294">
        <f>IF(Table_NFI[[#This Row],[Winter Clothes Adult]]+Table_NFI[[#This Row],[Winter Clothes Children]]+Table_NFI[[#This Row],[Winter Items Other]]+Table_NFI[[#This Row],[Winter Blanket]]&gt;0,1,0)</f>
        <v>0</v>
      </c>
      <c r="AN306" s="331">
        <f>IF(NFI_Expiration=1,IF($A306&lt;VLOOKUP(V$5,NFI,5,0),1,0)*Table_NFI[[#This Row],[Jerry Can]],Table_NFI[Jerry Can])</f>
        <v>0</v>
      </c>
      <c r="AO306" s="331">
        <f>IF(NFI_Expiration=1,IF($A306&lt;VLOOKUP(V$5,NFI,5,0),1,0)*Table_NFI[[#This Row],[Shelter Tool kit]],Table_NFI[Shelter Tool kit])</f>
        <v>0</v>
      </c>
      <c r="AP306" s="331">
        <f>IF(NFI_Expiration=1,IF($A306&lt;VLOOKUP(V$5,NFI,5,0),1,0)*Table_NFI[[#This Row],[Tent]],Table_NFI[Tent])</f>
        <v>0</v>
      </c>
      <c r="AQ306" s="473" t="str">
        <f>IFERROR(VLOOKUP(Table_NFI[[#This Row],[Camp Name]],CL,2,0),"")</f>
        <v>MMR001CMP080</v>
      </c>
      <c r="AR306" s="468">
        <f ca="1">IF(Table_NFI[[#This Row],[Pcode]]="","",IF(OFFSET(CampList[Opening Date],MATCH(Table_NFI[[#This Row],[Pcode]],CampList[CP_Pcode],0)-1,0,1,1)&gt;=NFI_Monitor_Date,1,0))</f>
        <v>0</v>
      </c>
      <c r="AS306" s="473" t="str">
        <f>IFERROR(VLOOKUP(Table_NFI[[#This Row],[Camp Name]],CL,3,0),"")</f>
        <v>Open</v>
      </c>
      <c r="AT306" s="294" t="str">
        <f ca="1">IF(Table_NFI[[#This Row],[Pcode]]="","",OFFSET(CampList[Priority],MATCH(Table_NFI[[#This Row],[Pcode]],CampList[CP_Pcode],0)-1,0,1,1))</f>
        <v>P4</v>
      </c>
      <c r="AU306" s="293">
        <f>IFERROR(Table_NFI[[#This Row],[Kitchen Set]]/VLOOKUP(Table_NFI[[#This Row],[Camp Name]],CL,4,0),"")</f>
        <v>0</v>
      </c>
      <c r="AV306" s="471"/>
      <c r="AW306" s="474"/>
    </row>
    <row r="307" spans="1:49" s="470" customFormat="1" ht="14.45" customHeight="1" x14ac:dyDescent="0.25">
      <c r="A307" s="297">
        <f t="shared" si="4"/>
        <v>25.4</v>
      </c>
      <c r="B307" s="465">
        <v>41913</v>
      </c>
      <c r="C307" s="466" t="s">
        <v>452</v>
      </c>
      <c r="D307" s="471" t="s">
        <v>505</v>
      </c>
      <c r="E307" s="471" t="s">
        <v>380</v>
      </c>
      <c r="F307" s="471" t="s">
        <v>237</v>
      </c>
      <c r="G307" s="471" t="s">
        <v>249</v>
      </c>
      <c r="H307" s="292"/>
      <c r="I307" s="292"/>
      <c r="J307" s="292"/>
      <c r="K307" s="292">
        <v>26</v>
      </c>
      <c r="L307" s="292"/>
      <c r="M307" s="292"/>
      <c r="N307" s="292"/>
      <c r="O307" s="292"/>
      <c r="P307" s="294"/>
      <c r="Q307" s="294"/>
      <c r="R307" s="294"/>
      <c r="S307" s="294"/>
      <c r="T307" s="294"/>
      <c r="U307" s="294"/>
      <c r="V307" s="431"/>
      <c r="W307" s="294"/>
      <c r="X307" s="294"/>
      <c r="Y307" s="294">
        <f>IF(NFI_Expiration=1,IF($A307&lt;VLOOKUP(H$5,NFI,5,0),1,0)*Table_NFI[[#This Row],[Hygiene Kit]],Table_NFI[Hygiene Kit])</f>
        <v>0</v>
      </c>
      <c r="Z307" s="294">
        <f>IF(NFI_Expiration=1,IF($A307&lt;VLOOKUP(I$5,NFI,5,0),1,0)*Table_NFI[[#This Row],[NFI Core Kit]],Table_NFI[NFI Core Kit])</f>
        <v>0</v>
      </c>
      <c r="AA307" s="294">
        <f>IF(NFI_Expiration=1,IF($A307&lt;VLOOKUP(J$5,NFI,5,0),1,0)*Table_NFI[[#This Row],[Sanitary Kit]],Table_NFI[Sanitary Kit])</f>
        <v>0</v>
      </c>
      <c r="AB307" s="294">
        <f>IF(NFI_Expiration=1,IF($A307&lt;VLOOKUP(K$5,NFI,5,0),1,0)*Table_NFI[[#This Row],[Mosquito net]],Table_NFI[Mosquito net])</f>
        <v>0</v>
      </c>
      <c r="AC307" s="294">
        <f>IF(NFI_Expiration=1,IF($A307&lt;VLOOKUP(L$5,NFI,5,0),1,0)*Table_NFI[[#This Row],[Tarpaulin]],Table_NFI[[#This Row],[Tarpaulin]])</f>
        <v>0</v>
      </c>
      <c r="AD307" s="294">
        <f>IF(NFI_Expiration=1,IF($A307&lt;VLOOKUP(M$5,NFI,5,0),1,0)*Table_NFI[[#This Row],[Blanket]],Table_NFI[[#This Row],[Blanket]])</f>
        <v>0</v>
      </c>
      <c r="AE307" s="294">
        <f>IF(NFI_Expiration=1,IF($A307&lt;VLOOKUP(N$5,NFI,5,0),1,0)*Table_NFI[[#This Row],[Kitchen Set]],Table_NFI[Kitchen Set])</f>
        <v>0</v>
      </c>
      <c r="AF307" s="294">
        <f>IF(NFI_Expiration=1,IF($A307&lt;VLOOKUP(O$5,NFI,5,0),1,0)*Table_NFI[[#This Row],[Clothes Kit]],Table_NFI[Clothes Kit])</f>
        <v>0</v>
      </c>
      <c r="AG307" s="294">
        <f>IF(NFI_Expiration=1,IF($A307&lt;VLOOKUP(P$5,NFI,5,0),1,0)*Table_NFI[[#This Row],[Plastic Bucket]],Table_NFI[Plastic Bucket])</f>
        <v>0</v>
      </c>
      <c r="AH307" s="294">
        <f>IF(NFI_Expiration=1,IF($A307&lt;VLOOKUP(Q$5,NFI,5,0),1,0)*Table_NFI[[#This Row],[Plastic Mat]],Table_NFI[Plastic Mat])*IF(Table_NFI[[#This Row],[Distribution Date]]&gt;"2014-04-01",1,2.5)</f>
        <v>0</v>
      </c>
      <c r="AI307" s="294">
        <f>IF(NFI_Expiration=1,IF($A307&lt;VLOOKUP(R$5,NFI,5,0),1,0)*Table_NFI[[#This Row],[Winter Clothes Adult]],Table_NFI[Winter Clothes Adult])</f>
        <v>0</v>
      </c>
      <c r="AJ307" s="294">
        <f>IF(NFI_Expiration=1,IF($A307&lt;VLOOKUP(S$5,NFI,5,0),1,0)*Table_NFI[[#This Row],[Winter Clothes Children]],Table_NFI[Winter Clothes Children])</f>
        <v>0</v>
      </c>
      <c r="AK307" s="294">
        <f>IF(NFI_Expiration=1,IF($A307&lt;VLOOKUP(T$5,NFI,5,0),1,0)*Table_NFI[[#This Row],[Winter Items Other]],Table_NFI[Winter Items Other])</f>
        <v>0</v>
      </c>
      <c r="AL307" s="294">
        <f>IF(NFI_Expiration=1,IF($A307&lt;VLOOKUP(M$5,NFI,5,0),1,0)*Table_NFI[[#This Row],[Winter Blanket]],Table_NFI[[#This Row],[Winter Blanket]])</f>
        <v>0</v>
      </c>
      <c r="AM307" s="294">
        <f>IF(Table_NFI[[#This Row],[Winter Clothes Adult]]+Table_NFI[[#This Row],[Winter Clothes Children]]+Table_NFI[[#This Row],[Winter Items Other]]+Table_NFI[[#This Row],[Winter Blanket]]&gt;0,1,0)</f>
        <v>0</v>
      </c>
      <c r="AN307" s="331">
        <f>IF(NFI_Expiration=1,IF($A307&lt;VLOOKUP(V$5,NFI,5,0),1,0)*Table_NFI[[#This Row],[Jerry Can]],Table_NFI[Jerry Can])</f>
        <v>0</v>
      </c>
      <c r="AO307" s="331">
        <f>IF(NFI_Expiration=1,IF($A307&lt;VLOOKUP(V$5,NFI,5,0),1,0)*Table_NFI[[#This Row],[Shelter Tool kit]],Table_NFI[Shelter Tool kit])</f>
        <v>0</v>
      </c>
      <c r="AP307" s="331">
        <f>IF(NFI_Expiration=1,IF($A307&lt;VLOOKUP(V$5,NFI,5,0),1,0)*Table_NFI[[#This Row],[Tent]],Table_NFI[Tent])</f>
        <v>0</v>
      </c>
      <c r="AQ307" s="473" t="str">
        <f>IFERROR(VLOOKUP(Table_NFI[[#This Row],[Camp Name]],CL,2,0),"")</f>
        <v>MMR001CMP004</v>
      </c>
      <c r="AR307" s="468">
        <f ca="1">IF(Table_NFI[[#This Row],[Pcode]]="","",IF(OFFSET(CampList[Opening Date],MATCH(Table_NFI[[#This Row],[Pcode]],CampList[CP_Pcode],0)-1,0,1,1)&gt;=NFI_Monitor_Date,1,0))</f>
        <v>0</v>
      </c>
      <c r="AS307" s="473" t="str">
        <f>IFERROR(VLOOKUP(Table_NFI[[#This Row],[Camp Name]],CL,3,0),"")</f>
        <v>Open</v>
      </c>
      <c r="AT307" s="294" t="str">
        <f ca="1">IF(Table_NFI[[#This Row],[Pcode]]="","",OFFSET(CampList[Priority],MATCH(Table_NFI[[#This Row],[Pcode]],CampList[CP_Pcode],0)-1,0,1,1))</f>
        <v>P4</v>
      </c>
      <c r="AU307" s="293">
        <f>IFERROR(Table_NFI[[#This Row],[Kitchen Set]]/VLOOKUP(Table_NFI[[#This Row],[Camp Name]],CL,4,0),"")</f>
        <v>0</v>
      </c>
      <c r="AV307" s="471"/>
      <c r="AW307" s="474"/>
    </row>
    <row r="308" spans="1:49" s="482" customFormat="1" ht="14.45" customHeight="1" x14ac:dyDescent="0.25">
      <c r="A308" s="297">
        <f t="shared" si="4"/>
        <v>25.4</v>
      </c>
      <c r="B308" s="465">
        <v>41913</v>
      </c>
      <c r="C308" s="466" t="s">
        <v>452</v>
      </c>
      <c r="D308" s="471" t="s">
        <v>505</v>
      </c>
      <c r="E308" s="471" t="s">
        <v>380</v>
      </c>
      <c r="F308" s="471" t="s">
        <v>310</v>
      </c>
      <c r="G308" s="471" t="s">
        <v>349</v>
      </c>
      <c r="H308" s="292"/>
      <c r="I308" s="292"/>
      <c r="J308" s="292"/>
      <c r="K308" s="292">
        <v>144</v>
      </c>
      <c r="L308" s="292"/>
      <c r="M308" s="292"/>
      <c r="N308" s="292"/>
      <c r="O308" s="292"/>
      <c r="P308" s="294"/>
      <c r="Q308" s="294"/>
      <c r="R308" s="294"/>
      <c r="S308" s="294"/>
      <c r="T308" s="294"/>
      <c r="U308" s="294"/>
      <c r="V308" s="431"/>
      <c r="W308" s="331"/>
      <c r="X308" s="331"/>
      <c r="Y308" s="294">
        <f>IF(NFI_Expiration=1,IF($A308&lt;VLOOKUP(H$5,NFI,5,0),1,0)*Table_NFI[[#This Row],[Hygiene Kit]],Table_NFI[Hygiene Kit])</f>
        <v>0</v>
      </c>
      <c r="Z308" s="294">
        <f>IF(NFI_Expiration=1,IF($A308&lt;VLOOKUP(I$5,NFI,5,0),1,0)*Table_NFI[[#This Row],[NFI Core Kit]],Table_NFI[NFI Core Kit])</f>
        <v>0</v>
      </c>
      <c r="AA308" s="294">
        <f>IF(NFI_Expiration=1,IF($A308&lt;VLOOKUP(J$5,NFI,5,0),1,0)*Table_NFI[[#This Row],[Sanitary Kit]],Table_NFI[Sanitary Kit])</f>
        <v>0</v>
      </c>
      <c r="AB308" s="294">
        <f>IF(NFI_Expiration=1,IF($A308&lt;VLOOKUP(K$5,NFI,5,0),1,0)*Table_NFI[[#This Row],[Mosquito net]],Table_NFI[Mosquito net])</f>
        <v>0</v>
      </c>
      <c r="AC308" s="294">
        <f>IF(NFI_Expiration=1,IF($A308&lt;VLOOKUP(L$5,NFI,5,0),1,0)*Table_NFI[[#This Row],[Tarpaulin]],Table_NFI[[#This Row],[Tarpaulin]])</f>
        <v>0</v>
      </c>
      <c r="AD308" s="294">
        <f>IF(NFI_Expiration=1,IF($A308&lt;VLOOKUP(M$5,NFI,5,0),1,0)*Table_NFI[[#This Row],[Blanket]],Table_NFI[[#This Row],[Blanket]])</f>
        <v>0</v>
      </c>
      <c r="AE308" s="294">
        <f>IF(NFI_Expiration=1,IF($A308&lt;VLOOKUP(N$5,NFI,5,0),1,0)*Table_NFI[[#This Row],[Kitchen Set]],Table_NFI[Kitchen Set])</f>
        <v>0</v>
      </c>
      <c r="AF308" s="294">
        <f>IF(NFI_Expiration=1,IF($A308&lt;VLOOKUP(O$5,NFI,5,0),1,0)*Table_NFI[[#This Row],[Clothes Kit]],Table_NFI[Clothes Kit])</f>
        <v>0</v>
      </c>
      <c r="AG308" s="294">
        <f>IF(NFI_Expiration=1,IF($A308&lt;VLOOKUP(P$5,NFI,5,0),1,0)*Table_NFI[[#This Row],[Plastic Bucket]],Table_NFI[Plastic Bucket])</f>
        <v>0</v>
      </c>
      <c r="AH308" s="294">
        <f>IF(NFI_Expiration=1,IF($A308&lt;VLOOKUP(Q$5,NFI,5,0),1,0)*Table_NFI[[#This Row],[Plastic Mat]],Table_NFI[Plastic Mat])*IF(Table_NFI[[#This Row],[Distribution Date]]&gt;"2014-04-01",1,2.5)</f>
        <v>0</v>
      </c>
      <c r="AI308" s="294">
        <f>IF(NFI_Expiration=1,IF($A308&lt;VLOOKUP(R$5,NFI,5,0),1,0)*Table_NFI[[#This Row],[Winter Clothes Adult]],Table_NFI[Winter Clothes Adult])</f>
        <v>0</v>
      </c>
      <c r="AJ308" s="294">
        <f>IF(NFI_Expiration=1,IF($A308&lt;VLOOKUP(S$5,NFI,5,0),1,0)*Table_NFI[[#This Row],[Winter Clothes Children]],Table_NFI[Winter Clothes Children])</f>
        <v>0</v>
      </c>
      <c r="AK308" s="294">
        <f>IF(NFI_Expiration=1,IF($A308&lt;VLOOKUP(T$5,NFI,5,0),1,0)*Table_NFI[[#This Row],[Winter Items Other]],Table_NFI[Winter Items Other])</f>
        <v>0</v>
      </c>
      <c r="AL308" s="294">
        <f>IF(NFI_Expiration=1,IF($A308&lt;VLOOKUP(M$5,NFI,5,0),1,0)*Table_NFI[[#This Row],[Winter Blanket]],Table_NFI[[#This Row],[Winter Blanket]])</f>
        <v>0</v>
      </c>
      <c r="AM308" s="294">
        <f>IF(Table_NFI[[#This Row],[Winter Clothes Adult]]+Table_NFI[[#This Row],[Winter Clothes Children]]+Table_NFI[[#This Row],[Winter Items Other]]+Table_NFI[[#This Row],[Winter Blanket]]&gt;0,1,0)</f>
        <v>0</v>
      </c>
      <c r="AN308" s="331">
        <f>IF(NFI_Expiration=1,IF($A308&lt;VLOOKUP(V$5,NFI,5,0),1,0)*Table_NFI[[#This Row],[Jerry Can]],Table_NFI[Jerry Can])</f>
        <v>0</v>
      </c>
      <c r="AO308" s="331">
        <f>IF(NFI_Expiration=1,IF($A308&lt;VLOOKUP(V$5,NFI,5,0),1,0)*Table_NFI[[#This Row],[Shelter Tool kit]],Table_NFI[Shelter Tool kit])</f>
        <v>0</v>
      </c>
      <c r="AP308" s="331">
        <f>IF(NFI_Expiration=1,IF($A308&lt;VLOOKUP(V$5,NFI,5,0),1,0)*Table_NFI[[#This Row],[Tent]],Table_NFI[Tent])</f>
        <v>0</v>
      </c>
      <c r="AQ308" s="473" t="str">
        <f>IFERROR(VLOOKUP(Table_NFI[[#This Row],[Camp Name]],CL,2,0),"")</f>
        <v>MMR001CMP037</v>
      </c>
      <c r="AR308" s="468">
        <f ca="1">IF(Table_NFI[[#This Row],[Pcode]]="","",IF(OFFSET(CampList[Opening Date],MATCH(Table_NFI[[#This Row],[Pcode]],CampList[CP_Pcode],0)-1,0,1,1)&gt;=NFI_Monitor_Date,1,0))</f>
        <v>0</v>
      </c>
      <c r="AS308" s="473" t="str">
        <f>IFERROR(VLOOKUP(Table_NFI[[#This Row],[Camp Name]],CL,3,0),"")</f>
        <v>Open</v>
      </c>
      <c r="AT308" s="294" t="str">
        <f ca="1">IF(Table_NFI[[#This Row],[Pcode]]="","",OFFSET(CampList[Priority],MATCH(Table_NFI[[#This Row],[Pcode]],CampList[CP_Pcode],0)-1,0,1,1))</f>
        <v>P4</v>
      </c>
      <c r="AU308" s="293">
        <f>IFERROR(Table_NFI[[#This Row],[Kitchen Set]]/VLOOKUP(Table_NFI[[#This Row],[Camp Name]],CL,4,0),"")</f>
        <v>0</v>
      </c>
      <c r="AV308" s="471"/>
      <c r="AW308" s="474"/>
    </row>
    <row r="309" spans="1:49" s="470" customFormat="1" ht="14.45" customHeight="1" x14ac:dyDescent="0.25">
      <c r="A309" s="297">
        <f t="shared" si="4"/>
        <v>25.4</v>
      </c>
      <c r="B309" s="465">
        <v>41913</v>
      </c>
      <c r="C309" s="466" t="s">
        <v>452</v>
      </c>
      <c r="D309" s="471" t="s">
        <v>505</v>
      </c>
      <c r="E309" s="471" t="s">
        <v>380</v>
      </c>
      <c r="F309" s="471" t="s">
        <v>310</v>
      </c>
      <c r="G309" s="471" t="s">
        <v>316</v>
      </c>
      <c r="H309" s="292"/>
      <c r="I309" s="292"/>
      <c r="J309" s="292"/>
      <c r="K309" s="292">
        <v>150</v>
      </c>
      <c r="L309" s="292"/>
      <c r="M309" s="292"/>
      <c r="N309" s="292"/>
      <c r="O309" s="292"/>
      <c r="P309" s="294"/>
      <c r="Q309" s="294"/>
      <c r="R309" s="294"/>
      <c r="S309" s="294"/>
      <c r="T309" s="294"/>
      <c r="U309" s="294"/>
      <c r="V309" s="431"/>
      <c r="W309" s="294"/>
      <c r="X309" s="294"/>
      <c r="Y309" s="294">
        <f>IF(NFI_Expiration=1,IF($A309&lt;VLOOKUP(H$5,NFI,5,0),1,0)*Table_NFI[[#This Row],[Hygiene Kit]],Table_NFI[Hygiene Kit])</f>
        <v>0</v>
      </c>
      <c r="Z309" s="294">
        <f>IF(NFI_Expiration=1,IF($A309&lt;VLOOKUP(I$5,NFI,5,0),1,0)*Table_NFI[[#This Row],[NFI Core Kit]],Table_NFI[NFI Core Kit])</f>
        <v>0</v>
      </c>
      <c r="AA309" s="294">
        <f>IF(NFI_Expiration=1,IF($A309&lt;VLOOKUP(J$5,NFI,5,0),1,0)*Table_NFI[[#This Row],[Sanitary Kit]],Table_NFI[Sanitary Kit])</f>
        <v>0</v>
      </c>
      <c r="AB309" s="294">
        <f>IF(NFI_Expiration=1,IF($A309&lt;VLOOKUP(K$5,NFI,5,0),1,0)*Table_NFI[[#This Row],[Mosquito net]],Table_NFI[Mosquito net])</f>
        <v>0</v>
      </c>
      <c r="AC309" s="294">
        <f>IF(NFI_Expiration=1,IF($A309&lt;VLOOKUP(L$5,NFI,5,0),1,0)*Table_NFI[[#This Row],[Tarpaulin]],Table_NFI[[#This Row],[Tarpaulin]])</f>
        <v>0</v>
      </c>
      <c r="AD309" s="294">
        <f>IF(NFI_Expiration=1,IF($A309&lt;VLOOKUP(M$5,NFI,5,0),1,0)*Table_NFI[[#This Row],[Blanket]],Table_NFI[[#This Row],[Blanket]])</f>
        <v>0</v>
      </c>
      <c r="AE309" s="294">
        <f>IF(NFI_Expiration=1,IF($A309&lt;VLOOKUP(N$5,NFI,5,0),1,0)*Table_NFI[[#This Row],[Kitchen Set]],Table_NFI[Kitchen Set])</f>
        <v>0</v>
      </c>
      <c r="AF309" s="294">
        <f>IF(NFI_Expiration=1,IF($A309&lt;VLOOKUP(O$5,NFI,5,0),1,0)*Table_NFI[[#This Row],[Clothes Kit]],Table_NFI[Clothes Kit])</f>
        <v>0</v>
      </c>
      <c r="AG309" s="294">
        <f>IF(NFI_Expiration=1,IF($A309&lt;VLOOKUP(P$5,NFI,5,0),1,0)*Table_NFI[[#This Row],[Plastic Bucket]],Table_NFI[Plastic Bucket])</f>
        <v>0</v>
      </c>
      <c r="AH309" s="294">
        <f>IF(NFI_Expiration=1,IF($A309&lt;VLOOKUP(Q$5,NFI,5,0),1,0)*Table_NFI[[#This Row],[Plastic Mat]],Table_NFI[Plastic Mat])*IF(Table_NFI[[#This Row],[Distribution Date]]&gt;"2014-04-01",1,2.5)</f>
        <v>0</v>
      </c>
      <c r="AI309" s="294">
        <f>IF(NFI_Expiration=1,IF($A309&lt;VLOOKUP(R$5,NFI,5,0),1,0)*Table_NFI[[#This Row],[Winter Clothes Adult]],Table_NFI[Winter Clothes Adult])</f>
        <v>0</v>
      </c>
      <c r="AJ309" s="294">
        <f>IF(NFI_Expiration=1,IF($A309&lt;VLOOKUP(S$5,NFI,5,0),1,0)*Table_NFI[[#This Row],[Winter Clothes Children]],Table_NFI[Winter Clothes Children])</f>
        <v>0</v>
      </c>
      <c r="AK309" s="294">
        <f>IF(NFI_Expiration=1,IF($A309&lt;VLOOKUP(T$5,NFI,5,0),1,0)*Table_NFI[[#This Row],[Winter Items Other]],Table_NFI[Winter Items Other])</f>
        <v>0</v>
      </c>
      <c r="AL309" s="294">
        <f>IF(NFI_Expiration=1,IF($A309&lt;VLOOKUP(M$5,NFI,5,0),1,0)*Table_NFI[[#This Row],[Winter Blanket]],Table_NFI[[#This Row],[Winter Blanket]])</f>
        <v>0</v>
      </c>
      <c r="AM309" s="294">
        <f>IF(Table_NFI[[#This Row],[Winter Clothes Adult]]+Table_NFI[[#This Row],[Winter Clothes Children]]+Table_NFI[[#This Row],[Winter Items Other]]+Table_NFI[[#This Row],[Winter Blanket]]&gt;0,1,0)</f>
        <v>0</v>
      </c>
      <c r="AN309" s="331">
        <f>IF(NFI_Expiration=1,IF($A309&lt;VLOOKUP(V$5,NFI,5,0),1,0)*Table_NFI[[#This Row],[Jerry Can]],Table_NFI[Jerry Can])</f>
        <v>0</v>
      </c>
      <c r="AO309" s="331">
        <f>IF(NFI_Expiration=1,IF($A309&lt;VLOOKUP(V$5,NFI,5,0),1,0)*Table_NFI[[#This Row],[Shelter Tool kit]],Table_NFI[Shelter Tool kit])</f>
        <v>0</v>
      </c>
      <c r="AP309" s="331">
        <f>IF(NFI_Expiration=1,IF($A309&lt;VLOOKUP(V$5,NFI,5,0),1,0)*Table_NFI[[#This Row],[Tent]],Table_NFI[Tent])</f>
        <v>0</v>
      </c>
      <c r="AQ309" s="473" t="str">
        <f>IFERROR(VLOOKUP(Table_NFI[[#This Row],[Camp Name]],CL,2,0),"")</f>
        <v>MMR001CMP038</v>
      </c>
      <c r="AR309" s="468">
        <f ca="1">IF(Table_NFI[[#This Row],[Pcode]]="","",IF(OFFSET(CampList[Opening Date],MATCH(Table_NFI[[#This Row],[Pcode]],CampList[CP_Pcode],0)-1,0,1,1)&gt;=NFI_Monitor_Date,1,0))</f>
        <v>0</v>
      </c>
      <c r="AS309" s="473" t="str">
        <f>IFERROR(VLOOKUP(Table_NFI[[#This Row],[Camp Name]],CL,3,0),"")</f>
        <v>Open</v>
      </c>
      <c r="AT309" s="294" t="str">
        <f ca="1">IF(Table_NFI[[#This Row],[Pcode]]="","",OFFSET(CampList[Priority],MATCH(Table_NFI[[#This Row],[Pcode]],CampList[CP_Pcode],0)-1,0,1,1))</f>
        <v>P4</v>
      </c>
      <c r="AU309" s="293">
        <f>IFERROR(Table_NFI[[#This Row],[Kitchen Set]]/VLOOKUP(Table_NFI[[#This Row],[Camp Name]],CL,4,0),"")</f>
        <v>0</v>
      </c>
      <c r="AV309" s="471"/>
      <c r="AW309" s="474"/>
    </row>
    <row r="310" spans="1:49" s="470" customFormat="1" ht="14.45" customHeight="1" x14ac:dyDescent="0.25">
      <c r="A310" s="297">
        <f t="shared" si="4"/>
        <v>25.4</v>
      </c>
      <c r="B310" s="465">
        <v>41913</v>
      </c>
      <c r="C310" s="466" t="s">
        <v>452</v>
      </c>
      <c r="D310" s="471" t="s">
        <v>505</v>
      </c>
      <c r="E310" s="471" t="s">
        <v>380</v>
      </c>
      <c r="F310" s="471" t="s">
        <v>237</v>
      </c>
      <c r="G310" s="471" t="s">
        <v>283</v>
      </c>
      <c r="H310" s="292"/>
      <c r="I310" s="292"/>
      <c r="J310" s="292"/>
      <c r="K310" s="292">
        <v>12</v>
      </c>
      <c r="L310" s="292"/>
      <c r="M310" s="292"/>
      <c r="N310" s="292"/>
      <c r="O310" s="292"/>
      <c r="P310" s="294"/>
      <c r="Q310" s="294"/>
      <c r="R310" s="294"/>
      <c r="S310" s="294"/>
      <c r="T310" s="294"/>
      <c r="U310" s="294"/>
      <c r="V310" s="431"/>
      <c r="W310" s="294"/>
      <c r="X310" s="294"/>
      <c r="Y310" s="294">
        <f>IF(NFI_Expiration=1,IF($A310&lt;VLOOKUP(H$5,NFI,5,0),1,0)*Table_NFI[[#This Row],[Hygiene Kit]],Table_NFI[Hygiene Kit])</f>
        <v>0</v>
      </c>
      <c r="Z310" s="294">
        <f>IF(NFI_Expiration=1,IF($A310&lt;VLOOKUP(I$5,NFI,5,0),1,0)*Table_NFI[[#This Row],[NFI Core Kit]],Table_NFI[NFI Core Kit])</f>
        <v>0</v>
      </c>
      <c r="AA310" s="294">
        <f>IF(NFI_Expiration=1,IF($A310&lt;VLOOKUP(J$5,NFI,5,0),1,0)*Table_NFI[[#This Row],[Sanitary Kit]],Table_NFI[Sanitary Kit])</f>
        <v>0</v>
      </c>
      <c r="AB310" s="294">
        <f>IF(NFI_Expiration=1,IF($A310&lt;VLOOKUP(K$5,NFI,5,0),1,0)*Table_NFI[[#This Row],[Mosquito net]],Table_NFI[Mosquito net])</f>
        <v>0</v>
      </c>
      <c r="AC310" s="294">
        <f>IF(NFI_Expiration=1,IF($A310&lt;VLOOKUP(L$5,NFI,5,0),1,0)*Table_NFI[[#This Row],[Tarpaulin]],Table_NFI[[#This Row],[Tarpaulin]])</f>
        <v>0</v>
      </c>
      <c r="AD310" s="294">
        <f>IF(NFI_Expiration=1,IF($A310&lt;VLOOKUP(M$5,NFI,5,0),1,0)*Table_NFI[[#This Row],[Blanket]],Table_NFI[[#This Row],[Blanket]])</f>
        <v>0</v>
      </c>
      <c r="AE310" s="294">
        <f>IF(NFI_Expiration=1,IF($A310&lt;VLOOKUP(N$5,NFI,5,0),1,0)*Table_NFI[[#This Row],[Kitchen Set]],Table_NFI[Kitchen Set])</f>
        <v>0</v>
      </c>
      <c r="AF310" s="294">
        <f>IF(NFI_Expiration=1,IF($A310&lt;VLOOKUP(O$5,NFI,5,0),1,0)*Table_NFI[[#This Row],[Clothes Kit]],Table_NFI[Clothes Kit])</f>
        <v>0</v>
      </c>
      <c r="AG310" s="294">
        <f>IF(NFI_Expiration=1,IF($A310&lt;VLOOKUP(P$5,NFI,5,0),1,0)*Table_NFI[[#This Row],[Plastic Bucket]],Table_NFI[Plastic Bucket])</f>
        <v>0</v>
      </c>
      <c r="AH310" s="294">
        <f>IF(NFI_Expiration=1,IF($A310&lt;VLOOKUP(Q$5,NFI,5,0),1,0)*Table_NFI[[#This Row],[Plastic Mat]],Table_NFI[Plastic Mat])*IF(Table_NFI[[#This Row],[Distribution Date]]&gt;"2014-04-01",1,2.5)</f>
        <v>0</v>
      </c>
      <c r="AI310" s="294">
        <f>IF(NFI_Expiration=1,IF($A310&lt;VLOOKUP(R$5,NFI,5,0),1,0)*Table_NFI[[#This Row],[Winter Clothes Adult]],Table_NFI[Winter Clothes Adult])</f>
        <v>0</v>
      </c>
      <c r="AJ310" s="294">
        <f>IF(NFI_Expiration=1,IF($A310&lt;VLOOKUP(S$5,NFI,5,0),1,0)*Table_NFI[[#This Row],[Winter Clothes Children]],Table_NFI[Winter Clothes Children])</f>
        <v>0</v>
      </c>
      <c r="AK310" s="294">
        <f>IF(NFI_Expiration=1,IF($A310&lt;VLOOKUP(T$5,NFI,5,0),1,0)*Table_NFI[[#This Row],[Winter Items Other]],Table_NFI[Winter Items Other])</f>
        <v>0</v>
      </c>
      <c r="AL310" s="294">
        <f>IF(NFI_Expiration=1,IF($A310&lt;VLOOKUP(M$5,NFI,5,0),1,0)*Table_NFI[[#This Row],[Winter Blanket]],Table_NFI[[#This Row],[Winter Blanket]])</f>
        <v>0</v>
      </c>
      <c r="AM310" s="294">
        <f>IF(Table_NFI[[#This Row],[Winter Clothes Adult]]+Table_NFI[[#This Row],[Winter Clothes Children]]+Table_NFI[[#This Row],[Winter Items Other]]+Table_NFI[[#This Row],[Winter Blanket]]&gt;0,1,0)</f>
        <v>0</v>
      </c>
      <c r="AN310" s="331">
        <f>IF(NFI_Expiration=1,IF($A310&lt;VLOOKUP(V$5,NFI,5,0),1,0)*Table_NFI[[#This Row],[Jerry Can]],Table_NFI[Jerry Can])</f>
        <v>0</v>
      </c>
      <c r="AO310" s="331">
        <f>IF(NFI_Expiration=1,IF($A310&lt;VLOOKUP(V$5,NFI,5,0),1,0)*Table_NFI[[#This Row],[Shelter Tool kit]],Table_NFI[Shelter Tool kit])</f>
        <v>0</v>
      </c>
      <c r="AP310" s="331">
        <f>IF(NFI_Expiration=1,IF($A310&lt;VLOOKUP(V$5,NFI,5,0),1,0)*Table_NFI[[#This Row],[Tent]],Table_NFI[Tent])</f>
        <v>0</v>
      </c>
      <c r="AQ310" s="473" t="str">
        <f>IFERROR(VLOOKUP(Table_NFI[[#This Row],[Camp Name]],CL,2,0),"")</f>
        <v>MMR001CMP022</v>
      </c>
      <c r="AR310" s="468">
        <f ca="1">IF(Table_NFI[[#This Row],[Pcode]]="","",IF(OFFSET(CampList[Opening Date],MATCH(Table_NFI[[#This Row],[Pcode]],CampList[CP_Pcode],0)-1,0,1,1)&gt;=NFI_Monitor_Date,1,0))</f>
        <v>0</v>
      </c>
      <c r="AS310" s="473" t="str">
        <f>IFERROR(VLOOKUP(Table_NFI[[#This Row],[Camp Name]],CL,3,0),"")</f>
        <v>Open</v>
      </c>
      <c r="AT310" s="294" t="str">
        <f ca="1">IF(Table_NFI[[#This Row],[Pcode]]="","",OFFSET(CampList[Priority],MATCH(Table_NFI[[#This Row],[Pcode]],CampList[CP_Pcode],0)-1,0,1,1))</f>
        <v>P4</v>
      </c>
      <c r="AU310" s="293">
        <f>IFERROR(Table_NFI[[#This Row],[Kitchen Set]]/VLOOKUP(Table_NFI[[#This Row],[Camp Name]],CL,4,0),"")</f>
        <v>0</v>
      </c>
      <c r="AV310" s="471"/>
      <c r="AW310" s="474"/>
    </row>
    <row r="311" spans="1:49" s="470" customFormat="1" ht="14.45" customHeight="1" x14ac:dyDescent="0.25">
      <c r="A311" s="297">
        <f t="shared" si="4"/>
        <v>25.733333333333334</v>
      </c>
      <c r="B311" s="465">
        <v>41903</v>
      </c>
      <c r="C311" s="466" t="s">
        <v>452</v>
      </c>
      <c r="D311" s="466"/>
      <c r="E311" s="466" t="s">
        <v>380</v>
      </c>
      <c r="F311" s="466" t="s">
        <v>185</v>
      </c>
      <c r="G311" s="466" t="s">
        <v>215</v>
      </c>
      <c r="H311" s="291"/>
      <c r="I311" s="291"/>
      <c r="J311" s="291"/>
      <c r="K311" s="291">
        <v>604</v>
      </c>
      <c r="L311" s="292"/>
      <c r="M311" s="292"/>
      <c r="N311" s="292"/>
      <c r="O311" s="292"/>
      <c r="P311" s="294"/>
      <c r="Q311" s="294"/>
      <c r="R311" s="294"/>
      <c r="S311" s="294"/>
      <c r="T311" s="294"/>
      <c r="U311" s="294">
        <v>784</v>
      </c>
      <c r="V311" s="431"/>
      <c r="W311" s="294"/>
      <c r="X311" s="294"/>
      <c r="Y311" s="294">
        <f>IF(NFI_Expiration=1,IF($A311&lt;VLOOKUP(H$5,NFI,5,0),1,0)*Table_NFI[[#This Row],[Hygiene Kit]],Table_NFI[Hygiene Kit])</f>
        <v>0</v>
      </c>
      <c r="Z311" s="294">
        <f>IF(NFI_Expiration=1,IF($A311&lt;VLOOKUP(I$5,NFI,5,0),1,0)*Table_NFI[[#This Row],[NFI Core Kit]],Table_NFI[NFI Core Kit])</f>
        <v>0</v>
      </c>
      <c r="AA311" s="294">
        <f>IF(NFI_Expiration=1,IF($A311&lt;VLOOKUP(J$5,NFI,5,0),1,0)*Table_NFI[[#This Row],[Sanitary Kit]],Table_NFI[Sanitary Kit])</f>
        <v>0</v>
      </c>
      <c r="AB311" s="294">
        <f>IF(NFI_Expiration=1,IF($A311&lt;VLOOKUP(K$5,NFI,5,0),1,0)*Table_NFI[[#This Row],[Mosquito net]],Table_NFI[Mosquito net])</f>
        <v>0</v>
      </c>
      <c r="AC311" s="294">
        <f>IF(NFI_Expiration=1,IF($A311&lt;VLOOKUP(L$5,NFI,5,0),1,0)*Table_NFI[[#This Row],[Tarpaulin]],Table_NFI[[#This Row],[Tarpaulin]])</f>
        <v>0</v>
      </c>
      <c r="AD311" s="294">
        <f>IF(NFI_Expiration=1,IF($A311&lt;VLOOKUP(M$5,NFI,5,0),1,0)*Table_NFI[[#This Row],[Blanket]],Table_NFI[[#This Row],[Blanket]])</f>
        <v>0</v>
      </c>
      <c r="AE311" s="294">
        <f>IF(NFI_Expiration=1,IF($A311&lt;VLOOKUP(N$5,NFI,5,0),1,0)*Table_NFI[[#This Row],[Kitchen Set]],Table_NFI[Kitchen Set])</f>
        <v>0</v>
      </c>
      <c r="AF311" s="294">
        <f>IF(NFI_Expiration=1,IF($A311&lt;VLOOKUP(O$5,NFI,5,0),1,0)*Table_NFI[[#This Row],[Clothes Kit]],Table_NFI[Clothes Kit])</f>
        <v>0</v>
      </c>
      <c r="AG311" s="294">
        <f>IF(NFI_Expiration=1,IF($A311&lt;VLOOKUP(P$5,NFI,5,0),1,0)*Table_NFI[[#This Row],[Plastic Bucket]],Table_NFI[Plastic Bucket])</f>
        <v>0</v>
      </c>
      <c r="AH311" s="294">
        <f>IF(NFI_Expiration=1,IF($A311&lt;VLOOKUP(Q$5,NFI,5,0),1,0)*Table_NFI[[#This Row],[Plastic Mat]],Table_NFI[Plastic Mat])*IF(Table_NFI[[#This Row],[Distribution Date]]&gt;"2014-04-01",1,2.5)</f>
        <v>0</v>
      </c>
      <c r="AI311" s="294">
        <f>IF(NFI_Expiration=1,IF($A311&lt;VLOOKUP(R$5,NFI,5,0),1,0)*Table_NFI[[#This Row],[Winter Clothes Adult]],Table_NFI[Winter Clothes Adult])</f>
        <v>0</v>
      </c>
      <c r="AJ311" s="294">
        <f>IF(NFI_Expiration=1,IF($A311&lt;VLOOKUP(S$5,NFI,5,0),1,0)*Table_NFI[[#This Row],[Winter Clothes Children]],Table_NFI[Winter Clothes Children])</f>
        <v>0</v>
      </c>
      <c r="AK311" s="294">
        <f>IF(NFI_Expiration=1,IF($A311&lt;VLOOKUP(T$5,NFI,5,0),1,0)*Table_NFI[[#This Row],[Winter Items Other]],Table_NFI[Winter Items Other])</f>
        <v>0</v>
      </c>
      <c r="AL311" s="294">
        <f>IF(NFI_Expiration=1,IF($A311&lt;VLOOKUP(M$5,NFI,5,0),1,0)*Table_NFI[[#This Row],[Winter Blanket]],Table_NFI[[#This Row],[Winter Blanket]])</f>
        <v>0</v>
      </c>
      <c r="AM311" s="294">
        <f>IF(Table_NFI[[#This Row],[Winter Clothes Adult]]+Table_NFI[[#This Row],[Winter Clothes Children]]+Table_NFI[[#This Row],[Winter Items Other]]+Table_NFI[[#This Row],[Winter Blanket]]&gt;0,1,0)</f>
        <v>1</v>
      </c>
      <c r="AN311" s="331">
        <f>IF(NFI_Expiration=1,IF($A311&lt;VLOOKUP(V$5,NFI,5,0),1,0)*Table_NFI[[#This Row],[Jerry Can]],Table_NFI[Jerry Can])</f>
        <v>0</v>
      </c>
      <c r="AO311" s="331">
        <f>IF(NFI_Expiration=1,IF($A311&lt;VLOOKUP(V$5,NFI,5,0),1,0)*Table_NFI[[#This Row],[Shelter Tool kit]],Table_NFI[Shelter Tool kit])</f>
        <v>0</v>
      </c>
      <c r="AP311" s="331">
        <f>IF(NFI_Expiration=1,IF($A311&lt;VLOOKUP(V$5,NFI,5,0),1,0)*Table_NFI[[#This Row],[Tent]],Table_NFI[Tent])</f>
        <v>0</v>
      </c>
      <c r="AQ311" s="473" t="str">
        <f>IFERROR(VLOOKUP(Table_NFI[[#This Row],[Camp Name]],CL,2,0),"")</f>
        <v>MMR001CMP131</v>
      </c>
      <c r="AR311" s="468">
        <f ca="1">IF(Table_NFI[[#This Row],[Pcode]]="","",IF(OFFSET(CampList[Opening Date],MATCH(Table_NFI[[#This Row],[Pcode]],CampList[CP_Pcode],0)-1,0,1,1)&gt;=NFI_Monitor_Date,1,0))</f>
        <v>0</v>
      </c>
      <c r="AS311" s="473" t="str">
        <f>IFERROR(VLOOKUP(Table_NFI[[#This Row],[Camp Name]],CL,3,0),"")</f>
        <v>Open</v>
      </c>
      <c r="AT311" s="294" t="str">
        <f ca="1">IF(Table_NFI[[#This Row],[Pcode]]="","",OFFSET(CampList[Priority],MATCH(Table_NFI[[#This Row],[Pcode]],CampList[CP_Pcode],0)-1,0,1,1))</f>
        <v>P1</v>
      </c>
      <c r="AU311" s="293">
        <f>IFERROR(Table_NFI[[#This Row],[Kitchen Set]]/VLOOKUP(Table_NFI[[#This Row],[Camp Name]],CL,4,0),"")</f>
        <v>0</v>
      </c>
      <c r="AV311" s="466"/>
      <c r="AW311" s="469"/>
    </row>
    <row r="312" spans="1:49" s="470" customFormat="1" ht="14.45" customHeight="1" x14ac:dyDescent="0.25">
      <c r="A312" s="297">
        <f t="shared" si="4"/>
        <v>25.766666666666666</v>
      </c>
      <c r="B312" s="465">
        <v>41902</v>
      </c>
      <c r="C312" s="466" t="s">
        <v>452</v>
      </c>
      <c r="D312" s="466"/>
      <c r="E312" s="466" t="s">
        <v>380</v>
      </c>
      <c r="F312" s="466" t="s">
        <v>185</v>
      </c>
      <c r="G312" s="466" t="s">
        <v>219</v>
      </c>
      <c r="H312" s="291"/>
      <c r="I312" s="291"/>
      <c r="J312" s="291"/>
      <c r="K312" s="291">
        <v>1238</v>
      </c>
      <c r="L312" s="292"/>
      <c r="M312" s="292"/>
      <c r="N312" s="292"/>
      <c r="O312" s="292"/>
      <c r="P312" s="294"/>
      <c r="Q312" s="294"/>
      <c r="R312" s="294"/>
      <c r="S312" s="294"/>
      <c r="T312" s="294"/>
      <c r="U312" s="294">
        <v>1761</v>
      </c>
      <c r="V312" s="431"/>
      <c r="W312" s="294"/>
      <c r="X312" s="294"/>
      <c r="Y312" s="294">
        <f>IF(NFI_Expiration=1,IF($A312&lt;VLOOKUP(H$5,NFI,5,0),1,0)*Table_NFI[[#This Row],[Hygiene Kit]],Table_NFI[Hygiene Kit])</f>
        <v>0</v>
      </c>
      <c r="Z312" s="294">
        <f>IF(NFI_Expiration=1,IF($A312&lt;VLOOKUP(I$5,NFI,5,0),1,0)*Table_NFI[[#This Row],[NFI Core Kit]],Table_NFI[NFI Core Kit])</f>
        <v>0</v>
      </c>
      <c r="AA312" s="294">
        <f>IF(NFI_Expiration=1,IF($A312&lt;VLOOKUP(J$5,NFI,5,0),1,0)*Table_NFI[[#This Row],[Sanitary Kit]],Table_NFI[Sanitary Kit])</f>
        <v>0</v>
      </c>
      <c r="AB312" s="294">
        <f>IF(NFI_Expiration=1,IF($A312&lt;VLOOKUP(K$5,NFI,5,0),1,0)*Table_NFI[[#This Row],[Mosquito net]],Table_NFI[Mosquito net])</f>
        <v>0</v>
      </c>
      <c r="AC312" s="294">
        <f>IF(NFI_Expiration=1,IF($A312&lt;VLOOKUP(L$5,NFI,5,0),1,0)*Table_NFI[[#This Row],[Tarpaulin]],Table_NFI[[#This Row],[Tarpaulin]])</f>
        <v>0</v>
      </c>
      <c r="AD312" s="294">
        <f>IF(NFI_Expiration=1,IF($A312&lt;VLOOKUP(M$5,NFI,5,0),1,0)*Table_NFI[[#This Row],[Blanket]],Table_NFI[[#This Row],[Blanket]])</f>
        <v>0</v>
      </c>
      <c r="AE312" s="294">
        <f>IF(NFI_Expiration=1,IF($A312&lt;VLOOKUP(N$5,NFI,5,0),1,0)*Table_NFI[[#This Row],[Kitchen Set]],Table_NFI[Kitchen Set])</f>
        <v>0</v>
      </c>
      <c r="AF312" s="294">
        <f>IF(NFI_Expiration=1,IF($A312&lt;VLOOKUP(O$5,NFI,5,0),1,0)*Table_NFI[[#This Row],[Clothes Kit]],Table_NFI[Clothes Kit])</f>
        <v>0</v>
      </c>
      <c r="AG312" s="294">
        <f>IF(NFI_Expiration=1,IF($A312&lt;VLOOKUP(P$5,NFI,5,0),1,0)*Table_NFI[[#This Row],[Plastic Bucket]],Table_NFI[Plastic Bucket])</f>
        <v>0</v>
      </c>
      <c r="AH312" s="294">
        <f>IF(NFI_Expiration=1,IF($A312&lt;VLOOKUP(Q$5,NFI,5,0),1,0)*Table_NFI[[#This Row],[Plastic Mat]],Table_NFI[Plastic Mat])*IF(Table_NFI[[#This Row],[Distribution Date]]&gt;"2014-04-01",1,2.5)</f>
        <v>0</v>
      </c>
      <c r="AI312" s="294">
        <f>IF(NFI_Expiration=1,IF($A312&lt;VLOOKUP(R$5,NFI,5,0),1,0)*Table_NFI[[#This Row],[Winter Clothes Adult]],Table_NFI[Winter Clothes Adult])</f>
        <v>0</v>
      </c>
      <c r="AJ312" s="294">
        <f>IF(NFI_Expiration=1,IF($A312&lt;VLOOKUP(S$5,NFI,5,0),1,0)*Table_NFI[[#This Row],[Winter Clothes Children]],Table_NFI[Winter Clothes Children])</f>
        <v>0</v>
      </c>
      <c r="AK312" s="294">
        <f>IF(NFI_Expiration=1,IF($A312&lt;VLOOKUP(T$5,NFI,5,0),1,0)*Table_NFI[[#This Row],[Winter Items Other]],Table_NFI[Winter Items Other])</f>
        <v>0</v>
      </c>
      <c r="AL312" s="294">
        <f>IF(NFI_Expiration=1,IF($A312&lt;VLOOKUP(M$5,NFI,5,0),1,0)*Table_NFI[[#This Row],[Winter Blanket]],Table_NFI[[#This Row],[Winter Blanket]])</f>
        <v>0</v>
      </c>
      <c r="AM312" s="294">
        <f>IF(Table_NFI[[#This Row],[Winter Clothes Adult]]+Table_NFI[[#This Row],[Winter Clothes Children]]+Table_NFI[[#This Row],[Winter Items Other]]+Table_NFI[[#This Row],[Winter Blanket]]&gt;0,1,0)</f>
        <v>1</v>
      </c>
      <c r="AN312" s="331">
        <f>IF(NFI_Expiration=1,IF($A312&lt;VLOOKUP(V$5,NFI,5,0),1,0)*Table_NFI[[#This Row],[Jerry Can]],Table_NFI[Jerry Can])</f>
        <v>0</v>
      </c>
      <c r="AO312" s="331">
        <f>IF(NFI_Expiration=1,IF($A312&lt;VLOOKUP(V$5,NFI,5,0),1,0)*Table_NFI[[#This Row],[Shelter Tool kit]],Table_NFI[Shelter Tool kit])</f>
        <v>0</v>
      </c>
      <c r="AP312" s="331">
        <f>IF(NFI_Expiration=1,IF($A312&lt;VLOOKUP(V$5,NFI,5,0),1,0)*Table_NFI[[#This Row],[Tent]],Table_NFI[Tent])</f>
        <v>0</v>
      </c>
      <c r="AQ312" s="473" t="str">
        <f>IFERROR(VLOOKUP(Table_NFI[[#This Row],[Camp Name]],CL,2,0),"")</f>
        <v>MMR001CMP126</v>
      </c>
      <c r="AR312" s="468">
        <f ca="1">IF(Table_NFI[[#This Row],[Pcode]]="","",IF(OFFSET(CampList[Opening Date],MATCH(Table_NFI[[#This Row],[Pcode]],CampList[CP_Pcode],0)-1,0,1,1)&gt;=NFI_Monitor_Date,1,0))</f>
        <v>0</v>
      </c>
      <c r="AS312" s="473" t="str">
        <f>IFERROR(VLOOKUP(Table_NFI[[#This Row],[Camp Name]],CL,3,0),"")</f>
        <v>Open</v>
      </c>
      <c r="AT312" s="294" t="str">
        <f ca="1">IF(Table_NFI[[#This Row],[Pcode]]="","",OFFSET(CampList[Priority],MATCH(Table_NFI[[#This Row],[Pcode]],CampList[CP_Pcode],0)-1,0,1,1))</f>
        <v>P2</v>
      </c>
      <c r="AU312" s="293">
        <f>IFERROR(Table_NFI[[#This Row],[Kitchen Set]]/VLOOKUP(Table_NFI[[#This Row],[Camp Name]],CL,4,0),"")</f>
        <v>0</v>
      </c>
      <c r="AV312" s="466"/>
      <c r="AW312" s="469"/>
    </row>
    <row r="313" spans="1:49" s="470" customFormat="1" ht="14.45" customHeight="1" x14ac:dyDescent="0.25">
      <c r="A313" s="297">
        <f t="shared" si="4"/>
        <v>26.4</v>
      </c>
      <c r="B313" s="465">
        <v>41883</v>
      </c>
      <c r="C313" s="471" t="s">
        <v>1036</v>
      </c>
      <c r="D313" s="471"/>
      <c r="E313" s="471" t="s">
        <v>380</v>
      </c>
      <c r="F313" s="471" t="s">
        <v>310</v>
      </c>
      <c r="G313" s="471" t="s">
        <v>336</v>
      </c>
      <c r="H313" s="292"/>
      <c r="I313" s="292"/>
      <c r="J313" s="292"/>
      <c r="K313" s="292"/>
      <c r="L313" s="292"/>
      <c r="M313" s="292"/>
      <c r="N313" s="292"/>
      <c r="O313" s="292"/>
      <c r="P313" s="294"/>
      <c r="Q313" s="294"/>
      <c r="R313" s="294"/>
      <c r="S313" s="294">
        <v>407</v>
      </c>
      <c r="T313" s="294"/>
      <c r="U313" s="294"/>
      <c r="V313" s="431"/>
      <c r="W313" s="294"/>
      <c r="X313" s="294"/>
      <c r="Y313" s="294">
        <f>IF(NFI_Expiration=1,IF($A313&lt;VLOOKUP(H$5,NFI,5,0),1,0)*Table_NFI[[#This Row],[Hygiene Kit]],Table_NFI[Hygiene Kit])</f>
        <v>0</v>
      </c>
      <c r="Z313" s="294">
        <f>IF(NFI_Expiration=1,IF($A313&lt;VLOOKUP(I$5,NFI,5,0),1,0)*Table_NFI[[#This Row],[NFI Core Kit]],Table_NFI[NFI Core Kit])</f>
        <v>0</v>
      </c>
      <c r="AA313" s="294">
        <f>IF(NFI_Expiration=1,IF($A313&lt;VLOOKUP(J$5,NFI,5,0),1,0)*Table_NFI[[#This Row],[Sanitary Kit]],Table_NFI[Sanitary Kit])</f>
        <v>0</v>
      </c>
      <c r="AB313" s="294">
        <f>IF(NFI_Expiration=1,IF($A313&lt;VLOOKUP(K$5,NFI,5,0),1,0)*Table_NFI[[#This Row],[Mosquito net]],Table_NFI[Mosquito net])</f>
        <v>0</v>
      </c>
      <c r="AC313" s="294">
        <f>IF(NFI_Expiration=1,IF($A313&lt;VLOOKUP(L$5,NFI,5,0),1,0)*Table_NFI[[#This Row],[Tarpaulin]],Table_NFI[[#This Row],[Tarpaulin]])</f>
        <v>0</v>
      </c>
      <c r="AD313" s="294">
        <f>IF(NFI_Expiration=1,IF($A313&lt;VLOOKUP(M$5,NFI,5,0),1,0)*Table_NFI[[#This Row],[Blanket]],Table_NFI[[#This Row],[Blanket]])</f>
        <v>0</v>
      </c>
      <c r="AE313" s="294">
        <f>IF(NFI_Expiration=1,IF($A313&lt;VLOOKUP(N$5,NFI,5,0),1,0)*Table_NFI[[#This Row],[Kitchen Set]],Table_NFI[Kitchen Set])</f>
        <v>0</v>
      </c>
      <c r="AF313" s="294">
        <f>IF(NFI_Expiration=1,IF($A313&lt;VLOOKUP(O$5,NFI,5,0),1,0)*Table_NFI[[#This Row],[Clothes Kit]],Table_NFI[Clothes Kit])</f>
        <v>0</v>
      </c>
      <c r="AG313" s="294">
        <f>IF(NFI_Expiration=1,IF($A313&lt;VLOOKUP(P$5,NFI,5,0),1,0)*Table_NFI[[#This Row],[Plastic Bucket]],Table_NFI[Plastic Bucket])</f>
        <v>0</v>
      </c>
      <c r="AH313" s="294">
        <f>IF(NFI_Expiration=1,IF($A313&lt;VLOOKUP(Q$5,NFI,5,0),1,0)*Table_NFI[[#This Row],[Plastic Mat]],Table_NFI[Plastic Mat])*IF(Table_NFI[[#This Row],[Distribution Date]]&gt;"2014-04-01",1,2.5)</f>
        <v>0</v>
      </c>
      <c r="AI313" s="294">
        <f>IF(NFI_Expiration=1,IF($A313&lt;VLOOKUP(R$5,NFI,5,0),1,0)*Table_NFI[[#This Row],[Winter Clothes Adult]],Table_NFI[Winter Clothes Adult])</f>
        <v>0</v>
      </c>
      <c r="AJ313" s="294">
        <f>IF(NFI_Expiration=1,IF($A313&lt;VLOOKUP(S$5,NFI,5,0),1,0)*Table_NFI[[#This Row],[Winter Clothes Children]],Table_NFI[Winter Clothes Children])</f>
        <v>0</v>
      </c>
      <c r="AK313" s="294">
        <f>IF(NFI_Expiration=1,IF($A313&lt;VLOOKUP(T$5,NFI,5,0),1,0)*Table_NFI[[#This Row],[Winter Items Other]],Table_NFI[Winter Items Other])</f>
        <v>0</v>
      </c>
      <c r="AL313" s="294">
        <f>IF(NFI_Expiration=1,IF($A313&lt;VLOOKUP(M$5,NFI,5,0),1,0)*Table_NFI[[#This Row],[Winter Blanket]],Table_NFI[[#This Row],[Winter Blanket]])</f>
        <v>0</v>
      </c>
      <c r="AM313" s="294">
        <f>IF(Table_NFI[[#This Row],[Winter Clothes Adult]]+Table_NFI[[#This Row],[Winter Clothes Children]]+Table_NFI[[#This Row],[Winter Items Other]]+Table_NFI[[#This Row],[Winter Blanket]]&gt;0,1,0)</f>
        <v>1</v>
      </c>
      <c r="AN313" s="331">
        <f>IF(NFI_Expiration=1,IF($A313&lt;VLOOKUP(V$5,NFI,5,0),1,0)*Table_NFI[[#This Row],[Jerry Can]],Table_NFI[Jerry Can])</f>
        <v>0</v>
      </c>
      <c r="AO313" s="331">
        <f>IF(NFI_Expiration=1,IF($A313&lt;VLOOKUP(V$5,NFI,5,0),1,0)*Table_NFI[[#This Row],[Shelter Tool kit]],Table_NFI[Shelter Tool kit])</f>
        <v>0</v>
      </c>
      <c r="AP313" s="331">
        <f>IF(NFI_Expiration=1,IF($A313&lt;VLOOKUP(V$5,NFI,5,0),1,0)*Table_NFI[[#This Row],[Tent]],Table_NFI[Tent])</f>
        <v>0</v>
      </c>
      <c r="AQ313" s="473" t="str">
        <f>IFERROR(VLOOKUP(Table_NFI[[#This Row],[Camp Name]],CL,2,0),"")</f>
        <v>MMR001CMP115</v>
      </c>
      <c r="AR313" s="468">
        <f ca="1">IF(Table_NFI[[#This Row],[Pcode]]="","",IF(OFFSET(CampList[Opening Date],MATCH(Table_NFI[[#This Row],[Pcode]],CampList[CP_Pcode],0)-1,0,1,1)&gt;=NFI_Monitor_Date,1,0))</f>
        <v>0</v>
      </c>
      <c r="AS313" s="473" t="str">
        <f>IFERROR(VLOOKUP(Table_NFI[[#This Row],[Camp Name]],CL,3,0),"")</f>
        <v>Open</v>
      </c>
      <c r="AT313" s="294" t="str">
        <f ca="1">IF(Table_NFI[[#This Row],[Pcode]]="","",OFFSET(CampList[Priority],MATCH(Table_NFI[[#This Row],[Pcode]],CampList[CP_Pcode],0)-1,0,1,1))</f>
        <v>P1</v>
      </c>
      <c r="AU313" s="293">
        <f>IFERROR(Table_NFI[[#This Row],[Kitchen Set]]/VLOOKUP(Table_NFI[[#This Row],[Camp Name]],CL,4,0),"")</f>
        <v>0</v>
      </c>
      <c r="AV313" s="471"/>
      <c r="AW313" s="474"/>
    </row>
    <row r="314" spans="1:49" s="470" customFormat="1" ht="14.45" customHeight="1" x14ac:dyDescent="0.25">
      <c r="A314" s="297">
        <f t="shared" si="4"/>
        <v>26.4</v>
      </c>
      <c r="B314" s="465">
        <v>41883</v>
      </c>
      <c r="C314" s="471" t="s">
        <v>1036</v>
      </c>
      <c r="D314" s="471"/>
      <c r="E314" s="471" t="s">
        <v>380</v>
      </c>
      <c r="F314" s="471" t="s">
        <v>27</v>
      </c>
      <c r="G314" s="471" t="s">
        <v>364</v>
      </c>
      <c r="H314" s="292"/>
      <c r="I314" s="292"/>
      <c r="J314" s="292"/>
      <c r="K314" s="292"/>
      <c r="L314" s="292"/>
      <c r="M314" s="292"/>
      <c r="N314" s="292"/>
      <c r="O314" s="292"/>
      <c r="P314" s="294"/>
      <c r="Q314" s="294"/>
      <c r="R314" s="294"/>
      <c r="S314" s="294">
        <v>347</v>
      </c>
      <c r="T314" s="294"/>
      <c r="U314" s="294"/>
      <c r="V314" s="431"/>
      <c r="W314" s="294"/>
      <c r="X314" s="294"/>
      <c r="Y314" s="294">
        <f>IF(NFI_Expiration=1,IF($A314&lt;VLOOKUP(H$5,NFI,5,0),1,0)*Table_NFI[[#This Row],[Hygiene Kit]],Table_NFI[Hygiene Kit])</f>
        <v>0</v>
      </c>
      <c r="Z314" s="294">
        <f>IF(NFI_Expiration=1,IF($A314&lt;VLOOKUP(I$5,NFI,5,0),1,0)*Table_NFI[[#This Row],[NFI Core Kit]],Table_NFI[NFI Core Kit])</f>
        <v>0</v>
      </c>
      <c r="AA314" s="294">
        <f>IF(NFI_Expiration=1,IF($A314&lt;VLOOKUP(J$5,NFI,5,0),1,0)*Table_NFI[[#This Row],[Sanitary Kit]],Table_NFI[Sanitary Kit])</f>
        <v>0</v>
      </c>
      <c r="AB314" s="294">
        <f>IF(NFI_Expiration=1,IF($A314&lt;VLOOKUP(K$5,NFI,5,0),1,0)*Table_NFI[[#This Row],[Mosquito net]],Table_NFI[Mosquito net])</f>
        <v>0</v>
      </c>
      <c r="AC314" s="294">
        <f>IF(NFI_Expiration=1,IF($A314&lt;VLOOKUP(L$5,NFI,5,0),1,0)*Table_NFI[[#This Row],[Tarpaulin]],Table_NFI[[#This Row],[Tarpaulin]])</f>
        <v>0</v>
      </c>
      <c r="AD314" s="294">
        <f>IF(NFI_Expiration=1,IF($A314&lt;VLOOKUP(M$5,NFI,5,0),1,0)*Table_NFI[[#This Row],[Blanket]],Table_NFI[[#This Row],[Blanket]])</f>
        <v>0</v>
      </c>
      <c r="AE314" s="294">
        <f>IF(NFI_Expiration=1,IF($A314&lt;VLOOKUP(N$5,NFI,5,0),1,0)*Table_NFI[[#This Row],[Kitchen Set]],Table_NFI[Kitchen Set])</f>
        <v>0</v>
      </c>
      <c r="AF314" s="294">
        <f>IF(NFI_Expiration=1,IF($A314&lt;VLOOKUP(O$5,NFI,5,0),1,0)*Table_NFI[[#This Row],[Clothes Kit]],Table_NFI[Clothes Kit])</f>
        <v>0</v>
      </c>
      <c r="AG314" s="294">
        <f>IF(NFI_Expiration=1,IF($A314&lt;VLOOKUP(P$5,NFI,5,0),1,0)*Table_NFI[[#This Row],[Plastic Bucket]],Table_NFI[Plastic Bucket])</f>
        <v>0</v>
      </c>
      <c r="AH314" s="294">
        <f>IF(NFI_Expiration=1,IF($A314&lt;VLOOKUP(Q$5,NFI,5,0),1,0)*Table_NFI[[#This Row],[Plastic Mat]],Table_NFI[Plastic Mat])*IF(Table_NFI[[#This Row],[Distribution Date]]&gt;"2014-04-01",1,2.5)</f>
        <v>0</v>
      </c>
      <c r="AI314" s="294">
        <f>IF(NFI_Expiration=1,IF($A314&lt;VLOOKUP(R$5,NFI,5,0),1,0)*Table_NFI[[#This Row],[Winter Clothes Adult]],Table_NFI[Winter Clothes Adult])</f>
        <v>0</v>
      </c>
      <c r="AJ314" s="294">
        <f>IF(NFI_Expiration=1,IF($A314&lt;VLOOKUP(S$5,NFI,5,0),1,0)*Table_NFI[[#This Row],[Winter Clothes Children]],Table_NFI[Winter Clothes Children])</f>
        <v>0</v>
      </c>
      <c r="AK314" s="294">
        <f>IF(NFI_Expiration=1,IF($A314&lt;VLOOKUP(T$5,NFI,5,0),1,0)*Table_NFI[[#This Row],[Winter Items Other]],Table_NFI[Winter Items Other])</f>
        <v>0</v>
      </c>
      <c r="AL314" s="294">
        <f>IF(NFI_Expiration=1,IF($A314&lt;VLOOKUP(M$5,NFI,5,0),1,0)*Table_NFI[[#This Row],[Winter Blanket]],Table_NFI[[#This Row],[Winter Blanket]])</f>
        <v>0</v>
      </c>
      <c r="AM314" s="294">
        <f>IF(Table_NFI[[#This Row],[Winter Clothes Adult]]+Table_NFI[[#This Row],[Winter Clothes Children]]+Table_NFI[[#This Row],[Winter Items Other]]+Table_NFI[[#This Row],[Winter Blanket]]&gt;0,1,0)</f>
        <v>1</v>
      </c>
      <c r="AN314" s="331">
        <f>IF(NFI_Expiration=1,IF($A314&lt;VLOOKUP(V$5,NFI,5,0),1,0)*Table_NFI[[#This Row],[Jerry Can]],Table_NFI[Jerry Can])</f>
        <v>0</v>
      </c>
      <c r="AO314" s="331">
        <f>IF(NFI_Expiration=1,IF($A314&lt;VLOOKUP(V$5,NFI,5,0),1,0)*Table_NFI[[#This Row],[Shelter Tool kit]],Table_NFI[Shelter Tool kit])</f>
        <v>0</v>
      </c>
      <c r="AP314" s="331">
        <f>IF(NFI_Expiration=1,IF($A314&lt;VLOOKUP(V$5,NFI,5,0),1,0)*Table_NFI[[#This Row],[Tent]],Table_NFI[Tent])</f>
        <v>0</v>
      </c>
      <c r="AQ314" s="473" t="str">
        <f>IFERROR(VLOOKUP(Table_NFI[[#This Row],[Camp Name]],CL,2,0),"")</f>
        <v>MMR001CMP043</v>
      </c>
      <c r="AR314" s="468">
        <f ca="1">IF(Table_NFI[[#This Row],[Pcode]]="","",IF(OFFSET(CampList[Opening Date],MATCH(Table_NFI[[#This Row],[Pcode]],CampList[CP_Pcode],0)-1,0,1,1)&gt;=NFI_Monitor_Date,1,0))</f>
        <v>0</v>
      </c>
      <c r="AS314" s="473" t="str">
        <f>IFERROR(VLOOKUP(Table_NFI[[#This Row],[Camp Name]],CL,3,0),"")</f>
        <v>Open</v>
      </c>
      <c r="AT314" s="294" t="str">
        <f ca="1">IF(Table_NFI[[#This Row],[Pcode]]="","",OFFSET(CampList[Priority],MATCH(Table_NFI[[#This Row],[Pcode]],CampList[CP_Pcode],0)-1,0,1,1))</f>
        <v>P1</v>
      </c>
      <c r="AU314" s="293">
        <f>IFERROR(Table_NFI[[#This Row],[Kitchen Set]]/VLOOKUP(Table_NFI[[#This Row],[Camp Name]],CL,4,0),"")</f>
        <v>0</v>
      </c>
      <c r="AV314" s="471"/>
      <c r="AW314" s="474"/>
    </row>
    <row r="315" spans="1:49" s="470" customFormat="1" ht="14.45" customHeight="1" x14ac:dyDescent="0.25">
      <c r="A315" s="297">
        <f t="shared" si="4"/>
        <v>26.4</v>
      </c>
      <c r="B315" s="465">
        <v>41883</v>
      </c>
      <c r="C315" s="471" t="s">
        <v>1036</v>
      </c>
      <c r="D315" s="471"/>
      <c r="E315" s="471" t="s">
        <v>380</v>
      </c>
      <c r="F315" s="471" t="s">
        <v>310</v>
      </c>
      <c r="G315" s="471" t="s">
        <v>322</v>
      </c>
      <c r="H315" s="292"/>
      <c r="I315" s="292"/>
      <c r="J315" s="292"/>
      <c r="K315" s="292"/>
      <c r="L315" s="292"/>
      <c r="M315" s="292"/>
      <c r="N315" s="292"/>
      <c r="O315" s="292"/>
      <c r="P315" s="294"/>
      <c r="Q315" s="294"/>
      <c r="R315" s="294"/>
      <c r="S315" s="294">
        <v>917</v>
      </c>
      <c r="T315" s="294"/>
      <c r="U315" s="294"/>
      <c r="V315" s="431"/>
      <c r="W315" s="294"/>
      <c r="X315" s="294"/>
      <c r="Y315" s="294">
        <f>IF(NFI_Expiration=1,IF($A315&lt;VLOOKUP(H$5,NFI,5,0),1,0)*Table_NFI[[#This Row],[Hygiene Kit]],Table_NFI[Hygiene Kit])</f>
        <v>0</v>
      </c>
      <c r="Z315" s="294">
        <f>IF(NFI_Expiration=1,IF($A315&lt;VLOOKUP(I$5,NFI,5,0),1,0)*Table_NFI[[#This Row],[NFI Core Kit]],Table_NFI[NFI Core Kit])</f>
        <v>0</v>
      </c>
      <c r="AA315" s="294">
        <f>IF(NFI_Expiration=1,IF($A315&lt;VLOOKUP(J$5,NFI,5,0),1,0)*Table_NFI[[#This Row],[Sanitary Kit]],Table_NFI[Sanitary Kit])</f>
        <v>0</v>
      </c>
      <c r="AB315" s="294">
        <f>IF(NFI_Expiration=1,IF($A315&lt;VLOOKUP(K$5,NFI,5,0),1,0)*Table_NFI[[#This Row],[Mosquito net]],Table_NFI[Mosquito net])</f>
        <v>0</v>
      </c>
      <c r="AC315" s="294">
        <f>IF(NFI_Expiration=1,IF($A315&lt;VLOOKUP(L$5,NFI,5,0),1,0)*Table_NFI[[#This Row],[Tarpaulin]],Table_NFI[[#This Row],[Tarpaulin]])</f>
        <v>0</v>
      </c>
      <c r="AD315" s="294">
        <f>IF(NFI_Expiration=1,IF($A315&lt;VLOOKUP(M$5,NFI,5,0),1,0)*Table_NFI[[#This Row],[Blanket]],Table_NFI[[#This Row],[Blanket]])</f>
        <v>0</v>
      </c>
      <c r="AE315" s="294">
        <f>IF(NFI_Expiration=1,IF($A315&lt;VLOOKUP(N$5,NFI,5,0),1,0)*Table_NFI[[#This Row],[Kitchen Set]],Table_NFI[Kitchen Set])</f>
        <v>0</v>
      </c>
      <c r="AF315" s="294">
        <f>IF(NFI_Expiration=1,IF($A315&lt;VLOOKUP(O$5,NFI,5,0),1,0)*Table_NFI[[#This Row],[Clothes Kit]],Table_NFI[Clothes Kit])</f>
        <v>0</v>
      </c>
      <c r="AG315" s="294">
        <f>IF(NFI_Expiration=1,IF($A315&lt;VLOOKUP(P$5,NFI,5,0),1,0)*Table_NFI[[#This Row],[Plastic Bucket]],Table_NFI[Plastic Bucket])</f>
        <v>0</v>
      </c>
      <c r="AH315" s="294">
        <f>IF(NFI_Expiration=1,IF($A315&lt;VLOOKUP(Q$5,NFI,5,0),1,0)*Table_NFI[[#This Row],[Plastic Mat]],Table_NFI[Plastic Mat])*IF(Table_NFI[[#This Row],[Distribution Date]]&gt;"2014-04-01",1,2.5)</f>
        <v>0</v>
      </c>
      <c r="AI315" s="294">
        <f>IF(NFI_Expiration=1,IF($A315&lt;VLOOKUP(R$5,NFI,5,0),1,0)*Table_NFI[[#This Row],[Winter Clothes Adult]],Table_NFI[Winter Clothes Adult])</f>
        <v>0</v>
      </c>
      <c r="AJ315" s="294">
        <f>IF(NFI_Expiration=1,IF($A315&lt;VLOOKUP(S$5,NFI,5,0),1,0)*Table_NFI[[#This Row],[Winter Clothes Children]],Table_NFI[Winter Clothes Children])</f>
        <v>0</v>
      </c>
      <c r="AK315" s="294">
        <f>IF(NFI_Expiration=1,IF($A315&lt;VLOOKUP(T$5,NFI,5,0),1,0)*Table_NFI[[#This Row],[Winter Items Other]],Table_NFI[Winter Items Other])</f>
        <v>0</v>
      </c>
      <c r="AL315" s="294">
        <f>IF(NFI_Expiration=1,IF($A315&lt;VLOOKUP(M$5,NFI,5,0),1,0)*Table_NFI[[#This Row],[Winter Blanket]],Table_NFI[[#This Row],[Winter Blanket]])</f>
        <v>0</v>
      </c>
      <c r="AM315" s="294">
        <f>IF(Table_NFI[[#This Row],[Winter Clothes Adult]]+Table_NFI[[#This Row],[Winter Clothes Children]]+Table_NFI[[#This Row],[Winter Items Other]]+Table_NFI[[#This Row],[Winter Blanket]]&gt;0,1,0)</f>
        <v>1</v>
      </c>
      <c r="AN315" s="331">
        <f>IF(NFI_Expiration=1,IF($A315&lt;VLOOKUP(V$5,NFI,5,0),1,0)*Table_NFI[[#This Row],[Jerry Can]],Table_NFI[Jerry Can])</f>
        <v>0</v>
      </c>
      <c r="AO315" s="331">
        <f>IF(NFI_Expiration=1,IF($A315&lt;VLOOKUP(V$5,NFI,5,0),1,0)*Table_NFI[[#This Row],[Shelter Tool kit]],Table_NFI[Shelter Tool kit])</f>
        <v>0</v>
      </c>
      <c r="AP315" s="331">
        <f>IF(NFI_Expiration=1,IF($A315&lt;VLOOKUP(V$5,NFI,5,0),1,0)*Table_NFI[[#This Row],[Tent]],Table_NFI[Tent])</f>
        <v>0</v>
      </c>
      <c r="AQ315" s="473" t="str">
        <f>IFERROR(VLOOKUP(Table_NFI[[#This Row],[Camp Name]],CL,2,0),"")</f>
        <v>MMR001CMP119</v>
      </c>
      <c r="AR315" s="468">
        <f ca="1">IF(Table_NFI[[#This Row],[Pcode]]="","",IF(OFFSET(CampList[Opening Date],MATCH(Table_NFI[[#This Row],[Pcode]],CampList[CP_Pcode],0)-1,0,1,1)&gt;=NFI_Monitor_Date,1,0))</f>
        <v>0</v>
      </c>
      <c r="AS315" s="473" t="str">
        <f>IFERROR(VLOOKUP(Table_NFI[[#This Row],[Camp Name]],CL,3,0),"")</f>
        <v>Open</v>
      </c>
      <c r="AT315" s="294" t="str">
        <f ca="1">IF(Table_NFI[[#This Row],[Pcode]]="","",OFFSET(CampList[Priority],MATCH(Table_NFI[[#This Row],[Pcode]],CampList[CP_Pcode],0)-1,0,1,1))</f>
        <v>P2</v>
      </c>
      <c r="AU315" s="293">
        <f>IFERROR(Table_NFI[[#This Row],[Kitchen Set]]/VLOOKUP(Table_NFI[[#This Row],[Camp Name]],CL,4,0),"")</f>
        <v>0</v>
      </c>
      <c r="AV315" s="471"/>
      <c r="AW315" s="474"/>
    </row>
    <row r="316" spans="1:49" s="470" customFormat="1" ht="14.45" customHeight="1" x14ac:dyDescent="0.25">
      <c r="A316" s="297">
        <f t="shared" si="4"/>
        <v>26.4</v>
      </c>
      <c r="B316" s="465">
        <v>41883</v>
      </c>
      <c r="C316" s="471" t="s">
        <v>1036</v>
      </c>
      <c r="D316" s="471"/>
      <c r="E316" s="471" t="s">
        <v>380</v>
      </c>
      <c r="F316" s="471" t="s">
        <v>310</v>
      </c>
      <c r="G316" s="471" t="s">
        <v>1243</v>
      </c>
      <c r="H316" s="292"/>
      <c r="I316" s="292"/>
      <c r="J316" s="292"/>
      <c r="K316" s="292"/>
      <c r="L316" s="292"/>
      <c r="M316" s="292"/>
      <c r="N316" s="292"/>
      <c r="O316" s="292"/>
      <c r="P316" s="294"/>
      <c r="Q316" s="294"/>
      <c r="R316" s="294"/>
      <c r="S316" s="294">
        <v>291</v>
      </c>
      <c r="T316" s="294"/>
      <c r="U316" s="294"/>
      <c r="V316" s="431"/>
      <c r="W316" s="294"/>
      <c r="X316" s="294"/>
      <c r="Y316" s="294">
        <f>IF(NFI_Expiration=1,IF($A316&lt;VLOOKUP(H$5,NFI,5,0),1,0)*Table_NFI[[#This Row],[Hygiene Kit]],Table_NFI[Hygiene Kit])</f>
        <v>0</v>
      </c>
      <c r="Z316" s="294">
        <f>IF(NFI_Expiration=1,IF($A316&lt;VLOOKUP(I$5,NFI,5,0),1,0)*Table_NFI[[#This Row],[NFI Core Kit]],Table_NFI[NFI Core Kit])</f>
        <v>0</v>
      </c>
      <c r="AA316" s="294">
        <f>IF(NFI_Expiration=1,IF($A316&lt;VLOOKUP(J$5,NFI,5,0),1,0)*Table_NFI[[#This Row],[Sanitary Kit]],Table_NFI[Sanitary Kit])</f>
        <v>0</v>
      </c>
      <c r="AB316" s="294">
        <f>IF(NFI_Expiration=1,IF($A316&lt;VLOOKUP(K$5,NFI,5,0),1,0)*Table_NFI[[#This Row],[Mosquito net]],Table_NFI[Mosquito net])</f>
        <v>0</v>
      </c>
      <c r="AC316" s="294">
        <f>IF(NFI_Expiration=1,IF($A316&lt;VLOOKUP(L$5,NFI,5,0),1,0)*Table_NFI[[#This Row],[Tarpaulin]],Table_NFI[[#This Row],[Tarpaulin]])</f>
        <v>0</v>
      </c>
      <c r="AD316" s="294">
        <f>IF(NFI_Expiration=1,IF($A316&lt;VLOOKUP(M$5,NFI,5,0),1,0)*Table_NFI[[#This Row],[Blanket]],Table_NFI[[#This Row],[Blanket]])</f>
        <v>0</v>
      </c>
      <c r="AE316" s="294">
        <f>IF(NFI_Expiration=1,IF($A316&lt;VLOOKUP(N$5,NFI,5,0),1,0)*Table_NFI[[#This Row],[Kitchen Set]],Table_NFI[Kitchen Set])</f>
        <v>0</v>
      </c>
      <c r="AF316" s="294">
        <f>IF(NFI_Expiration=1,IF($A316&lt;VLOOKUP(O$5,NFI,5,0),1,0)*Table_NFI[[#This Row],[Clothes Kit]],Table_NFI[Clothes Kit])</f>
        <v>0</v>
      </c>
      <c r="AG316" s="294">
        <f>IF(NFI_Expiration=1,IF($A316&lt;VLOOKUP(P$5,NFI,5,0),1,0)*Table_NFI[[#This Row],[Plastic Bucket]],Table_NFI[Plastic Bucket])</f>
        <v>0</v>
      </c>
      <c r="AH316" s="294">
        <f>IF(NFI_Expiration=1,IF($A316&lt;VLOOKUP(Q$5,NFI,5,0),1,0)*Table_NFI[[#This Row],[Plastic Mat]],Table_NFI[Plastic Mat])*IF(Table_NFI[[#This Row],[Distribution Date]]&gt;"2014-04-01",1,2.5)</f>
        <v>0</v>
      </c>
      <c r="AI316" s="294">
        <f>IF(NFI_Expiration=1,IF($A316&lt;VLOOKUP(R$5,NFI,5,0),1,0)*Table_NFI[[#This Row],[Winter Clothes Adult]],Table_NFI[Winter Clothes Adult])</f>
        <v>0</v>
      </c>
      <c r="AJ316" s="294">
        <f>IF(NFI_Expiration=1,IF($A316&lt;VLOOKUP(S$5,NFI,5,0),1,0)*Table_NFI[[#This Row],[Winter Clothes Children]],Table_NFI[Winter Clothes Children])</f>
        <v>0</v>
      </c>
      <c r="AK316" s="294">
        <f>IF(NFI_Expiration=1,IF($A316&lt;VLOOKUP(T$5,NFI,5,0),1,0)*Table_NFI[[#This Row],[Winter Items Other]],Table_NFI[Winter Items Other])</f>
        <v>0</v>
      </c>
      <c r="AL316" s="294">
        <f>IF(NFI_Expiration=1,IF($A316&lt;VLOOKUP(M$5,NFI,5,0),1,0)*Table_NFI[[#This Row],[Winter Blanket]],Table_NFI[[#This Row],[Winter Blanket]])</f>
        <v>0</v>
      </c>
      <c r="AM316" s="294">
        <f>IF(Table_NFI[[#This Row],[Winter Clothes Adult]]+Table_NFI[[#This Row],[Winter Clothes Children]]+Table_NFI[[#This Row],[Winter Items Other]]+Table_NFI[[#This Row],[Winter Blanket]]&gt;0,1,0)</f>
        <v>1</v>
      </c>
      <c r="AN316" s="331">
        <f>IF(NFI_Expiration=1,IF($A316&lt;VLOOKUP(V$5,NFI,5,0),1,0)*Table_NFI[[#This Row],[Jerry Can]],Table_NFI[Jerry Can])</f>
        <v>0</v>
      </c>
      <c r="AO316" s="331">
        <f>IF(NFI_Expiration=1,IF($A316&lt;VLOOKUP(V$5,NFI,5,0),1,0)*Table_NFI[[#This Row],[Shelter Tool kit]],Table_NFI[Shelter Tool kit])</f>
        <v>0</v>
      </c>
      <c r="AP316" s="331">
        <f>IF(NFI_Expiration=1,IF($A316&lt;VLOOKUP(V$5,NFI,5,0),1,0)*Table_NFI[[#This Row],[Tent]],Table_NFI[Tent])</f>
        <v>0</v>
      </c>
      <c r="AQ316" s="473" t="str">
        <f>IFERROR(VLOOKUP(Table_NFI[[#This Row],[Camp Name]],CL,2,0),"")</f>
        <v>MMR001CMP120</v>
      </c>
      <c r="AR316" s="468">
        <f ca="1">IF(Table_NFI[[#This Row],[Pcode]]="","",IF(OFFSET(CampList[Opening Date],MATCH(Table_NFI[[#This Row],[Pcode]],CampList[CP_Pcode],0)-1,0,1,1)&gt;=NFI_Monitor_Date,1,0))</f>
        <v>0</v>
      </c>
      <c r="AS316" s="473" t="str">
        <f>IFERROR(VLOOKUP(Table_NFI[[#This Row],[Camp Name]],CL,3,0),"")</f>
        <v>Open</v>
      </c>
      <c r="AT316" s="294" t="str">
        <f ca="1">IF(Table_NFI[[#This Row],[Pcode]]="","",OFFSET(CampList[Priority],MATCH(Table_NFI[[#This Row],[Pcode]],CampList[CP_Pcode],0)-1,0,1,1))</f>
        <v>P1</v>
      </c>
      <c r="AU316" s="293">
        <f>IFERROR(Table_NFI[[#This Row],[Kitchen Set]]/VLOOKUP(Table_NFI[[#This Row],[Camp Name]],CL,4,0),"")</f>
        <v>0</v>
      </c>
      <c r="AV316" s="471"/>
      <c r="AW316" s="474"/>
    </row>
    <row r="317" spans="1:49" s="470" customFormat="1" ht="14.45" customHeight="1" x14ac:dyDescent="0.25">
      <c r="A317" s="297">
        <f t="shared" si="4"/>
        <v>26.4</v>
      </c>
      <c r="B317" s="465">
        <v>41883</v>
      </c>
      <c r="C317" s="471" t="s">
        <v>1036</v>
      </c>
      <c r="D317" s="471"/>
      <c r="E317" s="471" t="s">
        <v>380</v>
      </c>
      <c r="F317" s="471" t="s">
        <v>310</v>
      </c>
      <c r="G317" s="471" t="s">
        <v>347</v>
      </c>
      <c r="H317" s="292"/>
      <c r="I317" s="292"/>
      <c r="J317" s="292"/>
      <c r="K317" s="292"/>
      <c r="L317" s="292"/>
      <c r="M317" s="292"/>
      <c r="N317" s="292"/>
      <c r="O317" s="292"/>
      <c r="P317" s="294"/>
      <c r="Q317" s="294"/>
      <c r="R317" s="294"/>
      <c r="S317" s="294">
        <v>288</v>
      </c>
      <c r="T317" s="294"/>
      <c r="U317" s="294"/>
      <c r="V317" s="431"/>
      <c r="W317" s="294"/>
      <c r="X317" s="294"/>
      <c r="Y317" s="294">
        <f>IF(NFI_Expiration=1,IF($A317&lt;VLOOKUP(H$5,NFI,5,0),1,0)*Table_NFI[[#This Row],[Hygiene Kit]],Table_NFI[Hygiene Kit])</f>
        <v>0</v>
      </c>
      <c r="Z317" s="294">
        <f>IF(NFI_Expiration=1,IF($A317&lt;VLOOKUP(I$5,NFI,5,0),1,0)*Table_NFI[[#This Row],[NFI Core Kit]],Table_NFI[NFI Core Kit])</f>
        <v>0</v>
      </c>
      <c r="AA317" s="294">
        <f>IF(NFI_Expiration=1,IF($A317&lt;VLOOKUP(J$5,NFI,5,0),1,0)*Table_NFI[[#This Row],[Sanitary Kit]],Table_NFI[Sanitary Kit])</f>
        <v>0</v>
      </c>
      <c r="AB317" s="294">
        <f>IF(NFI_Expiration=1,IF($A317&lt;VLOOKUP(K$5,NFI,5,0),1,0)*Table_NFI[[#This Row],[Mosquito net]],Table_NFI[Mosquito net])</f>
        <v>0</v>
      </c>
      <c r="AC317" s="294">
        <f>IF(NFI_Expiration=1,IF($A317&lt;VLOOKUP(L$5,NFI,5,0),1,0)*Table_NFI[[#This Row],[Tarpaulin]],Table_NFI[[#This Row],[Tarpaulin]])</f>
        <v>0</v>
      </c>
      <c r="AD317" s="294">
        <f>IF(NFI_Expiration=1,IF($A317&lt;VLOOKUP(M$5,NFI,5,0),1,0)*Table_NFI[[#This Row],[Blanket]],Table_NFI[[#This Row],[Blanket]])</f>
        <v>0</v>
      </c>
      <c r="AE317" s="294">
        <f>IF(NFI_Expiration=1,IF($A317&lt;VLOOKUP(N$5,NFI,5,0),1,0)*Table_NFI[[#This Row],[Kitchen Set]],Table_NFI[Kitchen Set])</f>
        <v>0</v>
      </c>
      <c r="AF317" s="294">
        <f>IF(NFI_Expiration=1,IF($A317&lt;VLOOKUP(O$5,NFI,5,0),1,0)*Table_NFI[[#This Row],[Clothes Kit]],Table_NFI[Clothes Kit])</f>
        <v>0</v>
      </c>
      <c r="AG317" s="294">
        <f>IF(NFI_Expiration=1,IF($A317&lt;VLOOKUP(P$5,NFI,5,0),1,0)*Table_NFI[[#This Row],[Plastic Bucket]],Table_NFI[Plastic Bucket])</f>
        <v>0</v>
      </c>
      <c r="AH317" s="294">
        <f>IF(NFI_Expiration=1,IF($A317&lt;VLOOKUP(Q$5,NFI,5,0),1,0)*Table_NFI[[#This Row],[Plastic Mat]],Table_NFI[Plastic Mat])*IF(Table_NFI[[#This Row],[Distribution Date]]&gt;"2014-04-01",1,2.5)</f>
        <v>0</v>
      </c>
      <c r="AI317" s="294">
        <f>IF(NFI_Expiration=1,IF($A317&lt;VLOOKUP(R$5,NFI,5,0),1,0)*Table_NFI[[#This Row],[Winter Clothes Adult]],Table_NFI[Winter Clothes Adult])</f>
        <v>0</v>
      </c>
      <c r="AJ317" s="294">
        <f>IF(NFI_Expiration=1,IF($A317&lt;VLOOKUP(S$5,NFI,5,0),1,0)*Table_NFI[[#This Row],[Winter Clothes Children]],Table_NFI[Winter Clothes Children])</f>
        <v>0</v>
      </c>
      <c r="AK317" s="294">
        <f>IF(NFI_Expiration=1,IF($A317&lt;VLOOKUP(T$5,NFI,5,0),1,0)*Table_NFI[[#This Row],[Winter Items Other]],Table_NFI[Winter Items Other])</f>
        <v>0</v>
      </c>
      <c r="AL317" s="294">
        <f>IF(NFI_Expiration=1,IF($A317&lt;VLOOKUP(M$5,NFI,5,0),1,0)*Table_NFI[[#This Row],[Winter Blanket]],Table_NFI[[#This Row],[Winter Blanket]])</f>
        <v>0</v>
      </c>
      <c r="AM317" s="294">
        <f>IF(Table_NFI[[#This Row],[Winter Clothes Adult]]+Table_NFI[[#This Row],[Winter Clothes Children]]+Table_NFI[[#This Row],[Winter Items Other]]+Table_NFI[[#This Row],[Winter Blanket]]&gt;0,1,0)</f>
        <v>1</v>
      </c>
      <c r="AN317" s="331">
        <f>IF(NFI_Expiration=1,IF($A317&lt;VLOOKUP(V$5,NFI,5,0),1,0)*Table_NFI[[#This Row],[Jerry Can]],Table_NFI[Jerry Can])</f>
        <v>0</v>
      </c>
      <c r="AO317" s="331">
        <f>IF(NFI_Expiration=1,IF($A317&lt;VLOOKUP(V$5,NFI,5,0),1,0)*Table_NFI[[#This Row],[Shelter Tool kit]],Table_NFI[Shelter Tool kit])</f>
        <v>0</v>
      </c>
      <c r="AP317" s="331">
        <f>IF(NFI_Expiration=1,IF($A317&lt;VLOOKUP(V$5,NFI,5,0),1,0)*Table_NFI[[#This Row],[Tent]],Table_NFI[Tent])</f>
        <v>0</v>
      </c>
      <c r="AQ317" s="473" t="str">
        <f>IFERROR(VLOOKUP(Table_NFI[[#This Row],[Camp Name]],CL,2,0),"")</f>
        <v>MMR001CMP041</v>
      </c>
      <c r="AR317" s="468">
        <f ca="1">IF(Table_NFI[[#This Row],[Pcode]]="","",IF(OFFSET(CampList[Opening Date],MATCH(Table_NFI[[#This Row],[Pcode]],CampList[CP_Pcode],0)-1,0,1,1)&gt;=NFI_Monitor_Date,1,0))</f>
        <v>0</v>
      </c>
      <c r="AS317" s="473" t="str">
        <f>IFERROR(VLOOKUP(Table_NFI[[#This Row],[Camp Name]],CL,3,0),"")</f>
        <v>Open</v>
      </c>
      <c r="AT317" s="294" t="str">
        <f ca="1">IF(Table_NFI[[#This Row],[Pcode]]="","",OFFSET(CampList[Priority],MATCH(Table_NFI[[#This Row],[Pcode]],CampList[CP_Pcode],0)-1,0,1,1))</f>
        <v>P1</v>
      </c>
      <c r="AU317" s="293">
        <f>IFERROR(Table_NFI[[#This Row],[Kitchen Set]]/VLOOKUP(Table_NFI[[#This Row],[Camp Name]],CL,4,0),"")</f>
        <v>0</v>
      </c>
      <c r="AV317" s="471"/>
      <c r="AW317" s="474"/>
    </row>
    <row r="318" spans="1:49" s="470" customFormat="1" ht="14.45" customHeight="1" x14ac:dyDescent="0.25">
      <c r="A318" s="297">
        <f t="shared" si="4"/>
        <v>26.4</v>
      </c>
      <c r="B318" s="465">
        <v>41883</v>
      </c>
      <c r="C318" s="471" t="s">
        <v>1036</v>
      </c>
      <c r="D318" s="471"/>
      <c r="E318" s="471" t="s">
        <v>380</v>
      </c>
      <c r="F318" s="471" t="s">
        <v>310</v>
      </c>
      <c r="G318" s="471" t="s">
        <v>1245</v>
      </c>
      <c r="H318" s="292"/>
      <c r="I318" s="292"/>
      <c r="J318" s="292"/>
      <c r="K318" s="292"/>
      <c r="L318" s="292"/>
      <c r="M318" s="292"/>
      <c r="N318" s="292"/>
      <c r="O318" s="292"/>
      <c r="P318" s="294"/>
      <c r="Q318" s="294"/>
      <c r="R318" s="294"/>
      <c r="S318" s="294">
        <v>905</v>
      </c>
      <c r="T318" s="294"/>
      <c r="U318" s="294"/>
      <c r="V318" s="431"/>
      <c r="W318" s="294"/>
      <c r="X318" s="294"/>
      <c r="Y318" s="294">
        <f>IF(NFI_Expiration=1,IF($A318&lt;VLOOKUP(H$5,NFI,5,0),1,0)*Table_NFI[[#This Row],[Hygiene Kit]],Table_NFI[Hygiene Kit])</f>
        <v>0</v>
      </c>
      <c r="Z318" s="294">
        <f>IF(NFI_Expiration=1,IF($A318&lt;VLOOKUP(I$5,NFI,5,0),1,0)*Table_NFI[[#This Row],[NFI Core Kit]],Table_NFI[NFI Core Kit])</f>
        <v>0</v>
      </c>
      <c r="AA318" s="294">
        <f>IF(NFI_Expiration=1,IF($A318&lt;VLOOKUP(J$5,NFI,5,0),1,0)*Table_NFI[[#This Row],[Sanitary Kit]],Table_NFI[Sanitary Kit])</f>
        <v>0</v>
      </c>
      <c r="AB318" s="294">
        <f>IF(NFI_Expiration=1,IF($A318&lt;VLOOKUP(K$5,NFI,5,0),1,0)*Table_NFI[[#This Row],[Mosquito net]],Table_NFI[Mosquito net])</f>
        <v>0</v>
      </c>
      <c r="AC318" s="294">
        <f>IF(NFI_Expiration=1,IF($A318&lt;VLOOKUP(L$5,NFI,5,0),1,0)*Table_NFI[[#This Row],[Tarpaulin]],Table_NFI[[#This Row],[Tarpaulin]])</f>
        <v>0</v>
      </c>
      <c r="AD318" s="294">
        <f>IF(NFI_Expiration=1,IF($A318&lt;VLOOKUP(M$5,NFI,5,0),1,0)*Table_NFI[[#This Row],[Blanket]],Table_NFI[[#This Row],[Blanket]])</f>
        <v>0</v>
      </c>
      <c r="AE318" s="294">
        <f>IF(NFI_Expiration=1,IF($A318&lt;VLOOKUP(N$5,NFI,5,0),1,0)*Table_NFI[[#This Row],[Kitchen Set]],Table_NFI[Kitchen Set])</f>
        <v>0</v>
      </c>
      <c r="AF318" s="294">
        <f>IF(NFI_Expiration=1,IF($A318&lt;VLOOKUP(O$5,NFI,5,0),1,0)*Table_NFI[[#This Row],[Clothes Kit]],Table_NFI[Clothes Kit])</f>
        <v>0</v>
      </c>
      <c r="AG318" s="294">
        <f>IF(NFI_Expiration=1,IF($A318&lt;VLOOKUP(P$5,NFI,5,0),1,0)*Table_NFI[[#This Row],[Plastic Bucket]],Table_NFI[Plastic Bucket])</f>
        <v>0</v>
      </c>
      <c r="AH318" s="294">
        <f>IF(NFI_Expiration=1,IF($A318&lt;VLOOKUP(Q$5,NFI,5,0),1,0)*Table_NFI[[#This Row],[Plastic Mat]],Table_NFI[Plastic Mat])*IF(Table_NFI[[#This Row],[Distribution Date]]&gt;"2014-04-01",1,2.5)</f>
        <v>0</v>
      </c>
      <c r="AI318" s="294">
        <f>IF(NFI_Expiration=1,IF($A318&lt;VLOOKUP(R$5,NFI,5,0),1,0)*Table_NFI[[#This Row],[Winter Clothes Adult]],Table_NFI[Winter Clothes Adult])</f>
        <v>0</v>
      </c>
      <c r="AJ318" s="294">
        <f>IF(NFI_Expiration=1,IF($A318&lt;VLOOKUP(S$5,NFI,5,0),1,0)*Table_NFI[[#This Row],[Winter Clothes Children]],Table_NFI[Winter Clothes Children])</f>
        <v>0</v>
      </c>
      <c r="AK318" s="294">
        <f>IF(NFI_Expiration=1,IF($A318&lt;VLOOKUP(T$5,NFI,5,0),1,0)*Table_NFI[[#This Row],[Winter Items Other]],Table_NFI[Winter Items Other])</f>
        <v>0</v>
      </c>
      <c r="AL318" s="294">
        <f>IF(NFI_Expiration=1,IF($A318&lt;VLOOKUP(M$5,NFI,5,0),1,0)*Table_NFI[[#This Row],[Winter Blanket]],Table_NFI[[#This Row],[Winter Blanket]])</f>
        <v>0</v>
      </c>
      <c r="AM318" s="294">
        <f>IF(Table_NFI[[#This Row],[Winter Clothes Adult]]+Table_NFI[[#This Row],[Winter Clothes Children]]+Table_NFI[[#This Row],[Winter Items Other]]+Table_NFI[[#This Row],[Winter Blanket]]&gt;0,1,0)</f>
        <v>1</v>
      </c>
      <c r="AN318" s="331">
        <f>IF(NFI_Expiration=1,IF($A318&lt;VLOOKUP(V$5,NFI,5,0),1,0)*Table_NFI[[#This Row],[Jerry Can]],Table_NFI[Jerry Can])</f>
        <v>0</v>
      </c>
      <c r="AO318" s="331">
        <f>IF(NFI_Expiration=1,IF($A318&lt;VLOOKUP(V$5,NFI,5,0),1,0)*Table_NFI[[#This Row],[Shelter Tool kit]],Table_NFI[Shelter Tool kit])</f>
        <v>0</v>
      </c>
      <c r="AP318" s="331">
        <f>IF(NFI_Expiration=1,IF($A318&lt;VLOOKUP(V$5,NFI,5,0),1,0)*Table_NFI[[#This Row],[Tent]],Table_NFI[Tent])</f>
        <v>0</v>
      </c>
      <c r="AQ318" s="473" t="str">
        <f>IFERROR(VLOOKUP(Table_NFI[[#This Row],[Camp Name]],CL,2,0),"")</f>
        <v>MMR001CMP111</v>
      </c>
      <c r="AR318" s="468">
        <f ca="1">IF(Table_NFI[[#This Row],[Pcode]]="","",IF(OFFSET(CampList[Opening Date],MATCH(Table_NFI[[#This Row],[Pcode]],CampList[CP_Pcode],0)-1,0,1,1)&gt;=NFI_Monitor_Date,1,0))</f>
        <v>0</v>
      </c>
      <c r="AS318" s="473" t="str">
        <f>IFERROR(VLOOKUP(Table_NFI[[#This Row],[Camp Name]],CL,3,0),"")</f>
        <v>Open</v>
      </c>
      <c r="AT318" s="294" t="str">
        <f ca="1">IF(Table_NFI[[#This Row],[Pcode]]="","",OFFSET(CampList[Priority],MATCH(Table_NFI[[#This Row],[Pcode]],CampList[CP_Pcode],0)-1,0,1,1))</f>
        <v>P2</v>
      </c>
      <c r="AU318" s="293">
        <f>IFERROR(Table_NFI[[#This Row],[Kitchen Set]]/VLOOKUP(Table_NFI[[#This Row],[Camp Name]],CL,4,0),"")</f>
        <v>0</v>
      </c>
      <c r="AV318" s="471"/>
      <c r="AW318" s="474"/>
    </row>
    <row r="319" spans="1:49" s="470" customFormat="1" ht="14.45" customHeight="1" x14ac:dyDescent="0.25">
      <c r="A319" s="297">
        <f t="shared" si="4"/>
        <v>26.866666666666667</v>
      </c>
      <c r="B319" s="465">
        <v>41869</v>
      </c>
      <c r="C319" s="466" t="s">
        <v>452</v>
      </c>
      <c r="D319" s="466"/>
      <c r="E319" s="466" t="s">
        <v>380</v>
      </c>
      <c r="F319" s="290" t="s">
        <v>151</v>
      </c>
      <c r="G319" s="466" t="s">
        <v>1034</v>
      </c>
      <c r="H319" s="291"/>
      <c r="I319" s="291"/>
      <c r="J319" s="291"/>
      <c r="K319" s="291"/>
      <c r="L319" s="292">
        <v>70</v>
      </c>
      <c r="M319" s="292"/>
      <c r="N319" s="292"/>
      <c r="O319" s="292"/>
      <c r="P319" s="294"/>
      <c r="Q319" s="294"/>
      <c r="R319" s="294"/>
      <c r="S319" s="294"/>
      <c r="T319" s="294"/>
      <c r="U319" s="294"/>
      <c r="V319" s="431"/>
      <c r="W319" s="294"/>
      <c r="X319" s="294"/>
      <c r="Y319" s="294">
        <f>IF(NFI_Expiration=1,IF($A319&lt;VLOOKUP(H$5,NFI,5,0),1,0)*Table_NFI[[#This Row],[Hygiene Kit]],Table_NFI[Hygiene Kit])</f>
        <v>0</v>
      </c>
      <c r="Z319" s="294">
        <f>IF(NFI_Expiration=1,IF($A319&lt;VLOOKUP(I$5,NFI,5,0),1,0)*Table_NFI[[#This Row],[NFI Core Kit]],Table_NFI[NFI Core Kit])</f>
        <v>0</v>
      </c>
      <c r="AA319" s="294">
        <f>IF(NFI_Expiration=1,IF($A319&lt;VLOOKUP(J$5,NFI,5,0),1,0)*Table_NFI[[#This Row],[Sanitary Kit]],Table_NFI[Sanitary Kit])</f>
        <v>0</v>
      </c>
      <c r="AB319" s="294">
        <f>IF(NFI_Expiration=1,IF($A319&lt;VLOOKUP(K$5,NFI,5,0),1,0)*Table_NFI[[#This Row],[Mosquito net]],Table_NFI[Mosquito net])</f>
        <v>0</v>
      </c>
      <c r="AC319" s="294">
        <f>IF(NFI_Expiration=1,IF($A319&lt;VLOOKUP(L$5,NFI,5,0),1,0)*Table_NFI[[#This Row],[Tarpaulin]],Table_NFI[[#This Row],[Tarpaulin]])</f>
        <v>0</v>
      </c>
      <c r="AD319" s="294">
        <f>IF(NFI_Expiration=1,IF($A319&lt;VLOOKUP(M$5,NFI,5,0),1,0)*Table_NFI[[#This Row],[Blanket]],Table_NFI[[#This Row],[Blanket]])</f>
        <v>0</v>
      </c>
      <c r="AE319" s="294">
        <f>IF(NFI_Expiration=1,IF($A319&lt;VLOOKUP(N$5,NFI,5,0),1,0)*Table_NFI[[#This Row],[Kitchen Set]],Table_NFI[Kitchen Set])</f>
        <v>0</v>
      </c>
      <c r="AF319" s="294">
        <f>IF(NFI_Expiration=1,IF($A319&lt;VLOOKUP(O$5,NFI,5,0),1,0)*Table_NFI[[#This Row],[Clothes Kit]],Table_NFI[Clothes Kit])</f>
        <v>0</v>
      </c>
      <c r="AG319" s="294">
        <f>IF(NFI_Expiration=1,IF($A319&lt;VLOOKUP(P$5,NFI,5,0),1,0)*Table_NFI[[#This Row],[Plastic Bucket]],Table_NFI[Plastic Bucket])</f>
        <v>0</v>
      </c>
      <c r="AH319" s="294">
        <f>IF(NFI_Expiration=1,IF($A319&lt;VLOOKUP(Q$5,NFI,5,0),1,0)*Table_NFI[[#This Row],[Plastic Mat]],Table_NFI[Plastic Mat])*IF(Table_NFI[[#This Row],[Distribution Date]]&gt;"2014-04-01",1,2.5)</f>
        <v>0</v>
      </c>
      <c r="AI319" s="294">
        <f>IF(NFI_Expiration=1,IF($A319&lt;VLOOKUP(R$5,NFI,5,0),1,0)*Table_NFI[[#This Row],[Winter Clothes Adult]],Table_NFI[Winter Clothes Adult])</f>
        <v>0</v>
      </c>
      <c r="AJ319" s="294">
        <f>IF(NFI_Expiration=1,IF($A319&lt;VLOOKUP(S$5,NFI,5,0),1,0)*Table_NFI[[#This Row],[Winter Clothes Children]],Table_NFI[Winter Clothes Children])</f>
        <v>0</v>
      </c>
      <c r="AK319" s="294">
        <f>IF(NFI_Expiration=1,IF($A319&lt;VLOOKUP(T$5,NFI,5,0),1,0)*Table_NFI[[#This Row],[Winter Items Other]],Table_NFI[Winter Items Other])</f>
        <v>0</v>
      </c>
      <c r="AL319" s="294">
        <f>IF(NFI_Expiration=1,IF($A319&lt;VLOOKUP(M$5,NFI,5,0),1,0)*Table_NFI[[#This Row],[Winter Blanket]],Table_NFI[[#This Row],[Winter Blanket]])</f>
        <v>0</v>
      </c>
      <c r="AM319" s="294">
        <f>IF(Table_NFI[[#This Row],[Winter Clothes Adult]]+Table_NFI[[#This Row],[Winter Clothes Children]]+Table_NFI[[#This Row],[Winter Items Other]]+Table_NFI[[#This Row],[Winter Blanket]]&gt;0,1,0)</f>
        <v>0</v>
      </c>
      <c r="AN319" s="331">
        <f>IF(NFI_Expiration=1,IF($A319&lt;VLOOKUP(V$5,NFI,5,0),1,0)*Table_NFI[[#This Row],[Jerry Can]],Table_NFI[Jerry Can])</f>
        <v>0</v>
      </c>
      <c r="AO319" s="331">
        <f>IF(NFI_Expiration=1,IF($A319&lt;VLOOKUP(V$5,NFI,5,0),1,0)*Table_NFI[[#This Row],[Shelter Tool kit]],Table_NFI[Shelter Tool kit])</f>
        <v>0</v>
      </c>
      <c r="AP319" s="331">
        <f>IF(NFI_Expiration=1,IF($A319&lt;VLOOKUP(V$5,NFI,5,0),1,0)*Table_NFI[[#This Row],[Tent]],Table_NFI[Tent])</f>
        <v>0</v>
      </c>
      <c r="AQ319" s="473" t="str">
        <f>IFERROR(VLOOKUP(Table_NFI[[#This Row],[Camp Name]],CL,2,0),"")</f>
        <v>MMR001CMP226</v>
      </c>
      <c r="AR319" s="468">
        <f ca="1">IF(Table_NFI[[#This Row],[Pcode]]="","",IF(OFFSET(CampList[Opening Date],MATCH(Table_NFI[[#This Row],[Pcode]],CampList[CP_Pcode],0)-1,0,1,1)&gt;=NFI_Monitor_Date,1,0))</f>
        <v>0</v>
      </c>
      <c r="AS319" s="473" t="str">
        <f>IFERROR(VLOOKUP(Table_NFI[[#This Row],[Camp Name]],CL,3,0),"")</f>
        <v>Closed</v>
      </c>
      <c r="AT319" s="294" t="str">
        <f ca="1">IF(Table_NFI[[#This Row],[Pcode]]="","",OFFSET(CampList[Priority],MATCH(Table_NFI[[#This Row],[Pcode]],CampList[CP_Pcode],0)-1,0,1,1))</f>
        <v>P2</v>
      </c>
      <c r="AU319" s="293" t="str">
        <f>IFERROR(Table_NFI[[#This Row],[Kitchen Set]]/VLOOKUP(Table_NFI[[#This Row],[Camp Name]],CL,4,0),"")</f>
        <v/>
      </c>
      <c r="AV319" s="466"/>
      <c r="AW319" s="469"/>
    </row>
    <row r="320" spans="1:49" s="470" customFormat="1" ht="14.45" customHeight="1" x14ac:dyDescent="0.25">
      <c r="A320" s="297">
        <f t="shared" si="4"/>
        <v>27.133333333333333</v>
      </c>
      <c r="B320" s="465">
        <v>41861</v>
      </c>
      <c r="C320" s="466" t="s">
        <v>452</v>
      </c>
      <c r="D320" s="466"/>
      <c r="E320" s="466" t="s">
        <v>380</v>
      </c>
      <c r="F320" s="466" t="s">
        <v>185</v>
      </c>
      <c r="G320" s="466" t="s">
        <v>219</v>
      </c>
      <c r="H320" s="291"/>
      <c r="I320" s="291"/>
      <c r="J320" s="291"/>
      <c r="K320" s="291">
        <v>100</v>
      </c>
      <c r="L320" s="292">
        <v>52</v>
      </c>
      <c r="M320" s="292">
        <v>156</v>
      </c>
      <c r="N320" s="292">
        <v>40</v>
      </c>
      <c r="O320" s="292"/>
      <c r="P320" s="294">
        <v>52</v>
      </c>
      <c r="Q320" s="294">
        <v>210</v>
      </c>
      <c r="R320" s="294"/>
      <c r="S320" s="294"/>
      <c r="T320" s="294"/>
      <c r="U320" s="294"/>
      <c r="V320" s="431"/>
      <c r="W320" s="294"/>
      <c r="X320" s="294"/>
      <c r="Y320" s="294">
        <f>IF(NFI_Expiration=1,IF($A320&lt;VLOOKUP(H$5,NFI,5,0),1,0)*Table_NFI[[#This Row],[Hygiene Kit]],Table_NFI[Hygiene Kit])</f>
        <v>0</v>
      </c>
      <c r="Z320" s="294">
        <f>IF(NFI_Expiration=1,IF($A320&lt;VLOOKUP(I$5,NFI,5,0),1,0)*Table_NFI[[#This Row],[NFI Core Kit]],Table_NFI[NFI Core Kit])</f>
        <v>0</v>
      </c>
      <c r="AA320" s="294">
        <f>IF(NFI_Expiration=1,IF($A320&lt;VLOOKUP(J$5,NFI,5,0),1,0)*Table_NFI[[#This Row],[Sanitary Kit]],Table_NFI[Sanitary Kit])</f>
        <v>0</v>
      </c>
      <c r="AB320" s="294">
        <f>IF(NFI_Expiration=1,IF($A320&lt;VLOOKUP(K$5,NFI,5,0),1,0)*Table_NFI[[#This Row],[Mosquito net]],Table_NFI[Mosquito net])</f>
        <v>0</v>
      </c>
      <c r="AC320" s="294">
        <f>IF(NFI_Expiration=1,IF($A320&lt;VLOOKUP(L$5,NFI,5,0),1,0)*Table_NFI[[#This Row],[Tarpaulin]],Table_NFI[[#This Row],[Tarpaulin]])</f>
        <v>0</v>
      </c>
      <c r="AD320" s="294">
        <f>IF(NFI_Expiration=1,IF($A320&lt;VLOOKUP(M$5,NFI,5,0),1,0)*Table_NFI[[#This Row],[Blanket]],Table_NFI[[#This Row],[Blanket]])</f>
        <v>0</v>
      </c>
      <c r="AE320" s="294">
        <f>IF(NFI_Expiration=1,IF($A320&lt;VLOOKUP(N$5,NFI,5,0),1,0)*Table_NFI[[#This Row],[Kitchen Set]],Table_NFI[Kitchen Set])</f>
        <v>0</v>
      </c>
      <c r="AF320" s="294">
        <f>IF(NFI_Expiration=1,IF($A320&lt;VLOOKUP(O$5,NFI,5,0),1,0)*Table_NFI[[#This Row],[Clothes Kit]],Table_NFI[Clothes Kit])</f>
        <v>0</v>
      </c>
      <c r="AG320" s="294">
        <f>IF(NFI_Expiration=1,IF($A320&lt;VLOOKUP(P$5,NFI,5,0),1,0)*Table_NFI[[#This Row],[Plastic Bucket]],Table_NFI[Plastic Bucket])</f>
        <v>0</v>
      </c>
      <c r="AH320" s="294">
        <f>IF(NFI_Expiration=1,IF($A320&lt;VLOOKUP(Q$5,NFI,5,0),1,0)*Table_NFI[[#This Row],[Plastic Mat]],Table_NFI[Plastic Mat])*IF(Table_NFI[[#This Row],[Distribution Date]]&gt;"2014-04-01",1,2.5)</f>
        <v>0</v>
      </c>
      <c r="AI320" s="294">
        <f>IF(NFI_Expiration=1,IF($A320&lt;VLOOKUP(R$5,NFI,5,0),1,0)*Table_NFI[[#This Row],[Winter Clothes Adult]],Table_NFI[Winter Clothes Adult])</f>
        <v>0</v>
      </c>
      <c r="AJ320" s="294">
        <f>IF(NFI_Expiration=1,IF($A320&lt;VLOOKUP(S$5,NFI,5,0),1,0)*Table_NFI[[#This Row],[Winter Clothes Children]],Table_NFI[Winter Clothes Children])</f>
        <v>0</v>
      </c>
      <c r="AK320" s="294">
        <f>IF(NFI_Expiration=1,IF($A320&lt;VLOOKUP(T$5,NFI,5,0),1,0)*Table_NFI[[#This Row],[Winter Items Other]],Table_NFI[Winter Items Other])</f>
        <v>0</v>
      </c>
      <c r="AL320" s="294">
        <f>IF(NFI_Expiration=1,IF($A320&lt;VLOOKUP(M$5,NFI,5,0),1,0)*Table_NFI[[#This Row],[Winter Blanket]],Table_NFI[[#This Row],[Winter Blanket]])</f>
        <v>0</v>
      </c>
      <c r="AM320" s="294">
        <f>IF(Table_NFI[[#This Row],[Winter Clothes Adult]]+Table_NFI[[#This Row],[Winter Clothes Children]]+Table_NFI[[#This Row],[Winter Items Other]]+Table_NFI[[#This Row],[Winter Blanket]]&gt;0,1,0)</f>
        <v>0</v>
      </c>
      <c r="AN320" s="331">
        <f>IF(NFI_Expiration=1,IF($A320&lt;VLOOKUP(V$5,NFI,5,0),1,0)*Table_NFI[[#This Row],[Jerry Can]],Table_NFI[Jerry Can])</f>
        <v>0</v>
      </c>
      <c r="AO320" s="331">
        <f>IF(NFI_Expiration=1,IF($A320&lt;VLOOKUP(V$5,NFI,5,0),1,0)*Table_NFI[[#This Row],[Shelter Tool kit]],Table_NFI[Shelter Tool kit])</f>
        <v>0</v>
      </c>
      <c r="AP320" s="331">
        <f>IF(NFI_Expiration=1,IF($A320&lt;VLOOKUP(V$5,NFI,5,0),1,0)*Table_NFI[[#This Row],[Tent]],Table_NFI[Tent])</f>
        <v>0</v>
      </c>
      <c r="AQ320" s="473" t="str">
        <f>IFERROR(VLOOKUP(Table_NFI[[#This Row],[Camp Name]],CL,2,0),"")</f>
        <v>MMR001CMP126</v>
      </c>
      <c r="AR320" s="468">
        <f ca="1">IF(Table_NFI[[#This Row],[Pcode]]="","",IF(OFFSET(CampList[Opening Date],MATCH(Table_NFI[[#This Row],[Pcode]],CampList[CP_Pcode],0)-1,0,1,1)&gt;=NFI_Monitor_Date,1,0))</f>
        <v>0</v>
      </c>
      <c r="AS320" s="473" t="str">
        <f>IFERROR(VLOOKUP(Table_NFI[[#This Row],[Camp Name]],CL,3,0),"")</f>
        <v>Open</v>
      </c>
      <c r="AT320" s="294" t="str">
        <f ca="1">IF(Table_NFI[[#This Row],[Pcode]]="","",OFFSET(CampList[Priority],MATCH(Table_NFI[[#This Row],[Pcode]],CampList[CP_Pcode],0)-1,0,1,1))</f>
        <v>P2</v>
      </c>
      <c r="AU320" s="293">
        <f>IFERROR(Table_NFI[[#This Row],[Kitchen Set]]/VLOOKUP(Table_NFI[[#This Row],[Camp Name]],CL,4,0),"")</f>
        <v>5.9790732436472344E-2</v>
      </c>
      <c r="AV320" s="466"/>
      <c r="AW320" s="469"/>
    </row>
    <row r="321" spans="1:49" s="470" customFormat="1" ht="14.45" customHeight="1" x14ac:dyDescent="0.25">
      <c r="A321" s="297">
        <f t="shared" si="4"/>
        <v>27.233333333333334</v>
      </c>
      <c r="B321" s="465">
        <v>41858</v>
      </c>
      <c r="C321" s="466" t="s">
        <v>452</v>
      </c>
      <c r="D321" s="466" t="s">
        <v>505</v>
      </c>
      <c r="E321" s="466" t="s">
        <v>380</v>
      </c>
      <c r="F321" s="466" t="s">
        <v>27</v>
      </c>
      <c r="G321" s="466" t="s">
        <v>365</v>
      </c>
      <c r="H321" s="291"/>
      <c r="I321" s="291"/>
      <c r="J321" s="291">
        <v>50</v>
      </c>
      <c r="K321" s="291">
        <v>25</v>
      </c>
      <c r="L321" s="292">
        <v>50</v>
      </c>
      <c r="M321" s="292">
        <v>25</v>
      </c>
      <c r="N321" s="292"/>
      <c r="O321" s="292">
        <v>25</v>
      </c>
      <c r="P321" s="294">
        <v>125</v>
      </c>
      <c r="Q321" s="294"/>
      <c r="R321" s="294"/>
      <c r="S321" s="294"/>
      <c r="T321" s="294"/>
      <c r="U321" s="294"/>
      <c r="V321" s="431"/>
      <c r="W321" s="294"/>
      <c r="X321" s="294"/>
      <c r="Y321" s="294">
        <f>IF(NFI_Expiration=1,IF($A321&lt;VLOOKUP(H$5,NFI,5,0),1,0)*Table_NFI[[#This Row],[Hygiene Kit]],Table_NFI[Hygiene Kit])</f>
        <v>0</v>
      </c>
      <c r="Z321" s="294">
        <f>IF(NFI_Expiration=1,IF($A321&lt;VLOOKUP(I$5,NFI,5,0),1,0)*Table_NFI[[#This Row],[NFI Core Kit]],Table_NFI[NFI Core Kit])</f>
        <v>0</v>
      </c>
      <c r="AA321" s="294">
        <f>IF(NFI_Expiration=1,IF($A321&lt;VLOOKUP(J$5,NFI,5,0),1,0)*Table_NFI[[#This Row],[Sanitary Kit]],Table_NFI[Sanitary Kit])</f>
        <v>0</v>
      </c>
      <c r="AB321" s="294">
        <f>IF(NFI_Expiration=1,IF($A321&lt;VLOOKUP(K$5,NFI,5,0),1,0)*Table_NFI[[#This Row],[Mosquito net]],Table_NFI[Mosquito net])</f>
        <v>0</v>
      </c>
      <c r="AC321" s="294">
        <f>IF(NFI_Expiration=1,IF($A321&lt;VLOOKUP(L$5,NFI,5,0),1,0)*Table_NFI[[#This Row],[Tarpaulin]],Table_NFI[[#This Row],[Tarpaulin]])</f>
        <v>0</v>
      </c>
      <c r="AD321" s="294">
        <f>IF(NFI_Expiration=1,IF($A321&lt;VLOOKUP(M$5,NFI,5,0),1,0)*Table_NFI[[#This Row],[Blanket]],Table_NFI[[#This Row],[Blanket]])</f>
        <v>0</v>
      </c>
      <c r="AE321" s="294">
        <f>IF(NFI_Expiration=1,IF($A321&lt;VLOOKUP(N$5,NFI,5,0),1,0)*Table_NFI[[#This Row],[Kitchen Set]],Table_NFI[Kitchen Set])</f>
        <v>0</v>
      </c>
      <c r="AF321" s="294">
        <f>IF(NFI_Expiration=1,IF($A321&lt;VLOOKUP(O$5,NFI,5,0),1,0)*Table_NFI[[#This Row],[Clothes Kit]],Table_NFI[Clothes Kit])</f>
        <v>0</v>
      </c>
      <c r="AG321" s="294">
        <f>IF(NFI_Expiration=1,IF($A321&lt;VLOOKUP(P$5,NFI,5,0),1,0)*Table_NFI[[#This Row],[Plastic Bucket]],Table_NFI[Plastic Bucket])</f>
        <v>0</v>
      </c>
      <c r="AH321" s="294">
        <f>IF(NFI_Expiration=1,IF($A321&lt;VLOOKUP(Q$5,NFI,5,0),1,0)*Table_NFI[[#This Row],[Plastic Mat]],Table_NFI[Plastic Mat])*IF(Table_NFI[[#This Row],[Distribution Date]]&gt;"2014-04-01",1,2.5)</f>
        <v>0</v>
      </c>
      <c r="AI321" s="294">
        <f>IF(NFI_Expiration=1,IF($A321&lt;VLOOKUP(R$5,NFI,5,0),1,0)*Table_NFI[[#This Row],[Winter Clothes Adult]],Table_NFI[Winter Clothes Adult])</f>
        <v>0</v>
      </c>
      <c r="AJ321" s="294">
        <f>IF(NFI_Expiration=1,IF($A321&lt;VLOOKUP(S$5,NFI,5,0),1,0)*Table_NFI[[#This Row],[Winter Clothes Children]],Table_NFI[Winter Clothes Children])</f>
        <v>0</v>
      </c>
      <c r="AK321" s="294">
        <f>IF(NFI_Expiration=1,IF($A321&lt;VLOOKUP(T$5,NFI,5,0),1,0)*Table_NFI[[#This Row],[Winter Items Other]],Table_NFI[Winter Items Other])</f>
        <v>0</v>
      </c>
      <c r="AL321" s="294">
        <f>IF(NFI_Expiration=1,IF($A321&lt;VLOOKUP(M$5,NFI,5,0),1,0)*Table_NFI[[#This Row],[Winter Blanket]],Table_NFI[[#This Row],[Winter Blanket]])</f>
        <v>0</v>
      </c>
      <c r="AM321" s="294">
        <f>IF(Table_NFI[[#This Row],[Winter Clothes Adult]]+Table_NFI[[#This Row],[Winter Clothes Children]]+Table_NFI[[#This Row],[Winter Items Other]]+Table_NFI[[#This Row],[Winter Blanket]]&gt;0,1,0)</f>
        <v>0</v>
      </c>
      <c r="AN321" s="331">
        <f>IF(NFI_Expiration=1,IF($A321&lt;VLOOKUP(V$5,NFI,5,0),1,0)*Table_NFI[[#This Row],[Jerry Can]],Table_NFI[Jerry Can])</f>
        <v>0</v>
      </c>
      <c r="AO321" s="331">
        <f>IF(NFI_Expiration=1,IF($A321&lt;VLOOKUP(V$5,NFI,5,0),1,0)*Table_NFI[[#This Row],[Shelter Tool kit]],Table_NFI[Shelter Tool kit])</f>
        <v>0</v>
      </c>
      <c r="AP321" s="331">
        <f>IF(NFI_Expiration=1,IF($A321&lt;VLOOKUP(V$5,NFI,5,0),1,0)*Table_NFI[[#This Row],[Tent]],Table_NFI[Tent])</f>
        <v>0</v>
      </c>
      <c r="AQ321" s="473" t="str">
        <f>IFERROR(VLOOKUP(Table_NFI[[#This Row],[Camp Name]],CL,2,0),"")</f>
        <v>MMR001CMP195</v>
      </c>
      <c r="AR321" s="468">
        <f ca="1">IF(Table_NFI[[#This Row],[Pcode]]="","",IF(OFFSET(CampList[Opening Date],MATCH(Table_NFI[[#This Row],[Pcode]],CampList[CP_Pcode],0)-1,0,1,1)&gt;=NFI_Monitor_Date,1,0))</f>
        <v>0</v>
      </c>
      <c r="AS321" s="473" t="str">
        <f>IFERROR(VLOOKUP(Table_NFI[[#This Row],[Camp Name]],CL,3,0),"")</f>
        <v>Open</v>
      </c>
      <c r="AT321" s="294" t="str">
        <f ca="1">IF(Table_NFI[[#This Row],[Pcode]]="","",OFFSET(CampList[Priority],MATCH(Table_NFI[[#This Row],[Pcode]],CampList[CP_Pcode],0)-1,0,1,1))</f>
        <v>P1</v>
      </c>
      <c r="AU321" s="293">
        <f>IFERROR(Table_NFI[[#This Row],[Kitchen Set]]/VLOOKUP(Table_NFI[[#This Row],[Camp Name]],CL,4,0),"")</f>
        <v>0</v>
      </c>
      <c r="AV321" s="466"/>
      <c r="AW321" s="469"/>
    </row>
    <row r="322" spans="1:49" s="470" customFormat="1" x14ac:dyDescent="0.25">
      <c r="A322" s="297">
        <f t="shared" si="4"/>
        <v>27.233333333333334</v>
      </c>
      <c r="B322" s="465">
        <v>41858</v>
      </c>
      <c r="C322" s="466" t="s">
        <v>452</v>
      </c>
      <c r="D322" s="466" t="s">
        <v>505</v>
      </c>
      <c r="E322" s="466" t="s">
        <v>380</v>
      </c>
      <c r="F322" s="466" t="s">
        <v>310</v>
      </c>
      <c r="G322" s="466" t="s">
        <v>318</v>
      </c>
      <c r="H322" s="291"/>
      <c r="I322" s="291"/>
      <c r="J322" s="291">
        <v>24</v>
      </c>
      <c r="K322" s="291">
        <v>12</v>
      </c>
      <c r="L322" s="292">
        <v>24</v>
      </c>
      <c r="M322" s="292">
        <v>12</v>
      </c>
      <c r="N322" s="292"/>
      <c r="O322" s="292">
        <v>12</v>
      </c>
      <c r="P322" s="294">
        <v>60</v>
      </c>
      <c r="Q322" s="294"/>
      <c r="R322" s="294"/>
      <c r="S322" s="294"/>
      <c r="T322" s="294"/>
      <c r="U322" s="294"/>
      <c r="V322" s="431"/>
      <c r="W322" s="294"/>
      <c r="X322" s="294"/>
      <c r="Y322" s="294">
        <f>IF(NFI_Expiration=1,IF($A322&lt;VLOOKUP(H$5,NFI,5,0),1,0)*Table_NFI[[#This Row],[Hygiene Kit]],Table_NFI[Hygiene Kit])</f>
        <v>0</v>
      </c>
      <c r="Z322" s="294">
        <f>IF(NFI_Expiration=1,IF($A322&lt;VLOOKUP(I$5,NFI,5,0),1,0)*Table_NFI[[#This Row],[NFI Core Kit]],Table_NFI[NFI Core Kit])</f>
        <v>0</v>
      </c>
      <c r="AA322" s="294">
        <f>IF(NFI_Expiration=1,IF($A322&lt;VLOOKUP(J$5,NFI,5,0),1,0)*Table_NFI[[#This Row],[Sanitary Kit]],Table_NFI[Sanitary Kit])</f>
        <v>0</v>
      </c>
      <c r="AB322" s="294">
        <f>IF(NFI_Expiration=1,IF($A322&lt;VLOOKUP(K$5,NFI,5,0),1,0)*Table_NFI[[#This Row],[Mosquito net]],Table_NFI[Mosquito net])</f>
        <v>0</v>
      </c>
      <c r="AC322" s="294">
        <f>IF(NFI_Expiration=1,IF($A322&lt;VLOOKUP(L$5,NFI,5,0),1,0)*Table_NFI[[#This Row],[Tarpaulin]],Table_NFI[[#This Row],[Tarpaulin]])</f>
        <v>0</v>
      </c>
      <c r="AD322" s="294">
        <f>IF(NFI_Expiration=1,IF($A322&lt;VLOOKUP(M$5,NFI,5,0),1,0)*Table_NFI[[#This Row],[Blanket]],Table_NFI[[#This Row],[Blanket]])</f>
        <v>0</v>
      </c>
      <c r="AE322" s="294">
        <f>IF(NFI_Expiration=1,IF($A322&lt;VLOOKUP(N$5,NFI,5,0),1,0)*Table_NFI[[#This Row],[Kitchen Set]],Table_NFI[Kitchen Set])</f>
        <v>0</v>
      </c>
      <c r="AF322" s="294">
        <f>IF(NFI_Expiration=1,IF($A322&lt;VLOOKUP(O$5,NFI,5,0),1,0)*Table_NFI[[#This Row],[Clothes Kit]],Table_NFI[Clothes Kit])</f>
        <v>0</v>
      </c>
      <c r="AG322" s="294">
        <f>IF(NFI_Expiration=1,IF($A322&lt;VLOOKUP(P$5,NFI,5,0),1,0)*Table_NFI[[#This Row],[Plastic Bucket]],Table_NFI[Plastic Bucket])</f>
        <v>0</v>
      </c>
      <c r="AH322" s="294">
        <f>IF(NFI_Expiration=1,IF($A322&lt;VLOOKUP(Q$5,NFI,5,0),1,0)*Table_NFI[[#This Row],[Plastic Mat]],Table_NFI[Plastic Mat])*IF(Table_NFI[[#This Row],[Distribution Date]]&gt;"2014-04-01",1,2.5)</f>
        <v>0</v>
      </c>
      <c r="AI322" s="294">
        <f>IF(NFI_Expiration=1,IF($A322&lt;VLOOKUP(R$5,NFI,5,0),1,0)*Table_NFI[[#This Row],[Winter Clothes Adult]],Table_NFI[Winter Clothes Adult])</f>
        <v>0</v>
      </c>
      <c r="AJ322" s="294">
        <f>IF(NFI_Expiration=1,IF($A322&lt;VLOOKUP(S$5,NFI,5,0),1,0)*Table_NFI[[#This Row],[Winter Clothes Children]],Table_NFI[Winter Clothes Children])</f>
        <v>0</v>
      </c>
      <c r="AK322" s="294">
        <f>IF(NFI_Expiration=1,IF($A322&lt;VLOOKUP(T$5,NFI,5,0),1,0)*Table_NFI[[#This Row],[Winter Items Other]],Table_NFI[Winter Items Other])</f>
        <v>0</v>
      </c>
      <c r="AL322" s="294">
        <f>IF(NFI_Expiration=1,IF($A322&lt;VLOOKUP(M$5,NFI,5,0),1,0)*Table_NFI[[#This Row],[Winter Blanket]],Table_NFI[[#This Row],[Winter Blanket]])</f>
        <v>0</v>
      </c>
      <c r="AM322" s="294">
        <f>IF(Table_NFI[[#This Row],[Winter Clothes Adult]]+Table_NFI[[#This Row],[Winter Clothes Children]]+Table_NFI[[#This Row],[Winter Items Other]]+Table_NFI[[#This Row],[Winter Blanket]]&gt;0,1,0)</f>
        <v>0</v>
      </c>
      <c r="AN322" s="331">
        <f>IF(NFI_Expiration=1,IF($A322&lt;VLOOKUP(V$5,NFI,5,0),1,0)*Table_NFI[[#This Row],[Jerry Can]],Table_NFI[Jerry Can])</f>
        <v>0</v>
      </c>
      <c r="AO322" s="331">
        <f>IF(NFI_Expiration=1,IF($A322&lt;VLOOKUP(V$5,NFI,5,0),1,0)*Table_NFI[[#This Row],[Shelter Tool kit]],Table_NFI[Shelter Tool kit])</f>
        <v>0</v>
      </c>
      <c r="AP322" s="331">
        <f>IF(NFI_Expiration=1,IF($A322&lt;VLOOKUP(V$5,NFI,5,0),1,0)*Table_NFI[[#This Row],[Tent]],Table_NFI[Tent])</f>
        <v>0</v>
      </c>
      <c r="AQ322" s="473" t="str">
        <f>IFERROR(VLOOKUP(Table_NFI[[#This Row],[Camp Name]],CL,2,0),"")</f>
        <v>MMR001CMP032</v>
      </c>
      <c r="AR322" s="468">
        <f ca="1">IF(Table_NFI[[#This Row],[Pcode]]="","",IF(OFFSET(CampList[Opening Date],MATCH(Table_NFI[[#This Row],[Pcode]],CampList[CP_Pcode],0)-1,0,1,1)&gt;=NFI_Monitor_Date,1,0))</f>
        <v>0</v>
      </c>
      <c r="AS322" s="473" t="str">
        <f>IFERROR(VLOOKUP(Table_NFI[[#This Row],[Camp Name]],CL,3,0),"")</f>
        <v>Open</v>
      </c>
      <c r="AT322" s="294" t="str">
        <f ca="1">IF(Table_NFI[[#This Row],[Pcode]]="","",OFFSET(CampList[Priority],MATCH(Table_NFI[[#This Row],[Pcode]],CampList[CP_Pcode],0)-1,0,1,1))</f>
        <v>P4</v>
      </c>
      <c r="AU322" s="293">
        <f>IFERROR(Table_NFI[[#This Row],[Kitchen Set]]/VLOOKUP(Table_NFI[[#This Row],[Camp Name]],CL,4,0),"")</f>
        <v>0</v>
      </c>
      <c r="AV322" s="466"/>
      <c r="AW322" s="469"/>
    </row>
    <row r="323" spans="1:49" s="470" customFormat="1" x14ac:dyDescent="0.25">
      <c r="A323" s="297">
        <f t="shared" si="4"/>
        <v>27.333333333333332</v>
      </c>
      <c r="B323" s="465">
        <v>41855</v>
      </c>
      <c r="C323" s="466" t="s">
        <v>452</v>
      </c>
      <c r="D323" s="466"/>
      <c r="E323" s="466" t="s">
        <v>380</v>
      </c>
      <c r="F323" s="466" t="s">
        <v>185</v>
      </c>
      <c r="G323" s="466" t="s">
        <v>223</v>
      </c>
      <c r="H323" s="291"/>
      <c r="I323" s="291"/>
      <c r="J323" s="291"/>
      <c r="K323" s="291"/>
      <c r="L323" s="292">
        <v>116</v>
      </c>
      <c r="M323" s="292"/>
      <c r="N323" s="292"/>
      <c r="O323" s="292"/>
      <c r="P323" s="294"/>
      <c r="Q323" s="294"/>
      <c r="R323" s="294"/>
      <c r="S323" s="294"/>
      <c r="T323" s="294"/>
      <c r="U323" s="294"/>
      <c r="V323" s="431"/>
      <c r="W323" s="331"/>
      <c r="X323" s="331"/>
      <c r="Y323" s="294">
        <f>IF(NFI_Expiration=1,IF($A323&lt;VLOOKUP(H$5,NFI,5,0),1,0)*Table_NFI[[#This Row],[Hygiene Kit]],Table_NFI[Hygiene Kit])</f>
        <v>0</v>
      </c>
      <c r="Z323" s="294">
        <f>IF(NFI_Expiration=1,IF($A323&lt;VLOOKUP(I$5,NFI,5,0),1,0)*Table_NFI[[#This Row],[NFI Core Kit]],Table_NFI[NFI Core Kit])</f>
        <v>0</v>
      </c>
      <c r="AA323" s="294">
        <f>IF(NFI_Expiration=1,IF($A323&lt;VLOOKUP(J$5,NFI,5,0),1,0)*Table_NFI[[#This Row],[Sanitary Kit]],Table_NFI[Sanitary Kit])</f>
        <v>0</v>
      </c>
      <c r="AB323" s="294">
        <f>IF(NFI_Expiration=1,IF($A323&lt;VLOOKUP(K$5,NFI,5,0),1,0)*Table_NFI[[#This Row],[Mosquito net]],Table_NFI[Mosquito net])</f>
        <v>0</v>
      </c>
      <c r="AC323" s="294">
        <f>IF(NFI_Expiration=1,IF($A323&lt;VLOOKUP(L$5,NFI,5,0),1,0)*Table_NFI[[#This Row],[Tarpaulin]],Table_NFI[[#This Row],[Tarpaulin]])</f>
        <v>0</v>
      </c>
      <c r="AD323" s="294">
        <f>IF(NFI_Expiration=1,IF($A323&lt;VLOOKUP(M$5,NFI,5,0),1,0)*Table_NFI[[#This Row],[Blanket]],Table_NFI[[#This Row],[Blanket]])</f>
        <v>0</v>
      </c>
      <c r="AE323" s="294">
        <f>IF(NFI_Expiration=1,IF($A323&lt;VLOOKUP(N$5,NFI,5,0),1,0)*Table_NFI[[#This Row],[Kitchen Set]],Table_NFI[Kitchen Set])</f>
        <v>0</v>
      </c>
      <c r="AF323" s="294">
        <f>IF(NFI_Expiration=1,IF($A323&lt;VLOOKUP(O$5,NFI,5,0),1,0)*Table_NFI[[#This Row],[Clothes Kit]],Table_NFI[Clothes Kit])</f>
        <v>0</v>
      </c>
      <c r="AG323" s="294">
        <f>IF(NFI_Expiration=1,IF($A323&lt;VLOOKUP(P$5,NFI,5,0),1,0)*Table_NFI[[#This Row],[Plastic Bucket]],Table_NFI[Plastic Bucket])</f>
        <v>0</v>
      </c>
      <c r="AH323" s="294">
        <f>IF(NFI_Expiration=1,IF($A323&lt;VLOOKUP(Q$5,NFI,5,0),1,0)*Table_NFI[[#This Row],[Plastic Mat]],Table_NFI[Plastic Mat])*IF(Table_NFI[[#This Row],[Distribution Date]]&gt;"2014-04-01",1,2.5)</f>
        <v>0</v>
      </c>
      <c r="AI323" s="294">
        <f>IF(NFI_Expiration=1,IF($A323&lt;VLOOKUP(R$5,NFI,5,0),1,0)*Table_NFI[[#This Row],[Winter Clothes Adult]],Table_NFI[Winter Clothes Adult])</f>
        <v>0</v>
      </c>
      <c r="AJ323" s="294">
        <f>IF(NFI_Expiration=1,IF($A323&lt;VLOOKUP(S$5,NFI,5,0),1,0)*Table_NFI[[#This Row],[Winter Clothes Children]],Table_NFI[Winter Clothes Children])</f>
        <v>0</v>
      </c>
      <c r="AK323" s="294">
        <f>IF(NFI_Expiration=1,IF($A323&lt;VLOOKUP(T$5,NFI,5,0),1,0)*Table_NFI[[#This Row],[Winter Items Other]],Table_NFI[Winter Items Other])</f>
        <v>0</v>
      </c>
      <c r="AL323" s="294">
        <f>IF(NFI_Expiration=1,IF($A323&lt;VLOOKUP(M$5,NFI,5,0),1,0)*Table_NFI[[#This Row],[Winter Blanket]],Table_NFI[[#This Row],[Winter Blanket]])</f>
        <v>0</v>
      </c>
      <c r="AM323" s="294">
        <f>IF(Table_NFI[[#This Row],[Winter Clothes Adult]]+Table_NFI[[#This Row],[Winter Clothes Children]]+Table_NFI[[#This Row],[Winter Items Other]]+Table_NFI[[#This Row],[Winter Blanket]]&gt;0,1,0)</f>
        <v>0</v>
      </c>
      <c r="AN323" s="331">
        <f>IF(NFI_Expiration=1,IF($A323&lt;VLOOKUP(V$5,NFI,5,0),1,0)*Table_NFI[[#This Row],[Jerry Can]],Table_NFI[Jerry Can])</f>
        <v>0</v>
      </c>
      <c r="AO323" s="331">
        <f>IF(NFI_Expiration=1,IF($A323&lt;VLOOKUP(V$5,NFI,5,0),1,0)*Table_NFI[[#This Row],[Shelter Tool kit]],Table_NFI[Shelter Tool kit])</f>
        <v>0</v>
      </c>
      <c r="AP323" s="331">
        <f>IF(NFI_Expiration=1,IF($A323&lt;VLOOKUP(V$5,NFI,5,0),1,0)*Table_NFI[[#This Row],[Tent]],Table_NFI[Tent])</f>
        <v>0</v>
      </c>
      <c r="AQ323" s="473" t="str">
        <f>IFERROR(VLOOKUP(Table_NFI[[#This Row],[Camp Name]],CL,2,0),"")</f>
        <v>MMR001CMP069</v>
      </c>
      <c r="AR323" s="468">
        <f ca="1">IF(Table_NFI[[#This Row],[Pcode]]="","",IF(OFFSET(CampList[Opening Date],MATCH(Table_NFI[[#This Row],[Pcode]],CampList[CP_Pcode],0)-1,0,1,1)&gt;=NFI_Monitor_Date,1,0))</f>
        <v>0</v>
      </c>
      <c r="AS323" s="473" t="str">
        <f>IFERROR(VLOOKUP(Table_NFI[[#This Row],[Camp Name]],CL,3,0),"")</f>
        <v>Open</v>
      </c>
      <c r="AT323" s="294" t="str">
        <f ca="1">IF(Table_NFI[[#This Row],[Pcode]]="","",OFFSET(CampList[Priority],MATCH(Table_NFI[[#This Row],[Pcode]],CampList[CP_Pcode],0)-1,0,1,1))</f>
        <v>P3</v>
      </c>
      <c r="AU323" s="293">
        <f>IFERROR(Table_NFI[[#This Row],[Kitchen Set]]/VLOOKUP(Table_NFI[[#This Row],[Camp Name]],CL,4,0),"")</f>
        <v>0</v>
      </c>
      <c r="AV323" s="466"/>
      <c r="AW323" s="469"/>
    </row>
    <row r="324" spans="1:49" s="470" customFormat="1" ht="14.45" customHeight="1" x14ac:dyDescent="0.25">
      <c r="A324" s="297">
        <f t="shared" si="4"/>
        <v>27.333333333333332</v>
      </c>
      <c r="B324" s="465">
        <v>41855</v>
      </c>
      <c r="C324" s="466" t="s">
        <v>452</v>
      </c>
      <c r="D324" s="466"/>
      <c r="E324" s="466" t="s">
        <v>380</v>
      </c>
      <c r="F324" s="466" t="s">
        <v>185</v>
      </c>
      <c r="G324" s="466" t="s">
        <v>190</v>
      </c>
      <c r="H324" s="291"/>
      <c r="I324" s="291"/>
      <c r="J324" s="291"/>
      <c r="K324" s="291">
        <v>84</v>
      </c>
      <c r="L324" s="292">
        <v>36</v>
      </c>
      <c r="M324" s="292">
        <v>84</v>
      </c>
      <c r="N324" s="292">
        <v>36</v>
      </c>
      <c r="O324" s="292"/>
      <c r="P324" s="294">
        <v>36</v>
      </c>
      <c r="Q324" s="294">
        <v>180</v>
      </c>
      <c r="R324" s="294"/>
      <c r="S324" s="294"/>
      <c r="T324" s="294"/>
      <c r="U324" s="294"/>
      <c r="V324" s="431"/>
      <c r="W324" s="294"/>
      <c r="X324" s="294"/>
      <c r="Y324" s="294">
        <f>IF(NFI_Expiration=1,IF($A324&lt;VLOOKUP(H$5,NFI,5,0),1,0)*Table_NFI[[#This Row],[Hygiene Kit]],Table_NFI[Hygiene Kit])</f>
        <v>0</v>
      </c>
      <c r="Z324" s="294">
        <f>IF(NFI_Expiration=1,IF($A324&lt;VLOOKUP(I$5,NFI,5,0),1,0)*Table_NFI[[#This Row],[NFI Core Kit]],Table_NFI[NFI Core Kit])</f>
        <v>0</v>
      </c>
      <c r="AA324" s="294">
        <f>IF(NFI_Expiration=1,IF($A324&lt;VLOOKUP(J$5,NFI,5,0),1,0)*Table_NFI[[#This Row],[Sanitary Kit]],Table_NFI[Sanitary Kit])</f>
        <v>0</v>
      </c>
      <c r="AB324" s="294">
        <f>IF(NFI_Expiration=1,IF($A324&lt;VLOOKUP(K$5,NFI,5,0),1,0)*Table_NFI[[#This Row],[Mosquito net]],Table_NFI[Mosquito net])</f>
        <v>0</v>
      </c>
      <c r="AC324" s="294">
        <f>IF(NFI_Expiration=1,IF($A324&lt;VLOOKUP(L$5,NFI,5,0),1,0)*Table_NFI[[#This Row],[Tarpaulin]],Table_NFI[[#This Row],[Tarpaulin]])</f>
        <v>0</v>
      </c>
      <c r="AD324" s="294">
        <f>IF(NFI_Expiration=1,IF($A324&lt;VLOOKUP(M$5,NFI,5,0),1,0)*Table_NFI[[#This Row],[Blanket]],Table_NFI[[#This Row],[Blanket]])</f>
        <v>0</v>
      </c>
      <c r="AE324" s="294">
        <f>IF(NFI_Expiration=1,IF($A324&lt;VLOOKUP(N$5,NFI,5,0),1,0)*Table_NFI[[#This Row],[Kitchen Set]],Table_NFI[Kitchen Set])</f>
        <v>0</v>
      </c>
      <c r="AF324" s="294">
        <f>IF(NFI_Expiration=1,IF($A324&lt;VLOOKUP(O$5,NFI,5,0),1,0)*Table_NFI[[#This Row],[Clothes Kit]],Table_NFI[Clothes Kit])</f>
        <v>0</v>
      </c>
      <c r="AG324" s="294">
        <f>IF(NFI_Expiration=1,IF($A324&lt;VLOOKUP(P$5,NFI,5,0),1,0)*Table_NFI[[#This Row],[Plastic Bucket]],Table_NFI[Plastic Bucket])</f>
        <v>0</v>
      </c>
      <c r="AH324" s="294">
        <f>IF(NFI_Expiration=1,IF($A324&lt;VLOOKUP(Q$5,NFI,5,0),1,0)*Table_NFI[[#This Row],[Plastic Mat]],Table_NFI[Plastic Mat])*IF(Table_NFI[[#This Row],[Distribution Date]]&gt;"2014-04-01",1,2.5)</f>
        <v>0</v>
      </c>
      <c r="AI324" s="294">
        <f>IF(NFI_Expiration=1,IF($A324&lt;VLOOKUP(R$5,NFI,5,0),1,0)*Table_NFI[[#This Row],[Winter Clothes Adult]],Table_NFI[Winter Clothes Adult])</f>
        <v>0</v>
      </c>
      <c r="AJ324" s="294">
        <f>IF(NFI_Expiration=1,IF($A324&lt;VLOOKUP(S$5,NFI,5,0),1,0)*Table_NFI[[#This Row],[Winter Clothes Children]],Table_NFI[Winter Clothes Children])</f>
        <v>0</v>
      </c>
      <c r="AK324" s="294">
        <f>IF(NFI_Expiration=1,IF($A324&lt;VLOOKUP(T$5,NFI,5,0),1,0)*Table_NFI[[#This Row],[Winter Items Other]],Table_NFI[Winter Items Other])</f>
        <v>0</v>
      </c>
      <c r="AL324" s="294">
        <f>IF(NFI_Expiration=1,IF($A324&lt;VLOOKUP(M$5,NFI,5,0),1,0)*Table_NFI[[#This Row],[Winter Blanket]],Table_NFI[[#This Row],[Winter Blanket]])</f>
        <v>0</v>
      </c>
      <c r="AM324" s="294">
        <f>IF(Table_NFI[[#This Row],[Winter Clothes Adult]]+Table_NFI[[#This Row],[Winter Clothes Children]]+Table_NFI[[#This Row],[Winter Items Other]]+Table_NFI[[#This Row],[Winter Blanket]]&gt;0,1,0)</f>
        <v>0</v>
      </c>
      <c r="AN324" s="331">
        <f>IF(NFI_Expiration=1,IF($A324&lt;VLOOKUP(V$5,NFI,5,0),1,0)*Table_NFI[[#This Row],[Jerry Can]],Table_NFI[Jerry Can])</f>
        <v>0</v>
      </c>
      <c r="AO324" s="331">
        <f>IF(NFI_Expiration=1,IF($A324&lt;VLOOKUP(V$5,NFI,5,0),1,0)*Table_NFI[[#This Row],[Shelter Tool kit]],Table_NFI[Shelter Tool kit])</f>
        <v>0</v>
      </c>
      <c r="AP324" s="331">
        <f>IF(NFI_Expiration=1,IF($A324&lt;VLOOKUP(V$5,NFI,5,0),1,0)*Table_NFI[[#This Row],[Tent]],Table_NFI[Tent])</f>
        <v>0</v>
      </c>
      <c r="AQ324" s="473" t="str">
        <f>IFERROR(VLOOKUP(Table_NFI[[#This Row],[Camp Name]],CL,2,0),"")</f>
        <v>MMR001CMP070</v>
      </c>
      <c r="AR324" s="468">
        <f ca="1">IF(Table_NFI[[#This Row],[Pcode]]="","",IF(OFFSET(CampList[Opening Date],MATCH(Table_NFI[[#This Row],[Pcode]],CampList[CP_Pcode],0)-1,0,1,1)&gt;=NFI_Monitor_Date,1,0))</f>
        <v>0</v>
      </c>
      <c r="AS324" s="473" t="str">
        <f>IFERROR(VLOOKUP(Table_NFI[[#This Row],[Camp Name]],CL,3,0),"")</f>
        <v>Open</v>
      </c>
      <c r="AT324" s="294" t="str">
        <f ca="1">IF(Table_NFI[[#This Row],[Pcode]]="","",OFFSET(CampList[Priority],MATCH(Table_NFI[[#This Row],[Pcode]],CampList[CP_Pcode],0)-1,0,1,1))</f>
        <v>P3</v>
      </c>
      <c r="AU324" s="293">
        <f>IFERROR(Table_NFI[[#This Row],[Kitchen Set]]/VLOOKUP(Table_NFI[[#This Row],[Camp Name]],CL,4,0),"")</f>
        <v>0.1875</v>
      </c>
      <c r="AV324" s="466"/>
      <c r="AW324" s="469"/>
    </row>
    <row r="325" spans="1:49" s="470" customFormat="1" x14ac:dyDescent="0.25">
      <c r="A325" s="297">
        <f t="shared" si="4"/>
        <v>27.333333333333332</v>
      </c>
      <c r="B325" s="465">
        <v>41855</v>
      </c>
      <c r="C325" s="466" t="s">
        <v>452</v>
      </c>
      <c r="D325" s="466"/>
      <c r="E325" s="466" t="s">
        <v>380</v>
      </c>
      <c r="F325" s="466" t="s">
        <v>151</v>
      </c>
      <c r="G325" s="466" t="s">
        <v>942</v>
      </c>
      <c r="H325" s="291"/>
      <c r="I325" s="291"/>
      <c r="J325" s="291"/>
      <c r="K325" s="291"/>
      <c r="L325" s="292"/>
      <c r="M325" s="292"/>
      <c r="N325" s="292"/>
      <c r="O325" s="292"/>
      <c r="P325" s="294">
        <v>2</v>
      </c>
      <c r="Q325" s="294"/>
      <c r="R325" s="294"/>
      <c r="S325" s="294"/>
      <c r="T325" s="294"/>
      <c r="U325" s="294"/>
      <c r="V325" s="431"/>
      <c r="W325" s="294"/>
      <c r="X325" s="294"/>
      <c r="Y325" s="294">
        <f>IF(NFI_Expiration=1,IF($A325&lt;VLOOKUP(H$5,NFI,5,0),1,0)*Table_NFI[[#This Row],[Hygiene Kit]],Table_NFI[Hygiene Kit])</f>
        <v>0</v>
      </c>
      <c r="Z325" s="294">
        <f>IF(NFI_Expiration=1,IF($A325&lt;VLOOKUP(I$5,NFI,5,0),1,0)*Table_NFI[[#This Row],[NFI Core Kit]],Table_NFI[NFI Core Kit])</f>
        <v>0</v>
      </c>
      <c r="AA325" s="294">
        <f>IF(NFI_Expiration=1,IF($A325&lt;VLOOKUP(J$5,NFI,5,0),1,0)*Table_NFI[[#This Row],[Sanitary Kit]],Table_NFI[Sanitary Kit])</f>
        <v>0</v>
      </c>
      <c r="AB325" s="294">
        <f>IF(NFI_Expiration=1,IF($A325&lt;VLOOKUP(K$5,NFI,5,0),1,0)*Table_NFI[[#This Row],[Mosquito net]],Table_NFI[Mosquito net])</f>
        <v>0</v>
      </c>
      <c r="AC325" s="294">
        <f>IF(NFI_Expiration=1,IF($A325&lt;VLOOKUP(L$5,NFI,5,0),1,0)*Table_NFI[[#This Row],[Tarpaulin]],Table_NFI[[#This Row],[Tarpaulin]])</f>
        <v>0</v>
      </c>
      <c r="AD325" s="294">
        <f>IF(NFI_Expiration=1,IF($A325&lt;VLOOKUP(M$5,NFI,5,0),1,0)*Table_NFI[[#This Row],[Blanket]],Table_NFI[[#This Row],[Blanket]])</f>
        <v>0</v>
      </c>
      <c r="AE325" s="294">
        <f>IF(NFI_Expiration=1,IF($A325&lt;VLOOKUP(N$5,NFI,5,0),1,0)*Table_NFI[[#This Row],[Kitchen Set]],Table_NFI[Kitchen Set])</f>
        <v>0</v>
      </c>
      <c r="AF325" s="294">
        <f>IF(NFI_Expiration=1,IF($A325&lt;VLOOKUP(O$5,NFI,5,0),1,0)*Table_NFI[[#This Row],[Clothes Kit]],Table_NFI[Clothes Kit])</f>
        <v>0</v>
      </c>
      <c r="AG325" s="294">
        <f>IF(NFI_Expiration=1,IF($A325&lt;VLOOKUP(P$5,NFI,5,0),1,0)*Table_NFI[[#This Row],[Plastic Bucket]],Table_NFI[Plastic Bucket])</f>
        <v>0</v>
      </c>
      <c r="AH325" s="294">
        <f>IF(NFI_Expiration=1,IF($A325&lt;VLOOKUP(Q$5,NFI,5,0),1,0)*Table_NFI[[#This Row],[Plastic Mat]],Table_NFI[Plastic Mat])*IF(Table_NFI[[#This Row],[Distribution Date]]&gt;"2014-04-01",1,2.5)</f>
        <v>0</v>
      </c>
      <c r="AI325" s="294">
        <f>IF(NFI_Expiration=1,IF($A325&lt;VLOOKUP(R$5,NFI,5,0),1,0)*Table_NFI[[#This Row],[Winter Clothes Adult]],Table_NFI[Winter Clothes Adult])</f>
        <v>0</v>
      </c>
      <c r="AJ325" s="294">
        <f>IF(NFI_Expiration=1,IF($A325&lt;VLOOKUP(S$5,NFI,5,0),1,0)*Table_NFI[[#This Row],[Winter Clothes Children]],Table_NFI[Winter Clothes Children])</f>
        <v>0</v>
      </c>
      <c r="AK325" s="294">
        <f>IF(NFI_Expiration=1,IF($A325&lt;VLOOKUP(T$5,NFI,5,0),1,0)*Table_NFI[[#This Row],[Winter Items Other]],Table_NFI[Winter Items Other])</f>
        <v>0</v>
      </c>
      <c r="AL325" s="294">
        <f>IF(NFI_Expiration=1,IF($A325&lt;VLOOKUP(M$5,NFI,5,0),1,0)*Table_NFI[[#This Row],[Winter Blanket]],Table_NFI[[#This Row],[Winter Blanket]])</f>
        <v>0</v>
      </c>
      <c r="AM325" s="294">
        <f>IF(Table_NFI[[#This Row],[Winter Clothes Adult]]+Table_NFI[[#This Row],[Winter Clothes Children]]+Table_NFI[[#This Row],[Winter Items Other]]+Table_NFI[[#This Row],[Winter Blanket]]&gt;0,1,0)</f>
        <v>0</v>
      </c>
      <c r="AN325" s="331">
        <f>IF(NFI_Expiration=1,IF($A325&lt;VLOOKUP(V$5,NFI,5,0),1,0)*Table_NFI[[#This Row],[Jerry Can]],Table_NFI[Jerry Can])</f>
        <v>0</v>
      </c>
      <c r="AO325" s="331">
        <f>IF(NFI_Expiration=1,IF($A325&lt;VLOOKUP(V$5,NFI,5,0),1,0)*Table_NFI[[#This Row],[Shelter Tool kit]],Table_NFI[Shelter Tool kit])</f>
        <v>0</v>
      </c>
      <c r="AP325" s="331">
        <f>IF(NFI_Expiration=1,IF($A325&lt;VLOOKUP(V$5,NFI,5,0),1,0)*Table_NFI[[#This Row],[Tent]],Table_NFI[Tent])</f>
        <v>0</v>
      </c>
      <c r="AQ325" s="473" t="str">
        <f>IFERROR(VLOOKUP(Table_NFI[[#This Row],[Camp Name]],CL,2,0),"")</f>
        <v>MMR001CMP223</v>
      </c>
      <c r="AR325" s="468">
        <f ca="1">IF(Table_NFI[[#This Row],[Pcode]]="","",IF(OFFSET(CampList[Opening Date],MATCH(Table_NFI[[#This Row],[Pcode]],CampList[CP_Pcode],0)-1,0,1,1)&gt;=NFI_Monitor_Date,1,0))</f>
        <v>0</v>
      </c>
      <c r="AS325" s="473" t="str">
        <f>IFERROR(VLOOKUP(Table_NFI[[#This Row],[Camp Name]],CL,3,0),"")</f>
        <v>Open</v>
      </c>
      <c r="AT325" s="294" t="str">
        <f ca="1">IF(Table_NFI[[#This Row],[Pcode]]="","",OFFSET(CampList[Priority],MATCH(Table_NFI[[#This Row],[Pcode]],CampList[CP_Pcode],0)-1,0,1,1))</f>
        <v>P4</v>
      </c>
      <c r="AU325" s="293">
        <f>IFERROR(Table_NFI[[#This Row],[Kitchen Set]]/VLOOKUP(Table_NFI[[#This Row],[Camp Name]],CL,4,0),"")</f>
        <v>0</v>
      </c>
      <c r="AV325" s="466"/>
      <c r="AW325" s="469"/>
    </row>
    <row r="326" spans="1:49" s="470" customFormat="1" ht="14.45" customHeight="1" x14ac:dyDescent="0.25">
      <c r="A326" s="297">
        <f t="shared" ref="A326:A389" si="5">IF(ISBLANK(B326),"",(Report_Date-B326)/30)</f>
        <v>27.333333333333332</v>
      </c>
      <c r="B326" s="465">
        <v>41855</v>
      </c>
      <c r="C326" s="466" t="s">
        <v>452</v>
      </c>
      <c r="D326" s="466"/>
      <c r="E326" s="466" t="s">
        <v>380</v>
      </c>
      <c r="F326" s="466" t="s">
        <v>5</v>
      </c>
      <c r="G326" s="466"/>
      <c r="H326" s="291"/>
      <c r="I326" s="291"/>
      <c r="J326" s="291"/>
      <c r="K326" s="291"/>
      <c r="L326" s="292">
        <v>5</v>
      </c>
      <c r="M326" s="292"/>
      <c r="N326" s="292"/>
      <c r="O326" s="292"/>
      <c r="P326" s="294"/>
      <c r="Q326" s="294"/>
      <c r="R326" s="294"/>
      <c r="S326" s="294"/>
      <c r="T326" s="294"/>
      <c r="U326" s="294"/>
      <c r="V326" s="431"/>
      <c r="W326" s="294"/>
      <c r="X326" s="294"/>
      <c r="Y326" s="294">
        <f>IF(NFI_Expiration=1,IF($A326&lt;VLOOKUP(H$5,NFI,5,0),1,0)*Table_NFI[[#This Row],[Hygiene Kit]],Table_NFI[Hygiene Kit])</f>
        <v>0</v>
      </c>
      <c r="Z326" s="294">
        <f>IF(NFI_Expiration=1,IF($A326&lt;VLOOKUP(I$5,NFI,5,0),1,0)*Table_NFI[[#This Row],[NFI Core Kit]],Table_NFI[NFI Core Kit])</f>
        <v>0</v>
      </c>
      <c r="AA326" s="294">
        <f>IF(NFI_Expiration=1,IF($A326&lt;VLOOKUP(J$5,NFI,5,0),1,0)*Table_NFI[[#This Row],[Sanitary Kit]],Table_NFI[Sanitary Kit])</f>
        <v>0</v>
      </c>
      <c r="AB326" s="294">
        <f>IF(NFI_Expiration=1,IF($A326&lt;VLOOKUP(K$5,NFI,5,0),1,0)*Table_NFI[[#This Row],[Mosquito net]],Table_NFI[Mosquito net])</f>
        <v>0</v>
      </c>
      <c r="AC326" s="294">
        <f>IF(NFI_Expiration=1,IF($A326&lt;VLOOKUP(L$5,NFI,5,0),1,0)*Table_NFI[[#This Row],[Tarpaulin]],Table_NFI[[#This Row],[Tarpaulin]])</f>
        <v>0</v>
      </c>
      <c r="AD326" s="294">
        <f>IF(NFI_Expiration=1,IF($A326&lt;VLOOKUP(M$5,NFI,5,0),1,0)*Table_NFI[[#This Row],[Blanket]],Table_NFI[[#This Row],[Blanket]])</f>
        <v>0</v>
      </c>
      <c r="AE326" s="294">
        <f>IF(NFI_Expiration=1,IF($A326&lt;VLOOKUP(N$5,NFI,5,0),1,0)*Table_NFI[[#This Row],[Kitchen Set]],Table_NFI[Kitchen Set])</f>
        <v>0</v>
      </c>
      <c r="AF326" s="294">
        <f>IF(NFI_Expiration=1,IF($A326&lt;VLOOKUP(O$5,NFI,5,0),1,0)*Table_NFI[[#This Row],[Clothes Kit]],Table_NFI[Clothes Kit])</f>
        <v>0</v>
      </c>
      <c r="AG326" s="294">
        <f>IF(NFI_Expiration=1,IF($A326&lt;VLOOKUP(P$5,NFI,5,0),1,0)*Table_NFI[[#This Row],[Plastic Bucket]],Table_NFI[Plastic Bucket])</f>
        <v>0</v>
      </c>
      <c r="AH326" s="294">
        <f>IF(NFI_Expiration=1,IF($A326&lt;VLOOKUP(Q$5,NFI,5,0),1,0)*Table_NFI[[#This Row],[Plastic Mat]],Table_NFI[Plastic Mat])*IF(Table_NFI[[#This Row],[Distribution Date]]&gt;"2014-04-01",1,2.5)</f>
        <v>0</v>
      </c>
      <c r="AI326" s="294">
        <f>IF(NFI_Expiration=1,IF($A326&lt;VLOOKUP(R$5,NFI,5,0),1,0)*Table_NFI[[#This Row],[Winter Clothes Adult]],Table_NFI[Winter Clothes Adult])</f>
        <v>0</v>
      </c>
      <c r="AJ326" s="294">
        <f>IF(NFI_Expiration=1,IF($A326&lt;VLOOKUP(S$5,NFI,5,0),1,0)*Table_NFI[[#This Row],[Winter Clothes Children]],Table_NFI[Winter Clothes Children])</f>
        <v>0</v>
      </c>
      <c r="AK326" s="294">
        <f>IF(NFI_Expiration=1,IF($A326&lt;VLOOKUP(T$5,NFI,5,0),1,0)*Table_NFI[[#This Row],[Winter Items Other]],Table_NFI[Winter Items Other])</f>
        <v>0</v>
      </c>
      <c r="AL326" s="294">
        <f>IF(NFI_Expiration=1,IF($A326&lt;VLOOKUP(M$5,NFI,5,0),1,0)*Table_NFI[[#This Row],[Winter Blanket]],Table_NFI[[#This Row],[Winter Blanket]])</f>
        <v>0</v>
      </c>
      <c r="AM326" s="294">
        <f>IF(Table_NFI[[#This Row],[Winter Clothes Adult]]+Table_NFI[[#This Row],[Winter Clothes Children]]+Table_NFI[[#This Row],[Winter Items Other]]+Table_NFI[[#This Row],[Winter Blanket]]&gt;0,1,0)</f>
        <v>0</v>
      </c>
      <c r="AN326" s="331">
        <f>IF(NFI_Expiration=1,IF($A326&lt;VLOOKUP(V$5,NFI,5,0),1,0)*Table_NFI[[#This Row],[Jerry Can]],Table_NFI[Jerry Can])</f>
        <v>0</v>
      </c>
      <c r="AO326" s="331">
        <f>IF(NFI_Expiration=1,IF($A326&lt;VLOOKUP(V$5,NFI,5,0),1,0)*Table_NFI[[#This Row],[Shelter Tool kit]],Table_NFI[Shelter Tool kit])</f>
        <v>0</v>
      </c>
      <c r="AP326" s="331">
        <f>IF(NFI_Expiration=1,IF($A326&lt;VLOOKUP(V$5,NFI,5,0),1,0)*Table_NFI[[#This Row],[Tent]],Table_NFI[Tent])</f>
        <v>0</v>
      </c>
      <c r="AQ326" s="473" t="str">
        <f>IFERROR(VLOOKUP(Table_NFI[[#This Row],[Camp Name]],CL,2,0),"")</f>
        <v/>
      </c>
      <c r="AR326" s="468" t="str">
        <f ca="1">IF(Table_NFI[[#This Row],[Pcode]]="","",IF(OFFSET(CampList[Opening Date],MATCH(Table_NFI[[#This Row],[Pcode]],CampList[CP_Pcode],0)-1,0,1,1)&gt;=NFI_Monitor_Date,1,0))</f>
        <v/>
      </c>
      <c r="AS326" s="473" t="str">
        <f>IFERROR(VLOOKUP(Table_NFI[[#This Row],[Camp Name]],CL,3,0),"")</f>
        <v/>
      </c>
      <c r="AT326" s="294" t="str">
        <f ca="1">IF(Table_NFI[[#This Row],[Pcode]]="","",OFFSET(CampList[Priority],MATCH(Table_NFI[[#This Row],[Pcode]],CampList[CP_Pcode],0)-1,0,1,1))</f>
        <v/>
      </c>
      <c r="AU326" s="293" t="str">
        <f>IFERROR(Table_NFI[[#This Row],[Kitchen Set]]/VLOOKUP(Table_NFI[[#This Row],[Camp Name]],CL,4,0),"")</f>
        <v/>
      </c>
      <c r="AV326" s="466"/>
      <c r="AW326" s="469"/>
    </row>
    <row r="327" spans="1:49" s="470" customFormat="1" ht="14.45" customHeight="1" x14ac:dyDescent="0.25">
      <c r="A327" s="297">
        <f t="shared" si="5"/>
        <v>27.533333333333335</v>
      </c>
      <c r="B327" s="465">
        <v>41849</v>
      </c>
      <c r="C327" s="466" t="s">
        <v>452</v>
      </c>
      <c r="D327" s="466"/>
      <c r="E327" s="466" t="s">
        <v>380</v>
      </c>
      <c r="F327" s="466" t="s">
        <v>185</v>
      </c>
      <c r="G327" s="466" t="s">
        <v>196</v>
      </c>
      <c r="H327" s="291"/>
      <c r="I327" s="291"/>
      <c r="J327" s="291"/>
      <c r="K327" s="291">
        <v>254</v>
      </c>
      <c r="L327" s="292">
        <v>204</v>
      </c>
      <c r="M327" s="292">
        <v>254</v>
      </c>
      <c r="N327" s="292">
        <v>134</v>
      </c>
      <c r="O327" s="292"/>
      <c r="P327" s="294">
        <v>134</v>
      </c>
      <c r="Q327" s="294">
        <v>608</v>
      </c>
      <c r="R327" s="294"/>
      <c r="S327" s="294"/>
      <c r="T327" s="294"/>
      <c r="U327" s="294"/>
      <c r="V327" s="431"/>
      <c r="W327" s="294"/>
      <c r="X327" s="294"/>
      <c r="Y327" s="294">
        <f>IF(NFI_Expiration=1,IF($A327&lt;VLOOKUP(H$5,NFI,5,0),1,0)*Table_NFI[[#This Row],[Hygiene Kit]],Table_NFI[Hygiene Kit])</f>
        <v>0</v>
      </c>
      <c r="Z327" s="294">
        <f>IF(NFI_Expiration=1,IF($A327&lt;VLOOKUP(I$5,NFI,5,0),1,0)*Table_NFI[[#This Row],[NFI Core Kit]],Table_NFI[NFI Core Kit])</f>
        <v>0</v>
      </c>
      <c r="AA327" s="294">
        <f>IF(NFI_Expiration=1,IF($A327&lt;VLOOKUP(J$5,NFI,5,0),1,0)*Table_NFI[[#This Row],[Sanitary Kit]],Table_NFI[Sanitary Kit])</f>
        <v>0</v>
      </c>
      <c r="AB327" s="294">
        <f>IF(NFI_Expiration=1,IF($A327&lt;VLOOKUP(K$5,NFI,5,0),1,0)*Table_NFI[[#This Row],[Mosquito net]],Table_NFI[Mosquito net])</f>
        <v>0</v>
      </c>
      <c r="AC327" s="294">
        <f>IF(NFI_Expiration=1,IF($A327&lt;VLOOKUP(L$5,NFI,5,0),1,0)*Table_NFI[[#This Row],[Tarpaulin]],Table_NFI[[#This Row],[Tarpaulin]])</f>
        <v>0</v>
      </c>
      <c r="AD327" s="294">
        <f>IF(NFI_Expiration=1,IF($A327&lt;VLOOKUP(M$5,NFI,5,0),1,0)*Table_NFI[[#This Row],[Blanket]],Table_NFI[[#This Row],[Blanket]])</f>
        <v>0</v>
      </c>
      <c r="AE327" s="294">
        <f>IF(NFI_Expiration=1,IF($A327&lt;VLOOKUP(N$5,NFI,5,0),1,0)*Table_NFI[[#This Row],[Kitchen Set]],Table_NFI[Kitchen Set])</f>
        <v>0</v>
      </c>
      <c r="AF327" s="294">
        <f>IF(NFI_Expiration=1,IF($A327&lt;VLOOKUP(O$5,NFI,5,0),1,0)*Table_NFI[[#This Row],[Clothes Kit]],Table_NFI[Clothes Kit])</f>
        <v>0</v>
      </c>
      <c r="AG327" s="294">
        <f>IF(NFI_Expiration=1,IF($A327&lt;VLOOKUP(P$5,NFI,5,0),1,0)*Table_NFI[[#This Row],[Plastic Bucket]],Table_NFI[Plastic Bucket])</f>
        <v>0</v>
      </c>
      <c r="AH327" s="294">
        <f>IF(NFI_Expiration=1,IF($A327&lt;VLOOKUP(Q$5,NFI,5,0),1,0)*Table_NFI[[#This Row],[Plastic Mat]],Table_NFI[Plastic Mat])*IF(Table_NFI[[#This Row],[Distribution Date]]&gt;"2014-04-01",1,2.5)</f>
        <v>0</v>
      </c>
      <c r="AI327" s="294">
        <f>IF(NFI_Expiration=1,IF($A327&lt;VLOOKUP(R$5,NFI,5,0),1,0)*Table_NFI[[#This Row],[Winter Clothes Adult]],Table_NFI[Winter Clothes Adult])</f>
        <v>0</v>
      </c>
      <c r="AJ327" s="294">
        <f>IF(NFI_Expiration=1,IF($A327&lt;VLOOKUP(S$5,NFI,5,0),1,0)*Table_NFI[[#This Row],[Winter Clothes Children]],Table_NFI[Winter Clothes Children])</f>
        <v>0</v>
      </c>
      <c r="AK327" s="294">
        <f>IF(NFI_Expiration=1,IF($A327&lt;VLOOKUP(T$5,NFI,5,0),1,0)*Table_NFI[[#This Row],[Winter Items Other]],Table_NFI[Winter Items Other])</f>
        <v>0</v>
      </c>
      <c r="AL327" s="294">
        <f>IF(NFI_Expiration=1,IF($A327&lt;VLOOKUP(M$5,NFI,5,0),1,0)*Table_NFI[[#This Row],[Winter Blanket]],Table_NFI[[#This Row],[Winter Blanket]])</f>
        <v>0</v>
      </c>
      <c r="AM327" s="294">
        <f>IF(Table_NFI[[#This Row],[Winter Clothes Adult]]+Table_NFI[[#This Row],[Winter Clothes Children]]+Table_NFI[[#This Row],[Winter Items Other]]+Table_NFI[[#This Row],[Winter Blanket]]&gt;0,1,0)</f>
        <v>0</v>
      </c>
      <c r="AN327" s="331">
        <f>IF(NFI_Expiration=1,IF($A327&lt;VLOOKUP(V$5,NFI,5,0),1,0)*Table_NFI[[#This Row],[Jerry Can]],Table_NFI[Jerry Can])</f>
        <v>0</v>
      </c>
      <c r="AO327" s="331">
        <f>IF(NFI_Expiration=1,IF($A327&lt;VLOOKUP(V$5,NFI,5,0),1,0)*Table_NFI[[#This Row],[Shelter Tool kit]],Table_NFI[Shelter Tool kit])</f>
        <v>0</v>
      </c>
      <c r="AP327" s="331">
        <f>IF(NFI_Expiration=1,IF($A327&lt;VLOOKUP(V$5,NFI,5,0),1,0)*Table_NFI[[#This Row],[Tent]],Table_NFI[Tent])</f>
        <v>0</v>
      </c>
      <c r="AQ327" s="473" t="str">
        <f>IFERROR(VLOOKUP(Table_NFI[[#This Row],[Camp Name]],CL,2,0),"")</f>
        <v>MMR001CMP121</v>
      </c>
      <c r="AR327" s="468">
        <f ca="1">IF(Table_NFI[[#This Row],[Pcode]]="","",IF(OFFSET(CampList[Opening Date],MATCH(Table_NFI[[#This Row],[Pcode]],CampList[CP_Pcode],0)-1,0,1,1)&gt;=NFI_Monitor_Date,1,0))</f>
        <v>0</v>
      </c>
      <c r="AS327" s="473" t="str">
        <f>IFERROR(VLOOKUP(Table_NFI[[#This Row],[Camp Name]],CL,3,0),"")</f>
        <v>Open</v>
      </c>
      <c r="AT327" s="294" t="str">
        <f ca="1">IF(Table_NFI[[#This Row],[Pcode]]="","",OFFSET(CampList[Priority],MATCH(Table_NFI[[#This Row],[Pcode]],CampList[CP_Pcode],0)-1,0,1,1))</f>
        <v>P2</v>
      </c>
      <c r="AU327" s="293">
        <f>IFERROR(Table_NFI[[#This Row],[Kitchen Set]]/VLOOKUP(Table_NFI[[#This Row],[Camp Name]],CL,4,0),"")</f>
        <v>8.1261370527592483E-2</v>
      </c>
      <c r="AV327" s="466"/>
      <c r="AW327" s="469"/>
    </row>
    <row r="328" spans="1:49" s="470" customFormat="1" ht="14.45" customHeight="1" x14ac:dyDescent="0.25">
      <c r="A328" s="297">
        <f t="shared" si="5"/>
        <v>27.533333333333335</v>
      </c>
      <c r="B328" s="465">
        <v>41849</v>
      </c>
      <c r="C328" s="466" t="s">
        <v>452</v>
      </c>
      <c r="D328" s="466"/>
      <c r="E328" s="466" t="s">
        <v>380</v>
      </c>
      <c r="F328" s="466" t="s">
        <v>310</v>
      </c>
      <c r="G328" s="466" t="s">
        <v>353</v>
      </c>
      <c r="H328" s="291"/>
      <c r="I328" s="291"/>
      <c r="J328" s="291"/>
      <c r="K328" s="291">
        <v>46</v>
      </c>
      <c r="L328" s="292">
        <v>46</v>
      </c>
      <c r="M328" s="292">
        <v>46</v>
      </c>
      <c r="N328" s="292">
        <v>16</v>
      </c>
      <c r="O328" s="292"/>
      <c r="P328" s="294">
        <v>16</v>
      </c>
      <c r="Q328" s="294">
        <v>142</v>
      </c>
      <c r="R328" s="294"/>
      <c r="S328" s="294"/>
      <c r="T328" s="294"/>
      <c r="U328" s="294"/>
      <c r="V328" s="431"/>
      <c r="W328" s="294"/>
      <c r="X328" s="294"/>
      <c r="Y328" s="294">
        <f>IF(NFI_Expiration=1,IF($A328&lt;VLOOKUP(H$5,NFI,5,0),1,0)*Table_NFI[[#This Row],[Hygiene Kit]],Table_NFI[Hygiene Kit])</f>
        <v>0</v>
      </c>
      <c r="Z328" s="294">
        <f>IF(NFI_Expiration=1,IF($A328&lt;VLOOKUP(I$5,NFI,5,0),1,0)*Table_NFI[[#This Row],[NFI Core Kit]],Table_NFI[NFI Core Kit])</f>
        <v>0</v>
      </c>
      <c r="AA328" s="294">
        <f>IF(NFI_Expiration=1,IF($A328&lt;VLOOKUP(J$5,NFI,5,0),1,0)*Table_NFI[[#This Row],[Sanitary Kit]],Table_NFI[Sanitary Kit])</f>
        <v>0</v>
      </c>
      <c r="AB328" s="294">
        <f>IF(NFI_Expiration=1,IF($A328&lt;VLOOKUP(K$5,NFI,5,0),1,0)*Table_NFI[[#This Row],[Mosquito net]],Table_NFI[Mosquito net])</f>
        <v>0</v>
      </c>
      <c r="AC328" s="294">
        <f>IF(NFI_Expiration=1,IF($A328&lt;VLOOKUP(L$5,NFI,5,0),1,0)*Table_NFI[[#This Row],[Tarpaulin]],Table_NFI[[#This Row],[Tarpaulin]])</f>
        <v>0</v>
      </c>
      <c r="AD328" s="294">
        <f>IF(NFI_Expiration=1,IF($A328&lt;VLOOKUP(M$5,NFI,5,0),1,0)*Table_NFI[[#This Row],[Blanket]],Table_NFI[[#This Row],[Blanket]])</f>
        <v>0</v>
      </c>
      <c r="AE328" s="294">
        <f>IF(NFI_Expiration=1,IF($A328&lt;VLOOKUP(N$5,NFI,5,0),1,0)*Table_NFI[[#This Row],[Kitchen Set]],Table_NFI[Kitchen Set])</f>
        <v>0</v>
      </c>
      <c r="AF328" s="294">
        <f>IF(NFI_Expiration=1,IF($A328&lt;VLOOKUP(O$5,NFI,5,0),1,0)*Table_NFI[[#This Row],[Clothes Kit]],Table_NFI[Clothes Kit])</f>
        <v>0</v>
      </c>
      <c r="AG328" s="294">
        <f>IF(NFI_Expiration=1,IF($A328&lt;VLOOKUP(P$5,NFI,5,0),1,0)*Table_NFI[[#This Row],[Plastic Bucket]],Table_NFI[Plastic Bucket])</f>
        <v>0</v>
      </c>
      <c r="AH328" s="294">
        <f>IF(NFI_Expiration=1,IF($A328&lt;VLOOKUP(Q$5,NFI,5,0),1,0)*Table_NFI[[#This Row],[Plastic Mat]],Table_NFI[Plastic Mat])*IF(Table_NFI[[#This Row],[Distribution Date]]&gt;"2014-04-01",1,2.5)</f>
        <v>0</v>
      </c>
      <c r="AI328" s="294">
        <f>IF(NFI_Expiration=1,IF($A328&lt;VLOOKUP(R$5,NFI,5,0),1,0)*Table_NFI[[#This Row],[Winter Clothes Adult]],Table_NFI[Winter Clothes Adult])</f>
        <v>0</v>
      </c>
      <c r="AJ328" s="294">
        <f>IF(NFI_Expiration=1,IF($A328&lt;VLOOKUP(S$5,NFI,5,0),1,0)*Table_NFI[[#This Row],[Winter Clothes Children]],Table_NFI[Winter Clothes Children])</f>
        <v>0</v>
      </c>
      <c r="AK328" s="294">
        <f>IF(NFI_Expiration=1,IF($A328&lt;VLOOKUP(T$5,NFI,5,0),1,0)*Table_NFI[[#This Row],[Winter Items Other]],Table_NFI[Winter Items Other])</f>
        <v>0</v>
      </c>
      <c r="AL328" s="294">
        <f>IF(NFI_Expiration=1,IF($A328&lt;VLOOKUP(M$5,NFI,5,0),1,0)*Table_NFI[[#This Row],[Winter Blanket]],Table_NFI[[#This Row],[Winter Blanket]])</f>
        <v>0</v>
      </c>
      <c r="AM328" s="294">
        <f>IF(Table_NFI[[#This Row],[Winter Clothes Adult]]+Table_NFI[[#This Row],[Winter Clothes Children]]+Table_NFI[[#This Row],[Winter Items Other]]+Table_NFI[[#This Row],[Winter Blanket]]&gt;0,1,0)</f>
        <v>0</v>
      </c>
      <c r="AN328" s="331">
        <f>IF(NFI_Expiration=1,IF($A328&lt;VLOOKUP(V$5,NFI,5,0),1,0)*Table_NFI[[#This Row],[Jerry Can]],Table_NFI[Jerry Can])</f>
        <v>0</v>
      </c>
      <c r="AO328" s="331">
        <f>IF(NFI_Expiration=1,IF($A328&lt;VLOOKUP(V$5,NFI,5,0),1,0)*Table_NFI[[#This Row],[Shelter Tool kit]],Table_NFI[Shelter Tool kit])</f>
        <v>0</v>
      </c>
      <c r="AP328" s="331">
        <f>IF(NFI_Expiration=1,IF($A328&lt;VLOOKUP(V$5,NFI,5,0),1,0)*Table_NFI[[#This Row],[Tent]],Table_NFI[Tent])</f>
        <v>0</v>
      </c>
      <c r="AQ328" s="473" t="str">
        <f>IFERROR(VLOOKUP(Table_NFI[[#This Row],[Camp Name]],CL,2,0),"")</f>
        <v>MMR001CMP116</v>
      </c>
      <c r="AR328" s="468">
        <f ca="1">IF(Table_NFI[[#This Row],[Pcode]]="","",IF(OFFSET(CampList[Opening Date],MATCH(Table_NFI[[#This Row],[Pcode]],CampList[CP_Pcode],0)-1,0,1,1)&gt;=NFI_Monitor_Date,1,0))</f>
        <v>0</v>
      </c>
      <c r="AS328" s="473" t="str">
        <f>IFERROR(VLOOKUP(Table_NFI[[#This Row],[Camp Name]],CL,3,0),"")</f>
        <v>Open</v>
      </c>
      <c r="AT328" s="294" t="str">
        <f ca="1">IF(Table_NFI[[#This Row],[Pcode]]="","",OFFSET(CampList[Priority],MATCH(Table_NFI[[#This Row],[Pcode]],CampList[CP_Pcode],0)-1,0,1,1))</f>
        <v>P4</v>
      </c>
      <c r="AU328" s="293">
        <f>IFERROR(Table_NFI[[#This Row],[Kitchen Set]]/VLOOKUP(Table_NFI[[#This Row],[Camp Name]],CL,4,0),"")</f>
        <v>1.1670313639679067E-2</v>
      </c>
      <c r="AV328" s="466"/>
      <c r="AW328" s="469"/>
    </row>
    <row r="329" spans="1:49" s="470" customFormat="1" x14ac:dyDescent="0.25">
      <c r="A329" s="297">
        <f t="shared" si="5"/>
        <v>27.666666666666668</v>
      </c>
      <c r="B329" s="465">
        <v>41845</v>
      </c>
      <c r="C329" s="466" t="s">
        <v>452</v>
      </c>
      <c r="D329" s="466"/>
      <c r="E329" s="466" t="s">
        <v>380</v>
      </c>
      <c r="F329" s="466" t="s">
        <v>5</v>
      </c>
      <c r="G329" s="466" t="s">
        <v>18</v>
      </c>
      <c r="H329" s="291"/>
      <c r="I329" s="291"/>
      <c r="J329" s="291"/>
      <c r="K329" s="291"/>
      <c r="L329" s="292">
        <v>7</v>
      </c>
      <c r="M329" s="292">
        <v>3</v>
      </c>
      <c r="N329" s="292"/>
      <c r="O329" s="292"/>
      <c r="P329" s="294">
        <v>4</v>
      </c>
      <c r="Q329" s="294">
        <v>9</v>
      </c>
      <c r="R329" s="294"/>
      <c r="S329" s="294"/>
      <c r="T329" s="294"/>
      <c r="U329" s="294"/>
      <c r="V329" s="431"/>
      <c r="W329" s="294"/>
      <c r="X329" s="294"/>
      <c r="Y329" s="294">
        <f>IF(NFI_Expiration=1,IF($A329&lt;VLOOKUP(H$5,NFI,5,0),1,0)*Table_NFI[[#This Row],[Hygiene Kit]],Table_NFI[Hygiene Kit])</f>
        <v>0</v>
      </c>
      <c r="Z329" s="294">
        <f>IF(NFI_Expiration=1,IF($A329&lt;VLOOKUP(I$5,NFI,5,0),1,0)*Table_NFI[[#This Row],[NFI Core Kit]],Table_NFI[NFI Core Kit])</f>
        <v>0</v>
      </c>
      <c r="AA329" s="294">
        <f>IF(NFI_Expiration=1,IF($A329&lt;VLOOKUP(J$5,NFI,5,0),1,0)*Table_NFI[[#This Row],[Sanitary Kit]],Table_NFI[Sanitary Kit])</f>
        <v>0</v>
      </c>
      <c r="AB329" s="294">
        <f>IF(NFI_Expiration=1,IF($A329&lt;VLOOKUP(K$5,NFI,5,0),1,0)*Table_NFI[[#This Row],[Mosquito net]],Table_NFI[Mosquito net])</f>
        <v>0</v>
      </c>
      <c r="AC329" s="294">
        <f>IF(NFI_Expiration=1,IF($A329&lt;VLOOKUP(L$5,NFI,5,0),1,0)*Table_NFI[[#This Row],[Tarpaulin]],Table_NFI[[#This Row],[Tarpaulin]])</f>
        <v>0</v>
      </c>
      <c r="AD329" s="294">
        <f>IF(NFI_Expiration=1,IF($A329&lt;VLOOKUP(M$5,NFI,5,0),1,0)*Table_NFI[[#This Row],[Blanket]],Table_NFI[[#This Row],[Blanket]])</f>
        <v>0</v>
      </c>
      <c r="AE329" s="294">
        <f>IF(NFI_Expiration=1,IF($A329&lt;VLOOKUP(N$5,NFI,5,0),1,0)*Table_NFI[[#This Row],[Kitchen Set]],Table_NFI[Kitchen Set])</f>
        <v>0</v>
      </c>
      <c r="AF329" s="294">
        <f>IF(NFI_Expiration=1,IF($A329&lt;VLOOKUP(O$5,NFI,5,0),1,0)*Table_NFI[[#This Row],[Clothes Kit]],Table_NFI[Clothes Kit])</f>
        <v>0</v>
      </c>
      <c r="AG329" s="294">
        <f>IF(NFI_Expiration=1,IF($A329&lt;VLOOKUP(P$5,NFI,5,0),1,0)*Table_NFI[[#This Row],[Plastic Bucket]],Table_NFI[Plastic Bucket])</f>
        <v>0</v>
      </c>
      <c r="AH329" s="294">
        <f>IF(NFI_Expiration=1,IF($A329&lt;VLOOKUP(Q$5,NFI,5,0),1,0)*Table_NFI[[#This Row],[Plastic Mat]],Table_NFI[Plastic Mat])*IF(Table_NFI[[#This Row],[Distribution Date]]&gt;"2014-04-01",1,2.5)</f>
        <v>0</v>
      </c>
      <c r="AI329" s="294">
        <f>IF(NFI_Expiration=1,IF($A329&lt;VLOOKUP(R$5,NFI,5,0),1,0)*Table_NFI[[#This Row],[Winter Clothes Adult]],Table_NFI[Winter Clothes Adult])</f>
        <v>0</v>
      </c>
      <c r="AJ329" s="294">
        <f>IF(NFI_Expiration=1,IF($A329&lt;VLOOKUP(S$5,NFI,5,0),1,0)*Table_NFI[[#This Row],[Winter Clothes Children]],Table_NFI[Winter Clothes Children])</f>
        <v>0</v>
      </c>
      <c r="AK329" s="294">
        <f>IF(NFI_Expiration=1,IF($A329&lt;VLOOKUP(T$5,NFI,5,0),1,0)*Table_NFI[[#This Row],[Winter Items Other]],Table_NFI[Winter Items Other])</f>
        <v>0</v>
      </c>
      <c r="AL329" s="294">
        <f>IF(NFI_Expiration=1,IF($A329&lt;VLOOKUP(M$5,NFI,5,0),1,0)*Table_NFI[[#This Row],[Winter Blanket]],Table_NFI[[#This Row],[Winter Blanket]])</f>
        <v>0</v>
      </c>
      <c r="AM329" s="294">
        <f>IF(Table_NFI[[#This Row],[Winter Clothes Adult]]+Table_NFI[[#This Row],[Winter Clothes Children]]+Table_NFI[[#This Row],[Winter Items Other]]+Table_NFI[[#This Row],[Winter Blanket]]&gt;0,1,0)</f>
        <v>0</v>
      </c>
      <c r="AN329" s="331">
        <f>IF(NFI_Expiration=1,IF($A329&lt;VLOOKUP(V$5,NFI,5,0),1,0)*Table_NFI[[#This Row],[Jerry Can]],Table_NFI[Jerry Can])</f>
        <v>0</v>
      </c>
      <c r="AO329" s="331">
        <f>IF(NFI_Expiration=1,IF($A329&lt;VLOOKUP(V$5,NFI,5,0),1,0)*Table_NFI[[#This Row],[Shelter Tool kit]],Table_NFI[Shelter Tool kit])</f>
        <v>0</v>
      </c>
      <c r="AP329" s="331">
        <f>IF(NFI_Expiration=1,IF($A329&lt;VLOOKUP(V$5,NFI,5,0),1,0)*Table_NFI[[#This Row],[Tent]],Table_NFI[Tent])</f>
        <v>0</v>
      </c>
      <c r="AQ329" s="473" t="str">
        <f>IFERROR(VLOOKUP(Table_NFI[[#This Row],[Camp Name]],CL,2,0),"")</f>
        <v>MMR001CMP049</v>
      </c>
      <c r="AR329" s="468">
        <f ca="1">IF(Table_NFI[[#This Row],[Pcode]]="","",IF(OFFSET(CampList[Opening Date],MATCH(Table_NFI[[#This Row],[Pcode]],CampList[CP_Pcode],0)-1,0,1,1)&gt;=NFI_Monitor_Date,1,0))</f>
        <v>0</v>
      </c>
      <c r="AS329" s="473" t="str">
        <f>IFERROR(VLOOKUP(Table_NFI[[#This Row],[Camp Name]],CL,3,0),"")</f>
        <v>Open</v>
      </c>
      <c r="AT329" s="294" t="str">
        <f ca="1">IF(Table_NFI[[#This Row],[Pcode]]="","",OFFSET(CampList[Priority],MATCH(Table_NFI[[#This Row],[Pcode]],CampList[CP_Pcode],0)-1,0,1,1))</f>
        <v>P4</v>
      </c>
      <c r="AU329" s="293">
        <f>IFERROR(Table_NFI[[#This Row],[Kitchen Set]]/VLOOKUP(Table_NFI[[#This Row],[Camp Name]],CL,4,0),"")</f>
        <v>0</v>
      </c>
      <c r="AV329" s="466"/>
      <c r="AW329" s="469"/>
    </row>
    <row r="330" spans="1:49" s="470" customFormat="1" ht="14.45" customHeight="1" x14ac:dyDescent="0.25">
      <c r="A330" s="297">
        <f t="shared" si="5"/>
        <v>27.8</v>
      </c>
      <c r="B330" s="465">
        <v>41841</v>
      </c>
      <c r="C330" s="466" t="s">
        <v>452</v>
      </c>
      <c r="D330" s="466"/>
      <c r="E330" s="466" t="s">
        <v>380</v>
      </c>
      <c r="F330" s="466" t="s">
        <v>5</v>
      </c>
      <c r="G330" s="466" t="s">
        <v>18</v>
      </c>
      <c r="H330" s="291"/>
      <c r="I330" s="291"/>
      <c r="J330" s="291"/>
      <c r="K330" s="291">
        <v>10</v>
      </c>
      <c r="L330" s="292">
        <v>36</v>
      </c>
      <c r="M330" s="292">
        <v>10</v>
      </c>
      <c r="N330" s="292">
        <v>5</v>
      </c>
      <c r="O330" s="292"/>
      <c r="P330" s="294">
        <v>33</v>
      </c>
      <c r="Q330" s="294">
        <v>117</v>
      </c>
      <c r="R330" s="294"/>
      <c r="S330" s="294"/>
      <c r="T330" s="294"/>
      <c r="U330" s="294"/>
      <c r="V330" s="431"/>
      <c r="W330" s="294"/>
      <c r="X330" s="294"/>
      <c r="Y330" s="294">
        <f>IF(NFI_Expiration=1,IF($A330&lt;VLOOKUP(H$5,NFI,5,0),1,0)*Table_NFI[[#This Row],[Hygiene Kit]],Table_NFI[Hygiene Kit])</f>
        <v>0</v>
      </c>
      <c r="Z330" s="294">
        <f>IF(NFI_Expiration=1,IF($A330&lt;VLOOKUP(I$5,NFI,5,0),1,0)*Table_NFI[[#This Row],[NFI Core Kit]],Table_NFI[NFI Core Kit])</f>
        <v>0</v>
      </c>
      <c r="AA330" s="294">
        <f>IF(NFI_Expiration=1,IF($A330&lt;VLOOKUP(J$5,NFI,5,0),1,0)*Table_NFI[[#This Row],[Sanitary Kit]],Table_NFI[Sanitary Kit])</f>
        <v>0</v>
      </c>
      <c r="AB330" s="294">
        <f>IF(NFI_Expiration=1,IF($A330&lt;VLOOKUP(K$5,NFI,5,0),1,0)*Table_NFI[[#This Row],[Mosquito net]],Table_NFI[Mosquito net])</f>
        <v>0</v>
      </c>
      <c r="AC330" s="294">
        <f>IF(NFI_Expiration=1,IF($A330&lt;VLOOKUP(L$5,NFI,5,0),1,0)*Table_NFI[[#This Row],[Tarpaulin]],Table_NFI[[#This Row],[Tarpaulin]])</f>
        <v>0</v>
      </c>
      <c r="AD330" s="294">
        <f>IF(NFI_Expiration=1,IF($A330&lt;VLOOKUP(M$5,NFI,5,0),1,0)*Table_NFI[[#This Row],[Blanket]],Table_NFI[[#This Row],[Blanket]])</f>
        <v>0</v>
      </c>
      <c r="AE330" s="294">
        <f>IF(NFI_Expiration=1,IF($A330&lt;VLOOKUP(N$5,NFI,5,0),1,0)*Table_NFI[[#This Row],[Kitchen Set]],Table_NFI[Kitchen Set])</f>
        <v>0</v>
      </c>
      <c r="AF330" s="294">
        <f>IF(NFI_Expiration=1,IF($A330&lt;VLOOKUP(O$5,NFI,5,0),1,0)*Table_NFI[[#This Row],[Clothes Kit]],Table_NFI[Clothes Kit])</f>
        <v>0</v>
      </c>
      <c r="AG330" s="294">
        <f>IF(NFI_Expiration=1,IF($A330&lt;VLOOKUP(P$5,NFI,5,0),1,0)*Table_NFI[[#This Row],[Plastic Bucket]],Table_NFI[Plastic Bucket])</f>
        <v>0</v>
      </c>
      <c r="AH330" s="294">
        <f>IF(NFI_Expiration=1,IF($A330&lt;VLOOKUP(Q$5,NFI,5,0),1,0)*Table_NFI[[#This Row],[Plastic Mat]],Table_NFI[Plastic Mat])*IF(Table_NFI[[#This Row],[Distribution Date]]&gt;"2014-04-01",1,2.5)</f>
        <v>0</v>
      </c>
      <c r="AI330" s="294">
        <f>IF(NFI_Expiration=1,IF($A330&lt;VLOOKUP(R$5,NFI,5,0),1,0)*Table_NFI[[#This Row],[Winter Clothes Adult]],Table_NFI[Winter Clothes Adult])</f>
        <v>0</v>
      </c>
      <c r="AJ330" s="294">
        <f>IF(NFI_Expiration=1,IF($A330&lt;VLOOKUP(S$5,NFI,5,0),1,0)*Table_NFI[[#This Row],[Winter Clothes Children]],Table_NFI[Winter Clothes Children])</f>
        <v>0</v>
      </c>
      <c r="AK330" s="294">
        <f>IF(NFI_Expiration=1,IF($A330&lt;VLOOKUP(T$5,NFI,5,0),1,0)*Table_NFI[[#This Row],[Winter Items Other]],Table_NFI[Winter Items Other])</f>
        <v>0</v>
      </c>
      <c r="AL330" s="294">
        <f>IF(NFI_Expiration=1,IF($A330&lt;VLOOKUP(M$5,NFI,5,0),1,0)*Table_NFI[[#This Row],[Winter Blanket]],Table_NFI[[#This Row],[Winter Blanket]])</f>
        <v>0</v>
      </c>
      <c r="AM330" s="294">
        <f>IF(Table_NFI[[#This Row],[Winter Clothes Adult]]+Table_NFI[[#This Row],[Winter Clothes Children]]+Table_NFI[[#This Row],[Winter Items Other]]+Table_NFI[[#This Row],[Winter Blanket]]&gt;0,1,0)</f>
        <v>0</v>
      </c>
      <c r="AN330" s="331">
        <f>IF(NFI_Expiration=1,IF($A330&lt;VLOOKUP(V$5,NFI,5,0),1,0)*Table_NFI[[#This Row],[Jerry Can]],Table_NFI[Jerry Can])</f>
        <v>0</v>
      </c>
      <c r="AO330" s="331">
        <f>IF(NFI_Expiration=1,IF($A330&lt;VLOOKUP(V$5,NFI,5,0),1,0)*Table_NFI[[#This Row],[Shelter Tool kit]],Table_NFI[Shelter Tool kit])</f>
        <v>0</v>
      </c>
      <c r="AP330" s="331">
        <f>IF(NFI_Expiration=1,IF($A330&lt;VLOOKUP(V$5,NFI,5,0),1,0)*Table_NFI[[#This Row],[Tent]],Table_NFI[Tent])</f>
        <v>0</v>
      </c>
      <c r="AQ330" s="473" t="str">
        <f>IFERROR(VLOOKUP(Table_NFI[[#This Row],[Camp Name]],CL,2,0),"")</f>
        <v>MMR001CMP049</v>
      </c>
      <c r="AR330" s="468">
        <f ca="1">IF(Table_NFI[[#This Row],[Pcode]]="","",IF(OFFSET(CampList[Opening Date],MATCH(Table_NFI[[#This Row],[Pcode]],CampList[CP_Pcode],0)-1,0,1,1)&gt;=NFI_Monitor_Date,1,0))</f>
        <v>0</v>
      </c>
      <c r="AS330" s="473" t="str">
        <f>IFERROR(VLOOKUP(Table_NFI[[#This Row],[Camp Name]],CL,3,0),"")</f>
        <v>Open</v>
      </c>
      <c r="AT330" s="294" t="str">
        <f ca="1">IF(Table_NFI[[#This Row],[Pcode]]="","",OFFSET(CampList[Priority],MATCH(Table_NFI[[#This Row],[Pcode]],CampList[CP_Pcode],0)-1,0,1,1))</f>
        <v>P4</v>
      </c>
      <c r="AU330" s="293">
        <f>IFERROR(Table_NFI[[#This Row],[Kitchen Set]]/VLOOKUP(Table_NFI[[#This Row],[Camp Name]],CL,4,0),"")</f>
        <v>4.3103448275862072E-2</v>
      </c>
      <c r="AV330" s="466"/>
      <c r="AW330" s="469"/>
    </row>
    <row r="331" spans="1:49" s="470" customFormat="1" ht="14.45" customHeight="1" x14ac:dyDescent="0.25">
      <c r="A331" s="297">
        <f t="shared" si="5"/>
        <v>27.8</v>
      </c>
      <c r="B331" s="465">
        <v>41841</v>
      </c>
      <c r="C331" s="466" t="s">
        <v>452</v>
      </c>
      <c r="D331" s="466"/>
      <c r="E331" s="466" t="s">
        <v>380</v>
      </c>
      <c r="F331" s="466" t="s">
        <v>185</v>
      </c>
      <c r="G331" s="466" t="s">
        <v>209</v>
      </c>
      <c r="H331" s="291"/>
      <c r="I331" s="291"/>
      <c r="J331" s="291"/>
      <c r="K331" s="291"/>
      <c r="L331" s="292">
        <v>75</v>
      </c>
      <c r="M331" s="292"/>
      <c r="N331" s="292"/>
      <c r="O331" s="292"/>
      <c r="P331" s="294"/>
      <c r="Q331" s="294"/>
      <c r="R331" s="294"/>
      <c r="S331" s="294"/>
      <c r="T331" s="294"/>
      <c r="U331" s="294"/>
      <c r="V331" s="431"/>
      <c r="W331" s="294"/>
      <c r="X331" s="294"/>
      <c r="Y331" s="294">
        <f>IF(NFI_Expiration=1,IF($A331&lt;VLOOKUP(H$5,NFI,5,0),1,0)*Table_NFI[[#This Row],[Hygiene Kit]],Table_NFI[Hygiene Kit])</f>
        <v>0</v>
      </c>
      <c r="Z331" s="294">
        <f>IF(NFI_Expiration=1,IF($A331&lt;VLOOKUP(I$5,NFI,5,0),1,0)*Table_NFI[[#This Row],[NFI Core Kit]],Table_NFI[NFI Core Kit])</f>
        <v>0</v>
      </c>
      <c r="AA331" s="294">
        <f>IF(NFI_Expiration=1,IF($A331&lt;VLOOKUP(J$5,NFI,5,0),1,0)*Table_NFI[[#This Row],[Sanitary Kit]],Table_NFI[Sanitary Kit])</f>
        <v>0</v>
      </c>
      <c r="AB331" s="294">
        <f>IF(NFI_Expiration=1,IF($A331&lt;VLOOKUP(K$5,NFI,5,0),1,0)*Table_NFI[[#This Row],[Mosquito net]],Table_NFI[Mosquito net])</f>
        <v>0</v>
      </c>
      <c r="AC331" s="294">
        <f>IF(NFI_Expiration=1,IF($A331&lt;VLOOKUP(L$5,NFI,5,0),1,0)*Table_NFI[[#This Row],[Tarpaulin]],Table_NFI[[#This Row],[Tarpaulin]])</f>
        <v>0</v>
      </c>
      <c r="AD331" s="294">
        <f>IF(NFI_Expiration=1,IF($A331&lt;VLOOKUP(M$5,NFI,5,0),1,0)*Table_NFI[[#This Row],[Blanket]],Table_NFI[[#This Row],[Blanket]])</f>
        <v>0</v>
      </c>
      <c r="AE331" s="294">
        <f>IF(NFI_Expiration=1,IF($A331&lt;VLOOKUP(N$5,NFI,5,0),1,0)*Table_NFI[[#This Row],[Kitchen Set]],Table_NFI[Kitchen Set])</f>
        <v>0</v>
      </c>
      <c r="AF331" s="294">
        <f>IF(NFI_Expiration=1,IF($A331&lt;VLOOKUP(O$5,NFI,5,0),1,0)*Table_NFI[[#This Row],[Clothes Kit]],Table_NFI[Clothes Kit])</f>
        <v>0</v>
      </c>
      <c r="AG331" s="294">
        <f>IF(NFI_Expiration=1,IF($A331&lt;VLOOKUP(P$5,NFI,5,0),1,0)*Table_NFI[[#This Row],[Plastic Bucket]],Table_NFI[Plastic Bucket])</f>
        <v>0</v>
      </c>
      <c r="AH331" s="294">
        <f>IF(NFI_Expiration=1,IF($A331&lt;VLOOKUP(Q$5,NFI,5,0),1,0)*Table_NFI[[#This Row],[Plastic Mat]],Table_NFI[Plastic Mat])*IF(Table_NFI[[#This Row],[Distribution Date]]&gt;"2014-04-01",1,2.5)</f>
        <v>0</v>
      </c>
      <c r="AI331" s="294">
        <f>IF(NFI_Expiration=1,IF($A331&lt;VLOOKUP(R$5,NFI,5,0),1,0)*Table_NFI[[#This Row],[Winter Clothes Adult]],Table_NFI[Winter Clothes Adult])</f>
        <v>0</v>
      </c>
      <c r="AJ331" s="294">
        <f>IF(NFI_Expiration=1,IF($A331&lt;VLOOKUP(S$5,NFI,5,0),1,0)*Table_NFI[[#This Row],[Winter Clothes Children]],Table_NFI[Winter Clothes Children])</f>
        <v>0</v>
      </c>
      <c r="AK331" s="294">
        <f>IF(NFI_Expiration=1,IF($A331&lt;VLOOKUP(T$5,NFI,5,0),1,0)*Table_NFI[[#This Row],[Winter Items Other]],Table_NFI[Winter Items Other])</f>
        <v>0</v>
      </c>
      <c r="AL331" s="294">
        <f>IF(NFI_Expiration=1,IF($A331&lt;VLOOKUP(M$5,NFI,5,0),1,0)*Table_NFI[[#This Row],[Winter Blanket]],Table_NFI[[#This Row],[Winter Blanket]])</f>
        <v>0</v>
      </c>
      <c r="AM331" s="294">
        <f>IF(Table_NFI[[#This Row],[Winter Clothes Adult]]+Table_NFI[[#This Row],[Winter Clothes Children]]+Table_NFI[[#This Row],[Winter Items Other]]+Table_NFI[[#This Row],[Winter Blanket]]&gt;0,1,0)</f>
        <v>0</v>
      </c>
      <c r="AN331" s="331">
        <f>IF(NFI_Expiration=1,IF($A331&lt;VLOOKUP(V$5,NFI,5,0),1,0)*Table_NFI[[#This Row],[Jerry Can]],Table_NFI[Jerry Can])</f>
        <v>0</v>
      </c>
      <c r="AO331" s="331">
        <f>IF(NFI_Expiration=1,IF($A331&lt;VLOOKUP(V$5,NFI,5,0),1,0)*Table_NFI[[#This Row],[Shelter Tool kit]],Table_NFI[Shelter Tool kit])</f>
        <v>0</v>
      </c>
      <c r="AP331" s="331">
        <f>IF(NFI_Expiration=1,IF($A331&lt;VLOOKUP(V$5,NFI,5,0),1,0)*Table_NFI[[#This Row],[Tent]],Table_NFI[Tent])</f>
        <v>0</v>
      </c>
      <c r="AQ331" s="473" t="str">
        <f>IFERROR(VLOOKUP(Table_NFI[[#This Row],[Camp Name]],CL,2,0),"")</f>
        <v>MMR001CMP056</v>
      </c>
      <c r="AR331" s="468">
        <f ca="1">IF(Table_NFI[[#This Row],[Pcode]]="","",IF(OFFSET(CampList[Opening Date],MATCH(Table_NFI[[#This Row],[Pcode]],CampList[CP_Pcode],0)-1,0,1,1)&gt;=NFI_Monitor_Date,1,0))</f>
        <v>0</v>
      </c>
      <c r="AS331" s="473" t="str">
        <f>IFERROR(VLOOKUP(Table_NFI[[#This Row],[Camp Name]],CL,3,0),"")</f>
        <v>Open</v>
      </c>
      <c r="AT331" s="294" t="str">
        <f ca="1">IF(Table_NFI[[#This Row],[Pcode]]="","",OFFSET(CampList[Priority],MATCH(Table_NFI[[#This Row],[Pcode]],CampList[CP_Pcode],0)-1,0,1,1))</f>
        <v>P4</v>
      </c>
      <c r="AU331" s="293">
        <f>IFERROR(Table_NFI[[#This Row],[Kitchen Set]]/VLOOKUP(Table_NFI[[#This Row],[Camp Name]],CL,4,0),"")</f>
        <v>0</v>
      </c>
      <c r="AV331" s="466"/>
      <c r="AW331" s="469"/>
    </row>
    <row r="332" spans="1:49" s="470" customFormat="1" x14ac:dyDescent="0.25">
      <c r="A332" s="297">
        <f t="shared" si="5"/>
        <v>28.2</v>
      </c>
      <c r="B332" s="465">
        <v>41829</v>
      </c>
      <c r="C332" s="466" t="s">
        <v>452</v>
      </c>
      <c r="D332" s="466"/>
      <c r="E332" s="466" t="s">
        <v>380</v>
      </c>
      <c r="F332" s="466" t="s">
        <v>151</v>
      </c>
      <c r="G332" s="466" t="s">
        <v>885</v>
      </c>
      <c r="H332" s="291"/>
      <c r="I332" s="291"/>
      <c r="J332" s="291"/>
      <c r="K332" s="291"/>
      <c r="L332" s="292"/>
      <c r="M332" s="292">
        <v>10</v>
      </c>
      <c r="N332" s="292"/>
      <c r="O332" s="292"/>
      <c r="P332" s="294"/>
      <c r="Q332" s="294"/>
      <c r="R332" s="294"/>
      <c r="S332" s="294"/>
      <c r="T332" s="294"/>
      <c r="U332" s="294"/>
      <c r="V332" s="431"/>
      <c r="W332" s="331"/>
      <c r="X332" s="331"/>
      <c r="Y332" s="294">
        <f>IF(NFI_Expiration=1,IF($A332&lt;VLOOKUP(H$5,NFI,5,0),1,0)*Table_NFI[[#This Row],[Hygiene Kit]],Table_NFI[Hygiene Kit])</f>
        <v>0</v>
      </c>
      <c r="Z332" s="294">
        <f>IF(NFI_Expiration=1,IF($A332&lt;VLOOKUP(I$5,NFI,5,0),1,0)*Table_NFI[[#This Row],[NFI Core Kit]],Table_NFI[NFI Core Kit])</f>
        <v>0</v>
      </c>
      <c r="AA332" s="294">
        <f>IF(NFI_Expiration=1,IF($A332&lt;VLOOKUP(J$5,NFI,5,0),1,0)*Table_NFI[[#This Row],[Sanitary Kit]],Table_NFI[Sanitary Kit])</f>
        <v>0</v>
      </c>
      <c r="AB332" s="294">
        <f>IF(NFI_Expiration=1,IF($A332&lt;VLOOKUP(K$5,NFI,5,0),1,0)*Table_NFI[[#This Row],[Mosquito net]],Table_NFI[Mosquito net])</f>
        <v>0</v>
      </c>
      <c r="AC332" s="294">
        <f>IF(NFI_Expiration=1,IF($A332&lt;VLOOKUP(L$5,NFI,5,0),1,0)*Table_NFI[[#This Row],[Tarpaulin]],Table_NFI[[#This Row],[Tarpaulin]])</f>
        <v>0</v>
      </c>
      <c r="AD332" s="294">
        <f>IF(NFI_Expiration=1,IF($A332&lt;VLOOKUP(M$5,NFI,5,0),1,0)*Table_NFI[[#This Row],[Blanket]],Table_NFI[[#This Row],[Blanket]])</f>
        <v>0</v>
      </c>
      <c r="AE332" s="294">
        <f>IF(NFI_Expiration=1,IF($A332&lt;VLOOKUP(N$5,NFI,5,0),1,0)*Table_NFI[[#This Row],[Kitchen Set]],Table_NFI[Kitchen Set])</f>
        <v>0</v>
      </c>
      <c r="AF332" s="294">
        <f>IF(NFI_Expiration=1,IF($A332&lt;VLOOKUP(O$5,NFI,5,0),1,0)*Table_NFI[[#This Row],[Clothes Kit]],Table_NFI[Clothes Kit])</f>
        <v>0</v>
      </c>
      <c r="AG332" s="294">
        <f>IF(NFI_Expiration=1,IF($A332&lt;VLOOKUP(P$5,NFI,5,0),1,0)*Table_NFI[[#This Row],[Plastic Bucket]],Table_NFI[Plastic Bucket])</f>
        <v>0</v>
      </c>
      <c r="AH332" s="294">
        <f>IF(NFI_Expiration=1,IF($A332&lt;VLOOKUP(Q$5,NFI,5,0),1,0)*Table_NFI[[#This Row],[Plastic Mat]],Table_NFI[Plastic Mat])*IF(Table_NFI[[#This Row],[Distribution Date]]&gt;"2014-04-01",1,2.5)</f>
        <v>0</v>
      </c>
      <c r="AI332" s="294">
        <f>IF(NFI_Expiration=1,IF($A332&lt;VLOOKUP(R$5,NFI,5,0),1,0)*Table_NFI[[#This Row],[Winter Clothes Adult]],Table_NFI[Winter Clothes Adult])</f>
        <v>0</v>
      </c>
      <c r="AJ332" s="294">
        <f>IF(NFI_Expiration=1,IF($A332&lt;VLOOKUP(S$5,NFI,5,0),1,0)*Table_NFI[[#This Row],[Winter Clothes Children]],Table_NFI[Winter Clothes Children])</f>
        <v>0</v>
      </c>
      <c r="AK332" s="294">
        <f>IF(NFI_Expiration=1,IF($A332&lt;VLOOKUP(T$5,NFI,5,0),1,0)*Table_NFI[[#This Row],[Winter Items Other]],Table_NFI[Winter Items Other])</f>
        <v>0</v>
      </c>
      <c r="AL332" s="294">
        <f>IF(NFI_Expiration=1,IF($A332&lt;VLOOKUP(M$5,NFI,5,0),1,0)*Table_NFI[[#This Row],[Winter Blanket]],Table_NFI[[#This Row],[Winter Blanket]])</f>
        <v>0</v>
      </c>
      <c r="AM332" s="294">
        <f>IF(Table_NFI[[#This Row],[Winter Clothes Adult]]+Table_NFI[[#This Row],[Winter Clothes Children]]+Table_NFI[[#This Row],[Winter Items Other]]+Table_NFI[[#This Row],[Winter Blanket]]&gt;0,1,0)</f>
        <v>0</v>
      </c>
      <c r="AN332" s="331">
        <f>IF(NFI_Expiration=1,IF($A332&lt;VLOOKUP(V$5,NFI,5,0),1,0)*Table_NFI[[#This Row],[Jerry Can]],Table_NFI[Jerry Can])</f>
        <v>0</v>
      </c>
      <c r="AO332" s="331">
        <f>IF(NFI_Expiration=1,IF($A332&lt;VLOOKUP(V$5,NFI,5,0),1,0)*Table_NFI[[#This Row],[Shelter Tool kit]],Table_NFI[Shelter Tool kit])</f>
        <v>0</v>
      </c>
      <c r="AP332" s="331">
        <f>IF(NFI_Expiration=1,IF($A332&lt;VLOOKUP(V$5,NFI,5,0),1,0)*Table_NFI[[#This Row],[Tent]],Table_NFI[Tent])</f>
        <v>0</v>
      </c>
      <c r="AQ332" s="473" t="str">
        <f>IFERROR(VLOOKUP(Table_NFI[[#This Row],[Camp Name]],CL,2,0),"")</f>
        <v>MMR001CMP218</v>
      </c>
      <c r="AR332" s="468">
        <f ca="1">IF(Table_NFI[[#This Row],[Pcode]]="","",IF(OFFSET(CampList[Opening Date],MATCH(Table_NFI[[#This Row],[Pcode]],CampList[CP_Pcode],0)-1,0,1,1)&gt;=NFI_Monitor_Date,1,0))</f>
        <v>0</v>
      </c>
      <c r="AS332" s="473" t="str">
        <f>IFERROR(VLOOKUP(Table_NFI[[#This Row],[Camp Name]],CL,3,0),"")</f>
        <v>Open</v>
      </c>
      <c r="AT332" s="294" t="str">
        <f ca="1">IF(Table_NFI[[#This Row],[Pcode]]="","",OFFSET(CampList[Priority],MATCH(Table_NFI[[#This Row],[Pcode]],CampList[CP_Pcode],0)-1,0,1,1))</f>
        <v>P4</v>
      </c>
      <c r="AU332" s="293">
        <f>IFERROR(Table_NFI[[#This Row],[Kitchen Set]]/VLOOKUP(Table_NFI[[#This Row],[Camp Name]],CL,4,0),"")</f>
        <v>0</v>
      </c>
      <c r="AV332" s="466"/>
      <c r="AW332" s="469"/>
    </row>
    <row r="333" spans="1:49" s="470" customFormat="1" x14ac:dyDescent="0.25">
      <c r="A333" s="297">
        <f t="shared" si="5"/>
        <v>28.2</v>
      </c>
      <c r="B333" s="465">
        <v>41829</v>
      </c>
      <c r="C333" s="466" t="s">
        <v>452</v>
      </c>
      <c r="D333" s="466"/>
      <c r="E333" s="466" t="s">
        <v>380</v>
      </c>
      <c r="F333" s="466" t="s">
        <v>151</v>
      </c>
      <c r="G333" s="466" t="s">
        <v>942</v>
      </c>
      <c r="H333" s="291"/>
      <c r="I333" s="291"/>
      <c r="J333" s="291"/>
      <c r="K333" s="291">
        <v>35</v>
      </c>
      <c r="L333" s="292">
        <v>13</v>
      </c>
      <c r="M333" s="292">
        <v>70</v>
      </c>
      <c r="N333" s="292">
        <v>13</v>
      </c>
      <c r="O333" s="292"/>
      <c r="P333" s="294">
        <v>13</v>
      </c>
      <c r="Q333" s="294">
        <v>25</v>
      </c>
      <c r="R333" s="294"/>
      <c r="S333" s="294"/>
      <c r="T333" s="294"/>
      <c r="U333" s="294"/>
      <c r="V333" s="431"/>
      <c r="W333" s="331"/>
      <c r="X333" s="331"/>
      <c r="Y333" s="294">
        <f>IF(NFI_Expiration=1,IF($A333&lt;VLOOKUP(H$5,NFI,5,0),1,0)*Table_NFI[[#This Row],[Hygiene Kit]],Table_NFI[Hygiene Kit])</f>
        <v>0</v>
      </c>
      <c r="Z333" s="294">
        <f>IF(NFI_Expiration=1,IF($A333&lt;VLOOKUP(I$5,NFI,5,0),1,0)*Table_NFI[[#This Row],[NFI Core Kit]],Table_NFI[NFI Core Kit])</f>
        <v>0</v>
      </c>
      <c r="AA333" s="294">
        <f>IF(NFI_Expiration=1,IF($A333&lt;VLOOKUP(J$5,NFI,5,0),1,0)*Table_NFI[[#This Row],[Sanitary Kit]],Table_NFI[Sanitary Kit])</f>
        <v>0</v>
      </c>
      <c r="AB333" s="294">
        <f>IF(NFI_Expiration=1,IF($A333&lt;VLOOKUP(K$5,NFI,5,0),1,0)*Table_NFI[[#This Row],[Mosquito net]],Table_NFI[Mosquito net])</f>
        <v>0</v>
      </c>
      <c r="AC333" s="294">
        <f>IF(NFI_Expiration=1,IF($A333&lt;VLOOKUP(L$5,NFI,5,0),1,0)*Table_NFI[[#This Row],[Tarpaulin]],Table_NFI[[#This Row],[Tarpaulin]])</f>
        <v>0</v>
      </c>
      <c r="AD333" s="294">
        <f>IF(NFI_Expiration=1,IF($A333&lt;VLOOKUP(M$5,NFI,5,0),1,0)*Table_NFI[[#This Row],[Blanket]],Table_NFI[[#This Row],[Blanket]])</f>
        <v>0</v>
      </c>
      <c r="AE333" s="294">
        <f>IF(NFI_Expiration=1,IF($A333&lt;VLOOKUP(N$5,NFI,5,0),1,0)*Table_NFI[[#This Row],[Kitchen Set]],Table_NFI[Kitchen Set])</f>
        <v>0</v>
      </c>
      <c r="AF333" s="294">
        <f>IF(NFI_Expiration=1,IF($A333&lt;VLOOKUP(O$5,NFI,5,0),1,0)*Table_NFI[[#This Row],[Clothes Kit]],Table_NFI[Clothes Kit])</f>
        <v>0</v>
      </c>
      <c r="AG333" s="294">
        <f>IF(NFI_Expiration=1,IF($A333&lt;VLOOKUP(P$5,NFI,5,0),1,0)*Table_NFI[[#This Row],[Plastic Bucket]],Table_NFI[Plastic Bucket])</f>
        <v>0</v>
      </c>
      <c r="AH333" s="294">
        <f>IF(NFI_Expiration=1,IF($A333&lt;VLOOKUP(Q$5,NFI,5,0),1,0)*Table_NFI[[#This Row],[Plastic Mat]],Table_NFI[Plastic Mat])*IF(Table_NFI[[#This Row],[Distribution Date]]&gt;"2014-04-01",1,2.5)</f>
        <v>0</v>
      </c>
      <c r="AI333" s="294">
        <f>IF(NFI_Expiration=1,IF($A333&lt;VLOOKUP(R$5,NFI,5,0),1,0)*Table_NFI[[#This Row],[Winter Clothes Adult]],Table_NFI[Winter Clothes Adult])</f>
        <v>0</v>
      </c>
      <c r="AJ333" s="294">
        <f>IF(NFI_Expiration=1,IF($A333&lt;VLOOKUP(S$5,NFI,5,0),1,0)*Table_NFI[[#This Row],[Winter Clothes Children]],Table_NFI[Winter Clothes Children])</f>
        <v>0</v>
      </c>
      <c r="AK333" s="294">
        <f>IF(NFI_Expiration=1,IF($A333&lt;VLOOKUP(T$5,NFI,5,0),1,0)*Table_NFI[[#This Row],[Winter Items Other]],Table_NFI[Winter Items Other])</f>
        <v>0</v>
      </c>
      <c r="AL333" s="294">
        <f>IF(NFI_Expiration=1,IF($A333&lt;VLOOKUP(M$5,NFI,5,0),1,0)*Table_NFI[[#This Row],[Winter Blanket]],Table_NFI[[#This Row],[Winter Blanket]])</f>
        <v>0</v>
      </c>
      <c r="AM333" s="294">
        <f>IF(Table_NFI[[#This Row],[Winter Clothes Adult]]+Table_NFI[[#This Row],[Winter Clothes Children]]+Table_NFI[[#This Row],[Winter Items Other]]+Table_NFI[[#This Row],[Winter Blanket]]&gt;0,1,0)</f>
        <v>0</v>
      </c>
      <c r="AN333" s="331">
        <f>IF(NFI_Expiration=1,IF($A333&lt;VLOOKUP(V$5,NFI,5,0),1,0)*Table_NFI[[#This Row],[Jerry Can]],Table_NFI[Jerry Can])</f>
        <v>0</v>
      </c>
      <c r="AO333" s="331">
        <f>IF(NFI_Expiration=1,IF($A333&lt;VLOOKUP(V$5,NFI,5,0),1,0)*Table_NFI[[#This Row],[Shelter Tool kit]],Table_NFI[Shelter Tool kit])</f>
        <v>0</v>
      </c>
      <c r="AP333" s="331">
        <f>IF(NFI_Expiration=1,IF($A333&lt;VLOOKUP(V$5,NFI,5,0),1,0)*Table_NFI[[#This Row],[Tent]],Table_NFI[Tent])</f>
        <v>0</v>
      </c>
      <c r="AQ333" s="473" t="str">
        <f>IFERROR(VLOOKUP(Table_NFI[[#This Row],[Camp Name]],CL,2,0),"")</f>
        <v>MMR001CMP223</v>
      </c>
      <c r="AR333" s="468">
        <f ca="1">IF(Table_NFI[[#This Row],[Pcode]]="","",IF(OFFSET(CampList[Opening Date],MATCH(Table_NFI[[#This Row],[Pcode]],CampList[CP_Pcode],0)-1,0,1,1)&gt;=NFI_Monitor_Date,1,0))</f>
        <v>0</v>
      </c>
      <c r="AS333" s="473" t="str">
        <f>IFERROR(VLOOKUP(Table_NFI[[#This Row],[Camp Name]],CL,3,0),"")</f>
        <v>Open</v>
      </c>
      <c r="AT333" s="294" t="str">
        <f ca="1">IF(Table_NFI[[#This Row],[Pcode]]="","",OFFSET(CampList[Priority],MATCH(Table_NFI[[#This Row],[Pcode]],CampList[CP_Pcode],0)-1,0,1,1))</f>
        <v>P4</v>
      </c>
      <c r="AU333" s="293">
        <f>IFERROR(Table_NFI[[#This Row],[Kitchen Set]]/VLOOKUP(Table_NFI[[#This Row],[Camp Name]],CL,4,0),"")</f>
        <v>9.285714285714286E-2</v>
      </c>
      <c r="AV333" s="466"/>
      <c r="AW333" s="469"/>
    </row>
    <row r="334" spans="1:49" s="470" customFormat="1" x14ac:dyDescent="0.25">
      <c r="A334" s="297">
        <f t="shared" si="5"/>
        <v>28.333333333333332</v>
      </c>
      <c r="B334" s="465">
        <v>41825</v>
      </c>
      <c r="C334" s="466" t="s">
        <v>1104</v>
      </c>
      <c r="D334" s="466" t="s">
        <v>900</v>
      </c>
      <c r="E334" s="466" t="s">
        <v>380</v>
      </c>
      <c r="F334" s="466" t="s">
        <v>310</v>
      </c>
      <c r="G334" s="466" t="s">
        <v>316</v>
      </c>
      <c r="H334" s="291"/>
      <c r="I334" s="291"/>
      <c r="J334" s="291"/>
      <c r="K334" s="291"/>
      <c r="L334" s="292"/>
      <c r="M334" s="292"/>
      <c r="N334" s="292"/>
      <c r="O334" s="292"/>
      <c r="P334" s="294"/>
      <c r="Q334" s="294"/>
      <c r="R334" s="294"/>
      <c r="S334" s="294"/>
      <c r="T334" s="294"/>
      <c r="U334" s="294">
        <v>124</v>
      </c>
      <c r="V334" s="431"/>
      <c r="W334" s="331"/>
      <c r="X334" s="331"/>
      <c r="Y334" s="294">
        <f>IF(NFI_Expiration=1,IF($A334&lt;VLOOKUP(H$5,NFI,5,0),1,0)*Table_NFI[[#This Row],[Hygiene Kit]],Table_NFI[Hygiene Kit])</f>
        <v>0</v>
      </c>
      <c r="Z334" s="294">
        <f>IF(NFI_Expiration=1,IF($A334&lt;VLOOKUP(I$5,NFI,5,0),1,0)*Table_NFI[[#This Row],[NFI Core Kit]],Table_NFI[NFI Core Kit])</f>
        <v>0</v>
      </c>
      <c r="AA334" s="294">
        <f>IF(NFI_Expiration=1,IF($A334&lt;VLOOKUP(J$5,NFI,5,0),1,0)*Table_NFI[[#This Row],[Sanitary Kit]],Table_NFI[Sanitary Kit])</f>
        <v>0</v>
      </c>
      <c r="AB334" s="294">
        <f>IF(NFI_Expiration=1,IF($A334&lt;VLOOKUP(K$5,NFI,5,0),1,0)*Table_NFI[[#This Row],[Mosquito net]],Table_NFI[Mosquito net])</f>
        <v>0</v>
      </c>
      <c r="AC334" s="294">
        <f>IF(NFI_Expiration=1,IF($A334&lt;VLOOKUP(L$5,NFI,5,0),1,0)*Table_NFI[[#This Row],[Tarpaulin]],Table_NFI[[#This Row],[Tarpaulin]])</f>
        <v>0</v>
      </c>
      <c r="AD334" s="294">
        <f>IF(NFI_Expiration=1,IF($A334&lt;VLOOKUP(M$5,NFI,5,0),1,0)*Table_NFI[[#This Row],[Blanket]],Table_NFI[[#This Row],[Blanket]])</f>
        <v>0</v>
      </c>
      <c r="AE334" s="294">
        <f>IF(NFI_Expiration=1,IF($A334&lt;VLOOKUP(N$5,NFI,5,0),1,0)*Table_NFI[[#This Row],[Kitchen Set]],Table_NFI[Kitchen Set])</f>
        <v>0</v>
      </c>
      <c r="AF334" s="294">
        <f>IF(NFI_Expiration=1,IF($A334&lt;VLOOKUP(O$5,NFI,5,0),1,0)*Table_NFI[[#This Row],[Clothes Kit]],Table_NFI[Clothes Kit])</f>
        <v>0</v>
      </c>
      <c r="AG334" s="294">
        <f>IF(NFI_Expiration=1,IF($A334&lt;VLOOKUP(P$5,NFI,5,0),1,0)*Table_NFI[[#This Row],[Plastic Bucket]],Table_NFI[Plastic Bucket])</f>
        <v>0</v>
      </c>
      <c r="AH334" s="294">
        <f>IF(NFI_Expiration=1,IF($A334&lt;VLOOKUP(Q$5,NFI,5,0),1,0)*Table_NFI[[#This Row],[Plastic Mat]],Table_NFI[Plastic Mat])*IF(Table_NFI[[#This Row],[Distribution Date]]&gt;"2014-04-01",1,2.5)</f>
        <v>0</v>
      </c>
      <c r="AI334" s="294">
        <f>IF(NFI_Expiration=1,IF($A334&lt;VLOOKUP(R$5,NFI,5,0),1,0)*Table_NFI[[#This Row],[Winter Clothes Adult]],Table_NFI[Winter Clothes Adult])</f>
        <v>0</v>
      </c>
      <c r="AJ334" s="294">
        <f>IF(NFI_Expiration=1,IF($A334&lt;VLOOKUP(S$5,NFI,5,0),1,0)*Table_NFI[[#This Row],[Winter Clothes Children]],Table_NFI[Winter Clothes Children])</f>
        <v>0</v>
      </c>
      <c r="AK334" s="294">
        <f>IF(NFI_Expiration=1,IF($A334&lt;VLOOKUP(T$5,NFI,5,0),1,0)*Table_NFI[[#This Row],[Winter Items Other]],Table_NFI[Winter Items Other])</f>
        <v>0</v>
      </c>
      <c r="AL334" s="294">
        <f>IF(NFI_Expiration=1,IF($A334&lt;VLOOKUP(M$5,NFI,5,0),1,0)*Table_NFI[[#This Row],[Winter Blanket]],Table_NFI[[#This Row],[Winter Blanket]])</f>
        <v>0</v>
      </c>
      <c r="AM334" s="294">
        <f>IF(Table_NFI[[#This Row],[Winter Clothes Adult]]+Table_NFI[[#This Row],[Winter Clothes Children]]+Table_NFI[[#This Row],[Winter Items Other]]+Table_NFI[[#This Row],[Winter Blanket]]&gt;0,1,0)</f>
        <v>1</v>
      </c>
      <c r="AN334" s="331">
        <f>IF(NFI_Expiration=1,IF($A334&lt;VLOOKUP(V$5,NFI,5,0),1,0)*Table_NFI[[#This Row],[Jerry Can]],Table_NFI[Jerry Can])</f>
        <v>0</v>
      </c>
      <c r="AO334" s="331">
        <f>IF(NFI_Expiration=1,IF($A334&lt;VLOOKUP(V$5,NFI,5,0),1,0)*Table_NFI[[#This Row],[Shelter Tool kit]],Table_NFI[Shelter Tool kit])</f>
        <v>0</v>
      </c>
      <c r="AP334" s="331">
        <f>IF(NFI_Expiration=1,IF($A334&lt;VLOOKUP(V$5,NFI,5,0),1,0)*Table_NFI[[#This Row],[Tent]],Table_NFI[Tent])</f>
        <v>0</v>
      </c>
      <c r="AQ334" s="473" t="str">
        <f>IFERROR(VLOOKUP(Table_NFI[[#This Row],[Camp Name]],CL,2,0),"")</f>
        <v>MMR001CMP038</v>
      </c>
      <c r="AR334" s="468">
        <f ca="1">IF(Table_NFI[[#This Row],[Pcode]]="","",IF(OFFSET(CampList[Opening Date],MATCH(Table_NFI[[#This Row],[Pcode]],CampList[CP_Pcode],0)-1,0,1,1)&gt;=NFI_Monitor_Date,1,0))</f>
        <v>0</v>
      </c>
      <c r="AS334" s="473" t="str">
        <f>IFERROR(VLOOKUP(Table_NFI[[#This Row],[Camp Name]],CL,3,0),"")</f>
        <v>Open</v>
      </c>
      <c r="AT334" s="294" t="str">
        <f ca="1">IF(Table_NFI[[#This Row],[Pcode]]="","",OFFSET(CampList[Priority],MATCH(Table_NFI[[#This Row],[Pcode]],CampList[CP_Pcode],0)-1,0,1,1))</f>
        <v>P4</v>
      </c>
      <c r="AU334" s="293">
        <f>IFERROR(Table_NFI[[#This Row],[Kitchen Set]]/VLOOKUP(Table_NFI[[#This Row],[Camp Name]],CL,4,0),"")</f>
        <v>0</v>
      </c>
      <c r="AV334" s="466"/>
      <c r="AW334" s="469"/>
    </row>
    <row r="335" spans="1:49" s="470" customFormat="1" x14ac:dyDescent="0.25">
      <c r="A335" s="297">
        <f t="shared" si="5"/>
        <v>28.4</v>
      </c>
      <c r="B335" s="465">
        <v>41823</v>
      </c>
      <c r="C335" s="466" t="s">
        <v>452</v>
      </c>
      <c r="D335" s="466"/>
      <c r="E335" s="466" t="s">
        <v>380</v>
      </c>
      <c r="F335" s="466" t="s">
        <v>151</v>
      </c>
      <c r="G335" s="466" t="s">
        <v>885</v>
      </c>
      <c r="H335" s="291"/>
      <c r="I335" s="291"/>
      <c r="J335" s="291"/>
      <c r="K335" s="291"/>
      <c r="L335" s="292"/>
      <c r="M335" s="292">
        <v>9</v>
      </c>
      <c r="N335" s="292"/>
      <c r="O335" s="292"/>
      <c r="P335" s="294">
        <v>19</v>
      </c>
      <c r="Q335" s="294">
        <v>1</v>
      </c>
      <c r="R335" s="294"/>
      <c r="S335" s="294"/>
      <c r="T335" s="294"/>
      <c r="U335" s="294"/>
      <c r="V335" s="431"/>
      <c r="W335" s="331"/>
      <c r="X335" s="331"/>
      <c r="Y335" s="294">
        <f>IF(NFI_Expiration=1,IF($A335&lt;VLOOKUP(H$5,NFI,5,0),1,0)*Table_NFI[[#This Row],[Hygiene Kit]],Table_NFI[Hygiene Kit])</f>
        <v>0</v>
      </c>
      <c r="Z335" s="294">
        <f>IF(NFI_Expiration=1,IF($A335&lt;VLOOKUP(I$5,NFI,5,0),1,0)*Table_NFI[[#This Row],[NFI Core Kit]],Table_NFI[NFI Core Kit])</f>
        <v>0</v>
      </c>
      <c r="AA335" s="294">
        <f>IF(NFI_Expiration=1,IF($A335&lt;VLOOKUP(J$5,NFI,5,0),1,0)*Table_NFI[[#This Row],[Sanitary Kit]],Table_NFI[Sanitary Kit])</f>
        <v>0</v>
      </c>
      <c r="AB335" s="294">
        <f>IF(NFI_Expiration=1,IF($A335&lt;VLOOKUP(K$5,NFI,5,0),1,0)*Table_NFI[[#This Row],[Mosquito net]],Table_NFI[Mosquito net])</f>
        <v>0</v>
      </c>
      <c r="AC335" s="294">
        <f>IF(NFI_Expiration=1,IF($A335&lt;VLOOKUP(L$5,NFI,5,0),1,0)*Table_NFI[[#This Row],[Tarpaulin]],Table_NFI[[#This Row],[Tarpaulin]])</f>
        <v>0</v>
      </c>
      <c r="AD335" s="294">
        <f>IF(NFI_Expiration=1,IF($A335&lt;VLOOKUP(M$5,NFI,5,0),1,0)*Table_NFI[[#This Row],[Blanket]],Table_NFI[[#This Row],[Blanket]])</f>
        <v>0</v>
      </c>
      <c r="AE335" s="294">
        <f>IF(NFI_Expiration=1,IF($A335&lt;VLOOKUP(N$5,NFI,5,0),1,0)*Table_NFI[[#This Row],[Kitchen Set]],Table_NFI[Kitchen Set])</f>
        <v>0</v>
      </c>
      <c r="AF335" s="294">
        <f>IF(NFI_Expiration=1,IF($A335&lt;VLOOKUP(O$5,NFI,5,0),1,0)*Table_NFI[[#This Row],[Clothes Kit]],Table_NFI[Clothes Kit])</f>
        <v>0</v>
      </c>
      <c r="AG335" s="294">
        <f>IF(NFI_Expiration=1,IF($A335&lt;VLOOKUP(P$5,NFI,5,0),1,0)*Table_NFI[[#This Row],[Plastic Bucket]],Table_NFI[Plastic Bucket])</f>
        <v>0</v>
      </c>
      <c r="AH335" s="294">
        <f>IF(NFI_Expiration=1,IF($A335&lt;VLOOKUP(Q$5,NFI,5,0),1,0)*Table_NFI[[#This Row],[Plastic Mat]],Table_NFI[Plastic Mat])*IF(Table_NFI[[#This Row],[Distribution Date]]&gt;"2014-04-01",1,2.5)</f>
        <v>0</v>
      </c>
      <c r="AI335" s="294">
        <f>IF(NFI_Expiration=1,IF($A335&lt;VLOOKUP(R$5,NFI,5,0),1,0)*Table_NFI[[#This Row],[Winter Clothes Adult]],Table_NFI[Winter Clothes Adult])</f>
        <v>0</v>
      </c>
      <c r="AJ335" s="294">
        <f>IF(NFI_Expiration=1,IF($A335&lt;VLOOKUP(S$5,NFI,5,0),1,0)*Table_NFI[[#This Row],[Winter Clothes Children]],Table_NFI[Winter Clothes Children])</f>
        <v>0</v>
      </c>
      <c r="AK335" s="294">
        <f>IF(NFI_Expiration=1,IF($A335&lt;VLOOKUP(T$5,NFI,5,0),1,0)*Table_NFI[[#This Row],[Winter Items Other]],Table_NFI[Winter Items Other])</f>
        <v>0</v>
      </c>
      <c r="AL335" s="294">
        <f>IF(NFI_Expiration=1,IF($A335&lt;VLOOKUP(M$5,NFI,5,0),1,0)*Table_NFI[[#This Row],[Winter Blanket]],Table_NFI[[#This Row],[Winter Blanket]])</f>
        <v>0</v>
      </c>
      <c r="AM335" s="294">
        <f>IF(Table_NFI[[#This Row],[Winter Clothes Adult]]+Table_NFI[[#This Row],[Winter Clothes Children]]+Table_NFI[[#This Row],[Winter Items Other]]+Table_NFI[[#This Row],[Winter Blanket]]&gt;0,1,0)</f>
        <v>0</v>
      </c>
      <c r="AN335" s="331">
        <f>IF(NFI_Expiration=1,IF($A335&lt;VLOOKUP(V$5,NFI,5,0),1,0)*Table_NFI[[#This Row],[Jerry Can]],Table_NFI[Jerry Can])</f>
        <v>0</v>
      </c>
      <c r="AO335" s="331">
        <f>IF(NFI_Expiration=1,IF($A335&lt;VLOOKUP(V$5,NFI,5,0),1,0)*Table_NFI[[#This Row],[Shelter Tool kit]],Table_NFI[Shelter Tool kit])</f>
        <v>0</v>
      </c>
      <c r="AP335" s="331">
        <f>IF(NFI_Expiration=1,IF($A335&lt;VLOOKUP(V$5,NFI,5,0),1,0)*Table_NFI[[#This Row],[Tent]],Table_NFI[Tent])</f>
        <v>0</v>
      </c>
      <c r="AQ335" s="473" t="str">
        <f>IFERROR(VLOOKUP(Table_NFI[[#This Row],[Camp Name]],CL,2,0),"")</f>
        <v>MMR001CMP218</v>
      </c>
      <c r="AR335" s="468">
        <f ca="1">IF(Table_NFI[[#This Row],[Pcode]]="","",IF(OFFSET(CampList[Opening Date],MATCH(Table_NFI[[#This Row],[Pcode]],CampList[CP_Pcode],0)-1,0,1,1)&gt;=NFI_Monitor_Date,1,0))</f>
        <v>0</v>
      </c>
      <c r="AS335" s="473" t="str">
        <f>IFERROR(VLOOKUP(Table_NFI[[#This Row],[Camp Name]],CL,3,0),"")</f>
        <v>Open</v>
      </c>
      <c r="AT335" s="294" t="str">
        <f ca="1">IF(Table_NFI[[#This Row],[Pcode]]="","",OFFSET(CampList[Priority],MATCH(Table_NFI[[#This Row],[Pcode]],CampList[CP_Pcode],0)-1,0,1,1))</f>
        <v>P4</v>
      </c>
      <c r="AU335" s="293">
        <f>IFERROR(Table_NFI[[#This Row],[Kitchen Set]]/VLOOKUP(Table_NFI[[#This Row],[Camp Name]],CL,4,0),"")</f>
        <v>0</v>
      </c>
      <c r="AV335" s="466"/>
      <c r="AW335" s="469"/>
    </row>
    <row r="336" spans="1:49" s="470" customFormat="1" x14ac:dyDescent="0.25">
      <c r="A336" s="297">
        <f t="shared" si="5"/>
        <v>28.4</v>
      </c>
      <c r="B336" s="465">
        <v>41823</v>
      </c>
      <c r="C336" s="466" t="s">
        <v>452</v>
      </c>
      <c r="D336" s="466"/>
      <c r="E336" s="466" t="s">
        <v>380</v>
      </c>
      <c r="F336" s="466" t="s">
        <v>151</v>
      </c>
      <c r="G336" s="466" t="s">
        <v>942</v>
      </c>
      <c r="H336" s="291"/>
      <c r="I336" s="291"/>
      <c r="J336" s="291"/>
      <c r="K336" s="291">
        <v>50</v>
      </c>
      <c r="L336" s="292">
        <v>15</v>
      </c>
      <c r="M336" s="292"/>
      <c r="N336" s="292">
        <v>15</v>
      </c>
      <c r="O336" s="292"/>
      <c r="P336" s="294">
        <v>15</v>
      </c>
      <c r="Q336" s="294">
        <v>60</v>
      </c>
      <c r="R336" s="294"/>
      <c r="S336" s="294"/>
      <c r="T336" s="294"/>
      <c r="U336" s="294"/>
      <c r="V336" s="431"/>
      <c r="W336" s="331"/>
      <c r="X336" s="331"/>
      <c r="Y336" s="294">
        <f>IF(NFI_Expiration=1,IF($A336&lt;VLOOKUP(H$5,NFI,5,0),1,0)*Table_NFI[[#This Row],[Hygiene Kit]],Table_NFI[Hygiene Kit])</f>
        <v>0</v>
      </c>
      <c r="Z336" s="294">
        <f>IF(NFI_Expiration=1,IF($A336&lt;VLOOKUP(I$5,NFI,5,0),1,0)*Table_NFI[[#This Row],[NFI Core Kit]],Table_NFI[NFI Core Kit])</f>
        <v>0</v>
      </c>
      <c r="AA336" s="294">
        <f>IF(NFI_Expiration=1,IF($A336&lt;VLOOKUP(J$5,NFI,5,0),1,0)*Table_NFI[[#This Row],[Sanitary Kit]],Table_NFI[Sanitary Kit])</f>
        <v>0</v>
      </c>
      <c r="AB336" s="294">
        <f>IF(NFI_Expiration=1,IF($A336&lt;VLOOKUP(K$5,NFI,5,0),1,0)*Table_NFI[[#This Row],[Mosquito net]],Table_NFI[Mosquito net])</f>
        <v>0</v>
      </c>
      <c r="AC336" s="294">
        <f>IF(NFI_Expiration=1,IF($A336&lt;VLOOKUP(L$5,NFI,5,0),1,0)*Table_NFI[[#This Row],[Tarpaulin]],Table_NFI[[#This Row],[Tarpaulin]])</f>
        <v>0</v>
      </c>
      <c r="AD336" s="294">
        <f>IF(NFI_Expiration=1,IF($A336&lt;VLOOKUP(M$5,NFI,5,0),1,0)*Table_NFI[[#This Row],[Blanket]],Table_NFI[[#This Row],[Blanket]])</f>
        <v>0</v>
      </c>
      <c r="AE336" s="294">
        <f>IF(NFI_Expiration=1,IF($A336&lt;VLOOKUP(N$5,NFI,5,0),1,0)*Table_NFI[[#This Row],[Kitchen Set]],Table_NFI[Kitchen Set])</f>
        <v>0</v>
      </c>
      <c r="AF336" s="294">
        <f>IF(NFI_Expiration=1,IF($A336&lt;VLOOKUP(O$5,NFI,5,0),1,0)*Table_NFI[[#This Row],[Clothes Kit]],Table_NFI[Clothes Kit])</f>
        <v>0</v>
      </c>
      <c r="AG336" s="294">
        <f>IF(NFI_Expiration=1,IF($A336&lt;VLOOKUP(P$5,NFI,5,0),1,0)*Table_NFI[[#This Row],[Plastic Bucket]],Table_NFI[Plastic Bucket])</f>
        <v>0</v>
      </c>
      <c r="AH336" s="294">
        <f>IF(NFI_Expiration=1,IF($A336&lt;VLOOKUP(Q$5,NFI,5,0),1,0)*Table_NFI[[#This Row],[Plastic Mat]],Table_NFI[Plastic Mat])*IF(Table_NFI[[#This Row],[Distribution Date]]&gt;"2014-04-01",1,2.5)</f>
        <v>0</v>
      </c>
      <c r="AI336" s="294">
        <f>IF(NFI_Expiration=1,IF($A336&lt;VLOOKUP(R$5,NFI,5,0),1,0)*Table_NFI[[#This Row],[Winter Clothes Adult]],Table_NFI[Winter Clothes Adult])</f>
        <v>0</v>
      </c>
      <c r="AJ336" s="294">
        <f>IF(NFI_Expiration=1,IF($A336&lt;VLOOKUP(S$5,NFI,5,0),1,0)*Table_NFI[[#This Row],[Winter Clothes Children]],Table_NFI[Winter Clothes Children])</f>
        <v>0</v>
      </c>
      <c r="AK336" s="294">
        <f>IF(NFI_Expiration=1,IF($A336&lt;VLOOKUP(T$5,NFI,5,0),1,0)*Table_NFI[[#This Row],[Winter Items Other]],Table_NFI[Winter Items Other])</f>
        <v>0</v>
      </c>
      <c r="AL336" s="294">
        <f>IF(NFI_Expiration=1,IF($A336&lt;VLOOKUP(M$5,NFI,5,0),1,0)*Table_NFI[[#This Row],[Winter Blanket]],Table_NFI[[#This Row],[Winter Blanket]])</f>
        <v>0</v>
      </c>
      <c r="AM336" s="294">
        <f>IF(Table_NFI[[#This Row],[Winter Clothes Adult]]+Table_NFI[[#This Row],[Winter Clothes Children]]+Table_NFI[[#This Row],[Winter Items Other]]+Table_NFI[[#This Row],[Winter Blanket]]&gt;0,1,0)</f>
        <v>0</v>
      </c>
      <c r="AN336" s="331">
        <f>IF(NFI_Expiration=1,IF($A336&lt;VLOOKUP(V$5,NFI,5,0),1,0)*Table_NFI[[#This Row],[Jerry Can]],Table_NFI[Jerry Can])</f>
        <v>0</v>
      </c>
      <c r="AO336" s="331">
        <f>IF(NFI_Expiration=1,IF($A336&lt;VLOOKUP(V$5,NFI,5,0),1,0)*Table_NFI[[#This Row],[Shelter Tool kit]],Table_NFI[Shelter Tool kit])</f>
        <v>0</v>
      </c>
      <c r="AP336" s="331">
        <f>IF(NFI_Expiration=1,IF($A336&lt;VLOOKUP(V$5,NFI,5,0),1,0)*Table_NFI[[#This Row],[Tent]],Table_NFI[Tent])</f>
        <v>0</v>
      </c>
      <c r="AQ336" s="473" t="str">
        <f>IFERROR(VLOOKUP(Table_NFI[[#This Row],[Camp Name]],CL,2,0),"")</f>
        <v>MMR001CMP223</v>
      </c>
      <c r="AR336" s="468">
        <f ca="1">IF(Table_NFI[[#This Row],[Pcode]]="","",IF(OFFSET(CampList[Opening Date],MATCH(Table_NFI[[#This Row],[Pcode]],CampList[CP_Pcode],0)-1,0,1,1)&gt;=NFI_Monitor_Date,1,0))</f>
        <v>0</v>
      </c>
      <c r="AS336" s="473" t="str">
        <f>IFERROR(VLOOKUP(Table_NFI[[#This Row],[Camp Name]],CL,3,0),"")</f>
        <v>Open</v>
      </c>
      <c r="AT336" s="294" t="str">
        <f ca="1">IF(Table_NFI[[#This Row],[Pcode]]="","",OFFSET(CampList[Priority],MATCH(Table_NFI[[#This Row],[Pcode]],CampList[CP_Pcode],0)-1,0,1,1))</f>
        <v>P4</v>
      </c>
      <c r="AU336" s="293">
        <f>IFERROR(Table_NFI[[#This Row],[Kitchen Set]]/VLOOKUP(Table_NFI[[#This Row],[Camp Name]],CL,4,0),"")</f>
        <v>0.10714285714285714</v>
      </c>
      <c r="AV336" s="466"/>
      <c r="AW336" s="469"/>
    </row>
    <row r="337" spans="1:49" s="470" customFormat="1" x14ac:dyDescent="0.25">
      <c r="A337" s="297">
        <f t="shared" si="5"/>
        <v>28.466666666666665</v>
      </c>
      <c r="B337" s="465">
        <v>41821</v>
      </c>
      <c r="C337" s="466" t="s">
        <v>452</v>
      </c>
      <c r="D337" s="466"/>
      <c r="E337" s="466" t="s">
        <v>380</v>
      </c>
      <c r="F337" s="466" t="s">
        <v>151</v>
      </c>
      <c r="G337" s="466" t="s">
        <v>885</v>
      </c>
      <c r="H337" s="291"/>
      <c r="I337" s="291"/>
      <c r="J337" s="291"/>
      <c r="K337" s="291"/>
      <c r="L337" s="292">
        <v>19</v>
      </c>
      <c r="M337" s="292"/>
      <c r="N337" s="292">
        <v>19</v>
      </c>
      <c r="O337" s="292"/>
      <c r="P337" s="294"/>
      <c r="Q337" s="294">
        <v>100</v>
      </c>
      <c r="R337" s="294"/>
      <c r="S337" s="294"/>
      <c r="T337" s="294"/>
      <c r="U337" s="294"/>
      <c r="V337" s="431"/>
      <c r="W337" s="331"/>
      <c r="X337" s="331"/>
      <c r="Y337" s="294">
        <f>IF(NFI_Expiration=1,IF($A337&lt;VLOOKUP(H$5,NFI,5,0),1,0)*Table_NFI[[#This Row],[Hygiene Kit]],Table_NFI[Hygiene Kit])</f>
        <v>0</v>
      </c>
      <c r="Z337" s="294">
        <f>IF(NFI_Expiration=1,IF($A337&lt;VLOOKUP(I$5,NFI,5,0),1,0)*Table_NFI[[#This Row],[NFI Core Kit]],Table_NFI[NFI Core Kit])</f>
        <v>0</v>
      </c>
      <c r="AA337" s="294">
        <f>IF(NFI_Expiration=1,IF($A337&lt;VLOOKUP(J$5,NFI,5,0),1,0)*Table_NFI[[#This Row],[Sanitary Kit]],Table_NFI[Sanitary Kit])</f>
        <v>0</v>
      </c>
      <c r="AB337" s="294">
        <f>IF(NFI_Expiration=1,IF($A337&lt;VLOOKUP(K$5,NFI,5,0),1,0)*Table_NFI[[#This Row],[Mosquito net]],Table_NFI[Mosquito net])</f>
        <v>0</v>
      </c>
      <c r="AC337" s="294">
        <f>IF(NFI_Expiration=1,IF($A337&lt;VLOOKUP(L$5,NFI,5,0),1,0)*Table_NFI[[#This Row],[Tarpaulin]],Table_NFI[[#This Row],[Tarpaulin]])</f>
        <v>0</v>
      </c>
      <c r="AD337" s="294">
        <f>IF(NFI_Expiration=1,IF($A337&lt;VLOOKUP(M$5,NFI,5,0),1,0)*Table_NFI[[#This Row],[Blanket]],Table_NFI[[#This Row],[Blanket]])</f>
        <v>0</v>
      </c>
      <c r="AE337" s="294">
        <f>IF(NFI_Expiration=1,IF($A337&lt;VLOOKUP(N$5,NFI,5,0),1,0)*Table_NFI[[#This Row],[Kitchen Set]],Table_NFI[Kitchen Set])</f>
        <v>0</v>
      </c>
      <c r="AF337" s="294">
        <f>IF(NFI_Expiration=1,IF($A337&lt;VLOOKUP(O$5,NFI,5,0),1,0)*Table_NFI[[#This Row],[Clothes Kit]],Table_NFI[Clothes Kit])</f>
        <v>0</v>
      </c>
      <c r="AG337" s="294">
        <f>IF(NFI_Expiration=1,IF($A337&lt;VLOOKUP(P$5,NFI,5,0),1,0)*Table_NFI[[#This Row],[Plastic Bucket]],Table_NFI[Plastic Bucket])</f>
        <v>0</v>
      </c>
      <c r="AH337" s="294">
        <f>IF(NFI_Expiration=1,IF($A337&lt;VLOOKUP(Q$5,NFI,5,0),1,0)*Table_NFI[[#This Row],[Plastic Mat]],Table_NFI[Plastic Mat])*IF(Table_NFI[[#This Row],[Distribution Date]]&gt;"2014-04-01",1,2.5)</f>
        <v>0</v>
      </c>
      <c r="AI337" s="294">
        <f>IF(NFI_Expiration=1,IF($A337&lt;VLOOKUP(R$5,NFI,5,0),1,0)*Table_NFI[[#This Row],[Winter Clothes Adult]],Table_NFI[Winter Clothes Adult])</f>
        <v>0</v>
      </c>
      <c r="AJ337" s="294">
        <f>IF(NFI_Expiration=1,IF($A337&lt;VLOOKUP(S$5,NFI,5,0),1,0)*Table_NFI[[#This Row],[Winter Clothes Children]],Table_NFI[Winter Clothes Children])</f>
        <v>0</v>
      </c>
      <c r="AK337" s="294">
        <f>IF(NFI_Expiration=1,IF($A337&lt;VLOOKUP(T$5,NFI,5,0),1,0)*Table_NFI[[#This Row],[Winter Items Other]],Table_NFI[Winter Items Other])</f>
        <v>0</v>
      </c>
      <c r="AL337" s="294">
        <f>IF(NFI_Expiration=1,IF($A337&lt;VLOOKUP(M$5,NFI,5,0),1,0)*Table_NFI[[#This Row],[Winter Blanket]],Table_NFI[[#This Row],[Winter Blanket]])</f>
        <v>0</v>
      </c>
      <c r="AM337" s="294">
        <f>IF(Table_NFI[[#This Row],[Winter Clothes Adult]]+Table_NFI[[#This Row],[Winter Clothes Children]]+Table_NFI[[#This Row],[Winter Items Other]]+Table_NFI[[#This Row],[Winter Blanket]]&gt;0,1,0)</f>
        <v>0</v>
      </c>
      <c r="AN337" s="331">
        <f>IF(NFI_Expiration=1,IF($A337&lt;VLOOKUP(V$5,NFI,5,0),1,0)*Table_NFI[[#This Row],[Jerry Can]],Table_NFI[Jerry Can])</f>
        <v>0</v>
      </c>
      <c r="AO337" s="331">
        <f>IF(NFI_Expiration=1,IF($A337&lt;VLOOKUP(V$5,NFI,5,0),1,0)*Table_NFI[[#This Row],[Shelter Tool kit]],Table_NFI[Shelter Tool kit])</f>
        <v>0</v>
      </c>
      <c r="AP337" s="331">
        <f>IF(NFI_Expiration=1,IF($A337&lt;VLOOKUP(V$5,NFI,5,0),1,0)*Table_NFI[[#This Row],[Tent]],Table_NFI[Tent])</f>
        <v>0</v>
      </c>
      <c r="AQ337" s="473" t="str">
        <f>IFERROR(VLOOKUP(Table_NFI[[#This Row],[Camp Name]],CL,2,0),"")</f>
        <v>MMR001CMP218</v>
      </c>
      <c r="AR337" s="468">
        <f ca="1">IF(Table_NFI[[#This Row],[Pcode]]="","",IF(OFFSET(CampList[Opening Date],MATCH(Table_NFI[[#This Row],[Pcode]],CampList[CP_Pcode],0)-1,0,1,1)&gt;=NFI_Monitor_Date,1,0))</f>
        <v>0</v>
      </c>
      <c r="AS337" s="473" t="str">
        <f>IFERROR(VLOOKUP(Table_NFI[[#This Row],[Camp Name]],CL,3,0),"")</f>
        <v>Open</v>
      </c>
      <c r="AT337" s="294" t="str">
        <f ca="1">IF(Table_NFI[[#This Row],[Pcode]]="","",OFFSET(CampList[Priority],MATCH(Table_NFI[[#This Row],[Pcode]],CampList[CP_Pcode],0)-1,0,1,1))</f>
        <v>P4</v>
      </c>
      <c r="AU337" s="293">
        <f>IFERROR(Table_NFI[[#This Row],[Kitchen Set]]/VLOOKUP(Table_NFI[[#This Row],[Camp Name]],CL,4,0),"")</f>
        <v>5.0802139037433157E-2</v>
      </c>
      <c r="AV337" s="466"/>
      <c r="AW337" s="469"/>
    </row>
    <row r="338" spans="1:49" s="470" customFormat="1" x14ac:dyDescent="0.25">
      <c r="A338" s="297">
        <f t="shared" si="5"/>
        <v>28.666666666666668</v>
      </c>
      <c r="B338" s="465">
        <v>41815</v>
      </c>
      <c r="C338" s="466" t="s">
        <v>1104</v>
      </c>
      <c r="D338" s="466" t="s">
        <v>900</v>
      </c>
      <c r="E338" s="466" t="s">
        <v>380</v>
      </c>
      <c r="F338" s="466" t="s">
        <v>185</v>
      </c>
      <c r="G338" s="466" t="s">
        <v>209</v>
      </c>
      <c r="H338" s="291"/>
      <c r="I338" s="291"/>
      <c r="J338" s="291"/>
      <c r="K338" s="291"/>
      <c r="L338" s="292"/>
      <c r="M338" s="292"/>
      <c r="N338" s="292"/>
      <c r="O338" s="292"/>
      <c r="P338" s="294"/>
      <c r="Q338" s="294"/>
      <c r="R338" s="294"/>
      <c r="S338" s="294"/>
      <c r="T338" s="294"/>
      <c r="U338" s="294">
        <v>832</v>
      </c>
      <c r="V338" s="431"/>
      <c r="W338" s="331"/>
      <c r="X338" s="331"/>
      <c r="Y338" s="294">
        <f>IF(NFI_Expiration=1,IF($A338&lt;VLOOKUP(H$5,NFI,5,0),1,0)*Table_NFI[[#This Row],[Hygiene Kit]],Table_NFI[Hygiene Kit])</f>
        <v>0</v>
      </c>
      <c r="Z338" s="294">
        <f>IF(NFI_Expiration=1,IF($A338&lt;VLOOKUP(I$5,NFI,5,0),1,0)*Table_NFI[[#This Row],[NFI Core Kit]],Table_NFI[NFI Core Kit])</f>
        <v>0</v>
      </c>
      <c r="AA338" s="294">
        <f>IF(NFI_Expiration=1,IF($A338&lt;VLOOKUP(J$5,NFI,5,0),1,0)*Table_NFI[[#This Row],[Sanitary Kit]],Table_NFI[Sanitary Kit])</f>
        <v>0</v>
      </c>
      <c r="AB338" s="294">
        <f>IF(NFI_Expiration=1,IF($A338&lt;VLOOKUP(K$5,NFI,5,0),1,0)*Table_NFI[[#This Row],[Mosquito net]],Table_NFI[Mosquito net])</f>
        <v>0</v>
      </c>
      <c r="AC338" s="294">
        <f>IF(NFI_Expiration=1,IF($A338&lt;VLOOKUP(L$5,NFI,5,0),1,0)*Table_NFI[[#This Row],[Tarpaulin]],Table_NFI[[#This Row],[Tarpaulin]])</f>
        <v>0</v>
      </c>
      <c r="AD338" s="294">
        <f>IF(NFI_Expiration=1,IF($A338&lt;VLOOKUP(M$5,NFI,5,0),1,0)*Table_NFI[[#This Row],[Blanket]],Table_NFI[[#This Row],[Blanket]])</f>
        <v>0</v>
      </c>
      <c r="AE338" s="294">
        <f>IF(NFI_Expiration=1,IF($A338&lt;VLOOKUP(N$5,NFI,5,0),1,0)*Table_NFI[[#This Row],[Kitchen Set]],Table_NFI[Kitchen Set])</f>
        <v>0</v>
      </c>
      <c r="AF338" s="294">
        <f>IF(NFI_Expiration=1,IF($A338&lt;VLOOKUP(O$5,NFI,5,0),1,0)*Table_NFI[[#This Row],[Clothes Kit]],Table_NFI[Clothes Kit])</f>
        <v>0</v>
      </c>
      <c r="AG338" s="294">
        <f>IF(NFI_Expiration=1,IF($A338&lt;VLOOKUP(P$5,NFI,5,0),1,0)*Table_NFI[[#This Row],[Plastic Bucket]],Table_NFI[Plastic Bucket])</f>
        <v>0</v>
      </c>
      <c r="AH338" s="294">
        <f>IF(NFI_Expiration=1,IF($A338&lt;VLOOKUP(Q$5,NFI,5,0),1,0)*Table_NFI[[#This Row],[Plastic Mat]],Table_NFI[Plastic Mat])*IF(Table_NFI[[#This Row],[Distribution Date]]&gt;"2014-04-01",1,2.5)</f>
        <v>0</v>
      </c>
      <c r="AI338" s="294">
        <f>IF(NFI_Expiration=1,IF($A338&lt;VLOOKUP(R$5,NFI,5,0),1,0)*Table_NFI[[#This Row],[Winter Clothes Adult]],Table_NFI[Winter Clothes Adult])</f>
        <v>0</v>
      </c>
      <c r="AJ338" s="294">
        <f>IF(NFI_Expiration=1,IF($A338&lt;VLOOKUP(S$5,NFI,5,0),1,0)*Table_NFI[[#This Row],[Winter Clothes Children]],Table_NFI[Winter Clothes Children])</f>
        <v>0</v>
      </c>
      <c r="AK338" s="294">
        <f>IF(NFI_Expiration=1,IF($A338&lt;VLOOKUP(T$5,NFI,5,0),1,0)*Table_NFI[[#This Row],[Winter Items Other]],Table_NFI[Winter Items Other])</f>
        <v>0</v>
      </c>
      <c r="AL338" s="294">
        <f>IF(NFI_Expiration=1,IF($A338&lt;VLOOKUP(M$5,NFI,5,0),1,0)*Table_NFI[[#This Row],[Winter Blanket]],Table_NFI[[#This Row],[Winter Blanket]])</f>
        <v>0</v>
      </c>
      <c r="AM338" s="294">
        <f>IF(Table_NFI[[#This Row],[Winter Clothes Adult]]+Table_NFI[[#This Row],[Winter Clothes Children]]+Table_NFI[[#This Row],[Winter Items Other]]+Table_NFI[[#This Row],[Winter Blanket]]&gt;0,1,0)</f>
        <v>1</v>
      </c>
      <c r="AN338" s="331">
        <f>IF(NFI_Expiration=1,IF($A338&lt;VLOOKUP(V$5,NFI,5,0),1,0)*Table_NFI[[#This Row],[Jerry Can]],Table_NFI[Jerry Can])</f>
        <v>0</v>
      </c>
      <c r="AO338" s="331">
        <f>IF(NFI_Expiration=1,IF($A338&lt;VLOOKUP(V$5,NFI,5,0),1,0)*Table_NFI[[#This Row],[Shelter Tool kit]],Table_NFI[Shelter Tool kit])</f>
        <v>0</v>
      </c>
      <c r="AP338" s="331">
        <f>IF(NFI_Expiration=1,IF($A338&lt;VLOOKUP(V$5,NFI,5,0),1,0)*Table_NFI[[#This Row],[Tent]],Table_NFI[Tent])</f>
        <v>0</v>
      </c>
      <c r="AQ338" s="473" t="str">
        <f>IFERROR(VLOOKUP(Table_NFI[[#This Row],[Camp Name]],CL,2,0),"")</f>
        <v>MMR001CMP056</v>
      </c>
      <c r="AR338" s="468">
        <f ca="1">IF(Table_NFI[[#This Row],[Pcode]]="","",IF(OFFSET(CampList[Opening Date],MATCH(Table_NFI[[#This Row],[Pcode]],CampList[CP_Pcode],0)-1,0,1,1)&gt;=NFI_Monitor_Date,1,0))</f>
        <v>0</v>
      </c>
      <c r="AS338" s="473" t="str">
        <f>IFERROR(VLOOKUP(Table_NFI[[#This Row],[Camp Name]],CL,3,0),"")</f>
        <v>Open</v>
      </c>
      <c r="AT338" s="294" t="str">
        <f ca="1">IF(Table_NFI[[#This Row],[Pcode]]="","",OFFSET(CampList[Priority],MATCH(Table_NFI[[#This Row],[Pcode]],CampList[CP_Pcode],0)-1,0,1,1))</f>
        <v>P4</v>
      </c>
      <c r="AU338" s="293">
        <f>IFERROR(Table_NFI[[#This Row],[Kitchen Set]]/VLOOKUP(Table_NFI[[#This Row],[Camp Name]],CL,4,0),"")</f>
        <v>0</v>
      </c>
      <c r="AV338" s="466"/>
      <c r="AW338" s="469"/>
    </row>
    <row r="339" spans="1:49" s="470" customFormat="1" x14ac:dyDescent="0.25">
      <c r="A339" s="297">
        <f t="shared" si="5"/>
        <v>28.7</v>
      </c>
      <c r="B339" s="465">
        <v>41814</v>
      </c>
      <c r="C339" s="466" t="s">
        <v>1104</v>
      </c>
      <c r="D339" s="466" t="s">
        <v>900</v>
      </c>
      <c r="E339" s="466" t="s">
        <v>380</v>
      </c>
      <c r="F339" s="466" t="s">
        <v>237</v>
      </c>
      <c r="G339" s="466" t="s">
        <v>263</v>
      </c>
      <c r="H339" s="291"/>
      <c r="I339" s="291"/>
      <c r="J339" s="291"/>
      <c r="K339" s="291"/>
      <c r="L339" s="292"/>
      <c r="M339" s="292"/>
      <c r="N339" s="292"/>
      <c r="O339" s="292"/>
      <c r="P339" s="294"/>
      <c r="Q339" s="294"/>
      <c r="R339" s="294"/>
      <c r="S339" s="294"/>
      <c r="T339" s="294"/>
      <c r="U339" s="294">
        <v>44</v>
      </c>
      <c r="V339" s="431"/>
      <c r="W339" s="331"/>
      <c r="X339" s="331"/>
      <c r="Y339" s="294">
        <f>IF(NFI_Expiration=1,IF($A339&lt;VLOOKUP(H$5,NFI,5,0),1,0)*Table_NFI[[#This Row],[Hygiene Kit]],Table_NFI[Hygiene Kit])</f>
        <v>0</v>
      </c>
      <c r="Z339" s="294">
        <f>IF(NFI_Expiration=1,IF($A339&lt;VLOOKUP(I$5,NFI,5,0),1,0)*Table_NFI[[#This Row],[NFI Core Kit]],Table_NFI[NFI Core Kit])</f>
        <v>0</v>
      </c>
      <c r="AA339" s="294">
        <f>IF(NFI_Expiration=1,IF($A339&lt;VLOOKUP(J$5,NFI,5,0),1,0)*Table_NFI[[#This Row],[Sanitary Kit]],Table_NFI[Sanitary Kit])</f>
        <v>0</v>
      </c>
      <c r="AB339" s="294">
        <f>IF(NFI_Expiration=1,IF($A339&lt;VLOOKUP(K$5,NFI,5,0),1,0)*Table_NFI[[#This Row],[Mosquito net]],Table_NFI[Mosquito net])</f>
        <v>0</v>
      </c>
      <c r="AC339" s="294">
        <f>IF(NFI_Expiration=1,IF($A339&lt;VLOOKUP(L$5,NFI,5,0),1,0)*Table_NFI[[#This Row],[Tarpaulin]],Table_NFI[[#This Row],[Tarpaulin]])</f>
        <v>0</v>
      </c>
      <c r="AD339" s="294">
        <f>IF(NFI_Expiration=1,IF($A339&lt;VLOOKUP(M$5,NFI,5,0),1,0)*Table_NFI[[#This Row],[Blanket]],Table_NFI[[#This Row],[Blanket]])</f>
        <v>0</v>
      </c>
      <c r="AE339" s="294">
        <f>IF(NFI_Expiration=1,IF($A339&lt;VLOOKUP(N$5,NFI,5,0),1,0)*Table_NFI[[#This Row],[Kitchen Set]],Table_NFI[Kitchen Set])</f>
        <v>0</v>
      </c>
      <c r="AF339" s="294">
        <f>IF(NFI_Expiration=1,IF($A339&lt;VLOOKUP(O$5,NFI,5,0),1,0)*Table_NFI[[#This Row],[Clothes Kit]],Table_NFI[Clothes Kit])</f>
        <v>0</v>
      </c>
      <c r="AG339" s="294">
        <f>IF(NFI_Expiration=1,IF($A339&lt;VLOOKUP(P$5,NFI,5,0),1,0)*Table_NFI[[#This Row],[Plastic Bucket]],Table_NFI[Plastic Bucket])</f>
        <v>0</v>
      </c>
      <c r="AH339" s="294">
        <f>IF(NFI_Expiration=1,IF($A339&lt;VLOOKUP(Q$5,NFI,5,0),1,0)*Table_NFI[[#This Row],[Plastic Mat]],Table_NFI[Plastic Mat])*IF(Table_NFI[[#This Row],[Distribution Date]]&gt;"2014-04-01",1,2.5)</f>
        <v>0</v>
      </c>
      <c r="AI339" s="294">
        <f>IF(NFI_Expiration=1,IF($A339&lt;VLOOKUP(R$5,NFI,5,0),1,0)*Table_NFI[[#This Row],[Winter Clothes Adult]],Table_NFI[Winter Clothes Adult])</f>
        <v>0</v>
      </c>
      <c r="AJ339" s="294">
        <f>IF(NFI_Expiration=1,IF($A339&lt;VLOOKUP(S$5,NFI,5,0),1,0)*Table_NFI[[#This Row],[Winter Clothes Children]],Table_NFI[Winter Clothes Children])</f>
        <v>0</v>
      </c>
      <c r="AK339" s="294">
        <f>IF(NFI_Expiration=1,IF($A339&lt;VLOOKUP(T$5,NFI,5,0),1,0)*Table_NFI[[#This Row],[Winter Items Other]],Table_NFI[Winter Items Other])</f>
        <v>0</v>
      </c>
      <c r="AL339" s="294">
        <f>IF(NFI_Expiration=1,IF($A339&lt;VLOOKUP(M$5,NFI,5,0),1,0)*Table_NFI[[#This Row],[Winter Blanket]],Table_NFI[[#This Row],[Winter Blanket]])</f>
        <v>0</v>
      </c>
      <c r="AM339" s="294">
        <f>IF(Table_NFI[[#This Row],[Winter Clothes Adult]]+Table_NFI[[#This Row],[Winter Clothes Children]]+Table_NFI[[#This Row],[Winter Items Other]]+Table_NFI[[#This Row],[Winter Blanket]]&gt;0,1,0)</f>
        <v>1</v>
      </c>
      <c r="AN339" s="331">
        <f>IF(NFI_Expiration=1,IF($A339&lt;VLOOKUP(V$5,NFI,5,0),1,0)*Table_NFI[[#This Row],[Jerry Can]],Table_NFI[Jerry Can])</f>
        <v>0</v>
      </c>
      <c r="AO339" s="331">
        <f>IF(NFI_Expiration=1,IF($A339&lt;VLOOKUP(V$5,NFI,5,0),1,0)*Table_NFI[[#This Row],[Shelter Tool kit]],Table_NFI[Shelter Tool kit])</f>
        <v>0</v>
      </c>
      <c r="AP339" s="331">
        <f>IF(NFI_Expiration=1,IF($A339&lt;VLOOKUP(V$5,NFI,5,0),1,0)*Table_NFI[[#This Row],[Tent]],Table_NFI[Tent])</f>
        <v>0</v>
      </c>
      <c r="AQ339" s="473" t="str">
        <f>IFERROR(VLOOKUP(Table_NFI[[#This Row],[Camp Name]],CL,2,0),"")</f>
        <v>MMR001CMP020</v>
      </c>
      <c r="AR339" s="468">
        <f ca="1">IF(Table_NFI[[#This Row],[Pcode]]="","",IF(OFFSET(CampList[Opening Date],MATCH(Table_NFI[[#This Row],[Pcode]],CampList[CP_Pcode],0)-1,0,1,1)&gt;=NFI_Monitor_Date,1,0))</f>
        <v>0</v>
      </c>
      <c r="AS339" s="473" t="str">
        <f>IFERROR(VLOOKUP(Table_NFI[[#This Row],[Camp Name]],CL,3,0),"")</f>
        <v>Open</v>
      </c>
      <c r="AT339" s="294" t="str">
        <f ca="1">IF(Table_NFI[[#This Row],[Pcode]]="","",OFFSET(CampList[Priority],MATCH(Table_NFI[[#This Row],[Pcode]],CampList[CP_Pcode],0)-1,0,1,1))</f>
        <v>P4</v>
      </c>
      <c r="AU339" s="293">
        <f>IFERROR(Table_NFI[[#This Row],[Kitchen Set]]/VLOOKUP(Table_NFI[[#This Row],[Camp Name]],CL,4,0),"")</f>
        <v>0</v>
      </c>
      <c r="AV339" s="466"/>
      <c r="AW339" s="469"/>
    </row>
    <row r="340" spans="1:49" s="470" customFormat="1" x14ac:dyDescent="0.25">
      <c r="A340" s="297">
        <f t="shared" si="5"/>
        <v>28.7</v>
      </c>
      <c r="B340" s="465">
        <v>41814</v>
      </c>
      <c r="C340" s="466" t="s">
        <v>1104</v>
      </c>
      <c r="D340" s="466" t="s">
        <v>900</v>
      </c>
      <c r="E340" s="466" t="s">
        <v>380</v>
      </c>
      <c r="F340" s="466" t="s">
        <v>237</v>
      </c>
      <c r="G340" s="466" t="s">
        <v>265</v>
      </c>
      <c r="H340" s="291"/>
      <c r="I340" s="291"/>
      <c r="J340" s="291"/>
      <c r="K340" s="291"/>
      <c r="L340" s="292"/>
      <c r="M340" s="292"/>
      <c r="N340" s="292"/>
      <c r="O340" s="292"/>
      <c r="P340" s="294"/>
      <c r="Q340" s="294"/>
      <c r="R340" s="294"/>
      <c r="S340" s="294"/>
      <c r="T340" s="294"/>
      <c r="U340" s="294">
        <v>28</v>
      </c>
      <c r="V340" s="431"/>
      <c r="W340" s="331"/>
      <c r="X340" s="331"/>
      <c r="Y340" s="294">
        <f>IF(NFI_Expiration=1,IF($A340&lt;VLOOKUP(H$5,NFI,5,0),1,0)*Table_NFI[[#This Row],[Hygiene Kit]],Table_NFI[Hygiene Kit])</f>
        <v>0</v>
      </c>
      <c r="Z340" s="294">
        <f>IF(NFI_Expiration=1,IF($A340&lt;VLOOKUP(I$5,NFI,5,0),1,0)*Table_NFI[[#This Row],[NFI Core Kit]],Table_NFI[NFI Core Kit])</f>
        <v>0</v>
      </c>
      <c r="AA340" s="294">
        <f>IF(NFI_Expiration=1,IF($A340&lt;VLOOKUP(J$5,NFI,5,0),1,0)*Table_NFI[[#This Row],[Sanitary Kit]],Table_NFI[Sanitary Kit])</f>
        <v>0</v>
      </c>
      <c r="AB340" s="294">
        <f>IF(NFI_Expiration=1,IF($A340&lt;VLOOKUP(K$5,NFI,5,0),1,0)*Table_NFI[[#This Row],[Mosquito net]],Table_NFI[Mosquito net])</f>
        <v>0</v>
      </c>
      <c r="AC340" s="294">
        <f>IF(NFI_Expiration=1,IF($A340&lt;VLOOKUP(L$5,NFI,5,0),1,0)*Table_NFI[[#This Row],[Tarpaulin]],Table_NFI[[#This Row],[Tarpaulin]])</f>
        <v>0</v>
      </c>
      <c r="AD340" s="294">
        <f>IF(NFI_Expiration=1,IF($A340&lt;VLOOKUP(M$5,NFI,5,0),1,0)*Table_NFI[[#This Row],[Blanket]],Table_NFI[[#This Row],[Blanket]])</f>
        <v>0</v>
      </c>
      <c r="AE340" s="294">
        <f>IF(NFI_Expiration=1,IF($A340&lt;VLOOKUP(N$5,NFI,5,0),1,0)*Table_NFI[[#This Row],[Kitchen Set]],Table_NFI[Kitchen Set])</f>
        <v>0</v>
      </c>
      <c r="AF340" s="294">
        <f>IF(NFI_Expiration=1,IF($A340&lt;VLOOKUP(O$5,NFI,5,0),1,0)*Table_NFI[[#This Row],[Clothes Kit]],Table_NFI[Clothes Kit])</f>
        <v>0</v>
      </c>
      <c r="AG340" s="294">
        <f>IF(NFI_Expiration=1,IF($A340&lt;VLOOKUP(P$5,NFI,5,0),1,0)*Table_NFI[[#This Row],[Plastic Bucket]],Table_NFI[Plastic Bucket])</f>
        <v>0</v>
      </c>
      <c r="AH340" s="294">
        <f>IF(NFI_Expiration=1,IF($A340&lt;VLOOKUP(Q$5,NFI,5,0),1,0)*Table_NFI[[#This Row],[Plastic Mat]],Table_NFI[Plastic Mat])*IF(Table_NFI[[#This Row],[Distribution Date]]&gt;"2014-04-01",1,2.5)</f>
        <v>0</v>
      </c>
      <c r="AI340" s="294">
        <f>IF(NFI_Expiration=1,IF($A340&lt;VLOOKUP(R$5,NFI,5,0),1,0)*Table_NFI[[#This Row],[Winter Clothes Adult]],Table_NFI[Winter Clothes Adult])</f>
        <v>0</v>
      </c>
      <c r="AJ340" s="294">
        <f>IF(NFI_Expiration=1,IF($A340&lt;VLOOKUP(S$5,NFI,5,0),1,0)*Table_NFI[[#This Row],[Winter Clothes Children]],Table_NFI[Winter Clothes Children])</f>
        <v>0</v>
      </c>
      <c r="AK340" s="294">
        <f>IF(NFI_Expiration=1,IF($A340&lt;VLOOKUP(T$5,NFI,5,0),1,0)*Table_NFI[[#This Row],[Winter Items Other]],Table_NFI[Winter Items Other])</f>
        <v>0</v>
      </c>
      <c r="AL340" s="294">
        <f>IF(NFI_Expiration=1,IF($A340&lt;VLOOKUP(M$5,NFI,5,0),1,0)*Table_NFI[[#This Row],[Winter Blanket]],Table_NFI[[#This Row],[Winter Blanket]])</f>
        <v>0</v>
      </c>
      <c r="AM340" s="294">
        <f>IF(Table_NFI[[#This Row],[Winter Clothes Adult]]+Table_NFI[[#This Row],[Winter Clothes Children]]+Table_NFI[[#This Row],[Winter Items Other]]+Table_NFI[[#This Row],[Winter Blanket]]&gt;0,1,0)</f>
        <v>1</v>
      </c>
      <c r="AN340" s="331">
        <f>IF(NFI_Expiration=1,IF($A340&lt;VLOOKUP(V$5,NFI,5,0),1,0)*Table_NFI[[#This Row],[Jerry Can]],Table_NFI[Jerry Can])</f>
        <v>0</v>
      </c>
      <c r="AO340" s="331">
        <f>IF(NFI_Expiration=1,IF($A340&lt;VLOOKUP(V$5,NFI,5,0),1,0)*Table_NFI[[#This Row],[Shelter Tool kit]],Table_NFI[Shelter Tool kit])</f>
        <v>0</v>
      </c>
      <c r="AP340" s="331">
        <f>IF(NFI_Expiration=1,IF($A340&lt;VLOOKUP(V$5,NFI,5,0),1,0)*Table_NFI[[#This Row],[Tent]],Table_NFI[Tent])</f>
        <v>0</v>
      </c>
      <c r="AQ340" s="473" t="str">
        <f>IFERROR(VLOOKUP(Table_NFI[[#This Row],[Camp Name]],CL,2,0),"")</f>
        <v>MMR001CMP021</v>
      </c>
      <c r="AR340" s="468">
        <f ca="1">IF(Table_NFI[[#This Row],[Pcode]]="","",IF(OFFSET(CampList[Opening Date],MATCH(Table_NFI[[#This Row],[Pcode]],CampList[CP_Pcode],0)-1,0,1,1)&gt;=NFI_Monitor_Date,1,0))</f>
        <v>0</v>
      </c>
      <c r="AS340" s="473" t="str">
        <f>IFERROR(VLOOKUP(Table_NFI[[#This Row],[Camp Name]],CL,3,0),"")</f>
        <v>Open</v>
      </c>
      <c r="AT340" s="294" t="str">
        <f ca="1">IF(Table_NFI[[#This Row],[Pcode]]="","",OFFSET(CampList[Priority],MATCH(Table_NFI[[#This Row],[Pcode]],CampList[CP_Pcode],0)-1,0,1,1))</f>
        <v>P4</v>
      </c>
      <c r="AU340" s="293">
        <f>IFERROR(Table_NFI[[#This Row],[Kitchen Set]]/VLOOKUP(Table_NFI[[#This Row],[Camp Name]],CL,4,0),"")</f>
        <v>0</v>
      </c>
      <c r="AV340" s="466"/>
      <c r="AW340" s="469"/>
    </row>
    <row r="341" spans="1:49" s="470" customFormat="1" x14ac:dyDescent="0.25">
      <c r="A341" s="297">
        <f t="shared" si="5"/>
        <v>28.733333333333334</v>
      </c>
      <c r="B341" s="465">
        <v>41813</v>
      </c>
      <c r="C341" s="466" t="s">
        <v>1104</v>
      </c>
      <c r="D341" s="466" t="s">
        <v>900</v>
      </c>
      <c r="E341" s="466" t="s">
        <v>380</v>
      </c>
      <c r="F341" s="466" t="s">
        <v>237</v>
      </c>
      <c r="G341" s="466" t="s">
        <v>275</v>
      </c>
      <c r="H341" s="291"/>
      <c r="I341" s="291"/>
      <c r="J341" s="291"/>
      <c r="K341" s="291"/>
      <c r="L341" s="292"/>
      <c r="M341" s="292"/>
      <c r="N341" s="292"/>
      <c r="O341" s="292"/>
      <c r="P341" s="294"/>
      <c r="Q341" s="294"/>
      <c r="R341" s="294"/>
      <c r="S341" s="294"/>
      <c r="T341" s="294"/>
      <c r="U341" s="294">
        <v>88</v>
      </c>
      <c r="V341" s="431"/>
      <c r="W341" s="331"/>
      <c r="X341" s="331"/>
      <c r="Y341" s="294">
        <f>IF(NFI_Expiration=1,IF($A341&lt;VLOOKUP(H$5,NFI,5,0),1,0)*Table_NFI[[#This Row],[Hygiene Kit]],Table_NFI[Hygiene Kit])</f>
        <v>0</v>
      </c>
      <c r="Z341" s="294">
        <f>IF(NFI_Expiration=1,IF($A341&lt;VLOOKUP(I$5,NFI,5,0),1,0)*Table_NFI[[#This Row],[NFI Core Kit]],Table_NFI[NFI Core Kit])</f>
        <v>0</v>
      </c>
      <c r="AA341" s="294">
        <f>IF(NFI_Expiration=1,IF($A341&lt;VLOOKUP(J$5,NFI,5,0),1,0)*Table_NFI[[#This Row],[Sanitary Kit]],Table_NFI[Sanitary Kit])</f>
        <v>0</v>
      </c>
      <c r="AB341" s="294">
        <f>IF(NFI_Expiration=1,IF($A341&lt;VLOOKUP(K$5,NFI,5,0),1,0)*Table_NFI[[#This Row],[Mosquito net]],Table_NFI[Mosquito net])</f>
        <v>0</v>
      </c>
      <c r="AC341" s="294">
        <f>IF(NFI_Expiration=1,IF($A341&lt;VLOOKUP(L$5,NFI,5,0),1,0)*Table_NFI[[#This Row],[Tarpaulin]],Table_NFI[[#This Row],[Tarpaulin]])</f>
        <v>0</v>
      </c>
      <c r="AD341" s="294">
        <f>IF(NFI_Expiration=1,IF($A341&lt;VLOOKUP(M$5,NFI,5,0),1,0)*Table_NFI[[#This Row],[Blanket]],Table_NFI[[#This Row],[Blanket]])</f>
        <v>0</v>
      </c>
      <c r="AE341" s="294">
        <f>IF(NFI_Expiration=1,IF($A341&lt;VLOOKUP(N$5,NFI,5,0),1,0)*Table_NFI[[#This Row],[Kitchen Set]],Table_NFI[Kitchen Set])</f>
        <v>0</v>
      </c>
      <c r="AF341" s="294">
        <f>IF(NFI_Expiration=1,IF($A341&lt;VLOOKUP(O$5,NFI,5,0),1,0)*Table_NFI[[#This Row],[Clothes Kit]],Table_NFI[Clothes Kit])</f>
        <v>0</v>
      </c>
      <c r="AG341" s="294">
        <f>IF(NFI_Expiration=1,IF($A341&lt;VLOOKUP(P$5,NFI,5,0),1,0)*Table_NFI[[#This Row],[Plastic Bucket]],Table_NFI[Plastic Bucket])</f>
        <v>0</v>
      </c>
      <c r="AH341" s="294">
        <f>IF(NFI_Expiration=1,IF($A341&lt;VLOOKUP(Q$5,NFI,5,0),1,0)*Table_NFI[[#This Row],[Plastic Mat]],Table_NFI[Plastic Mat])*IF(Table_NFI[[#This Row],[Distribution Date]]&gt;"2014-04-01",1,2.5)</f>
        <v>0</v>
      </c>
      <c r="AI341" s="294">
        <f>IF(NFI_Expiration=1,IF($A341&lt;VLOOKUP(R$5,NFI,5,0),1,0)*Table_NFI[[#This Row],[Winter Clothes Adult]],Table_NFI[Winter Clothes Adult])</f>
        <v>0</v>
      </c>
      <c r="AJ341" s="294">
        <f>IF(NFI_Expiration=1,IF($A341&lt;VLOOKUP(S$5,NFI,5,0),1,0)*Table_NFI[[#This Row],[Winter Clothes Children]],Table_NFI[Winter Clothes Children])</f>
        <v>0</v>
      </c>
      <c r="AK341" s="294">
        <f>IF(NFI_Expiration=1,IF($A341&lt;VLOOKUP(T$5,NFI,5,0),1,0)*Table_NFI[[#This Row],[Winter Items Other]],Table_NFI[Winter Items Other])</f>
        <v>0</v>
      </c>
      <c r="AL341" s="294">
        <f>IF(NFI_Expiration=1,IF($A341&lt;VLOOKUP(M$5,NFI,5,0),1,0)*Table_NFI[[#This Row],[Winter Blanket]],Table_NFI[[#This Row],[Winter Blanket]])</f>
        <v>0</v>
      </c>
      <c r="AM341" s="294">
        <f>IF(Table_NFI[[#This Row],[Winter Clothes Adult]]+Table_NFI[[#This Row],[Winter Clothes Children]]+Table_NFI[[#This Row],[Winter Items Other]]+Table_NFI[[#This Row],[Winter Blanket]]&gt;0,1,0)</f>
        <v>1</v>
      </c>
      <c r="AN341" s="331">
        <f>IF(NFI_Expiration=1,IF($A341&lt;VLOOKUP(V$5,NFI,5,0),1,0)*Table_NFI[[#This Row],[Jerry Can]],Table_NFI[Jerry Can])</f>
        <v>0</v>
      </c>
      <c r="AO341" s="331">
        <f>IF(NFI_Expiration=1,IF($A341&lt;VLOOKUP(V$5,NFI,5,0),1,0)*Table_NFI[[#This Row],[Shelter Tool kit]],Table_NFI[Shelter Tool kit])</f>
        <v>0</v>
      </c>
      <c r="AP341" s="331">
        <f>IF(NFI_Expiration=1,IF($A341&lt;VLOOKUP(V$5,NFI,5,0),1,0)*Table_NFI[[#This Row],[Tent]],Table_NFI[Tent])</f>
        <v>0</v>
      </c>
      <c r="AQ341" s="473" t="str">
        <f>IFERROR(VLOOKUP(Table_NFI[[#This Row],[Camp Name]],CL,2,0),"")</f>
        <v>MMR001CMP005</v>
      </c>
      <c r="AR341" s="468">
        <f ca="1">IF(Table_NFI[[#This Row],[Pcode]]="","",IF(OFFSET(CampList[Opening Date],MATCH(Table_NFI[[#This Row],[Pcode]],CampList[CP_Pcode],0)-1,0,1,1)&gt;=NFI_Monitor_Date,1,0))</f>
        <v>0</v>
      </c>
      <c r="AS341" s="473" t="str">
        <f>IFERROR(VLOOKUP(Table_NFI[[#This Row],[Camp Name]],CL,3,0),"")</f>
        <v>Open</v>
      </c>
      <c r="AT341" s="294" t="str">
        <f ca="1">IF(Table_NFI[[#This Row],[Pcode]]="","",OFFSET(CampList[Priority],MATCH(Table_NFI[[#This Row],[Pcode]],CampList[CP_Pcode],0)-1,0,1,1))</f>
        <v>P4</v>
      </c>
      <c r="AU341" s="293">
        <f>IFERROR(Table_NFI[[#This Row],[Kitchen Set]]/VLOOKUP(Table_NFI[[#This Row],[Camp Name]],CL,4,0),"")</f>
        <v>0</v>
      </c>
      <c r="AV341" s="466"/>
      <c r="AW341" s="469"/>
    </row>
    <row r="342" spans="1:49" s="470" customFormat="1" x14ac:dyDescent="0.25">
      <c r="A342" s="297">
        <f t="shared" si="5"/>
        <v>28.766666666666666</v>
      </c>
      <c r="B342" s="465">
        <v>41812</v>
      </c>
      <c r="C342" s="466" t="s">
        <v>1104</v>
      </c>
      <c r="D342" s="466" t="s">
        <v>900</v>
      </c>
      <c r="E342" s="466" t="s">
        <v>380</v>
      </c>
      <c r="F342" s="466" t="s">
        <v>185</v>
      </c>
      <c r="G342" s="466" t="s">
        <v>211</v>
      </c>
      <c r="H342" s="291"/>
      <c r="I342" s="291"/>
      <c r="J342" s="291"/>
      <c r="K342" s="291"/>
      <c r="L342" s="292"/>
      <c r="M342" s="292"/>
      <c r="N342" s="292"/>
      <c r="O342" s="292"/>
      <c r="P342" s="294"/>
      <c r="Q342" s="294"/>
      <c r="R342" s="294"/>
      <c r="S342" s="294"/>
      <c r="T342" s="294"/>
      <c r="U342" s="294">
        <v>462</v>
      </c>
      <c r="V342" s="431"/>
      <c r="W342" s="331"/>
      <c r="X342" s="331"/>
      <c r="Y342" s="294">
        <f>IF(NFI_Expiration=1,IF($A342&lt;VLOOKUP(H$5,NFI,5,0),1,0)*Table_NFI[[#This Row],[Hygiene Kit]],Table_NFI[Hygiene Kit])</f>
        <v>0</v>
      </c>
      <c r="Z342" s="294">
        <f>IF(NFI_Expiration=1,IF($A342&lt;VLOOKUP(I$5,NFI,5,0),1,0)*Table_NFI[[#This Row],[NFI Core Kit]],Table_NFI[NFI Core Kit])</f>
        <v>0</v>
      </c>
      <c r="AA342" s="294">
        <f>IF(NFI_Expiration=1,IF($A342&lt;VLOOKUP(J$5,NFI,5,0),1,0)*Table_NFI[[#This Row],[Sanitary Kit]],Table_NFI[Sanitary Kit])</f>
        <v>0</v>
      </c>
      <c r="AB342" s="294">
        <f>IF(NFI_Expiration=1,IF($A342&lt;VLOOKUP(K$5,NFI,5,0),1,0)*Table_NFI[[#This Row],[Mosquito net]],Table_NFI[Mosquito net])</f>
        <v>0</v>
      </c>
      <c r="AC342" s="294">
        <f>IF(NFI_Expiration=1,IF($A342&lt;VLOOKUP(L$5,NFI,5,0),1,0)*Table_NFI[[#This Row],[Tarpaulin]],Table_NFI[[#This Row],[Tarpaulin]])</f>
        <v>0</v>
      </c>
      <c r="AD342" s="294">
        <f>IF(NFI_Expiration=1,IF($A342&lt;VLOOKUP(M$5,NFI,5,0),1,0)*Table_NFI[[#This Row],[Blanket]],Table_NFI[[#This Row],[Blanket]])</f>
        <v>0</v>
      </c>
      <c r="AE342" s="294">
        <f>IF(NFI_Expiration=1,IF($A342&lt;VLOOKUP(N$5,NFI,5,0),1,0)*Table_NFI[[#This Row],[Kitchen Set]],Table_NFI[Kitchen Set])</f>
        <v>0</v>
      </c>
      <c r="AF342" s="294">
        <f>IF(NFI_Expiration=1,IF($A342&lt;VLOOKUP(O$5,NFI,5,0),1,0)*Table_NFI[[#This Row],[Clothes Kit]],Table_NFI[Clothes Kit])</f>
        <v>0</v>
      </c>
      <c r="AG342" s="294">
        <f>IF(NFI_Expiration=1,IF($A342&lt;VLOOKUP(P$5,NFI,5,0),1,0)*Table_NFI[[#This Row],[Plastic Bucket]],Table_NFI[Plastic Bucket])</f>
        <v>0</v>
      </c>
      <c r="AH342" s="294">
        <f>IF(NFI_Expiration=1,IF($A342&lt;VLOOKUP(Q$5,NFI,5,0),1,0)*Table_NFI[[#This Row],[Plastic Mat]],Table_NFI[Plastic Mat])*IF(Table_NFI[[#This Row],[Distribution Date]]&gt;"2014-04-01",1,2.5)</f>
        <v>0</v>
      </c>
      <c r="AI342" s="294">
        <f>IF(NFI_Expiration=1,IF($A342&lt;VLOOKUP(R$5,NFI,5,0),1,0)*Table_NFI[[#This Row],[Winter Clothes Adult]],Table_NFI[Winter Clothes Adult])</f>
        <v>0</v>
      </c>
      <c r="AJ342" s="294">
        <f>IF(NFI_Expiration=1,IF($A342&lt;VLOOKUP(S$5,NFI,5,0),1,0)*Table_NFI[[#This Row],[Winter Clothes Children]],Table_NFI[Winter Clothes Children])</f>
        <v>0</v>
      </c>
      <c r="AK342" s="294">
        <f>IF(NFI_Expiration=1,IF($A342&lt;VLOOKUP(T$5,NFI,5,0),1,0)*Table_NFI[[#This Row],[Winter Items Other]],Table_NFI[Winter Items Other])</f>
        <v>0</v>
      </c>
      <c r="AL342" s="294">
        <f>IF(NFI_Expiration=1,IF($A342&lt;VLOOKUP(M$5,NFI,5,0),1,0)*Table_NFI[[#This Row],[Winter Blanket]],Table_NFI[[#This Row],[Winter Blanket]])</f>
        <v>0</v>
      </c>
      <c r="AM342" s="294">
        <f>IF(Table_NFI[[#This Row],[Winter Clothes Adult]]+Table_NFI[[#This Row],[Winter Clothes Children]]+Table_NFI[[#This Row],[Winter Items Other]]+Table_NFI[[#This Row],[Winter Blanket]]&gt;0,1,0)</f>
        <v>1</v>
      </c>
      <c r="AN342" s="331">
        <f>IF(NFI_Expiration=1,IF($A342&lt;VLOOKUP(V$5,NFI,5,0),1,0)*Table_NFI[[#This Row],[Jerry Can]],Table_NFI[Jerry Can])</f>
        <v>0</v>
      </c>
      <c r="AO342" s="331">
        <f>IF(NFI_Expiration=1,IF($A342&lt;VLOOKUP(V$5,NFI,5,0),1,0)*Table_NFI[[#This Row],[Shelter Tool kit]],Table_NFI[Shelter Tool kit])</f>
        <v>0</v>
      </c>
      <c r="AP342" s="331">
        <f>IF(NFI_Expiration=1,IF($A342&lt;VLOOKUP(V$5,NFI,5,0),1,0)*Table_NFI[[#This Row],[Tent]],Table_NFI[Tent])</f>
        <v>0</v>
      </c>
      <c r="AQ342" s="473" t="str">
        <f>IFERROR(VLOOKUP(Table_NFI[[#This Row],[Camp Name]],CL,2,0),"")</f>
        <v>MMR001CMP057</v>
      </c>
      <c r="AR342" s="468">
        <f ca="1">IF(Table_NFI[[#This Row],[Pcode]]="","",IF(OFFSET(CampList[Opening Date],MATCH(Table_NFI[[#This Row],[Pcode]],CampList[CP_Pcode],0)-1,0,1,1)&gt;=NFI_Monitor_Date,1,0))</f>
        <v>0</v>
      </c>
      <c r="AS342" s="473" t="str">
        <f>IFERROR(VLOOKUP(Table_NFI[[#This Row],[Camp Name]],CL,3,0),"")</f>
        <v>Closed</v>
      </c>
      <c r="AT342" s="294" t="str">
        <f ca="1">IF(Table_NFI[[#This Row],[Pcode]]="","",OFFSET(CampList[Priority],MATCH(Table_NFI[[#This Row],[Pcode]],CampList[CP_Pcode],0)-1,0,1,1))</f>
        <v>P4</v>
      </c>
      <c r="AU342" s="293" t="str">
        <f>IFERROR(Table_NFI[[#This Row],[Kitchen Set]]/VLOOKUP(Table_NFI[[#This Row],[Camp Name]],CL,4,0),"")</f>
        <v/>
      </c>
      <c r="AV342" s="466"/>
      <c r="AW342" s="469"/>
    </row>
    <row r="343" spans="1:49" s="470" customFormat="1" x14ac:dyDescent="0.25">
      <c r="A343" s="297">
        <f t="shared" si="5"/>
        <v>28.8</v>
      </c>
      <c r="B343" s="465">
        <v>41811</v>
      </c>
      <c r="C343" s="466" t="s">
        <v>1104</v>
      </c>
      <c r="D343" s="466" t="s">
        <v>900</v>
      </c>
      <c r="E343" s="466" t="s">
        <v>380</v>
      </c>
      <c r="F343" s="466" t="s">
        <v>237</v>
      </c>
      <c r="G343" s="466" t="s">
        <v>243</v>
      </c>
      <c r="H343" s="291"/>
      <c r="I343" s="291"/>
      <c r="J343" s="291"/>
      <c r="K343" s="291"/>
      <c r="L343" s="292"/>
      <c r="M343" s="292"/>
      <c r="N343" s="292"/>
      <c r="O343" s="292"/>
      <c r="P343" s="294"/>
      <c r="Q343" s="294"/>
      <c r="R343" s="294"/>
      <c r="S343" s="294"/>
      <c r="T343" s="294"/>
      <c r="U343" s="294">
        <v>12</v>
      </c>
      <c r="V343" s="431"/>
      <c r="W343" s="294"/>
      <c r="X343" s="294"/>
      <c r="Y343" s="294">
        <f>IF(NFI_Expiration=1,IF($A343&lt;VLOOKUP(H$5,NFI,5,0),1,0)*Table_NFI[[#This Row],[Hygiene Kit]],Table_NFI[Hygiene Kit])</f>
        <v>0</v>
      </c>
      <c r="Z343" s="294">
        <f>IF(NFI_Expiration=1,IF($A343&lt;VLOOKUP(I$5,NFI,5,0),1,0)*Table_NFI[[#This Row],[NFI Core Kit]],Table_NFI[NFI Core Kit])</f>
        <v>0</v>
      </c>
      <c r="AA343" s="294">
        <f>IF(NFI_Expiration=1,IF($A343&lt;VLOOKUP(J$5,NFI,5,0),1,0)*Table_NFI[[#This Row],[Sanitary Kit]],Table_NFI[Sanitary Kit])</f>
        <v>0</v>
      </c>
      <c r="AB343" s="294">
        <f>IF(NFI_Expiration=1,IF($A343&lt;VLOOKUP(K$5,NFI,5,0),1,0)*Table_NFI[[#This Row],[Mosquito net]],Table_NFI[Mosquito net])</f>
        <v>0</v>
      </c>
      <c r="AC343" s="294">
        <f>IF(NFI_Expiration=1,IF($A343&lt;VLOOKUP(L$5,NFI,5,0),1,0)*Table_NFI[[#This Row],[Tarpaulin]],Table_NFI[[#This Row],[Tarpaulin]])</f>
        <v>0</v>
      </c>
      <c r="AD343" s="294">
        <f>IF(NFI_Expiration=1,IF($A343&lt;VLOOKUP(M$5,NFI,5,0),1,0)*Table_NFI[[#This Row],[Blanket]],Table_NFI[[#This Row],[Blanket]])</f>
        <v>0</v>
      </c>
      <c r="AE343" s="294">
        <f>IF(NFI_Expiration=1,IF($A343&lt;VLOOKUP(N$5,NFI,5,0),1,0)*Table_NFI[[#This Row],[Kitchen Set]],Table_NFI[Kitchen Set])</f>
        <v>0</v>
      </c>
      <c r="AF343" s="294">
        <f>IF(NFI_Expiration=1,IF($A343&lt;VLOOKUP(O$5,NFI,5,0),1,0)*Table_NFI[[#This Row],[Clothes Kit]],Table_NFI[Clothes Kit])</f>
        <v>0</v>
      </c>
      <c r="AG343" s="294">
        <f>IF(NFI_Expiration=1,IF($A343&lt;VLOOKUP(P$5,NFI,5,0),1,0)*Table_NFI[[#This Row],[Plastic Bucket]],Table_NFI[Plastic Bucket])</f>
        <v>0</v>
      </c>
      <c r="AH343" s="294">
        <f>IF(NFI_Expiration=1,IF($A343&lt;VLOOKUP(Q$5,NFI,5,0),1,0)*Table_NFI[[#This Row],[Plastic Mat]],Table_NFI[Plastic Mat])*IF(Table_NFI[[#This Row],[Distribution Date]]&gt;"2014-04-01",1,2.5)</f>
        <v>0</v>
      </c>
      <c r="AI343" s="294">
        <f>IF(NFI_Expiration=1,IF($A343&lt;VLOOKUP(R$5,NFI,5,0),1,0)*Table_NFI[[#This Row],[Winter Clothes Adult]],Table_NFI[Winter Clothes Adult])</f>
        <v>0</v>
      </c>
      <c r="AJ343" s="294">
        <f>IF(NFI_Expiration=1,IF($A343&lt;VLOOKUP(S$5,NFI,5,0),1,0)*Table_NFI[[#This Row],[Winter Clothes Children]],Table_NFI[Winter Clothes Children])</f>
        <v>0</v>
      </c>
      <c r="AK343" s="294">
        <f>IF(NFI_Expiration=1,IF($A343&lt;VLOOKUP(T$5,NFI,5,0),1,0)*Table_NFI[[#This Row],[Winter Items Other]],Table_NFI[Winter Items Other])</f>
        <v>0</v>
      </c>
      <c r="AL343" s="294">
        <f>IF(NFI_Expiration=1,IF($A343&lt;VLOOKUP(M$5,NFI,5,0),1,0)*Table_NFI[[#This Row],[Winter Blanket]],Table_NFI[[#This Row],[Winter Blanket]])</f>
        <v>0</v>
      </c>
      <c r="AM343" s="294">
        <f>IF(Table_NFI[[#This Row],[Winter Clothes Adult]]+Table_NFI[[#This Row],[Winter Clothes Children]]+Table_NFI[[#This Row],[Winter Items Other]]+Table_NFI[[#This Row],[Winter Blanket]]&gt;0,1,0)</f>
        <v>1</v>
      </c>
      <c r="AN343" s="331">
        <f>IF(NFI_Expiration=1,IF($A343&lt;VLOOKUP(V$5,NFI,5,0),1,0)*Table_NFI[[#This Row],[Jerry Can]],Table_NFI[Jerry Can])</f>
        <v>0</v>
      </c>
      <c r="AO343" s="331">
        <f>IF(NFI_Expiration=1,IF($A343&lt;VLOOKUP(V$5,NFI,5,0),1,0)*Table_NFI[[#This Row],[Shelter Tool kit]],Table_NFI[Shelter Tool kit])</f>
        <v>0</v>
      </c>
      <c r="AP343" s="331">
        <f>IF(NFI_Expiration=1,IF($A343&lt;VLOOKUP(V$5,NFI,5,0),1,0)*Table_NFI[[#This Row],[Tent]],Table_NFI[Tent])</f>
        <v>0</v>
      </c>
      <c r="AQ343" s="473" t="str">
        <f>IFERROR(VLOOKUP(Table_NFI[[#This Row],[Camp Name]],CL,2,0),"")</f>
        <v>MMR001CMP012</v>
      </c>
      <c r="AR343" s="468">
        <f ca="1">IF(Table_NFI[[#This Row],[Pcode]]="","",IF(OFFSET(CampList[Opening Date],MATCH(Table_NFI[[#This Row],[Pcode]],CampList[CP_Pcode],0)-1,0,1,1)&gt;=NFI_Monitor_Date,1,0))</f>
        <v>0</v>
      </c>
      <c r="AS343" s="473" t="str">
        <f>IFERROR(VLOOKUP(Table_NFI[[#This Row],[Camp Name]],CL,3,0),"")</f>
        <v>Open</v>
      </c>
      <c r="AT343" s="294" t="str">
        <f ca="1">IF(Table_NFI[[#This Row],[Pcode]]="","",OFFSET(CampList[Priority],MATCH(Table_NFI[[#This Row],[Pcode]],CampList[CP_Pcode],0)-1,0,1,1))</f>
        <v>P4</v>
      </c>
      <c r="AU343" s="293">
        <f>IFERROR(Table_NFI[[#This Row],[Kitchen Set]]/VLOOKUP(Table_NFI[[#This Row],[Camp Name]],CL,4,0),"")</f>
        <v>0</v>
      </c>
      <c r="AV343" s="466"/>
      <c r="AW343" s="469"/>
    </row>
    <row r="344" spans="1:49" s="470" customFormat="1" ht="14.45" customHeight="1" x14ac:dyDescent="0.25">
      <c r="A344" s="297">
        <f t="shared" si="5"/>
        <v>28.8</v>
      </c>
      <c r="B344" s="465">
        <v>41811</v>
      </c>
      <c r="C344" s="466" t="s">
        <v>1104</v>
      </c>
      <c r="D344" s="466" t="s">
        <v>900</v>
      </c>
      <c r="E344" s="466" t="s">
        <v>380</v>
      </c>
      <c r="F344" s="466" t="s">
        <v>237</v>
      </c>
      <c r="G344" s="466" t="s">
        <v>245</v>
      </c>
      <c r="H344" s="291"/>
      <c r="I344" s="291"/>
      <c r="J344" s="291"/>
      <c r="K344" s="291"/>
      <c r="L344" s="292"/>
      <c r="M344" s="292"/>
      <c r="N344" s="292"/>
      <c r="O344" s="292"/>
      <c r="P344" s="294"/>
      <c r="Q344" s="294"/>
      <c r="R344" s="294"/>
      <c r="S344" s="294"/>
      <c r="T344" s="294"/>
      <c r="U344" s="294">
        <v>12</v>
      </c>
      <c r="V344" s="431"/>
      <c r="W344" s="294"/>
      <c r="X344" s="294"/>
      <c r="Y344" s="294">
        <f>IF(NFI_Expiration=1,IF($A344&lt;VLOOKUP(H$5,NFI,5,0),1,0)*Table_NFI[[#This Row],[Hygiene Kit]],Table_NFI[Hygiene Kit])</f>
        <v>0</v>
      </c>
      <c r="Z344" s="294">
        <f>IF(NFI_Expiration=1,IF($A344&lt;VLOOKUP(I$5,NFI,5,0),1,0)*Table_NFI[[#This Row],[NFI Core Kit]],Table_NFI[NFI Core Kit])</f>
        <v>0</v>
      </c>
      <c r="AA344" s="294">
        <f>IF(NFI_Expiration=1,IF($A344&lt;VLOOKUP(J$5,NFI,5,0),1,0)*Table_NFI[[#This Row],[Sanitary Kit]],Table_NFI[Sanitary Kit])</f>
        <v>0</v>
      </c>
      <c r="AB344" s="294">
        <f>IF(NFI_Expiration=1,IF($A344&lt;VLOOKUP(K$5,NFI,5,0),1,0)*Table_NFI[[#This Row],[Mosquito net]],Table_NFI[Mosquito net])</f>
        <v>0</v>
      </c>
      <c r="AC344" s="294">
        <f>IF(NFI_Expiration=1,IF($A344&lt;VLOOKUP(L$5,NFI,5,0),1,0)*Table_NFI[[#This Row],[Tarpaulin]],Table_NFI[[#This Row],[Tarpaulin]])</f>
        <v>0</v>
      </c>
      <c r="AD344" s="294">
        <f>IF(NFI_Expiration=1,IF($A344&lt;VLOOKUP(M$5,NFI,5,0),1,0)*Table_NFI[[#This Row],[Blanket]],Table_NFI[[#This Row],[Blanket]])</f>
        <v>0</v>
      </c>
      <c r="AE344" s="294">
        <f>IF(NFI_Expiration=1,IF($A344&lt;VLOOKUP(N$5,NFI,5,0),1,0)*Table_NFI[[#This Row],[Kitchen Set]],Table_NFI[Kitchen Set])</f>
        <v>0</v>
      </c>
      <c r="AF344" s="294">
        <f>IF(NFI_Expiration=1,IF($A344&lt;VLOOKUP(O$5,NFI,5,0),1,0)*Table_NFI[[#This Row],[Clothes Kit]],Table_NFI[Clothes Kit])</f>
        <v>0</v>
      </c>
      <c r="AG344" s="294">
        <f>IF(NFI_Expiration=1,IF($A344&lt;VLOOKUP(P$5,NFI,5,0),1,0)*Table_NFI[[#This Row],[Plastic Bucket]],Table_NFI[Plastic Bucket])</f>
        <v>0</v>
      </c>
      <c r="AH344" s="294">
        <f>IF(NFI_Expiration=1,IF($A344&lt;VLOOKUP(Q$5,NFI,5,0),1,0)*Table_NFI[[#This Row],[Plastic Mat]],Table_NFI[Plastic Mat])*IF(Table_NFI[[#This Row],[Distribution Date]]&gt;"2014-04-01",1,2.5)</f>
        <v>0</v>
      </c>
      <c r="AI344" s="294">
        <f>IF(NFI_Expiration=1,IF($A344&lt;VLOOKUP(R$5,NFI,5,0),1,0)*Table_NFI[[#This Row],[Winter Clothes Adult]],Table_NFI[Winter Clothes Adult])</f>
        <v>0</v>
      </c>
      <c r="AJ344" s="294">
        <f>IF(NFI_Expiration=1,IF($A344&lt;VLOOKUP(S$5,NFI,5,0),1,0)*Table_NFI[[#This Row],[Winter Clothes Children]],Table_NFI[Winter Clothes Children])</f>
        <v>0</v>
      </c>
      <c r="AK344" s="294">
        <f>IF(NFI_Expiration=1,IF($A344&lt;VLOOKUP(T$5,NFI,5,0),1,0)*Table_NFI[[#This Row],[Winter Items Other]],Table_NFI[Winter Items Other])</f>
        <v>0</v>
      </c>
      <c r="AL344" s="294">
        <f>IF(NFI_Expiration=1,IF($A344&lt;VLOOKUP(M$5,NFI,5,0),1,0)*Table_NFI[[#This Row],[Winter Blanket]],Table_NFI[[#This Row],[Winter Blanket]])</f>
        <v>0</v>
      </c>
      <c r="AM344" s="294">
        <f>IF(Table_NFI[[#This Row],[Winter Clothes Adult]]+Table_NFI[[#This Row],[Winter Clothes Children]]+Table_NFI[[#This Row],[Winter Items Other]]+Table_NFI[[#This Row],[Winter Blanket]]&gt;0,1,0)</f>
        <v>1</v>
      </c>
      <c r="AN344" s="331">
        <f>IF(NFI_Expiration=1,IF($A344&lt;VLOOKUP(V$5,NFI,5,0),1,0)*Table_NFI[[#This Row],[Jerry Can]],Table_NFI[Jerry Can])</f>
        <v>0</v>
      </c>
      <c r="AO344" s="331">
        <f>IF(NFI_Expiration=1,IF($A344&lt;VLOOKUP(V$5,NFI,5,0),1,0)*Table_NFI[[#This Row],[Shelter Tool kit]],Table_NFI[Shelter Tool kit])</f>
        <v>0</v>
      </c>
      <c r="AP344" s="331">
        <f>IF(NFI_Expiration=1,IF($A344&lt;VLOOKUP(V$5,NFI,5,0),1,0)*Table_NFI[[#This Row],[Tent]],Table_NFI[Tent])</f>
        <v>0</v>
      </c>
      <c r="AQ344" s="473" t="str">
        <f>IFERROR(VLOOKUP(Table_NFI[[#This Row],[Camp Name]],CL,2,0),"")</f>
        <v>MMR001CMP010</v>
      </c>
      <c r="AR344" s="468">
        <f ca="1">IF(Table_NFI[[#This Row],[Pcode]]="","",IF(OFFSET(CampList[Opening Date],MATCH(Table_NFI[[#This Row],[Pcode]],CampList[CP_Pcode],0)-1,0,1,1)&gt;=NFI_Monitor_Date,1,0))</f>
        <v>0</v>
      </c>
      <c r="AS344" s="473" t="str">
        <f>IFERROR(VLOOKUP(Table_NFI[[#This Row],[Camp Name]],CL,3,0),"")</f>
        <v>Open</v>
      </c>
      <c r="AT344" s="294" t="str">
        <f ca="1">IF(Table_NFI[[#This Row],[Pcode]]="","",OFFSET(CampList[Priority],MATCH(Table_NFI[[#This Row],[Pcode]],CampList[CP_Pcode],0)-1,0,1,1))</f>
        <v>P4</v>
      </c>
      <c r="AU344" s="293">
        <f>IFERROR(Table_NFI[[#This Row],[Kitchen Set]]/VLOOKUP(Table_NFI[[#This Row],[Camp Name]],CL,4,0),"")</f>
        <v>0</v>
      </c>
      <c r="AV344" s="466"/>
      <c r="AW344" s="469"/>
    </row>
    <row r="345" spans="1:49" s="470" customFormat="1" ht="14.45" customHeight="1" x14ac:dyDescent="0.25">
      <c r="A345" s="297">
        <f t="shared" si="5"/>
        <v>28.8</v>
      </c>
      <c r="B345" s="465">
        <v>41811</v>
      </c>
      <c r="C345" s="466" t="s">
        <v>1104</v>
      </c>
      <c r="D345" s="466" t="s">
        <v>900</v>
      </c>
      <c r="E345" s="466" t="s">
        <v>380</v>
      </c>
      <c r="F345" s="466" t="s">
        <v>237</v>
      </c>
      <c r="G345" s="466" t="s">
        <v>247</v>
      </c>
      <c r="H345" s="291"/>
      <c r="I345" s="291"/>
      <c r="J345" s="291"/>
      <c r="K345" s="291"/>
      <c r="L345" s="292"/>
      <c r="M345" s="292"/>
      <c r="N345" s="292"/>
      <c r="O345" s="292"/>
      <c r="P345" s="294"/>
      <c r="Q345" s="294"/>
      <c r="R345" s="294"/>
      <c r="S345" s="294"/>
      <c r="T345" s="294"/>
      <c r="U345" s="294">
        <v>16</v>
      </c>
      <c r="V345" s="431"/>
      <c r="W345" s="294"/>
      <c r="X345" s="294"/>
      <c r="Y345" s="294">
        <f>IF(NFI_Expiration=1,IF($A345&lt;VLOOKUP(H$5,NFI,5,0),1,0)*Table_NFI[[#This Row],[Hygiene Kit]],Table_NFI[Hygiene Kit])</f>
        <v>0</v>
      </c>
      <c r="Z345" s="294">
        <f>IF(NFI_Expiration=1,IF($A345&lt;VLOOKUP(I$5,NFI,5,0),1,0)*Table_NFI[[#This Row],[NFI Core Kit]],Table_NFI[NFI Core Kit])</f>
        <v>0</v>
      </c>
      <c r="AA345" s="294">
        <f>IF(NFI_Expiration=1,IF($A345&lt;VLOOKUP(J$5,NFI,5,0),1,0)*Table_NFI[[#This Row],[Sanitary Kit]],Table_NFI[Sanitary Kit])</f>
        <v>0</v>
      </c>
      <c r="AB345" s="294">
        <f>IF(NFI_Expiration=1,IF($A345&lt;VLOOKUP(K$5,NFI,5,0),1,0)*Table_NFI[[#This Row],[Mosquito net]],Table_NFI[Mosquito net])</f>
        <v>0</v>
      </c>
      <c r="AC345" s="294">
        <f>IF(NFI_Expiration=1,IF($A345&lt;VLOOKUP(L$5,NFI,5,0),1,0)*Table_NFI[[#This Row],[Tarpaulin]],Table_NFI[[#This Row],[Tarpaulin]])</f>
        <v>0</v>
      </c>
      <c r="AD345" s="294">
        <f>IF(NFI_Expiration=1,IF($A345&lt;VLOOKUP(M$5,NFI,5,0),1,0)*Table_NFI[[#This Row],[Blanket]],Table_NFI[[#This Row],[Blanket]])</f>
        <v>0</v>
      </c>
      <c r="AE345" s="294">
        <f>IF(NFI_Expiration=1,IF($A345&lt;VLOOKUP(N$5,NFI,5,0),1,0)*Table_NFI[[#This Row],[Kitchen Set]],Table_NFI[Kitchen Set])</f>
        <v>0</v>
      </c>
      <c r="AF345" s="294">
        <f>IF(NFI_Expiration=1,IF($A345&lt;VLOOKUP(O$5,NFI,5,0),1,0)*Table_NFI[[#This Row],[Clothes Kit]],Table_NFI[Clothes Kit])</f>
        <v>0</v>
      </c>
      <c r="AG345" s="294">
        <f>IF(NFI_Expiration=1,IF($A345&lt;VLOOKUP(P$5,NFI,5,0),1,0)*Table_NFI[[#This Row],[Plastic Bucket]],Table_NFI[Plastic Bucket])</f>
        <v>0</v>
      </c>
      <c r="AH345" s="294">
        <f>IF(NFI_Expiration=1,IF($A345&lt;VLOOKUP(Q$5,NFI,5,0),1,0)*Table_NFI[[#This Row],[Plastic Mat]],Table_NFI[Plastic Mat])*IF(Table_NFI[[#This Row],[Distribution Date]]&gt;"2014-04-01",1,2.5)</f>
        <v>0</v>
      </c>
      <c r="AI345" s="294">
        <f>IF(NFI_Expiration=1,IF($A345&lt;VLOOKUP(R$5,NFI,5,0),1,0)*Table_NFI[[#This Row],[Winter Clothes Adult]],Table_NFI[Winter Clothes Adult])</f>
        <v>0</v>
      </c>
      <c r="AJ345" s="294">
        <f>IF(NFI_Expiration=1,IF($A345&lt;VLOOKUP(S$5,NFI,5,0),1,0)*Table_NFI[[#This Row],[Winter Clothes Children]],Table_NFI[Winter Clothes Children])</f>
        <v>0</v>
      </c>
      <c r="AK345" s="294">
        <f>IF(NFI_Expiration=1,IF($A345&lt;VLOOKUP(T$5,NFI,5,0),1,0)*Table_NFI[[#This Row],[Winter Items Other]],Table_NFI[Winter Items Other])</f>
        <v>0</v>
      </c>
      <c r="AL345" s="294">
        <f>IF(NFI_Expiration=1,IF($A345&lt;VLOOKUP(M$5,NFI,5,0),1,0)*Table_NFI[[#This Row],[Winter Blanket]],Table_NFI[[#This Row],[Winter Blanket]])</f>
        <v>0</v>
      </c>
      <c r="AM345" s="294">
        <f>IF(Table_NFI[[#This Row],[Winter Clothes Adult]]+Table_NFI[[#This Row],[Winter Clothes Children]]+Table_NFI[[#This Row],[Winter Items Other]]+Table_NFI[[#This Row],[Winter Blanket]]&gt;0,1,0)</f>
        <v>1</v>
      </c>
      <c r="AN345" s="331">
        <f>IF(NFI_Expiration=1,IF($A345&lt;VLOOKUP(V$5,NFI,5,0),1,0)*Table_NFI[[#This Row],[Jerry Can]],Table_NFI[Jerry Can])</f>
        <v>0</v>
      </c>
      <c r="AO345" s="331">
        <f>IF(NFI_Expiration=1,IF($A345&lt;VLOOKUP(V$5,NFI,5,0),1,0)*Table_NFI[[#This Row],[Shelter Tool kit]],Table_NFI[Shelter Tool kit])</f>
        <v>0</v>
      </c>
      <c r="AP345" s="331">
        <f>IF(NFI_Expiration=1,IF($A345&lt;VLOOKUP(V$5,NFI,5,0),1,0)*Table_NFI[[#This Row],[Tent]],Table_NFI[Tent])</f>
        <v>0</v>
      </c>
      <c r="AQ345" s="473" t="str">
        <f>IFERROR(VLOOKUP(Table_NFI[[#This Row],[Camp Name]],CL,2,0),"")</f>
        <v>MMR001CMP011</v>
      </c>
      <c r="AR345" s="468">
        <f ca="1">IF(Table_NFI[[#This Row],[Pcode]]="","",IF(OFFSET(CampList[Opening Date],MATCH(Table_NFI[[#This Row],[Pcode]],CampList[CP_Pcode],0)-1,0,1,1)&gt;=NFI_Monitor_Date,1,0))</f>
        <v>0</v>
      </c>
      <c r="AS345" s="473" t="str">
        <f>IFERROR(VLOOKUP(Table_NFI[[#This Row],[Camp Name]],CL,3,0),"")</f>
        <v>Open</v>
      </c>
      <c r="AT345" s="294" t="str">
        <f ca="1">IF(Table_NFI[[#This Row],[Pcode]]="","",OFFSET(CampList[Priority],MATCH(Table_NFI[[#This Row],[Pcode]],CampList[CP_Pcode],0)-1,0,1,1))</f>
        <v>P4</v>
      </c>
      <c r="AU345" s="293">
        <f>IFERROR(Table_NFI[[#This Row],[Kitchen Set]]/VLOOKUP(Table_NFI[[#This Row],[Camp Name]],CL,4,0),"")</f>
        <v>0</v>
      </c>
      <c r="AV345" s="466"/>
      <c r="AW345" s="469"/>
    </row>
    <row r="346" spans="1:49" s="470" customFormat="1" ht="14.45" customHeight="1" x14ac:dyDescent="0.25">
      <c r="A346" s="297">
        <f t="shared" si="5"/>
        <v>28.833333333333332</v>
      </c>
      <c r="B346" s="465">
        <v>41810</v>
      </c>
      <c r="C346" s="466" t="s">
        <v>1104</v>
      </c>
      <c r="D346" s="466" t="s">
        <v>900</v>
      </c>
      <c r="E346" s="466" t="s">
        <v>380</v>
      </c>
      <c r="F346" s="466" t="s">
        <v>237</v>
      </c>
      <c r="G346" s="466" t="s">
        <v>249</v>
      </c>
      <c r="H346" s="291"/>
      <c r="I346" s="291"/>
      <c r="J346" s="291"/>
      <c r="K346" s="291"/>
      <c r="L346" s="292"/>
      <c r="M346" s="292"/>
      <c r="N346" s="292"/>
      <c r="O346" s="292"/>
      <c r="P346" s="294"/>
      <c r="Q346" s="294"/>
      <c r="R346" s="294"/>
      <c r="S346" s="294"/>
      <c r="T346" s="294"/>
      <c r="U346" s="294">
        <v>16</v>
      </c>
      <c r="V346" s="431"/>
      <c r="W346" s="294"/>
      <c r="X346" s="294"/>
      <c r="Y346" s="294">
        <f>IF(NFI_Expiration=1,IF($A346&lt;VLOOKUP(H$5,NFI,5,0),1,0)*Table_NFI[[#This Row],[Hygiene Kit]],Table_NFI[Hygiene Kit])</f>
        <v>0</v>
      </c>
      <c r="Z346" s="294">
        <f>IF(NFI_Expiration=1,IF($A346&lt;VLOOKUP(I$5,NFI,5,0),1,0)*Table_NFI[[#This Row],[NFI Core Kit]],Table_NFI[NFI Core Kit])</f>
        <v>0</v>
      </c>
      <c r="AA346" s="294">
        <f>IF(NFI_Expiration=1,IF($A346&lt;VLOOKUP(J$5,NFI,5,0),1,0)*Table_NFI[[#This Row],[Sanitary Kit]],Table_NFI[Sanitary Kit])</f>
        <v>0</v>
      </c>
      <c r="AB346" s="294">
        <f>IF(NFI_Expiration=1,IF($A346&lt;VLOOKUP(K$5,NFI,5,0),1,0)*Table_NFI[[#This Row],[Mosquito net]],Table_NFI[Mosquito net])</f>
        <v>0</v>
      </c>
      <c r="AC346" s="294">
        <f>IF(NFI_Expiration=1,IF($A346&lt;VLOOKUP(L$5,NFI,5,0),1,0)*Table_NFI[[#This Row],[Tarpaulin]],Table_NFI[[#This Row],[Tarpaulin]])</f>
        <v>0</v>
      </c>
      <c r="AD346" s="294">
        <f>IF(NFI_Expiration=1,IF($A346&lt;VLOOKUP(M$5,NFI,5,0),1,0)*Table_NFI[[#This Row],[Blanket]],Table_NFI[[#This Row],[Blanket]])</f>
        <v>0</v>
      </c>
      <c r="AE346" s="294">
        <f>IF(NFI_Expiration=1,IF($A346&lt;VLOOKUP(N$5,NFI,5,0),1,0)*Table_NFI[[#This Row],[Kitchen Set]],Table_NFI[Kitchen Set])</f>
        <v>0</v>
      </c>
      <c r="AF346" s="294">
        <f>IF(NFI_Expiration=1,IF($A346&lt;VLOOKUP(O$5,NFI,5,0),1,0)*Table_NFI[[#This Row],[Clothes Kit]],Table_NFI[Clothes Kit])</f>
        <v>0</v>
      </c>
      <c r="AG346" s="294">
        <f>IF(NFI_Expiration=1,IF($A346&lt;VLOOKUP(P$5,NFI,5,0),1,0)*Table_NFI[[#This Row],[Plastic Bucket]],Table_NFI[Plastic Bucket])</f>
        <v>0</v>
      </c>
      <c r="AH346" s="294">
        <f>IF(NFI_Expiration=1,IF($A346&lt;VLOOKUP(Q$5,NFI,5,0),1,0)*Table_NFI[[#This Row],[Plastic Mat]],Table_NFI[Plastic Mat])*IF(Table_NFI[[#This Row],[Distribution Date]]&gt;"2014-04-01",1,2.5)</f>
        <v>0</v>
      </c>
      <c r="AI346" s="294">
        <f>IF(NFI_Expiration=1,IF($A346&lt;VLOOKUP(R$5,NFI,5,0),1,0)*Table_NFI[[#This Row],[Winter Clothes Adult]],Table_NFI[Winter Clothes Adult])</f>
        <v>0</v>
      </c>
      <c r="AJ346" s="294">
        <f>IF(NFI_Expiration=1,IF($A346&lt;VLOOKUP(S$5,NFI,5,0),1,0)*Table_NFI[[#This Row],[Winter Clothes Children]],Table_NFI[Winter Clothes Children])</f>
        <v>0</v>
      </c>
      <c r="AK346" s="294">
        <f>IF(NFI_Expiration=1,IF($A346&lt;VLOOKUP(T$5,NFI,5,0),1,0)*Table_NFI[[#This Row],[Winter Items Other]],Table_NFI[Winter Items Other])</f>
        <v>0</v>
      </c>
      <c r="AL346" s="294">
        <f>IF(NFI_Expiration=1,IF($A346&lt;VLOOKUP(M$5,NFI,5,0),1,0)*Table_NFI[[#This Row],[Winter Blanket]],Table_NFI[[#This Row],[Winter Blanket]])</f>
        <v>0</v>
      </c>
      <c r="AM346" s="294">
        <f>IF(Table_NFI[[#This Row],[Winter Clothes Adult]]+Table_NFI[[#This Row],[Winter Clothes Children]]+Table_NFI[[#This Row],[Winter Items Other]]+Table_NFI[[#This Row],[Winter Blanket]]&gt;0,1,0)</f>
        <v>1</v>
      </c>
      <c r="AN346" s="331">
        <f>IF(NFI_Expiration=1,IF($A346&lt;VLOOKUP(V$5,NFI,5,0),1,0)*Table_NFI[[#This Row],[Jerry Can]],Table_NFI[Jerry Can])</f>
        <v>0</v>
      </c>
      <c r="AO346" s="331">
        <f>IF(NFI_Expiration=1,IF($A346&lt;VLOOKUP(V$5,NFI,5,0),1,0)*Table_NFI[[#This Row],[Shelter Tool kit]],Table_NFI[Shelter Tool kit])</f>
        <v>0</v>
      </c>
      <c r="AP346" s="331">
        <f>IF(NFI_Expiration=1,IF($A346&lt;VLOOKUP(V$5,NFI,5,0),1,0)*Table_NFI[[#This Row],[Tent]],Table_NFI[Tent])</f>
        <v>0</v>
      </c>
      <c r="AQ346" s="473" t="str">
        <f>IFERROR(VLOOKUP(Table_NFI[[#This Row],[Camp Name]],CL,2,0),"")</f>
        <v>MMR001CMP004</v>
      </c>
      <c r="AR346" s="468">
        <f ca="1">IF(Table_NFI[[#This Row],[Pcode]]="","",IF(OFFSET(CampList[Opening Date],MATCH(Table_NFI[[#This Row],[Pcode]],CampList[CP_Pcode],0)-1,0,1,1)&gt;=NFI_Monitor_Date,1,0))</f>
        <v>0</v>
      </c>
      <c r="AS346" s="473" t="str">
        <f>IFERROR(VLOOKUP(Table_NFI[[#This Row],[Camp Name]],CL,3,0),"")</f>
        <v>Open</v>
      </c>
      <c r="AT346" s="294" t="str">
        <f ca="1">IF(Table_NFI[[#This Row],[Pcode]]="","",OFFSET(CampList[Priority],MATCH(Table_NFI[[#This Row],[Pcode]],CampList[CP_Pcode],0)-1,0,1,1))</f>
        <v>P4</v>
      </c>
      <c r="AU346" s="293">
        <f>IFERROR(Table_NFI[[#This Row],[Kitchen Set]]/VLOOKUP(Table_NFI[[#This Row],[Camp Name]],CL,4,0),"")</f>
        <v>0</v>
      </c>
      <c r="AV346" s="466"/>
      <c r="AW346" s="469"/>
    </row>
    <row r="347" spans="1:49" s="470" customFormat="1" x14ac:dyDescent="0.25">
      <c r="A347" s="297">
        <f t="shared" si="5"/>
        <v>28.933333333333334</v>
      </c>
      <c r="B347" s="465">
        <v>41807</v>
      </c>
      <c r="C347" s="466" t="s">
        <v>452</v>
      </c>
      <c r="D347" s="466"/>
      <c r="E347" s="466" t="s">
        <v>380</v>
      </c>
      <c r="F347" s="466" t="s">
        <v>151</v>
      </c>
      <c r="G347" s="466" t="s">
        <v>885</v>
      </c>
      <c r="H347" s="291"/>
      <c r="I347" s="291"/>
      <c r="J347" s="291"/>
      <c r="K347" s="291">
        <v>10</v>
      </c>
      <c r="L347" s="292">
        <v>3</v>
      </c>
      <c r="M347" s="292">
        <v>10</v>
      </c>
      <c r="N347" s="292">
        <v>3</v>
      </c>
      <c r="O347" s="292"/>
      <c r="P347" s="294">
        <v>3</v>
      </c>
      <c r="Q347" s="294">
        <v>10</v>
      </c>
      <c r="R347" s="294"/>
      <c r="S347" s="294"/>
      <c r="T347" s="294"/>
      <c r="U347" s="294"/>
      <c r="V347" s="431"/>
      <c r="W347" s="294"/>
      <c r="X347" s="294"/>
      <c r="Y347" s="294">
        <f>IF(NFI_Expiration=1,IF($A347&lt;VLOOKUP(H$5,NFI,5,0),1,0)*Table_NFI[[#This Row],[Hygiene Kit]],Table_NFI[Hygiene Kit])</f>
        <v>0</v>
      </c>
      <c r="Z347" s="294">
        <f>IF(NFI_Expiration=1,IF($A347&lt;VLOOKUP(I$5,NFI,5,0),1,0)*Table_NFI[[#This Row],[NFI Core Kit]],Table_NFI[NFI Core Kit])</f>
        <v>0</v>
      </c>
      <c r="AA347" s="294">
        <f>IF(NFI_Expiration=1,IF($A347&lt;VLOOKUP(J$5,NFI,5,0),1,0)*Table_NFI[[#This Row],[Sanitary Kit]],Table_NFI[Sanitary Kit])</f>
        <v>0</v>
      </c>
      <c r="AB347" s="294">
        <f>IF(NFI_Expiration=1,IF($A347&lt;VLOOKUP(K$5,NFI,5,0),1,0)*Table_NFI[[#This Row],[Mosquito net]],Table_NFI[Mosquito net])</f>
        <v>0</v>
      </c>
      <c r="AC347" s="294">
        <f>IF(NFI_Expiration=1,IF($A347&lt;VLOOKUP(L$5,NFI,5,0),1,0)*Table_NFI[[#This Row],[Tarpaulin]],Table_NFI[[#This Row],[Tarpaulin]])</f>
        <v>0</v>
      </c>
      <c r="AD347" s="294">
        <f>IF(NFI_Expiration=1,IF($A347&lt;VLOOKUP(M$5,NFI,5,0),1,0)*Table_NFI[[#This Row],[Blanket]],Table_NFI[[#This Row],[Blanket]])</f>
        <v>0</v>
      </c>
      <c r="AE347" s="294">
        <f>IF(NFI_Expiration=1,IF($A347&lt;VLOOKUP(N$5,NFI,5,0),1,0)*Table_NFI[[#This Row],[Kitchen Set]],Table_NFI[Kitchen Set])</f>
        <v>0</v>
      </c>
      <c r="AF347" s="294">
        <f>IF(NFI_Expiration=1,IF($A347&lt;VLOOKUP(O$5,NFI,5,0),1,0)*Table_NFI[[#This Row],[Clothes Kit]],Table_NFI[Clothes Kit])</f>
        <v>0</v>
      </c>
      <c r="AG347" s="294">
        <f>IF(NFI_Expiration=1,IF($A347&lt;VLOOKUP(P$5,NFI,5,0),1,0)*Table_NFI[[#This Row],[Plastic Bucket]],Table_NFI[Plastic Bucket])</f>
        <v>0</v>
      </c>
      <c r="AH347" s="294">
        <f>IF(NFI_Expiration=1,IF($A347&lt;VLOOKUP(Q$5,NFI,5,0),1,0)*Table_NFI[[#This Row],[Plastic Mat]],Table_NFI[Plastic Mat])*IF(Table_NFI[[#This Row],[Distribution Date]]&gt;"2014-04-01",1,2.5)</f>
        <v>0</v>
      </c>
      <c r="AI347" s="294">
        <f>IF(NFI_Expiration=1,IF($A347&lt;VLOOKUP(R$5,NFI,5,0),1,0)*Table_NFI[[#This Row],[Winter Clothes Adult]],Table_NFI[Winter Clothes Adult])</f>
        <v>0</v>
      </c>
      <c r="AJ347" s="294">
        <f>IF(NFI_Expiration=1,IF($A347&lt;VLOOKUP(S$5,NFI,5,0),1,0)*Table_NFI[[#This Row],[Winter Clothes Children]],Table_NFI[Winter Clothes Children])</f>
        <v>0</v>
      </c>
      <c r="AK347" s="294">
        <f>IF(NFI_Expiration=1,IF($A347&lt;VLOOKUP(T$5,NFI,5,0),1,0)*Table_NFI[[#This Row],[Winter Items Other]],Table_NFI[Winter Items Other])</f>
        <v>0</v>
      </c>
      <c r="AL347" s="294">
        <f>IF(NFI_Expiration=1,IF($A347&lt;VLOOKUP(M$5,NFI,5,0),1,0)*Table_NFI[[#This Row],[Winter Blanket]],Table_NFI[[#This Row],[Winter Blanket]])</f>
        <v>0</v>
      </c>
      <c r="AM347" s="294">
        <f>IF(Table_NFI[[#This Row],[Winter Clothes Adult]]+Table_NFI[[#This Row],[Winter Clothes Children]]+Table_NFI[[#This Row],[Winter Items Other]]+Table_NFI[[#This Row],[Winter Blanket]]&gt;0,1,0)</f>
        <v>0</v>
      </c>
      <c r="AN347" s="331">
        <f>IF(NFI_Expiration=1,IF($A347&lt;VLOOKUP(V$5,NFI,5,0),1,0)*Table_NFI[[#This Row],[Jerry Can]],Table_NFI[Jerry Can])</f>
        <v>0</v>
      </c>
      <c r="AO347" s="331">
        <f>IF(NFI_Expiration=1,IF($A347&lt;VLOOKUP(V$5,NFI,5,0),1,0)*Table_NFI[[#This Row],[Shelter Tool kit]],Table_NFI[Shelter Tool kit])</f>
        <v>0</v>
      </c>
      <c r="AP347" s="331">
        <f>IF(NFI_Expiration=1,IF($A347&lt;VLOOKUP(V$5,NFI,5,0),1,0)*Table_NFI[[#This Row],[Tent]],Table_NFI[Tent])</f>
        <v>0</v>
      </c>
      <c r="AQ347" s="473" t="str">
        <f>IFERROR(VLOOKUP(Table_NFI[[#This Row],[Camp Name]],CL,2,0),"")</f>
        <v>MMR001CMP218</v>
      </c>
      <c r="AR347" s="468">
        <f ca="1">IF(Table_NFI[[#This Row],[Pcode]]="","",IF(OFFSET(CampList[Opening Date],MATCH(Table_NFI[[#This Row],[Pcode]],CampList[CP_Pcode],0)-1,0,1,1)&gt;=NFI_Monitor_Date,1,0))</f>
        <v>0</v>
      </c>
      <c r="AS347" s="473" t="str">
        <f>IFERROR(VLOOKUP(Table_NFI[[#This Row],[Camp Name]],CL,3,0),"")</f>
        <v>Open</v>
      </c>
      <c r="AT347" s="294" t="str">
        <f ca="1">IF(Table_NFI[[#This Row],[Pcode]]="","",OFFSET(CampList[Priority],MATCH(Table_NFI[[#This Row],[Pcode]],CampList[CP_Pcode],0)-1,0,1,1))</f>
        <v>P4</v>
      </c>
      <c r="AU347" s="293">
        <f>IFERROR(Table_NFI[[#This Row],[Kitchen Set]]/VLOOKUP(Table_NFI[[#This Row],[Camp Name]],CL,4,0),"")</f>
        <v>8.0213903743315516E-3</v>
      </c>
      <c r="AV347" s="466"/>
      <c r="AW347" s="469"/>
    </row>
    <row r="348" spans="1:49" s="470" customFormat="1" ht="14.45" customHeight="1" x14ac:dyDescent="0.25">
      <c r="A348" s="297">
        <f t="shared" si="5"/>
        <v>29</v>
      </c>
      <c r="B348" s="465">
        <v>41805</v>
      </c>
      <c r="C348" s="466" t="s">
        <v>1104</v>
      </c>
      <c r="D348" s="466" t="s">
        <v>900</v>
      </c>
      <c r="E348" s="466" t="s">
        <v>380</v>
      </c>
      <c r="F348" s="466" t="s">
        <v>302</v>
      </c>
      <c r="G348" s="466" t="s">
        <v>306</v>
      </c>
      <c r="H348" s="291"/>
      <c r="I348" s="291"/>
      <c r="J348" s="291"/>
      <c r="K348" s="291"/>
      <c r="L348" s="292"/>
      <c r="M348" s="292"/>
      <c r="N348" s="292"/>
      <c r="O348" s="292"/>
      <c r="P348" s="294"/>
      <c r="Q348" s="294"/>
      <c r="R348" s="294"/>
      <c r="S348" s="294"/>
      <c r="T348" s="294"/>
      <c r="U348" s="294">
        <v>158</v>
      </c>
      <c r="V348" s="431"/>
      <c r="W348" s="294"/>
      <c r="X348" s="294"/>
      <c r="Y348" s="294">
        <f>IF(NFI_Expiration=1,IF($A348&lt;VLOOKUP(H$5,NFI,5,0),1,0)*Table_NFI[[#This Row],[Hygiene Kit]],Table_NFI[Hygiene Kit])</f>
        <v>0</v>
      </c>
      <c r="Z348" s="294">
        <f>IF(NFI_Expiration=1,IF($A348&lt;VLOOKUP(I$5,NFI,5,0),1,0)*Table_NFI[[#This Row],[NFI Core Kit]],Table_NFI[NFI Core Kit])</f>
        <v>0</v>
      </c>
      <c r="AA348" s="294">
        <f>IF(NFI_Expiration=1,IF($A348&lt;VLOOKUP(J$5,NFI,5,0),1,0)*Table_NFI[[#This Row],[Sanitary Kit]],Table_NFI[Sanitary Kit])</f>
        <v>0</v>
      </c>
      <c r="AB348" s="294">
        <f>IF(NFI_Expiration=1,IF($A348&lt;VLOOKUP(K$5,NFI,5,0),1,0)*Table_NFI[[#This Row],[Mosquito net]],Table_NFI[Mosquito net])</f>
        <v>0</v>
      </c>
      <c r="AC348" s="294">
        <f>IF(NFI_Expiration=1,IF($A348&lt;VLOOKUP(L$5,NFI,5,0),1,0)*Table_NFI[[#This Row],[Tarpaulin]],Table_NFI[[#This Row],[Tarpaulin]])</f>
        <v>0</v>
      </c>
      <c r="AD348" s="294">
        <f>IF(NFI_Expiration=1,IF($A348&lt;VLOOKUP(M$5,NFI,5,0),1,0)*Table_NFI[[#This Row],[Blanket]],Table_NFI[[#This Row],[Blanket]])</f>
        <v>0</v>
      </c>
      <c r="AE348" s="294">
        <f>IF(NFI_Expiration=1,IF($A348&lt;VLOOKUP(N$5,NFI,5,0),1,0)*Table_NFI[[#This Row],[Kitchen Set]],Table_NFI[Kitchen Set])</f>
        <v>0</v>
      </c>
      <c r="AF348" s="294">
        <f>IF(NFI_Expiration=1,IF($A348&lt;VLOOKUP(O$5,NFI,5,0),1,0)*Table_NFI[[#This Row],[Clothes Kit]],Table_NFI[Clothes Kit])</f>
        <v>0</v>
      </c>
      <c r="AG348" s="294">
        <f>IF(NFI_Expiration=1,IF($A348&lt;VLOOKUP(P$5,NFI,5,0),1,0)*Table_NFI[[#This Row],[Plastic Bucket]],Table_NFI[Plastic Bucket])</f>
        <v>0</v>
      </c>
      <c r="AH348" s="294">
        <f>IF(NFI_Expiration=1,IF($A348&lt;VLOOKUP(Q$5,NFI,5,0),1,0)*Table_NFI[[#This Row],[Plastic Mat]],Table_NFI[Plastic Mat])*IF(Table_NFI[[#This Row],[Distribution Date]]&gt;"2014-04-01",1,2.5)</f>
        <v>0</v>
      </c>
      <c r="AI348" s="294">
        <f>IF(NFI_Expiration=1,IF($A348&lt;VLOOKUP(R$5,NFI,5,0),1,0)*Table_NFI[[#This Row],[Winter Clothes Adult]],Table_NFI[Winter Clothes Adult])</f>
        <v>0</v>
      </c>
      <c r="AJ348" s="294">
        <f>IF(NFI_Expiration=1,IF($A348&lt;VLOOKUP(S$5,NFI,5,0),1,0)*Table_NFI[[#This Row],[Winter Clothes Children]],Table_NFI[Winter Clothes Children])</f>
        <v>0</v>
      </c>
      <c r="AK348" s="294">
        <f>IF(NFI_Expiration=1,IF($A348&lt;VLOOKUP(T$5,NFI,5,0),1,0)*Table_NFI[[#This Row],[Winter Items Other]],Table_NFI[Winter Items Other])</f>
        <v>0</v>
      </c>
      <c r="AL348" s="294">
        <f>IF(NFI_Expiration=1,IF($A348&lt;VLOOKUP(M$5,NFI,5,0),1,0)*Table_NFI[[#This Row],[Winter Blanket]],Table_NFI[[#This Row],[Winter Blanket]])</f>
        <v>0</v>
      </c>
      <c r="AM348" s="294">
        <f>IF(Table_NFI[[#This Row],[Winter Clothes Adult]]+Table_NFI[[#This Row],[Winter Clothes Children]]+Table_NFI[[#This Row],[Winter Items Other]]+Table_NFI[[#This Row],[Winter Blanket]]&gt;0,1,0)</f>
        <v>1</v>
      </c>
      <c r="AN348" s="331">
        <f>IF(NFI_Expiration=1,IF($A348&lt;VLOOKUP(V$5,NFI,5,0),1,0)*Table_NFI[[#This Row],[Jerry Can]],Table_NFI[Jerry Can])</f>
        <v>0</v>
      </c>
      <c r="AO348" s="331">
        <f>IF(NFI_Expiration=1,IF($A348&lt;VLOOKUP(V$5,NFI,5,0),1,0)*Table_NFI[[#This Row],[Shelter Tool kit]],Table_NFI[Shelter Tool kit])</f>
        <v>0</v>
      </c>
      <c r="AP348" s="331">
        <f>IF(NFI_Expiration=1,IF($A348&lt;VLOOKUP(V$5,NFI,5,0),1,0)*Table_NFI[[#This Row],[Tent]],Table_NFI[Tent])</f>
        <v>0</v>
      </c>
      <c r="AQ348" s="473" t="str">
        <f>IFERROR(VLOOKUP(Table_NFI[[#This Row],[Camp Name]],CL,2,0),"")</f>
        <v>MMR001CMP067</v>
      </c>
      <c r="AR348" s="468">
        <f ca="1">IF(Table_NFI[[#This Row],[Pcode]]="","",IF(OFFSET(CampList[Opening Date],MATCH(Table_NFI[[#This Row],[Pcode]],CampList[CP_Pcode],0)-1,0,1,1)&gt;=NFI_Monitor_Date,1,0))</f>
        <v>0</v>
      </c>
      <c r="AS348" s="473" t="str">
        <f>IFERROR(VLOOKUP(Table_NFI[[#This Row],[Camp Name]],CL,3,0),"")</f>
        <v>Open</v>
      </c>
      <c r="AT348" s="294" t="str">
        <f ca="1">IF(Table_NFI[[#This Row],[Pcode]]="","",OFFSET(CampList[Priority],MATCH(Table_NFI[[#This Row],[Pcode]],CampList[CP_Pcode],0)-1,0,1,1))</f>
        <v>P4</v>
      </c>
      <c r="AU348" s="293">
        <f>IFERROR(Table_NFI[[#This Row],[Kitchen Set]]/VLOOKUP(Table_NFI[[#This Row],[Camp Name]],CL,4,0),"")</f>
        <v>0</v>
      </c>
      <c r="AV348" s="466"/>
      <c r="AW348" s="469"/>
    </row>
    <row r="349" spans="1:49" s="470" customFormat="1" ht="14.45" customHeight="1" x14ac:dyDescent="0.25">
      <c r="A349" s="297">
        <f t="shared" si="5"/>
        <v>29</v>
      </c>
      <c r="B349" s="465">
        <v>41805</v>
      </c>
      <c r="C349" s="466" t="s">
        <v>1104</v>
      </c>
      <c r="D349" s="466" t="s">
        <v>900</v>
      </c>
      <c r="E349" s="466" t="s">
        <v>380</v>
      </c>
      <c r="F349" s="466" t="s">
        <v>302</v>
      </c>
      <c r="G349" s="466" t="s">
        <v>308</v>
      </c>
      <c r="H349" s="291"/>
      <c r="I349" s="291"/>
      <c r="J349" s="291"/>
      <c r="K349" s="291"/>
      <c r="L349" s="292"/>
      <c r="M349" s="292"/>
      <c r="N349" s="292"/>
      <c r="O349" s="292"/>
      <c r="P349" s="294"/>
      <c r="Q349" s="294"/>
      <c r="R349" s="294"/>
      <c r="S349" s="294"/>
      <c r="T349" s="294"/>
      <c r="U349" s="294">
        <v>112</v>
      </c>
      <c r="V349" s="431"/>
      <c r="W349" s="294"/>
      <c r="X349" s="294"/>
      <c r="Y349" s="294">
        <f>IF(NFI_Expiration=1,IF($A349&lt;VLOOKUP(H$5,NFI,5,0),1,0)*Table_NFI[[#This Row],[Hygiene Kit]],Table_NFI[Hygiene Kit])</f>
        <v>0</v>
      </c>
      <c r="Z349" s="294">
        <f>IF(NFI_Expiration=1,IF($A349&lt;VLOOKUP(I$5,NFI,5,0),1,0)*Table_NFI[[#This Row],[NFI Core Kit]],Table_NFI[NFI Core Kit])</f>
        <v>0</v>
      </c>
      <c r="AA349" s="294">
        <f>IF(NFI_Expiration=1,IF($A349&lt;VLOOKUP(J$5,NFI,5,0),1,0)*Table_NFI[[#This Row],[Sanitary Kit]],Table_NFI[Sanitary Kit])</f>
        <v>0</v>
      </c>
      <c r="AB349" s="294">
        <f>IF(NFI_Expiration=1,IF($A349&lt;VLOOKUP(K$5,NFI,5,0),1,0)*Table_NFI[[#This Row],[Mosquito net]],Table_NFI[Mosquito net])</f>
        <v>0</v>
      </c>
      <c r="AC349" s="294">
        <f>IF(NFI_Expiration=1,IF($A349&lt;VLOOKUP(L$5,NFI,5,0),1,0)*Table_NFI[[#This Row],[Tarpaulin]],Table_NFI[[#This Row],[Tarpaulin]])</f>
        <v>0</v>
      </c>
      <c r="AD349" s="294">
        <f>IF(NFI_Expiration=1,IF($A349&lt;VLOOKUP(M$5,NFI,5,0),1,0)*Table_NFI[[#This Row],[Blanket]],Table_NFI[[#This Row],[Blanket]])</f>
        <v>0</v>
      </c>
      <c r="AE349" s="294">
        <f>IF(NFI_Expiration=1,IF($A349&lt;VLOOKUP(N$5,NFI,5,0),1,0)*Table_NFI[[#This Row],[Kitchen Set]],Table_NFI[Kitchen Set])</f>
        <v>0</v>
      </c>
      <c r="AF349" s="294">
        <f>IF(NFI_Expiration=1,IF($A349&lt;VLOOKUP(O$5,NFI,5,0),1,0)*Table_NFI[[#This Row],[Clothes Kit]],Table_NFI[Clothes Kit])</f>
        <v>0</v>
      </c>
      <c r="AG349" s="294">
        <f>IF(NFI_Expiration=1,IF($A349&lt;VLOOKUP(P$5,NFI,5,0),1,0)*Table_NFI[[#This Row],[Plastic Bucket]],Table_NFI[Plastic Bucket])</f>
        <v>0</v>
      </c>
      <c r="AH349" s="294">
        <f>IF(NFI_Expiration=1,IF($A349&lt;VLOOKUP(Q$5,NFI,5,0),1,0)*Table_NFI[[#This Row],[Plastic Mat]],Table_NFI[Plastic Mat])*IF(Table_NFI[[#This Row],[Distribution Date]]&gt;"2014-04-01",1,2.5)</f>
        <v>0</v>
      </c>
      <c r="AI349" s="294">
        <f>IF(NFI_Expiration=1,IF($A349&lt;VLOOKUP(R$5,NFI,5,0),1,0)*Table_NFI[[#This Row],[Winter Clothes Adult]],Table_NFI[Winter Clothes Adult])</f>
        <v>0</v>
      </c>
      <c r="AJ349" s="294">
        <f>IF(NFI_Expiration=1,IF($A349&lt;VLOOKUP(S$5,NFI,5,0),1,0)*Table_NFI[[#This Row],[Winter Clothes Children]],Table_NFI[Winter Clothes Children])</f>
        <v>0</v>
      </c>
      <c r="AK349" s="294">
        <f>IF(NFI_Expiration=1,IF($A349&lt;VLOOKUP(T$5,NFI,5,0),1,0)*Table_NFI[[#This Row],[Winter Items Other]],Table_NFI[Winter Items Other])</f>
        <v>0</v>
      </c>
      <c r="AL349" s="294">
        <f>IF(NFI_Expiration=1,IF($A349&lt;VLOOKUP(M$5,NFI,5,0),1,0)*Table_NFI[[#This Row],[Winter Blanket]],Table_NFI[[#This Row],[Winter Blanket]])</f>
        <v>0</v>
      </c>
      <c r="AM349" s="294">
        <f>IF(Table_NFI[[#This Row],[Winter Clothes Adult]]+Table_NFI[[#This Row],[Winter Clothes Children]]+Table_NFI[[#This Row],[Winter Items Other]]+Table_NFI[[#This Row],[Winter Blanket]]&gt;0,1,0)</f>
        <v>1</v>
      </c>
      <c r="AN349" s="331">
        <f>IF(NFI_Expiration=1,IF($A349&lt;VLOOKUP(V$5,NFI,5,0),1,0)*Table_NFI[[#This Row],[Jerry Can]],Table_NFI[Jerry Can])</f>
        <v>0</v>
      </c>
      <c r="AO349" s="331">
        <f>IF(NFI_Expiration=1,IF($A349&lt;VLOOKUP(V$5,NFI,5,0),1,0)*Table_NFI[[#This Row],[Shelter Tool kit]],Table_NFI[Shelter Tool kit])</f>
        <v>0</v>
      </c>
      <c r="AP349" s="331">
        <f>IF(NFI_Expiration=1,IF($A349&lt;VLOOKUP(V$5,NFI,5,0),1,0)*Table_NFI[[#This Row],[Tent]],Table_NFI[Tent])</f>
        <v>0</v>
      </c>
      <c r="AQ349" s="473" t="str">
        <f>IFERROR(VLOOKUP(Table_NFI[[#This Row],[Camp Name]],CL,2,0),"")</f>
        <v>MMR001CMP068</v>
      </c>
      <c r="AR349" s="468">
        <f ca="1">IF(Table_NFI[[#This Row],[Pcode]]="","",IF(OFFSET(CampList[Opening Date],MATCH(Table_NFI[[#This Row],[Pcode]],CampList[CP_Pcode],0)-1,0,1,1)&gt;=NFI_Monitor_Date,1,0))</f>
        <v>0</v>
      </c>
      <c r="AS349" s="473" t="str">
        <f>IFERROR(VLOOKUP(Table_NFI[[#This Row],[Camp Name]],CL,3,0),"")</f>
        <v>Open</v>
      </c>
      <c r="AT349" s="294" t="str">
        <f ca="1">IF(Table_NFI[[#This Row],[Pcode]]="","",OFFSET(CampList[Priority],MATCH(Table_NFI[[#This Row],[Pcode]],CampList[CP_Pcode],0)-1,0,1,1))</f>
        <v>P4</v>
      </c>
      <c r="AU349" s="293">
        <f>IFERROR(Table_NFI[[#This Row],[Kitchen Set]]/VLOOKUP(Table_NFI[[#This Row],[Camp Name]],CL,4,0),"")</f>
        <v>0</v>
      </c>
      <c r="AV349" s="466"/>
      <c r="AW349" s="469"/>
    </row>
    <row r="350" spans="1:49" s="470" customFormat="1" x14ac:dyDescent="0.25">
      <c r="A350" s="297">
        <f t="shared" si="5"/>
        <v>29.033333333333335</v>
      </c>
      <c r="B350" s="465">
        <v>41804</v>
      </c>
      <c r="C350" s="466" t="s">
        <v>1104</v>
      </c>
      <c r="D350" s="466" t="s">
        <v>900</v>
      </c>
      <c r="E350" s="466" t="s">
        <v>380</v>
      </c>
      <c r="F350" s="466" t="s">
        <v>237</v>
      </c>
      <c r="G350" s="466" t="s">
        <v>253</v>
      </c>
      <c r="H350" s="291"/>
      <c r="I350" s="291"/>
      <c r="J350" s="291"/>
      <c r="K350" s="291"/>
      <c r="L350" s="292"/>
      <c r="M350" s="292"/>
      <c r="N350" s="292"/>
      <c r="O350" s="292"/>
      <c r="P350" s="294"/>
      <c r="Q350" s="294"/>
      <c r="R350" s="294"/>
      <c r="S350" s="294"/>
      <c r="T350" s="294"/>
      <c r="U350" s="294">
        <v>406</v>
      </c>
      <c r="V350" s="431"/>
      <c r="W350" s="331"/>
      <c r="X350" s="331"/>
      <c r="Y350" s="294">
        <f>IF(NFI_Expiration=1,IF($A350&lt;VLOOKUP(H$5,NFI,5,0),1,0)*Table_NFI[[#This Row],[Hygiene Kit]],Table_NFI[Hygiene Kit])</f>
        <v>0</v>
      </c>
      <c r="Z350" s="294">
        <f>IF(NFI_Expiration=1,IF($A350&lt;VLOOKUP(I$5,NFI,5,0),1,0)*Table_NFI[[#This Row],[NFI Core Kit]],Table_NFI[NFI Core Kit])</f>
        <v>0</v>
      </c>
      <c r="AA350" s="294">
        <f>IF(NFI_Expiration=1,IF($A350&lt;VLOOKUP(J$5,NFI,5,0),1,0)*Table_NFI[[#This Row],[Sanitary Kit]],Table_NFI[Sanitary Kit])</f>
        <v>0</v>
      </c>
      <c r="AB350" s="294">
        <f>IF(NFI_Expiration=1,IF($A350&lt;VLOOKUP(K$5,NFI,5,0),1,0)*Table_NFI[[#This Row],[Mosquito net]],Table_NFI[Mosquito net])</f>
        <v>0</v>
      </c>
      <c r="AC350" s="294">
        <f>IF(NFI_Expiration=1,IF($A350&lt;VLOOKUP(L$5,NFI,5,0),1,0)*Table_NFI[[#This Row],[Tarpaulin]],Table_NFI[[#This Row],[Tarpaulin]])</f>
        <v>0</v>
      </c>
      <c r="AD350" s="294">
        <f>IF(NFI_Expiration=1,IF($A350&lt;VLOOKUP(M$5,NFI,5,0),1,0)*Table_NFI[[#This Row],[Blanket]],Table_NFI[[#This Row],[Blanket]])</f>
        <v>0</v>
      </c>
      <c r="AE350" s="294">
        <f>IF(NFI_Expiration=1,IF($A350&lt;VLOOKUP(N$5,NFI,5,0),1,0)*Table_NFI[[#This Row],[Kitchen Set]],Table_NFI[Kitchen Set])</f>
        <v>0</v>
      </c>
      <c r="AF350" s="294">
        <f>IF(NFI_Expiration=1,IF($A350&lt;VLOOKUP(O$5,NFI,5,0),1,0)*Table_NFI[[#This Row],[Clothes Kit]],Table_NFI[Clothes Kit])</f>
        <v>0</v>
      </c>
      <c r="AG350" s="294">
        <f>IF(NFI_Expiration=1,IF($A350&lt;VLOOKUP(P$5,NFI,5,0),1,0)*Table_NFI[[#This Row],[Plastic Bucket]],Table_NFI[Plastic Bucket])</f>
        <v>0</v>
      </c>
      <c r="AH350" s="294">
        <f>IF(NFI_Expiration=1,IF($A350&lt;VLOOKUP(Q$5,NFI,5,0),1,0)*Table_NFI[[#This Row],[Plastic Mat]],Table_NFI[Plastic Mat])*IF(Table_NFI[[#This Row],[Distribution Date]]&gt;"2014-04-01",1,2.5)</f>
        <v>0</v>
      </c>
      <c r="AI350" s="294">
        <f>IF(NFI_Expiration=1,IF($A350&lt;VLOOKUP(R$5,NFI,5,0),1,0)*Table_NFI[[#This Row],[Winter Clothes Adult]],Table_NFI[Winter Clothes Adult])</f>
        <v>0</v>
      </c>
      <c r="AJ350" s="294">
        <f>IF(NFI_Expiration=1,IF($A350&lt;VLOOKUP(S$5,NFI,5,0),1,0)*Table_NFI[[#This Row],[Winter Clothes Children]],Table_NFI[Winter Clothes Children])</f>
        <v>0</v>
      </c>
      <c r="AK350" s="294">
        <f>IF(NFI_Expiration=1,IF($A350&lt;VLOOKUP(T$5,NFI,5,0),1,0)*Table_NFI[[#This Row],[Winter Items Other]],Table_NFI[Winter Items Other])</f>
        <v>0</v>
      </c>
      <c r="AL350" s="294">
        <f>IF(NFI_Expiration=1,IF($A350&lt;VLOOKUP(M$5,NFI,5,0),1,0)*Table_NFI[[#This Row],[Winter Blanket]],Table_NFI[[#This Row],[Winter Blanket]])</f>
        <v>0</v>
      </c>
      <c r="AM350" s="294">
        <f>IF(Table_NFI[[#This Row],[Winter Clothes Adult]]+Table_NFI[[#This Row],[Winter Clothes Children]]+Table_NFI[[#This Row],[Winter Items Other]]+Table_NFI[[#This Row],[Winter Blanket]]&gt;0,1,0)</f>
        <v>1</v>
      </c>
      <c r="AN350" s="331">
        <f>IF(NFI_Expiration=1,IF($A350&lt;VLOOKUP(V$5,NFI,5,0),1,0)*Table_NFI[[#This Row],[Jerry Can]],Table_NFI[Jerry Can])</f>
        <v>0</v>
      </c>
      <c r="AO350" s="331">
        <f>IF(NFI_Expiration=1,IF($A350&lt;VLOOKUP(V$5,NFI,5,0),1,0)*Table_NFI[[#This Row],[Shelter Tool kit]],Table_NFI[Shelter Tool kit])</f>
        <v>0</v>
      </c>
      <c r="AP350" s="331">
        <f>IF(NFI_Expiration=1,IF($A350&lt;VLOOKUP(V$5,NFI,5,0),1,0)*Table_NFI[[#This Row],[Tent]],Table_NFI[Tent])</f>
        <v>0</v>
      </c>
      <c r="AQ350" s="473" t="str">
        <f>IFERROR(VLOOKUP(Table_NFI[[#This Row],[Camp Name]],CL,2,0),"")</f>
        <v>MMR001CMP018</v>
      </c>
      <c r="AR350" s="468">
        <f ca="1">IF(Table_NFI[[#This Row],[Pcode]]="","",IF(OFFSET(CampList[Opening Date],MATCH(Table_NFI[[#This Row],[Pcode]],CampList[CP_Pcode],0)-1,0,1,1)&gt;=NFI_Monitor_Date,1,0))</f>
        <v>0</v>
      </c>
      <c r="AS350" s="473" t="str">
        <f>IFERROR(VLOOKUP(Table_NFI[[#This Row],[Camp Name]],CL,3,0),"")</f>
        <v>Open</v>
      </c>
      <c r="AT350" s="294" t="str">
        <f ca="1">IF(Table_NFI[[#This Row],[Pcode]]="","",OFFSET(CampList[Priority],MATCH(Table_NFI[[#This Row],[Pcode]],CampList[CP_Pcode],0)-1,0,1,1))</f>
        <v>P4</v>
      </c>
      <c r="AU350" s="293">
        <f>IFERROR(Table_NFI[[#This Row],[Kitchen Set]]/VLOOKUP(Table_NFI[[#This Row],[Camp Name]],CL,4,0),"")</f>
        <v>0</v>
      </c>
      <c r="AV350" s="466"/>
      <c r="AW350" s="469"/>
    </row>
    <row r="351" spans="1:49" s="470" customFormat="1" x14ac:dyDescent="0.25">
      <c r="A351" s="297">
        <f t="shared" si="5"/>
        <v>29.033333333333335</v>
      </c>
      <c r="B351" s="465">
        <v>41804</v>
      </c>
      <c r="C351" s="466" t="s">
        <v>1104</v>
      </c>
      <c r="D351" s="466" t="s">
        <v>900</v>
      </c>
      <c r="E351" s="466" t="s">
        <v>380</v>
      </c>
      <c r="F351" s="466" t="s">
        <v>237</v>
      </c>
      <c r="G351" s="466" t="s">
        <v>255</v>
      </c>
      <c r="H351" s="291"/>
      <c r="I351" s="291"/>
      <c r="J351" s="291"/>
      <c r="K351" s="291"/>
      <c r="L351" s="292"/>
      <c r="M351" s="292"/>
      <c r="N351" s="292"/>
      <c r="O351" s="292"/>
      <c r="P351" s="294"/>
      <c r="Q351" s="294"/>
      <c r="R351" s="294"/>
      <c r="S351" s="294"/>
      <c r="T351" s="294"/>
      <c r="U351" s="294">
        <v>216</v>
      </c>
      <c r="V351" s="431"/>
      <c r="W351" s="331"/>
      <c r="X351" s="331"/>
      <c r="Y351" s="294">
        <f>IF(NFI_Expiration=1,IF($A351&lt;VLOOKUP(H$5,NFI,5,0),1,0)*Table_NFI[[#This Row],[Hygiene Kit]],Table_NFI[Hygiene Kit])</f>
        <v>0</v>
      </c>
      <c r="Z351" s="294">
        <f>IF(NFI_Expiration=1,IF($A351&lt;VLOOKUP(I$5,NFI,5,0),1,0)*Table_NFI[[#This Row],[NFI Core Kit]],Table_NFI[NFI Core Kit])</f>
        <v>0</v>
      </c>
      <c r="AA351" s="294">
        <f>IF(NFI_Expiration=1,IF($A351&lt;VLOOKUP(J$5,NFI,5,0),1,0)*Table_NFI[[#This Row],[Sanitary Kit]],Table_NFI[Sanitary Kit])</f>
        <v>0</v>
      </c>
      <c r="AB351" s="294">
        <f>IF(NFI_Expiration=1,IF($A351&lt;VLOOKUP(K$5,NFI,5,0),1,0)*Table_NFI[[#This Row],[Mosquito net]],Table_NFI[Mosquito net])</f>
        <v>0</v>
      </c>
      <c r="AC351" s="294">
        <f>IF(NFI_Expiration=1,IF($A351&lt;VLOOKUP(L$5,NFI,5,0),1,0)*Table_NFI[[#This Row],[Tarpaulin]],Table_NFI[[#This Row],[Tarpaulin]])</f>
        <v>0</v>
      </c>
      <c r="AD351" s="294">
        <f>IF(NFI_Expiration=1,IF($A351&lt;VLOOKUP(M$5,NFI,5,0),1,0)*Table_NFI[[#This Row],[Blanket]],Table_NFI[[#This Row],[Blanket]])</f>
        <v>0</v>
      </c>
      <c r="AE351" s="294">
        <f>IF(NFI_Expiration=1,IF($A351&lt;VLOOKUP(N$5,NFI,5,0),1,0)*Table_NFI[[#This Row],[Kitchen Set]],Table_NFI[Kitchen Set])</f>
        <v>0</v>
      </c>
      <c r="AF351" s="294">
        <f>IF(NFI_Expiration=1,IF($A351&lt;VLOOKUP(O$5,NFI,5,0),1,0)*Table_NFI[[#This Row],[Clothes Kit]],Table_NFI[Clothes Kit])</f>
        <v>0</v>
      </c>
      <c r="AG351" s="294">
        <f>IF(NFI_Expiration=1,IF($A351&lt;VLOOKUP(P$5,NFI,5,0),1,0)*Table_NFI[[#This Row],[Plastic Bucket]],Table_NFI[Plastic Bucket])</f>
        <v>0</v>
      </c>
      <c r="AH351" s="294">
        <f>IF(NFI_Expiration=1,IF($A351&lt;VLOOKUP(Q$5,NFI,5,0),1,0)*Table_NFI[[#This Row],[Plastic Mat]],Table_NFI[Plastic Mat])*IF(Table_NFI[[#This Row],[Distribution Date]]&gt;"2014-04-01",1,2.5)</f>
        <v>0</v>
      </c>
      <c r="AI351" s="294">
        <f>IF(NFI_Expiration=1,IF($A351&lt;VLOOKUP(R$5,NFI,5,0),1,0)*Table_NFI[[#This Row],[Winter Clothes Adult]],Table_NFI[Winter Clothes Adult])</f>
        <v>0</v>
      </c>
      <c r="AJ351" s="294">
        <f>IF(NFI_Expiration=1,IF($A351&lt;VLOOKUP(S$5,NFI,5,0),1,0)*Table_NFI[[#This Row],[Winter Clothes Children]],Table_NFI[Winter Clothes Children])</f>
        <v>0</v>
      </c>
      <c r="AK351" s="294">
        <f>IF(NFI_Expiration=1,IF($A351&lt;VLOOKUP(T$5,NFI,5,0),1,0)*Table_NFI[[#This Row],[Winter Items Other]],Table_NFI[Winter Items Other])</f>
        <v>0</v>
      </c>
      <c r="AL351" s="294">
        <f>IF(NFI_Expiration=1,IF($A351&lt;VLOOKUP(M$5,NFI,5,0),1,0)*Table_NFI[[#This Row],[Winter Blanket]],Table_NFI[[#This Row],[Winter Blanket]])</f>
        <v>0</v>
      </c>
      <c r="AM351" s="294">
        <f>IF(Table_NFI[[#This Row],[Winter Clothes Adult]]+Table_NFI[[#This Row],[Winter Clothes Children]]+Table_NFI[[#This Row],[Winter Items Other]]+Table_NFI[[#This Row],[Winter Blanket]]&gt;0,1,0)</f>
        <v>1</v>
      </c>
      <c r="AN351" s="331">
        <f>IF(NFI_Expiration=1,IF($A351&lt;VLOOKUP(V$5,NFI,5,0),1,0)*Table_NFI[[#This Row],[Jerry Can]],Table_NFI[Jerry Can])</f>
        <v>0</v>
      </c>
      <c r="AO351" s="331">
        <f>IF(NFI_Expiration=1,IF($A351&lt;VLOOKUP(V$5,NFI,5,0),1,0)*Table_NFI[[#This Row],[Shelter Tool kit]],Table_NFI[Shelter Tool kit])</f>
        <v>0</v>
      </c>
      <c r="AP351" s="331">
        <f>IF(NFI_Expiration=1,IF($A351&lt;VLOOKUP(V$5,NFI,5,0),1,0)*Table_NFI[[#This Row],[Tent]],Table_NFI[Tent])</f>
        <v>0</v>
      </c>
      <c r="AQ351" s="473" t="str">
        <f>IFERROR(VLOOKUP(Table_NFI[[#This Row],[Camp Name]],CL,2,0),"")</f>
        <v>MMR001CMP019</v>
      </c>
      <c r="AR351" s="468">
        <f ca="1">IF(Table_NFI[[#This Row],[Pcode]]="","",IF(OFFSET(CampList[Opening Date],MATCH(Table_NFI[[#This Row],[Pcode]],CampList[CP_Pcode],0)-1,0,1,1)&gt;=NFI_Monitor_Date,1,0))</f>
        <v>0</v>
      </c>
      <c r="AS351" s="473" t="str">
        <f>IFERROR(VLOOKUP(Table_NFI[[#This Row],[Camp Name]],CL,3,0),"")</f>
        <v>Open</v>
      </c>
      <c r="AT351" s="294" t="str">
        <f ca="1">IF(Table_NFI[[#This Row],[Pcode]]="","",OFFSET(CampList[Priority],MATCH(Table_NFI[[#This Row],[Pcode]],CampList[CP_Pcode],0)-1,0,1,1))</f>
        <v>P4</v>
      </c>
      <c r="AU351" s="293">
        <f>IFERROR(Table_NFI[[#This Row],[Kitchen Set]]/VLOOKUP(Table_NFI[[#This Row],[Camp Name]],CL,4,0),"")</f>
        <v>0</v>
      </c>
      <c r="AV351" s="466"/>
      <c r="AW351" s="469"/>
    </row>
    <row r="352" spans="1:49" s="470" customFormat="1" x14ac:dyDescent="0.25">
      <c r="A352" s="297">
        <f t="shared" si="5"/>
        <v>29.066666666666666</v>
      </c>
      <c r="B352" s="465">
        <v>41803</v>
      </c>
      <c r="C352" s="466" t="s">
        <v>452</v>
      </c>
      <c r="D352" s="466"/>
      <c r="E352" s="466" t="s">
        <v>380</v>
      </c>
      <c r="F352" s="466" t="s">
        <v>151</v>
      </c>
      <c r="G352" s="466" t="s">
        <v>885</v>
      </c>
      <c r="H352" s="291"/>
      <c r="I352" s="291"/>
      <c r="J352" s="291"/>
      <c r="K352" s="291">
        <v>54</v>
      </c>
      <c r="L352" s="292">
        <v>18</v>
      </c>
      <c r="M352" s="292">
        <v>45</v>
      </c>
      <c r="N352" s="292">
        <v>18</v>
      </c>
      <c r="O352" s="292"/>
      <c r="P352" s="294">
        <v>18</v>
      </c>
      <c r="Q352" s="294">
        <v>50</v>
      </c>
      <c r="R352" s="294"/>
      <c r="S352" s="294"/>
      <c r="T352" s="294"/>
      <c r="U352" s="294"/>
      <c r="V352" s="431"/>
      <c r="W352" s="331"/>
      <c r="X352" s="331"/>
      <c r="Y352" s="294">
        <f>IF(NFI_Expiration=1,IF($A352&lt;VLOOKUP(H$5,NFI,5,0),1,0)*Table_NFI[[#This Row],[Hygiene Kit]],Table_NFI[Hygiene Kit])</f>
        <v>0</v>
      </c>
      <c r="Z352" s="294">
        <f>IF(NFI_Expiration=1,IF($A352&lt;VLOOKUP(I$5,NFI,5,0),1,0)*Table_NFI[[#This Row],[NFI Core Kit]],Table_NFI[NFI Core Kit])</f>
        <v>0</v>
      </c>
      <c r="AA352" s="294">
        <f>IF(NFI_Expiration=1,IF($A352&lt;VLOOKUP(J$5,NFI,5,0),1,0)*Table_NFI[[#This Row],[Sanitary Kit]],Table_NFI[Sanitary Kit])</f>
        <v>0</v>
      </c>
      <c r="AB352" s="294">
        <f>IF(NFI_Expiration=1,IF($A352&lt;VLOOKUP(K$5,NFI,5,0),1,0)*Table_NFI[[#This Row],[Mosquito net]],Table_NFI[Mosquito net])</f>
        <v>0</v>
      </c>
      <c r="AC352" s="294">
        <f>IF(NFI_Expiration=1,IF($A352&lt;VLOOKUP(L$5,NFI,5,0),1,0)*Table_NFI[[#This Row],[Tarpaulin]],Table_NFI[[#This Row],[Tarpaulin]])</f>
        <v>0</v>
      </c>
      <c r="AD352" s="294">
        <f>IF(NFI_Expiration=1,IF($A352&lt;VLOOKUP(M$5,NFI,5,0),1,0)*Table_NFI[[#This Row],[Blanket]],Table_NFI[[#This Row],[Blanket]])</f>
        <v>0</v>
      </c>
      <c r="AE352" s="294">
        <f>IF(NFI_Expiration=1,IF($A352&lt;VLOOKUP(N$5,NFI,5,0),1,0)*Table_NFI[[#This Row],[Kitchen Set]],Table_NFI[Kitchen Set])</f>
        <v>0</v>
      </c>
      <c r="AF352" s="294">
        <f>IF(NFI_Expiration=1,IF($A352&lt;VLOOKUP(O$5,NFI,5,0),1,0)*Table_NFI[[#This Row],[Clothes Kit]],Table_NFI[Clothes Kit])</f>
        <v>0</v>
      </c>
      <c r="AG352" s="294">
        <f>IF(NFI_Expiration=1,IF($A352&lt;VLOOKUP(P$5,NFI,5,0),1,0)*Table_NFI[[#This Row],[Plastic Bucket]],Table_NFI[Plastic Bucket])</f>
        <v>0</v>
      </c>
      <c r="AH352" s="294">
        <f>IF(NFI_Expiration=1,IF($A352&lt;VLOOKUP(Q$5,NFI,5,0),1,0)*Table_NFI[[#This Row],[Plastic Mat]],Table_NFI[Plastic Mat])*IF(Table_NFI[[#This Row],[Distribution Date]]&gt;"2014-04-01",1,2.5)</f>
        <v>0</v>
      </c>
      <c r="AI352" s="294">
        <f>IF(NFI_Expiration=1,IF($A352&lt;VLOOKUP(R$5,NFI,5,0),1,0)*Table_NFI[[#This Row],[Winter Clothes Adult]],Table_NFI[Winter Clothes Adult])</f>
        <v>0</v>
      </c>
      <c r="AJ352" s="294">
        <f>IF(NFI_Expiration=1,IF($A352&lt;VLOOKUP(S$5,NFI,5,0),1,0)*Table_NFI[[#This Row],[Winter Clothes Children]],Table_NFI[Winter Clothes Children])</f>
        <v>0</v>
      </c>
      <c r="AK352" s="294">
        <f>IF(NFI_Expiration=1,IF($A352&lt;VLOOKUP(T$5,NFI,5,0),1,0)*Table_NFI[[#This Row],[Winter Items Other]],Table_NFI[Winter Items Other])</f>
        <v>0</v>
      </c>
      <c r="AL352" s="294">
        <f>IF(NFI_Expiration=1,IF($A352&lt;VLOOKUP(M$5,NFI,5,0),1,0)*Table_NFI[[#This Row],[Winter Blanket]],Table_NFI[[#This Row],[Winter Blanket]])</f>
        <v>0</v>
      </c>
      <c r="AM352" s="294">
        <f>IF(Table_NFI[[#This Row],[Winter Clothes Adult]]+Table_NFI[[#This Row],[Winter Clothes Children]]+Table_NFI[[#This Row],[Winter Items Other]]+Table_NFI[[#This Row],[Winter Blanket]]&gt;0,1,0)</f>
        <v>0</v>
      </c>
      <c r="AN352" s="331">
        <f>IF(NFI_Expiration=1,IF($A352&lt;VLOOKUP(V$5,NFI,5,0),1,0)*Table_NFI[[#This Row],[Jerry Can]],Table_NFI[Jerry Can])</f>
        <v>0</v>
      </c>
      <c r="AO352" s="331">
        <f>IF(NFI_Expiration=1,IF($A352&lt;VLOOKUP(V$5,NFI,5,0),1,0)*Table_NFI[[#This Row],[Shelter Tool kit]],Table_NFI[Shelter Tool kit])</f>
        <v>0</v>
      </c>
      <c r="AP352" s="331">
        <f>IF(NFI_Expiration=1,IF($A352&lt;VLOOKUP(V$5,NFI,5,0),1,0)*Table_NFI[[#This Row],[Tent]],Table_NFI[Tent])</f>
        <v>0</v>
      </c>
      <c r="AQ352" s="473" t="str">
        <f>IFERROR(VLOOKUP(Table_NFI[[#This Row],[Camp Name]],CL,2,0),"")</f>
        <v>MMR001CMP218</v>
      </c>
      <c r="AR352" s="468">
        <f ca="1">IF(Table_NFI[[#This Row],[Pcode]]="","",IF(OFFSET(CampList[Opening Date],MATCH(Table_NFI[[#This Row],[Pcode]],CampList[CP_Pcode],0)-1,0,1,1)&gt;=NFI_Monitor_Date,1,0))</f>
        <v>0</v>
      </c>
      <c r="AS352" s="473" t="str">
        <f>IFERROR(VLOOKUP(Table_NFI[[#This Row],[Camp Name]],CL,3,0),"")</f>
        <v>Open</v>
      </c>
      <c r="AT352" s="294" t="str">
        <f ca="1">IF(Table_NFI[[#This Row],[Pcode]]="","",OFFSET(CampList[Priority],MATCH(Table_NFI[[#This Row],[Pcode]],CampList[CP_Pcode],0)-1,0,1,1))</f>
        <v>P4</v>
      </c>
      <c r="AU352" s="293">
        <f>IFERROR(Table_NFI[[#This Row],[Kitchen Set]]/VLOOKUP(Table_NFI[[#This Row],[Camp Name]],CL,4,0),"")</f>
        <v>4.8128342245989303E-2</v>
      </c>
      <c r="AV352" s="466"/>
      <c r="AW352" s="469"/>
    </row>
    <row r="353" spans="1:49" s="470" customFormat="1" x14ac:dyDescent="0.25">
      <c r="A353" s="297">
        <f t="shared" si="5"/>
        <v>29.266666666666666</v>
      </c>
      <c r="B353" s="465">
        <v>41797</v>
      </c>
      <c r="C353" s="466" t="s">
        <v>1104</v>
      </c>
      <c r="D353" s="466" t="s">
        <v>900</v>
      </c>
      <c r="E353" s="466" t="s">
        <v>380</v>
      </c>
      <c r="F353" s="466" t="s">
        <v>180</v>
      </c>
      <c r="G353" s="466" t="s">
        <v>287</v>
      </c>
      <c r="H353" s="291"/>
      <c r="I353" s="291"/>
      <c r="J353" s="291"/>
      <c r="K353" s="291"/>
      <c r="L353" s="292"/>
      <c r="M353" s="292"/>
      <c r="N353" s="292"/>
      <c r="O353" s="292"/>
      <c r="P353" s="294"/>
      <c r="Q353" s="294"/>
      <c r="R353" s="294"/>
      <c r="S353" s="294"/>
      <c r="T353" s="294"/>
      <c r="U353" s="294">
        <v>40</v>
      </c>
      <c r="V353" s="431"/>
      <c r="W353" s="331"/>
      <c r="X353" s="331"/>
      <c r="Y353" s="294">
        <f>IF(NFI_Expiration=1,IF($A353&lt;VLOOKUP(H$5,NFI,5,0),1,0)*Table_NFI[[#This Row],[Hygiene Kit]],Table_NFI[Hygiene Kit])</f>
        <v>0</v>
      </c>
      <c r="Z353" s="294">
        <f>IF(NFI_Expiration=1,IF($A353&lt;VLOOKUP(I$5,NFI,5,0),1,0)*Table_NFI[[#This Row],[NFI Core Kit]],Table_NFI[NFI Core Kit])</f>
        <v>0</v>
      </c>
      <c r="AA353" s="294">
        <f>IF(NFI_Expiration=1,IF($A353&lt;VLOOKUP(J$5,NFI,5,0),1,0)*Table_NFI[[#This Row],[Sanitary Kit]],Table_NFI[Sanitary Kit])</f>
        <v>0</v>
      </c>
      <c r="AB353" s="294">
        <f>IF(NFI_Expiration=1,IF($A353&lt;VLOOKUP(K$5,NFI,5,0),1,0)*Table_NFI[[#This Row],[Mosquito net]],Table_NFI[Mosquito net])</f>
        <v>0</v>
      </c>
      <c r="AC353" s="294">
        <f>IF(NFI_Expiration=1,IF($A353&lt;VLOOKUP(L$5,NFI,5,0),1,0)*Table_NFI[[#This Row],[Tarpaulin]],Table_NFI[[#This Row],[Tarpaulin]])</f>
        <v>0</v>
      </c>
      <c r="AD353" s="294">
        <f>IF(NFI_Expiration=1,IF($A353&lt;VLOOKUP(M$5,NFI,5,0),1,0)*Table_NFI[[#This Row],[Blanket]],Table_NFI[[#This Row],[Blanket]])</f>
        <v>0</v>
      </c>
      <c r="AE353" s="294">
        <f>IF(NFI_Expiration=1,IF($A353&lt;VLOOKUP(N$5,NFI,5,0),1,0)*Table_NFI[[#This Row],[Kitchen Set]],Table_NFI[Kitchen Set])</f>
        <v>0</v>
      </c>
      <c r="AF353" s="294">
        <f>IF(NFI_Expiration=1,IF($A353&lt;VLOOKUP(O$5,NFI,5,0),1,0)*Table_NFI[[#This Row],[Clothes Kit]],Table_NFI[Clothes Kit])</f>
        <v>0</v>
      </c>
      <c r="AG353" s="294">
        <f>IF(NFI_Expiration=1,IF($A353&lt;VLOOKUP(P$5,NFI,5,0),1,0)*Table_NFI[[#This Row],[Plastic Bucket]],Table_NFI[Plastic Bucket])</f>
        <v>0</v>
      </c>
      <c r="AH353" s="294">
        <f>IF(NFI_Expiration=1,IF($A353&lt;VLOOKUP(Q$5,NFI,5,0),1,0)*Table_NFI[[#This Row],[Plastic Mat]],Table_NFI[Plastic Mat])*IF(Table_NFI[[#This Row],[Distribution Date]]&gt;"2014-04-01",1,2.5)</f>
        <v>0</v>
      </c>
      <c r="AI353" s="294">
        <f>IF(NFI_Expiration=1,IF($A353&lt;VLOOKUP(R$5,NFI,5,0),1,0)*Table_NFI[[#This Row],[Winter Clothes Adult]],Table_NFI[Winter Clothes Adult])</f>
        <v>0</v>
      </c>
      <c r="AJ353" s="294">
        <f>IF(NFI_Expiration=1,IF($A353&lt;VLOOKUP(S$5,NFI,5,0),1,0)*Table_NFI[[#This Row],[Winter Clothes Children]],Table_NFI[Winter Clothes Children])</f>
        <v>0</v>
      </c>
      <c r="AK353" s="294">
        <f>IF(NFI_Expiration=1,IF($A353&lt;VLOOKUP(T$5,NFI,5,0),1,0)*Table_NFI[[#This Row],[Winter Items Other]],Table_NFI[Winter Items Other])</f>
        <v>0</v>
      </c>
      <c r="AL353" s="294">
        <f>IF(NFI_Expiration=1,IF($A353&lt;VLOOKUP(M$5,NFI,5,0),1,0)*Table_NFI[[#This Row],[Winter Blanket]],Table_NFI[[#This Row],[Winter Blanket]])</f>
        <v>0</v>
      </c>
      <c r="AM353" s="294">
        <f>IF(Table_NFI[[#This Row],[Winter Clothes Adult]]+Table_NFI[[#This Row],[Winter Clothes Children]]+Table_NFI[[#This Row],[Winter Items Other]]+Table_NFI[[#This Row],[Winter Blanket]]&gt;0,1,0)</f>
        <v>1</v>
      </c>
      <c r="AN353" s="331">
        <f>IF(NFI_Expiration=1,IF($A353&lt;VLOOKUP(V$5,NFI,5,0),1,0)*Table_NFI[[#This Row],[Jerry Can]],Table_NFI[Jerry Can])</f>
        <v>0</v>
      </c>
      <c r="AO353" s="331">
        <f>IF(NFI_Expiration=1,IF($A353&lt;VLOOKUP(V$5,NFI,5,0),1,0)*Table_NFI[[#This Row],[Shelter Tool kit]],Table_NFI[Shelter Tool kit])</f>
        <v>0</v>
      </c>
      <c r="AP353" s="331">
        <f>IF(NFI_Expiration=1,IF($A353&lt;VLOOKUP(V$5,NFI,5,0),1,0)*Table_NFI[[#This Row],[Tent]],Table_NFI[Tent])</f>
        <v>0</v>
      </c>
      <c r="AQ353" s="473" t="str">
        <f>IFERROR(VLOOKUP(Table_NFI[[#This Row],[Camp Name]],CL,2,0),"")</f>
        <v>MMR001CMP152</v>
      </c>
      <c r="AR353" s="468">
        <f ca="1">IF(Table_NFI[[#This Row],[Pcode]]="","",IF(OFFSET(CampList[Opening Date],MATCH(Table_NFI[[#This Row],[Pcode]],CampList[CP_Pcode],0)-1,0,1,1)&gt;=NFI_Monitor_Date,1,0))</f>
        <v>0</v>
      </c>
      <c r="AS353" s="473" t="str">
        <f>IFERROR(VLOOKUP(Table_NFI[[#This Row],[Camp Name]],CL,3,0),"")</f>
        <v>Open</v>
      </c>
      <c r="AT353" s="294" t="str">
        <f ca="1">IF(Table_NFI[[#This Row],[Pcode]]="","",OFFSET(CampList[Priority],MATCH(Table_NFI[[#This Row],[Pcode]],CampList[CP_Pcode],0)-1,0,1,1))</f>
        <v>P4</v>
      </c>
      <c r="AU353" s="293">
        <f>IFERROR(Table_NFI[[#This Row],[Kitchen Set]]/VLOOKUP(Table_NFI[[#This Row],[Camp Name]],CL,4,0),"")</f>
        <v>0</v>
      </c>
      <c r="AV353" s="466"/>
      <c r="AW353" s="469"/>
    </row>
    <row r="354" spans="1:49" s="470" customFormat="1" x14ac:dyDescent="0.25">
      <c r="A354" s="297">
        <f t="shared" si="5"/>
        <v>29.3</v>
      </c>
      <c r="B354" s="465">
        <v>41796</v>
      </c>
      <c r="C354" s="466" t="s">
        <v>1104</v>
      </c>
      <c r="D354" s="466" t="s">
        <v>900</v>
      </c>
      <c r="E354" s="466" t="s">
        <v>380</v>
      </c>
      <c r="F354" s="466" t="s">
        <v>180</v>
      </c>
      <c r="G354" s="466" t="s">
        <v>181</v>
      </c>
      <c r="H354" s="291"/>
      <c r="I354" s="291"/>
      <c r="J354" s="291"/>
      <c r="K354" s="291"/>
      <c r="L354" s="292"/>
      <c r="M354" s="292"/>
      <c r="N354" s="292"/>
      <c r="O354" s="292"/>
      <c r="P354" s="294"/>
      <c r="Q354" s="294"/>
      <c r="R354" s="294"/>
      <c r="S354" s="294"/>
      <c r="T354" s="294"/>
      <c r="U354" s="294">
        <v>24</v>
      </c>
      <c r="V354" s="622"/>
      <c r="W354" s="331"/>
      <c r="X354" s="331"/>
      <c r="Y354" s="294">
        <f>IF(NFI_Expiration=1,IF($A354&lt;VLOOKUP(H$5,NFI,5,0),1,0)*Table_NFI[[#This Row],[Hygiene Kit]],Table_NFI[Hygiene Kit])</f>
        <v>0</v>
      </c>
      <c r="Z354" s="294">
        <f>IF(NFI_Expiration=1,IF($A354&lt;VLOOKUP(I$5,NFI,5,0),1,0)*Table_NFI[[#This Row],[NFI Core Kit]],Table_NFI[NFI Core Kit])</f>
        <v>0</v>
      </c>
      <c r="AA354" s="294">
        <f>IF(NFI_Expiration=1,IF($A354&lt;VLOOKUP(J$5,NFI,5,0),1,0)*Table_NFI[[#This Row],[Sanitary Kit]],Table_NFI[Sanitary Kit])</f>
        <v>0</v>
      </c>
      <c r="AB354" s="294">
        <f>IF(NFI_Expiration=1,IF($A354&lt;VLOOKUP(K$5,NFI,5,0),1,0)*Table_NFI[[#This Row],[Mosquito net]],Table_NFI[Mosquito net])</f>
        <v>0</v>
      </c>
      <c r="AC354" s="294">
        <f>IF(NFI_Expiration=1,IF($A354&lt;VLOOKUP(L$5,NFI,5,0),1,0)*Table_NFI[[#This Row],[Tarpaulin]],Table_NFI[[#This Row],[Tarpaulin]])</f>
        <v>0</v>
      </c>
      <c r="AD354" s="294">
        <f>IF(NFI_Expiration=1,IF($A354&lt;VLOOKUP(M$5,NFI,5,0),1,0)*Table_NFI[[#This Row],[Blanket]],Table_NFI[[#This Row],[Blanket]])</f>
        <v>0</v>
      </c>
      <c r="AE354" s="294">
        <f>IF(NFI_Expiration=1,IF($A354&lt;VLOOKUP(N$5,NFI,5,0),1,0)*Table_NFI[[#This Row],[Kitchen Set]],Table_NFI[Kitchen Set])</f>
        <v>0</v>
      </c>
      <c r="AF354" s="294">
        <f>IF(NFI_Expiration=1,IF($A354&lt;VLOOKUP(O$5,NFI,5,0),1,0)*Table_NFI[[#This Row],[Clothes Kit]],Table_NFI[Clothes Kit])</f>
        <v>0</v>
      </c>
      <c r="AG354" s="294">
        <f>IF(NFI_Expiration=1,IF($A354&lt;VLOOKUP(P$5,NFI,5,0),1,0)*Table_NFI[[#This Row],[Plastic Bucket]],Table_NFI[Plastic Bucket])</f>
        <v>0</v>
      </c>
      <c r="AH354" s="294">
        <f>IF(NFI_Expiration=1,IF($A354&lt;VLOOKUP(Q$5,NFI,5,0),1,0)*Table_NFI[[#This Row],[Plastic Mat]],Table_NFI[Plastic Mat])*IF(Table_NFI[[#This Row],[Distribution Date]]&gt;"2014-04-01",1,2.5)</f>
        <v>0</v>
      </c>
      <c r="AI354" s="294">
        <f>IF(NFI_Expiration=1,IF($A354&lt;VLOOKUP(R$5,NFI,5,0),1,0)*Table_NFI[[#This Row],[Winter Clothes Adult]],Table_NFI[Winter Clothes Adult])</f>
        <v>0</v>
      </c>
      <c r="AJ354" s="294">
        <f>IF(NFI_Expiration=1,IF($A354&lt;VLOOKUP(S$5,NFI,5,0),1,0)*Table_NFI[[#This Row],[Winter Clothes Children]],Table_NFI[Winter Clothes Children])</f>
        <v>0</v>
      </c>
      <c r="AK354" s="294">
        <f>IF(NFI_Expiration=1,IF($A354&lt;VLOOKUP(T$5,NFI,5,0),1,0)*Table_NFI[[#This Row],[Winter Items Other]],Table_NFI[Winter Items Other])</f>
        <v>0</v>
      </c>
      <c r="AL354" s="294">
        <f>IF(NFI_Expiration=1,IF($A354&lt;VLOOKUP(M$5,NFI,5,0),1,0)*Table_NFI[[#This Row],[Winter Blanket]],Table_NFI[[#This Row],[Winter Blanket]])</f>
        <v>0</v>
      </c>
      <c r="AM354" s="294">
        <f>IF(Table_NFI[[#This Row],[Winter Clothes Adult]]+Table_NFI[[#This Row],[Winter Clothes Children]]+Table_NFI[[#This Row],[Winter Items Other]]+Table_NFI[[#This Row],[Winter Blanket]]&gt;0,1,0)</f>
        <v>1</v>
      </c>
      <c r="AN354" s="331">
        <f>IF(NFI_Expiration=1,IF($A354&lt;VLOOKUP(V$5,NFI,5,0),1,0)*Table_NFI[[#This Row],[Jerry Can]],Table_NFI[Jerry Can])</f>
        <v>0</v>
      </c>
      <c r="AO354" s="331">
        <f>IF(NFI_Expiration=1,IF($A354&lt;VLOOKUP(V$5,NFI,5,0),1,0)*Table_NFI[[#This Row],[Shelter Tool kit]],Table_NFI[Shelter Tool kit])</f>
        <v>0</v>
      </c>
      <c r="AP354" s="331">
        <f>IF(NFI_Expiration=1,IF($A354&lt;VLOOKUP(V$5,NFI,5,0),1,0)*Table_NFI[[#This Row],[Tent]],Table_NFI[Tent])</f>
        <v>0</v>
      </c>
      <c r="AQ354" s="473" t="str">
        <f>IFERROR(VLOOKUP(Table_NFI[[#This Row],[Camp Name]],CL,2,0),"")</f>
        <v>MMR001CMP080</v>
      </c>
      <c r="AR354" s="468">
        <f ca="1">IF(Table_NFI[[#This Row],[Pcode]]="","",IF(OFFSET(CampList[Opening Date],MATCH(Table_NFI[[#This Row],[Pcode]],CampList[CP_Pcode],0)-1,0,1,1)&gt;=NFI_Monitor_Date,1,0))</f>
        <v>0</v>
      </c>
      <c r="AS354" s="473" t="str">
        <f>IFERROR(VLOOKUP(Table_NFI[[#This Row],[Camp Name]],CL,3,0),"")</f>
        <v>Open</v>
      </c>
      <c r="AT354" s="294" t="str">
        <f ca="1">IF(Table_NFI[[#This Row],[Pcode]]="","",OFFSET(CampList[Priority],MATCH(Table_NFI[[#This Row],[Pcode]],CampList[CP_Pcode],0)-1,0,1,1))</f>
        <v>P4</v>
      </c>
      <c r="AU354" s="293">
        <f>IFERROR(Table_NFI[[#This Row],[Kitchen Set]]/VLOOKUP(Table_NFI[[#This Row],[Camp Name]],CL,4,0),"")</f>
        <v>0</v>
      </c>
      <c r="AV354" s="466"/>
      <c r="AW354" s="469"/>
    </row>
    <row r="355" spans="1:49" s="470" customFormat="1" x14ac:dyDescent="0.25">
      <c r="A355" s="297">
        <f t="shared" si="5"/>
        <v>29.366666666666667</v>
      </c>
      <c r="B355" s="465">
        <v>41794</v>
      </c>
      <c r="C355" s="466" t="s">
        <v>452</v>
      </c>
      <c r="D355" s="466" t="s">
        <v>460</v>
      </c>
      <c r="E355" s="466" t="s">
        <v>380</v>
      </c>
      <c r="F355" s="466" t="s">
        <v>185</v>
      </c>
      <c r="G355" s="466" t="s">
        <v>209</v>
      </c>
      <c r="H355" s="291"/>
      <c r="I355" s="291"/>
      <c r="J355" s="291"/>
      <c r="K355" s="291"/>
      <c r="L355" s="292">
        <v>80</v>
      </c>
      <c r="M355" s="292"/>
      <c r="N355" s="292"/>
      <c r="O355" s="292"/>
      <c r="P355" s="294"/>
      <c r="Q355" s="294"/>
      <c r="R355" s="294"/>
      <c r="S355" s="294"/>
      <c r="T355" s="294"/>
      <c r="U355" s="294"/>
      <c r="V355" s="622"/>
      <c r="W355" s="331"/>
      <c r="X355" s="331"/>
      <c r="Y355" s="294">
        <f>IF(NFI_Expiration=1,IF($A355&lt;VLOOKUP(H$5,NFI,5,0),1,0)*Table_NFI[[#This Row],[Hygiene Kit]],Table_NFI[Hygiene Kit])</f>
        <v>0</v>
      </c>
      <c r="Z355" s="294">
        <f>IF(NFI_Expiration=1,IF($A355&lt;VLOOKUP(I$5,NFI,5,0),1,0)*Table_NFI[[#This Row],[NFI Core Kit]],Table_NFI[NFI Core Kit])</f>
        <v>0</v>
      </c>
      <c r="AA355" s="294">
        <f>IF(NFI_Expiration=1,IF($A355&lt;VLOOKUP(J$5,NFI,5,0),1,0)*Table_NFI[[#This Row],[Sanitary Kit]],Table_NFI[Sanitary Kit])</f>
        <v>0</v>
      </c>
      <c r="AB355" s="294">
        <f>IF(NFI_Expiration=1,IF($A355&lt;VLOOKUP(K$5,NFI,5,0),1,0)*Table_NFI[[#This Row],[Mosquito net]],Table_NFI[Mosquito net])</f>
        <v>0</v>
      </c>
      <c r="AC355" s="294">
        <f>IF(NFI_Expiration=1,IF($A355&lt;VLOOKUP(L$5,NFI,5,0),1,0)*Table_NFI[[#This Row],[Tarpaulin]],Table_NFI[[#This Row],[Tarpaulin]])</f>
        <v>0</v>
      </c>
      <c r="AD355" s="294">
        <f>IF(NFI_Expiration=1,IF($A355&lt;VLOOKUP(M$5,NFI,5,0),1,0)*Table_NFI[[#This Row],[Blanket]],Table_NFI[[#This Row],[Blanket]])</f>
        <v>0</v>
      </c>
      <c r="AE355" s="294">
        <f>IF(NFI_Expiration=1,IF($A355&lt;VLOOKUP(N$5,NFI,5,0),1,0)*Table_NFI[[#This Row],[Kitchen Set]],Table_NFI[Kitchen Set])</f>
        <v>0</v>
      </c>
      <c r="AF355" s="294">
        <f>IF(NFI_Expiration=1,IF($A355&lt;VLOOKUP(O$5,NFI,5,0),1,0)*Table_NFI[[#This Row],[Clothes Kit]],Table_NFI[Clothes Kit])</f>
        <v>0</v>
      </c>
      <c r="AG355" s="294">
        <f>IF(NFI_Expiration=1,IF($A355&lt;VLOOKUP(P$5,NFI,5,0),1,0)*Table_NFI[[#This Row],[Plastic Bucket]],Table_NFI[Plastic Bucket])</f>
        <v>0</v>
      </c>
      <c r="AH355" s="294">
        <f>IF(NFI_Expiration=1,IF($A355&lt;VLOOKUP(Q$5,NFI,5,0),1,0)*Table_NFI[[#This Row],[Plastic Mat]],Table_NFI[Plastic Mat])*IF(Table_NFI[[#This Row],[Distribution Date]]&gt;"2014-04-01",1,2.5)</f>
        <v>0</v>
      </c>
      <c r="AI355" s="294">
        <f>IF(NFI_Expiration=1,IF($A355&lt;VLOOKUP(R$5,NFI,5,0),1,0)*Table_NFI[[#This Row],[Winter Clothes Adult]],Table_NFI[Winter Clothes Adult])</f>
        <v>0</v>
      </c>
      <c r="AJ355" s="294">
        <f>IF(NFI_Expiration=1,IF($A355&lt;VLOOKUP(S$5,NFI,5,0),1,0)*Table_NFI[[#This Row],[Winter Clothes Children]],Table_NFI[Winter Clothes Children])</f>
        <v>0</v>
      </c>
      <c r="AK355" s="294">
        <f>IF(NFI_Expiration=1,IF($A355&lt;VLOOKUP(T$5,NFI,5,0),1,0)*Table_NFI[[#This Row],[Winter Items Other]],Table_NFI[Winter Items Other])</f>
        <v>0</v>
      </c>
      <c r="AL355" s="294">
        <f>IF(NFI_Expiration=1,IF($A355&lt;VLOOKUP(M$5,NFI,5,0),1,0)*Table_NFI[[#This Row],[Winter Blanket]],Table_NFI[[#This Row],[Winter Blanket]])</f>
        <v>0</v>
      </c>
      <c r="AM355" s="294">
        <f>IF(Table_NFI[[#This Row],[Winter Clothes Adult]]+Table_NFI[[#This Row],[Winter Clothes Children]]+Table_NFI[[#This Row],[Winter Items Other]]+Table_NFI[[#This Row],[Winter Blanket]]&gt;0,1,0)</f>
        <v>0</v>
      </c>
      <c r="AN355" s="331">
        <f>IF(NFI_Expiration=1,IF($A355&lt;VLOOKUP(V$5,NFI,5,0),1,0)*Table_NFI[[#This Row],[Jerry Can]],Table_NFI[Jerry Can])</f>
        <v>0</v>
      </c>
      <c r="AO355" s="331">
        <f>IF(NFI_Expiration=1,IF($A355&lt;VLOOKUP(V$5,NFI,5,0),1,0)*Table_NFI[[#This Row],[Shelter Tool kit]],Table_NFI[Shelter Tool kit])</f>
        <v>0</v>
      </c>
      <c r="AP355" s="331">
        <f>IF(NFI_Expiration=1,IF($A355&lt;VLOOKUP(V$5,NFI,5,0),1,0)*Table_NFI[[#This Row],[Tent]],Table_NFI[Tent])</f>
        <v>0</v>
      </c>
      <c r="AQ355" s="473" t="str">
        <f>IFERROR(VLOOKUP(Table_NFI[[#This Row],[Camp Name]],CL,2,0),"")</f>
        <v>MMR001CMP056</v>
      </c>
      <c r="AR355" s="468">
        <f ca="1">IF(Table_NFI[[#This Row],[Pcode]]="","",IF(OFFSET(CampList[Opening Date],MATCH(Table_NFI[[#This Row],[Pcode]],CampList[CP_Pcode],0)-1,0,1,1)&gt;=NFI_Monitor_Date,1,0))</f>
        <v>0</v>
      </c>
      <c r="AS355" s="473" t="str">
        <f>IFERROR(VLOOKUP(Table_NFI[[#This Row],[Camp Name]],CL,3,0),"")</f>
        <v>Open</v>
      </c>
      <c r="AT355" s="294" t="str">
        <f ca="1">IF(Table_NFI[[#This Row],[Pcode]]="","",OFFSET(CampList[Priority],MATCH(Table_NFI[[#This Row],[Pcode]],CampList[CP_Pcode],0)-1,0,1,1))</f>
        <v>P4</v>
      </c>
      <c r="AU355" s="293">
        <f>IFERROR(Table_NFI[[#This Row],[Kitchen Set]]/VLOOKUP(Table_NFI[[#This Row],[Camp Name]],CL,4,0),"")</f>
        <v>0</v>
      </c>
      <c r="AV355" s="466" t="s">
        <v>1092</v>
      </c>
      <c r="AW355" s="469"/>
    </row>
    <row r="356" spans="1:49" s="470" customFormat="1" x14ac:dyDescent="0.25">
      <c r="A356" s="297">
        <f t="shared" si="5"/>
        <v>29.533333333333335</v>
      </c>
      <c r="B356" s="465">
        <v>41789</v>
      </c>
      <c r="C356" s="466" t="s">
        <v>1104</v>
      </c>
      <c r="D356" s="466" t="s">
        <v>900</v>
      </c>
      <c r="E356" s="466" t="s">
        <v>380</v>
      </c>
      <c r="F356" s="466" t="s">
        <v>237</v>
      </c>
      <c r="G356" s="466" t="s">
        <v>283</v>
      </c>
      <c r="H356" s="291"/>
      <c r="I356" s="291"/>
      <c r="J356" s="291"/>
      <c r="K356" s="291"/>
      <c r="L356" s="292"/>
      <c r="M356" s="292"/>
      <c r="N356" s="292"/>
      <c r="O356" s="292"/>
      <c r="P356" s="294"/>
      <c r="Q356" s="294"/>
      <c r="R356" s="294"/>
      <c r="S356" s="294"/>
      <c r="T356" s="294"/>
      <c r="U356" s="294">
        <v>12</v>
      </c>
      <c r="V356" s="431"/>
      <c r="W356" s="331"/>
      <c r="X356" s="331"/>
      <c r="Y356" s="294">
        <f>IF(NFI_Expiration=1,IF($A356&lt;VLOOKUP(H$5,NFI,5,0),1,0)*Table_NFI[[#This Row],[Hygiene Kit]],Table_NFI[Hygiene Kit])</f>
        <v>0</v>
      </c>
      <c r="Z356" s="294">
        <f>IF(NFI_Expiration=1,IF($A356&lt;VLOOKUP(I$5,NFI,5,0),1,0)*Table_NFI[[#This Row],[NFI Core Kit]],Table_NFI[NFI Core Kit])</f>
        <v>0</v>
      </c>
      <c r="AA356" s="294">
        <f>IF(NFI_Expiration=1,IF($A356&lt;VLOOKUP(J$5,NFI,5,0),1,0)*Table_NFI[[#This Row],[Sanitary Kit]],Table_NFI[Sanitary Kit])</f>
        <v>0</v>
      </c>
      <c r="AB356" s="294">
        <f>IF(NFI_Expiration=1,IF($A356&lt;VLOOKUP(K$5,NFI,5,0),1,0)*Table_NFI[[#This Row],[Mosquito net]],Table_NFI[Mosquito net])</f>
        <v>0</v>
      </c>
      <c r="AC356" s="294">
        <f>IF(NFI_Expiration=1,IF($A356&lt;VLOOKUP(L$5,NFI,5,0),1,0)*Table_NFI[[#This Row],[Tarpaulin]],Table_NFI[[#This Row],[Tarpaulin]])</f>
        <v>0</v>
      </c>
      <c r="AD356" s="294">
        <f>IF(NFI_Expiration=1,IF($A356&lt;VLOOKUP(M$5,NFI,5,0),1,0)*Table_NFI[[#This Row],[Blanket]],Table_NFI[[#This Row],[Blanket]])</f>
        <v>0</v>
      </c>
      <c r="AE356" s="294">
        <f>IF(NFI_Expiration=1,IF($A356&lt;VLOOKUP(N$5,NFI,5,0),1,0)*Table_NFI[[#This Row],[Kitchen Set]],Table_NFI[Kitchen Set])</f>
        <v>0</v>
      </c>
      <c r="AF356" s="294">
        <f>IF(NFI_Expiration=1,IF($A356&lt;VLOOKUP(O$5,NFI,5,0),1,0)*Table_NFI[[#This Row],[Clothes Kit]],Table_NFI[Clothes Kit])</f>
        <v>0</v>
      </c>
      <c r="AG356" s="294">
        <f>IF(NFI_Expiration=1,IF($A356&lt;VLOOKUP(P$5,NFI,5,0),1,0)*Table_NFI[[#This Row],[Plastic Bucket]],Table_NFI[Plastic Bucket])</f>
        <v>0</v>
      </c>
      <c r="AH356" s="294">
        <f>IF(NFI_Expiration=1,IF($A356&lt;VLOOKUP(Q$5,NFI,5,0),1,0)*Table_NFI[[#This Row],[Plastic Mat]],Table_NFI[Plastic Mat])*IF(Table_NFI[[#This Row],[Distribution Date]]&gt;"2014-04-01",1,2.5)</f>
        <v>0</v>
      </c>
      <c r="AI356" s="294">
        <f>IF(NFI_Expiration=1,IF($A356&lt;VLOOKUP(R$5,NFI,5,0),1,0)*Table_NFI[[#This Row],[Winter Clothes Adult]],Table_NFI[Winter Clothes Adult])</f>
        <v>0</v>
      </c>
      <c r="AJ356" s="294">
        <f>IF(NFI_Expiration=1,IF($A356&lt;VLOOKUP(S$5,NFI,5,0),1,0)*Table_NFI[[#This Row],[Winter Clothes Children]],Table_NFI[Winter Clothes Children])</f>
        <v>0</v>
      </c>
      <c r="AK356" s="294">
        <f>IF(NFI_Expiration=1,IF($A356&lt;VLOOKUP(T$5,NFI,5,0),1,0)*Table_NFI[[#This Row],[Winter Items Other]],Table_NFI[Winter Items Other])</f>
        <v>0</v>
      </c>
      <c r="AL356" s="294">
        <f>IF(NFI_Expiration=1,IF($A356&lt;VLOOKUP(M$5,NFI,5,0),1,0)*Table_NFI[[#This Row],[Winter Blanket]],Table_NFI[[#This Row],[Winter Blanket]])</f>
        <v>0</v>
      </c>
      <c r="AM356" s="294">
        <f>IF(Table_NFI[[#This Row],[Winter Clothes Adult]]+Table_NFI[[#This Row],[Winter Clothes Children]]+Table_NFI[[#This Row],[Winter Items Other]]+Table_NFI[[#This Row],[Winter Blanket]]&gt;0,1,0)</f>
        <v>1</v>
      </c>
      <c r="AN356" s="331">
        <f>IF(NFI_Expiration=1,IF($A356&lt;VLOOKUP(V$5,NFI,5,0),1,0)*Table_NFI[[#This Row],[Jerry Can]],Table_NFI[Jerry Can])</f>
        <v>0</v>
      </c>
      <c r="AO356" s="331">
        <f>IF(NFI_Expiration=1,IF($A356&lt;VLOOKUP(V$5,NFI,5,0),1,0)*Table_NFI[[#This Row],[Shelter Tool kit]],Table_NFI[Shelter Tool kit])</f>
        <v>0</v>
      </c>
      <c r="AP356" s="331">
        <f>IF(NFI_Expiration=1,IF($A356&lt;VLOOKUP(V$5,NFI,5,0),1,0)*Table_NFI[[#This Row],[Tent]],Table_NFI[Tent])</f>
        <v>0</v>
      </c>
      <c r="AQ356" s="473" t="str">
        <f>IFERROR(VLOOKUP(Table_NFI[[#This Row],[Camp Name]],CL,2,0),"")</f>
        <v>MMR001CMP022</v>
      </c>
      <c r="AR356" s="468">
        <f ca="1">IF(Table_NFI[[#This Row],[Pcode]]="","",IF(OFFSET(CampList[Opening Date],MATCH(Table_NFI[[#This Row],[Pcode]],CampList[CP_Pcode],0)-1,0,1,1)&gt;=NFI_Monitor_Date,1,0))</f>
        <v>0</v>
      </c>
      <c r="AS356" s="473" t="str">
        <f>IFERROR(VLOOKUP(Table_NFI[[#This Row],[Camp Name]],CL,3,0),"")</f>
        <v>Open</v>
      </c>
      <c r="AT356" s="294" t="str">
        <f ca="1">IF(Table_NFI[[#This Row],[Pcode]]="","",OFFSET(CampList[Priority],MATCH(Table_NFI[[#This Row],[Pcode]],CampList[CP_Pcode],0)-1,0,1,1))</f>
        <v>P4</v>
      </c>
      <c r="AU356" s="293">
        <f>IFERROR(Table_NFI[[#This Row],[Kitchen Set]]/VLOOKUP(Table_NFI[[#This Row],[Camp Name]],CL,4,0),"")</f>
        <v>0</v>
      </c>
      <c r="AV356" s="466"/>
      <c r="AW356" s="469"/>
    </row>
    <row r="357" spans="1:49" s="470" customFormat="1" x14ac:dyDescent="0.25">
      <c r="A357" s="297">
        <f t="shared" si="5"/>
        <v>29.6</v>
      </c>
      <c r="B357" s="465">
        <v>41787</v>
      </c>
      <c r="C357" s="466" t="s">
        <v>1104</v>
      </c>
      <c r="D357" s="466" t="s">
        <v>900</v>
      </c>
      <c r="E357" s="466" t="s">
        <v>380</v>
      </c>
      <c r="F357" s="466" t="s">
        <v>237</v>
      </c>
      <c r="G357" s="466" t="s">
        <v>238</v>
      </c>
      <c r="H357" s="291"/>
      <c r="I357" s="291"/>
      <c r="J357" s="291"/>
      <c r="K357" s="291"/>
      <c r="L357" s="292"/>
      <c r="M357" s="292"/>
      <c r="N357" s="292"/>
      <c r="O357" s="292"/>
      <c r="P357" s="294"/>
      <c r="Q357" s="294"/>
      <c r="R357" s="294"/>
      <c r="S357" s="294"/>
      <c r="T357" s="294"/>
      <c r="U357" s="294">
        <v>120</v>
      </c>
      <c r="V357" s="431"/>
      <c r="W357" s="331"/>
      <c r="X357" s="331"/>
      <c r="Y357" s="294">
        <f>IF(NFI_Expiration=1,IF($A357&lt;VLOOKUP(H$5,NFI,5,0),1,0)*Table_NFI[[#This Row],[Hygiene Kit]],Table_NFI[Hygiene Kit])</f>
        <v>0</v>
      </c>
      <c r="Z357" s="294">
        <f>IF(NFI_Expiration=1,IF($A357&lt;VLOOKUP(I$5,NFI,5,0),1,0)*Table_NFI[[#This Row],[NFI Core Kit]],Table_NFI[NFI Core Kit])</f>
        <v>0</v>
      </c>
      <c r="AA357" s="294">
        <f>IF(NFI_Expiration=1,IF($A357&lt;VLOOKUP(J$5,NFI,5,0),1,0)*Table_NFI[[#This Row],[Sanitary Kit]],Table_NFI[Sanitary Kit])</f>
        <v>0</v>
      </c>
      <c r="AB357" s="294">
        <f>IF(NFI_Expiration=1,IF($A357&lt;VLOOKUP(K$5,NFI,5,0),1,0)*Table_NFI[[#This Row],[Mosquito net]],Table_NFI[Mosquito net])</f>
        <v>0</v>
      </c>
      <c r="AC357" s="294">
        <f>IF(NFI_Expiration=1,IF($A357&lt;VLOOKUP(L$5,NFI,5,0),1,0)*Table_NFI[[#This Row],[Tarpaulin]],Table_NFI[[#This Row],[Tarpaulin]])</f>
        <v>0</v>
      </c>
      <c r="AD357" s="294">
        <f>IF(NFI_Expiration=1,IF($A357&lt;VLOOKUP(M$5,NFI,5,0),1,0)*Table_NFI[[#This Row],[Blanket]],Table_NFI[[#This Row],[Blanket]])</f>
        <v>0</v>
      </c>
      <c r="AE357" s="294">
        <f>IF(NFI_Expiration=1,IF($A357&lt;VLOOKUP(N$5,NFI,5,0),1,0)*Table_NFI[[#This Row],[Kitchen Set]],Table_NFI[Kitchen Set])</f>
        <v>0</v>
      </c>
      <c r="AF357" s="294">
        <f>IF(NFI_Expiration=1,IF($A357&lt;VLOOKUP(O$5,NFI,5,0),1,0)*Table_NFI[[#This Row],[Clothes Kit]],Table_NFI[Clothes Kit])</f>
        <v>0</v>
      </c>
      <c r="AG357" s="294">
        <f>IF(NFI_Expiration=1,IF($A357&lt;VLOOKUP(P$5,NFI,5,0),1,0)*Table_NFI[[#This Row],[Plastic Bucket]],Table_NFI[Plastic Bucket])</f>
        <v>0</v>
      </c>
      <c r="AH357" s="294">
        <f>IF(NFI_Expiration=1,IF($A357&lt;VLOOKUP(Q$5,NFI,5,0),1,0)*Table_NFI[[#This Row],[Plastic Mat]],Table_NFI[Plastic Mat])*IF(Table_NFI[[#This Row],[Distribution Date]]&gt;"2014-04-01",1,2.5)</f>
        <v>0</v>
      </c>
      <c r="AI357" s="294">
        <f>IF(NFI_Expiration=1,IF($A357&lt;VLOOKUP(R$5,NFI,5,0),1,0)*Table_NFI[[#This Row],[Winter Clothes Adult]],Table_NFI[Winter Clothes Adult])</f>
        <v>0</v>
      </c>
      <c r="AJ357" s="294">
        <f>IF(NFI_Expiration=1,IF($A357&lt;VLOOKUP(S$5,NFI,5,0),1,0)*Table_NFI[[#This Row],[Winter Clothes Children]],Table_NFI[Winter Clothes Children])</f>
        <v>0</v>
      </c>
      <c r="AK357" s="294">
        <f>IF(NFI_Expiration=1,IF($A357&lt;VLOOKUP(T$5,NFI,5,0),1,0)*Table_NFI[[#This Row],[Winter Items Other]],Table_NFI[Winter Items Other])</f>
        <v>0</v>
      </c>
      <c r="AL357" s="294">
        <f>IF(NFI_Expiration=1,IF($A357&lt;VLOOKUP(M$5,NFI,5,0),1,0)*Table_NFI[[#This Row],[Winter Blanket]],Table_NFI[[#This Row],[Winter Blanket]])</f>
        <v>0</v>
      </c>
      <c r="AM357" s="294">
        <f>IF(Table_NFI[[#This Row],[Winter Clothes Adult]]+Table_NFI[[#This Row],[Winter Clothes Children]]+Table_NFI[[#This Row],[Winter Items Other]]+Table_NFI[[#This Row],[Winter Blanket]]&gt;0,1,0)</f>
        <v>1</v>
      </c>
      <c r="AN357" s="331">
        <f>IF(NFI_Expiration=1,IF($A357&lt;VLOOKUP(V$5,NFI,5,0),1,0)*Table_NFI[[#This Row],[Jerry Can]],Table_NFI[Jerry Can])</f>
        <v>0</v>
      </c>
      <c r="AO357" s="331">
        <f>IF(NFI_Expiration=1,IF($A357&lt;VLOOKUP(V$5,NFI,5,0),1,0)*Table_NFI[[#This Row],[Shelter Tool kit]],Table_NFI[Shelter Tool kit])</f>
        <v>0</v>
      </c>
      <c r="AP357" s="331">
        <f>IF(NFI_Expiration=1,IF($A357&lt;VLOOKUP(V$5,NFI,5,0),1,0)*Table_NFI[[#This Row],[Tent]],Table_NFI[Tent])</f>
        <v>0</v>
      </c>
      <c r="AQ357" s="473" t="str">
        <f>IFERROR(VLOOKUP(Table_NFI[[#This Row],[Camp Name]],CL,2,0),"")</f>
        <v>MMR001CMP001</v>
      </c>
      <c r="AR357" s="468">
        <f ca="1">IF(Table_NFI[[#This Row],[Pcode]]="","",IF(OFFSET(CampList[Opening Date],MATCH(Table_NFI[[#This Row],[Pcode]],CampList[CP_Pcode],0)-1,0,1,1)&gt;=NFI_Monitor_Date,1,0))</f>
        <v>0</v>
      </c>
      <c r="AS357" s="473" t="str">
        <f>IFERROR(VLOOKUP(Table_NFI[[#This Row],[Camp Name]],CL,3,0),"")</f>
        <v>Open</v>
      </c>
      <c r="AT357" s="294" t="str">
        <f ca="1">IF(Table_NFI[[#This Row],[Pcode]]="","",OFFSET(CampList[Priority],MATCH(Table_NFI[[#This Row],[Pcode]],CampList[CP_Pcode],0)-1,0,1,1))</f>
        <v>P4</v>
      </c>
      <c r="AU357" s="293">
        <f>IFERROR(Table_NFI[[#This Row],[Kitchen Set]]/VLOOKUP(Table_NFI[[#This Row],[Camp Name]],CL,4,0),"")</f>
        <v>0</v>
      </c>
      <c r="AV357" s="466"/>
      <c r="AW357" s="469"/>
    </row>
    <row r="358" spans="1:49" s="470" customFormat="1" x14ac:dyDescent="0.25">
      <c r="A358" s="297">
        <f t="shared" si="5"/>
        <v>29.6</v>
      </c>
      <c r="B358" s="465">
        <v>41787</v>
      </c>
      <c r="C358" s="466" t="s">
        <v>1104</v>
      </c>
      <c r="D358" s="466" t="s">
        <v>900</v>
      </c>
      <c r="E358" s="466" t="s">
        <v>380</v>
      </c>
      <c r="F358" s="466" t="s">
        <v>237</v>
      </c>
      <c r="G358" s="466" t="s">
        <v>1244</v>
      </c>
      <c r="H358" s="291"/>
      <c r="I358" s="291"/>
      <c r="J358" s="291"/>
      <c r="K358" s="291"/>
      <c r="L358" s="292"/>
      <c r="M358" s="292"/>
      <c r="N358" s="292"/>
      <c r="O358" s="292"/>
      <c r="P358" s="294"/>
      <c r="Q358" s="294"/>
      <c r="R358" s="294"/>
      <c r="S358" s="294"/>
      <c r="T358" s="294"/>
      <c r="U358" s="294">
        <v>138</v>
      </c>
      <c r="V358" s="431"/>
      <c r="W358" s="331"/>
      <c r="X358" s="331"/>
      <c r="Y358" s="294">
        <f>IF(NFI_Expiration=1,IF($A358&lt;VLOOKUP(H$5,NFI,5,0),1,0)*Table_NFI[[#This Row],[Hygiene Kit]],Table_NFI[Hygiene Kit])</f>
        <v>0</v>
      </c>
      <c r="Z358" s="294">
        <f>IF(NFI_Expiration=1,IF($A358&lt;VLOOKUP(I$5,NFI,5,0),1,0)*Table_NFI[[#This Row],[NFI Core Kit]],Table_NFI[NFI Core Kit])</f>
        <v>0</v>
      </c>
      <c r="AA358" s="294">
        <f>IF(NFI_Expiration=1,IF($A358&lt;VLOOKUP(J$5,NFI,5,0),1,0)*Table_NFI[[#This Row],[Sanitary Kit]],Table_NFI[Sanitary Kit])</f>
        <v>0</v>
      </c>
      <c r="AB358" s="294">
        <f>IF(NFI_Expiration=1,IF($A358&lt;VLOOKUP(K$5,NFI,5,0),1,0)*Table_NFI[[#This Row],[Mosquito net]],Table_NFI[Mosquito net])</f>
        <v>0</v>
      </c>
      <c r="AC358" s="294">
        <f>IF(NFI_Expiration=1,IF($A358&lt;VLOOKUP(L$5,NFI,5,0),1,0)*Table_NFI[[#This Row],[Tarpaulin]],Table_NFI[[#This Row],[Tarpaulin]])</f>
        <v>0</v>
      </c>
      <c r="AD358" s="294">
        <f>IF(NFI_Expiration=1,IF($A358&lt;VLOOKUP(M$5,NFI,5,0),1,0)*Table_NFI[[#This Row],[Blanket]],Table_NFI[[#This Row],[Blanket]])</f>
        <v>0</v>
      </c>
      <c r="AE358" s="294">
        <f>IF(NFI_Expiration=1,IF($A358&lt;VLOOKUP(N$5,NFI,5,0),1,0)*Table_NFI[[#This Row],[Kitchen Set]],Table_NFI[Kitchen Set])</f>
        <v>0</v>
      </c>
      <c r="AF358" s="294">
        <f>IF(NFI_Expiration=1,IF($A358&lt;VLOOKUP(O$5,NFI,5,0),1,0)*Table_NFI[[#This Row],[Clothes Kit]],Table_NFI[Clothes Kit])</f>
        <v>0</v>
      </c>
      <c r="AG358" s="294">
        <f>IF(NFI_Expiration=1,IF($A358&lt;VLOOKUP(P$5,NFI,5,0),1,0)*Table_NFI[[#This Row],[Plastic Bucket]],Table_NFI[Plastic Bucket])</f>
        <v>0</v>
      </c>
      <c r="AH358" s="294">
        <f>IF(NFI_Expiration=1,IF($A358&lt;VLOOKUP(Q$5,NFI,5,0),1,0)*Table_NFI[[#This Row],[Plastic Mat]],Table_NFI[Plastic Mat])*IF(Table_NFI[[#This Row],[Distribution Date]]&gt;"2014-04-01",1,2.5)</f>
        <v>0</v>
      </c>
      <c r="AI358" s="294">
        <f>IF(NFI_Expiration=1,IF($A358&lt;VLOOKUP(R$5,NFI,5,0),1,0)*Table_NFI[[#This Row],[Winter Clothes Adult]],Table_NFI[Winter Clothes Adult])</f>
        <v>0</v>
      </c>
      <c r="AJ358" s="294">
        <f>IF(NFI_Expiration=1,IF($A358&lt;VLOOKUP(S$5,NFI,5,0),1,0)*Table_NFI[[#This Row],[Winter Clothes Children]],Table_NFI[Winter Clothes Children])</f>
        <v>0</v>
      </c>
      <c r="AK358" s="294">
        <f>IF(NFI_Expiration=1,IF($A358&lt;VLOOKUP(T$5,NFI,5,0),1,0)*Table_NFI[[#This Row],[Winter Items Other]],Table_NFI[Winter Items Other])</f>
        <v>0</v>
      </c>
      <c r="AL358" s="294">
        <f>IF(NFI_Expiration=1,IF($A358&lt;VLOOKUP(M$5,NFI,5,0),1,0)*Table_NFI[[#This Row],[Winter Blanket]],Table_NFI[[#This Row],[Winter Blanket]])</f>
        <v>0</v>
      </c>
      <c r="AM358" s="294">
        <f>IF(Table_NFI[[#This Row],[Winter Clothes Adult]]+Table_NFI[[#This Row],[Winter Clothes Children]]+Table_NFI[[#This Row],[Winter Items Other]]+Table_NFI[[#This Row],[Winter Blanket]]&gt;0,1,0)</f>
        <v>1</v>
      </c>
      <c r="AN358" s="331">
        <f>IF(NFI_Expiration=1,IF($A358&lt;VLOOKUP(V$5,NFI,5,0),1,0)*Table_NFI[[#This Row],[Jerry Can]],Table_NFI[Jerry Can])</f>
        <v>0</v>
      </c>
      <c r="AO358" s="331">
        <f>IF(NFI_Expiration=1,IF($A358&lt;VLOOKUP(V$5,NFI,5,0),1,0)*Table_NFI[[#This Row],[Shelter Tool kit]],Table_NFI[Shelter Tool kit])</f>
        <v>0</v>
      </c>
      <c r="AP358" s="331">
        <f>IF(NFI_Expiration=1,IF($A358&lt;VLOOKUP(V$5,NFI,5,0),1,0)*Table_NFI[[#This Row],[Tent]],Table_NFI[Tent])</f>
        <v>0</v>
      </c>
      <c r="AQ358" s="473" t="str">
        <f>IFERROR(VLOOKUP(Table_NFI[[#This Row],[Camp Name]],CL,2,0),"")</f>
        <v>MMR001CMP023</v>
      </c>
      <c r="AR358" s="468">
        <f ca="1">IF(Table_NFI[[#This Row],[Pcode]]="","",IF(OFFSET(CampList[Opening Date],MATCH(Table_NFI[[#This Row],[Pcode]],CampList[CP_Pcode],0)-1,0,1,1)&gt;=NFI_Monitor_Date,1,0))</f>
        <v>0</v>
      </c>
      <c r="AS358" s="473" t="str">
        <f>IFERROR(VLOOKUP(Table_NFI[[#This Row],[Camp Name]],CL,3,0),"")</f>
        <v>Open</v>
      </c>
      <c r="AT358" s="294" t="str">
        <f ca="1">IF(Table_NFI[[#This Row],[Pcode]]="","",OFFSET(CampList[Priority],MATCH(Table_NFI[[#This Row],[Pcode]],CampList[CP_Pcode],0)-1,0,1,1))</f>
        <v>P4</v>
      </c>
      <c r="AU358" s="293">
        <f>IFERROR(Table_NFI[[#This Row],[Kitchen Set]]/VLOOKUP(Table_NFI[[#This Row],[Camp Name]],CL,4,0),"")</f>
        <v>0</v>
      </c>
      <c r="AV358" s="466"/>
      <c r="AW358" s="469"/>
    </row>
    <row r="359" spans="1:49" s="470" customFormat="1" x14ac:dyDescent="0.25">
      <c r="A359" s="297">
        <f t="shared" si="5"/>
        <v>29.6</v>
      </c>
      <c r="B359" s="465">
        <v>41787</v>
      </c>
      <c r="C359" s="466" t="s">
        <v>1104</v>
      </c>
      <c r="D359" s="466" t="s">
        <v>900</v>
      </c>
      <c r="E359" s="466" t="s">
        <v>380</v>
      </c>
      <c r="F359" s="466" t="s">
        <v>237</v>
      </c>
      <c r="G359" s="466" t="s">
        <v>251</v>
      </c>
      <c r="H359" s="291"/>
      <c r="I359" s="291"/>
      <c r="J359" s="291"/>
      <c r="K359" s="291"/>
      <c r="L359" s="292"/>
      <c r="M359" s="292"/>
      <c r="N359" s="292"/>
      <c r="O359" s="292"/>
      <c r="P359" s="294"/>
      <c r="Q359" s="294"/>
      <c r="R359" s="294"/>
      <c r="S359" s="294"/>
      <c r="T359" s="294"/>
      <c r="U359" s="294">
        <v>58</v>
      </c>
      <c r="V359" s="431"/>
      <c r="W359" s="331"/>
      <c r="X359" s="331"/>
      <c r="Y359" s="294">
        <f>IF(NFI_Expiration=1,IF($A359&lt;VLOOKUP(H$5,NFI,5,0),1,0)*Table_NFI[[#This Row],[Hygiene Kit]],Table_NFI[Hygiene Kit])</f>
        <v>0</v>
      </c>
      <c r="Z359" s="294">
        <f>IF(NFI_Expiration=1,IF($A359&lt;VLOOKUP(I$5,NFI,5,0),1,0)*Table_NFI[[#This Row],[NFI Core Kit]],Table_NFI[NFI Core Kit])</f>
        <v>0</v>
      </c>
      <c r="AA359" s="294">
        <f>IF(NFI_Expiration=1,IF($A359&lt;VLOOKUP(J$5,NFI,5,0),1,0)*Table_NFI[[#This Row],[Sanitary Kit]],Table_NFI[Sanitary Kit])</f>
        <v>0</v>
      </c>
      <c r="AB359" s="294">
        <f>IF(NFI_Expiration=1,IF($A359&lt;VLOOKUP(K$5,NFI,5,0),1,0)*Table_NFI[[#This Row],[Mosquito net]],Table_NFI[Mosquito net])</f>
        <v>0</v>
      </c>
      <c r="AC359" s="294">
        <f>IF(NFI_Expiration=1,IF($A359&lt;VLOOKUP(L$5,NFI,5,0),1,0)*Table_NFI[[#This Row],[Tarpaulin]],Table_NFI[[#This Row],[Tarpaulin]])</f>
        <v>0</v>
      </c>
      <c r="AD359" s="294">
        <f>IF(NFI_Expiration=1,IF($A359&lt;VLOOKUP(M$5,NFI,5,0),1,0)*Table_NFI[[#This Row],[Blanket]],Table_NFI[[#This Row],[Blanket]])</f>
        <v>0</v>
      </c>
      <c r="AE359" s="294">
        <f>IF(NFI_Expiration=1,IF($A359&lt;VLOOKUP(N$5,NFI,5,0),1,0)*Table_NFI[[#This Row],[Kitchen Set]],Table_NFI[Kitchen Set])</f>
        <v>0</v>
      </c>
      <c r="AF359" s="294">
        <f>IF(NFI_Expiration=1,IF($A359&lt;VLOOKUP(O$5,NFI,5,0),1,0)*Table_NFI[[#This Row],[Clothes Kit]],Table_NFI[Clothes Kit])</f>
        <v>0</v>
      </c>
      <c r="AG359" s="294">
        <f>IF(NFI_Expiration=1,IF($A359&lt;VLOOKUP(P$5,NFI,5,0),1,0)*Table_NFI[[#This Row],[Plastic Bucket]],Table_NFI[Plastic Bucket])</f>
        <v>0</v>
      </c>
      <c r="AH359" s="294">
        <f>IF(NFI_Expiration=1,IF($A359&lt;VLOOKUP(Q$5,NFI,5,0),1,0)*Table_NFI[[#This Row],[Plastic Mat]],Table_NFI[Plastic Mat])*IF(Table_NFI[[#This Row],[Distribution Date]]&gt;"2014-04-01",1,2.5)</f>
        <v>0</v>
      </c>
      <c r="AI359" s="294">
        <f>IF(NFI_Expiration=1,IF($A359&lt;VLOOKUP(R$5,NFI,5,0),1,0)*Table_NFI[[#This Row],[Winter Clothes Adult]],Table_NFI[Winter Clothes Adult])</f>
        <v>0</v>
      </c>
      <c r="AJ359" s="294">
        <f>IF(NFI_Expiration=1,IF($A359&lt;VLOOKUP(S$5,NFI,5,0),1,0)*Table_NFI[[#This Row],[Winter Clothes Children]],Table_NFI[Winter Clothes Children])</f>
        <v>0</v>
      </c>
      <c r="AK359" s="294">
        <f>IF(NFI_Expiration=1,IF($A359&lt;VLOOKUP(T$5,NFI,5,0),1,0)*Table_NFI[[#This Row],[Winter Items Other]],Table_NFI[Winter Items Other])</f>
        <v>0</v>
      </c>
      <c r="AL359" s="294">
        <f>IF(NFI_Expiration=1,IF($A359&lt;VLOOKUP(M$5,NFI,5,0),1,0)*Table_NFI[[#This Row],[Winter Blanket]],Table_NFI[[#This Row],[Winter Blanket]])</f>
        <v>0</v>
      </c>
      <c r="AM359" s="294">
        <f>IF(Table_NFI[[#This Row],[Winter Clothes Adult]]+Table_NFI[[#This Row],[Winter Clothes Children]]+Table_NFI[[#This Row],[Winter Items Other]]+Table_NFI[[#This Row],[Winter Blanket]]&gt;0,1,0)</f>
        <v>1</v>
      </c>
      <c r="AN359" s="331">
        <f>IF(NFI_Expiration=1,IF($A359&lt;VLOOKUP(V$5,NFI,5,0),1,0)*Table_NFI[[#This Row],[Jerry Can]],Table_NFI[Jerry Can])</f>
        <v>0</v>
      </c>
      <c r="AO359" s="331">
        <f>IF(NFI_Expiration=1,IF($A359&lt;VLOOKUP(V$5,NFI,5,0),1,0)*Table_NFI[[#This Row],[Shelter Tool kit]],Table_NFI[Shelter Tool kit])</f>
        <v>0</v>
      </c>
      <c r="AP359" s="331">
        <f>IF(NFI_Expiration=1,IF($A359&lt;VLOOKUP(V$5,NFI,5,0),1,0)*Table_NFI[[#This Row],[Tent]],Table_NFI[Tent])</f>
        <v>0</v>
      </c>
      <c r="AQ359" s="473" t="str">
        <f>IFERROR(VLOOKUP(Table_NFI[[#This Row],[Camp Name]],CL,2,0),"")</f>
        <v>MMR001CMP003</v>
      </c>
      <c r="AR359" s="468">
        <f ca="1">IF(Table_NFI[[#This Row],[Pcode]]="","",IF(OFFSET(CampList[Opening Date],MATCH(Table_NFI[[#This Row],[Pcode]],CampList[CP_Pcode],0)-1,0,1,1)&gt;=NFI_Monitor_Date,1,0))</f>
        <v>0</v>
      </c>
      <c r="AS359" s="473" t="str">
        <f>IFERROR(VLOOKUP(Table_NFI[[#This Row],[Camp Name]],CL,3,0),"")</f>
        <v>Open</v>
      </c>
      <c r="AT359" s="294" t="str">
        <f ca="1">IF(Table_NFI[[#This Row],[Pcode]]="","",OFFSET(CampList[Priority],MATCH(Table_NFI[[#This Row],[Pcode]],CampList[CP_Pcode],0)-1,0,1,1))</f>
        <v>P4</v>
      </c>
      <c r="AU359" s="293">
        <f>IFERROR(Table_NFI[[#This Row],[Kitchen Set]]/VLOOKUP(Table_NFI[[#This Row],[Camp Name]],CL,4,0),"")</f>
        <v>0</v>
      </c>
      <c r="AV359" s="466"/>
      <c r="AW359" s="469"/>
    </row>
    <row r="360" spans="1:49" s="470" customFormat="1" x14ac:dyDescent="0.25">
      <c r="A360" s="297">
        <f t="shared" si="5"/>
        <v>29.633333333333333</v>
      </c>
      <c r="B360" s="465">
        <v>41786</v>
      </c>
      <c r="C360" s="466" t="s">
        <v>452</v>
      </c>
      <c r="D360" s="466" t="s">
        <v>505</v>
      </c>
      <c r="E360" s="466" t="s">
        <v>380</v>
      </c>
      <c r="F360" s="466" t="s">
        <v>27</v>
      </c>
      <c r="G360" s="466" t="s">
        <v>28</v>
      </c>
      <c r="H360" s="291"/>
      <c r="I360" s="291"/>
      <c r="J360" s="291">
        <v>36</v>
      </c>
      <c r="K360" s="291">
        <v>18</v>
      </c>
      <c r="L360" s="292">
        <v>36</v>
      </c>
      <c r="M360" s="292">
        <v>18</v>
      </c>
      <c r="N360" s="292"/>
      <c r="O360" s="292">
        <v>18</v>
      </c>
      <c r="P360" s="294">
        <v>90</v>
      </c>
      <c r="Q360" s="294"/>
      <c r="R360" s="294"/>
      <c r="S360" s="294"/>
      <c r="T360" s="294"/>
      <c r="U360" s="294"/>
      <c r="V360" s="431"/>
      <c r="W360" s="331"/>
      <c r="X360" s="331"/>
      <c r="Y360" s="294">
        <f>IF(NFI_Expiration=1,IF($A360&lt;VLOOKUP(H$5,NFI,5,0),1,0)*Table_NFI[[#This Row],[Hygiene Kit]],Table_NFI[Hygiene Kit])</f>
        <v>0</v>
      </c>
      <c r="Z360" s="294">
        <f>IF(NFI_Expiration=1,IF($A360&lt;VLOOKUP(I$5,NFI,5,0),1,0)*Table_NFI[[#This Row],[NFI Core Kit]],Table_NFI[NFI Core Kit])</f>
        <v>0</v>
      </c>
      <c r="AA360" s="294">
        <f>IF(NFI_Expiration=1,IF($A360&lt;VLOOKUP(J$5,NFI,5,0),1,0)*Table_NFI[[#This Row],[Sanitary Kit]],Table_NFI[Sanitary Kit])</f>
        <v>0</v>
      </c>
      <c r="AB360" s="294">
        <f>IF(NFI_Expiration=1,IF($A360&lt;VLOOKUP(K$5,NFI,5,0),1,0)*Table_NFI[[#This Row],[Mosquito net]],Table_NFI[Mosquito net])</f>
        <v>0</v>
      </c>
      <c r="AC360" s="294">
        <f>IF(NFI_Expiration=1,IF($A360&lt;VLOOKUP(L$5,NFI,5,0),1,0)*Table_NFI[[#This Row],[Tarpaulin]],Table_NFI[[#This Row],[Tarpaulin]])</f>
        <v>0</v>
      </c>
      <c r="AD360" s="294">
        <f>IF(NFI_Expiration=1,IF($A360&lt;VLOOKUP(M$5,NFI,5,0),1,0)*Table_NFI[[#This Row],[Blanket]],Table_NFI[[#This Row],[Blanket]])</f>
        <v>0</v>
      </c>
      <c r="AE360" s="294">
        <f>IF(NFI_Expiration=1,IF($A360&lt;VLOOKUP(N$5,NFI,5,0),1,0)*Table_NFI[[#This Row],[Kitchen Set]],Table_NFI[Kitchen Set])</f>
        <v>0</v>
      </c>
      <c r="AF360" s="294">
        <f>IF(NFI_Expiration=1,IF($A360&lt;VLOOKUP(O$5,NFI,5,0),1,0)*Table_NFI[[#This Row],[Clothes Kit]],Table_NFI[Clothes Kit])</f>
        <v>0</v>
      </c>
      <c r="AG360" s="294">
        <f>IF(NFI_Expiration=1,IF($A360&lt;VLOOKUP(P$5,NFI,5,0),1,0)*Table_NFI[[#This Row],[Plastic Bucket]],Table_NFI[Plastic Bucket])</f>
        <v>0</v>
      </c>
      <c r="AH360" s="294">
        <f>IF(NFI_Expiration=1,IF($A360&lt;VLOOKUP(Q$5,NFI,5,0),1,0)*Table_NFI[[#This Row],[Plastic Mat]],Table_NFI[Plastic Mat])*IF(Table_NFI[[#This Row],[Distribution Date]]&gt;"2014-04-01",1,2.5)</f>
        <v>0</v>
      </c>
      <c r="AI360" s="294">
        <f>IF(NFI_Expiration=1,IF($A360&lt;VLOOKUP(R$5,NFI,5,0),1,0)*Table_NFI[[#This Row],[Winter Clothes Adult]],Table_NFI[Winter Clothes Adult])</f>
        <v>0</v>
      </c>
      <c r="AJ360" s="294">
        <f>IF(NFI_Expiration=1,IF($A360&lt;VLOOKUP(S$5,NFI,5,0),1,0)*Table_NFI[[#This Row],[Winter Clothes Children]],Table_NFI[Winter Clothes Children])</f>
        <v>0</v>
      </c>
      <c r="AK360" s="294">
        <f>IF(NFI_Expiration=1,IF($A360&lt;VLOOKUP(T$5,NFI,5,0),1,0)*Table_NFI[[#This Row],[Winter Items Other]],Table_NFI[Winter Items Other])</f>
        <v>0</v>
      </c>
      <c r="AL360" s="294">
        <f>IF(NFI_Expiration=1,IF($A360&lt;VLOOKUP(M$5,NFI,5,0),1,0)*Table_NFI[[#This Row],[Winter Blanket]],Table_NFI[[#This Row],[Winter Blanket]])</f>
        <v>0</v>
      </c>
      <c r="AM360" s="294">
        <f>IF(Table_NFI[[#This Row],[Winter Clothes Adult]]+Table_NFI[[#This Row],[Winter Clothes Children]]+Table_NFI[[#This Row],[Winter Items Other]]+Table_NFI[[#This Row],[Winter Blanket]]&gt;0,1,0)</f>
        <v>0</v>
      </c>
      <c r="AN360" s="331">
        <f>IF(NFI_Expiration=1,IF($A360&lt;VLOOKUP(V$5,NFI,5,0),1,0)*Table_NFI[[#This Row],[Jerry Can]],Table_NFI[Jerry Can])</f>
        <v>0</v>
      </c>
      <c r="AO360" s="331">
        <f>IF(NFI_Expiration=1,IF($A360&lt;VLOOKUP(V$5,NFI,5,0),1,0)*Table_NFI[[#This Row],[Shelter Tool kit]],Table_NFI[Shelter Tool kit])</f>
        <v>0</v>
      </c>
      <c r="AP360" s="331">
        <f>IF(NFI_Expiration=1,IF($A360&lt;VLOOKUP(V$5,NFI,5,0),1,0)*Table_NFI[[#This Row],[Tent]],Table_NFI[Tent])</f>
        <v>0</v>
      </c>
      <c r="AQ360" s="473" t="str">
        <f>IFERROR(VLOOKUP(Table_NFI[[#This Row],[Camp Name]],CL,2,0),"")</f>
        <v>MMR001CMP042</v>
      </c>
      <c r="AR360" s="468">
        <f ca="1">IF(Table_NFI[[#This Row],[Pcode]]="","",IF(OFFSET(CampList[Opening Date],MATCH(Table_NFI[[#This Row],[Pcode]],CampList[CP_Pcode],0)-1,0,1,1)&gt;=NFI_Monitor_Date,1,0))</f>
        <v>0</v>
      </c>
      <c r="AS360" s="473" t="str">
        <f>IFERROR(VLOOKUP(Table_NFI[[#This Row],[Camp Name]],CL,3,0),"")</f>
        <v>Open</v>
      </c>
      <c r="AT360" s="294" t="str">
        <f ca="1">IF(Table_NFI[[#This Row],[Pcode]]="","",OFFSET(CampList[Priority],MATCH(Table_NFI[[#This Row],[Pcode]],CampList[CP_Pcode],0)-1,0,1,1))</f>
        <v>P1</v>
      </c>
      <c r="AU360" s="293">
        <f>IFERROR(Table_NFI[[#This Row],[Kitchen Set]]/VLOOKUP(Table_NFI[[#This Row],[Camp Name]],CL,4,0),"")</f>
        <v>0</v>
      </c>
      <c r="AV360" s="466"/>
      <c r="AW360" s="469"/>
    </row>
    <row r="361" spans="1:49" s="470" customFormat="1" x14ac:dyDescent="0.25">
      <c r="A361" s="297">
        <f t="shared" si="5"/>
        <v>29.633333333333333</v>
      </c>
      <c r="B361" s="465">
        <v>41786</v>
      </c>
      <c r="C361" s="466" t="s">
        <v>452</v>
      </c>
      <c r="D361" s="466" t="s">
        <v>505</v>
      </c>
      <c r="E361" s="466" t="s">
        <v>380</v>
      </c>
      <c r="F361" s="466" t="s">
        <v>310</v>
      </c>
      <c r="G361" s="466" t="s">
        <v>313</v>
      </c>
      <c r="H361" s="291"/>
      <c r="I361" s="291"/>
      <c r="J361" s="291">
        <v>2</v>
      </c>
      <c r="K361" s="291">
        <v>1</v>
      </c>
      <c r="L361" s="292">
        <v>2</v>
      </c>
      <c r="M361" s="292">
        <v>1</v>
      </c>
      <c r="N361" s="292"/>
      <c r="O361" s="292">
        <v>1</v>
      </c>
      <c r="P361" s="294">
        <v>5</v>
      </c>
      <c r="Q361" s="294"/>
      <c r="R361" s="294"/>
      <c r="S361" s="294"/>
      <c r="T361" s="294"/>
      <c r="U361" s="294"/>
      <c r="V361" s="431"/>
      <c r="W361" s="331"/>
      <c r="X361" s="331"/>
      <c r="Y361" s="294">
        <f>IF(NFI_Expiration=1,IF($A361&lt;VLOOKUP(H$5,NFI,5,0),1,0)*Table_NFI[[#This Row],[Hygiene Kit]],Table_NFI[Hygiene Kit])</f>
        <v>0</v>
      </c>
      <c r="Z361" s="294">
        <f>IF(NFI_Expiration=1,IF($A361&lt;VLOOKUP(I$5,NFI,5,0),1,0)*Table_NFI[[#This Row],[NFI Core Kit]],Table_NFI[NFI Core Kit])</f>
        <v>0</v>
      </c>
      <c r="AA361" s="294">
        <f>IF(NFI_Expiration=1,IF($A361&lt;VLOOKUP(J$5,NFI,5,0),1,0)*Table_NFI[[#This Row],[Sanitary Kit]],Table_NFI[Sanitary Kit])</f>
        <v>0</v>
      </c>
      <c r="AB361" s="294">
        <f>IF(NFI_Expiration=1,IF($A361&lt;VLOOKUP(K$5,NFI,5,0),1,0)*Table_NFI[[#This Row],[Mosquito net]],Table_NFI[Mosquito net])</f>
        <v>0</v>
      </c>
      <c r="AC361" s="294">
        <f>IF(NFI_Expiration=1,IF($A361&lt;VLOOKUP(L$5,NFI,5,0),1,0)*Table_NFI[[#This Row],[Tarpaulin]],Table_NFI[[#This Row],[Tarpaulin]])</f>
        <v>0</v>
      </c>
      <c r="AD361" s="294">
        <f>IF(NFI_Expiration=1,IF($A361&lt;VLOOKUP(M$5,NFI,5,0),1,0)*Table_NFI[[#This Row],[Blanket]],Table_NFI[[#This Row],[Blanket]])</f>
        <v>0</v>
      </c>
      <c r="AE361" s="294">
        <f>IF(NFI_Expiration=1,IF($A361&lt;VLOOKUP(N$5,NFI,5,0),1,0)*Table_NFI[[#This Row],[Kitchen Set]],Table_NFI[Kitchen Set])</f>
        <v>0</v>
      </c>
      <c r="AF361" s="294">
        <f>IF(NFI_Expiration=1,IF($A361&lt;VLOOKUP(O$5,NFI,5,0),1,0)*Table_NFI[[#This Row],[Clothes Kit]],Table_NFI[Clothes Kit])</f>
        <v>0</v>
      </c>
      <c r="AG361" s="294">
        <f>IF(NFI_Expiration=1,IF($A361&lt;VLOOKUP(P$5,NFI,5,0),1,0)*Table_NFI[[#This Row],[Plastic Bucket]],Table_NFI[Plastic Bucket])</f>
        <v>0</v>
      </c>
      <c r="AH361" s="294">
        <f>IF(NFI_Expiration=1,IF($A361&lt;VLOOKUP(Q$5,NFI,5,0),1,0)*Table_NFI[[#This Row],[Plastic Mat]],Table_NFI[Plastic Mat])*IF(Table_NFI[[#This Row],[Distribution Date]]&gt;"2014-04-01",1,2.5)</f>
        <v>0</v>
      </c>
      <c r="AI361" s="294">
        <f>IF(NFI_Expiration=1,IF($A361&lt;VLOOKUP(R$5,NFI,5,0),1,0)*Table_NFI[[#This Row],[Winter Clothes Adult]],Table_NFI[Winter Clothes Adult])</f>
        <v>0</v>
      </c>
      <c r="AJ361" s="294">
        <f>IF(NFI_Expiration=1,IF($A361&lt;VLOOKUP(S$5,NFI,5,0),1,0)*Table_NFI[[#This Row],[Winter Clothes Children]],Table_NFI[Winter Clothes Children])</f>
        <v>0</v>
      </c>
      <c r="AK361" s="294">
        <f>IF(NFI_Expiration=1,IF($A361&lt;VLOOKUP(T$5,NFI,5,0),1,0)*Table_NFI[[#This Row],[Winter Items Other]],Table_NFI[Winter Items Other])</f>
        <v>0</v>
      </c>
      <c r="AL361" s="294">
        <f>IF(NFI_Expiration=1,IF($A361&lt;VLOOKUP(M$5,NFI,5,0),1,0)*Table_NFI[[#This Row],[Winter Blanket]],Table_NFI[[#This Row],[Winter Blanket]])</f>
        <v>0</v>
      </c>
      <c r="AM361" s="294">
        <f>IF(Table_NFI[[#This Row],[Winter Clothes Adult]]+Table_NFI[[#This Row],[Winter Clothes Children]]+Table_NFI[[#This Row],[Winter Items Other]]+Table_NFI[[#This Row],[Winter Blanket]]&gt;0,1,0)</f>
        <v>0</v>
      </c>
      <c r="AN361" s="331">
        <f>IF(NFI_Expiration=1,IF($A361&lt;VLOOKUP(V$5,NFI,5,0),1,0)*Table_NFI[[#This Row],[Jerry Can]],Table_NFI[Jerry Can])</f>
        <v>0</v>
      </c>
      <c r="AO361" s="331">
        <f>IF(NFI_Expiration=1,IF($A361&lt;VLOOKUP(V$5,NFI,5,0),1,0)*Table_NFI[[#This Row],[Shelter Tool kit]],Table_NFI[Shelter Tool kit])</f>
        <v>0</v>
      </c>
      <c r="AP361" s="331">
        <f>IF(NFI_Expiration=1,IF($A361&lt;VLOOKUP(V$5,NFI,5,0),1,0)*Table_NFI[[#This Row],[Tent]],Table_NFI[Tent])</f>
        <v>0</v>
      </c>
      <c r="AQ361" s="473" t="str">
        <f>IFERROR(VLOOKUP(Table_NFI[[#This Row],[Camp Name]],CL,2,0),"")</f>
        <v>MMR001CMP028</v>
      </c>
      <c r="AR361" s="468">
        <f ca="1">IF(Table_NFI[[#This Row],[Pcode]]="","",IF(OFFSET(CampList[Opening Date],MATCH(Table_NFI[[#This Row],[Pcode]],CampList[CP_Pcode],0)-1,0,1,1)&gt;=NFI_Monitor_Date,1,0))</f>
        <v>0</v>
      </c>
      <c r="AS361" s="473" t="str">
        <f>IFERROR(VLOOKUP(Table_NFI[[#This Row],[Camp Name]],CL,3,0),"")</f>
        <v>Open</v>
      </c>
      <c r="AT361" s="294" t="str">
        <f ca="1">IF(Table_NFI[[#This Row],[Pcode]]="","",OFFSET(CampList[Priority],MATCH(Table_NFI[[#This Row],[Pcode]],CampList[CP_Pcode],0)-1,0,1,1))</f>
        <v>P4</v>
      </c>
      <c r="AU361" s="293">
        <f>IFERROR(Table_NFI[[#This Row],[Kitchen Set]]/VLOOKUP(Table_NFI[[#This Row],[Camp Name]],CL,4,0),"")</f>
        <v>0</v>
      </c>
      <c r="AV361" s="466"/>
      <c r="AW361" s="469"/>
    </row>
    <row r="362" spans="1:49" s="470" customFormat="1" x14ac:dyDescent="0.25">
      <c r="A362" s="297">
        <f t="shared" si="5"/>
        <v>29.633333333333333</v>
      </c>
      <c r="B362" s="465">
        <v>41786</v>
      </c>
      <c r="C362" s="466" t="s">
        <v>452</v>
      </c>
      <c r="D362" s="466" t="s">
        <v>505</v>
      </c>
      <c r="E362" s="466" t="s">
        <v>380</v>
      </c>
      <c r="F362" s="466" t="s">
        <v>310</v>
      </c>
      <c r="G362" s="466" t="s">
        <v>328</v>
      </c>
      <c r="H362" s="291"/>
      <c r="I362" s="291"/>
      <c r="J362" s="291">
        <v>50</v>
      </c>
      <c r="K362" s="291">
        <v>25</v>
      </c>
      <c r="L362" s="292">
        <v>50</v>
      </c>
      <c r="M362" s="292">
        <v>25</v>
      </c>
      <c r="N362" s="292"/>
      <c r="O362" s="292">
        <v>25</v>
      </c>
      <c r="P362" s="294">
        <v>125</v>
      </c>
      <c r="Q362" s="294"/>
      <c r="R362" s="294"/>
      <c r="S362" s="294"/>
      <c r="T362" s="294"/>
      <c r="U362" s="294"/>
      <c r="V362" s="431"/>
      <c r="W362" s="331"/>
      <c r="X362" s="331"/>
      <c r="Y362" s="294">
        <f>IF(NFI_Expiration=1,IF($A362&lt;VLOOKUP(H$5,NFI,5,0),1,0)*Table_NFI[[#This Row],[Hygiene Kit]],Table_NFI[Hygiene Kit])</f>
        <v>0</v>
      </c>
      <c r="Z362" s="294">
        <f>IF(NFI_Expiration=1,IF($A362&lt;VLOOKUP(I$5,NFI,5,0),1,0)*Table_NFI[[#This Row],[NFI Core Kit]],Table_NFI[NFI Core Kit])</f>
        <v>0</v>
      </c>
      <c r="AA362" s="294">
        <f>IF(NFI_Expiration=1,IF($A362&lt;VLOOKUP(J$5,NFI,5,0),1,0)*Table_NFI[[#This Row],[Sanitary Kit]],Table_NFI[Sanitary Kit])</f>
        <v>0</v>
      </c>
      <c r="AB362" s="294">
        <f>IF(NFI_Expiration=1,IF($A362&lt;VLOOKUP(K$5,NFI,5,0),1,0)*Table_NFI[[#This Row],[Mosquito net]],Table_NFI[Mosquito net])</f>
        <v>0</v>
      </c>
      <c r="AC362" s="294">
        <f>IF(NFI_Expiration=1,IF($A362&lt;VLOOKUP(L$5,NFI,5,0),1,0)*Table_NFI[[#This Row],[Tarpaulin]],Table_NFI[[#This Row],[Tarpaulin]])</f>
        <v>0</v>
      </c>
      <c r="AD362" s="294">
        <f>IF(NFI_Expiration=1,IF($A362&lt;VLOOKUP(M$5,NFI,5,0),1,0)*Table_NFI[[#This Row],[Blanket]],Table_NFI[[#This Row],[Blanket]])</f>
        <v>0</v>
      </c>
      <c r="AE362" s="294">
        <f>IF(NFI_Expiration=1,IF($A362&lt;VLOOKUP(N$5,NFI,5,0),1,0)*Table_NFI[[#This Row],[Kitchen Set]],Table_NFI[Kitchen Set])</f>
        <v>0</v>
      </c>
      <c r="AF362" s="294">
        <f>IF(NFI_Expiration=1,IF($A362&lt;VLOOKUP(O$5,NFI,5,0),1,0)*Table_NFI[[#This Row],[Clothes Kit]],Table_NFI[Clothes Kit])</f>
        <v>0</v>
      </c>
      <c r="AG362" s="294">
        <f>IF(NFI_Expiration=1,IF($A362&lt;VLOOKUP(P$5,NFI,5,0),1,0)*Table_NFI[[#This Row],[Plastic Bucket]],Table_NFI[Plastic Bucket])</f>
        <v>0</v>
      </c>
      <c r="AH362" s="294">
        <f>IF(NFI_Expiration=1,IF($A362&lt;VLOOKUP(Q$5,NFI,5,0),1,0)*Table_NFI[[#This Row],[Plastic Mat]],Table_NFI[Plastic Mat])*IF(Table_NFI[[#This Row],[Distribution Date]]&gt;"2014-04-01",1,2.5)</f>
        <v>0</v>
      </c>
      <c r="AI362" s="294">
        <f>IF(NFI_Expiration=1,IF($A362&lt;VLOOKUP(R$5,NFI,5,0),1,0)*Table_NFI[[#This Row],[Winter Clothes Adult]],Table_NFI[Winter Clothes Adult])</f>
        <v>0</v>
      </c>
      <c r="AJ362" s="294">
        <f>IF(NFI_Expiration=1,IF($A362&lt;VLOOKUP(S$5,NFI,5,0),1,0)*Table_NFI[[#This Row],[Winter Clothes Children]],Table_NFI[Winter Clothes Children])</f>
        <v>0</v>
      </c>
      <c r="AK362" s="294">
        <f>IF(NFI_Expiration=1,IF($A362&lt;VLOOKUP(T$5,NFI,5,0),1,0)*Table_NFI[[#This Row],[Winter Items Other]],Table_NFI[Winter Items Other])</f>
        <v>0</v>
      </c>
      <c r="AL362" s="294">
        <f>IF(NFI_Expiration=1,IF($A362&lt;VLOOKUP(M$5,NFI,5,0),1,0)*Table_NFI[[#This Row],[Winter Blanket]],Table_NFI[[#This Row],[Winter Blanket]])</f>
        <v>0</v>
      </c>
      <c r="AM362" s="294">
        <f>IF(Table_NFI[[#This Row],[Winter Clothes Adult]]+Table_NFI[[#This Row],[Winter Clothes Children]]+Table_NFI[[#This Row],[Winter Items Other]]+Table_NFI[[#This Row],[Winter Blanket]]&gt;0,1,0)</f>
        <v>0</v>
      </c>
      <c r="AN362" s="331">
        <f>IF(NFI_Expiration=1,IF($A362&lt;VLOOKUP(V$5,NFI,5,0),1,0)*Table_NFI[[#This Row],[Jerry Can]],Table_NFI[Jerry Can])</f>
        <v>0</v>
      </c>
      <c r="AO362" s="331">
        <f>IF(NFI_Expiration=1,IF($A362&lt;VLOOKUP(V$5,NFI,5,0),1,0)*Table_NFI[[#This Row],[Shelter Tool kit]],Table_NFI[Shelter Tool kit])</f>
        <v>0</v>
      </c>
      <c r="AP362" s="331">
        <f>IF(NFI_Expiration=1,IF($A362&lt;VLOOKUP(V$5,NFI,5,0),1,0)*Table_NFI[[#This Row],[Tent]],Table_NFI[Tent])</f>
        <v>0</v>
      </c>
      <c r="AQ362" s="473" t="str">
        <f>IFERROR(VLOOKUP(Table_NFI[[#This Row],[Camp Name]],CL,2,0),"")</f>
        <v>MMR001CMP031</v>
      </c>
      <c r="AR362" s="468">
        <f ca="1">IF(Table_NFI[[#This Row],[Pcode]]="","",IF(OFFSET(CampList[Opening Date],MATCH(Table_NFI[[#This Row],[Pcode]],CampList[CP_Pcode],0)-1,0,1,1)&gt;=NFI_Monitor_Date,1,0))</f>
        <v>0</v>
      </c>
      <c r="AS362" s="473" t="str">
        <f>IFERROR(VLOOKUP(Table_NFI[[#This Row],[Camp Name]],CL,3,0),"")</f>
        <v>Open</v>
      </c>
      <c r="AT362" s="294" t="str">
        <f ca="1">IF(Table_NFI[[#This Row],[Pcode]]="","",OFFSET(CampList[Priority],MATCH(Table_NFI[[#This Row],[Pcode]],CampList[CP_Pcode],0)-1,0,1,1))</f>
        <v>P4</v>
      </c>
      <c r="AU362" s="293">
        <f>IFERROR(Table_NFI[[#This Row],[Kitchen Set]]/VLOOKUP(Table_NFI[[#This Row],[Camp Name]],CL,4,0),"")</f>
        <v>0</v>
      </c>
      <c r="AV362" s="466"/>
      <c r="AW362" s="469"/>
    </row>
    <row r="363" spans="1:49" s="470" customFormat="1" x14ac:dyDescent="0.25">
      <c r="A363" s="297">
        <f t="shared" si="5"/>
        <v>29.633333333333333</v>
      </c>
      <c r="B363" s="465">
        <v>41786</v>
      </c>
      <c r="C363" s="466" t="s">
        <v>452</v>
      </c>
      <c r="D363" s="466" t="s">
        <v>505</v>
      </c>
      <c r="E363" s="466" t="s">
        <v>380</v>
      </c>
      <c r="F363" s="466" t="s">
        <v>237</v>
      </c>
      <c r="G363" s="466" t="s">
        <v>263</v>
      </c>
      <c r="H363" s="291"/>
      <c r="I363" s="291"/>
      <c r="J363" s="291">
        <v>12</v>
      </c>
      <c r="K363" s="291">
        <v>6</v>
      </c>
      <c r="L363" s="292">
        <v>12</v>
      </c>
      <c r="M363" s="292">
        <v>6</v>
      </c>
      <c r="N363" s="292"/>
      <c r="O363" s="292">
        <v>6</v>
      </c>
      <c r="P363" s="294">
        <v>30</v>
      </c>
      <c r="Q363" s="294"/>
      <c r="R363" s="294"/>
      <c r="S363" s="294"/>
      <c r="T363" s="294"/>
      <c r="U363" s="294"/>
      <c r="V363" s="431"/>
      <c r="W363" s="331"/>
      <c r="X363" s="331"/>
      <c r="Y363" s="294">
        <f>IF(NFI_Expiration=1,IF($A363&lt;VLOOKUP(H$5,NFI,5,0),1,0)*Table_NFI[[#This Row],[Hygiene Kit]],Table_NFI[Hygiene Kit])</f>
        <v>0</v>
      </c>
      <c r="Z363" s="294">
        <f>IF(NFI_Expiration=1,IF($A363&lt;VLOOKUP(I$5,NFI,5,0),1,0)*Table_NFI[[#This Row],[NFI Core Kit]],Table_NFI[NFI Core Kit])</f>
        <v>0</v>
      </c>
      <c r="AA363" s="294">
        <f>IF(NFI_Expiration=1,IF($A363&lt;VLOOKUP(J$5,NFI,5,0),1,0)*Table_NFI[[#This Row],[Sanitary Kit]],Table_NFI[Sanitary Kit])</f>
        <v>0</v>
      </c>
      <c r="AB363" s="294">
        <f>IF(NFI_Expiration=1,IF($A363&lt;VLOOKUP(K$5,NFI,5,0),1,0)*Table_NFI[[#This Row],[Mosquito net]],Table_NFI[Mosquito net])</f>
        <v>0</v>
      </c>
      <c r="AC363" s="294">
        <f>IF(NFI_Expiration=1,IF($A363&lt;VLOOKUP(L$5,NFI,5,0),1,0)*Table_NFI[[#This Row],[Tarpaulin]],Table_NFI[[#This Row],[Tarpaulin]])</f>
        <v>0</v>
      </c>
      <c r="AD363" s="294">
        <f>IF(NFI_Expiration=1,IF($A363&lt;VLOOKUP(M$5,NFI,5,0),1,0)*Table_NFI[[#This Row],[Blanket]],Table_NFI[[#This Row],[Blanket]])</f>
        <v>0</v>
      </c>
      <c r="AE363" s="294">
        <f>IF(NFI_Expiration=1,IF($A363&lt;VLOOKUP(N$5,NFI,5,0),1,0)*Table_NFI[[#This Row],[Kitchen Set]],Table_NFI[Kitchen Set])</f>
        <v>0</v>
      </c>
      <c r="AF363" s="294">
        <f>IF(NFI_Expiration=1,IF($A363&lt;VLOOKUP(O$5,NFI,5,0),1,0)*Table_NFI[[#This Row],[Clothes Kit]],Table_NFI[Clothes Kit])</f>
        <v>0</v>
      </c>
      <c r="AG363" s="294">
        <f>IF(NFI_Expiration=1,IF($A363&lt;VLOOKUP(P$5,NFI,5,0),1,0)*Table_NFI[[#This Row],[Plastic Bucket]],Table_NFI[Plastic Bucket])</f>
        <v>0</v>
      </c>
      <c r="AH363" s="294">
        <f>IF(NFI_Expiration=1,IF($A363&lt;VLOOKUP(Q$5,NFI,5,0),1,0)*Table_NFI[[#This Row],[Plastic Mat]],Table_NFI[Plastic Mat])*IF(Table_NFI[[#This Row],[Distribution Date]]&gt;"2014-04-01",1,2.5)</f>
        <v>0</v>
      </c>
      <c r="AI363" s="294">
        <f>IF(NFI_Expiration=1,IF($A363&lt;VLOOKUP(R$5,NFI,5,0),1,0)*Table_NFI[[#This Row],[Winter Clothes Adult]],Table_NFI[Winter Clothes Adult])</f>
        <v>0</v>
      </c>
      <c r="AJ363" s="294">
        <f>IF(NFI_Expiration=1,IF($A363&lt;VLOOKUP(S$5,NFI,5,0),1,0)*Table_NFI[[#This Row],[Winter Clothes Children]],Table_NFI[Winter Clothes Children])</f>
        <v>0</v>
      </c>
      <c r="AK363" s="294">
        <f>IF(NFI_Expiration=1,IF($A363&lt;VLOOKUP(T$5,NFI,5,0),1,0)*Table_NFI[[#This Row],[Winter Items Other]],Table_NFI[Winter Items Other])</f>
        <v>0</v>
      </c>
      <c r="AL363" s="294">
        <f>IF(NFI_Expiration=1,IF($A363&lt;VLOOKUP(M$5,NFI,5,0),1,0)*Table_NFI[[#This Row],[Winter Blanket]],Table_NFI[[#This Row],[Winter Blanket]])</f>
        <v>0</v>
      </c>
      <c r="AM363" s="294">
        <f>IF(Table_NFI[[#This Row],[Winter Clothes Adult]]+Table_NFI[[#This Row],[Winter Clothes Children]]+Table_NFI[[#This Row],[Winter Items Other]]+Table_NFI[[#This Row],[Winter Blanket]]&gt;0,1,0)</f>
        <v>0</v>
      </c>
      <c r="AN363" s="331">
        <f>IF(NFI_Expiration=1,IF($A363&lt;VLOOKUP(V$5,NFI,5,0),1,0)*Table_NFI[[#This Row],[Jerry Can]],Table_NFI[Jerry Can])</f>
        <v>0</v>
      </c>
      <c r="AO363" s="331">
        <f>IF(NFI_Expiration=1,IF($A363&lt;VLOOKUP(V$5,NFI,5,0),1,0)*Table_NFI[[#This Row],[Shelter Tool kit]],Table_NFI[Shelter Tool kit])</f>
        <v>0</v>
      </c>
      <c r="AP363" s="331">
        <f>IF(NFI_Expiration=1,IF($A363&lt;VLOOKUP(V$5,NFI,5,0),1,0)*Table_NFI[[#This Row],[Tent]],Table_NFI[Tent])</f>
        <v>0</v>
      </c>
      <c r="AQ363" s="473" t="str">
        <f>IFERROR(VLOOKUP(Table_NFI[[#This Row],[Camp Name]],CL,2,0),"")</f>
        <v>MMR001CMP020</v>
      </c>
      <c r="AR363" s="468">
        <f ca="1">IF(Table_NFI[[#This Row],[Pcode]]="","",IF(OFFSET(CampList[Opening Date],MATCH(Table_NFI[[#This Row],[Pcode]],CampList[CP_Pcode],0)-1,0,1,1)&gt;=NFI_Monitor_Date,1,0))</f>
        <v>0</v>
      </c>
      <c r="AS363" s="473" t="str">
        <f>IFERROR(VLOOKUP(Table_NFI[[#This Row],[Camp Name]],CL,3,0),"")</f>
        <v>Open</v>
      </c>
      <c r="AT363" s="294" t="str">
        <f ca="1">IF(Table_NFI[[#This Row],[Pcode]]="","",OFFSET(CampList[Priority],MATCH(Table_NFI[[#This Row],[Pcode]],CampList[CP_Pcode],0)-1,0,1,1))</f>
        <v>P4</v>
      </c>
      <c r="AU363" s="293">
        <f>IFERROR(Table_NFI[[#This Row],[Kitchen Set]]/VLOOKUP(Table_NFI[[#This Row],[Camp Name]],CL,4,0),"")</f>
        <v>0</v>
      </c>
      <c r="AV363" s="466"/>
      <c r="AW363" s="469"/>
    </row>
    <row r="364" spans="1:49" s="470" customFormat="1" x14ac:dyDescent="0.25">
      <c r="A364" s="297">
        <f t="shared" si="5"/>
        <v>29.633333333333333</v>
      </c>
      <c r="B364" s="465">
        <v>41786</v>
      </c>
      <c r="C364" s="466" t="s">
        <v>452</v>
      </c>
      <c r="D364" s="466" t="s">
        <v>505</v>
      </c>
      <c r="E364" s="466" t="s">
        <v>380</v>
      </c>
      <c r="F364" s="466" t="s">
        <v>310</v>
      </c>
      <c r="G364" s="466" t="s">
        <v>351</v>
      </c>
      <c r="H364" s="291"/>
      <c r="I364" s="291"/>
      <c r="J364" s="291">
        <v>3</v>
      </c>
      <c r="K364" s="291">
        <v>3</v>
      </c>
      <c r="L364" s="292">
        <v>6</v>
      </c>
      <c r="M364" s="292">
        <v>3</v>
      </c>
      <c r="N364" s="292"/>
      <c r="O364" s="292">
        <v>3</v>
      </c>
      <c r="P364" s="294">
        <v>15</v>
      </c>
      <c r="Q364" s="294"/>
      <c r="R364" s="294"/>
      <c r="S364" s="294"/>
      <c r="T364" s="294"/>
      <c r="U364" s="294"/>
      <c r="V364" s="431"/>
      <c r="W364" s="331"/>
      <c r="X364" s="331"/>
      <c r="Y364" s="294">
        <f>IF(NFI_Expiration=1,IF($A364&lt;VLOOKUP(H$5,NFI,5,0),1,0)*Table_NFI[[#This Row],[Hygiene Kit]],Table_NFI[Hygiene Kit])</f>
        <v>0</v>
      </c>
      <c r="Z364" s="294">
        <f>IF(NFI_Expiration=1,IF($A364&lt;VLOOKUP(I$5,NFI,5,0),1,0)*Table_NFI[[#This Row],[NFI Core Kit]],Table_NFI[NFI Core Kit])</f>
        <v>0</v>
      </c>
      <c r="AA364" s="294">
        <f>IF(NFI_Expiration=1,IF($A364&lt;VLOOKUP(J$5,NFI,5,0),1,0)*Table_NFI[[#This Row],[Sanitary Kit]],Table_NFI[Sanitary Kit])</f>
        <v>0</v>
      </c>
      <c r="AB364" s="294">
        <f>IF(NFI_Expiration=1,IF($A364&lt;VLOOKUP(K$5,NFI,5,0),1,0)*Table_NFI[[#This Row],[Mosquito net]],Table_NFI[Mosquito net])</f>
        <v>0</v>
      </c>
      <c r="AC364" s="294">
        <f>IF(NFI_Expiration=1,IF($A364&lt;VLOOKUP(L$5,NFI,5,0),1,0)*Table_NFI[[#This Row],[Tarpaulin]],Table_NFI[[#This Row],[Tarpaulin]])</f>
        <v>0</v>
      </c>
      <c r="AD364" s="294">
        <f>IF(NFI_Expiration=1,IF($A364&lt;VLOOKUP(M$5,NFI,5,0),1,0)*Table_NFI[[#This Row],[Blanket]],Table_NFI[[#This Row],[Blanket]])</f>
        <v>0</v>
      </c>
      <c r="AE364" s="294">
        <f>IF(NFI_Expiration=1,IF($A364&lt;VLOOKUP(N$5,NFI,5,0),1,0)*Table_NFI[[#This Row],[Kitchen Set]],Table_NFI[Kitchen Set])</f>
        <v>0</v>
      </c>
      <c r="AF364" s="294">
        <f>IF(NFI_Expiration=1,IF($A364&lt;VLOOKUP(O$5,NFI,5,0),1,0)*Table_NFI[[#This Row],[Clothes Kit]],Table_NFI[Clothes Kit])</f>
        <v>0</v>
      </c>
      <c r="AG364" s="294">
        <f>IF(NFI_Expiration=1,IF($A364&lt;VLOOKUP(P$5,NFI,5,0),1,0)*Table_NFI[[#This Row],[Plastic Bucket]],Table_NFI[Plastic Bucket])</f>
        <v>0</v>
      </c>
      <c r="AH364" s="294">
        <f>IF(NFI_Expiration=1,IF($A364&lt;VLOOKUP(Q$5,NFI,5,0),1,0)*Table_NFI[[#This Row],[Plastic Mat]],Table_NFI[Plastic Mat])*IF(Table_NFI[[#This Row],[Distribution Date]]&gt;"2014-04-01",1,2.5)</f>
        <v>0</v>
      </c>
      <c r="AI364" s="294">
        <f>IF(NFI_Expiration=1,IF($A364&lt;VLOOKUP(R$5,NFI,5,0),1,0)*Table_NFI[[#This Row],[Winter Clothes Adult]],Table_NFI[Winter Clothes Adult])</f>
        <v>0</v>
      </c>
      <c r="AJ364" s="294">
        <f>IF(NFI_Expiration=1,IF($A364&lt;VLOOKUP(S$5,NFI,5,0),1,0)*Table_NFI[[#This Row],[Winter Clothes Children]],Table_NFI[Winter Clothes Children])</f>
        <v>0</v>
      </c>
      <c r="AK364" s="294">
        <f>IF(NFI_Expiration=1,IF($A364&lt;VLOOKUP(T$5,NFI,5,0),1,0)*Table_NFI[[#This Row],[Winter Items Other]],Table_NFI[Winter Items Other])</f>
        <v>0</v>
      </c>
      <c r="AL364" s="294">
        <f>IF(NFI_Expiration=1,IF($A364&lt;VLOOKUP(M$5,NFI,5,0),1,0)*Table_NFI[[#This Row],[Winter Blanket]],Table_NFI[[#This Row],[Winter Blanket]])</f>
        <v>0</v>
      </c>
      <c r="AM364" s="294">
        <f>IF(Table_NFI[[#This Row],[Winter Clothes Adult]]+Table_NFI[[#This Row],[Winter Clothes Children]]+Table_NFI[[#This Row],[Winter Items Other]]+Table_NFI[[#This Row],[Winter Blanket]]&gt;0,1,0)</f>
        <v>0</v>
      </c>
      <c r="AN364" s="331">
        <f>IF(NFI_Expiration=1,IF($A364&lt;VLOOKUP(V$5,NFI,5,0),1,0)*Table_NFI[[#This Row],[Jerry Can]],Table_NFI[Jerry Can])</f>
        <v>0</v>
      </c>
      <c r="AO364" s="331">
        <f>IF(NFI_Expiration=1,IF($A364&lt;VLOOKUP(V$5,NFI,5,0),1,0)*Table_NFI[[#This Row],[Shelter Tool kit]],Table_NFI[Shelter Tool kit])</f>
        <v>0</v>
      </c>
      <c r="AP364" s="331">
        <f>IF(NFI_Expiration=1,IF($A364&lt;VLOOKUP(V$5,NFI,5,0),1,0)*Table_NFI[[#This Row],[Tent]],Table_NFI[Tent])</f>
        <v>0</v>
      </c>
      <c r="AQ364" s="473" t="str">
        <f>IFERROR(VLOOKUP(Table_NFI[[#This Row],[Camp Name]],CL,2,0),"")</f>
        <v>MMR001CMP026</v>
      </c>
      <c r="AR364" s="468">
        <f ca="1">IF(Table_NFI[[#This Row],[Pcode]]="","",IF(OFFSET(CampList[Opening Date],MATCH(Table_NFI[[#This Row],[Pcode]],CampList[CP_Pcode],0)-1,0,1,1)&gt;=NFI_Monitor_Date,1,0))</f>
        <v>0</v>
      </c>
      <c r="AS364" s="473" t="str">
        <f>IFERROR(VLOOKUP(Table_NFI[[#This Row],[Camp Name]],CL,3,0),"")</f>
        <v>Open</v>
      </c>
      <c r="AT364" s="294" t="str">
        <f ca="1">IF(Table_NFI[[#This Row],[Pcode]]="","",OFFSET(CampList[Priority],MATCH(Table_NFI[[#This Row],[Pcode]],CampList[CP_Pcode],0)-1,0,1,1))</f>
        <v>P4</v>
      </c>
      <c r="AU364" s="293">
        <f>IFERROR(Table_NFI[[#This Row],[Kitchen Set]]/VLOOKUP(Table_NFI[[#This Row],[Camp Name]],CL,4,0),"")</f>
        <v>0</v>
      </c>
      <c r="AV364" s="466"/>
      <c r="AW364" s="469"/>
    </row>
    <row r="365" spans="1:49" s="470" customFormat="1" x14ac:dyDescent="0.25">
      <c r="A365" s="297">
        <f t="shared" si="5"/>
        <v>29.633333333333333</v>
      </c>
      <c r="B365" s="465">
        <v>41786</v>
      </c>
      <c r="C365" s="466" t="s">
        <v>452</v>
      </c>
      <c r="D365" s="466" t="s">
        <v>505</v>
      </c>
      <c r="E365" s="466" t="s">
        <v>380</v>
      </c>
      <c r="F365" s="466" t="s">
        <v>310</v>
      </c>
      <c r="G365" s="466" t="s">
        <v>349</v>
      </c>
      <c r="H365" s="291"/>
      <c r="I365" s="291"/>
      <c r="J365" s="291">
        <v>18</v>
      </c>
      <c r="K365" s="291">
        <v>9</v>
      </c>
      <c r="L365" s="292">
        <v>18</v>
      </c>
      <c r="M365" s="292">
        <v>9</v>
      </c>
      <c r="N365" s="292"/>
      <c r="O365" s="292">
        <v>9</v>
      </c>
      <c r="P365" s="294">
        <v>45</v>
      </c>
      <c r="Q365" s="294"/>
      <c r="R365" s="294"/>
      <c r="S365" s="294"/>
      <c r="T365" s="294"/>
      <c r="U365" s="294"/>
      <c r="V365" s="431"/>
      <c r="W365" s="331"/>
      <c r="X365" s="331"/>
      <c r="Y365" s="294">
        <f>IF(NFI_Expiration=1,IF($A365&lt;VLOOKUP(H$5,NFI,5,0),1,0)*Table_NFI[[#This Row],[Hygiene Kit]],Table_NFI[Hygiene Kit])</f>
        <v>0</v>
      </c>
      <c r="Z365" s="294">
        <f>IF(NFI_Expiration=1,IF($A365&lt;VLOOKUP(I$5,NFI,5,0),1,0)*Table_NFI[[#This Row],[NFI Core Kit]],Table_NFI[NFI Core Kit])</f>
        <v>0</v>
      </c>
      <c r="AA365" s="294">
        <f>IF(NFI_Expiration=1,IF($A365&lt;VLOOKUP(J$5,NFI,5,0),1,0)*Table_NFI[[#This Row],[Sanitary Kit]],Table_NFI[Sanitary Kit])</f>
        <v>0</v>
      </c>
      <c r="AB365" s="294">
        <f>IF(NFI_Expiration=1,IF($A365&lt;VLOOKUP(K$5,NFI,5,0),1,0)*Table_NFI[[#This Row],[Mosquito net]],Table_NFI[Mosquito net])</f>
        <v>0</v>
      </c>
      <c r="AC365" s="294">
        <f>IF(NFI_Expiration=1,IF($A365&lt;VLOOKUP(L$5,NFI,5,0),1,0)*Table_NFI[[#This Row],[Tarpaulin]],Table_NFI[[#This Row],[Tarpaulin]])</f>
        <v>0</v>
      </c>
      <c r="AD365" s="294">
        <f>IF(NFI_Expiration=1,IF($A365&lt;VLOOKUP(M$5,NFI,5,0),1,0)*Table_NFI[[#This Row],[Blanket]],Table_NFI[[#This Row],[Blanket]])</f>
        <v>0</v>
      </c>
      <c r="AE365" s="294">
        <f>IF(NFI_Expiration=1,IF($A365&lt;VLOOKUP(N$5,NFI,5,0),1,0)*Table_NFI[[#This Row],[Kitchen Set]],Table_NFI[Kitchen Set])</f>
        <v>0</v>
      </c>
      <c r="AF365" s="294">
        <f>IF(NFI_Expiration=1,IF($A365&lt;VLOOKUP(O$5,NFI,5,0),1,0)*Table_NFI[[#This Row],[Clothes Kit]],Table_NFI[Clothes Kit])</f>
        <v>0</v>
      </c>
      <c r="AG365" s="294">
        <f>IF(NFI_Expiration=1,IF($A365&lt;VLOOKUP(P$5,NFI,5,0),1,0)*Table_NFI[[#This Row],[Plastic Bucket]],Table_NFI[Plastic Bucket])</f>
        <v>0</v>
      </c>
      <c r="AH365" s="294">
        <f>IF(NFI_Expiration=1,IF($A365&lt;VLOOKUP(Q$5,NFI,5,0),1,0)*Table_NFI[[#This Row],[Plastic Mat]],Table_NFI[Plastic Mat])*IF(Table_NFI[[#This Row],[Distribution Date]]&gt;"2014-04-01",1,2.5)</f>
        <v>0</v>
      </c>
      <c r="AI365" s="294">
        <f>IF(NFI_Expiration=1,IF($A365&lt;VLOOKUP(R$5,NFI,5,0),1,0)*Table_NFI[[#This Row],[Winter Clothes Adult]],Table_NFI[Winter Clothes Adult])</f>
        <v>0</v>
      </c>
      <c r="AJ365" s="294">
        <f>IF(NFI_Expiration=1,IF($A365&lt;VLOOKUP(S$5,NFI,5,0),1,0)*Table_NFI[[#This Row],[Winter Clothes Children]],Table_NFI[Winter Clothes Children])</f>
        <v>0</v>
      </c>
      <c r="AK365" s="294">
        <f>IF(NFI_Expiration=1,IF($A365&lt;VLOOKUP(T$5,NFI,5,0),1,0)*Table_NFI[[#This Row],[Winter Items Other]],Table_NFI[Winter Items Other])</f>
        <v>0</v>
      </c>
      <c r="AL365" s="294">
        <f>IF(NFI_Expiration=1,IF($A365&lt;VLOOKUP(M$5,NFI,5,0),1,0)*Table_NFI[[#This Row],[Winter Blanket]],Table_NFI[[#This Row],[Winter Blanket]])</f>
        <v>0</v>
      </c>
      <c r="AM365" s="294">
        <f>IF(Table_NFI[[#This Row],[Winter Clothes Adult]]+Table_NFI[[#This Row],[Winter Clothes Children]]+Table_NFI[[#This Row],[Winter Items Other]]+Table_NFI[[#This Row],[Winter Blanket]]&gt;0,1,0)</f>
        <v>0</v>
      </c>
      <c r="AN365" s="331">
        <f>IF(NFI_Expiration=1,IF($A365&lt;VLOOKUP(V$5,NFI,5,0),1,0)*Table_NFI[[#This Row],[Jerry Can]],Table_NFI[Jerry Can])</f>
        <v>0</v>
      </c>
      <c r="AO365" s="331">
        <f>IF(NFI_Expiration=1,IF($A365&lt;VLOOKUP(V$5,NFI,5,0),1,0)*Table_NFI[[#This Row],[Shelter Tool kit]],Table_NFI[Shelter Tool kit])</f>
        <v>0</v>
      </c>
      <c r="AP365" s="331">
        <f>IF(NFI_Expiration=1,IF($A365&lt;VLOOKUP(V$5,NFI,5,0),1,0)*Table_NFI[[#This Row],[Tent]],Table_NFI[Tent])</f>
        <v>0</v>
      </c>
      <c r="AQ365" s="473" t="str">
        <f>IFERROR(VLOOKUP(Table_NFI[[#This Row],[Camp Name]],CL,2,0),"")</f>
        <v>MMR001CMP037</v>
      </c>
      <c r="AR365" s="468">
        <f ca="1">IF(Table_NFI[[#This Row],[Pcode]]="","",IF(OFFSET(CampList[Opening Date],MATCH(Table_NFI[[#This Row],[Pcode]],CampList[CP_Pcode],0)-1,0,1,1)&gt;=NFI_Monitor_Date,1,0))</f>
        <v>0</v>
      </c>
      <c r="AS365" s="473" t="str">
        <f>IFERROR(VLOOKUP(Table_NFI[[#This Row],[Camp Name]],CL,3,0),"")</f>
        <v>Open</v>
      </c>
      <c r="AT365" s="294" t="str">
        <f ca="1">IF(Table_NFI[[#This Row],[Pcode]]="","",OFFSET(CampList[Priority],MATCH(Table_NFI[[#This Row],[Pcode]],CampList[CP_Pcode],0)-1,0,1,1))</f>
        <v>P4</v>
      </c>
      <c r="AU365" s="293">
        <f>IFERROR(Table_NFI[[#This Row],[Kitchen Set]]/VLOOKUP(Table_NFI[[#This Row],[Camp Name]],CL,4,0),"")</f>
        <v>0</v>
      </c>
      <c r="AV365" s="466"/>
      <c r="AW365" s="469"/>
    </row>
    <row r="366" spans="1:49" s="470" customFormat="1" x14ac:dyDescent="0.25">
      <c r="A366" s="297">
        <f t="shared" si="5"/>
        <v>29.666666666666668</v>
      </c>
      <c r="B366" s="465">
        <v>41785</v>
      </c>
      <c r="C366" s="466" t="s">
        <v>1104</v>
      </c>
      <c r="D366" s="466" t="s">
        <v>900</v>
      </c>
      <c r="E366" s="466" t="s">
        <v>380</v>
      </c>
      <c r="F366" s="466" t="s">
        <v>310</v>
      </c>
      <c r="G366" s="466" t="s">
        <v>344</v>
      </c>
      <c r="H366" s="291"/>
      <c r="I366" s="291"/>
      <c r="J366" s="291"/>
      <c r="K366" s="291"/>
      <c r="L366" s="292"/>
      <c r="M366" s="292"/>
      <c r="N366" s="292"/>
      <c r="O366" s="292"/>
      <c r="P366" s="294"/>
      <c r="Q366" s="294"/>
      <c r="R366" s="294"/>
      <c r="S366" s="294"/>
      <c r="T366" s="294"/>
      <c r="U366" s="294">
        <v>36</v>
      </c>
      <c r="V366" s="431"/>
      <c r="W366" s="294"/>
      <c r="X366" s="294"/>
      <c r="Y366" s="294">
        <f>IF(NFI_Expiration=1,IF($A366&lt;VLOOKUP(H$5,NFI,5,0),1,0)*Table_NFI[[#This Row],[Hygiene Kit]],Table_NFI[Hygiene Kit])</f>
        <v>0</v>
      </c>
      <c r="Z366" s="294">
        <f>IF(NFI_Expiration=1,IF($A366&lt;VLOOKUP(I$5,NFI,5,0),1,0)*Table_NFI[[#This Row],[NFI Core Kit]],Table_NFI[NFI Core Kit])</f>
        <v>0</v>
      </c>
      <c r="AA366" s="294">
        <f>IF(NFI_Expiration=1,IF($A366&lt;VLOOKUP(J$5,NFI,5,0),1,0)*Table_NFI[[#This Row],[Sanitary Kit]],Table_NFI[Sanitary Kit])</f>
        <v>0</v>
      </c>
      <c r="AB366" s="294">
        <f>IF(NFI_Expiration=1,IF($A366&lt;VLOOKUP(K$5,NFI,5,0),1,0)*Table_NFI[[#This Row],[Mosquito net]],Table_NFI[Mosquito net])</f>
        <v>0</v>
      </c>
      <c r="AC366" s="294">
        <f>IF(NFI_Expiration=1,IF($A366&lt;VLOOKUP(L$5,NFI,5,0),1,0)*Table_NFI[[#This Row],[Tarpaulin]],Table_NFI[[#This Row],[Tarpaulin]])</f>
        <v>0</v>
      </c>
      <c r="AD366" s="294">
        <f>IF(NFI_Expiration=1,IF($A366&lt;VLOOKUP(M$5,NFI,5,0),1,0)*Table_NFI[[#This Row],[Blanket]],Table_NFI[[#This Row],[Blanket]])</f>
        <v>0</v>
      </c>
      <c r="AE366" s="294">
        <f>IF(NFI_Expiration=1,IF($A366&lt;VLOOKUP(N$5,NFI,5,0),1,0)*Table_NFI[[#This Row],[Kitchen Set]],Table_NFI[Kitchen Set])</f>
        <v>0</v>
      </c>
      <c r="AF366" s="294">
        <f>IF(NFI_Expiration=1,IF($A366&lt;VLOOKUP(O$5,NFI,5,0),1,0)*Table_NFI[[#This Row],[Clothes Kit]],Table_NFI[Clothes Kit])</f>
        <v>0</v>
      </c>
      <c r="AG366" s="294">
        <f>IF(NFI_Expiration=1,IF($A366&lt;VLOOKUP(P$5,NFI,5,0),1,0)*Table_NFI[[#This Row],[Plastic Bucket]],Table_NFI[Plastic Bucket])</f>
        <v>0</v>
      </c>
      <c r="AH366" s="294">
        <f>IF(NFI_Expiration=1,IF($A366&lt;VLOOKUP(Q$5,NFI,5,0),1,0)*Table_NFI[[#This Row],[Plastic Mat]],Table_NFI[Plastic Mat])*IF(Table_NFI[[#This Row],[Distribution Date]]&gt;"2014-04-01",1,2.5)</f>
        <v>0</v>
      </c>
      <c r="AI366" s="294">
        <f>IF(NFI_Expiration=1,IF($A366&lt;VLOOKUP(R$5,NFI,5,0),1,0)*Table_NFI[[#This Row],[Winter Clothes Adult]],Table_NFI[Winter Clothes Adult])</f>
        <v>0</v>
      </c>
      <c r="AJ366" s="294">
        <f>IF(NFI_Expiration=1,IF($A366&lt;VLOOKUP(S$5,NFI,5,0),1,0)*Table_NFI[[#This Row],[Winter Clothes Children]],Table_NFI[Winter Clothes Children])</f>
        <v>0</v>
      </c>
      <c r="AK366" s="294">
        <f>IF(NFI_Expiration=1,IF($A366&lt;VLOOKUP(T$5,NFI,5,0),1,0)*Table_NFI[[#This Row],[Winter Items Other]],Table_NFI[Winter Items Other])</f>
        <v>0</v>
      </c>
      <c r="AL366" s="294">
        <f>IF(NFI_Expiration=1,IF($A366&lt;VLOOKUP(M$5,NFI,5,0),1,0)*Table_NFI[[#This Row],[Winter Blanket]],Table_NFI[[#This Row],[Winter Blanket]])</f>
        <v>0</v>
      </c>
      <c r="AM366" s="294">
        <f>IF(Table_NFI[[#This Row],[Winter Clothes Adult]]+Table_NFI[[#This Row],[Winter Clothes Children]]+Table_NFI[[#This Row],[Winter Items Other]]+Table_NFI[[#This Row],[Winter Blanket]]&gt;0,1,0)</f>
        <v>1</v>
      </c>
      <c r="AN366" s="331">
        <f>IF(NFI_Expiration=1,IF($A366&lt;VLOOKUP(V$5,NFI,5,0),1,0)*Table_NFI[[#This Row],[Jerry Can]],Table_NFI[Jerry Can])</f>
        <v>0</v>
      </c>
      <c r="AO366" s="331">
        <f>IF(NFI_Expiration=1,IF($A366&lt;VLOOKUP(V$5,NFI,5,0),1,0)*Table_NFI[[#This Row],[Shelter Tool kit]],Table_NFI[Shelter Tool kit])</f>
        <v>0</v>
      </c>
      <c r="AP366" s="331">
        <f>IF(NFI_Expiration=1,IF($A366&lt;VLOOKUP(V$5,NFI,5,0),1,0)*Table_NFI[[#This Row],[Tent]],Table_NFI[Tent])</f>
        <v>0</v>
      </c>
      <c r="AQ366" s="473" t="str">
        <f>IFERROR(VLOOKUP(Table_NFI[[#This Row],[Camp Name]],CL,2,0),"")</f>
        <v>MMR001CMP033</v>
      </c>
      <c r="AR366" s="468">
        <f ca="1">IF(Table_NFI[[#This Row],[Pcode]]="","",IF(OFFSET(CampList[Opening Date],MATCH(Table_NFI[[#This Row],[Pcode]],CampList[CP_Pcode],0)-1,0,1,1)&gt;=NFI_Monitor_Date,1,0))</f>
        <v>0</v>
      </c>
      <c r="AS366" s="473" t="str">
        <f>IFERROR(VLOOKUP(Table_NFI[[#This Row],[Camp Name]],CL,3,0),"")</f>
        <v>Open</v>
      </c>
      <c r="AT366" s="294" t="str">
        <f ca="1">IF(Table_NFI[[#This Row],[Pcode]]="","",OFFSET(CampList[Priority],MATCH(Table_NFI[[#This Row],[Pcode]],CampList[CP_Pcode],0)-1,0,1,1))</f>
        <v>P4</v>
      </c>
      <c r="AU366" s="293">
        <f>IFERROR(Table_NFI[[#This Row],[Kitchen Set]]/VLOOKUP(Table_NFI[[#This Row],[Camp Name]],CL,4,0),"")</f>
        <v>0</v>
      </c>
      <c r="AV366" s="466"/>
      <c r="AW366" s="469"/>
    </row>
    <row r="367" spans="1:49" s="470" customFormat="1" ht="14.45" customHeight="1" x14ac:dyDescent="0.25">
      <c r="A367" s="297">
        <f t="shared" si="5"/>
        <v>29.7</v>
      </c>
      <c r="B367" s="465">
        <v>41784</v>
      </c>
      <c r="C367" s="466" t="s">
        <v>1104</v>
      </c>
      <c r="D367" s="466" t="s">
        <v>900</v>
      </c>
      <c r="E367" s="466" t="s">
        <v>380</v>
      </c>
      <c r="F367" s="466" t="s">
        <v>310</v>
      </c>
      <c r="G367" s="466" t="s">
        <v>313</v>
      </c>
      <c r="H367" s="291"/>
      <c r="I367" s="291"/>
      <c r="J367" s="291"/>
      <c r="K367" s="291"/>
      <c r="L367" s="292"/>
      <c r="M367" s="292"/>
      <c r="N367" s="292"/>
      <c r="O367" s="292"/>
      <c r="P367" s="294"/>
      <c r="Q367" s="294"/>
      <c r="R367" s="294"/>
      <c r="S367" s="294"/>
      <c r="T367" s="294"/>
      <c r="U367" s="294">
        <v>224</v>
      </c>
      <c r="V367" s="431"/>
      <c r="W367" s="294"/>
      <c r="X367" s="294"/>
      <c r="Y367" s="294">
        <f>IF(NFI_Expiration=1,IF($A367&lt;VLOOKUP(H$5,NFI,5,0),1,0)*Table_NFI[[#This Row],[Hygiene Kit]],Table_NFI[Hygiene Kit])</f>
        <v>0</v>
      </c>
      <c r="Z367" s="294">
        <f>IF(NFI_Expiration=1,IF($A367&lt;VLOOKUP(I$5,NFI,5,0),1,0)*Table_NFI[[#This Row],[NFI Core Kit]],Table_NFI[NFI Core Kit])</f>
        <v>0</v>
      </c>
      <c r="AA367" s="294">
        <f>IF(NFI_Expiration=1,IF($A367&lt;VLOOKUP(J$5,NFI,5,0),1,0)*Table_NFI[[#This Row],[Sanitary Kit]],Table_NFI[Sanitary Kit])</f>
        <v>0</v>
      </c>
      <c r="AB367" s="294">
        <f>IF(NFI_Expiration=1,IF($A367&lt;VLOOKUP(K$5,NFI,5,0),1,0)*Table_NFI[[#This Row],[Mosquito net]],Table_NFI[Mosquito net])</f>
        <v>0</v>
      </c>
      <c r="AC367" s="294">
        <f>IF(NFI_Expiration=1,IF($A367&lt;VLOOKUP(L$5,NFI,5,0),1,0)*Table_NFI[[#This Row],[Tarpaulin]],Table_NFI[[#This Row],[Tarpaulin]])</f>
        <v>0</v>
      </c>
      <c r="AD367" s="294">
        <f>IF(NFI_Expiration=1,IF($A367&lt;VLOOKUP(M$5,NFI,5,0),1,0)*Table_NFI[[#This Row],[Blanket]],Table_NFI[[#This Row],[Blanket]])</f>
        <v>0</v>
      </c>
      <c r="AE367" s="294">
        <f>IF(NFI_Expiration=1,IF($A367&lt;VLOOKUP(N$5,NFI,5,0),1,0)*Table_NFI[[#This Row],[Kitchen Set]],Table_NFI[Kitchen Set])</f>
        <v>0</v>
      </c>
      <c r="AF367" s="294">
        <f>IF(NFI_Expiration=1,IF($A367&lt;VLOOKUP(O$5,NFI,5,0),1,0)*Table_NFI[[#This Row],[Clothes Kit]],Table_NFI[Clothes Kit])</f>
        <v>0</v>
      </c>
      <c r="AG367" s="294">
        <f>IF(NFI_Expiration=1,IF($A367&lt;VLOOKUP(P$5,NFI,5,0),1,0)*Table_NFI[[#This Row],[Plastic Bucket]],Table_NFI[Plastic Bucket])</f>
        <v>0</v>
      </c>
      <c r="AH367" s="294">
        <f>IF(NFI_Expiration=1,IF($A367&lt;VLOOKUP(Q$5,NFI,5,0),1,0)*Table_NFI[[#This Row],[Plastic Mat]],Table_NFI[Plastic Mat])*IF(Table_NFI[[#This Row],[Distribution Date]]&gt;"2014-04-01",1,2.5)</f>
        <v>0</v>
      </c>
      <c r="AI367" s="294">
        <f>IF(NFI_Expiration=1,IF($A367&lt;VLOOKUP(R$5,NFI,5,0),1,0)*Table_NFI[[#This Row],[Winter Clothes Adult]],Table_NFI[Winter Clothes Adult])</f>
        <v>0</v>
      </c>
      <c r="AJ367" s="294">
        <f>IF(NFI_Expiration=1,IF($A367&lt;VLOOKUP(S$5,NFI,5,0),1,0)*Table_NFI[[#This Row],[Winter Clothes Children]],Table_NFI[Winter Clothes Children])</f>
        <v>0</v>
      </c>
      <c r="AK367" s="294">
        <f>IF(NFI_Expiration=1,IF($A367&lt;VLOOKUP(T$5,NFI,5,0),1,0)*Table_NFI[[#This Row],[Winter Items Other]],Table_NFI[Winter Items Other])</f>
        <v>0</v>
      </c>
      <c r="AL367" s="294">
        <f>IF(NFI_Expiration=1,IF($A367&lt;VLOOKUP(M$5,NFI,5,0),1,0)*Table_NFI[[#This Row],[Winter Blanket]],Table_NFI[[#This Row],[Winter Blanket]])</f>
        <v>0</v>
      </c>
      <c r="AM367" s="294">
        <f>IF(Table_NFI[[#This Row],[Winter Clothes Adult]]+Table_NFI[[#This Row],[Winter Clothes Children]]+Table_NFI[[#This Row],[Winter Items Other]]+Table_NFI[[#This Row],[Winter Blanket]]&gt;0,1,0)</f>
        <v>1</v>
      </c>
      <c r="AN367" s="331">
        <f>IF(NFI_Expiration=1,IF($A367&lt;VLOOKUP(V$5,NFI,5,0),1,0)*Table_NFI[[#This Row],[Jerry Can]],Table_NFI[Jerry Can])</f>
        <v>0</v>
      </c>
      <c r="AO367" s="331">
        <f>IF(NFI_Expiration=1,IF($A367&lt;VLOOKUP(V$5,NFI,5,0),1,0)*Table_NFI[[#This Row],[Shelter Tool kit]],Table_NFI[Shelter Tool kit])</f>
        <v>0</v>
      </c>
      <c r="AP367" s="331">
        <f>IF(NFI_Expiration=1,IF($A367&lt;VLOOKUP(V$5,NFI,5,0),1,0)*Table_NFI[[#This Row],[Tent]],Table_NFI[Tent])</f>
        <v>0</v>
      </c>
      <c r="AQ367" s="473" t="str">
        <f>IFERROR(VLOOKUP(Table_NFI[[#This Row],[Camp Name]],CL,2,0),"")</f>
        <v>MMR001CMP028</v>
      </c>
      <c r="AR367" s="468">
        <f ca="1">IF(Table_NFI[[#This Row],[Pcode]]="","",IF(OFFSET(CampList[Opening Date],MATCH(Table_NFI[[#This Row],[Pcode]],CampList[CP_Pcode],0)-1,0,1,1)&gt;=NFI_Monitor_Date,1,0))</f>
        <v>0</v>
      </c>
      <c r="AS367" s="473" t="str">
        <f>IFERROR(VLOOKUP(Table_NFI[[#This Row],[Camp Name]],CL,3,0),"")</f>
        <v>Open</v>
      </c>
      <c r="AT367" s="294" t="str">
        <f ca="1">IF(Table_NFI[[#This Row],[Pcode]]="","",OFFSET(CampList[Priority],MATCH(Table_NFI[[#This Row],[Pcode]],CampList[CP_Pcode],0)-1,0,1,1))</f>
        <v>P4</v>
      </c>
      <c r="AU367" s="293">
        <f>IFERROR(Table_NFI[[#This Row],[Kitchen Set]]/VLOOKUP(Table_NFI[[#This Row],[Camp Name]],CL,4,0),"")</f>
        <v>0</v>
      </c>
      <c r="AV367" s="466"/>
      <c r="AW367" s="469"/>
    </row>
    <row r="368" spans="1:49" s="470" customFormat="1" ht="14.45" customHeight="1" x14ac:dyDescent="0.25">
      <c r="A368" s="297">
        <f t="shared" si="5"/>
        <v>29.7</v>
      </c>
      <c r="B368" s="465">
        <v>41784</v>
      </c>
      <c r="C368" s="466" t="s">
        <v>1104</v>
      </c>
      <c r="D368" s="466" t="s">
        <v>900</v>
      </c>
      <c r="E368" s="466" t="s">
        <v>380</v>
      </c>
      <c r="F368" s="466" t="s">
        <v>310</v>
      </c>
      <c r="G368" s="466" t="s">
        <v>351</v>
      </c>
      <c r="H368" s="291"/>
      <c r="I368" s="291"/>
      <c r="J368" s="291"/>
      <c r="K368" s="291"/>
      <c r="L368" s="292"/>
      <c r="M368" s="292"/>
      <c r="N368" s="292"/>
      <c r="O368" s="292"/>
      <c r="P368" s="294"/>
      <c r="Q368" s="294"/>
      <c r="R368" s="294"/>
      <c r="S368" s="294"/>
      <c r="T368" s="294"/>
      <c r="U368" s="294">
        <v>182</v>
      </c>
      <c r="V368" s="431"/>
      <c r="W368" s="294"/>
      <c r="X368" s="294"/>
      <c r="Y368" s="294">
        <f>IF(NFI_Expiration=1,IF($A368&lt;VLOOKUP(H$5,NFI,5,0),1,0)*Table_NFI[[#This Row],[Hygiene Kit]],Table_NFI[Hygiene Kit])</f>
        <v>0</v>
      </c>
      <c r="Z368" s="294">
        <f>IF(NFI_Expiration=1,IF($A368&lt;VLOOKUP(I$5,NFI,5,0),1,0)*Table_NFI[[#This Row],[NFI Core Kit]],Table_NFI[NFI Core Kit])</f>
        <v>0</v>
      </c>
      <c r="AA368" s="294">
        <f>IF(NFI_Expiration=1,IF($A368&lt;VLOOKUP(J$5,NFI,5,0),1,0)*Table_NFI[[#This Row],[Sanitary Kit]],Table_NFI[Sanitary Kit])</f>
        <v>0</v>
      </c>
      <c r="AB368" s="294">
        <f>IF(NFI_Expiration=1,IF($A368&lt;VLOOKUP(K$5,NFI,5,0),1,0)*Table_NFI[[#This Row],[Mosquito net]],Table_NFI[Mosquito net])</f>
        <v>0</v>
      </c>
      <c r="AC368" s="294">
        <f>IF(NFI_Expiration=1,IF($A368&lt;VLOOKUP(L$5,NFI,5,0),1,0)*Table_NFI[[#This Row],[Tarpaulin]],Table_NFI[[#This Row],[Tarpaulin]])</f>
        <v>0</v>
      </c>
      <c r="AD368" s="294">
        <f>IF(NFI_Expiration=1,IF($A368&lt;VLOOKUP(M$5,NFI,5,0),1,0)*Table_NFI[[#This Row],[Blanket]],Table_NFI[[#This Row],[Blanket]])</f>
        <v>0</v>
      </c>
      <c r="AE368" s="294">
        <f>IF(NFI_Expiration=1,IF($A368&lt;VLOOKUP(N$5,NFI,5,0),1,0)*Table_NFI[[#This Row],[Kitchen Set]],Table_NFI[Kitchen Set])</f>
        <v>0</v>
      </c>
      <c r="AF368" s="294">
        <f>IF(NFI_Expiration=1,IF($A368&lt;VLOOKUP(O$5,NFI,5,0),1,0)*Table_NFI[[#This Row],[Clothes Kit]],Table_NFI[Clothes Kit])</f>
        <v>0</v>
      </c>
      <c r="AG368" s="294">
        <f>IF(NFI_Expiration=1,IF($A368&lt;VLOOKUP(P$5,NFI,5,0),1,0)*Table_NFI[[#This Row],[Plastic Bucket]],Table_NFI[Plastic Bucket])</f>
        <v>0</v>
      </c>
      <c r="AH368" s="294">
        <f>IF(NFI_Expiration=1,IF($A368&lt;VLOOKUP(Q$5,NFI,5,0),1,0)*Table_NFI[[#This Row],[Plastic Mat]],Table_NFI[Plastic Mat])*IF(Table_NFI[[#This Row],[Distribution Date]]&gt;"2014-04-01",1,2.5)</f>
        <v>0</v>
      </c>
      <c r="AI368" s="294">
        <f>IF(NFI_Expiration=1,IF($A368&lt;VLOOKUP(R$5,NFI,5,0),1,0)*Table_NFI[[#This Row],[Winter Clothes Adult]],Table_NFI[Winter Clothes Adult])</f>
        <v>0</v>
      </c>
      <c r="AJ368" s="294">
        <f>IF(NFI_Expiration=1,IF($A368&lt;VLOOKUP(S$5,NFI,5,0),1,0)*Table_NFI[[#This Row],[Winter Clothes Children]],Table_NFI[Winter Clothes Children])</f>
        <v>0</v>
      </c>
      <c r="AK368" s="294">
        <f>IF(NFI_Expiration=1,IF($A368&lt;VLOOKUP(T$5,NFI,5,0),1,0)*Table_NFI[[#This Row],[Winter Items Other]],Table_NFI[Winter Items Other])</f>
        <v>0</v>
      </c>
      <c r="AL368" s="294">
        <f>IF(NFI_Expiration=1,IF($A368&lt;VLOOKUP(M$5,NFI,5,0),1,0)*Table_NFI[[#This Row],[Winter Blanket]],Table_NFI[[#This Row],[Winter Blanket]])</f>
        <v>0</v>
      </c>
      <c r="AM368" s="294">
        <f>IF(Table_NFI[[#This Row],[Winter Clothes Adult]]+Table_NFI[[#This Row],[Winter Clothes Children]]+Table_NFI[[#This Row],[Winter Items Other]]+Table_NFI[[#This Row],[Winter Blanket]]&gt;0,1,0)</f>
        <v>1</v>
      </c>
      <c r="AN368" s="331">
        <f>IF(NFI_Expiration=1,IF($A368&lt;VLOOKUP(V$5,NFI,5,0),1,0)*Table_NFI[[#This Row],[Jerry Can]],Table_NFI[Jerry Can])</f>
        <v>0</v>
      </c>
      <c r="AO368" s="331">
        <f>IF(NFI_Expiration=1,IF($A368&lt;VLOOKUP(V$5,NFI,5,0),1,0)*Table_NFI[[#This Row],[Shelter Tool kit]],Table_NFI[Shelter Tool kit])</f>
        <v>0</v>
      </c>
      <c r="AP368" s="331">
        <f>IF(NFI_Expiration=1,IF($A368&lt;VLOOKUP(V$5,NFI,5,0),1,0)*Table_NFI[[#This Row],[Tent]],Table_NFI[Tent])</f>
        <v>0</v>
      </c>
      <c r="AQ368" s="473" t="str">
        <f>IFERROR(VLOOKUP(Table_NFI[[#This Row],[Camp Name]],CL,2,0),"")</f>
        <v>MMR001CMP026</v>
      </c>
      <c r="AR368" s="468">
        <f ca="1">IF(Table_NFI[[#This Row],[Pcode]]="","",IF(OFFSET(CampList[Opening Date],MATCH(Table_NFI[[#This Row],[Pcode]],CampList[CP_Pcode],0)-1,0,1,1)&gt;=NFI_Monitor_Date,1,0))</f>
        <v>0</v>
      </c>
      <c r="AS368" s="473" t="str">
        <f>IFERROR(VLOOKUP(Table_NFI[[#This Row],[Camp Name]],CL,3,0),"")</f>
        <v>Open</v>
      </c>
      <c r="AT368" s="294" t="str">
        <f ca="1">IF(Table_NFI[[#This Row],[Pcode]]="","",OFFSET(CampList[Priority],MATCH(Table_NFI[[#This Row],[Pcode]],CampList[CP_Pcode],0)-1,0,1,1))</f>
        <v>P4</v>
      </c>
      <c r="AU368" s="293">
        <f>IFERROR(Table_NFI[[#This Row],[Kitchen Set]]/VLOOKUP(Table_NFI[[#This Row],[Camp Name]],CL,4,0),"")</f>
        <v>0</v>
      </c>
      <c r="AV368" s="466"/>
      <c r="AW368" s="469"/>
    </row>
    <row r="369" spans="1:49" s="470" customFormat="1" ht="14.45" customHeight="1" x14ac:dyDescent="0.25">
      <c r="A369" s="297">
        <f t="shared" si="5"/>
        <v>29.8</v>
      </c>
      <c r="B369" s="465">
        <v>41781</v>
      </c>
      <c r="C369" s="466" t="s">
        <v>1104</v>
      </c>
      <c r="D369" s="466" t="s">
        <v>900</v>
      </c>
      <c r="E369" s="466" t="s">
        <v>380</v>
      </c>
      <c r="F369" s="290" t="s">
        <v>310</v>
      </c>
      <c r="G369" s="466" t="s">
        <v>320</v>
      </c>
      <c r="H369" s="291"/>
      <c r="I369" s="291"/>
      <c r="J369" s="291"/>
      <c r="K369" s="291"/>
      <c r="L369" s="292"/>
      <c r="M369" s="292"/>
      <c r="N369" s="292"/>
      <c r="O369" s="292"/>
      <c r="P369" s="294"/>
      <c r="Q369" s="294"/>
      <c r="R369" s="294"/>
      <c r="S369" s="294"/>
      <c r="T369" s="294"/>
      <c r="U369" s="294">
        <v>46</v>
      </c>
      <c r="V369" s="431"/>
      <c r="W369" s="294"/>
      <c r="X369" s="294"/>
      <c r="Y369" s="294">
        <f>IF(NFI_Expiration=1,IF($A369&lt;VLOOKUP(H$5,NFI,5,0),1,0)*Table_NFI[[#This Row],[Hygiene Kit]],Table_NFI[Hygiene Kit])</f>
        <v>0</v>
      </c>
      <c r="Z369" s="294">
        <f>IF(NFI_Expiration=1,IF($A369&lt;VLOOKUP(I$5,NFI,5,0),1,0)*Table_NFI[[#This Row],[NFI Core Kit]],Table_NFI[NFI Core Kit])</f>
        <v>0</v>
      </c>
      <c r="AA369" s="294">
        <f>IF(NFI_Expiration=1,IF($A369&lt;VLOOKUP(J$5,NFI,5,0),1,0)*Table_NFI[[#This Row],[Sanitary Kit]],Table_NFI[Sanitary Kit])</f>
        <v>0</v>
      </c>
      <c r="AB369" s="294">
        <f>IF(NFI_Expiration=1,IF($A369&lt;VLOOKUP(K$5,NFI,5,0),1,0)*Table_NFI[[#This Row],[Mosquito net]],Table_NFI[Mosquito net])</f>
        <v>0</v>
      </c>
      <c r="AC369" s="294">
        <f>IF(NFI_Expiration=1,IF($A369&lt;VLOOKUP(L$5,NFI,5,0),1,0)*Table_NFI[[#This Row],[Tarpaulin]],Table_NFI[[#This Row],[Tarpaulin]])</f>
        <v>0</v>
      </c>
      <c r="AD369" s="294">
        <f>IF(NFI_Expiration=1,IF($A369&lt;VLOOKUP(M$5,NFI,5,0),1,0)*Table_NFI[[#This Row],[Blanket]],Table_NFI[[#This Row],[Blanket]])</f>
        <v>0</v>
      </c>
      <c r="AE369" s="294">
        <f>IF(NFI_Expiration=1,IF($A369&lt;VLOOKUP(N$5,NFI,5,0),1,0)*Table_NFI[[#This Row],[Kitchen Set]],Table_NFI[Kitchen Set])</f>
        <v>0</v>
      </c>
      <c r="AF369" s="294">
        <f>IF(NFI_Expiration=1,IF($A369&lt;VLOOKUP(O$5,NFI,5,0),1,0)*Table_NFI[[#This Row],[Clothes Kit]],Table_NFI[Clothes Kit])</f>
        <v>0</v>
      </c>
      <c r="AG369" s="294">
        <f>IF(NFI_Expiration=1,IF($A369&lt;VLOOKUP(P$5,NFI,5,0),1,0)*Table_NFI[[#This Row],[Plastic Bucket]],Table_NFI[Plastic Bucket])</f>
        <v>0</v>
      </c>
      <c r="AH369" s="294">
        <f>IF(NFI_Expiration=1,IF($A369&lt;VLOOKUP(Q$5,NFI,5,0),1,0)*Table_NFI[[#This Row],[Plastic Mat]],Table_NFI[Plastic Mat])*IF(Table_NFI[[#This Row],[Distribution Date]]&gt;"2014-04-01",1,2.5)</f>
        <v>0</v>
      </c>
      <c r="AI369" s="294">
        <f>IF(NFI_Expiration=1,IF($A369&lt;VLOOKUP(R$5,NFI,5,0),1,0)*Table_NFI[[#This Row],[Winter Clothes Adult]],Table_NFI[Winter Clothes Adult])</f>
        <v>0</v>
      </c>
      <c r="AJ369" s="294">
        <f>IF(NFI_Expiration=1,IF($A369&lt;VLOOKUP(S$5,NFI,5,0),1,0)*Table_NFI[[#This Row],[Winter Clothes Children]],Table_NFI[Winter Clothes Children])</f>
        <v>0</v>
      </c>
      <c r="AK369" s="294">
        <f>IF(NFI_Expiration=1,IF($A369&lt;VLOOKUP(T$5,NFI,5,0),1,0)*Table_NFI[[#This Row],[Winter Items Other]],Table_NFI[Winter Items Other])</f>
        <v>0</v>
      </c>
      <c r="AL369" s="294">
        <f>IF(NFI_Expiration=1,IF($A369&lt;VLOOKUP(M$5,NFI,5,0),1,0)*Table_NFI[[#This Row],[Winter Blanket]],Table_NFI[[#This Row],[Winter Blanket]])</f>
        <v>0</v>
      </c>
      <c r="AM369" s="294">
        <f>IF(Table_NFI[[#This Row],[Winter Clothes Adult]]+Table_NFI[[#This Row],[Winter Clothes Children]]+Table_NFI[[#This Row],[Winter Items Other]]+Table_NFI[[#This Row],[Winter Blanket]]&gt;0,1,0)</f>
        <v>1</v>
      </c>
      <c r="AN369" s="331">
        <f>IF(NFI_Expiration=1,IF($A369&lt;VLOOKUP(V$5,NFI,5,0),1,0)*Table_NFI[[#This Row],[Jerry Can]],Table_NFI[Jerry Can])</f>
        <v>0</v>
      </c>
      <c r="AO369" s="331">
        <f>IF(NFI_Expiration=1,IF($A369&lt;VLOOKUP(V$5,NFI,5,0),1,0)*Table_NFI[[#This Row],[Shelter Tool kit]],Table_NFI[Shelter Tool kit])</f>
        <v>0</v>
      </c>
      <c r="AP369" s="331">
        <f>IF(NFI_Expiration=1,IF($A369&lt;VLOOKUP(V$5,NFI,5,0),1,0)*Table_NFI[[#This Row],[Tent]],Table_NFI[Tent])</f>
        <v>0</v>
      </c>
      <c r="AQ369" s="473" t="str">
        <f>IFERROR(VLOOKUP(Table_NFI[[#This Row],[Camp Name]],CL,2,0),"")</f>
        <v>MMR001CMP027</v>
      </c>
      <c r="AR369" s="468">
        <f ca="1">IF(Table_NFI[[#This Row],[Pcode]]="","",IF(OFFSET(CampList[Opening Date],MATCH(Table_NFI[[#This Row],[Pcode]],CampList[CP_Pcode],0)-1,0,1,1)&gt;=NFI_Monitor_Date,1,0))</f>
        <v>0</v>
      </c>
      <c r="AS369" s="473" t="str">
        <f>IFERROR(VLOOKUP(Table_NFI[[#This Row],[Camp Name]],CL,3,0),"")</f>
        <v>Open</v>
      </c>
      <c r="AT369" s="294" t="str">
        <f ca="1">IF(Table_NFI[[#This Row],[Pcode]]="","",OFFSET(CampList[Priority],MATCH(Table_NFI[[#This Row],[Pcode]],CampList[CP_Pcode],0)-1,0,1,1))</f>
        <v>P4</v>
      </c>
      <c r="AU369" s="293">
        <f>IFERROR(Table_NFI[[#This Row],[Kitchen Set]]/VLOOKUP(Table_NFI[[#This Row],[Camp Name]],CL,4,0),"")</f>
        <v>0</v>
      </c>
      <c r="AV369" s="466"/>
      <c r="AW369" s="469"/>
    </row>
    <row r="370" spans="1:49" s="470" customFormat="1" ht="14.45" customHeight="1" x14ac:dyDescent="0.25">
      <c r="A370" s="297">
        <f t="shared" si="5"/>
        <v>29.8</v>
      </c>
      <c r="B370" s="465">
        <v>41781</v>
      </c>
      <c r="C370" s="466" t="s">
        <v>1104</v>
      </c>
      <c r="D370" s="466" t="s">
        <v>900</v>
      </c>
      <c r="E370" s="466" t="s">
        <v>380</v>
      </c>
      <c r="F370" s="466" t="s">
        <v>310</v>
      </c>
      <c r="G370" s="466" t="s">
        <v>318</v>
      </c>
      <c r="H370" s="291"/>
      <c r="I370" s="291"/>
      <c r="J370" s="291"/>
      <c r="K370" s="291"/>
      <c r="L370" s="292"/>
      <c r="M370" s="292"/>
      <c r="N370" s="292"/>
      <c r="O370" s="292"/>
      <c r="P370" s="294"/>
      <c r="Q370" s="294"/>
      <c r="R370" s="294"/>
      <c r="S370" s="294"/>
      <c r="T370" s="294"/>
      <c r="U370" s="294">
        <v>88</v>
      </c>
      <c r="V370" s="431"/>
      <c r="W370" s="294"/>
      <c r="X370" s="294"/>
      <c r="Y370" s="294">
        <f>IF(NFI_Expiration=1,IF($A370&lt;VLOOKUP(H$5,NFI,5,0),1,0)*Table_NFI[[#This Row],[Hygiene Kit]],Table_NFI[Hygiene Kit])</f>
        <v>0</v>
      </c>
      <c r="Z370" s="294">
        <f>IF(NFI_Expiration=1,IF($A370&lt;VLOOKUP(I$5,NFI,5,0),1,0)*Table_NFI[[#This Row],[NFI Core Kit]],Table_NFI[NFI Core Kit])</f>
        <v>0</v>
      </c>
      <c r="AA370" s="294">
        <f>IF(NFI_Expiration=1,IF($A370&lt;VLOOKUP(J$5,NFI,5,0),1,0)*Table_NFI[[#This Row],[Sanitary Kit]],Table_NFI[Sanitary Kit])</f>
        <v>0</v>
      </c>
      <c r="AB370" s="294">
        <f>IF(NFI_Expiration=1,IF($A370&lt;VLOOKUP(K$5,NFI,5,0),1,0)*Table_NFI[[#This Row],[Mosquito net]],Table_NFI[Mosquito net])</f>
        <v>0</v>
      </c>
      <c r="AC370" s="294">
        <f>IF(NFI_Expiration=1,IF($A370&lt;VLOOKUP(L$5,NFI,5,0),1,0)*Table_NFI[[#This Row],[Tarpaulin]],Table_NFI[[#This Row],[Tarpaulin]])</f>
        <v>0</v>
      </c>
      <c r="AD370" s="294">
        <f>IF(NFI_Expiration=1,IF($A370&lt;VLOOKUP(M$5,NFI,5,0),1,0)*Table_NFI[[#This Row],[Blanket]],Table_NFI[[#This Row],[Blanket]])</f>
        <v>0</v>
      </c>
      <c r="AE370" s="294">
        <f>IF(NFI_Expiration=1,IF($A370&lt;VLOOKUP(N$5,NFI,5,0),1,0)*Table_NFI[[#This Row],[Kitchen Set]],Table_NFI[Kitchen Set])</f>
        <v>0</v>
      </c>
      <c r="AF370" s="294">
        <f>IF(NFI_Expiration=1,IF($A370&lt;VLOOKUP(O$5,NFI,5,0),1,0)*Table_NFI[[#This Row],[Clothes Kit]],Table_NFI[Clothes Kit])</f>
        <v>0</v>
      </c>
      <c r="AG370" s="294">
        <f>IF(NFI_Expiration=1,IF($A370&lt;VLOOKUP(P$5,NFI,5,0),1,0)*Table_NFI[[#This Row],[Plastic Bucket]],Table_NFI[Plastic Bucket])</f>
        <v>0</v>
      </c>
      <c r="AH370" s="294">
        <f>IF(NFI_Expiration=1,IF($A370&lt;VLOOKUP(Q$5,NFI,5,0),1,0)*Table_NFI[[#This Row],[Plastic Mat]],Table_NFI[Plastic Mat])*IF(Table_NFI[[#This Row],[Distribution Date]]&gt;"2014-04-01",1,2.5)</f>
        <v>0</v>
      </c>
      <c r="AI370" s="294">
        <f>IF(NFI_Expiration=1,IF($A370&lt;VLOOKUP(R$5,NFI,5,0),1,0)*Table_NFI[[#This Row],[Winter Clothes Adult]],Table_NFI[Winter Clothes Adult])</f>
        <v>0</v>
      </c>
      <c r="AJ370" s="294">
        <f>IF(NFI_Expiration=1,IF($A370&lt;VLOOKUP(S$5,NFI,5,0),1,0)*Table_NFI[[#This Row],[Winter Clothes Children]],Table_NFI[Winter Clothes Children])</f>
        <v>0</v>
      </c>
      <c r="AK370" s="294">
        <f>IF(NFI_Expiration=1,IF($A370&lt;VLOOKUP(T$5,NFI,5,0),1,0)*Table_NFI[[#This Row],[Winter Items Other]],Table_NFI[Winter Items Other])</f>
        <v>0</v>
      </c>
      <c r="AL370" s="294">
        <f>IF(NFI_Expiration=1,IF($A370&lt;VLOOKUP(M$5,NFI,5,0),1,0)*Table_NFI[[#This Row],[Winter Blanket]],Table_NFI[[#This Row],[Winter Blanket]])</f>
        <v>0</v>
      </c>
      <c r="AM370" s="294">
        <f>IF(Table_NFI[[#This Row],[Winter Clothes Adult]]+Table_NFI[[#This Row],[Winter Clothes Children]]+Table_NFI[[#This Row],[Winter Items Other]]+Table_NFI[[#This Row],[Winter Blanket]]&gt;0,1,0)</f>
        <v>1</v>
      </c>
      <c r="AN370" s="331">
        <f>IF(NFI_Expiration=1,IF($A370&lt;VLOOKUP(V$5,NFI,5,0),1,0)*Table_NFI[[#This Row],[Jerry Can]],Table_NFI[Jerry Can])</f>
        <v>0</v>
      </c>
      <c r="AO370" s="331">
        <f>IF(NFI_Expiration=1,IF($A370&lt;VLOOKUP(V$5,NFI,5,0),1,0)*Table_NFI[[#This Row],[Shelter Tool kit]],Table_NFI[Shelter Tool kit])</f>
        <v>0</v>
      </c>
      <c r="AP370" s="331">
        <f>IF(NFI_Expiration=1,IF($A370&lt;VLOOKUP(V$5,NFI,5,0),1,0)*Table_NFI[[#This Row],[Tent]],Table_NFI[Tent])</f>
        <v>0</v>
      </c>
      <c r="AQ370" s="473" t="str">
        <f>IFERROR(VLOOKUP(Table_NFI[[#This Row],[Camp Name]],CL,2,0),"")</f>
        <v>MMR001CMP032</v>
      </c>
      <c r="AR370" s="468">
        <f ca="1">IF(Table_NFI[[#This Row],[Pcode]]="","",IF(OFFSET(CampList[Opening Date],MATCH(Table_NFI[[#This Row],[Pcode]],CampList[CP_Pcode],0)-1,0,1,1)&gt;=NFI_Monitor_Date,1,0))</f>
        <v>0</v>
      </c>
      <c r="AS370" s="473" t="str">
        <f>IFERROR(VLOOKUP(Table_NFI[[#This Row],[Camp Name]],CL,3,0),"")</f>
        <v>Open</v>
      </c>
      <c r="AT370" s="294" t="str">
        <f ca="1">IF(Table_NFI[[#This Row],[Pcode]]="","",OFFSET(CampList[Priority],MATCH(Table_NFI[[#This Row],[Pcode]],CampList[CP_Pcode],0)-1,0,1,1))</f>
        <v>P4</v>
      </c>
      <c r="AU370" s="293">
        <f>IFERROR(Table_NFI[[#This Row],[Kitchen Set]]/VLOOKUP(Table_NFI[[#This Row],[Camp Name]],CL,4,0),"")</f>
        <v>0</v>
      </c>
      <c r="AV370" s="466"/>
      <c r="AW370" s="469"/>
    </row>
    <row r="371" spans="1:49" s="470" customFormat="1" ht="14.45" customHeight="1" x14ac:dyDescent="0.25">
      <c r="A371" s="297">
        <f t="shared" si="5"/>
        <v>29.8</v>
      </c>
      <c r="B371" s="465">
        <v>41781</v>
      </c>
      <c r="C371" s="466" t="s">
        <v>1104</v>
      </c>
      <c r="D371" s="466" t="s">
        <v>900</v>
      </c>
      <c r="E371" s="466" t="s">
        <v>380</v>
      </c>
      <c r="F371" s="290" t="s">
        <v>310</v>
      </c>
      <c r="G371" s="466" t="s">
        <v>342</v>
      </c>
      <c r="H371" s="291"/>
      <c r="I371" s="291"/>
      <c r="J371" s="291"/>
      <c r="K371" s="291"/>
      <c r="L371" s="292"/>
      <c r="M371" s="292"/>
      <c r="N371" s="292"/>
      <c r="O371" s="292"/>
      <c r="P371" s="294"/>
      <c r="Q371" s="294"/>
      <c r="R371" s="294"/>
      <c r="S371" s="294"/>
      <c r="T371" s="294"/>
      <c r="U371" s="294">
        <v>140</v>
      </c>
      <c r="V371" s="431"/>
      <c r="W371" s="294"/>
      <c r="X371" s="294"/>
      <c r="Y371" s="294">
        <f>IF(NFI_Expiration=1,IF($A371&lt;VLOOKUP(H$5,NFI,5,0),1,0)*Table_NFI[[#This Row],[Hygiene Kit]],Table_NFI[Hygiene Kit])</f>
        <v>0</v>
      </c>
      <c r="Z371" s="294">
        <f>IF(NFI_Expiration=1,IF($A371&lt;VLOOKUP(I$5,NFI,5,0),1,0)*Table_NFI[[#This Row],[NFI Core Kit]],Table_NFI[NFI Core Kit])</f>
        <v>0</v>
      </c>
      <c r="AA371" s="294">
        <f>IF(NFI_Expiration=1,IF($A371&lt;VLOOKUP(J$5,NFI,5,0),1,0)*Table_NFI[[#This Row],[Sanitary Kit]],Table_NFI[Sanitary Kit])</f>
        <v>0</v>
      </c>
      <c r="AB371" s="294">
        <f>IF(NFI_Expiration=1,IF($A371&lt;VLOOKUP(K$5,NFI,5,0),1,0)*Table_NFI[[#This Row],[Mosquito net]],Table_NFI[Mosquito net])</f>
        <v>0</v>
      </c>
      <c r="AC371" s="294">
        <f>IF(NFI_Expiration=1,IF($A371&lt;VLOOKUP(L$5,NFI,5,0),1,0)*Table_NFI[[#This Row],[Tarpaulin]],Table_NFI[[#This Row],[Tarpaulin]])</f>
        <v>0</v>
      </c>
      <c r="AD371" s="294">
        <f>IF(NFI_Expiration=1,IF($A371&lt;VLOOKUP(M$5,NFI,5,0),1,0)*Table_NFI[[#This Row],[Blanket]],Table_NFI[[#This Row],[Blanket]])</f>
        <v>0</v>
      </c>
      <c r="AE371" s="294">
        <f>IF(NFI_Expiration=1,IF($A371&lt;VLOOKUP(N$5,NFI,5,0),1,0)*Table_NFI[[#This Row],[Kitchen Set]],Table_NFI[Kitchen Set])</f>
        <v>0</v>
      </c>
      <c r="AF371" s="294">
        <f>IF(NFI_Expiration=1,IF($A371&lt;VLOOKUP(O$5,NFI,5,0),1,0)*Table_NFI[[#This Row],[Clothes Kit]],Table_NFI[Clothes Kit])</f>
        <v>0</v>
      </c>
      <c r="AG371" s="294">
        <f>IF(NFI_Expiration=1,IF($A371&lt;VLOOKUP(P$5,NFI,5,0),1,0)*Table_NFI[[#This Row],[Plastic Bucket]],Table_NFI[Plastic Bucket])</f>
        <v>0</v>
      </c>
      <c r="AH371" s="294">
        <f>IF(NFI_Expiration=1,IF($A371&lt;VLOOKUP(Q$5,NFI,5,0),1,0)*Table_NFI[[#This Row],[Plastic Mat]],Table_NFI[Plastic Mat])*IF(Table_NFI[[#This Row],[Distribution Date]]&gt;"2014-04-01",1,2.5)</f>
        <v>0</v>
      </c>
      <c r="AI371" s="294">
        <f>IF(NFI_Expiration=1,IF($A371&lt;VLOOKUP(R$5,NFI,5,0),1,0)*Table_NFI[[#This Row],[Winter Clothes Adult]],Table_NFI[Winter Clothes Adult])</f>
        <v>0</v>
      </c>
      <c r="AJ371" s="294">
        <f>IF(NFI_Expiration=1,IF($A371&lt;VLOOKUP(S$5,NFI,5,0),1,0)*Table_NFI[[#This Row],[Winter Clothes Children]],Table_NFI[Winter Clothes Children])</f>
        <v>0</v>
      </c>
      <c r="AK371" s="294">
        <f>IF(NFI_Expiration=1,IF($A371&lt;VLOOKUP(T$5,NFI,5,0),1,0)*Table_NFI[[#This Row],[Winter Items Other]],Table_NFI[Winter Items Other])</f>
        <v>0</v>
      </c>
      <c r="AL371" s="294">
        <f>IF(NFI_Expiration=1,IF($A371&lt;VLOOKUP(M$5,NFI,5,0),1,0)*Table_NFI[[#This Row],[Winter Blanket]],Table_NFI[[#This Row],[Winter Blanket]])</f>
        <v>0</v>
      </c>
      <c r="AM371" s="294">
        <f>IF(Table_NFI[[#This Row],[Winter Clothes Adult]]+Table_NFI[[#This Row],[Winter Clothes Children]]+Table_NFI[[#This Row],[Winter Items Other]]+Table_NFI[[#This Row],[Winter Blanket]]&gt;0,1,0)</f>
        <v>1</v>
      </c>
      <c r="AN371" s="331">
        <f>IF(NFI_Expiration=1,IF($A371&lt;VLOOKUP(V$5,NFI,5,0),1,0)*Table_NFI[[#This Row],[Jerry Can]],Table_NFI[Jerry Can])</f>
        <v>0</v>
      </c>
      <c r="AO371" s="331">
        <f>IF(NFI_Expiration=1,IF($A371&lt;VLOOKUP(V$5,NFI,5,0),1,0)*Table_NFI[[#This Row],[Shelter Tool kit]],Table_NFI[Shelter Tool kit])</f>
        <v>0</v>
      </c>
      <c r="AP371" s="331">
        <f>IF(NFI_Expiration=1,IF($A371&lt;VLOOKUP(V$5,NFI,5,0),1,0)*Table_NFI[[#This Row],[Tent]],Table_NFI[Tent])</f>
        <v>0</v>
      </c>
      <c r="AQ371" s="473" t="str">
        <f>IFERROR(VLOOKUP(Table_NFI[[#This Row],[Camp Name]],CL,2,0),"")</f>
        <v>MMR001CMP025</v>
      </c>
      <c r="AR371" s="468">
        <f ca="1">IF(Table_NFI[[#This Row],[Pcode]]="","",IF(OFFSET(CampList[Opening Date],MATCH(Table_NFI[[#This Row],[Pcode]],CampList[CP_Pcode],0)-1,0,1,1)&gt;=NFI_Monitor_Date,1,0))</f>
        <v>0</v>
      </c>
      <c r="AS371" s="473" t="str">
        <f>IFERROR(VLOOKUP(Table_NFI[[#This Row],[Camp Name]],CL,3,0),"")</f>
        <v>Open</v>
      </c>
      <c r="AT371" s="294" t="str">
        <f ca="1">IF(Table_NFI[[#This Row],[Pcode]]="","",OFFSET(CampList[Priority],MATCH(Table_NFI[[#This Row],[Pcode]],CampList[CP_Pcode],0)-1,0,1,1))</f>
        <v>P4</v>
      </c>
      <c r="AU371" s="293">
        <f>IFERROR(Table_NFI[[#This Row],[Kitchen Set]]/VLOOKUP(Table_NFI[[#This Row],[Camp Name]],CL,4,0),"")</f>
        <v>0</v>
      </c>
      <c r="AV371" s="466"/>
      <c r="AW371" s="469"/>
    </row>
    <row r="372" spans="1:49" s="470" customFormat="1" ht="14.45" customHeight="1" x14ac:dyDescent="0.25">
      <c r="A372" s="297">
        <f t="shared" si="5"/>
        <v>29.833333333333332</v>
      </c>
      <c r="B372" s="465">
        <v>41780</v>
      </c>
      <c r="C372" s="466" t="s">
        <v>1104</v>
      </c>
      <c r="D372" s="466" t="s">
        <v>900</v>
      </c>
      <c r="E372" s="466" t="s">
        <v>380</v>
      </c>
      <c r="F372" s="466" t="s">
        <v>237</v>
      </c>
      <c r="G372" s="466" t="s">
        <v>267</v>
      </c>
      <c r="H372" s="291"/>
      <c r="I372" s="291"/>
      <c r="J372" s="291"/>
      <c r="K372" s="291"/>
      <c r="L372" s="292"/>
      <c r="M372" s="292"/>
      <c r="N372" s="292"/>
      <c r="O372" s="292"/>
      <c r="P372" s="294"/>
      <c r="Q372" s="294"/>
      <c r="R372" s="294"/>
      <c r="S372" s="294"/>
      <c r="T372" s="294"/>
      <c r="U372" s="294">
        <v>24</v>
      </c>
      <c r="V372" s="431"/>
      <c r="W372" s="294"/>
      <c r="X372" s="294"/>
      <c r="Y372" s="294">
        <f>IF(NFI_Expiration=1,IF($A372&lt;VLOOKUP(H$5,NFI,5,0),1,0)*Table_NFI[[#This Row],[Hygiene Kit]],Table_NFI[Hygiene Kit])</f>
        <v>0</v>
      </c>
      <c r="Z372" s="294">
        <f>IF(NFI_Expiration=1,IF($A372&lt;VLOOKUP(I$5,NFI,5,0),1,0)*Table_NFI[[#This Row],[NFI Core Kit]],Table_NFI[NFI Core Kit])</f>
        <v>0</v>
      </c>
      <c r="AA372" s="294">
        <f>IF(NFI_Expiration=1,IF($A372&lt;VLOOKUP(J$5,NFI,5,0),1,0)*Table_NFI[[#This Row],[Sanitary Kit]],Table_NFI[Sanitary Kit])</f>
        <v>0</v>
      </c>
      <c r="AB372" s="294">
        <f>IF(NFI_Expiration=1,IF($A372&lt;VLOOKUP(K$5,NFI,5,0),1,0)*Table_NFI[[#This Row],[Mosquito net]],Table_NFI[Mosquito net])</f>
        <v>0</v>
      </c>
      <c r="AC372" s="294">
        <f>IF(NFI_Expiration=1,IF($A372&lt;VLOOKUP(L$5,NFI,5,0),1,0)*Table_NFI[[#This Row],[Tarpaulin]],Table_NFI[[#This Row],[Tarpaulin]])</f>
        <v>0</v>
      </c>
      <c r="AD372" s="294">
        <f>IF(NFI_Expiration=1,IF($A372&lt;VLOOKUP(M$5,NFI,5,0),1,0)*Table_NFI[[#This Row],[Blanket]],Table_NFI[[#This Row],[Blanket]])</f>
        <v>0</v>
      </c>
      <c r="AE372" s="294">
        <f>IF(NFI_Expiration=1,IF($A372&lt;VLOOKUP(N$5,NFI,5,0),1,0)*Table_NFI[[#This Row],[Kitchen Set]],Table_NFI[Kitchen Set])</f>
        <v>0</v>
      </c>
      <c r="AF372" s="294">
        <f>IF(NFI_Expiration=1,IF($A372&lt;VLOOKUP(O$5,NFI,5,0),1,0)*Table_NFI[[#This Row],[Clothes Kit]],Table_NFI[Clothes Kit])</f>
        <v>0</v>
      </c>
      <c r="AG372" s="294">
        <f>IF(NFI_Expiration=1,IF($A372&lt;VLOOKUP(P$5,NFI,5,0),1,0)*Table_NFI[[#This Row],[Plastic Bucket]],Table_NFI[Plastic Bucket])</f>
        <v>0</v>
      </c>
      <c r="AH372" s="294">
        <f>IF(NFI_Expiration=1,IF($A372&lt;VLOOKUP(Q$5,NFI,5,0),1,0)*Table_NFI[[#This Row],[Plastic Mat]],Table_NFI[Plastic Mat])*IF(Table_NFI[[#This Row],[Distribution Date]]&gt;"2014-04-01",1,2.5)</f>
        <v>0</v>
      </c>
      <c r="AI372" s="294">
        <f>IF(NFI_Expiration=1,IF($A372&lt;VLOOKUP(R$5,NFI,5,0),1,0)*Table_NFI[[#This Row],[Winter Clothes Adult]],Table_NFI[Winter Clothes Adult])</f>
        <v>0</v>
      </c>
      <c r="AJ372" s="294">
        <f>IF(NFI_Expiration=1,IF($A372&lt;VLOOKUP(S$5,NFI,5,0),1,0)*Table_NFI[[#This Row],[Winter Clothes Children]],Table_NFI[Winter Clothes Children])</f>
        <v>0</v>
      </c>
      <c r="AK372" s="294">
        <f>IF(NFI_Expiration=1,IF($A372&lt;VLOOKUP(T$5,NFI,5,0),1,0)*Table_NFI[[#This Row],[Winter Items Other]],Table_NFI[Winter Items Other])</f>
        <v>0</v>
      </c>
      <c r="AL372" s="294">
        <f>IF(NFI_Expiration=1,IF($A372&lt;VLOOKUP(M$5,NFI,5,0),1,0)*Table_NFI[[#This Row],[Winter Blanket]],Table_NFI[[#This Row],[Winter Blanket]])</f>
        <v>0</v>
      </c>
      <c r="AM372" s="294">
        <f>IF(Table_NFI[[#This Row],[Winter Clothes Adult]]+Table_NFI[[#This Row],[Winter Clothes Children]]+Table_NFI[[#This Row],[Winter Items Other]]+Table_NFI[[#This Row],[Winter Blanket]]&gt;0,1,0)</f>
        <v>1</v>
      </c>
      <c r="AN372" s="331">
        <f>IF(NFI_Expiration=1,IF($A372&lt;VLOOKUP(V$5,NFI,5,0),1,0)*Table_NFI[[#This Row],[Jerry Can]],Table_NFI[Jerry Can])</f>
        <v>0</v>
      </c>
      <c r="AO372" s="331">
        <f>IF(NFI_Expiration=1,IF($A372&lt;VLOOKUP(V$5,NFI,5,0),1,0)*Table_NFI[[#This Row],[Shelter Tool kit]],Table_NFI[Shelter Tool kit])</f>
        <v>0</v>
      </c>
      <c r="AP372" s="331">
        <f>IF(NFI_Expiration=1,IF($A372&lt;VLOOKUP(V$5,NFI,5,0),1,0)*Table_NFI[[#This Row],[Tent]],Table_NFI[Tent])</f>
        <v>0</v>
      </c>
      <c r="AQ372" s="473" t="str">
        <f>IFERROR(VLOOKUP(Table_NFI[[#This Row],[Camp Name]],CL,2,0),"")</f>
        <v>MMR001CMP017</v>
      </c>
      <c r="AR372" s="468">
        <f ca="1">IF(Table_NFI[[#This Row],[Pcode]]="","",IF(OFFSET(CampList[Opening Date],MATCH(Table_NFI[[#This Row],[Pcode]],CampList[CP_Pcode],0)-1,0,1,1)&gt;=NFI_Monitor_Date,1,0))</f>
        <v>0</v>
      </c>
      <c r="AS372" s="473" t="str">
        <f>IFERROR(VLOOKUP(Table_NFI[[#This Row],[Camp Name]],CL,3,0),"")</f>
        <v>Closed</v>
      </c>
      <c r="AT372" s="294" t="str">
        <f ca="1">IF(Table_NFI[[#This Row],[Pcode]]="","",OFFSET(CampList[Priority],MATCH(Table_NFI[[#This Row],[Pcode]],CampList[CP_Pcode],0)-1,0,1,1))</f>
        <v>P4</v>
      </c>
      <c r="AU372" s="293" t="str">
        <f>IFERROR(Table_NFI[[#This Row],[Kitchen Set]]/VLOOKUP(Table_NFI[[#This Row],[Camp Name]],CL,4,0),"")</f>
        <v/>
      </c>
      <c r="AV372" s="466"/>
      <c r="AW372" s="469"/>
    </row>
    <row r="373" spans="1:49" s="470" customFormat="1" x14ac:dyDescent="0.25">
      <c r="A373" s="297">
        <f t="shared" si="5"/>
        <v>29.833333333333332</v>
      </c>
      <c r="B373" s="465">
        <v>41780</v>
      </c>
      <c r="C373" s="466" t="s">
        <v>1104</v>
      </c>
      <c r="D373" s="466" t="s">
        <v>900</v>
      </c>
      <c r="E373" s="466" t="s">
        <v>380</v>
      </c>
      <c r="F373" s="466" t="s">
        <v>237</v>
      </c>
      <c r="G373" s="466" t="s">
        <v>279</v>
      </c>
      <c r="H373" s="291"/>
      <c r="I373" s="291"/>
      <c r="J373" s="291"/>
      <c r="K373" s="291"/>
      <c r="L373" s="292"/>
      <c r="M373" s="292"/>
      <c r="N373" s="292"/>
      <c r="O373" s="292"/>
      <c r="P373" s="294"/>
      <c r="Q373" s="294"/>
      <c r="R373" s="294"/>
      <c r="S373" s="294"/>
      <c r="T373" s="294"/>
      <c r="U373" s="294">
        <v>30</v>
      </c>
      <c r="V373" s="431"/>
      <c r="W373" s="331"/>
      <c r="X373" s="331"/>
      <c r="Y373" s="294">
        <f>IF(NFI_Expiration=1,IF($A373&lt;VLOOKUP(H$5,NFI,5,0),1,0)*Table_NFI[[#This Row],[Hygiene Kit]],Table_NFI[Hygiene Kit])</f>
        <v>0</v>
      </c>
      <c r="Z373" s="294">
        <f>IF(NFI_Expiration=1,IF($A373&lt;VLOOKUP(I$5,NFI,5,0),1,0)*Table_NFI[[#This Row],[NFI Core Kit]],Table_NFI[NFI Core Kit])</f>
        <v>0</v>
      </c>
      <c r="AA373" s="294">
        <f>IF(NFI_Expiration=1,IF($A373&lt;VLOOKUP(J$5,NFI,5,0),1,0)*Table_NFI[[#This Row],[Sanitary Kit]],Table_NFI[Sanitary Kit])</f>
        <v>0</v>
      </c>
      <c r="AB373" s="294">
        <f>IF(NFI_Expiration=1,IF($A373&lt;VLOOKUP(K$5,NFI,5,0),1,0)*Table_NFI[[#This Row],[Mosquito net]],Table_NFI[Mosquito net])</f>
        <v>0</v>
      </c>
      <c r="AC373" s="294">
        <f>IF(NFI_Expiration=1,IF($A373&lt;VLOOKUP(L$5,NFI,5,0),1,0)*Table_NFI[[#This Row],[Tarpaulin]],Table_NFI[[#This Row],[Tarpaulin]])</f>
        <v>0</v>
      </c>
      <c r="AD373" s="294">
        <f>IF(NFI_Expiration=1,IF($A373&lt;VLOOKUP(M$5,NFI,5,0),1,0)*Table_NFI[[#This Row],[Blanket]],Table_NFI[[#This Row],[Blanket]])</f>
        <v>0</v>
      </c>
      <c r="AE373" s="294">
        <f>IF(NFI_Expiration=1,IF($A373&lt;VLOOKUP(N$5,NFI,5,0),1,0)*Table_NFI[[#This Row],[Kitchen Set]],Table_NFI[Kitchen Set])</f>
        <v>0</v>
      </c>
      <c r="AF373" s="294">
        <f>IF(NFI_Expiration=1,IF($A373&lt;VLOOKUP(O$5,NFI,5,0),1,0)*Table_NFI[[#This Row],[Clothes Kit]],Table_NFI[Clothes Kit])</f>
        <v>0</v>
      </c>
      <c r="AG373" s="294">
        <f>IF(NFI_Expiration=1,IF($A373&lt;VLOOKUP(P$5,NFI,5,0),1,0)*Table_NFI[[#This Row],[Plastic Bucket]],Table_NFI[Plastic Bucket])</f>
        <v>0</v>
      </c>
      <c r="AH373" s="294">
        <f>IF(NFI_Expiration=1,IF($A373&lt;VLOOKUP(Q$5,NFI,5,0),1,0)*Table_NFI[[#This Row],[Plastic Mat]],Table_NFI[Plastic Mat])*IF(Table_NFI[[#This Row],[Distribution Date]]&gt;"2014-04-01",1,2.5)</f>
        <v>0</v>
      </c>
      <c r="AI373" s="294">
        <f>IF(NFI_Expiration=1,IF($A373&lt;VLOOKUP(R$5,NFI,5,0),1,0)*Table_NFI[[#This Row],[Winter Clothes Adult]],Table_NFI[Winter Clothes Adult])</f>
        <v>0</v>
      </c>
      <c r="AJ373" s="294">
        <f>IF(NFI_Expiration=1,IF($A373&lt;VLOOKUP(S$5,NFI,5,0),1,0)*Table_NFI[[#This Row],[Winter Clothes Children]],Table_NFI[Winter Clothes Children])</f>
        <v>0</v>
      </c>
      <c r="AK373" s="294">
        <f>IF(NFI_Expiration=1,IF($A373&lt;VLOOKUP(T$5,NFI,5,0),1,0)*Table_NFI[[#This Row],[Winter Items Other]],Table_NFI[Winter Items Other])</f>
        <v>0</v>
      </c>
      <c r="AL373" s="294">
        <f>IF(NFI_Expiration=1,IF($A373&lt;VLOOKUP(M$5,NFI,5,0),1,0)*Table_NFI[[#This Row],[Winter Blanket]],Table_NFI[[#This Row],[Winter Blanket]])</f>
        <v>0</v>
      </c>
      <c r="AM373" s="294">
        <f>IF(Table_NFI[[#This Row],[Winter Clothes Adult]]+Table_NFI[[#This Row],[Winter Clothes Children]]+Table_NFI[[#This Row],[Winter Items Other]]+Table_NFI[[#This Row],[Winter Blanket]]&gt;0,1,0)</f>
        <v>1</v>
      </c>
      <c r="AN373" s="331">
        <f>IF(NFI_Expiration=1,IF($A373&lt;VLOOKUP(V$5,NFI,5,0),1,0)*Table_NFI[[#This Row],[Jerry Can]],Table_NFI[Jerry Can])</f>
        <v>0</v>
      </c>
      <c r="AO373" s="331">
        <f>IF(NFI_Expiration=1,IF($A373&lt;VLOOKUP(V$5,NFI,5,0),1,0)*Table_NFI[[#This Row],[Shelter Tool kit]],Table_NFI[Shelter Tool kit])</f>
        <v>0</v>
      </c>
      <c r="AP373" s="331">
        <f>IF(NFI_Expiration=1,IF($A373&lt;VLOOKUP(V$5,NFI,5,0),1,0)*Table_NFI[[#This Row],[Tent]],Table_NFI[Tent])</f>
        <v>0</v>
      </c>
      <c r="AQ373" s="473" t="str">
        <f>IFERROR(VLOOKUP(Table_NFI[[#This Row],[Camp Name]],CL,2,0),"")</f>
        <v>MMR001CMP007</v>
      </c>
      <c r="AR373" s="468">
        <f ca="1">IF(Table_NFI[[#This Row],[Pcode]]="","",IF(OFFSET(CampList[Opening Date],MATCH(Table_NFI[[#This Row],[Pcode]],CampList[CP_Pcode],0)-1,0,1,1)&gt;=NFI_Monitor_Date,1,0))</f>
        <v>0</v>
      </c>
      <c r="AS373" s="473" t="str">
        <f>IFERROR(VLOOKUP(Table_NFI[[#This Row],[Camp Name]],CL,3,0),"")</f>
        <v>Open</v>
      </c>
      <c r="AT373" s="294" t="str">
        <f ca="1">IF(Table_NFI[[#This Row],[Pcode]]="","",OFFSET(CampList[Priority],MATCH(Table_NFI[[#This Row],[Pcode]],CampList[CP_Pcode],0)-1,0,1,1))</f>
        <v>P4</v>
      </c>
      <c r="AU373" s="293">
        <f>IFERROR(Table_NFI[[#This Row],[Kitchen Set]]/VLOOKUP(Table_NFI[[#This Row],[Camp Name]],CL,4,0),"")</f>
        <v>0</v>
      </c>
      <c r="AV373" s="466"/>
      <c r="AW373" s="469"/>
    </row>
    <row r="374" spans="1:49" s="470" customFormat="1" x14ac:dyDescent="0.25">
      <c r="A374" s="297">
        <f t="shared" si="5"/>
        <v>29.833333333333332</v>
      </c>
      <c r="B374" s="465">
        <v>41780</v>
      </c>
      <c r="C374" s="466" t="s">
        <v>1104</v>
      </c>
      <c r="D374" s="466" t="s">
        <v>900</v>
      </c>
      <c r="E374" s="466" t="s">
        <v>380</v>
      </c>
      <c r="F374" s="466" t="s">
        <v>310</v>
      </c>
      <c r="G374" s="466" t="s">
        <v>349</v>
      </c>
      <c r="H374" s="291"/>
      <c r="I374" s="291"/>
      <c r="J374" s="291"/>
      <c r="K374" s="291"/>
      <c r="L374" s="292"/>
      <c r="M374" s="292"/>
      <c r="N374" s="292"/>
      <c r="O374" s="292"/>
      <c r="P374" s="294"/>
      <c r="Q374" s="294"/>
      <c r="R374" s="294"/>
      <c r="S374" s="294"/>
      <c r="T374" s="294"/>
      <c r="U374" s="294">
        <v>136</v>
      </c>
      <c r="V374" s="431"/>
      <c r="W374" s="331"/>
      <c r="X374" s="331"/>
      <c r="Y374" s="294">
        <f>IF(NFI_Expiration=1,IF($A374&lt;VLOOKUP(H$5,NFI,5,0),1,0)*Table_NFI[[#This Row],[Hygiene Kit]],Table_NFI[Hygiene Kit])</f>
        <v>0</v>
      </c>
      <c r="Z374" s="294">
        <f>IF(NFI_Expiration=1,IF($A374&lt;VLOOKUP(I$5,NFI,5,0),1,0)*Table_NFI[[#This Row],[NFI Core Kit]],Table_NFI[NFI Core Kit])</f>
        <v>0</v>
      </c>
      <c r="AA374" s="294">
        <f>IF(NFI_Expiration=1,IF($A374&lt;VLOOKUP(J$5,NFI,5,0),1,0)*Table_NFI[[#This Row],[Sanitary Kit]],Table_NFI[Sanitary Kit])</f>
        <v>0</v>
      </c>
      <c r="AB374" s="294">
        <f>IF(NFI_Expiration=1,IF($A374&lt;VLOOKUP(K$5,NFI,5,0),1,0)*Table_NFI[[#This Row],[Mosquito net]],Table_NFI[Mosquito net])</f>
        <v>0</v>
      </c>
      <c r="AC374" s="294">
        <f>IF(NFI_Expiration=1,IF($A374&lt;VLOOKUP(L$5,NFI,5,0),1,0)*Table_NFI[[#This Row],[Tarpaulin]],Table_NFI[[#This Row],[Tarpaulin]])</f>
        <v>0</v>
      </c>
      <c r="AD374" s="294">
        <f>IF(NFI_Expiration=1,IF($A374&lt;VLOOKUP(M$5,NFI,5,0),1,0)*Table_NFI[[#This Row],[Blanket]],Table_NFI[[#This Row],[Blanket]])</f>
        <v>0</v>
      </c>
      <c r="AE374" s="294">
        <f>IF(NFI_Expiration=1,IF($A374&lt;VLOOKUP(N$5,NFI,5,0),1,0)*Table_NFI[[#This Row],[Kitchen Set]],Table_NFI[Kitchen Set])</f>
        <v>0</v>
      </c>
      <c r="AF374" s="294">
        <f>IF(NFI_Expiration=1,IF($A374&lt;VLOOKUP(O$5,NFI,5,0),1,0)*Table_NFI[[#This Row],[Clothes Kit]],Table_NFI[Clothes Kit])</f>
        <v>0</v>
      </c>
      <c r="AG374" s="294">
        <f>IF(NFI_Expiration=1,IF($A374&lt;VLOOKUP(P$5,NFI,5,0),1,0)*Table_NFI[[#This Row],[Plastic Bucket]],Table_NFI[Plastic Bucket])</f>
        <v>0</v>
      </c>
      <c r="AH374" s="294">
        <f>IF(NFI_Expiration=1,IF($A374&lt;VLOOKUP(Q$5,NFI,5,0),1,0)*Table_NFI[[#This Row],[Plastic Mat]],Table_NFI[Plastic Mat])*IF(Table_NFI[[#This Row],[Distribution Date]]&gt;"2014-04-01",1,2.5)</f>
        <v>0</v>
      </c>
      <c r="AI374" s="294">
        <f>IF(NFI_Expiration=1,IF($A374&lt;VLOOKUP(R$5,NFI,5,0),1,0)*Table_NFI[[#This Row],[Winter Clothes Adult]],Table_NFI[Winter Clothes Adult])</f>
        <v>0</v>
      </c>
      <c r="AJ374" s="294">
        <f>IF(NFI_Expiration=1,IF($A374&lt;VLOOKUP(S$5,NFI,5,0),1,0)*Table_NFI[[#This Row],[Winter Clothes Children]],Table_NFI[Winter Clothes Children])</f>
        <v>0</v>
      </c>
      <c r="AK374" s="294">
        <f>IF(NFI_Expiration=1,IF($A374&lt;VLOOKUP(T$5,NFI,5,0),1,0)*Table_NFI[[#This Row],[Winter Items Other]],Table_NFI[Winter Items Other])</f>
        <v>0</v>
      </c>
      <c r="AL374" s="294">
        <f>IF(NFI_Expiration=1,IF($A374&lt;VLOOKUP(M$5,NFI,5,0),1,0)*Table_NFI[[#This Row],[Winter Blanket]],Table_NFI[[#This Row],[Winter Blanket]])</f>
        <v>0</v>
      </c>
      <c r="AM374" s="294">
        <f>IF(Table_NFI[[#This Row],[Winter Clothes Adult]]+Table_NFI[[#This Row],[Winter Clothes Children]]+Table_NFI[[#This Row],[Winter Items Other]]+Table_NFI[[#This Row],[Winter Blanket]]&gt;0,1,0)</f>
        <v>1</v>
      </c>
      <c r="AN374" s="331">
        <f>IF(NFI_Expiration=1,IF($A374&lt;VLOOKUP(V$5,NFI,5,0),1,0)*Table_NFI[[#This Row],[Jerry Can]],Table_NFI[Jerry Can])</f>
        <v>0</v>
      </c>
      <c r="AO374" s="331">
        <f>IF(NFI_Expiration=1,IF($A374&lt;VLOOKUP(V$5,NFI,5,0),1,0)*Table_NFI[[#This Row],[Shelter Tool kit]],Table_NFI[Shelter Tool kit])</f>
        <v>0</v>
      </c>
      <c r="AP374" s="331">
        <f>IF(NFI_Expiration=1,IF($A374&lt;VLOOKUP(V$5,NFI,5,0),1,0)*Table_NFI[[#This Row],[Tent]],Table_NFI[Tent])</f>
        <v>0</v>
      </c>
      <c r="AQ374" s="473" t="str">
        <f>IFERROR(VLOOKUP(Table_NFI[[#This Row],[Camp Name]],CL,2,0),"")</f>
        <v>MMR001CMP037</v>
      </c>
      <c r="AR374" s="468">
        <f ca="1">IF(Table_NFI[[#This Row],[Pcode]]="","",IF(OFFSET(CampList[Opening Date],MATCH(Table_NFI[[#This Row],[Pcode]],CampList[CP_Pcode],0)-1,0,1,1)&gt;=NFI_Monitor_Date,1,0))</f>
        <v>0</v>
      </c>
      <c r="AS374" s="473" t="str">
        <f>IFERROR(VLOOKUP(Table_NFI[[#This Row],[Camp Name]],CL,3,0),"")</f>
        <v>Open</v>
      </c>
      <c r="AT374" s="294" t="str">
        <f ca="1">IF(Table_NFI[[#This Row],[Pcode]]="","",OFFSET(CampList[Priority],MATCH(Table_NFI[[#This Row],[Pcode]],CampList[CP_Pcode],0)-1,0,1,1))</f>
        <v>P4</v>
      </c>
      <c r="AU374" s="293">
        <f>IFERROR(Table_NFI[[#This Row],[Kitchen Set]]/VLOOKUP(Table_NFI[[#This Row],[Camp Name]],CL,4,0),"")</f>
        <v>0</v>
      </c>
      <c r="AV374" s="466"/>
      <c r="AW374" s="469"/>
    </row>
    <row r="375" spans="1:49" s="470" customFormat="1" x14ac:dyDescent="0.25">
      <c r="A375" s="297">
        <f t="shared" si="5"/>
        <v>29.866666666666667</v>
      </c>
      <c r="B375" s="465">
        <v>41779</v>
      </c>
      <c r="C375" s="466" t="s">
        <v>1104</v>
      </c>
      <c r="D375" s="466" t="s">
        <v>900</v>
      </c>
      <c r="E375" s="466" t="s">
        <v>380</v>
      </c>
      <c r="F375" s="466" t="s">
        <v>237</v>
      </c>
      <c r="G375" s="466" t="s">
        <v>257</v>
      </c>
      <c r="H375" s="291"/>
      <c r="I375" s="291"/>
      <c r="J375" s="291"/>
      <c r="K375" s="291"/>
      <c r="L375" s="292"/>
      <c r="M375" s="292"/>
      <c r="N375" s="292"/>
      <c r="O375" s="292"/>
      <c r="P375" s="294"/>
      <c r="Q375" s="294"/>
      <c r="R375" s="294"/>
      <c r="S375" s="294"/>
      <c r="T375" s="294"/>
      <c r="U375" s="294">
        <v>88</v>
      </c>
      <c r="V375" s="622"/>
      <c r="W375" s="331"/>
      <c r="X375" s="331"/>
      <c r="Y375" s="294">
        <f>IF(NFI_Expiration=1,IF($A375&lt;VLOOKUP(H$5,NFI,5,0),1,0)*Table_NFI[[#This Row],[Hygiene Kit]],Table_NFI[Hygiene Kit])</f>
        <v>0</v>
      </c>
      <c r="Z375" s="294">
        <f>IF(NFI_Expiration=1,IF($A375&lt;VLOOKUP(I$5,NFI,5,0),1,0)*Table_NFI[[#This Row],[NFI Core Kit]],Table_NFI[NFI Core Kit])</f>
        <v>0</v>
      </c>
      <c r="AA375" s="294">
        <f>IF(NFI_Expiration=1,IF($A375&lt;VLOOKUP(J$5,NFI,5,0),1,0)*Table_NFI[[#This Row],[Sanitary Kit]],Table_NFI[Sanitary Kit])</f>
        <v>0</v>
      </c>
      <c r="AB375" s="294">
        <f>IF(NFI_Expiration=1,IF($A375&lt;VLOOKUP(K$5,NFI,5,0),1,0)*Table_NFI[[#This Row],[Mosquito net]],Table_NFI[Mosquito net])</f>
        <v>0</v>
      </c>
      <c r="AC375" s="294">
        <f>IF(NFI_Expiration=1,IF($A375&lt;VLOOKUP(L$5,NFI,5,0),1,0)*Table_NFI[[#This Row],[Tarpaulin]],Table_NFI[[#This Row],[Tarpaulin]])</f>
        <v>0</v>
      </c>
      <c r="AD375" s="294">
        <f>IF(NFI_Expiration=1,IF($A375&lt;VLOOKUP(M$5,NFI,5,0),1,0)*Table_NFI[[#This Row],[Blanket]],Table_NFI[[#This Row],[Blanket]])</f>
        <v>0</v>
      </c>
      <c r="AE375" s="294">
        <f>IF(NFI_Expiration=1,IF($A375&lt;VLOOKUP(N$5,NFI,5,0),1,0)*Table_NFI[[#This Row],[Kitchen Set]],Table_NFI[Kitchen Set])</f>
        <v>0</v>
      </c>
      <c r="AF375" s="294">
        <f>IF(NFI_Expiration=1,IF($A375&lt;VLOOKUP(O$5,NFI,5,0),1,0)*Table_NFI[[#This Row],[Clothes Kit]],Table_NFI[Clothes Kit])</f>
        <v>0</v>
      </c>
      <c r="AG375" s="294">
        <f>IF(NFI_Expiration=1,IF($A375&lt;VLOOKUP(P$5,NFI,5,0),1,0)*Table_NFI[[#This Row],[Plastic Bucket]],Table_NFI[Plastic Bucket])</f>
        <v>0</v>
      </c>
      <c r="AH375" s="294">
        <f>IF(NFI_Expiration=1,IF($A375&lt;VLOOKUP(Q$5,NFI,5,0),1,0)*Table_NFI[[#This Row],[Plastic Mat]],Table_NFI[Plastic Mat])*IF(Table_NFI[[#This Row],[Distribution Date]]&gt;"2014-04-01",1,2.5)</f>
        <v>0</v>
      </c>
      <c r="AI375" s="294">
        <f>IF(NFI_Expiration=1,IF($A375&lt;VLOOKUP(R$5,NFI,5,0),1,0)*Table_NFI[[#This Row],[Winter Clothes Adult]],Table_NFI[Winter Clothes Adult])</f>
        <v>0</v>
      </c>
      <c r="AJ375" s="294">
        <f>IF(NFI_Expiration=1,IF($A375&lt;VLOOKUP(S$5,NFI,5,0),1,0)*Table_NFI[[#This Row],[Winter Clothes Children]],Table_NFI[Winter Clothes Children])</f>
        <v>0</v>
      </c>
      <c r="AK375" s="294">
        <f>IF(NFI_Expiration=1,IF($A375&lt;VLOOKUP(T$5,NFI,5,0),1,0)*Table_NFI[[#This Row],[Winter Items Other]],Table_NFI[Winter Items Other])</f>
        <v>0</v>
      </c>
      <c r="AL375" s="294">
        <f>IF(NFI_Expiration=1,IF($A375&lt;VLOOKUP(M$5,NFI,5,0),1,0)*Table_NFI[[#This Row],[Winter Blanket]],Table_NFI[[#This Row],[Winter Blanket]])</f>
        <v>0</v>
      </c>
      <c r="AM375" s="294">
        <f>IF(Table_NFI[[#This Row],[Winter Clothes Adult]]+Table_NFI[[#This Row],[Winter Clothes Children]]+Table_NFI[[#This Row],[Winter Items Other]]+Table_NFI[[#This Row],[Winter Blanket]]&gt;0,1,0)</f>
        <v>1</v>
      </c>
      <c r="AN375" s="331">
        <f>IF(NFI_Expiration=1,IF($A375&lt;VLOOKUP(V$5,NFI,5,0),1,0)*Table_NFI[[#This Row],[Jerry Can]],Table_NFI[Jerry Can])</f>
        <v>0</v>
      </c>
      <c r="AO375" s="331">
        <f>IF(NFI_Expiration=1,IF($A375&lt;VLOOKUP(V$5,NFI,5,0),1,0)*Table_NFI[[#This Row],[Shelter Tool kit]],Table_NFI[Shelter Tool kit])</f>
        <v>0</v>
      </c>
      <c r="AP375" s="331">
        <f>IF(NFI_Expiration=1,IF($A375&lt;VLOOKUP(V$5,NFI,5,0),1,0)*Table_NFI[[#This Row],[Tent]],Table_NFI[Tent])</f>
        <v>0</v>
      </c>
      <c r="AQ375" s="473" t="str">
        <f>IFERROR(VLOOKUP(Table_NFI[[#This Row],[Camp Name]],CL,2,0),"")</f>
        <v>MMR001CMP013</v>
      </c>
      <c r="AR375" s="468">
        <f ca="1">IF(Table_NFI[[#This Row],[Pcode]]="","",IF(OFFSET(CampList[Opening Date],MATCH(Table_NFI[[#This Row],[Pcode]],CampList[CP_Pcode],0)-1,0,1,1)&gt;=NFI_Monitor_Date,1,0))</f>
        <v>0</v>
      </c>
      <c r="AS375" s="473" t="str">
        <f>IFERROR(VLOOKUP(Table_NFI[[#This Row],[Camp Name]],CL,3,0),"")</f>
        <v>Open</v>
      </c>
      <c r="AT375" s="294" t="str">
        <f ca="1">IF(Table_NFI[[#This Row],[Pcode]]="","",OFFSET(CampList[Priority],MATCH(Table_NFI[[#This Row],[Pcode]],CampList[CP_Pcode],0)-1,0,1,1))</f>
        <v>P4</v>
      </c>
      <c r="AU375" s="293">
        <f>IFERROR(Table_NFI[[#This Row],[Kitchen Set]]/VLOOKUP(Table_NFI[[#This Row],[Camp Name]],CL,4,0),"")</f>
        <v>0</v>
      </c>
      <c r="AV375" s="466"/>
      <c r="AW375" s="469"/>
    </row>
    <row r="376" spans="1:49" s="470" customFormat="1" x14ac:dyDescent="0.25">
      <c r="A376" s="297">
        <f t="shared" si="5"/>
        <v>29.866666666666667</v>
      </c>
      <c r="B376" s="465">
        <v>41779</v>
      </c>
      <c r="C376" s="466" t="s">
        <v>1104</v>
      </c>
      <c r="D376" s="466" t="s">
        <v>900</v>
      </c>
      <c r="E376" s="466" t="s">
        <v>380</v>
      </c>
      <c r="F376" s="466" t="s">
        <v>237</v>
      </c>
      <c r="G376" s="466" t="s">
        <v>240</v>
      </c>
      <c r="H376" s="291"/>
      <c r="I376" s="291"/>
      <c r="J376" s="291"/>
      <c r="K376" s="291"/>
      <c r="L376" s="292"/>
      <c r="M376" s="292"/>
      <c r="N376" s="292"/>
      <c r="O376" s="292"/>
      <c r="P376" s="294"/>
      <c r="Q376" s="294"/>
      <c r="R376" s="294"/>
      <c r="S376" s="294"/>
      <c r="T376" s="294"/>
      <c r="U376" s="294">
        <v>188</v>
      </c>
      <c r="V376" s="431"/>
      <c r="W376" s="331"/>
      <c r="X376" s="331"/>
      <c r="Y376" s="294">
        <f>IF(NFI_Expiration=1,IF($A376&lt;VLOOKUP(H$5,NFI,5,0),1,0)*Table_NFI[[#This Row],[Hygiene Kit]],Table_NFI[Hygiene Kit])</f>
        <v>0</v>
      </c>
      <c r="Z376" s="294">
        <f>IF(NFI_Expiration=1,IF($A376&lt;VLOOKUP(I$5,NFI,5,0),1,0)*Table_NFI[[#This Row],[NFI Core Kit]],Table_NFI[NFI Core Kit])</f>
        <v>0</v>
      </c>
      <c r="AA376" s="294">
        <f>IF(NFI_Expiration=1,IF($A376&lt;VLOOKUP(J$5,NFI,5,0),1,0)*Table_NFI[[#This Row],[Sanitary Kit]],Table_NFI[Sanitary Kit])</f>
        <v>0</v>
      </c>
      <c r="AB376" s="294">
        <f>IF(NFI_Expiration=1,IF($A376&lt;VLOOKUP(K$5,NFI,5,0),1,0)*Table_NFI[[#This Row],[Mosquito net]],Table_NFI[Mosquito net])</f>
        <v>0</v>
      </c>
      <c r="AC376" s="294">
        <f>IF(NFI_Expiration=1,IF($A376&lt;VLOOKUP(L$5,NFI,5,0),1,0)*Table_NFI[[#This Row],[Tarpaulin]],Table_NFI[[#This Row],[Tarpaulin]])</f>
        <v>0</v>
      </c>
      <c r="AD376" s="294">
        <f>IF(NFI_Expiration=1,IF($A376&lt;VLOOKUP(M$5,NFI,5,0),1,0)*Table_NFI[[#This Row],[Blanket]],Table_NFI[[#This Row],[Blanket]])</f>
        <v>0</v>
      </c>
      <c r="AE376" s="294">
        <f>IF(NFI_Expiration=1,IF($A376&lt;VLOOKUP(N$5,NFI,5,0),1,0)*Table_NFI[[#This Row],[Kitchen Set]],Table_NFI[Kitchen Set])</f>
        <v>0</v>
      </c>
      <c r="AF376" s="294">
        <f>IF(NFI_Expiration=1,IF($A376&lt;VLOOKUP(O$5,NFI,5,0),1,0)*Table_NFI[[#This Row],[Clothes Kit]],Table_NFI[Clothes Kit])</f>
        <v>0</v>
      </c>
      <c r="AG376" s="294">
        <f>IF(NFI_Expiration=1,IF($A376&lt;VLOOKUP(P$5,NFI,5,0),1,0)*Table_NFI[[#This Row],[Plastic Bucket]],Table_NFI[Plastic Bucket])</f>
        <v>0</v>
      </c>
      <c r="AH376" s="294">
        <f>IF(NFI_Expiration=1,IF($A376&lt;VLOOKUP(Q$5,NFI,5,0),1,0)*Table_NFI[[#This Row],[Plastic Mat]],Table_NFI[Plastic Mat])*IF(Table_NFI[[#This Row],[Distribution Date]]&gt;"2014-04-01",1,2.5)</f>
        <v>0</v>
      </c>
      <c r="AI376" s="294">
        <f>IF(NFI_Expiration=1,IF($A376&lt;VLOOKUP(R$5,NFI,5,0),1,0)*Table_NFI[[#This Row],[Winter Clothes Adult]],Table_NFI[Winter Clothes Adult])</f>
        <v>0</v>
      </c>
      <c r="AJ376" s="294">
        <f>IF(NFI_Expiration=1,IF($A376&lt;VLOOKUP(S$5,NFI,5,0),1,0)*Table_NFI[[#This Row],[Winter Clothes Children]],Table_NFI[Winter Clothes Children])</f>
        <v>0</v>
      </c>
      <c r="AK376" s="294">
        <f>IF(NFI_Expiration=1,IF($A376&lt;VLOOKUP(T$5,NFI,5,0),1,0)*Table_NFI[[#This Row],[Winter Items Other]],Table_NFI[Winter Items Other])</f>
        <v>0</v>
      </c>
      <c r="AL376" s="294">
        <f>IF(NFI_Expiration=1,IF($A376&lt;VLOOKUP(M$5,NFI,5,0),1,0)*Table_NFI[[#This Row],[Winter Blanket]],Table_NFI[[#This Row],[Winter Blanket]])</f>
        <v>0</v>
      </c>
      <c r="AM376" s="294">
        <f>IF(Table_NFI[[#This Row],[Winter Clothes Adult]]+Table_NFI[[#This Row],[Winter Clothes Children]]+Table_NFI[[#This Row],[Winter Items Other]]+Table_NFI[[#This Row],[Winter Blanket]]&gt;0,1,0)</f>
        <v>1</v>
      </c>
      <c r="AN376" s="331">
        <f>IF(NFI_Expiration=1,IF($A376&lt;VLOOKUP(V$5,NFI,5,0),1,0)*Table_NFI[[#This Row],[Jerry Can]],Table_NFI[Jerry Can])</f>
        <v>0</v>
      </c>
      <c r="AO376" s="331">
        <f>IF(NFI_Expiration=1,IF($A376&lt;VLOOKUP(V$5,NFI,5,0),1,0)*Table_NFI[[#This Row],[Shelter Tool kit]],Table_NFI[Shelter Tool kit])</f>
        <v>0</v>
      </c>
      <c r="AP376" s="331">
        <f>IF(NFI_Expiration=1,IF($A376&lt;VLOOKUP(V$5,NFI,5,0),1,0)*Table_NFI[[#This Row],[Tent]],Table_NFI[Tent])</f>
        <v>0</v>
      </c>
      <c r="AQ376" s="473" t="str">
        <f>IFERROR(VLOOKUP(Table_NFI[[#This Row],[Camp Name]],CL,2,0),"")</f>
        <v>MMR001CMP015</v>
      </c>
      <c r="AR376" s="468">
        <f ca="1">IF(Table_NFI[[#This Row],[Pcode]]="","",IF(OFFSET(CampList[Opening Date],MATCH(Table_NFI[[#This Row],[Pcode]],CampList[CP_Pcode],0)-1,0,1,1)&gt;=NFI_Monitor_Date,1,0))</f>
        <v>0</v>
      </c>
      <c r="AS376" s="473" t="str">
        <f>IFERROR(VLOOKUP(Table_NFI[[#This Row],[Camp Name]],CL,3,0),"")</f>
        <v>Open</v>
      </c>
      <c r="AT376" s="294" t="str">
        <f ca="1">IF(Table_NFI[[#This Row],[Pcode]]="","",OFFSET(CampList[Priority],MATCH(Table_NFI[[#This Row],[Pcode]],CampList[CP_Pcode],0)-1,0,1,1))</f>
        <v>P4</v>
      </c>
      <c r="AU376" s="293">
        <f>IFERROR(Table_NFI[[#This Row],[Kitchen Set]]/VLOOKUP(Table_NFI[[#This Row],[Camp Name]],CL,4,0),"")</f>
        <v>0</v>
      </c>
      <c r="AV376" s="466"/>
      <c r="AW376" s="469"/>
    </row>
    <row r="377" spans="1:49" s="470" customFormat="1" x14ac:dyDescent="0.25">
      <c r="A377" s="297">
        <f t="shared" si="5"/>
        <v>29.866666666666667</v>
      </c>
      <c r="B377" s="465">
        <v>41779</v>
      </c>
      <c r="C377" s="466" t="s">
        <v>1104</v>
      </c>
      <c r="D377" s="466" t="s">
        <v>900</v>
      </c>
      <c r="E377" s="466" t="s">
        <v>380</v>
      </c>
      <c r="F377" s="466" t="s">
        <v>237</v>
      </c>
      <c r="G377" s="466" t="s">
        <v>285</v>
      </c>
      <c r="H377" s="291"/>
      <c r="I377" s="291"/>
      <c r="J377" s="291"/>
      <c r="K377" s="291"/>
      <c r="L377" s="292"/>
      <c r="M377" s="292"/>
      <c r="N377" s="292"/>
      <c r="O377" s="292"/>
      <c r="P377" s="294"/>
      <c r="Q377" s="294"/>
      <c r="R377" s="294"/>
      <c r="S377" s="294"/>
      <c r="T377" s="294"/>
      <c r="U377" s="294">
        <v>278</v>
      </c>
      <c r="V377" s="431"/>
      <c r="W377" s="331"/>
      <c r="X377" s="331"/>
      <c r="Y377" s="294">
        <f>IF(NFI_Expiration=1,IF($A377&lt;VLOOKUP(H$5,NFI,5,0),1,0)*Table_NFI[[#This Row],[Hygiene Kit]],Table_NFI[Hygiene Kit])</f>
        <v>0</v>
      </c>
      <c r="Z377" s="294">
        <f>IF(NFI_Expiration=1,IF($A377&lt;VLOOKUP(I$5,NFI,5,0),1,0)*Table_NFI[[#This Row],[NFI Core Kit]],Table_NFI[NFI Core Kit])</f>
        <v>0</v>
      </c>
      <c r="AA377" s="294">
        <f>IF(NFI_Expiration=1,IF($A377&lt;VLOOKUP(J$5,NFI,5,0),1,0)*Table_NFI[[#This Row],[Sanitary Kit]],Table_NFI[Sanitary Kit])</f>
        <v>0</v>
      </c>
      <c r="AB377" s="294">
        <f>IF(NFI_Expiration=1,IF($A377&lt;VLOOKUP(K$5,NFI,5,0),1,0)*Table_NFI[[#This Row],[Mosquito net]],Table_NFI[Mosquito net])</f>
        <v>0</v>
      </c>
      <c r="AC377" s="294">
        <f>IF(NFI_Expiration=1,IF($A377&lt;VLOOKUP(L$5,NFI,5,0),1,0)*Table_NFI[[#This Row],[Tarpaulin]],Table_NFI[[#This Row],[Tarpaulin]])</f>
        <v>0</v>
      </c>
      <c r="AD377" s="294">
        <f>IF(NFI_Expiration=1,IF($A377&lt;VLOOKUP(M$5,NFI,5,0),1,0)*Table_NFI[[#This Row],[Blanket]],Table_NFI[[#This Row],[Blanket]])</f>
        <v>0</v>
      </c>
      <c r="AE377" s="294">
        <f>IF(NFI_Expiration=1,IF($A377&lt;VLOOKUP(N$5,NFI,5,0),1,0)*Table_NFI[[#This Row],[Kitchen Set]],Table_NFI[Kitchen Set])</f>
        <v>0</v>
      </c>
      <c r="AF377" s="294">
        <f>IF(NFI_Expiration=1,IF($A377&lt;VLOOKUP(O$5,NFI,5,0),1,0)*Table_NFI[[#This Row],[Clothes Kit]],Table_NFI[Clothes Kit])</f>
        <v>0</v>
      </c>
      <c r="AG377" s="294">
        <f>IF(NFI_Expiration=1,IF($A377&lt;VLOOKUP(P$5,NFI,5,0),1,0)*Table_NFI[[#This Row],[Plastic Bucket]],Table_NFI[Plastic Bucket])</f>
        <v>0</v>
      </c>
      <c r="AH377" s="294">
        <f>IF(NFI_Expiration=1,IF($A377&lt;VLOOKUP(Q$5,NFI,5,0),1,0)*Table_NFI[[#This Row],[Plastic Mat]],Table_NFI[Plastic Mat])*IF(Table_NFI[[#This Row],[Distribution Date]]&gt;"2014-04-01",1,2.5)</f>
        <v>0</v>
      </c>
      <c r="AI377" s="294">
        <f>IF(NFI_Expiration=1,IF($A377&lt;VLOOKUP(R$5,NFI,5,0),1,0)*Table_NFI[[#This Row],[Winter Clothes Adult]],Table_NFI[Winter Clothes Adult])</f>
        <v>0</v>
      </c>
      <c r="AJ377" s="294">
        <f>IF(NFI_Expiration=1,IF($A377&lt;VLOOKUP(S$5,NFI,5,0),1,0)*Table_NFI[[#This Row],[Winter Clothes Children]],Table_NFI[Winter Clothes Children])</f>
        <v>0</v>
      </c>
      <c r="AK377" s="294">
        <f>IF(NFI_Expiration=1,IF($A377&lt;VLOOKUP(T$5,NFI,5,0),1,0)*Table_NFI[[#This Row],[Winter Items Other]],Table_NFI[Winter Items Other])</f>
        <v>0</v>
      </c>
      <c r="AL377" s="294">
        <f>IF(NFI_Expiration=1,IF($A377&lt;VLOOKUP(M$5,NFI,5,0),1,0)*Table_NFI[[#This Row],[Winter Blanket]],Table_NFI[[#This Row],[Winter Blanket]])</f>
        <v>0</v>
      </c>
      <c r="AM377" s="294">
        <f>IF(Table_NFI[[#This Row],[Winter Clothes Adult]]+Table_NFI[[#This Row],[Winter Clothes Children]]+Table_NFI[[#This Row],[Winter Items Other]]+Table_NFI[[#This Row],[Winter Blanket]]&gt;0,1,0)</f>
        <v>1</v>
      </c>
      <c r="AN377" s="331">
        <f>IF(NFI_Expiration=1,IF($A377&lt;VLOOKUP(V$5,NFI,5,0),1,0)*Table_NFI[[#This Row],[Jerry Can]],Table_NFI[Jerry Can])</f>
        <v>0</v>
      </c>
      <c r="AO377" s="331">
        <f>IF(NFI_Expiration=1,IF($A377&lt;VLOOKUP(V$5,NFI,5,0),1,0)*Table_NFI[[#This Row],[Shelter Tool kit]],Table_NFI[Shelter Tool kit])</f>
        <v>0</v>
      </c>
      <c r="AP377" s="331">
        <f>IF(NFI_Expiration=1,IF($A377&lt;VLOOKUP(V$5,NFI,5,0),1,0)*Table_NFI[[#This Row],[Tent]],Table_NFI[Tent])</f>
        <v>0</v>
      </c>
      <c r="AQ377" s="473" t="str">
        <f>IFERROR(VLOOKUP(Table_NFI[[#This Row],[Camp Name]],CL,2,0),"")</f>
        <v>MMR001CMP014</v>
      </c>
      <c r="AR377" s="468">
        <f ca="1">IF(Table_NFI[[#This Row],[Pcode]]="","",IF(OFFSET(CampList[Opening Date],MATCH(Table_NFI[[#This Row],[Pcode]],CampList[CP_Pcode],0)-1,0,1,1)&gt;=NFI_Monitor_Date,1,0))</f>
        <v>0</v>
      </c>
      <c r="AS377" s="473" t="str">
        <f>IFERROR(VLOOKUP(Table_NFI[[#This Row],[Camp Name]],CL,3,0),"")</f>
        <v>Open</v>
      </c>
      <c r="AT377" s="294" t="str">
        <f ca="1">IF(Table_NFI[[#This Row],[Pcode]]="","",OFFSET(CampList[Priority],MATCH(Table_NFI[[#This Row],[Pcode]],CampList[CP_Pcode],0)-1,0,1,1))</f>
        <v>P4</v>
      </c>
      <c r="AU377" s="293">
        <f>IFERROR(Table_NFI[[#This Row],[Kitchen Set]]/VLOOKUP(Table_NFI[[#This Row],[Camp Name]],CL,4,0),"")</f>
        <v>0</v>
      </c>
      <c r="AV377" s="466"/>
      <c r="AW377" s="469"/>
    </row>
    <row r="378" spans="1:49" s="470" customFormat="1" x14ac:dyDescent="0.25">
      <c r="A378" s="297">
        <f t="shared" si="5"/>
        <v>29.866666666666667</v>
      </c>
      <c r="B378" s="465">
        <v>41779</v>
      </c>
      <c r="C378" s="466" t="s">
        <v>1104</v>
      </c>
      <c r="D378" s="466" t="s">
        <v>900</v>
      </c>
      <c r="E378" s="466" t="s">
        <v>380</v>
      </c>
      <c r="F378" s="466" t="s">
        <v>310</v>
      </c>
      <c r="G378" s="466" t="s">
        <v>324</v>
      </c>
      <c r="H378" s="291"/>
      <c r="I378" s="291"/>
      <c r="J378" s="291"/>
      <c r="K378" s="291"/>
      <c r="L378" s="292"/>
      <c r="M378" s="292"/>
      <c r="N378" s="292"/>
      <c r="O378" s="292"/>
      <c r="P378" s="294"/>
      <c r="Q378" s="294"/>
      <c r="R378" s="294"/>
      <c r="S378" s="294"/>
      <c r="T378" s="294"/>
      <c r="U378" s="294">
        <v>824</v>
      </c>
      <c r="V378" s="431"/>
      <c r="W378" s="331"/>
      <c r="X378" s="331"/>
      <c r="Y378" s="294">
        <f>IF(NFI_Expiration=1,IF($A378&lt;VLOOKUP(H$5,NFI,5,0),1,0)*Table_NFI[[#This Row],[Hygiene Kit]],Table_NFI[Hygiene Kit])</f>
        <v>0</v>
      </c>
      <c r="Z378" s="294">
        <f>IF(NFI_Expiration=1,IF($A378&lt;VLOOKUP(I$5,NFI,5,0),1,0)*Table_NFI[[#This Row],[NFI Core Kit]],Table_NFI[NFI Core Kit])</f>
        <v>0</v>
      </c>
      <c r="AA378" s="294">
        <f>IF(NFI_Expiration=1,IF($A378&lt;VLOOKUP(J$5,NFI,5,0),1,0)*Table_NFI[[#This Row],[Sanitary Kit]],Table_NFI[Sanitary Kit])</f>
        <v>0</v>
      </c>
      <c r="AB378" s="294">
        <f>IF(NFI_Expiration=1,IF($A378&lt;VLOOKUP(K$5,NFI,5,0),1,0)*Table_NFI[[#This Row],[Mosquito net]],Table_NFI[Mosquito net])</f>
        <v>0</v>
      </c>
      <c r="AC378" s="294">
        <f>IF(NFI_Expiration=1,IF($A378&lt;VLOOKUP(L$5,NFI,5,0),1,0)*Table_NFI[[#This Row],[Tarpaulin]],Table_NFI[[#This Row],[Tarpaulin]])</f>
        <v>0</v>
      </c>
      <c r="AD378" s="294">
        <f>IF(NFI_Expiration=1,IF($A378&lt;VLOOKUP(M$5,NFI,5,0),1,0)*Table_NFI[[#This Row],[Blanket]],Table_NFI[[#This Row],[Blanket]])</f>
        <v>0</v>
      </c>
      <c r="AE378" s="294">
        <f>IF(NFI_Expiration=1,IF($A378&lt;VLOOKUP(N$5,NFI,5,0),1,0)*Table_NFI[[#This Row],[Kitchen Set]],Table_NFI[Kitchen Set])</f>
        <v>0</v>
      </c>
      <c r="AF378" s="294">
        <f>IF(NFI_Expiration=1,IF($A378&lt;VLOOKUP(O$5,NFI,5,0),1,0)*Table_NFI[[#This Row],[Clothes Kit]],Table_NFI[Clothes Kit])</f>
        <v>0</v>
      </c>
      <c r="AG378" s="294">
        <f>IF(NFI_Expiration=1,IF($A378&lt;VLOOKUP(P$5,NFI,5,0),1,0)*Table_NFI[[#This Row],[Plastic Bucket]],Table_NFI[Plastic Bucket])</f>
        <v>0</v>
      </c>
      <c r="AH378" s="294">
        <f>IF(NFI_Expiration=1,IF($A378&lt;VLOOKUP(Q$5,NFI,5,0),1,0)*Table_NFI[[#This Row],[Plastic Mat]],Table_NFI[Plastic Mat])*IF(Table_NFI[[#This Row],[Distribution Date]]&gt;"2014-04-01",1,2.5)</f>
        <v>0</v>
      </c>
      <c r="AI378" s="294">
        <f>IF(NFI_Expiration=1,IF($A378&lt;VLOOKUP(R$5,NFI,5,0),1,0)*Table_NFI[[#This Row],[Winter Clothes Adult]],Table_NFI[Winter Clothes Adult])</f>
        <v>0</v>
      </c>
      <c r="AJ378" s="294">
        <f>IF(NFI_Expiration=1,IF($A378&lt;VLOOKUP(S$5,NFI,5,0),1,0)*Table_NFI[[#This Row],[Winter Clothes Children]],Table_NFI[Winter Clothes Children])</f>
        <v>0</v>
      </c>
      <c r="AK378" s="294">
        <f>IF(NFI_Expiration=1,IF($A378&lt;VLOOKUP(T$5,NFI,5,0),1,0)*Table_NFI[[#This Row],[Winter Items Other]],Table_NFI[Winter Items Other])</f>
        <v>0</v>
      </c>
      <c r="AL378" s="294">
        <f>IF(NFI_Expiration=1,IF($A378&lt;VLOOKUP(M$5,NFI,5,0),1,0)*Table_NFI[[#This Row],[Winter Blanket]],Table_NFI[[#This Row],[Winter Blanket]])</f>
        <v>0</v>
      </c>
      <c r="AM378" s="294">
        <f>IF(Table_NFI[[#This Row],[Winter Clothes Adult]]+Table_NFI[[#This Row],[Winter Clothes Children]]+Table_NFI[[#This Row],[Winter Items Other]]+Table_NFI[[#This Row],[Winter Blanket]]&gt;0,1,0)</f>
        <v>1</v>
      </c>
      <c r="AN378" s="331">
        <f>IF(NFI_Expiration=1,IF($A378&lt;VLOOKUP(V$5,NFI,5,0),1,0)*Table_NFI[[#This Row],[Jerry Can]],Table_NFI[Jerry Can])</f>
        <v>0</v>
      </c>
      <c r="AO378" s="331">
        <f>IF(NFI_Expiration=1,IF($A378&lt;VLOOKUP(V$5,NFI,5,0),1,0)*Table_NFI[[#This Row],[Shelter Tool kit]],Table_NFI[Shelter Tool kit])</f>
        <v>0</v>
      </c>
      <c r="AP378" s="331">
        <f>IF(NFI_Expiration=1,IF($A378&lt;VLOOKUP(V$5,NFI,5,0),1,0)*Table_NFI[[#This Row],[Tent]],Table_NFI[Tent])</f>
        <v>0</v>
      </c>
      <c r="AQ378" s="473" t="str">
        <f>IFERROR(VLOOKUP(Table_NFI[[#This Row],[Camp Name]],CL,2,0),"")</f>
        <v>MMR001CMP040</v>
      </c>
      <c r="AR378" s="468">
        <f ca="1">IF(Table_NFI[[#This Row],[Pcode]]="","",IF(OFFSET(CampList[Opening Date],MATCH(Table_NFI[[#This Row],[Pcode]],CampList[CP_Pcode],0)-1,0,1,1)&gt;=NFI_Monitor_Date,1,0))</f>
        <v>0</v>
      </c>
      <c r="AS378" s="473" t="str">
        <f>IFERROR(VLOOKUP(Table_NFI[[#This Row],[Camp Name]],CL,3,0),"")</f>
        <v>Open</v>
      </c>
      <c r="AT378" s="294" t="str">
        <f ca="1">IF(Table_NFI[[#This Row],[Pcode]]="","",OFFSET(CampList[Priority],MATCH(Table_NFI[[#This Row],[Pcode]],CampList[CP_Pcode],0)-1,0,1,1))</f>
        <v>P4</v>
      </c>
      <c r="AU378" s="293">
        <f>IFERROR(Table_NFI[[#This Row],[Kitchen Set]]/VLOOKUP(Table_NFI[[#This Row],[Camp Name]],CL,4,0),"")</f>
        <v>0</v>
      </c>
      <c r="AV378" s="466"/>
      <c r="AW378" s="469"/>
    </row>
    <row r="379" spans="1:49" s="470" customFormat="1" x14ac:dyDescent="0.25">
      <c r="A379" s="297">
        <f t="shared" si="5"/>
        <v>29.866666666666667</v>
      </c>
      <c r="B379" s="465">
        <v>41779</v>
      </c>
      <c r="C379" s="466" t="s">
        <v>1104</v>
      </c>
      <c r="D379" s="466" t="s">
        <v>900</v>
      </c>
      <c r="E379" s="466" t="s">
        <v>380</v>
      </c>
      <c r="F379" s="466" t="s">
        <v>237</v>
      </c>
      <c r="G379" s="466" t="s">
        <v>259</v>
      </c>
      <c r="H379" s="291"/>
      <c r="I379" s="291"/>
      <c r="J379" s="291"/>
      <c r="K379" s="291"/>
      <c r="L379" s="292"/>
      <c r="M379" s="292"/>
      <c r="N379" s="292"/>
      <c r="O379" s="292"/>
      <c r="P379" s="294"/>
      <c r="Q379" s="294"/>
      <c r="R379" s="294"/>
      <c r="S379" s="294"/>
      <c r="T379" s="294"/>
      <c r="U379" s="294">
        <v>142</v>
      </c>
      <c r="V379" s="431"/>
      <c r="W379" s="331"/>
      <c r="X379" s="331"/>
      <c r="Y379" s="294">
        <f>IF(NFI_Expiration=1,IF($A379&lt;VLOOKUP(H$5,NFI,5,0),1,0)*Table_NFI[[#This Row],[Hygiene Kit]],Table_NFI[Hygiene Kit])</f>
        <v>0</v>
      </c>
      <c r="Z379" s="294">
        <f>IF(NFI_Expiration=1,IF($A379&lt;VLOOKUP(I$5,NFI,5,0),1,0)*Table_NFI[[#This Row],[NFI Core Kit]],Table_NFI[NFI Core Kit])</f>
        <v>0</v>
      </c>
      <c r="AA379" s="294">
        <f>IF(NFI_Expiration=1,IF($A379&lt;VLOOKUP(J$5,NFI,5,0),1,0)*Table_NFI[[#This Row],[Sanitary Kit]],Table_NFI[Sanitary Kit])</f>
        <v>0</v>
      </c>
      <c r="AB379" s="294">
        <f>IF(NFI_Expiration=1,IF($A379&lt;VLOOKUP(K$5,NFI,5,0),1,0)*Table_NFI[[#This Row],[Mosquito net]],Table_NFI[Mosquito net])</f>
        <v>0</v>
      </c>
      <c r="AC379" s="294">
        <f>IF(NFI_Expiration=1,IF($A379&lt;VLOOKUP(L$5,NFI,5,0),1,0)*Table_NFI[[#This Row],[Tarpaulin]],Table_NFI[[#This Row],[Tarpaulin]])</f>
        <v>0</v>
      </c>
      <c r="AD379" s="294">
        <f>IF(NFI_Expiration=1,IF($A379&lt;VLOOKUP(M$5,NFI,5,0),1,0)*Table_NFI[[#This Row],[Blanket]],Table_NFI[[#This Row],[Blanket]])</f>
        <v>0</v>
      </c>
      <c r="AE379" s="294">
        <f>IF(NFI_Expiration=1,IF($A379&lt;VLOOKUP(N$5,NFI,5,0),1,0)*Table_NFI[[#This Row],[Kitchen Set]],Table_NFI[Kitchen Set])</f>
        <v>0</v>
      </c>
      <c r="AF379" s="294">
        <f>IF(NFI_Expiration=1,IF($A379&lt;VLOOKUP(O$5,NFI,5,0),1,0)*Table_NFI[[#This Row],[Clothes Kit]],Table_NFI[Clothes Kit])</f>
        <v>0</v>
      </c>
      <c r="AG379" s="294">
        <f>IF(NFI_Expiration=1,IF($A379&lt;VLOOKUP(P$5,NFI,5,0),1,0)*Table_NFI[[#This Row],[Plastic Bucket]],Table_NFI[Plastic Bucket])</f>
        <v>0</v>
      </c>
      <c r="AH379" s="294">
        <f>IF(NFI_Expiration=1,IF($A379&lt;VLOOKUP(Q$5,NFI,5,0),1,0)*Table_NFI[[#This Row],[Plastic Mat]],Table_NFI[Plastic Mat])*IF(Table_NFI[[#This Row],[Distribution Date]]&gt;"2014-04-01",1,2.5)</f>
        <v>0</v>
      </c>
      <c r="AI379" s="294">
        <f>IF(NFI_Expiration=1,IF($A379&lt;VLOOKUP(R$5,NFI,5,0),1,0)*Table_NFI[[#This Row],[Winter Clothes Adult]],Table_NFI[Winter Clothes Adult])</f>
        <v>0</v>
      </c>
      <c r="AJ379" s="294">
        <f>IF(NFI_Expiration=1,IF($A379&lt;VLOOKUP(S$5,NFI,5,0),1,0)*Table_NFI[[#This Row],[Winter Clothes Children]],Table_NFI[Winter Clothes Children])</f>
        <v>0</v>
      </c>
      <c r="AK379" s="294">
        <f>IF(NFI_Expiration=1,IF($A379&lt;VLOOKUP(T$5,NFI,5,0),1,0)*Table_NFI[[#This Row],[Winter Items Other]],Table_NFI[Winter Items Other])</f>
        <v>0</v>
      </c>
      <c r="AL379" s="294">
        <f>IF(NFI_Expiration=1,IF($A379&lt;VLOOKUP(M$5,NFI,5,0),1,0)*Table_NFI[[#This Row],[Winter Blanket]],Table_NFI[[#This Row],[Winter Blanket]])</f>
        <v>0</v>
      </c>
      <c r="AM379" s="294">
        <f>IF(Table_NFI[[#This Row],[Winter Clothes Adult]]+Table_NFI[[#This Row],[Winter Clothes Children]]+Table_NFI[[#This Row],[Winter Items Other]]+Table_NFI[[#This Row],[Winter Blanket]]&gt;0,1,0)</f>
        <v>1</v>
      </c>
      <c r="AN379" s="331">
        <f>IF(NFI_Expiration=1,IF($A379&lt;VLOOKUP(V$5,NFI,5,0),1,0)*Table_NFI[[#This Row],[Jerry Can]],Table_NFI[Jerry Can])</f>
        <v>0</v>
      </c>
      <c r="AO379" s="331">
        <f>IF(NFI_Expiration=1,IF($A379&lt;VLOOKUP(V$5,NFI,5,0),1,0)*Table_NFI[[#This Row],[Shelter Tool kit]],Table_NFI[Shelter Tool kit])</f>
        <v>0</v>
      </c>
      <c r="AP379" s="331">
        <f>IF(NFI_Expiration=1,IF($A379&lt;VLOOKUP(V$5,NFI,5,0),1,0)*Table_NFI[[#This Row],[Tent]],Table_NFI[Tent])</f>
        <v>0</v>
      </c>
      <c r="AQ379" s="473" t="str">
        <f>IFERROR(VLOOKUP(Table_NFI[[#This Row],[Camp Name]],CL,2,0),"")</f>
        <v>MMR001CMP016</v>
      </c>
      <c r="AR379" s="468">
        <f ca="1">IF(Table_NFI[[#This Row],[Pcode]]="","",IF(OFFSET(CampList[Opening Date],MATCH(Table_NFI[[#This Row],[Pcode]],CampList[CP_Pcode],0)-1,0,1,1)&gt;=NFI_Monitor_Date,1,0))</f>
        <v>0</v>
      </c>
      <c r="AS379" s="473" t="str">
        <f>IFERROR(VLOOKUP(Table_NFI[[#This Row],[Camp Name]],CL,3,0),"")</f>
        <v>Open</v>
      </c>
      <c r="AT379" s="294" t="str">
        <f ca="1">IF(Table_NFI[[#This Row],[Pcode]]="","",OFFSET(CampList[Priority],MATCH(Table_NFI[[#This Row],[Pcode]],CampList[CP_Pcode],0)-1,0,1,1))</f>
        <v>P4</v>
      </c>
      <c r="AU379" s="293">
        <f>IFERROR(Table_NFI[[#This Row],[Kitchen Set]]/VLOOKUP(Table_NFI[[#This Row],[Camp Name]],CL,4,0),"")</f>
        <v>0</v>
      </c>
      <c r="AV379" s="466"/>
      <c r="AW379" s="469"/>
    </row>
    <row r="380" spans="1:49" s="470" customFormat="1" x14ac:dyDescent="0.25">
      <c r="A380" s="297">
        <f t="shared" si="5"/>
        <v>29.9</v>
      </c>
      <c r="B380" s="465">
        <v>41778</v>
      </c>
      <c r="C380" s="466" t="s">
        <v>1104</v>
      </c>
      <c r="D380" s="466" t="s">
        <v>900</v>
      </c>
      <c r="E380" s="466" t="s">
        <v>380</v>
      </c>
      <c r="F380" s="466" t="s">
        <v>310</v>
      </c>
      <c r="G380" s="466" t="s">
        <v>328</v>
      </c>
      <c r="H380" s="291"/>
      <c r="I380" s="291"/>
      <c r="J380" s="291"/>
      <c r="K380" s="291"/>
      <c r="L380" s="292"/>
      <c r="M380" s="292"/>
      <c r="N380" s="292"/>
      <c r="O380" s="292"/>
      <c r="P380" s="294"/>
      <c r="Q380" s="294"/>
      <c r="R380" s="294"/>
      <c r="S380" s="294"/>
      <c r="T380" s="294"/>
      <c r="U380" s="294">
        <v>224</v>
      </c>
      <c r="V380" s="431"/>
      <c r="W380" s="331"/>
      <c r="X380" s="331"/>
      <c r="Y380" s="294">
        <f>IF(NFI_Expiration=1,IF($A380&lt;VLOOKUP(H$5,NFI,5,0),1,0)*Table_NFI[[#This Row],[Hygiene Kit]],Table_NFI[Hygiene Kit])</f>
        <v>0</v>
      </c>
      <c r="Z380" s="294">
        <f>IF(NFI_Expiration=1,IF($A380&lt;VLOOKUP(I$5,NFI,5,0),1,0)*Table_NFI[[#This Row],[NFI Core Kit]],Table_NFI[NFI Core Kit])</f>
        <v>0</v>
      </c>
      <c r="AA380" s="294">
        <f>IF(NFI_Expiration=1,IF($A380&lt;VLOOKUP(J$5,NFI,5,0),1,0)*Table_NFI[[#This Row],[Sanitary Kit]],Table_NFI[Sanitary Kit])</f>
        <v>0</v>
      </c>
      <c r="AB380" s="294">
        <f>IF(NFI_Expiration=1,IF($A380&lt;VLOOKUP(K$5,NFI,5,0),1,0)*Table_NFI[[#This Row],[Mosquito net]],Table_NFI[Mosquito net])</f>
        <v>0</v>
      </c>
      <c r="AC380" s="294">
        <f>IF(NFI_Expiration=1,IF($A380&lt;VLOOKUP(L$5,NFI,5,0),1,0)*Table_NFI[[#This Row],[Tarpaulin]],Table_NFI[[#This Row],[Tarpaulin]])</f>
        <v>0</v>
      </c>
      <c r="AD380" s="294">
        <f>IF(NFI_Expiration=1,IF($A380&lt;VLOOKUP(M$5,NFI,5,0),1,0)*Table_NFI[[#This Row],[Blanket]],Table_NFI[[#This Row],[Blanket]])</f>
        <v>0</v>
      </c>
      <c r="AE380" s="294">
        <f>IF(NFI_Expiration=1,IF($A380&lt;VLOOKUP(N$5,NFI,5,0),1,0)*Table_NFI[[#This Row],[Kitchen Set]],Table_NFI[Kitchen Set])</f>
        <v>0</v>
      </c>
      <c r="AF380" s="294">
        <f>IF(NFI_Expiration=1,IF($A380&lt;VLOOKUP(O$5,NFI,5,0),1,0)*Table_NFI[[#This Row],[Clothes Kit]],Table_NFI[Clothes Kit])</f>
        <v>0</v>
      </c>
      <c r="AG380" s="294">
        <f>IF(NFI_Expiration=1,IF($A380&lt;VLOOKUP(P$5,NFI,5,0),1,0)*Table_NFI[[#This Row],[Plastic Bucket]],Table_NFI[Plastic Bucket])</f>
        <v>0</v>
      </c>
      <c r="AH380" s="294">
        <f>IF(NFI_Expiration=1,IF($A380&lt;VLOOKUP(Q$5,NFI,5,0),1,0)*Table_NFI[[#This Row],[Plastic Mat]],Table_NFI[Plastic Mat])*IF(Table_NFI[[#This Row],[Distribution Date]]&gt;"2014-04-01",1,2.5)</f>
        <v>0</v>
      </c>
      <c r="AI380" s="294">
        <f>IF(NFI_Expiration=1,IF($A380&lt;VLOOKUP(R$5,NFI,5,0),1,0)*Table_NFI[[#This Row],[Winter Clothes Adult]],Table_NFI[Winter Clothes Adult])</f>
        <v>0</v>
      </c>
      <c r="AJ380" s="294">
        <f>IF(NFI_Expiration=1,IF($A380&lt;VLOOKUP(S$5,NFI,5,0),1,0)*Table_NFI[[#This Row],[Winter Clothes Children]],Table_NFI[Winter Clothes Children])</f>
        <v>0</v>
      </c>
      <c r="AK380" s="294">
        <f>IF(NFI_Expiration=1,IF($A380&lt;VLOOKUP(T$5,NFI,5,0),1,0)*Table_NFI[[#This Row],[Winter Items Other]],Table_NFI[Winter Items Other])</f>
        <v>0</v>
      </c>
      <c r="AL380" s="294">
        <f>IF(NFI_Expiration=1,IF($A380&lt;VLOOKUP(M$5,NFI,5,0),1,0)*Table_NFI[[#This Row],[Winter Blanket]],Table_NFI[[#This Row],[Winter Blanket]])</f>
        <v>0</v>
      </c>
      <c r="AM380" s="294">
        <f>IF(Table_NFI[[#This Row],[Winter Clothes Adult]]+Table_NFI[[#This Row],[Winter Clothes Children]]+Table_NFI[[#This Row],[Winter Items Other]]+Table_NFI[[#This Row],[Winter Blanket]]&gt;0,1,0)</f>
        <v>1</v>
      </c>
      <c r="AN380" s="331">
        <f>IF(NFI_Expiration=1,IF($A380&lt;VLOOKUP(V$5,NFI,5,0),1,0)*Table_NFI[[#This Row],[Jerry Can]],Table_NFI[Jerry Can])</f>
        <v>0</v>
      </c>
      <c r="AO380" s="331">
        <f>IF(NFI_Expiration=1,IF($A380&lt;VLOOKUP(V$5,NFI,5,0),1,0)*Table_NFI[[#This Row],[Shelter Tool kit]],Table_NFI[Shelter Tool kit])</f>
        <v>0</v>
      </c>
      <c r="AP380" s="331">
        <f>IF(NFI_Expiration=1,IF($A380&lt;VLOOKUP(V$5,NFI,5,0),1,0)*Table_NFI[[#This Row],[Tent]],Table_NFI[Tent])</f>
        <v>0</v>
      </c>
      <c r="AQ380" s="473" t="str">
        <f>IFERROR(VLOOKUP(Table_NFI[[#This Row],[Camp Name]],CL,2,0),"")</f>
        <v>MMR001CMP031</v>
      </c>
      <c r="AR380" s="468">
        <f ca="1">IF(Table_NFI[[#This Row],[Pcode]]="","",IF(OFFSET(CampList[Opening Date],MATCH(Table_NFI[[#This Row],[Pcode]],CampList[CP_Pcode],0)-1,0,1,1)&gt;=NFI_Monitor_Date,1,0))</f>
        <v>0</v>
      </c>
      <c r="AS380" s="473" t="str">
        <f>IFERROR(VLOOKUP(Table_NFI[[#This Row],[Camp Name]],CL,3,0),"")</f>
        <v>Open</v>
      </c>
      <c r="AT380" s="294" t="str">
        <f ca="1">IF(Table_NFI[[#This Row],[Pcode]]="","",OFFSET(CampList[Priority],MATCH(Table_NFI[[#This Row],[Pcode]],CampList[CP_Pcode],0)-1,0,1,1))</f>
        <v>P4</v>
      </c>
      <c r="AU380" s="293">
        <f>IFERROR(Table_NFI[[#This Row],[Kitchen Set]]/VLOOKUP(Table_NFI[[#This Row],[Camp Name]],CL,4,0),"")</f>
        <v>0</v>
      </c>
      <c r="AV380" s="466"/>
      <c r="AW380" s="469"/>
    </row>
    <row r="381" spans="1:49" s="470" customFormat="1" x14ac:dyDescent="0.25">
      <c r="A381" s="297">
        <f t="shared" si="5"/>
        <v>29.9</v>
      </c>
      <c r="B381" s="465">
        <v>41778</v>
      </c>
      <c r="C381" s="466" t="s">
        <v>1104</v>
      </c>
      <c r="D381" s="466" t="s">
        <v>900</v>
      </c>
      <c r="E381" s="466" t="s">
        <v>380</v>
      </c>
      <c r="F381" s="466" t="s">
        <v>310</v>
      </c>
      <c r="G381" s="466" t="s">
        <v>326</v>
      </c>
      <c r="H381" s="291"/>
      <c r="I381" s="291"/>
      <c r="J381" s="291"/>
      <c r="K381" s="291"/>
      <c r="L381" s="292"/>
      <c r="M381" s="292"/>
      <c r="N381" s="292"/>
      <c r="O381" s="292"/>
      <c r="P381" s="294"/>
      <c r="Q381" s="294"/>
      <c r="R381" s="294"/>
      <c r="S381" s="294"/>
      <c r="T381" s="294"/>
      <c r="U381" s="294">
        <v>230</v>
      </c>
      <c r="V381" s="431"/>
      <c r="W381" s="331"/>
      <c r="X381" s="331"/>
      <c r="Y381" s="294">
        <f>IF(NFI_Expiration=1,IF($A381&lt;VLOOKUP(H$5,NFI,5,0),1,0)*Table_NFI[[#This Row],[Hygiene Kit]],Table_NFI[Hygiene Kit])</f>
        <v>0</v>
      </c>
      <c r="Z381" s="294">
        <f>IF(NFI_Expiration=1,IF($A381&lt;VLOOKUP(I$5,NFI,5,0),1,0)*Table_NFI[[#This Row],[NFI Core Kit]],Table_NFI[NFI Core Kit])</f>
        <v>0</v>
      </c>
      <c r="AA381" s="294">
        <f>IF(NFI_Expiration=1,IF($A381&lt;VLOOKUP(J$5,NFI,5,0),1,0)*Table_NFI[[#This Row],[Sanitary Kit]],Table_NFI[Sanitary Kit])</f>
        <v>0</v>
      </c>
      <c r="AB381" s="294">
        <f>IF(NFI_Expiration=1,IF($A381&lt;VLOOKUP(K$5,NFI,5,0),1,0)*Table_NFI[[#This Row],[Mosquito net]],Table_NFI[Mosquito net])</f>
        <v>0</v>
      </c>
      <c r="AC381" s="294">
        <f>IF(NFI_Expiration=1,IF($A381&lt;VLOOKUP(L$5,NFI,5,0),1,0)*Table_NFI[[#This Row],[Tarpaulin]],Table_NFI[[#This Row],[Tarpaulin]])</f>
        <v>0</v>
      </c>
      <c r="AD381" s="294">
        <f>IF(NFI_Expiration=1,IF($A381&lt;VLOOKUP(M$5,NFI,5,0),1,0)*Table_NFI[[#This Row],[Blanket]],Table_NFI[[#This Row],[Blanket]])</f>
        <v>0</v>
      </c>
      <c r="AE381" s="294">
        <f>IF(NFI_Expiration=1,IF($A381&lt;VLOOKUP(N$5,NFI,5,0),1,0)*Table_NFI[[#This Row],[Kitchen Set]],Table_NFI[Kitchen Set])</f>
        <v>0</v>
      </c>
      <c r="AF381" s="294">
        <f>IF(NFI_Expiration=1,IF($A381&lt;VLOOKUP(O$5,NFI,5,0),1,0)*Table_NFI[[#This Row],[Clothes Kit]],Table_NFI[Clothes Kit])</f>
        <v>0</v>
      </c>
      <c r="AG381" s="294">
        <f>IF(NFI_Expiration=1,IF($A381&lt;VLOOKUP(P$5,NFI,5,0),1,0)*Table_NFI[[#This Row],[Plastic Bucket]],Table_NFI[Plastic Bucket])</f>
        <v>0</v>
      </c>
      <c r="AH381" s="294">
        <f>IF(NFI_Expiration=1,IF($A381&lt;VLOOKUP(Q$5,NFI,5,0),1,0)*Table_NFI[[#This Row],[Plastic Mat]],Table_NFI[Plastic Mat])*IF(Table_NFI[[#This Row],[Distribution Date]]&gt;"2014-04-01",1,2.5)</f>
        <v>0</v>
      </c>
      <c r="AI381" s="294">
        <f>IF(NFI_Expiration=1,IF($A381&lt;VLOOKUP(R$5,NFI,5,0),1,0)*Table_NFI[[#This Row],[Winter Clothes Adult]],Table_NFI[Winter Clothes Adult])</f>
        <v>0</v>
      </c>
      <c r="AJ381" s="294">
        <f>IF(NFI_Expiration=1,IF($A381&lt;VLOOKUP(S$5,NFI,5,0),1,0)*Table_NFI[[#This Row],[Winter Clothes Children]],Table_NFI[Winter Clothes Children])</f>
        <v>0</v>
      </c>
      <c r="AK381" s="294">
        <f>IF(NFI_Expiration=1,IF($A381&lt;VLOOKUP(T$5,NFI,5,0),1,0)*Table_NFI[[#This Row],[Winter Items Other]],Table_NFI[Winter Items Other])</f>
        <v>0</v>
      </c>
      <c r="AL381" s="294">
        <f>IF(NFI_Expiration=1,IF($A381&lt;VLOOKUP(M$5,NFI,5,0),1,0)*Table_NFI[[#This Row],[Winter Blanket]],Table_NFI[[#This Row],[Winter Blanket]])</f>
        <v>0</v>
      </c>
      <c r="AM381" s="294">
        <f>IF(Table_NFI[[#This Row],[Winter Clothes Adult]]+Table_NFI[[#This Row],[Winter Clothes Children]]+Table_NFI[[#This Row],[Winter Items Other]]+Table_NFI[[#This Row],[Winter Blanket]]&gt;0,1,0)</f>
        <v>1</v>
      </c>
      <c r="AN381" s="331">
        <f>IF(NFI_Expiration=1,IF($A381&lt;VLOOKUP(V$5,NFI,5,0),1,0)*Table_NFI[[#This Row],[Jerry Can]],Table_NFI[Jerry Can])</f>
        <v>0</v>
      </c>
      <c r="AO381" s="331">
        <f>IF(NFI_Expiration=1,IF($A381&lt;VLOOKUP(V$5,NFI,5,0),1,0)*Table_NFI[[#This Row],[Shelter Tool kit]],Table_NFI[Shelter Tool kit])</f>
        <v>0</v>
      </c>
      <c r="AP381" s="331">
        <f>IF(NFI_Expiration=1,IF($A381&lt;VLOOKUP(V$5,NFI,5,0),1,0)*Table_NFI[[#This Row],[Tent]],Table_NFI[Tent])</f>
        <v>0</v>
      </c>
      <c r="AQ381" s="473" t="str">
        <f>IFERROR(VLOOKUP(Table_NFI[[#This Row],[Camp Name]],CL,2,0),"")</f>
        <v>MMR001CMP039</v>
      </c>
      <c r="AR381" s="468">
        <f ca="1">IF(Table_NFI[[#This Row],[Pcode]]="","",IF(OFFSET(CampList[Opening Date],MATCH(Table_NFI[[#This Row],[Pcode]],CampList[CP_Pcode],0)-1,0,1,1)&gt;=NFI_Monitor_Date,1,0))</f>
        <v>0</v>
      </c>
      <c r="AS381" s="473" t="str">
        <f>IFERROR(VLOOKUP(Table_NFI[[#This Row],[Camp Name]],CL,3,0),"")</f>
        <v>Open</v>
      </c>
      <c r="AT381" s="294" t="str">
        <f ca="1">IF(Table_NFI[[#This Row],[Pcode]]="","",OFFSET(CampList[Priority],MATCH(Table_NFI[[#This Row],[Pcode]],CampList[CP_Pcode],0)-1,0,1,1))</f>
        <v>P4</v>
      </c>
      <c r="AU381" s="293">
        <f>IFERROR(Table_NFI[[#This Row],[Kitchen Set]]/VLOOKUP(Table_NFI[[#This Row],[Camp Name]],CL,4,0),"")</f>
        <v>0</v>
      </c>
      <c r="AV381" s="466"/>
      <c r="AW381" s="469"/>
    </row>
    <row r="382" spans="1:49" s="470" customFormat="1" x14ac:dyDescent="0.25">
      <c r="A382" s="297">
        <f t="shared" si="5"/>
        <v>29.9</v>
      </c>
      <c r="B382" s="465">
        <v>41778</v>
      </c>
      <c r="C382" s="466" t="s">
        <v>1104</v>
      </c>
      <c r="D382" s="466" t="s">
        <v>900</v>
      </c>
      <c r="E382" s="466" t="s">
        <v>380</v>
      </c>
      <c r="F382" s="466" t="s">
        <v>310</v>
      </c>
      <c r="G382" s="466" t="s">
        <v>338</v>
      </c>
      <c r="H382" s="291"/>
      <c r="I382" s="291"/>
      <c r="J382" s="291"/>
      <c r="K382" s="291"/>
      <c r="L382" s="292"/>
      <c r="M382" s="292"/>
      <c r="N382" s="292"/>
      <c r="O382" s="292"/>
      <c r="P382" s="294"/>
      <c r="Q382" s="294"/>
      <c r="R382" s="294"/>
      <c r="S382" s="294"/>
      <c r="T382" s="294"/>
      <c r="U382" s="294">
        <v>60</v>
      </c>
      <c r="V382" s="622"/>
      <c r="W382" s="331"/>
      <c r="X382" s="331"/>
      <c r="Y382" s="294">
        <f>IF(NFI_Expiration=1,IF($A382&lt;VLOOKUP(H$5,NFI,5,0),1,0)*Table_NFI[[#This Row],[Hygiene Kit]],Table_NFI[Hygiene Kit])</f>
        <v>0</v>
      </c>
      <c r="Z382" s="294">
        <f>IF(NFI_Expiration=1,IF($A382&lt;VLOOKUP(I$5,NFI,5,0),1,0)*Table_NFI[[#This Row],[NFI Core Kit]],Table_NFI[NFI Core Kit])</f>
        <v>0</v>
      </c>
      <c r="AA382" s="294">
        <f>IF(NFI_Expiration=1,IF($A382&lt;VLOOKUP(J$5,NFI,5,0),1,0)*Table_NFI[[#This Row],[Sanitary Kit]],Table_NFI[Sanitary Kit])</f>
        <v>0</v>
      </c>
      <c r="AB382" s="294">
        <f>IF(NFI_Expiration=1,IF($A382&lt;VLOOKUP(K$5,NFI,5,0),1,0)*Table_NFI[[#This Row],[Mosquito net]],Table_NFI[Mosquito net])</f>
        <v>0</v>
      </c>
      <c r="AC382" s="294">
        <f>IF(NFI_Expiration=1,IF($A382&lt;VLOOKUP(L$5,NFI,5,0),1,0)*Table_NFI[[#This Row],[Tarpaulin]],Table_NFI[[#This Row],[Tarpaulin]])</f>
        <v>0</v>
      </c>
      <c r="AD382" s="294">
        <f>IF(NFI_Expiration=1,IF($A382&lt;VLOOKUP(M$5,NFI,5,0),1,0)*Table_NFI[[#This Row],[Blanket]],Table_NFI[[#This Row],[Blanket]])</f>
        <v>0</v>
      </c>
      <c r="AE382" s="294">
        <f>IF(NFI_Expiration=1,IF($A382&lt;VLOOKUP(N$5,NFI,5,0),1,0)*Table_NFI[[#This Row],[Kitchen Set]],Table_NFI[Kitchen Set])</f>
        <v>0</v>
      </c>
      <c r="AF382" s="294">
        <f>IF(NFI_Expiration=1,IF($A382&lt;VLOOKUP(O$5,NFI,5,0),1,0)*Table_NFI[[#This Row],[Clothes Kit]],Table_NFI[Clothes Kit])</f>
        <v>0</v>
      </c>
      <c r="AG382" s="294">
        <f>IF(NFI_Expiration=1,IF($A382&lt;VLOOKUP(P$5,NFI,5,0),1,0)*Table_NFI[[#This Row],[Plastic Bucket]],Table_NFI[Plastic Bucket])</f>
        <v>0</v>
      </c>
      <c r="AH382" s="294">
        <f>IF(NFI_Expiration=1,IF($A382&lt;VLOOKUP(Q$5,NFI,5,0),1,0)*Table_NFI[[#This Row],[Plastic Mat]],Table_NFI[Plastic Mat])*IF(Table_NFI[[#This Row],[Distribution Date]]&gt;"2014-04-01",1,2.5)</f>
        <v>0</v>
      </c>
      <c r="AI382" s="294">
        <f>IF(NFI_Expiration=1,IF($A382&lt;VLOOKUP(R$5,NFI,5,0),1,0)*Table_NFI[[#This Row],[Winter Clothes Adult]],Table_NFI[Winter Clothes Adult])</f>
        <v>0</v>
      </c>
      <c r="AJ382" s="294">
        <f>IF(NFI_Expiration=1,IF($A382&lt;VLOOKUP(S$5,NFI,5,0),1,0)*Table_NFI[[#This Row],[Winter Clothes Children]],Table_NFI[Winter Clothes Children])</f>
        <v>0</v>
      </c>
      <c r="AK382" s="294">
        <f>IF(NFI_Expiration=1,IF($A382&lt;VLOOKUP(T$5,NFI,5,0),1,0)*Table_NFI[[#This Row],[Winter Items Other]],Table_NFI[Winter Items Other])</f>
        <v>0</v>
      </c>
      <c r="AL382" s="294">
        <f>IF(NFI_Expiration=1,IF($A382&lt;VLOOKUP(M$5,NFI,5,0),1,0)*Table_NFI[[#This Row],[Winter Blanket]],Table_NFI[[#This Row],[Winter Blanket]])</f>
        <v>0</v>
      </c>
      <c r="AM382" s="294">
        <f>IF(Table_NFI[[#This Row],[Winter Clothes Adult]]+Table_NFI[[#This Row],[Winter Clothes Children]]+Table_NFI[[#This Row],[Winter Items Other]]+Table_NFI[[#This Row],[Winter Blanket]]&gt;0,1,0)</f>
        <v>1</v>
      </c>
      <c r="AN382" s="331">
        <f>IF(NFI_Expiration=1,IF($A382&lt;VLOOKUP(V$5,NFI,5,0),1,0)*Table_NFI[[#This Row],[Jerry Can]],Table_NFI[Jerry Can])</f>
        <v>0</v>
      </c>
      <c r="AO382" s="331">
        <f>IF(NFI_Expiration=1,IF($A382&lt;VLOOKUP(V$5,NFI,5,0),1,0)*Table_NFI[[#This Row],[Shelter Tool kit]],Table_NFI[Shelter Tool kit])</f>
        <v>0</v>
      </c>
      <c r="AP382" s="331">
        <f>IF(NFI_Expiration=1,IF($A382&lt;VLOOKUP(V$5,NFI,5,0),1,0)*Table_NFI[[#This Row],[Tent]],Table_NFI[Tent])</f>
        <v>0</v>
      </c>
      <c r="AQ382" s="473" t="str">
        <f>IFERROR(VLOOKUP(Table_NFI[[#This Row],[Camp Name]],CL,2,0),"")</f>
        <v>MMR001CMP030</v>
      </c>
      <c r="AR382" s="468">
        <f ca="1">IF(Table_NFI[[#This Row],[Pcode]]="","",IF(OFFSET(CampList[Opening Date],MATCH(Table_NFI[[#This Row],[Pcode]],CampList[CP_Pcode],0)-1,0,1,1)&gt;=NFI_Monitor_Date,1,0))</f>
        <v>0</v>
      </c>
      <c r="AS382" s="473" t="str">
        <f>IFERROR(VLOOKUP(Table_NFI[[#This Row],[Camp Name]],CL,3,0),"")</f>
        <v>Open</v>
      </c>
      <c r="AT382" s="294" t="str">
        <f ca="1">IF(Table_NFI[[#This Row],[Pcode]]="","",OFFSET(CampList[Priority],MATCH(Table_NFI[[#This Row],[Pcode]],CampList[CP_Pcode],0)-1,0,1,1))</f>
        <v>P4</v>
      </c>
      <c r="AU382" s="293">
        <f>IFERROR(Table_NFI[[#This Row],[Kitchen Set]]/VLOOKUP(Table_NFI[[#This Row],[Camp Name]],CL,4,0),"")</f>
        <v>0</v>
      </c>
      <c r="AV382" s="466"/>
      <c r="AW382" s="469"/>
    </row>
    <row r="383" spans="1:49" s="470" customFormat="1" x14ac:dyDescent="0.25">
      <c r="A383" s="297">
        <f t="shared" si="5"/>
        <v>30</v>
      </c>
      <c r="B383" s="465">
        <v>41775</v>
      </c>
      <c r="C383" s="466" t="s">
        <v>1104</v>
      </c>
      <c r="D383" s="466" t="s">
        <v>900</v>
      </c>
      <c r="E383" s="466" t="s">
        <v>380</v>
      </c>
      <c r="F383" s="466" t="s">
        <v>310</v>
      </c>
      <c r="G383" s="466" t="s">
        <v>330</v>
      </c>
      <c r="H383" s="291"/>
      <c r="I383" s="291"/>
      <c r="J383" s="291"/>
      <c r="K383" s="291"/>
      <c r="L383" s="292"/>
      <c r="M383" s="292"/>
      <c r="N383" s="292"/>
      <c r="O383" s="292"/>
      <c r="P383" s="294"/>
      <c r="Q383" s="294"/>
      <c r="R383" s="294"/>
      <c r="S383" s="294"/>
      <c r="T383" s="294"/>
      <c r="U383" s="294">
        <v>470</v>
      </c>
      <c r="V383" s="431"/>
      <c r="W383" s="331"/>
      <c r="X383" s="331"/>
      <c r="Y383" s="294">
        <f>IF(NFI_Expiration=1,IF($A383&lt;VLOOKUP(H$5,NFI,5,0),1,0)*Table_NFI[[#This Row],[Hygiene Kit]],Table_NFI[Hygiene Kit])</f>
        <v>0</v>
      </c>
      <c r="Z383" s="294">
        <f>IF(NFI_Expiration=1,IF($A383&lt;VLOOKUP(I$5,NFI,5,0),1,0)*Table_NFI[[#This Row],[NFI Core Kit]],Table_NFI[NFI Core Kit])</f>
        <v>0</v>
      </c>
      <c r="AA383" s="294">
        <f>IF(NFI_Expiration=1,IF($A383&lt;VLOOKUP(J$5,NFI,5,0),1,0)*Table_NFI[[#This Row],[Sanitary Kit]],Table_NFI[Sanitary Kit])</f>
        <v>0</v>
      </c>
      <c r="AB383" s="294">
        <f>IF(NFI_Expiration=1,IF($A383&lt;VLOOKUP(K$5,NFI,5,0),1,0)*Table_NFI[[#This Row],[Mosquito net]],Table_NFI[Mosquito net])</f>
        <v>0</v>
      </c>
      <c r="AC383" s="294">
        <f>IF(NFI_Expiration=1,IF($A383&lt;VLOOKUP(L$5,NFI,5,0),1,0)*Table_NFI[[#This Row],[Tarpaulin]],Table_NFI[[#This Row],[Tarpaulin]])</f>
        <v>0</v>
      </c>
      <c r="AD383" s="294">
        <f>IF(NFI_Expiration=1,IF($A383&lt;VLOOKUP(M$5,NFI,5,0),1,0)*Table_NFI[[#This Row],[Blanket]],Table_NFI[[#This Row],[Blanket]])</f>
        <v>0</v>
      </c>
      <c r="AE383" s="294">
        <f>IF(NFI_Expiration=1,IF($A383&lt;VLOOKUP(N$5,NFI,5,0),1,0)*Table_NFI[[#This Row],[Kitchen Set]],Table_NFI[Kitchen Set])</f>
        <v>0</v>
      </c>
      <c r="AF383" s="294">
        <f>IF(NFI_Expiration=1,IF($A383&lt;VLOOKUP(O$5,NFI,5,0),1,0)*Table_NFI[[#This Row],[Clothes Kit]],Table_NFI[Clothes Kit])</f>
        <v>0</v>
      </c>
      <c r="AG383" s="294">
        <f>IF(NFI_Expiration=1,IF($A383&lt;VLOOKUP(P$5,NFI,5,0),1,0)*Table_NFI[[#This Row],[Plastic Bucket]],Table_NFI[Plastic Bucket])</f>
        <v>0</v>
      </c>
      <c r="AH383" s="294">
        <f>IF(NFI_Expiration=1,IF($A383&lt;VLOOKUP(Q$5,NFI,5,0),1,0)*Table_NFI[[#This Row],[Plastic Mat]],Table_NFI[Plastic Mat])*IF(Table_NFI[[#This Row],[Distribution Date]]&gt;"2014-04-01",1,2.5)</f>
        <v>0</v>
      </c>
      <c r="AI383" s="294">
        <f>IF(NFI_Expiration=1,IF($A383&lt;VLOOKUP(R$5,NFI,5,0),1,0)*Table_NFI[[#This Row],[Winter Clothes Adult]],Table_NFI[Winter Clothes Adult])</f>
        <v>0</v>
      </c>
      <c r="AJ383" s="294">
        <f>IF(NFI_Expiration=1,IF($A383&lt;VLOOKUP(S$5,NFI,5,0),1,0)*Table_NFI[[#This Row],[Winter Clothes Children]],Table_NFI[Winter Clothes Children])</f>
        <v>0</v>
      </c>
      <c r="AK383" s="294">
        <f>IF(NFI_Expiration=1,IF($A383&lt;VLOOKUP(T$5,NFI,5,0),1,0)*Table_NFI[[#This Row],[Winter Items Other]],Table_NFI[Winter Items Other])</f>
        <v>0</v>
      </c>
      <c r="AL383" s="294">
        <f>IF(NFI_Expiration=1,IF($A383&lt;VLOOKUP(M$5,NFI,5,0),1,0)*Table_NFI[[#This Row],[Winter Blanket]],Table_NFI[[#This Row],[Winter Blanket]])</f>
        <v>0</v>
      </c>
      <c r="AM383" s="294">
        <f>IF(Table_NFI[[#This Row],[Winter Clothes Adult]]+Table_NFI[[#This Row],[Winter Clothes Children]]+Table_NFI[[#This Row],[Winter Items Other]]+Table_NFI[[#This Row],[Winter Blanket]]&gt;0,1,0)</f>
        <v>1</v>
      </c>
      <c r="AN383" s="331">
        <f>IF(NFI_Expiration=1,IF($A383&lt;VLOOKUP(V$5,NFI,5,0),1,0)*Table_NFI[[#This Row],[Jerry Can]],Table_NFI[Jerry Can])</f>
        <v>0</v>
      </c>
      <c r="AO383" s="331">
        <f>IF(NFI_Expiration=1,IF($A383&lt;VLOOKUP(V$5,NFI,5,0),1,0)*Table_NFI[[#This Row],[Shelter Tool kit]],Table_NFI[Shelter Tool kit])</f>
        <v>0</v>
      </c>
      <c r="AP383" s="331">
        <f>IF(NFI_Expiration=1,IF($A383&lt;VLOOKUP(V$5,NFI,5,0),1,0)*Table_NFI[[#This Row],[Tent]],Table_NFI[Tent])</f>
        <v>0</v>
      </c>
      <c r="AQ383" s="473" t="str">
        <f>IFERROR(VLOOKUP(Table_NFI[[#This Row],[Camp Name]],CL,2,0),"")</f>
        <v>MMR001CMP029</v>
      </c>
      <c r="AR383" s="468">
        <f ca="1">IF(Table_NFI[[#This Row],[Pcode]]="","",IF(OFFSET(CampList[Opening Date],MATCH(Table_NFI[[#This Row],[Pcode]],CampList[CP_Pcode],0)-1,0,1,1)&gt;=NFI_Monitor_Date,1,0))</f>
        <v>0</v>
      </c>
      <c r="AS383" s="473" t="str">
        <f>IFERROR(VLOOKUP(Table_NFI[[#This Row],[Camp Name]],CL,3,0),"")</f>
        <v>Open</v>
      </c>
      <c r="AT383" s="294" t="str">
        <f ca="1">IF(Table_NFI[[#This Row],[Pcode]]="","",OFFSET(CampList[Priority],MATCH(Table_NFI[[#This Row],[Pcode]],CampList[CP_Pcode],0)-1,0,1,1))</f>
        <v>P4</v>
      </c>
      <c r="AU383" s="293">
        <f>IFERROR(Table_NFI[[#This Row],[Kitchen Set]]/VLOOKUP(Table_NFI[[#This Row],[Camp Name]],CL,4,0),"")</f>
        <v>0</v>
      </c>
      <c r="AV383" s="466"/>
      <c r="AW383" s="469"/>
    </row>
    <row r="384" spans="1:49" s="470" customFormat="1" x14ac:dyDescent="0.25">
      <c r="A384" s="297">
        <f t="shared" si="5"/>
        <v>30</v>
      </c>
      <c r="B384" s="465">
        <v>41775</v>
      </c>
      <c r="C384" s="466" t="s">
        <v>452</v>
      </c>
      <c r="D384" s="466" t="s">
        <v>452</v>
      </c>
      <c r="E384" s="466" t="s">
        <v>380</v>
      </c>
      <c r="F384" s="466" t="s">
        <v>5</v>
      </c>
      <c r="G384" s="466" t="s">
        <v>8</v>
      </c>
      <c r="H384" s="291"/>
      <c r="I384" s="291"/>
      <c r="J384" s="291"/>
      <c r="K384" s="291">
        <v>10</v>
      </c>
      <c r="L384" s="292">
        <v>4</v>
      </c>
      <c r="M384" s="292">
        <v>10</v>
      </c>
      <c r="N384" s="292">
        <v>4</v>
      </c>
      <c r="O384" s="292">
        <v>4</v>
      </c>
      <c r="P384" s="294">
        <v>4</v>
      </c>
      <c r="Q384" s="294">
        <v>18</v>
      </c>
      <c r="R384" s="294"/>
      <c r="S384" s="294"/>
      <c r="T384" s="294"/>
      <c r="U384" s="294"/>
      <c r="V384" s="431"/>
      <c r="W384" s="294"/>
      <c r="X384" s="294"/>
      <c r="Y384" s="294">
        <f>IF(NFI_Expiration=1,IF($A384&lt;VLOOKUP(H$5,NFI,5,0),1,0)*Table_NFI[[#This Row],[Hygiene Kit]],Table_NFI[Hygiene Kit])</f>
        <v>0</v>
      </c>
      <c r="Z384" s="294">
        <f>IF(NFI_Expiration=1,IF($A384&lt;VLOOKUP(I$5,NFI,5,0),1,0)*Table_NFI[[#This Row],[NFI Core Kit]],Table_NFI[NFI Core Kit])</f>
        <v>0</v>
      </c>
      <c r="AA384" s="294">
        <f>IF(NFI_Expiration=1,IF($A384&lt;VLOOKUP(J$5,NFI,5,0),1,0)*Table_NFI[[#This Row],[Sanitary Kit]],Table_NFI[Sanitary Kit])</f>
        <v>0</v>
      </c>
      <c r="AB384" s="294">
        <f>IF(NFI_Expiration=1,IF($A384&lt;VLOOKUP(K$5,NFI,5,0),1,0)*Table_NFI[[#This Row],[Mosquito net]],Table_NFI[Mosquito net])</f>
        <v>0</v>
      </c>
      <c r="AC384" s="294">
        <f>IF(NFI_Expiration=1,IF($A384&lt;VLOOKUP(L$5,NFI,5,0),1,0)*Table_NFI[[#This Row],[Tarpaulin]],Table_NFI[[#This Row],[Tarpaulin]])</f>
        <v>0</v>
      </c>
      <c r="AD384" s="294">
        <f>IF(NFI_Expiration=1,IF($A384&lt;VLOOKUP(M$5,NFI,5,0),1,0)*Table_NFI[[#This Row],[Blanket]],Table_NFI[[#This Row],[Blanket]])</f>
        <v>0</v>
      </c>
      <c r="AE384" s="294">
        <f>IF(NFI_Expiration=1,IF($A384&lt;VLOOKUP(N$5,NFI,5,0),1,0)*Table_NFI[[#This Row],[Kitchen Set]],Table_NFI[Kitchen Set])</f>
        <v>0</v>
      </c>
      <c r="AF384" s="294">
        <f>IF(NFI_Expiration=1,IF($A384&lt;VLOOKUP(O$5,NFI,5,0),1,0)*Table_NFI[[#This Row],[Clothes Kit]],Table_NFI[Clothes Kit])</f>
        <v>0</v>
      </c>
      <c r="AG384" s="294">
        <f>IF(NFI_Expiration=1,IF($A384&lt;VLOOKUP(P$5,NFI,5,0),1,0)*Table_NFI[[#This Row],[Plastic Bucket]],Table_NFI[Plastic Bucket])</f>
        <v>0</v>
      </c>
      <c r="AH384" s="294">
        <f>IF(NFI_Expiration=1,IF($A384&lt;VLOOKUP(Q$5,NFI,5,0),1,0)*Table_NFI[[#This Row],[Plastic Mat]],Table_NFI[Plastic Mat])*IF(Table_NFI[[#This Row],[Distribution Date]]&gt;"2014-04-01",1,2.5)</f>
        <v>0</v>
      </c>
      <c r="AI384" s="294">
        <f>IF(NFI_Expiration=1,IF($A384&lt;VLOOKUP(R$5,NFI,5,0),1,0)*Table_NFI[[#This Row],[Winter Clothes Adult]],Table_NFI[Winter Clothes Adult])</f>
        <v>0</v>
      </c>
      <c r="AJ384" s="294">
        <f>IF(NFI_Expiration=1,IF($A384&lt;VLOOKUP(S$5,NFI,5,0),1,0)*Table_NFI[[#This Row],[Winter Clothes Children]],Table_NFI[Winter Clothes Children])</f>
        <v>0</v>
      </c>
      <c r="AK384" s="294">
        <f>IF(NFI_Expiration=1,IF($A384&lt;VLOOKUP(T$5,NFI,5,0),1,0)*Table_NFI[[#This Row],[Winter Items Other]],Table_NFI[Winter Items Other])</f>
        <v>0</v>
      </c>
      <c r="AL384" s="294">
        <f>IF(NFI_Expiration=1,IF($A384&lt;VLOOKUP(M$5,NFI,5,0),1,0)*Table_NFI[[#This Row],[Winter Blanket]],Table_NFI[[#This Row],[Winter Blanket]])</f>
        <v>0</v>
      </c>
      <c r="AM384" s="294">
        <f>IF(Table_NFI[[#This Row],[Winter Clothes Adult]]+Table_NFI[[#This Row],[Winter Clothes Children]]+Table_NFI[[#This Row],[Winter Items Other]]+Table_NFI[[#This Row],[Winter Blanket]]&gt;0,1,0)</f>
        <v>0</v>
      </c>
      <c r="AN384" s="331">
        <f>IF(NFI_Expiration=1,IF($A384&lt;VLOOKUP(V$5,NFI,5,0),1,0)*Table_NFI[[#This Row],[Jerry Can]],Table_NFI[Jerry Can])</f>
        <v>0</v>
      </c>
      <c r="AO384" s="331">
        <f>IF(NFI_Expiration=1,IF($A384&lt;VLOOKUP(V$5,NFI,5,0),1,0)*Table_NFI[[#This Row],[Shelter Tool kit]],Table_NFI[Shelter Tool kit])</f>
        <v>0</v>
      </c>
      <c r="AP384" s="331">
        <f>IF(NFI_Expiration=1,IF($A384&lt;VLOOKUP(V$5,NFI,5,0),1,0)*Table_NFI[[#This Row],[Tent]],Table_NFI[Tent])</f>
        <v>0</v>
      </c>
      <c r="AQ384" s="473" t="str">
        <f>IFERROR(VLOOKUP(Table_NFI[[#This Row],[Camp Name]],CL,2,0),"")</f>
        <v>MMR001CMP051</v>
      </c>
      <c r="AR384" s="468">
        <f ca="1">IF(Table_NFI[[#This Row],[Pcode]]="","",IF(OFFSET(CampList[Opening Date],MATCH(Table_NFI[[#This Row],[Pcode]],CampList[CP_Pcode],0)-1,0,1,1)&gt;=NFI_Monitor_Date,1,0))</f>
        <v>0</v>
      </c>
      <c r="AS384" s="473" t="str">
        <f>IFERROR(VLOOKUP(Table_NFI[[#This Row],[Camp Name]],CL,3,0),"")</f>
        <v>Open</v>
      </c>
      <c r="AT384" s="294" t="str">
        <f ca="1">IF(Table_NFI[[#This Row],[Pcode]]="","",OFFSET(CampList[Priority],MATCH(Table_NFI[[#This Row],[Pcode]],CampList[CP_Pcode],0)-1,0,1,1))</f>
        <v>P4</v>
      </c>
      <c r="AU384" s="293">
        <f>IFERROR(Table_NFI[[#This Row],[Kitchen Set]]/VLOOKUP(Table_NFI[[#This Row],[Camp Name]],CL,4,0),"")</f>
        <v>0.2857142857142857</v>
      </c>
      <c r="AV384" s="466" t="s">
        <v>1092</v>
      </c>
      <c r="AW384" s="469"/>
    </row>
    <row r="385" spans="1:49" s="470" customFormat="1" ht="14.45" customHeight="1" x14ac:dyDescent="0.25">
      <c r="A385" s="297">
        <f t="shared" si="5"/>
        <v>30</v>
      </c>
      <c r="B385" s="465">
        <v>41775</v>
      </c>
      <c r="C385" s="466" t="s">
        <v>1104</v>
      </c>
      <c r="D385" s="466" t="s">
        <v>900</v>
      </c>
      <c r="E385" s="466" t="s">
        <v>380</v>
      </c>
      <c r="F385" s="466" t="s">
        <v>237</v>
      </c>
      <c r="G385" s="466" t="s">
        <v>271</v>
      </c>
      <c r="H385" s="291"/>
      <c r="I385" s="291"/>
      <c r="J385" s="291"/>
      <c r="K385" s="291"/>
      <c r="L385" s="292"/>
      <c r="M385" s="292"/>
      <c r="N385" s="292"/>
      <c r="O385" s="292"/>
      <c r="P385" s="294"/>
      <c r="Q385" s="294"/>
      <c r="R385" s="294"/>
      <c r="S385" s="294"/>
      <c r="T385" s="294"/>
      <c r="U385" s="294">
        <v>142</v>
      </c>
      <c r="V385" s="431"/>
      <c r="W385" s="294"/>
      <c r="X385" s="294"/>
      <c r="Y385" s="294">
        <f>IF(NFI_Expiration=1,IF($A385&lt;VLOOKUP(H$5,NFI,5,0),1,0)*Table_NFI[[#This Row],[Hygiene Kit]],Table_NFI[Hygiene Kit])</f>
        <v>0</v>
      </c>
      <c r="Z385" s="294">
        <f>IF(NFI_Expiration=1,IF($A385&lt;VLOOKUP(I$5,NFI,5,0),1,0)*Table_NFI[[#This Row],[NFI Core Kit]],Table_NFI[NFI Core Kit])</f>
        <v>0</v>
      </c>
      <c r="AA385" s="294">
        <f>IF(NFI_Expiration=1,IF($A385&lt;VLOOKUP(J$5,NFI,5,0),1,0)*Table_NFI[[#This Row],[Sanitary Kit]],Table_NFI[Sanitary Kit])</f>
        <v>0</v>
      </c>
      <c r="AB385" s="294">
        <f>IF(NFI_Expiration=1,IF($A385&lt;VLOOKUP(K$5,NFI,5,0),1,0)*Table_NFI[[#This Row],[Mosquito net]],Table_NFI[Mosquito net])</f>
        <v>0</v>
      </c>
      <c r="AC385" s="294">
        <f>IF(NFI_Expiration=1,IF($A385&lt;VLOOKUP(L$5,NFI,5,0),1,0)*Table_NFI[[#This Row],[Tarpaulin]],Table_NFI[[#This Row],[Tarpaulin]])</f>
        <v>0</v>
      </c>
      <c r="AD385" s="294">
        <f>IF(NFI_Expiration=1,IF($A385&lt;VLOOKUP(M$5,NFI,5,0),1,0)*Table_NFI[[#This Row],[Blanket]],Table_NFI[[#This Row],[Blanket]])</f>
        <v>0</v>
      </c>
      <c r="AE385" s="294">
        <f>IF(NFI_Expiration=1,IF($A385&lt;VLOOKUP(N$5,NFI,5,0),1,0)*Table_NFI[[#This Row],[Kitchen Set]],Table_NFI[Kitchen Set])</f>
        <v>0</v>
      </c>
      <c r="AF385" s="294">
        <f>IF(NFI_Expiration=1,IF($A385&lt;VLOOKUP(O$5,NFI,5,0),1,0)*Table_NFI[[#This Row],[Clothes Kit]],Table_NFI[Clothes Kit])</f>
        <v>0</v>
      </c>
      <c r="AG385" s="294">
        <f>IF(NFI_Expiration=1,IF($A385&lt;VLOOKUP(P$5,NFI,5,0),1,0)*Table_NFI[[#This Row],[Plastic Bucket]],Table_NFI[Plastic Bucket])</f>
        <v>0</v>
      </c>
      <c r="AH385" s="294">
        <f>IF(NFI_Expiration=1,IF($A385&lt;VLOOKUP(Q$5,NFI,5,0),1,0)*Table_NFI[[#This Row],[Plastic Mat]],Table_NFI[Plastic Mat])*IF(Table_NFI[[#This Row],[Distribution Date]]&gt;"2014-04-01",1,2.5)</f>
        <v>0</v>
      </c>
      <c r="AI385" s="294">
        <f>IF(NFI_Expiration=1,IF($A385&lt;VLOOKUP(R$5,NFI,5,0),1,0)*Table_NFI[[#This Row],[Winter Clothes Adult]],Table_NFI[Winter Clothes Adult])</f>
        <v>0</v>
      </c>
      <c r="AJ385" s="294">
        <f>IF(NFI_Expiration=1,IF($A385&lt;VLOOKUP(S$5,NFI,5,0),1,0)*Table_NFI[[#This Row],[Winter Clothes Children]],Table_NFI[Winter Clothes Children])</f>
        <v>0</v>
      </c>
      <c r="AK385" s="294">
        <f>IF(NFI_Expiration=1,IF($A385&lt;VLOOKUP(T$5,NFI,5,0),1,0)*Table_NFI[[#This Row],[Winter Items Other]],Table_NFI[Winter Items Other])</f>
        <v>0</v>
      </c>
      <c r="AL385" s="294">
        <f>IF(NFI_Expiration=1,IF($A385&lt;VLOOKUP(M$5,NFI,5,0),1,0)*Table_NFI[[#This Row],[Winter Blanket]],Table_NFI[[#This Row],[Winter Blanket]])</f>
        <v>0</v>
      </c>
      <c r="AM385" s="294">
        <f>IF(Table_NFI[[#This Row],[Winter Clothes Adult]]+Table_NFI[[#This Row],[Winter Clothes Children]]+Table_NFI[[#This Row],[Winter Items Other]]+Table_NFI[[#This Row],[Winter Blanket]]&gt;0,1,0)</f>
        <v>1</v>
      </c>
      <c r="AN385" s="331">
        <f>IF(NFI_Expiration=1,IF($A385&lt;VLOOKUP(V$5,NFI,5,0),1,0)*Table_NFI[[#This Row],[Jerry Can]],Table_NFI[Jerry Can])</f>
        <v>0</v>
      </c>
      <c r="AO385" s="331">
        <f>IF(NFI_Expiration=1,IF($A385&lt;VLOOKUP(V$5,NFI,5,0),1,0)*Table_NFI[[#This Row],[Shelter Tool kit]],Table_NFI[Shelter Tool kit])</f>
        <v>0</v>
      </c>
      <c r="AP385" s="331">
        <f>IF(NFI_Expiration=1,IF($A385&lt;VLOOKUP(V$5,NFI,5,0),1,0)*Table_NFI[[#This Row],[Tent]],Table_NFI[Tent])</f>
        <v>0</v>
      </c>
      <c r="AQ385" s="473" t="str">
        <f>IFERROR(VLOOKUP(Table_NFI[[#This Row],[Camp Name]],CL,2,0),"")</f>
        <v>MMR001CMP024</v>
      </c>
      <c r="AR385" s="468">
        <f ca="1">IF(Table_NFI[[#This Row],[Pcode]]="","",IF(OFFSET(CampList[Opening Date],MATCH(Table_NFI[[#This Row],[Pcode]],CampList[CP_Pcode],0)-1,0,1,1)&gt;=NFI_Monitor_Date,1,0))</f>
        <v>0</v>
      </c>
      <c r="AS385" s="473" t="str">
        <f>IFERROR(VLOOKUP(Table_NFI[[#This Row],[Camp Name]],CL,3,0),"")</f>
        <v>Open</v>
      </c>
      <c r="AT385" s="294" t="str">
        <f ca="1">IF(Table_NFI[[#This Row],[Pcode]]="","",OFFSET(CampList[Priority],MATCH(Table_NFI[[#This Row],[Pcode]],CampList[CP_Pcode],0)-1,0,1,1))</f>
        <v>P4</v>
      </c>
      <c r="AU385" s="293">
        <f>IFERROR(Table_NFI[[#This Row],[Kitchen Set]]/VLOOKUP(Table_NFI[[#This Row],[Camp Name]],CL,4,0),"")</f>
        <v>0</v>
      </c>
      <c r="AV385" s="466"/>
      <c r="AW385" s="469"/>
    </row>
    <row r="386" spans="1:49" s="470" customFormat="1" ht="14.45" customHeight="1" x14ac:dyDescent="0.25">
      <c r="A386" s="297">
        <f t="shared" si="5"/>
        <v>30</v>
      </c>
      <c r="B386" s="465">
        <v>41775</v>
      </c>
      <c r="C386" s="466" t="s">
        <v>452</v>
      </c>
      <c r="D386" s="466" t="s">
        <v>452</v>
      </c>
      <c r="E386" s="466" t="s">
        <v>380</v>
      </c>
      <c r="F386" s="466" t="s">
        <v>5</v>
      </c>
      <c r="G386" s="466" t="s">
        <v>24</v>
      </c>
      <c r="H386" s="291"/>
      <c r="I386" s="291"/>
      <c r="J386" s="291"/>
      <c r="K386" s="291">
        <v>24</v>
      </c>
      <c r="L386" s="292">
        <v>13</v>
      </c>
      <c r="M386" s="292">
        <v>24</v>
      </c>
      <c r="N386" s="292">
        <v>13</v>
      </c>
      <c r="O386" s="292">
        <v>13</v>
      </c>
      <c r="P386" s="294">
        <v>13</v>
      </c>
      <c r="Q386" s="294">
        <v>33</v>
      </c>
      <c r="R386" s="294"/>
      <c r="S386" s="294"/>
      <c r="T386" s="294"/>
      <c r="U386" s="294"/>
      <c r="V386" s="431"/>
      <c r="W386" s="294"/>
      <c r="X386" s="294"/>
      <c r="Y386" s="294">
        <f>IF(NFI_Expiration=1,IF($A386&lt;VLOOKUP(H$5,NFI,5,0),1,0)*Table_NFI[[#This Row],[Hygiene Kit]],Table_NFI[Hygiene Kit])</f>
        <v>0</v>
      </c>
      <c r="Z386" s="294">
        <f>IF(NFI_Expiration=1,IF($A386&lt;VLOOKUP(I$5,NFI,5,0),1,0)*Table_NFI[[#This Row],[NFI Core Kit]],Table_NFI[NFI Core Kit])</f>
        <v>0</v>
      </c>
      <c r="AA386" s="294">
        <f>IF(NFI_Expiration=1,IF($A386&lt;VLOOKUP(J$5,NFI,5,0),1,0)*Table_NFI[[#This Row],[Sanitary Kit]],Table_NFI[Sanitary Kit])</f>
        <v>0</v>
      </c>
      <c r="AB386" s="294">
        <f>IF(NFI_Expiration=1,IF($A386&lt;VLOOKUP(K$5,NFI,5,0),1,0)*Table_NFI[[#This Row],[Mosquito net]],Table_NFI[Mosquito net])</f>
        <v>0</v>
      </c>
      <c r="AC386" s="294">
        <f>IF(NFI_Expiration=1,IF($A386&lt;VLOOKUP(L$5,NFI,5,0),1,0)*Table_NFI[[#This Row],[Tarpaulin]],Table_NFI[[#This Row],[Tarpaulin]])</f>
        <v>0</v>
      </c>
      <c r="AD386" s="294">
        <f>IF(NFI_Expiration=1,IF($A386&lt;VLOOKUP(M$5,NFI,5,0),1,0)*Table_NFI[[#This Row],[Blanket]],Table_NFI[[#This Row],[Blanket]])</f>
        <v>0</v>
      </c>
      <c r="AE386" s="294">
        <f>IF(NFI_Expiration=1,IF($A386&lt;VLOOKUP(N$5,NFI,5,0),1,0)*Table_NFI[[#This Row],[Kitchen Set]],Table_NFI[Kitchen Set])</f>
        <v>0</v>
      </c>
      <c r="AF386" s="294">
        <f>IF(NFI_Expiration=1,IF($A386&lt;VLOOKUP(O$5,NFI,5,0),1,0)*Table_NFI[[#This Row],[Clothes Kit]],Table_NFI[Clothes Kit])</f>
        <v>0</v>
      </c>
      <c r="AG386" s="294">
        <f>IF(NFI_Expiration=1,IF($A386&lt;VLOOKUP(P$5,NFI,5,0),1,0)*Table_NFI[[#This Row],[Plastic Bucket]],Table_NFI[Plastic Bucket])</f>
        <v>0</v>
      </c>
      <c r="AH386" s="294">
        <f>IF(NFI_Expiration=1,IF($A386&lt;VLOOKUP(Q$5,NFI,5,0),1,0)*Table_NFI[[#This Row],[Plastic Mat]],Table_NFI[Plastic Mat])*IF(Table_NFI[[#This Row],[Distribution Date]]&gt;"2014-04-01",1,2.5)</f>
        <v>0</v>
      </c>
      <c r="AI386" s="294">
        <f>IF(NFI_Expiration=1,IF($A386&lt;VLOOKUP(R$5,NFI,5,0),1,0)*Table_NFI[[#This Row],[Winter Clothes Adult]],Table_NFI[Winter Clothes Adult])</f>
        <v>0</v>
      </c>
      <c r="AJ386" s="294">
        <f>IF(NFI_Expiration=1,IF($A386&lt;VLOOKUP(S$5,NFI,5,0),1,0)*Table_NFI[[#This Row],[Winter Clothes Children]],Table_NFI[Winter Clothes Children])</f>
        <v>0</v>
      </c>
      <c r="AK386" s="294">
        <f>IF(NFI_Expiration=1,IF($A386&lt;VLOOKUP(T$5,NFI,5,0),1,0)*Table_NFI[[#This Row],[Winter Items Other]],Table_NFI[Winter Items Other])</f>
        <v>0</v>
      </c>
      <c r="AL386" s="294">
        <f>IF(NFI_Expiration=1,IF($A386&lt;VLOOKUP(M$5,NFI,5,0),1,0)*Table_NFI[[#This Row],[Winter Blanket]],Table_NFI[[#This Row],[Winter Blanket]])</f>
        <v>0</v>
      </c>
      <c r="AM386" s="294">
        <f>IF(Table_NFI[[#This Row],[Winter Clothes Adult]]+Table_NFI[[#This Row],[Winter Clothes Children]]+Table_NFI[[#This Row],[Winter Items Other]]+Table_NFI[[#This Row],[Winter Blanket]]&gt;0,1,0)</f>
        <v>0</v>
      </c>
      <c r="AN386" s="331">
        <f>IF(NFI_Expiration=1,IF($A386&lt;VLOOKUP(V$5,NFI,5,0),1,0)*Table_NFI[[#This Row],[Jerry Can]],Table_NFI[Jerry Can])</f>
        <v>0</v>
      </c>
      <c r="AO386" s="331">
        <f>IF(NFI_Expiration=1,IF($A386&lt;VLOOKUP(V$5,NFI,5,0),1,0)*Table_NFI[[#This Row],[Shelter Tool kit]],Table_NFI[Shelter Tool kit])</f>
        <v>0</v>
      </c>
      <c r="AP386" s="331">
        <f>IF(NFI_Expiration=1,IF($A386&lt;VLOOKUP(V$5,NFI,5,0),1,0)*Table_NFI[[#This Row],[Tent]],Table_NFI[Tent])</f>
        <v>0</v>
      </c>
      <c r="AQ386" s="473" t="str">
        <f>IFERROR(VLOOKUP(Table_NFI[[#This Row],[Camp Name]],CL,2,0),"")</f>
        <v>MMR001CMP055</v>
      </c>
      <c r="AR386" s="468">
        <f ca="1">IF(Table_NFI[[#This Row],[Pcode]]="","",IF(OFFSET(CampList[Opening Date],MATCH(Table_NFI[[#This Row],[Pcode]],CampList[CP_Pcode],0)-1,0,1,1)&gt;=NFI_Monitor_Date,1,0))</f>
        <v>0</v>
      </c>
      <c r="AS386" s="473" t="str">
        <f>IFERROR(VLOOKUP(Table_NFI[[#This Row],[Camp Name]],CL,3,0),"")</f>
        <v>Open</v>
      </c>
      <c r="AT386" s="294" t="str">
        <f ca="1">IF(Table_NFI[[#This Row],[Pcode]]="","",OFFSET(CampList[Priority],MATCH(Table_NFI[[#This Row],[Pcode]],CampList[CP_Pcode],0)-1,0,1,1))</f>
        <v>P4</v>
      </c>
      <c r="AU386" s="293">
        <f>IFERROR(Table_NFI[[#This Row],[Kitchen Set]]/VLOOKUP(Table_NFI[[#This Row],[Camp Name]],CL,4,0),"")</f>
        <v>0.61904761904761907</v>
      </c>
      <c r="AV386" s="466" t="s">
        <v>1092</v>
      </c>
      <c r="AW386" s="469"/>
    </row>
    <row r="387" spans="1:49" s="470" customFormat="1" ht="14.45" customHeight="1" x14ac:dyDescent="0.25">
      <c r="A387" s="297">
        <f t="shared" si="5"/>
        <v>30.033333333333335</v>
      </c>
      <c r="B387" s="465">
        <v>41774</v>
      </c>
      <c r="C387" s="466" t="s">
        <v>452</v>
      </c>
      <c r="D387" s="466" t="s">
        <v>452</v>
      </c>
      <c r="E387" s="466" t="s">
        <v>380</v>
      </c>
      <c r="F387" s="466" t="s">
        <v>5</v>
      </c>
      <c r="G387" s="466" t="s">
        <v>6</v>
      </c>
      <c r="H387" s="291"/>
      <c r="I387" s="291"/>
      <c r="J387" s="291"/>
      <c r="K387" s="291">
        <v>10</v>
      </c>
      <c r="L387" s="292">
        <v>4</v>
      </c>
      <c r="M387" s="292">
        <v>12</v>
      </c>
      <c r="N387" s="292">
        <v>4</v>
      </c>
      <c r="O387" s="292">
        <v>4</v>
      </c>
      <c r="P387" s="294">
        <v>4</v>
      </c>
      <c r="Q387" s="294">
        <v>12</v>
      </c>
      <c r="R387" s="294"/>
      <c r="S387" s="294"/>
      <c r="T387" s="294"/>
      <c r="U387" s="294"/>
      <c r="V387" s="431"/>
      <c r="W387" s="294"/>
      <c r="X387" s="294"/>
      <c r="Y387" s="294">
        <f>IF(NFI_Expiration=1,IF($A387&lt;VLOOKUP(H$5,NFI,5,0),1,0)*Table_NFI[[#This Row],[Hygiene Kit]],Table_NFI[Hygiene Kit])</f>
        <v>0</v>
      </c>
      <c r="Z387" s="294">
        <f>IF(NFI_Expiration=1,IF($A387&lt;VLOOKUP(I$5,NFI,5,0),1,0)*Table_NFI[[#This Row],[NFI Core Kit]],Table_NFI[NFI Core Kit])</f>
        <v>0</v>
      </c>
      <c r="AA387" s="294">
        <f>IF(NFI_Expiration=1,IF($A387&lt;VLOOKUP(J$5,NFI,5,0),1,0)*Table_NFI[[#This Row],[Sanitary Kit]],Table_NFI[Sanitary Kit])</f>
        <v>0</v>
      </c>
      <c r="AB387" s="294">
        <f>IF(NFI_Expiration=1,IF($A387&lt;VLOOKUP(K$5,NFI,5,0),1,0)*Table_NFI[[#This Row],[Mosquito net]],Table_NFI[Mosquito net])</f>
        <v>0</v>
      </c>
      <c r="AC387" s="294">
        <f>IF(NFI_Expiration=1,IF($A387&lt;VLOOKUP(L$5,NFI,5,0),1,0)*Table_NFI[[#This Row],[Tarpaulin]],Table_NFI[[#This Row],[Tarpaulin]])</f>
        <v>0</v>
      </c>
      <c r="AD387" s="294">
        <f>IF(NFI_Expiration=1,IF($A387&lt;VLOOKUP(M$5,NFI,5,0),1,0)*Table_NFI[[#This Row],[Blanket]],Table_NFI[[#This Row],[Blanket]])</f>
        <v>0</v>
      </c>
      <c r="AE387" s="294">
        <f>IF(NFI_Expiration=1,IF($A387&lt;VLOOKUP(N$5,NFI,5,0),1,0)*Table_NFI[[#This Row],[Kitchen Set]],Table_NFI[Kitchen Set])</f>
        <v>0</v>
      </c>
      <c r="AF387" s="294">
        <f>IF(NFI_Expiration=1,IF($A387&lt;VLOOKUP(O$5,NFI,5,0),1,0)*Table_NFI[[#This Row],[Clothes Kit]],Table_NFI[Clothes Kit])</f>
        <v>0</v>
      </c>
      <c r="AG387" s="294">
        <f>IF(NFI_Expiration=1,IF($A387&lt;VLOOKUP(P$5,NFI,5,0),1,0)*Table_NFI[[#This Row],[Plastic Bucket]],Table_NFI[Plastic Bucket])</f>
        <v>0</v>
      </c>
      <c r="AH387" s="294">
        <f>IF(NFI_Expiration=1,IF($A387&lt;VLOOKUP(Q$5,NFI,5,0),1,0)*Table_NFI[[#This Row],[Plastic Mat]],Table_NFI[Plastic Mat])*IF(Table_NFI[[#This Row],[Distribution Date]]&gt;"2014-04-01",1,2.5)</f>
        <v>0</v>
      </c>
      <c r="AI387" s="294">
        <f>IF(NFI_Expiration=1,IF($A387&lt;VLOOKUP(R$5,NFI,5,0),1,0)*Table_NFI[[#This Row],[Winter Clothes Adult]],Table_NFI[Winter Clothes Adult])</f>
        <v>0</v>
      </c>
      <c r="AJ387" s="294">
        <f>IF(NFI_Expiration=1,IF($A387&lt;VLOOKUP(S$5,NFI,5,0),1,0)*Table_NFI[[#This Row],[Winter Clothes Children]],Table_NFI[Winter Clothes Children])</f>
        <v>0</v>
      </c>
      <c r="AK387" s="294">
        <f>IF(NFI_Expiration=1,IF($A387&lt;VLOOKUP(T$5,NFI,5,0),1,0)*Table_NFI[[#This Row],[Winter Items Other]],Table_NFI[Winter Items Other])</f>
        <v>0</v>
      </c>
      <c r="AL387" s="294">
        <f>IF(NFI_Expiration=1,IF($A387&lt;VLOOKUP(M$5,NFI,5,0),1,0)*Table_NFI[[#This Row],[Winter Blanket]],Table_NFI[[#This Row],[Winter Blanket]])</f>
        <v>0</v>
      </c>
      <c r="AM387" s="294">
        <f>IF(Table_NFI[[#This Row],[Winter Clothes Adult]]+Table_NFI[[#This Row],[Winter Clothes Children]]+Table_NFI[[#This Row],[Winter Items Other]]+Table_NFI[[#This Row],[Winter Blanket]]&gt;0,1,0)</f>
        <v>0</v>
      </c>
      <c r="AN387" s="331">
        <f>IF(NFI_Expiration=1,IF($A387&lt;VLOOKUP(V$5,NFI,5,0),1,0)*Table_NFI[[#This Row],[Jerry Can]],Table_NFI[Jerry Can])</f>
        <v>0</v>
      </c>
      <c r="AO387" s="331">
        <f>IF(NFI_Expiration=1,IF($A387&lt;VLOOKUP(V$5,NFI,5,0),1,0)*Table_NFI[[#This Row],[Shelter Tool kit]],Table_NFI[Shelter Tool kit])</f>
        <v>0</v>
      </c>
      <c r="AP387" s="331">
        <f>IF(NFI_Expiration=1,IF($A387&lt;VLOOKUP(V$5,NFI,5,0),1,0)*Table_NFI[[#This Row],[Tent]],Table_NFI[Tent])</f>
        <v>0</v>
      </c>
      <c r="AQ387" s="473" t="str">
        <f>IFERROR(VLOOKUP(Table_NFI[[#This Row],[Camp Name]],CL,2,0),"")</f>
        <v>MMR001CMP050</v>
      </c>
      <c r="AR387" s="468">
        <f ca="1">IF(Table_NFI[[#This Row],[Pcode]]="","",IF(OFFSET(CampList[Opening Date],MATCH(Table_NFI[[#This Row],[Pcode]],CampList[CP_Pcode],0)-1,0,1,1)&gt;=NFI_Monitor_Date,1,0))</f>
        <v>0</v>
      </c>
      <c r="AS387" s="473" t="str">
        <f>IFERROR(VLOOKUP(Table_NFI[[#This Row],[Camp Name]],CL,3,0),"")</f>
        <v>Open</v>
      </c>
      <c r="AT387" s="294" t="str">
        <f ca="1">IF(Table_NFI[[#This Row],[Pcode]]="","",OFFSET(CampList[Priority],MATCH(Table_NFI[[#This Row],[Pcode]],CampList[CP_Pcode],0)-1,0,1,1))</f>
        <v>P4</v>
      </c>
      <c r="AU387" s="293">
        <f>IFERROR(Table_NFI[[#This Row],[Kitchen Set]]/VLOOKUP(Table_NFI[[#This Row],[Camp Name]],CL,4,0),"")</f>
        <v>1.5384615384615385E-2</v>
      </c>
      <c r="AV387" s="466" t="s">
        <v>1092</v>
      </c>
      <c r="AW387" s="469"/>
    </row>
    <row r="388" spans="1:49" s="470" customFormat="1" x14ac:dyDescent="0.25">
      <c r="A388" s="297">
        <f t="shared" si="5"/>
        <v>30.033333333333335</v>
      </c>
      <c r="B388" s="465">
        <v>41774</v>
      </c>
      <c r="C388" s="466" t="s">
        <v>452</v>
      </c>
      <c r="D388" s="466" t="s">
        <v>452</v>
      </c>
      <c r="E388" s="466" t="s">
        <v>380</v>
      </c>
      <c r="F388" s="466" t="s">
        <v>151</v>
      </c>
      <c r="G388" s="466" t="s">
        <v>885</v>
      </c>
      <c r="H388" s="291"/>
      <c r="I388" s="291"/>
      <c r="J388" s="291">
        <v>10</v>
      </c>
      <c r="K388" s="291">
        <v>10</v>
      </c>
      <c r="L388" s="292">
        <v>5</v>
      </c>
      <c r="M388" s="292">
        <v>15</v>
      </c>
      <c r="N388" s="292">
        <v>5</v>
      </c>
      <c r="O388" s="292">
        <v>5</v>
      </c>
      <c r="P388" s="294">
        <v>5</v>
      </c>
      <c r="Q388" s="294">
        <v>20</v>
      </c>
      <c r="R388" s="294"/>
      <c r="S388" s="294"/>
      <c r="T388" s="294"/>
      <c r="U388" s="294"/>
      <c r="V388" s="431"/>
      <c r="W388" s="294"/>
      <c r="X388" s="294"/>
      <c r="Y388" s="294">
        <f>IF(NFI_Expiration=1,IF($A388&lt;VLOOKUP(H$5,NFI,5,0),1,0)*Table_NFI[[#This Row],[Hygiene Kit]],Table_NFI[Hygiene Kit])</f>
        <v>0</v>
      </c>
      <c r="Z388" s="294">
        <f>IF(NFI_Expiration=1,IF($A388&lt;VLOOKUP(I$5,NFI,5,0),1,0)*Table_NFI[[#This Row],[NFI Core Kit]],Table_NFI[NFI Core Kit])</f>
        <v>0</v>
      </c>
      <c r="AA388" s="294">
        <f>IF(NFI_Expiration=1,IF($A388&lt;VLOOKUP(J$5,NFI,5,0),1,0)*Table_NFI[[#This Row],[Sanitary Kit]],Table_NFI[Sanitary Kit])</f>
        <v>0</v>
      </c>
      <c r="AB388" s="294">
        <f>IF(NFI_Expiration=1,IF($A388&lt;VLOOKUP(K$5,NFI,5,0),1,0)*Table_NFI[[#This Row],[Mosquito net]],Table_NFI[Mosquito net])</f>
        <v>0</v>
      </c>
      <c r="AC388" s="294">
        <f>IF(NFI_Expiration=1,IF($A388&lt;VLOOKUP(L$5,NFI,5,0),1,0)*Table_NFI[[#This Row],[Tarpaulin]],Table_NFI[[#This Row],[Tarpaulin]])</f>
        <v>0</v>
      </c>
      <c r="AD388" s="294">
        <f>IF(NFI_Expiration=1,IF($A388&lt;VLOOKUP(M$5,NFI,5,0),1,0)*Table_NFI[[#This Row],[Blanket]],Table_NFI[[#This Row],[Blanket]])</f>
        <v>0</v>
      </c>
      <c r="AE388" s="294">
        <f>IF(NFI_Expiration=1,IF($A388&lt;VLOOKUP(N$5,NFI,5,0),1,0)*Table_NFI[[#This Row],[Kitchen Set]],Table_NFI[Kitchen Set])</f>
        <v>0</v>
      </c>
      <c r="AF388" s="294">
        <f>IF(NFI_Expiration=1,IF($A388&lt;VLOOKUP(O$5,NFI,5,0),1,0)*Table_NFI[[#This Row],[Clothes Kit]],Table_NFI[Clothes Kit])</f>
        <v>0</v>
      </c>
      <c r="AG388" s="294">
        <f>IF(NFI_Expiration=1,IF($A388&lt;VLOOKUP(P$5,NFI,5,0),1,0)*Table_NFI[[#This Row],[Plastic Bucket]],Table_NFI[Plastic Bucket])</f>
        <v>0</v>
      </c>
      <c r="AH388" s="294">
        <f>IF(NFI_Expiration=1,IF($A388&lt;VLOOKUP(Q$5,NFI,5,0),1,0)*Table_NFI[[#This Row],[Plastic Mat]],Table_NFI[Plastic Mat])*IF(Table_NFI[[#This Row],[Distribution Date]]&gt;"2014-04-01",1,2.5)</f>
        <v>0</v>
      </c>
      <c r="AI388" s="294">
        <f>IF(NFI_Expiration=1,IF($A388&lt;VLOOKUP(R$5,NFI,5,0),1,0)*Table_NFI[[#This Row],[Winter Clothes Adult]],Table_NFI[Winter Clothes Adult])</f>
        <v>0</v>
      </c>
      <c r="AJ388" s="294">
        <f>IF(NFI_Expiration=1,IF($A388&lt;VLOOKUP(S$5,NFI,5,0),1,0)*Table_NFI[[#This Row],[Winter Clothes Children]],Table_NFI[Winter Clothes Children])</f>
        <v>0</v>
      </c>
      <c r="AK388" s="294">
        <f>IF(NFI_Expiration=1,IF($A388&lt;VLOOKUP(T$5,NFI,5,0),1,0)*Table_NFI[[#This Row],[Winter Items Other]],Table_NFI[Winter Items Other])</f>
        <v>0</v>
      </c>
      <c r="AL388" s="294">
        <f>IF(NFI_Expiration=1,IF($A388&lt;VLOOKUP(M$5,NFI,5,0),1,0)*Table_NFI[[#This Row],[Winter Blanket]],Table_NFI[[#This Row],[Winter Blanket]])</f>
        <v>0</v>
      </c>
      <c r="AM388" s="294">
        <f>IF(Table_NFI[[#This Row],[Winter Clothes Adult]]+Table_NFI[[#This Row],[Winter Clothes Children]]+Table_NFI[[#This Row],[Winter Items Other]]+Table_NFI[[#This Row],[Winter Blanket]]&gt;0,1,0)</f>
        <v>0</v>
      </c>
      <c r="AN388" s="331">
        <f>IF(NFI_Expiration=1,IF($A388&lt;VLOOKUP(V$5,NFI,5,0),1,0)*Table_NFI[[#This Row],[Jerry Can]],Table_NFI[Jerry Can])</f>
        <v>0</v>
      </c>
      <c r="AO388" s="331">
        <f>IF(NFI_Expiration=1,IF($A388&lt;VLOOKUP(V$5,NFI,5,0),1,0)*Table_NFI[[#This Row],[Shelter Tool kit]],Table_NFI[Shelter Tool kit])</f>
        <v>0</v>
      </c>
      <c r="AP388" s="331">
        <f>IF(NFI_Expiration=1,IF($A388&lt;VLOOKUP(V$5,NFI,5,0),1,0)*Table_NFI[[#This Row],[Tent]],Table_NFI[Tent])</f>
        <v>0</v>
      </c>
      <c r="AQ388" s="473" t="str">
        <f>IFERROR(VLOOKUP(Table_NFI[[#This Row],[Camp Name]],CL,2,0),"")</f>
        <v>MMR001CMP218</v>
      </c>
      <c r="AR388" s="468">
        <f ca="1">IF(Table_NFI[[#This Row],[Pcode]]="","",IF(OFFSET(CampList[Opening Date],MATCH(Table_NFI[[#This Row],[Pcode]],CampList[CP_Pcode],0)-1,0,1,1)&gt;=NFI_Monitor_Date,1,0))</f>
        <v>0</v>
      </c>
      <c r="AS388" s="473" t="str">
        <f>IFERROR(VLOOKUP(Table_NFI[[#This Row],[Camp Name]],CL,3,0),"")</f>
        <v>Open</v>
      </c>
      <c r="AT388" s="294" t="str">
        <f ca="1">IF(Table_NFI[[#This Row],[Pcode]]="","",OFFSET(CampList[Priority],MATCH(Table_NFI[[#This Row],[Pcode]],CampList[CP_Pcode],0)-1,0,1,1))</f>
        <v>P4</v>
      </c>
      <c r="AU388" s="293">
        <f>IFERROR(Table_NFI[[#This Row],[Kitchen Set]]/VLOOKUP(Table_NFI[[#This Row],[Camp Name]],CL,4,0),"")</f>
        <v>1.3368983957219251E-2</v>
      </c>
      <c r="AV388" s="466" t="s">
        <v>1092</v>
      </c>
      <c r="AW388" s="469"/>
    </row>
    <row r="389" spans="1:49" s="470" customFormat="1" ht="14.45" customHeight="1" x14ac:dyDescent="0.25">
      <c r="A389" s="297">
        <f t="shared" si="5"/>
        <v>30.066666666666666</v>
      </c>
      <c r="B389" s="465">
        <v>41773</v>
      </c>
      <c r="C389" s="466" t="s">
        <v>452</v>
      </c>
      <c r="D389" s="466" t="s">
        <v>452</v>
      </c>
      <c r="E389" s="466" t="s">
        <v>380</v>
      </c>
      <c r="F389" s="466" t="s">
        <v>5</v>
      </c>
      <c r="G389" s="466" t="s">
        <v>6</v>
      </c>
      <c r="H389" s="291"/>
      <c r="I389" s="291"/>
      <c r="J389" s="291">
        <v>11</v>
      </c>
      <c r="K389" s="291">
        <v>12</v>
      </c>
      <c r="L389" s="292">
        <v>4</v>
      </c>
      <c r="M389" s="292">
        <v>12</v>
      </c>
      <c r="N389" s="292">
        <v>4</v>
      </c>
      <c r="O389" s="292">
        <v>4</v>
      </c>
      <c r="P389" s="294">
        <v>4</v>
      </c>
      <c r="Q389" s="294">
        <v>15</v>
      </c>
      <c r="R389" s="294"/>
      <c r="S389" s="294"/>
      <c r="T389" s="294"/>
      <c r="U389" s="294"/>
      <c r="V389" s="431"/>
      <c r="W389" s="294"/>
      <c r="X389" s="294"/>
      <c r="Y389" s="294">
        <f>IF(NFI_Expiration=1,IF($A389&lt;VLOOKUP(H$5,NFI,5,0),1,0)*Table_NFI[[#This Row],[Hygiene Kit]],Table_NFI[Hygiene Kit])</f>
        <v>0</v>
      </c>
      <c r="Z389" s="294">
        <f>IF(NFI_Expiration=1,IF($A389&lt;VLOOKUP(I$5,NFI,5,0),1,0)*Table_NFI[[#This Row],[NFI Core Kit]],Table_NFI[NFI Core Kit])</f>
        <v>0</v>
      </c>
      <c r="AA389" s="294">
        <f>IF(NFI_Expiration=1,IF($A389&lt;VLOOKUP(J$5,NFI,5,0),1,0)*Table_NFI[[#This Row],[Sanitary Kit]],Table_NFI[Sanitary Kit])</f>
        <v>0</v>
      </c>
      <c r="AB389" s="294">
        <f>IF(NFI_Expiration=1,IF($A389&lt;VLOOKUP(K$5,NFI,5,0),1,0)*Table_NFI[[#This Row],[Mosquito net]],Table_NFI[Mosquito net])</f>
        <v>0</v>
      </c>
      <c r="AC389" s="294">
        <f>IF(NFI_Expiration=1,IF($A389&lt;VLOOKUP(L$5,NFI,5,0),1,0)*Table_NFI[[#This Row],[Tarpaulin]],Table_NFI[[#This Row],[Tarpaulin]])</f>
        <v>0</v>
      </c>
      <c r="AD389" s="294">
        <f>IF(NFI_Expiration=1,IF($A389&lt;VLOOKUP(M$5,NFI,5,0),1,0)*Table_NFI[[#This Row],[Blanket]],Table_NFI[[#This Row],[Blanket]])</f>
        <v>0</v>
      </c>
      <c r="AE389" s="294">
        <f>IF(NFI_Expiration=1,IF($A389&lt;VLOOKUP(N$5,NFI,5,0),1,0)*Table_NFI[[#This Row],[Kitchen Set]],Table_NFI[Kitchen Set])</f>
        <v>0</v>
      </c>
      <c r="AF389" s="294">
        <f>IF(NFI_Expiration=1,IF($A389&lt;VLOOKUP(O$5,NFI,5,0),1,0)*Table_NFI[[#This Row],[Clothes Kit]],Table_NFI[Clothes Kit])</f>
        <v>0</v>
      </c>
      <c r="AG389" s="294">
        <f>IF(NFI_Expiration=1,IF($A389&lt;VLOOKUP(P$5,NFI,5,0),1,0)*Table_NFI[[#This Row],[Plastic Bucket]],Table_NFI[Plastic Bucket])</f>
        <v>0</v>
      </c>
      <c r="AH389" s="294">
        <f>IF(NFI_Expiration=1,IF($A389&lt;VLOOKUP(Q$5,NFI,5,0),1,0)*Table_NFI[[#This Row],[Plastic Mat]],Table_NFI[Plastic Mat])*IF(Table_NFI[[#This Row],[Distribution Date]]&gt;"2014-04-01",1,2.5)</f>
        <v>0</v>
      </c>
      <c r="AI389" s="294">
        <f>IF(NFI_Expiration=1,IF($A389&lt;VLOOKUP(R$5,NFI,5,0),1,0)*Table_NFI[[#This Row],[Winter Clothes Adult]],Table_NFI[Winter Clothes Adult])</f>
        <v>0</v>
      </c>
      <c r="AJ389" s="294">
        <f>IF(NFI_Expiration=1,IF($A389&lt;VLOOKUP(S$5,NFI,5,0),1,0)*Table_NFI[[#This Row],[Winter Clothes Children]],Table_NFI[Winter Clothes Children])</f>
        <v>0</v>
      </c>
      <c r="AK389" s="294">
        <f>IF(NFI_Expiration=1,IF($A389&lt;VLOOKUP(T$5,NFI,5,0),1,0)*Table_NFI[[#This Row],[Winter Items Other]],Table_NFI[Winter Items Other])</f>
        <v>0</v>
      </c>
      <c r="AL389" s="294">
        <f>IF(NFI_Expiration=1,IF($A389&lt;VLOOKUP(M$5,NFI,5,0),1,0)*Table_NFI[[#This Row],[Winter Blanket]],Table_NFI[[#This Row],[Winter Blanket]])</f>
        <v>0</v>
      </c>
      <c r="AM389" s="294">
        <f>IF(Table_NFI[[#This Row],[Winter Clothes Adult]]+Table_NFI[[#This Row],[Winter Clothes Children]]+Table_NFI[[#This Row],[Winter Items Other]]+Table_NFI[[#This Row],[Winter Blanket]]&gt;0,1,0)</f>
        <v>0</v>
      </c>
      <c r="AN389" s="331">
        <f>IF(NFI_Expiration=1,IF($A389&lt;VLOOKUP(V$5,NFI,5,0),1,0)*Table_NFI[[#This Row],[Jerry Can]],Table_NFI[Jerry Can])</f>
        <v>0</v>
      </c>
      <c r="AO389" s="331">
        <f>IF(NFI_Expiration=1,IF($A389&lt;VLOOKUP(V$5,NFI,5,0),1,0)*Table_NFI[[#This Row],[Shelter Tool kit]],Table_NFI[Shelter Tool kit])</f>
        <v>0</v>
      </c>
      <c r="AP389" s="331">
        <f>IF(NFI_Expiration=1,IF($A389&lt;VLOOKUP(V$5,NFI,5,0),1,0)*Table_NFI[[#This Row],[Tent]],Table_NFI[Tent])</f>
        <v>0</v>
      </c>
      <c r="AQ389" s="473" t="str">
        <f>IFERROR(VLOOKUP(Table_NFI[[#This Row],[Camp Name]],CL,2,0),"")</f>
        <v>MMR001CMP050</v>
      </c>
      <c r="AR389" s="468">
        <f ca="1">IF(Table_NFI[[#This Row],[Pcode]]="","",IF(OFFSET(CampList[Opening Date],MATCH(Table_NFI[[#This Row],[Pcode]],CampList[CP_Pcode],0)-1,0,1,1)&gt;=NFI_Monitor_Date,1,0))</f>
        <v>0</v>
      </c>
      <c r="AS389" s="473" t="str">
        <f>IFERROR(VLOOKUP(Table_NFI[[#This Row],[Camp Name]],CL,3,0),"")</f>
        <v>Open</v>
      </c>
      <c r="AT389" s="294" t="str">
        <f ca="1">IF(Table_NFI[[#This Row],[Pcode]]="","",OFFSET(CampList[Priority],MATCH(Table_NFI[[#This Row],[Pcode]],CampList[CP_Pcode],0)-1,0,1,1))</f>
        <v>P4</v>
      </c>
      <c r="AU389" s="293">
        <f>IFERROR(Table_NFI[[#This Row],[Kitchen Set]]/VLOOKUP(Table_NFI[[#This Row],[Camp Name]],CL,4,0),"")</f>
        <v>1.5384615384615385E-2</v>
      </c>
      <c r="AV389" s="466" t="s">
        <v>1092</v>
      </c>
      <c r="AW389" s="469"/>
    </row>
    <row r="390" spans="1:49" s="470" customFormat="1" ht="14.45" customHeight="1" x14ac:dyDescent="0.25">
      <c r="A390" s="297">
        <f t="shared" ref="A390:A453" si="6">IF(ISBLANK(B390),"",(Report_Date-B390)/30)</f>
        <v>30.066666666666666</v>
      </c>
      <c r="B390" s="465">
        <v>41773</v>
      </c>
      <c r="C390" s="466" t="s">
        <v>452</v>
      </c>
      <c r="D390" s="466" t="s">
        <v>452</v>
      </c>
      <c r="E390" s="466" t="s">
        <v>380</v>
      </c>
      <c r="F390" s="466" t="s">
        <v>185</v>
      </c>
      <c r="G390" s="466" t="s">
        <v>209</v>
      </c>
      <c r="H390" s="291"/>
      <c r="I390" s="291"/>
      <c r="J390" s="291">
        <v>5</v>
      </c>
      <c r="K390" s="291">
        <v>6</v>
      </c>
      <c r="L390" s="292">
        <v>32</v>
      </c>
      <c r="M390" s="292">
        <v>6</v>
      </c>
      <c r="N390" s="292">
        <v>2</v>
      </c>
      <c r="O390" s="292">
        <v>2</v>
      </c>
      <c r="P390" s="294">
        <v>2</v>
      </c>
      <c r="Q390" s="294">
        <v>10</v>
      </c>
      <c r="R390" s="294"/>
      <c r="S390" s="294"/>
      <c r="T390" s="294"/>
      <c r="U390" s="294"/>
      <c r="V390" s="431"/>
      <c r="W390" s="294"/>
      <c r="X390" s="294"/>
      <c r="Y390" s="294">
        <f>IF(NFI_Expiration=1,IF($A390&lt;VLOOKUP(H$5,NFI,5,0),1,0)*Table_NFI[[#This Row],[Hygiene Kit]],Table_NFI[Hygiene Kit])</f>
        <v>0</v>
      </c>
      <c r="Z390" s="294">
        <f>IF(NFI_Expiration=1,IF($A390&lt;VLOOKUP(I$5,NFI,5,0),1,0)*Table_NFI[[#This Row],[NFI Core Kit]],Table_NFI[NFI Core Kit])</f>
        <v>0</v>
      </c>
      <c r="AA390" s="294">
        <f>IF(NFI_Expiration=1,IF($A390&lt;VLOOKUP(J$5,NFI,5,0),1,0)*Table_NFI[[#This Row],[Sanitary Kit]],Table_NFI[Sanitary Kit])</f>
        <v>0</v>
      </c>
      <c r="AB390" s="294">
        <f>IF(NFI_Expiration=1,IF($A390&lt;VLOOKUP(K$5,NFI,5,0),1,0)*Table_NFI[[#This Row],[Mosquito net]],Table_NFI[Mosquito net])</f>
        <v>0</v>
      </c>
      <c r="AC390" s="294">
        <f>IF(NFI_Expiration=1,IF($A390&lt;VLOOKUP(L$5,NFI,5,0),1,0)*Table_NFI[[#This Row],[Tarpaulin]],Table_NFI[[#This Row],[Tarpaulin]])</f>
        <v>0</v>
      </c>
      <c r="AD390" s="294">
        <f>IF(NFI_Expiration=1,IF($A390&lt;VLOOKUP(M$5,NFI,5,0),1,0)*Table_NFI[[#This Row],[Blanket]],Table_NFI[[#This Row],[Blanket]])</f>
        <v>0</v>
      </c>
      <c r="AE390" s="294">
        <f>IF(NFI_Expiration=1,IF($A390&lt;VLOOKUP(N$5,NFI,5,0),1,0)*Table_NFI[[#This Row],[Kitchen Set]],Table_NFI[Kitchen Set])</f>
        <v>0</v>
      </c>
      <c r="AF390" s="294">
        <f>IF(NFI_Expiration=1,IF($A390&lt;VLOOKUP(O$5,NFI,5,0),1,0)*Table_NFI[[#This Row],[Clothes Kit]],Table_NFI[Clothes Kit])</f>
        <v>0</v>
      </c>
      <c r="AG390" s="294">
        <f>IF(NFI_Expiration=1,IF($A390&lt;VLOOKUP(P$5,NFI,5,0),1,0)*Table_NFI[[#This Row],[Plastic Bucket]],Table_NFI[Plastic Bucket])</f>
        <v>0</v>
      </c>
      <c r="AH390" s="294">
        <f>IF(NFI_Expiration=1,IF($A390&lt;VLOOKUP(Q$5,NFI,5,0),1,0)*Table_NFI[[#This Row],[Plastic Mat]],Table_NFI[Plastic Mat])*IF(Table_NFI[[#This Row],[Distribution Date]]&gt;"2014-04-01",1,2.5)</f>
        <v>0</v>
      </c>
      <c r="AI390" s="294">
        <f>IF(NFI_Expiration=1,IF($A390&lt;VLOOKUP(R$5,NFI,5,0),1,0)*Table_NFI[[#This Row],[Winter Clothes Adult]],Table_NFI[Winter Clothes Adult])</f>
        <v>0</v>
      </c>
      <c r="AJ390" s="294">
        <f>IF(NFI_Expiration=1,IF($A390&lt;VLOOKUP(S$5,NFI,5,0),1,0)*Table_NFI[[#This Row],[Winter Clothes Children]],Table_NFI[Winter Clothes Children])</f>
        <v>0</v>
      </c>
      <c r="AK390" s="294">
        <f>IF(NFI_Expiration=1,IF($A390&lt;VLOOKUP(T$5,NFI,5,0),1,0)*Table_NFI[[#This Row],[Winter Items Other]],Table_NFI[Winter Items Other])</f>
        <v>0</v>
      </c>
      <c r="AL390" s="294">
        <f>IF(NFI_Expiration=1,IF($A390&lt;VLOOKUP(M$5,NFI,5,0),1,0)*Table_NFI[[#This Row],[Winter Blanket]],Table_NFI[[#This Row],[Winter Blanket]])</f>
        <v>0</v>
      </c>
      <c r="AM390" s="294">
        <f>IF(Table_NFI[[#This Row],[Winter Clothes Adult]]+Table_NFI[[#This Row],[Winter Clothes Children]]+Table_NFI[[#This Row],[Winter Items Other]]+Table_NFI[[#This Row],[Winter Blanket]]&gt;0,1,0)</f>
        <v>0</v>
      </c>
      <c r="AN390" s="331">
        <f>IF(NFI_Expiration=1,IF($A390&lt;VLOOKUP(V$5,NFI,5,0),1,0)*Table_NFI[[#This Row],[Jerry Can]],Table_NFI[Jerry Can])</f>
        <v>0</v>
      </c>
      <c r="AO390" s="331">
        <f>IF(NFI_Expiration=1,IF($A390&lt;VLOOKUP(V$5,NFI,5,0),1,0)*Table_NFI[[#This Row],[Shelter Tool kit]],Table_NFI[Shelter Tool kit])</f>
        <v>0</v>
      </c>
      <c r="AP390" s="331">
        <f>IF(NFI_Expiration=1,IF($A390&lt;VLOOKUP(V$5,NFI,5,0),1,0)*Table_NFI[[#This Row],[Tent]],Table_NFI[Tent])</f>
        <v>0</v>
      </c>
      <c r="AQ390" s="473" t="str">
        <f>IFERROR(VLOOKUP(Table_NFI[[#This Row],[Camp Name]],CL,2,0),"")</f>
        <v>MMR001CMP056</v>
      </c>
      <c r="AR390" s="468">
        <f ca="1">IF(Table_NFI[[#This Row],[Pcode]]="","",IF(OFFSET(CampList[Opening Date],MATCH(Table_NFI[[#This Row],[Pcode]],CampList[CP_Pcode],0)-1,0,1,1)&gt;=NFI_Monitor_Date,1,0))</f>
        <v>0</v>
      </c>
      <c r="AS390" s="473" t="str">
        <f>IFERROR(VLOOKUP(Table_NFI[[#This Row],[Camp Name]],CL,3,0),"")</f>
        <v>Open</v>
      </c>
      <c r="AT390" s="294" t="str">
        <f ca="1">IF(Table_NFI[[#This Row],[Pcode]]="","",OFFSET(CampList[Priority],MATCH(Table_NFI[[#This Row],[Pcode]],CampList[CP_Pcode],0)-1,0,1,1))</f>
        <v>P4</v>
      </c>
      <c r="AU390" s="293">
        <f>IFERROR(Table_NFI[[#This Row],[Kitchen Set]]/VLOOKUP(Table_NFI[[#This Row],[Camp Name]],CL,4,0),"")</f>
        <v>8.8495575221238937E-3</v>
      </c>
      <c r="AV390" s="466" t="s">
        <v>1092</v>
      </c>
      <c r="AW390" s="469"/>
    </row>
    <row r="391" spans="1:49" s="470" customFormat="1" ht="14.45" customHeight="1" x14ac:dyDescent="0.25">
      <c r="A391" s="297">
        <f t="shared" si="6"/>
        <v>30.066666666666666</v>
      </c>
      <c r="B391" s="465">
        <v>41773</v>
      </c>
      <c r="C391" s="466" t="s">
        <v>452</v>
      </c>
      <c r="D391" s="466" t="s">
        <v>452</v>
      </c>
      <c r="E391" s="466" t="s">
        <v>380</v>
      </c>
      <c r="F391" s="466" t="s">
        <v>5</v>
      </c>
      <c r="G391" s="466" t="s">
        <v>24</v>
      </c>
      <c r="H391" s="291"/>
      <c r="I391" s="291"/>
      <c r="J391" s="291">
        <v>17</v>
      </c>
      <c r="K391" s="291">
        <v>108</v>
      </c>
      <c r="L391" s="292">
        <v>36</v>
      </c>
      <c r="M391" s="292">
        <v>108</v>
      </c>
      <c r="N391" s="292">
        <v>36</v>
      </c>
      <c r="O391" s="292">
        <v>36</v>
      </c>
      <c r="P391" s="294">
        <v>36</v>
      </c>
      <c r="Q391" s="294">
        <v>142</v>
      </c>
      <c r="R391" s="294"/>
      <c r="S391" s="294"/>
      <c r="T391" s="294"/>
      <c r="U391" s="294"/>
      <c r="V391" s="431"/>
      <c r="W391" s="294"/>
      <c r="X391" s="294"/>
      <c r="Y391" s="294">
        <f>IF(NFI_Expiration=1,IF($A391&lt;VLOOKUP(H$5,NFI,5,0),1,0)*Table_NFI[[#This Row],[Hygiene Kit]],Table_NFI[Hygiene Kit])</f>
        <v>0</v>
      </c>
      <c r="Z391" s="294">
        <f>IF(NFI_Expiration=1,IF($A391&lt;VLOOKUP(I$5,NFI,5,0),1,0)*Table_NFI[[#This Row],[NFI Core Kit]],Table_NFI[NFI Core Kit])</f>
        <v>0</v>
      </c>
      <c r="AA391" s="294">
        <f>IF(NFI_Expiration=1,IF($A391&lt;VLOOKUP(J$5,NFI,5,0),1,0)*Table_NFI[[#This Row],[Sanitary Kit]],Table_NFI[Sanitary Kit])</f>
        <v>0</v>
      </c>
      <c r="AB391" s="294">
        <f>IF(NFI_Expiration=1,IF($A391&lt;VLOOKUP(K$5,NFI,5,0),1,0)*Table_NFI[[#This Row],[Mosquito net]],Table_NFI[Mosquito net])</f>
        <v>0</v>
      </c>
      <c r="AC391" s="294">
        <f>IF(NFI_Expiration=1,IF($A391&lt;VLOOKUP(L$5,NFI,5,0),1,0)*Table_NFI[[#This Row],[Tarpaulin]],Table_NFI[[#This Row],[Tarpaulin]])</f>
        <v>0</v>
      </c>
      <c r="AD391" s="294">
        <f>IF(NFI_Expiration=1,IF($A391&lt;VLOOKUP(M$5,NFI,5,0),1,0)*Table_NFI[[#This Row],[Blanket]],Table_NFI[[#This Row],[Blanket]])</f>
        <v>0</v>
      </c>
      <c r="AE391" s="294">
        <f>IF(NFI_Expiration=1,IF($A391&lt;VLOOKUP(N$5,NFI,5,0),1,0)*Table_NFI[[#This Row],[Kitchen Set]],Table_NFI[Kitchen Set])</f>
        <v>0</v>
      </c>
      <c r="AF391" s="294">
        <f>IF(NFI_Expiration=1,IF($A391&lt;VLOOKUP(O$5,NFI,5,0),1,0)*Table_NFI[[#This Row],[Clothes Kit]],Table_NFI[Clothes Kit])</f>
        <v>0</v>
      </c>
      <c r="AG391" s="294">
        <f>IF(NFI_Expiration=1,IF($A391&lt;VLOOKUP(P$5,NFI,5,0),1,0)*Table_NFI[[#This Row],[Plastic Bucket]],Table_NFI[Plastic Bucket])</f>
        <v>0</v>
      </c>
      <c r="AH391" s="294">
        <f>IF(NFI_Expiration=1,IF($A391&lt;VLOOKUP(Q$5,NFI,5,0),1,0)*Table_NFI[[#This Row],[Plastic Mat]],Table_NFI[Plastic Mat])*IF(Table_NFI[[#This Row],[Distribution Date]]&gt;"2014-04-01",1,2.5)</f>
        <v>0</v>
      </c>
      <c r="AI391" s="294">
        <f>IF(NFI_Expiration=1,IF($A391&lt;VLOOKUP(R$5,NFI,5,0),1,0)*Table_NFI[[#This Row],[Winter Clothes Adult]],Table_NFI[Winter Clothes Adult])</f>
        <v>0</v>
      </c>
      <c r="AJ391" s="294">
        <f>IF(NFI_Expiration=1,IF($A391&lt;VLOOKUP(S$5,NFI,5,0),1,0)*Table_NFI[[#This Row],[Winter Clothes Children]],Table_NFI[Winter Clothes Children])</f>
        <v>0</v>
      </c>
      <c r="AK391" s="294">
        <f>IF(NFI_Expiration=1,IF($A391&lt;VLOOKUP(T$5,NFI,5,0),1,0)*Table_NFI[[#This Row],[Winter Items Other]],Table_NFI[Winter Items Other])</f>
        <v>0</v>
      </c>
      <c r="AL391" s="294">
        <f>IF(NFI_Expiration=1,IF($A391&lt;VLOOKUP(M$5,NFI,5,0),1,0)*Table_NFI[[#This Row],[Winter Blanket]],Table_NFI[[#This Row],[Winter Blanket]])</f>
        <v>0</v>
      </c>
      <c r="AM391" s="294">
        <f>IF(Table_NFI[[#This Row],[Winter Clothes Adult]]+Table_NFI[[#This Row],[Winter Clothes Children]]+Table_NFI[[#This Row],[Winter Items Other]]+Table_NFI[[#This Row],[Winter Blanket]]&gt;0,1,0)</f>
        <v>0</v>
      </c>
      <c r="AN391" s="331">
        <f>IF(NFI_Expiration=1,IF($A391&lt;VLOOKUP(V$5,NFI,5,0),1,0)*Table_NFI[[#This Row],[Jerry Can]],Table_NFI[Jerry Can])</f>
        <v>0</v>
      </c>
      <c r="AO391" s="331">
        <f>IF(NFI_Expiration=1,IF($A391&lt;VLOOKUP(V$5,NFI,5,0),1,0)*Table_NFI[[#This Row],[Shelter Tool kit]],Table_NFI[Shelter Tool kit])</f>
        <v>0</v>
      </c>
      <c r="AP391" s="331">
        <f>IF(NFI_Expiration=1,IF($A391&lt;VLOOKUP(V$5,NFI,5,0),1,0)*Table_NFI[[#This Row],[Tent]],Table_NFI[Tent])</f>
        <v>0</v>
      </c>
      <c r="AQ391" s="473" t="str">
        <f>IFERROR(VLOOKUP(Table_NFI[[#This Row],[Camp Name]],CL,2,0),"")</f>
        <v>MMR001CMP055</v>
      </c>
      <c r="AR391" s="468">
        <f ca="1">IF(Table_NFI[[#This Row],[Pcode]]="","",IF(OFFSET(CampList[Opening Date],MATCH(Table_NFI[[#This Row],[Pcode]],CampList[CP_Pcode],0)-1,0,1,1)&gt;=NFI_Monitor_Date,1,0))</f>
        <v>0</v>
      </c>
      <c r="AS391" s="473" t="str">
        <f>IFERROR(VLOOKUP(Table_NFI[[#This Row],[Camp Name]],CL,3,0),"")</f>
        <v>Open</v>
      </c>
      <c r="AT391" s="294" t="str">
        <f ca="1">IF(Table_NFI[[#This Row],[Pcode]]="","",OFFSET(CampList[Priority],MATCH(Table_NFI[[#This Row],[Pcode]],CampList[CP_Pcode],0)-1,0,1,1))</f>
        <v>P4</v>
      </c>
      <c r="AU391" s="293">
        <f>IFERROR(Table_NFI[[#This Row],[Kitchen Set]]/VLOOKUP(Table_NFI[[#This Row],[Camp Name]],CL,4,0),"")</f>
        <v>1.7142857142857142</v>
      </c>
      <c r="AV391" s="466" t="s">
        <v>1092</v>
      </c>
      <c r="AW391" s="469"/>
    </row>
    <row r="392" spans="1:49" s="470" customFormat="1" ht="14.45" customHeight="1" x14ac:dyDescent="0.25">
      <c r="A392" s="297">
        <f t="shared" si="6"/>
        <v>30.1</v>
      </c>
      <c r="B392" s="465">
        <v>41772</v>
      </c>
      <c r="C392" s="466" t="s">
        <v>1104</v>
      </c>
      <c r="D392" s="466" t="s">
        <v>900</v>
      </c>
      <c r="E392" s="466" t="s">
        <v>380</v>
      </c>
      <c r="F392" s="466" t="s">
        <v>237</v>
      </c>
      <c r="G392" s="466" t="s">
        <v>269</v>
      </c>
      <c r="H392" s="291"/>
      <c r="I392" s="291"/>
      <c r="J392" s="291"/>
      <c r="K392" s="291"/>
      <c r="L392" s="292"/>
      <c r="M392" s="292"/>
      <c r="N392" s="292"/>
      <c r="O392" s="292"/>
      <c r="P392" s="294"/>
      <c r="Q392" s="294"/>
      <c r="R392" s="294"/>
      <c r="S392" s="294"/>
      <c r="T392" s="294"/>
      <c r="U392" s="294">
        <v>112</v>
      </c>
      <c r="V392" s="431"/>
      <c r="W392" s="294"/>
      <c r="X392" s="294"/>
      <c r="Y392" s="294">
        <f>IF(NFI_Expiration=1,IF($A392&lt;VLOOKUP(H$5,NFI,5,0),1,0)*Table_NFI[[#This Row],[Hygiene Kit]],Table_NFI[Hygiene Kit])</f>
        <v>0</v>
      </c>
      <c r="Z392" s="294">
        <f>IF(NFI_Expiration=1,IF($A392&lt;VLOOKUP(I$5,NFI,5,0),1,0)*Table_NFI[[#This Row],[NFI Core Kit]],Table_NFI[NFI Core Kit])</f>
        <v>0</v>
      </c>
      <c r="AA392" s="294">
        <f>IF(NFI_Expiration=1,IF($A392&lt;VLOOKUP(J$5,NFI,5,0),1,0)*Table_NFI[[#This Row],[Sanitary Kit]],Table_NFI[Sanitary Kit])</f>
        <v>0</v>
      </c>
      <c r="AB392" s="294">
        <f>IF(NFI_Expiration=1,IF($A392&lt;VLOOKUP(K$5,NFI,5,0),1,0)*Table_NFI[[#This Row],[Mosquito net]],Table_NFI[Mosquito net])</f>
        <v>0</v>
      </c>
      <c r="AC392" s="294">
        <f>IF(NFI_Expiration=1,IF($A392&lt;VLOOKUP(L$5,NFI,5,0),1,0)*Table_NFI[[#This Row],[Tarpaulin]],Table_NFI[[#This Row],[Tarpaulin]])</f>
        <v>0</v>
      </c>
      <c r="AD392" s="294">
        <f>IF(NFI_Expiration=1,IF($A392&lt;VLOOKUP(M$5,NFI,5,0),1,0)*Table_NFI[[#This Row],[Blanket]],Table_NFI[[#This Row],[Blanket]])</f>
        <v>0</v>
      </c>
      <c r="AE392" s="294">
        <f>IF(NFI_Expiration=1,IF($A392&lt;VLOOKUP(N$5,NFI,5,0),1,0)*Table_NFI[[#This Row],[Kitchen Set]],Table_NFI[Kitchen Set])</f>
        <v>0</v>
      </c>
      <c r="AF392" s="294">
        <f>IF(NFI_Expiration=1,IF($A392&lt;VLOOKUP(O$5,NFI,5,0),1,0)*Table_NFI[[#This Row],[Clothes Kit]],Table_NFI[Clothes Kit])</f>
        <v>0</v>
      </c>
      <c r="AG392" s="294">
        <f>IF(NFI_Expiration=1,IF($A392&lt;VLOOKUP(P$5,NFI,5,0),1,0)*Table_NFI[[#This Row],[Plastic Bucket]],Table_NFI[Plastic Bucket])</f>
        <v>0</v>
      </c>
      <c r="AH392" s="294">
        <f>IF(NFI_Expiration=1,IF($A392&lt;VLOOKUP(Q$5,NFI,5,0),1,0)*Table_NFI[[#This Row],[Plastic Mat]],Table_NFI[Plastic Mat])*IF(Table_NFI[[#This Row],[Distribution Date]]&gt;"2014-04-01",1,2.5)</f>
        <v>0</v>
      </c>
      <c r="AI392" s="294">
        <f>IF(NFI_Expiration=1,IF($A392&lt;VLOOKUP(R$5,NFI,5,0),1,0)*Table_NFI[[#This Row],[Winter Clothes Adult]],Table_NFI[Winter Clothes Adult])</f>
        <v>0</v>
      </c>
      <c r="AJ392" s="294">
        <f>IF(NFI_Expiration=1,IF($A392&lt;VLOOKUP(S$5,NFI,5,0),1,0)*Table_NFI[[#This Row],[Winter Clothes Children]],Table_NFI[Winter Clothes Children])</f>
        <v>0</v>
      </c>
      <c r="AK392" s="294">
        <f>IF(NFI_Expiration=1,IF($A392&lt;VLOOKUP(T$5,NFI,5,0),1,0)*Table_NFI[[#This Row],[Winter Items Other]],Table_NFI[Winter Items Other])</f>
        <v>0</v>
      </c>
      <c r="AL392" s="294">
        <f>IF(NFI_Expiration=1,IF($A392&lt;VLOOKUP(M$5,NFI,5,0),1,0)*Table_NFI[[#This Row],[Winter Blanket]],Table_NFI[[#This Row],[Winter Blanket]])</f>
        <v>0</v>
      </c>
      <c r="AM392" s="294">
        <f>IF(Table_NFI[[#This Row],[Winter Clothes Adult]]+Table_NFI[[#This Row],[Winter Clothes Children]]+Table_NFI[[#This Row],[Winter Items Other]]+Table_NFI[[#This Row],[Winter Blanket]]&gt;0,1,0)</f>
        <v>1</v>
      </c>
      <c r="AN392" s="331">
        <f>IF(NFI_Expiration=1,IF($A392&lt;VLOOKUP(V$5,NFI,5,0),1,0)*Table_NFI[[#This Row],[Jerry Can]],Table_NFI[Jerry Can])</f>
        <v>0</v>
      </c>
      <c r="AO392" s="331">
        <f>IF(NFI_Expiration=1,IF($A392&lt;VLOOKUP(V$5,NFI,5,0),1,0)*Table_NFI[[#This Row],[Shelter Tool kit]],Table_NFI[Shelter Tool kit])</f>
        <v>0</v>
      </c>
      <c r="AP392" s="331">
        <f>IF(NFI_Expiration=1,IF($A392&lt;VLOOKUP(V$5,NFI,5,0),1,0)*Table_NFI[[#This Row],[Tent]],Table_NFI[Tent])</f>
        <v>0</v>
      </c>
      <c r="AQ392" s="473" t="str">
        <f>IFERROR(VLOOKUP(Table_NFI[[#This Row],[Camp Name]],CL,2,0),"")</f>
        <v>MMR001CMP002</v>
      </c>
      <c r="AR392" s="468">
        <f ca="1">IF(Table_NFI[[#This Row],[Pcode]]="","",IF(OFFSET(CampList[Opening Date],MATCH(Table_NFI[[#This Row],[Pcode]],CampList[CP_Pcode],0)-1,0,1,1)&gt;=NFI_Monitor_Date,1,0))</f>
        <v>0</v>
      </c>
      <c r="AS392" s="473" t="str">
        <f>IFERROR(VLOOKUP(Table_NFI[[#This Row],[Camp Name]],CL,3,0),"")</f>
        <v>Open</v>
      </c>
      <c r="AT392" s="294" t="str">
        <f ca="1">IF(Table_NFI[[#This Row],[Pcode]]="","",OFFSET(CampList[Priority],MATCH(Table_NFI[[#This Row],[Pcode]],CampList[CP_Pcode],0)-1,0,1,1))</f>
        <v>P4</v>
      </c>
      <c r="AU392" s="293">
        <f>IFERROR(Table_NFI[[#This Row],[Kitchen Set]]/VLOOKUP(Table_NFI[[#This Row],[Camp Name]],CL,4,0),"")</f>
        <v>0</v>
      </c>
      <c r="AV392" s="466"/>
      <c r="AW392" s="469"/>
    </row>
    <row r="393" spans="1:49" s="470" customFormat="1" ht="14.45" customHeight="1" x14ac:dyDescent="0.25">
      <c r="A393" s="297">
        <f t="shared" si="6"/>
        <v>30.133333333333333</v>
      </c>
      <c r="B393" s="465">
        <v>41771</v>
      </c>
      <c r="C393" s="466" t="s">
        <v>1104</v>
      </c>
      <c r="D393" s="466" t="s">
        <v>900</v>
      </c>
      <c r="E393" s="466" t="s">
        <v>380</v>
      </c>
      <c r="F393" s="466" t="s">
        <v>237</v>
      </c>
      <c r="G393" s="466" t="s">
        <v>261</v>
      </c>
      <c r="H393" s="291"/>
      <c r="I393" s="291"/>
      <c r="J393" s="291"/>
      <c r="K393" s="291"/>
      <c r="L393" s="292"/>
      <c r="M393" s="292"/>
      <c r="N393" s="292"/>
      <c r="O393" s="292"/>
      <c r="P393" s="294"/>
      <c r="Q393" s="294"/>
      <c r="R393" s="294"/>
      <c r="S393" s="294"/>
      <c r="T393" s="294"/>
      <c r="U393" s="294">
        <v>184</v>
      </c>
      <c r="V393" s="431"/>
      <c r="W393" s="294"/>
      <c r="X393" s="294"/>
      <c r="Y393" s="294">
        <f>IF(NFI_Expiration=1,IF($A393&lt;VLOOKUP(H$5,NFI,5,0),1,0)*Table_NFI[[#This Row],[Hygiene Kit]],Table_NFI[Hygiene Kit])</f>
        <v>0</v>
      </c>
      <c r="Z393" s="294">
        <f>IF(NFI_Expiration=1,IF($A393&lt;VLOOKUP(I$5,NFI,5,0),1,0)*Table_NFI[[#This Row],[NFI Core Kit]],Table_NFI[NFI Core Kit])</f>
        <v>0</v>
      </c>
      <c r="AA393" s="294">
        <f>IF(NFI_Expiration=1,IF($A393&lt;VLOOKUP(J$5,NFI,5,0),1,0)*Table_NFI[[#This Row],[Sanitary Kit]],Table_NFI[Sanitary Kit])</f>
        <v>0</v>
      </c>
      <c r="AB393" s="294">
        <f>IF(NFI_Expiration=1,IF($A393&lt;VLOOKUP(K$5,NFI,5,0),1,0)*Table_NFI[[#This Row],[Mosquito net]],Table_NFI[Mosquito net])</f>
        <v>0</v>
      </c>
      <c r="AC393" s="294">
        <f>IF(NFI_Expiration=1,IF($A393&lt;VLOOKUP(L$5,NFI,5,0),1,0)*Table_NFI[[#This Row],[Tarpaulin]],Table_NFI[[#This Row],[Tarpaulin]])</f>
        <v>0</v>
      </c>
      <c r="AD393" s="294">
        <f>IF(NFI_Expiration=1,IF($A393&lt;VLOOKUP(M$5,NFI,5,0),1,0)*Table_NFI[[#This Row],[Blanket]],Table_NFI[[#This Row],[Blanket]])</f>
        <v>0</v>
      </c>
      <c r="AE393" s="294">
        <f>IF(NFI_Expiration=1,IF($A393&lt;VLOOKUP(N$5,NFI,5,0),1,0)*Table_NFI[[#This Row],[Kitchen Set]],Table_NFI[Kitchen Set])</f>
        <v>0</v>
      </c>
      <c r="AF393" s="294">
        <f>IF(NFI_Expiration=1,IF($A393&lt;VLOOKUP(O$5,NFI,5,0),1,0)*Table_NFI[[#This Row],[Clothes Kit]],Table_NFI[Clothes Kit])</f>
        <v>0</v>
      </c>
      <c r="AG393" s="294">
        <f>IF(NFI_Expiration=1,IF($A393&lt;VLOOKUP(P$5,NFI,5,0),1,0)*Table_NFI[[#This Row],[Plastic Bucket]],Table_NFI[Plastic Bucket])</f>
        <v>0</v>
      </c>
      <c r="AH393" s="294">
        <f>IF(NFI_Expiration=1,IF($A393&lt;VLOOKUP(Q$5,NFI,5,0),1,0)*Table_NFI[[#This Row],[Plastic Mat]],Table_NFI[Plastic Mat])*IF(Table_NFI[[#This Row],[Distribution Date]]&gt;"2014-04-01",1,2.5)</f>
        <v>0</v>
      </c>
      <c r="AI393" s="294">
        <f>IF(NFI_Expiration=1,IF($A393&lt;VLOOKUP(R$5,NFI,5,0),1,0)*Table_NFI[[#This Row],[Winter Clothes Adult]],Table_NFI[Winter Clothes Adult])</f>
        <v>0</v>
      </c>
      <c r="AJ393" s="294">
        <f>IF(NFI_Expiration=1,IF($A393&lt;VLOOKUP(S$5,NFI,5,0),1,0)*Table_NFI[[#This Row],[Winter Clothes Children]],Table_NFI[Winter Clothes Children])</f>
        <v>0</v>
      </c>
      <c r="AK393" s="294">
        <f>IF(NFI_Expiration=1,IF($A393&lt;VLOOKUP(T$5,NFI,5,0),1,0)*Table_NFI[[#This Row],[Winter Items Other]],Table_NFI[Winter Items Other])</f>
        <v>0</v>
      </c>
      <c r="AL393" s="294">
        <f>IF(NFI_Expiration=1,IF($A393&lt;VLOOKUP(M$5,NFI,5,0),1,0)*Table_NFI[[#This Row],[Winter Blanket]],Table_NFI[[#This Row],[Winter Blanket]])</f>
        <v>0</v>
      </c>
      <c r="AM393" s="294">
        <f>IF(Table_NFI[[#This Row],[Winter Clothes Adult]]+Table_NFI[[#This Row],[Winter Clothes Children]]+Table_NFI[[#This Row],[Winter Items Other]]+Table_NFI[[#This Row],[Winter Blanket]]&gt;0,1,0)</f>
        <v>1</v>
      </c>
      <c r="AN393" s="331">
        <f>IF(NFI_Expiration=1,IF($A393&lt;VLOOKUP(V$5,NFI,5,0),1,0)*Table_NFI[[#This Row],[Jerry Can]],Table_NFI[Jerry Can])</f>
        <v>0</v>
      </c>
      <c r="AO393" s="331">
        <f>IF(NFI_Expiration=1,IF($A393&lt;VLOOKUP(V$5,NFI,5,0),1,0)*Table_NFI[[#This Row],[Shelter Tool kit]],Table_NFI[Shelter Tool kit])</f>
        <v>0</v>
      </c>
      <c r="AP393" s="331">
        <f>IF(NFI_Expiration=1,IF($A393&lt;VLOOKUP(V$5,NFI,5,0),1,0)*Table_NFI[[#This Row],[Tent]],Table_NFI[Tent])</f>
        <v>0</v>
      </c>
      <c r="AQ393" s="473" t="str">
        <f>IFERROR(VLOOKUP(Table_NFI[[#This Row],[Camp Name]],CL,2,0),"")</f>
        <v>MMR001CMP008</v>
      </c>
      <c r="AR393" s="468">
        <f ca="1">IF(Table_NFI[[#This Row],[Pcode]]="","",IF(OFFSET(CampList[Opening Date],MATCH(Table_NFI[[#This Row],[Pcode]],CampList[CP_Pcode],0)-1,0,1,1)&gt;=NFI_Monitor_Date,1,0))</f>
        <v>0</v>
      </c>
      <c r="AS393" s="473" t="str">
        <f>IFERROR(VLOOKUP(Table_NFI[[#This Row],[Camp Name]],CL,3,0),"")</f>
        <v>Open</v>
      </c>
      <c r="AT393" s="294" t="str">
        <f ca="1">IF(Table_NFI[[#This Row],[Pcode]]="","",OFFSET(CampList[Priority],MATCH(Table_NFI[[#This Row],[Pcode]],CampList[CP_Pcode],0)-1,0,1,1))</f>
        <v>P4</v>
      </c>
      <c r="AU393" s="293">
        <f>IFERROR(Table_NFI[[#This Row],[Kitchen Set]]/VLOOKUP(Table_NFI[[#This Row],[Camp Name]],CL,4,0),"")</f>
        <v>0</v>
      </c>
      <c r="AV393" s="466"/>
      <c r="AW393" s="469"/>
    </row>
    <row r="394" spans="1:49" s="470" customFormat="1" ht="14.45" customHeight="1" x14ac:dyDescent="0.25">
      <c r="A394" s="297">
        <f t="shared" si="6"/>
        <v>30.133333333333333</v>
      </c>
      <c r="B394" s="465">
        <v>41771</v>
      </c>
      <c r="C394" s="466" t="s">
        <v>452</v>
      </c>
      <c r="D394" s="466"/>
      <c r="E394" s="466" t="s">
        <v>553</v>
      </c>
      <c r="F394" s="466" t="s">
        <v>230</v>
      </c>
      <c r="G394" s="466" t="s">
        <v>1063</v>
      </c>
      <c r="H394" s="291"/>
      <c r="I394" s="291"/>
      <c r="J394" s="291"/>
      <c r="K394" s="291">
        <v>68</v>
      </c>
      <c r="L394" s="292">
        <v>9</v>
      </c>
      <c r="M394" s="292">
        <v>118</v>
      </c>
      <c r="N394" s="292">
        <v>9</v>
      </c>
      <c r="O394" s="292">
        <v>0</v>
      </c>
      <c r="P394" s="294">
        <v>9</v>
      </c>
      <c r="Q394" s="294">
        <v>45</v>
      </c>
      <c r="R394" s="294"/>
      <c r="S394" s="294"/>
      <c r="T394" s="294"/>
      <c r="U394" s="294"/>
      <c r="V394" s="431"/>
      <c r="W394" s="294"/>
      <c r="X394" s="294"/>
      <c r="Y394" s="294">
        <f>IF(NFI_Expiration=1,IF($A394&lt;VLOOKUP(H$5,NFI,5,0),1,0)*Table_NFI[[#This Row],[Hygiene Kit]],Table_NFI[Hygiene Kit])</f>
        <v>0</v>
      </c>
      <c r="Z394" s="294">
        <f>IF(NFI_Expiration=1,IF($A394&lt;VLOOKUP(I$5,NFI,5,0),1,0)*Table_NFI[[#This Row],[NFI Core Kit]],Table_NFI[NFI Core Kit])</f>
        <v>0</v>
      </c>
      <c r="AA394" s="294">
        <f>IF(NFI_Expiration=1,IF($A394&lt;VLOOKUP(J$5,NFI,5,0),1,0)*Table_NFI[[#This Row],[Sanitary Kit]],Table_NFI[Sanitary Kit])</f>
        <v>0</v>
      </c>
      <c r="AB394" s="294">
        <f>IF(NFI_Expiration=1,IF($A394&lt;VLOOKUP(K$5,NFI,5,0),1,0)*Table_NFI[[#This Row],[Mosquito net]],Table_NFI[Mosquito net])</f>
        <v>0</v>
      </c>
      <c r="AC394" s="294">
        <f>IF(NFI_Expiration=1,IF($A394&lt;VLOOKUP(L$5,NFI,5,0),1,0)*Table_NFI[[#This Row],[Tarpaulin]],Table_NFI[[#This Row],[Tarpaulin]])</f>
        <v>0</v>
      </c>
      <c r="AD394" s="294">
        <f>IF(NFI_Expiration=1,IF($A394&lt;VLOOKUP(M$5,NFI,5,0),1,0)*Table_NFI[[#This Row],[Blanket]],Table_NFI[[#This Row],[Blanket]])</f>
        <v>0</v>
      </c>
      <c r="AE394" s="294">
        <f>IF(NFI_Expiration=1,IF($A394&lt;VLOOKUP(N$5,NFI,5,0),1,0)*Table_NFI[[#This Row],[Kitchen Set]],Table_NFI[Kitchen Set])</f>
        <v>0</v>
      </c>
      <c r="AF394" s="294">
        <f>IF(NFI_Expiration=1,IF($A394&lt;VLOOKUP(O$5,NFI,5,0),1,0)*Table_NFI[[#This Row],[Clothes Kit]],Table_NFI[Clothes Kit])</f>
        <v>0</v>
      </c>
      <c r="AG394" s="294">
        <f>IF(NFI_Expiration=1,IF($A394&lt;VLOOKUP(P$5,NFI,5,0),1,0)*Table_NFI[[#This Row],[Plastic Bucket]],Table_NFI[Plastic Bucket])</f>
        <v>0</v>
      </c>
      <c r="AH394" s="294">
        <f>IF(NFI_Expiration=1,IF($A394&lt;VLOOKUP(Q$5,NFI,5,0),1,0)*Table_NFI[[#This Row],[Plastic Mat]],Table_NFI[Plastic Mat])*IF(Table_NFI[[#This Row],[Distribution Date]]&gt;"2014-04-01",1,2.5)</f>
        <v>0</v>
      </c>
      <c r="AI394" s="294">
        <f>IF(NFI_Expiration=1,IF($A394&lt;VLOOKUP(R$5,NFI,5,0),1,0)*Table_NFI[[#This Row],[Winter Clothes Adult]],Table_NFI[Winter Clothes Adult])</f>
        <v>0</v>
      </c>
      <c r="AJ394" s="294">
        <f>IF(NFI_Expiration=1,IF($A394&lt;VLOOKUP(S$5,NFI,5,0),1,0)*Table_NFI[[#This Row],[Winter Clothes Children]],Table_NFI[Winter Clothes Children])</f>
        <v>0</v>
      </c>
      <c r="AK394" s="294">
        <f>IF(NFI_Expiration=1,IF($A394&lt;VLOOKUP(T$5,NFI,5,0),1,0)*Table_NFI[[#This Row],[Winter Items Other]],Table_NFI[Winter Items Other])</f>
        <v>0</v>
      </c>
      <c r="AL394" s="294">
        <f>IF(NFI_Expiration=1,IF($A394&lt;VLOOKUP(M$5,NFI,5,0),1,0)*Table_NFI[[#This Row],[Winter Blanket]],Table_NFI[[#This Row],[Winter Blanket]])</f>
        <v>0</v>
      </c>
      <c r="AM394" s="294">
        <f>IF(Table_NFI[[#This Row],[Winter Clothes Adult]]+Table_NFI[[#This Row],[Winter Clothes Children]]+Table_NFI[[#This Row],[Winter Items Other]]+Table_NFI[[#This Row],[Winter Blanket]]&gt;0,1,0)</f>
        <v>0</v>
      </c>
      <c r="AN394" s="331">
        <f>IF(NFI_Expiration=1,IF($A394&lt;VLOOKUP(V$5,NFI,5,0),1,0)*Table_NFI[[#This Row],[Jerry Can]],Table_NFI[Jerry Can])</f>
        <v>0</v>
      </c>
      <c r="AO394" s="331">
        <f>IF(NFI_Expiration=1,IF($A394&lt;VLOOKUP(V$5,NFI,5,0),1,0)*Table_NFI[[#This Row],[Shelter Tool kit]],Table_NFI[Shelter Tool kit])</f>
        <v>0</v>
      </c>
      <c r="AP394" s="331">
        <f>IF(NFI_Expiration=1,IF($A394&lt;VLOOKUP(V$5,NFI,5,0),1,0)*Table_NFI[[#This Row],[Tent]],Table_NFI[Tent])</f>
        <v>0</v>
      </c>
      <c r="AQ394" s="473" t="str">
        <f>IFERROR(VLOOKUP(Table_NFI[[#This Row],[Camp Name]],CL,2,0),"")</f>
        <v>MMR015CMP216</v>
      </c>
      <c r="AR394" s="468">
        <f ca="1">IF(Table_NFI[[#This Row],[Pcode]]="","",IF(OFFSET(CampList[Opening Date],MATCH(Table_NFI[[#This Row],[Pcode]],CampList[CP_Pcode],0)-1,0,1,1)&gt;=NFI_Monitor_Date,1,0))</f>
        <v>1</v>
      </c>
      <c r="AS394" s="473" t="str">
        <f>IFERROR(VLOOKUP(Table_NFI[[#This Row],[Camp Name]],CL,3,0),"")</f>
        <v>Open</v>
      </c>
      <c r="AT394" s="294" t="str">
        <f ca="1">IF(Table_NFI[[#This Row],[Pcode]]="","",OFFSET(CampList[Priority],MATCH(Table_NFI[[#This Row],[Pcode]],CampList[CP_Pcode],0)-1,0,1,1))</f>
        <v>P4</v>
      </c>
      <c r="AU394" s="293">
        <f>IFERROR(Table_NFI[[#This Row],[Kitchen Set]]/VLOOKUP(Table_NFI[[#This Row],[Camp Name]],CL,4,0),"")</f>
        <v>0.36</v>
      </c>
      <c r="AV394" s="466"/>
      <c r="AW394" s="469" t="s">
        <v>1232</v>
      </c>
    </row>
    <row r="395" spans="1:49" s="470" customFormat="1" x14ac:dyDescent="0.25">
      <c r="A395" s="297">
        <f t="shared" si="6"/>
        <v>30.133333333333333</v>
      </c>
      <c r="B395" s="465">
        <v>41771</v>
      </c>
      <c r="C395" s="466" t="s">
        <v>452</v>
      </c>
      <c r="D395" s="466"/>
      <c r="E395" s="466" t="s">
        <v>553</v>
      </c>
      <c r="F395" s="466" t="s">
        <v>230</v>
      </c>
      <c r="G395" s="466" t="s">
        <v>1063</v>
      </c>
      <c r="H395" s="291"/>
      <c r="I395" s="291"/>
      <c r="J395" s="291"/>
      <c r="K395" s="291">
        <v>82</v>
      </c>
      <c r="L395" s="292">
        <v>41</v>
      </c>
      <c r="M395" s="292">
        <v>82</v>
      </c>
      <c r="N395" s="292">
        <v>41</v>
      </c>
      <c r="O395" s="292"/>
      <c r="P395" s="294">
        <v>41</v>
      </c>
      <c r="Q395" s="294">
        <v>205</v>
      </c>
      <c r="R395" s="294"/>
      <c r="S395" s="294"/>
      <c r="T395" s="294"/>
      <c r="U395" s="294"/>
      <c r="V395" s="431"/>
      <c r="W395" s="294"/>
      <c r="X395" s="294"/>
      <c r="Y395" s="294">
        <f>IF(NFI_Expiration=1,IF($A395&lt;VLOOKUP(H$5,NFI,5,0),1,0)*Table_NFI[[#This Row],[Hygiene Kit]],Table_NFI[Hygiene Kit])</f>
        <v>0</v>
      </c>
      <c r="Z395" s="294">
        <f>IF(NFI_Expiration=1,IF($A395&lt;VLOOKUP(I$5,NFI,5,0),1,0)*Table_NFI[[#This Row],[NFI Core Kit]],Table_NFI[NFI Core Kit])</f>
        <v>0</v>
      </c>
      <c r="AA395" s="294">
        <f>IF(NFI_Expiration=1,IF($A395&lt;VLOOKUP(J$5,NFI,5,0),1,0)*Table_NFI[[#This Row],[Sanitary Kit]],Table_NFI[Sanitary Kit])</f>
        <v>0</v>
      </c>
      <c r="AB395" s="294">
        <f>IF(NFI_Expiration=1,IF($A395&lt;VLOOKUP(K$5,NFI,5,0),1,0)*Table_NFI[[#This Row],[Mosquito net]],Table_NFI[Mosquito net])</f>
        <v>0</v>
      </c>
      <c r="AC395" s="294">
        <f>IF(NFI_Expiration=1,IF($A395&lt;VLOOKUP(L$5,NFI,5,0),1,0)*Table_NFI[[#This Row],[Tarpaulin]],Table_NFI[[#This Row],[Tarpaulin]])</f>
        <v>0</v>
      </c>
      <c r="AD395" s="294">
        <f>IF(NFI_Expiration=1,IF($A395&lt;VLOOKUP(M$5,NFI,5,0),1,0)*Table_NFI[[#This Row],[Blanket]],Table_NFI[[#This Row],[Blanket]])</f>
        <v>0</v>
      </c>
      <c r="AE395" s="294">
        <f>IF(NFI_Expiration=1,IF($A395&lt;VLOOKUP(N$5,NFI,5,0),1,0)*Table_NFI[[#This Row],[Kitchen Set]],Table_NFI[Kitchen Set])</f>
        <v>0</v>
      </c>
      <c r="AF395" s="294">
        <f>IF(NFI_Expiration=1,IF($A395&lt;VLOOKUP(O$5,NFI,5,0),1,0)*Table_NFI[[#This Row],[Clothes Kit]],Table_NFI[Clothes Kit])</f>
        <v>0</v>
      </c>
      <c r="AG395" s="294">
        <f>IF(NFI_Expiration=1,IF($A395&lt;VLOOKUP(P$5,NFI,5,0),1,0)*Table_NFI[[#This Row],[Plastic Bucket]],Table_NFI[Plastic Bucket])</f>
        <v>0</v>
      </c>
      <c r="AH395" s="294">
        <f>IF(NFI_Expiration=1,IF($A395&lt;VLOOKUP(Q$5,NFI,5,0),1,0)*Table_NFI[[#This Row],[Plastic Mat]],Table_NFI[Plastic Mat])*IF(Table_NFI[[#This Row],[Distribution Date]]&gt;"2014-04-01",1,2.5)</f>
        <v>0</v>
      </c>
      <c r="AI395" s="294">
        <f>IF(NFI_Expiration=1,IF($A395&lt;VLOOKUP(R$5,NFI,5,0),1,0)*Table_NFI[[#This Row],[Winter Clothes Adult]],Table_NFI[Winter Clothes Adult])</f>
        <v>0</v>
      </c>
      <c r="AJ395" s="294">
        <f>IF(NFI_Expiration=1,IF($A395&lt;VLOOKUP(S$5,NFI,5,0),1,0)*Table_NFI[[#This Row],[Winter Clothes Children]],Table_NFI[Winter Clothes Children])</f>
        <v>0</v>
      </c>
      <c r="AK395" s="294">
        <f>IF(NFI_Expiration=1,IF($A395&lt;VLOOKUP(T$5,NFI,5,0),1,0)*Table_NFI[[#This Row],[Winter Items Other]],Table_NFI[Winter Items Other])</f>
        <v>0</v>
      </c>
      <c r="AL395" s="294">
        <f>IF(NFI_Expiration=1,IF($A395&lt;VLOOKUP(M$5,NFI,5,0),1,0)*Table_NFI[[#This Row],[Winter Blanket]],Table_NFI[[#This Row],[Winter Blanket]])</f>
        <v>0</v>
      </c>
      <c r="AM395" s="294">
        <f>IF(Table_NFI[[#This Row],[Winter Clothes Adult]]+Table_NFI[[#This Row],[Winter Clothes Children]]+Table_NFI[[#This Row],[Winter Items Other]]+Table_NFI[[#This Row],[Winter Blanket]]&gt;0,1,0)</f>
        <v>0</v>
      </c>
      <c r="AN395" s="331">
        <f>IF(NFI_Expiration=1,IF($A395&lt;VLOOKUP(V$5,NFI,5,0),1,0)*Table_NFI[[#This Row],[Jerry Can]],Table_NFI[Jerry Can])</f>
        <v>0</v>
      </c>
      <c r="AO395" s="331">
        <f>IF(NFI_Expiration=1,IF($A395&lt;VLOOKUP(V$5,NFI,5,0),1,0)*Table_NFI[[#This Row],[Shelter Tool kit]],Table_NFI[Shelter Tool kit])</f>
        <v>0</v>
      </c>
      <c r="AP395" s="331">
        <f>IF(NFI_Expiration=1,IF($A395&lt;VLOOKUP(V$5,NFI,5,0),1,0)*Table_NFI[[#This Row],[Tent]],Table_NFI[Tent])</f>
        <v>0</v>
      </c>
      <c r="AQ395" s="473" t="str">
        <f>IFERROR(VLOOKUP(Table_NFI[[#This Row],[Camp Name]],CL,2,0),"")</f>
        <v>MMR015CMP216</v>
      </c>
      <c r="AR395" s="468">
        <f ca="1">IF(Table_NFI[[#This Row],[Pcode]]="","",IF(OFFSET(CampList[Opening Date],MATCH(Table_NFI[[#This Row],[Pcode]],CampList[CP_Pcode],0)-1,0,1,1)&gt;=NFI_Monitor_Date,1,0))</f>
        <v>1</v>
      </c>
      <c r="AS395" s="473" t="str">
        <f>IFERROR(VLOOKUP(Table_NFI[[#This Row],[Camp Name]],CL,3,0),"")</f>
        <v>Open</v>
      </c>
      <c r="AT395" s="294" t="str">
        <f ca="1">IF(Table_NFI[[#This Row],[Pcode]]="","",OFFSET(CampList[Priority],MATCH(Table_NFI[[#This Row],[Pcode]],CampList[CP_Pcode],0)-1,0,1,1))</f>
        <v>P4</v>
      </c>
      <c r="AU395" s="293">
        <f>IFERROR(Table_NFI[[#This Row],[Kitchen Set]]/VLOOKUP(Table_NFI[[#This Row],[Camp Name]],CL,4,0),"")</f>
        <v>1.64</v>
      </c>
      <c r="AV395" s="466"/>
      <c r="AW395" s="469"/>
    </row>
    <row r="396" spans="1:49" s="470" customFormat="1" x14ac:dyDescent="0.25">
      <c r="A396" s="297">
        <f t="shared" si="6"/>
        <v>30.133333333333333</v>
      </c>
      <c r="B396" s="465">
        <v>41771</v>
      </c>
      <c r="C396" s="466" t="s">
        <v>1104</v>
      </c>
      <c r="D396" s="466" t="s">
        <v>900</v>
      </c>
      <c r="E396" s="466" t="s">
        <v>380</v>
      </c>
      <c r="F396" s="466" t="s">
        <v>237</v>
      </c>
      <c r="G396" s="466" t="s">
        <v>281</v>
      </c>
      <c r="H396" s="291"/>
      <c r="I396" s="291"/>
      <c r="J396" s="291"/>
      <c r="K396" s="291"/>
      <c r="L396" s="292"/>
      <c r="M396" s="292"/>
      <c r="N396" s="292"/>
      <c r="O396" s="292"/>
      <c r="P396" s="294"/>
      <c r="Q396" s="294"/>
      <c r="R396" s="294"/>
      <c r="S396" s="294"/>
      <c r="T396" s="294"/>
      <c r="U396" s="294">
        <v>168</v>
      </c>
      <c r="V396" s="431"/>
      <c r="W396" s="294"/>
      <c r="X396" s="294"/>
      <c r="Y396" s="294">
        <f>IF(NFI_Expiration=1,IF($A396&lt;VLOOKUP(H$5,NFI,5,0),1,0)*Table_NFI[[#This Row],[Hygiene Kit]],Table_NFI[Hygiene Kit])</f>
        <v>0</v>
      </c>
      <c r="Z396" s="294">
        <f>IF(NFI_Expiration=1,IF($A396&lt;VLOOKUP(I$5,NFI,5,0),1,0)*Table_NFI[[#This Row],[NFI Core Kit]],Table_NFI[NFI Core Kit])</f>
        <v>0</v>
      </c>
      <c r="AA396" s="294">
        <f>IF(NFI_Expiration=1,IF($A396&lt;VLOOKUP(J$5,NFI,5,0),1,0)*Table_NFI[[#This Row],[Sanitary Kit]],Table_NFI[Sanitary Kit])</f>
        <v>0</v>
      </c>
      <c r="AB396" s="294">
        <f>IF(NFI_Expiration=1,IF($A396&lt;VLOOKUP(K$5,NFI,5,0),1,0)*Table_NFI[[#This Row],[Mosquito net]],Table_NFI[Mosquito net])</f>
        <v>0</v>
      </c>
      <c r="AC396" s="294">
        <f>IF(NFI_Expiration=1,IF($A396&lt;VLOOKUP(L$5,NFI,5,0),1,0)*Table_NFI[[#This Row],[Tarpaulin]],Table_NFI[[#This Row],[Tarpaulin]])</f>
        <v>0</v>
      </c>
      <c r="AD396" s="294">
        <f>IF(NFI_Expiration=1,IF($A396&lt;VLOOKUP(M$5,NFI,5,0),1,0)*Table_NFI[[#This Row],[Blanket]],Table_NFI[[#This Row],[Blanket]])</f>
        <v>0</v>
      </c>
      <c r="AE396" s="294">
        <f>IF(NFI_Expiration=1,IF($A396&lt;VLOOKUP(N$5,NFI,5,0),1,0)*Table_NFI[[#This Row],[Kitchen Set]],Table_NFI[Kitchen Set])</f>
        <v>0</v>
      </c>
      <c r="AF396" s="294">
        <f>IF(NFI_Expiration=1,IF($A396&lt;VLOOKUP(O$5,NFI,5,0),1,0)*Table_NFI[[#This Row],[Clothes Kit]],Table_NFI[Clothes Kit])</f>
        <v>0</v>
      </c>
      <c r="AG396" s="294">
        <f>IF(NFI_Expiration=1,IF($A396&lt;VLOOKUP(P$5,NFI,5,0),1,0)*Table_NFI[[#This Row],[Plastic Bucket]],Table_NFI[Plastic Bucket])</f>
        <v>0</v>
      </c>
      <c r="AH396" s="294">
        <f>IF(NFI_Expiration=1,IF($A396&lt;VLOOKUP(Q$5,NFI,5,0),1,0)*Table_NFI[[#This Row],[Plastic Mat]],Table_NFI[Plastic Mat])*IF(Table_NFI[[#This Row],[Distribution Date]]&gt;"2014-04-01",1,2.5)</f>
        <v>0</v>
      </c>
      <c r="AI396" s="294">
        <f>IF(NFI_Expiration=1,IF($A396&lt;VLOOKUP(R$5,NFI,5,0),1,0)*Table_NFI[[#This Row],[Winter Clothes Adult]],Table_NFI[Winter Clothes Adult])</f>
        <v>0</v>
      </c>
      <c r="AJ396" s="294">
        <f>IF(NFI_Expiration=1,IF($A396&lt;VLOOKUP(S$5,NFI,5,0),1,0)*Table_NFI[[#This Row],[Winter Clothes Children]],Table_NFI[Winter Clothes Children])</f>
        <v>0</v>
      </c>
      <c r="AK396" s="294">
        <f>IF(NFI_Expiration=1,IF($A396&lt;VLOOKUP(T$5,NFI,5,0),1,0)*Table_NFI[[#This Row],[Winter Items Other]],Table_NFI[Winter Items Other])</f>
        <v>0</v>
      </c>
      <c r="AL396" s="294">
        <f>IF(NFI_Expiration=1,IF($A396&lt;VLOOKUP(M$5,NFI,5,0),1,0)*Table_NFI[[#This Row],[Winter Blanket]],Table_NFI[[#This Row],[Winter Blanket]])</f>
        <v>0</v>
      </c>
      <c r="AM396" s="294">
        <f>IF(Table_NFI[[#This Row],[Winter Clothes Adult]]+Table_NFI[[#This Row],[Winter Clothes Children]]+Table_NFI[[#This Row],[Winter Items Other]]+Table_NFI[[#This Row],[Winter Blanket]]&gt;0,1,0)</f>
        <v>1</v>
      </c>
      <c r="AN396" s="331">
        <f>IF(NFI_Expiration=1,IF($A396&lt;VLOOKUP(V$5,NFI,5,0),1,0)*Table_NFI[[#This Row],[Jerry Can]],Table_NFI[Jerry Can])</f>
        <v>0</v>
      </c>
      <c r="AO396" s="331">
        <f>IF(NFI_Expiration=1,IF($A396&lt;VLOOKUP(V$5,NFI,5,0),1,0)*Table_NFI[[#This Row],[Shelter Tool kit]],Table_NFI[Shelter Tool kit])</f>
        <v>0</v>
      </c>
      <c r="AP396" s="331">
        <f>IF(NFI_Expiration=1,IF($A396&lt;VLOOKUP(V$5,NFI,5,0),1,0)*Table_NFI[[#This Row],[Tent]],Table_NFI[Tent])</f>
        <v>0</v>
      </c>
      <c r="AQ396" s="473" t="str">
        <f>IFERROR(VLOOKUP(Table_NFI[[#This Row],[Camp Name]],CL,2,0),"")</f>
        <v>MMR001CMP009</v>
      </c>
      <c r="AR396" s="468">
        <f ca="1">IF(Table_NFI[[#This Row],[Pcode]]="","",IF(OFFSET(CampList[Opening Date],MATCH(Table_NFI[[#This Row],[Pcode]],CampList[CP_Pcode],0)-1,0,1,1)&gt;=NFI_Monitor_Date,1,0))</f>
        <v>0</v>
      </c>
      <c r="AS396" s="473" t="str">
        <f>IFERROR(VLOOKUP(Table_NFI[[#This Row],[Camp Name]],CL,3,0),"")</f>
        <v>Open</v>
      </c>
      <c r="AT396" s="294" t="str">
        <f ca="1">IF(Table_NFI[[#This Row],[Pcode]]="","",OFFSET(CampList[Priority],MATCH(Table_NFI[[#This Row],[Pcode]],CampList[CP_Pcode],0)-1,0,1,1))</f>
        <v>P4</v>
      </c>
      <c r="AU396" s="293">
        <f>IFERROR(Table_NFI[[#This Row],[Kitchen Set]]/VLOOKUP(Table_NFI[[#This Row],[Camp Name]],CL,4,0),"")</f>
        <v>0</v>
      </c>
      <c r="AV396" s="466"/>
      <c r="AW396" s="469"/>
    </row>
    <row r="397" spans="1:49" s="470" customFormat="1" ht="14.45" customHeight="1" x14ac:dyDescent="0.25">
      <c r="A397" s="297">
        <f t="shared" si="6"/>
        <v>30.166666666666668</v>
      </c>
      <c r="B397" s="465">
        <v>41770</v>
      </c>
      <c r="C397" s="466" t="s">
        <v>452</v>
      </c>
      <c r="D397" s="466"/>
      <c r="E397" s="466" t="s">
        <v>553</v>
      </c>
      <c r="F397" s="466" t="s">
        <v>230</v>
      </c>
      <c r="G397" s="466" t="s">
        <v>1053</v>
      </c>
      <c r="H397" s="291"/>
      <c r="I397" s="291"/>
      <c r="J397" s="291"/>
      <c r="K397" s="291">
        <v>138</v>
      </c>
      <c r="L397" s="292">
        <v>19</v>
      </c>
      <c r="M397" s="292">
        <v>238</v>
      </c>
      <c r="N397" s="292">
        <v>19</v>
      </c>
      <c r="O397" s="292">
        <v>0</v>
      </c>
      <c r="P397" s="294">
        <v>19</v>
      </c>
      <c r="Q397" s="294">
        <v>95</v>
      </c>
      <c r="R397" s="294"/>
      <c r="S397" s="294"/>
      <c r="T397" s="294"/>
      <c r="U397" s="294"/>
      <c r="V397" s="431"/>
      <c r="W397" s="294"/>
      <c r="X397" s="294"/>
      <c r="Y397" s="294">
        <f>IF(NFI_Expiration=1,IF($A397&lt;VLOOKUP(H$5,NFI,5,0),1,0)*Table_NFI[[#This Row],[Hygiene Kit]],Table_NFI[Hygiene Kit])</f>
        <v>0</v>
      </c>
      <c r="Z397" s="294">
        <f>IF(NFI_Expiration=1,IF($A397&lt;VLOOKUP(I$5,NFI,5,0),1,0)*Table_NFI[[#This Row],[NFI Core Kit]],Table_NFI[NFI Core Kit])</f>
        <v>0</v>
      </c>
      <c r="AA397" s="294">
        <f>IF(NFI_Expiration=1,IF($A397&lt;VLOOKUP(J$5,NFI,5,0),1,0)*Table_NFI[[#This Row],[Sanitary Kit]],Table_NFI[Sanitary Kit])</f>
        <v>0</v>
      </c>
      <c r="AB397" s="294">
        <f>IF(NFI_Expiration=1,IF($A397&lt;VLOOKUP(K$5,NFI,5,0),1,0)*Table_NFI[[#This Row],[Mosquito net]],Table_NFI[Mosquito net])</f>
        <v>0</v>
      </c>
      <c r="AC397" s="294">
        <f>IF(NFI_Expiration=1,IF($A397&lt;VLOOKUP(L$5,NFI,5,0),1,0)*Table_NFI[[#This Row],[Tarpaulin]],Table_NFI[[#This Row],[Tarpaulin]])</f>
        <v>0</v>
      </c>
      <c r="AD397" s="294">
        <f>IF(NFI_Expiration=1,IF($A397&lt;VLOOKUP(M$5,NFI,5,0),1,0)*Table_NFI[[#This Row],[Blanket]],Table_NFI[[#This Row],[Blanket]])</f>
        <v>0</v>
      </c>
      <c r="AE397" s="294">
        <f>IF(NFI_Expiration=1,IF($A397&lt;VLOOKUP(N$5,NFI,5,0),1,0)*Table_NFI[[#This Row],[Kitchen Set]],Table_NFI[Kitchen Set])</f>
        <v>0</v>
      </c>
      <c r="AF397" s="294">
        <f>IF(NFI_Expiration=1,IF($A397&lt;VLOOKUP(O$5,NFI,5,0),1,0)*Table_NFI[[#This Row],[Clothes Kit]],Table_NFI[Clothes Kit])</f>
        <v>0</v>
      </c>
      <c r="AG397" s="294">
        <f>IF(NFI_Expiration=1,IF($A397&lt;VLOOKUP(P$5,NFI,5,0),1,0)*Table_NFI[[#This Row],[Plastic Bucket]],Table_NFI[Plastic Bucket])</f>
        <v>0</v>
      </c>
      <c r="AH397" s="294">
        <f>IF(NFI_Expiration=1,IF($A397&lt;VLOOKUP(Q$5,NFI,5,0),1,0)*Table_NFI[[#This Row],[Plastic Mat]],Table_NFI[Plastic Mat])*IF(Table_NFI[[#This Row],[Distribution Date]]&gt;"2014-04-01",1,2.5)</f>
        <v>0</v>
      </c>
      <c r="AI397" s="294">
        <f>IF(NFI_Expiration=1,IF($A397&lt;VLOOKUP(R$5,NFI,5,0),1,0)*Table_NFI[[#This Row],[Winter Clothes Adult]],Table_NFI[Winter Clothes Adult])</f>
        <v>0</v>
      </c>
      <c r="AJ397" s="294">
        <f>IF(NFI_Expiration=1,IF($A397&lt;VLOOKUP(S$5,NFI,5,0),1,0)*Table_NFI[[#This Row],[Winter Clothes Children]],Table_NFI[Winter Clothes Children])</f>
        <v>0</v>
      </c>
      <c r="AK397" s="294">
        <f>IF(NFI_Expiration=1,IF($A397&lt;VLOOKUP(T$5,NFI,5,0),1,0)*Table_NFI[[#This Row],[Winter Items Other]],Table_NFI[Winter Items Other])</f>
        <v>0</v>
      </c>
      <c r="AL397" s="294">
        <f>IF(NFI_Expiration=1,IF($A397&lt;VLOOKUP(M$5,NFI,5,0),1,0)*Table_NFI[[#This Row],[Winter Blanket]],Table_NFI[[#This Row],[Winter Blanket]])</f>
        <v>0</v>
      </c>
      <c r="AM397" s="294">
        <f>IF(Table_NFI[[#This Row],[Winter Clothes Adult]]+Table_NFI[[#This Row],[Winter Clothes Children]]+Table_NFI[[#This Row],[Winter Items Other]]+Table_NFI[[#This Row],[Winter Blanket]]&gt;0,1,0)</f>
        <v>0</v>
      </c>
      <c r="AN397" s="331">
        <f>IF(NFI_Expiration=1,IF($A397&lt;VLOOKUP(V$5,NFI,5,0),1,0)*Table_NFI[[#This Row],[Jerry Can]],Table_NFI[Jerry Can])</f>
        <v>0</v>
      </c>
      <c r="AO397" s="331">
        <f>IF(NFI_Expiration=1,IF($A397&lt;VLOOKUP(V$5,NFI,5,0),1,0)*Table_NFI[[#This Row],[Shelter Tool kit]],Table_NFI[Shelter Tool kit])</f>
        <v>0</v>
      </c>
      <c r="AP397" s="331">
        <f>IF(NFI_Expiration=1,IF($A397&lt;VLOOKUP(V$5,NFI,5,0),1,0)*Table_NFI[[#This Row],[Tent]],Table_NFI[Tent])</f>
        <v>0</v>
      </c>
      <c r="AQ397" s="473" t="str">
        <f>IFERROR(VLOOKUP(Table_NFI[[#This Row],[Camp Name]],CL,2,0),"")</f>
        <v>MMR015CMP213</v>
      </c>
      <c r="AR397" s="468">
        <f ca="1">IF(Table_NFI[[#This Row],[Pcode]]="","",IF(OFFSET(CampList[Opening Date],MATCH(Table_NFI[[#This Row],[Pcode]],CampList[CP_Pcode],0)-1,0,1,1)&gt;=NFI_Monitor_Date,1,0))</f>
        <v>1</v>
      </c>
      <c r="AS397" s="473" t="str">
        <f>IFERROR(VLOOKUP(Table_NFI[[#This Row],[Camp Name]],CL,3,0),"")</f>
        <v>Open</v>
      </c>
      <c r="AT397" s="294" t="str">
        <f ca="1">IF(Table_NFI[[#This Row],[Pcode]]="","",OFFSET(CampList[Priority],MATCH(Table_NFI[[#This Row],[Pcode]],CampList[CP_Pcode],0)-1,0,1,1))</f>
        <v>P4</v>
      </c>
      <c r="AU397" s="293">
        <f>IFERROR(Table_NFI[[#This Row],[Kitchen Set]]/VLOOKUP(Table_NFI[[#This Row],[Camp Name]],CL,4,0),"")</f>
        <v>0.37254901960784315</v>
      </c>
      <c r="AV397" s="466"/>
      <c r="AW397" s="469" t="s">
        <v>1232</v>
      </c>
    </row>
    <row r="398" spans="1:49" s="470" customFormat="1" ht="14.45" customHeight="1" x14ac:dyDescent="0.25">
      <c r="A398" s="297">
        <f t="shared" si="6"/>
        <v>30.166666666666668</v>
      </c>
      <c r="B398" s="465">
        <v>41770</v>
      </c>
      <c r="C398" s="466" t="s">
        <v>452</v>
      </c>
      <c r="D398" s="466"/>
      <c r="E398" s="466" t="s">
        <v>553</v>
      </c>
      <c r="F398" s="466" t="s">
        <v>230</v>
      </c>
      <c r="G398" s="466" t="s">
        <v>1053</v>
      </c>
      <c r="H398" s="291"/>
      <c r="I398" s="291"/>
      <c r="J398" s="291"/>
      <c r="K398" s="291">
        <v>162</v>
      </c>
      <c r="L398" s="292">
        <v>81</v>
      </c>
      <c r="M398" s="292">
        <v>162</v>
      </c>
      <c r="N398" s="292">
        <v>81</v>
      </c>
      <c r="O398" s="292"/>
      <c r="P398" s="294">
        <v>81</v>
      </c>
      <c r="Q398" s="294">
        <v>405</v>
      </c>
      <c r="R398" s="294"/>
      <c r="S398" s="294"/>
      <c r="T398" s="294"/>
      <c r="U398" s="294"/>
      <c r="V398" s="431"/>
      <c r="W398" s="294"/>
      <c r="X398" s="294"/>
      <c r="Y398" s="294">
        <f>IF(NFI_Expiration=1,IF($A398&lt;VLOOKUP(H$5,NFI,5,0),1,0)*Table_NFI[[#This Row],[Hygiene Kit]],Table_NFI[Hygiene Kit])</f>
        <v>0</v>
      </c>
      <c r="Z398" s="294">
        <f>IF(NFI_Expiration=1,IF($A398&lt;VLOOKUP(I$5,NFI,5,0),1,0)*Table_NFI[[#This Row],[NFI Core Kit]],Table_NFI[NFI Core Kit])</f>
        <v>0</v>
      </c>
      <c r="AA398" s="294">
        <f>IF(NFI_Expiration=1,IF($A398&lt;VLOOKUP(J$5,NFI,5,0),1,0)*Table_NFI[[#This Row],[Sanitary Kit]],Table_NFI[Sanitary Kit])</f>
        <v>0</v>
      </c>
      <c r="AB398" s="294">
        <f>IF(NFI_Expiration=1,IF($A398&lt;VLOOKUP(K$5,NFI,5,0),1,0)*Table_NFI[[#This Row],[Mosquito net]],Table_NFI[Mosquito net])</f>
        <v>0</v>
      </c>
      <c r="AC398" s="294">
        <f>IF(NFI_Expiration=1,IF($A398&lt;VLOOKUP(L$5,NFI,5,0),1,0)*Table_NFI[[#This Row],[Tarpaulin]],Table_NFI[[#This Row],[Tarpaulin]])</f>
        <v>0</v>
      </c>
      <c r="AD398" s="294">
        <f>IF(NFI_Expiration=1,IF($A398&lt;VLOOKUP(M$5,NFI,5,0),1,0)*Table_NFI[[#This Row],[Blanket]],Table_NFI[[#This Row],[Blanket]])</f>
        <v>0</v>
      </c>
      <c r="AE398" s="294">
        <f>IF(NFI_Expiration=1,IF($A398&lt;VLOOKUP(N$5,NFI,5,0),1,0)*Table_NFI[[#This Row],[Kitchen Set]],Table_NFI[Kitchen Set])</f>
        <v>0</v>
      </c>
      <c r="AF398" s="294">
        <f>IF(NFI_Expiration=1,IF($A398&lt;VLOOKUP(O$5,NFI,5,0),1,0)*Table_NFI[[#This Row],[Clothes Kit]],Table_NFI[Clothes Kit])</f>
        <v>0</v>
      </c>
      <c r="AG398" s="294">
        <f>IF(NFI_Expiration=1,IF($A398&lt;VLOOKUP(P$5,NFI,5,0),1,0)*Table_NFI[[#This Row],[Plastic Bucket]],Table_NFI[Plastic Bucket])</f>
        <v>0</v>
      </c>
      <c r="AH398" s="294">
        <f>IF(NFI_Expiration=1,IF($A398&lt;VLOOKUP(Q$5,NFI,5,0),1,0)*Table_NFI[[#This Row],[Plastic Mat]],Table_NFI[Plastic Mat])*IF(Table_NFI[[#This Row],[Distribution Date]]&gt;"2014-04-01",1,2.5)</f>
        <v>0</v>
      </c>
      <c r="AI398" s="294">
        <f>IF(NFI_Expiration=1,IF($A398&lt;VLOOKUP(R$5,NFI,5,0),1,0)*Table_NFI[[#This Row],[Winter Clothes Adult]],Table_NFI[Winter Clothes Adult])</f>
        <v>0</v>
      </c>
      <c r="AJ398" s="294">
        <f>IF(NFI_Expiration=1,IF($A398&lt;VLOOKUP(S$5,NFI,5,0),1,0)*Table_NFI[[#This Row],[Winter Clothes Children]],Table_NFI[Winter Clothes Children])</f>
        <v>0</v>
      </c>
      <c r="AK398" s="294">
        <f>IF(NFI_Expiration=1,IF($A398&lt;VLOOKUP(T$5,NFI,5,0),1,0)*Table_NFI[[#This Row],[Winter Items Other]],Table_NFI[Winter Items Other])</f>
        <v>0</v>
      </c>
      <c r="AL398" s="294">
        <f>IF(NFI_Expiration=1,IF($A398&lt;VLOOKUP(M$5,NFI,5,0),1,0)*Table_NFI[[#This Row],[Winter Blanket]],Table_NFI[[#This Row],[Winter Blanket]])</f>
        <v>0</v>
      </c>
      <c r="AM398" s="294">
        <f>IF(Table_NFI[[#This Row],[Winter Clothes Adult]]+Table_NFI[[#This Row],[Winter Clothes Children]]+Table_NFI[[#This Row],[Winter Items Other]]+Table_NFI[[#This Row],[Winter Blanket]]&gt;0,1,0)</f>
        <v>0</v>
      </c>
      <c r="AN398" s="331">
        <f>IF(NFI_Expiration=1,IF($A398&lt;VLOOKUP(V$5,NFI,5,0),1,0)*Table_NFI[[#This Row],[Jerry Can]],Table_NFI[Jerry Can])</f>
        <v>0</v>
      </c>
      <c r="AO398" s="331">
        <f>IF(NFI_Expiration=1,IF($A398&lt;VLOOKUP(V$5,NFI,5,0),1,0)*Table_NFI[[#This Row],[Shelter Tool kit]],Table_NFI[Shelter Tool kit])</f>
        <v>0</v>
      </c>
      <c r="AP398" s="331">
        <f>IF(NFI_Expiration=1,IF($A398&lt;VLOOKUP(V$5,NFI,5,0),1,0)*Table_NFI[[#This Row],[Tent]],Table_NFI[Tent])</f>
        <v>0</v>
      </c>
      <c r="AQ398" s="473" t="str">
        <f>IFERROR(VLOOKUP(Table_NFI[[#This Row],[Camp Name]],CL,2,0),"")</f>
        <v>MMR015CMP213</v>
      </c>
      <c r="AR398" s="468">
        <f ca="1">IF(Table_NFI[[#This Row],[Pcode]]="","",IF(OFFSET(CampList[Opening Date],MATCH(Table_NFI[[#This Row],[Pcode]],CampList[CP_Pcode],0)-1,0,1,1)&gt;=NFI_Monitor_Date,1,0))</f>
        <v>1</v>
      </c>
      <c r="AS398" s="473" t="str">
        <f>IFERROR(VLOOKUP(Table_NFI[[#This Row],[Camp Name]],CL,3,0),"")</f>
        <v>Open</v>
      </c>
      <c r="AT398" s="294" t="str">
        <f ca="1">IF(Table_NFI[[#This Row],[Pcode]]="","",OFFSET(CampList[Priority],MATCH(Table_NFI[[#This Row],[Pcode]],CampList[CP_Pcode],0)-1,0,1,1))</f>
        <v>P4</v>
      </c>
      <c r="AU398" s="293">
        <f>IFERROR(Table_NFI[[#This Row],[Kitchen Set]]/VLOOKUP(Table_NFI[[#This Row],[Camp Name]],CL,4,0),"")</f>
        <v>1.588235294117647</v>
      </c>
      <c r="AV398" s="466"/>
      <c r="AW398" s="469"/>
    </row>
    <row r="399" spans="1:49" s="470" customFormat="1" ht="14.45" customHeight="1" x14ac:dyDescent="0.25">
      <c r="A399" s="297">
        <f t="shared" si="6"/>
        <v>30.233333333333334</v>
      </c>
      <c r="B399" s="465">
        <v>41768</v>
      </c>
      <c r="C399" s="466" t="s">
        <v>1104</v>
      </c>
      <c r="D399" s="466" t="s">
        <v>900</v>
      </c>
      <c r="E399" s="466" t="s">
        <v>380</v>
      </c>
      <c r="F399" s="466" t="s">
        <v>237</v>
      </c>
      <c r="G399" s="466" t="s">
        <v>273</v>
      </c>
      <c r="H399" s="291"/>
      <c r="I399" s="291"/>
      <c r="J399" s="291"/>
      <c r="K399" s="291"/>
      <c r="L399" s="292"/>
      <c r="M399" s="292"/>
      <c r="N399" s="292"/>
      <c r="O399" s="292"/>
      <c r="P399" s="294"/>
      <c r="Q399" s="294"/>
      <c r="R399" s="294"/>
      <c r="S399" s="294"/>
      <c r="T399" s="294"/>
      <c r="U399" s="294">
        <v>58</v>
      </c>
      <c r="V399" s="431"/>
      <c r="W399" s="294"/>
      <c r="X399" s="294"/>
      <c r="Y399" s="294">
        <f>IF(NFI_Expiration=1,IF($A399&lt;VLOOKUP(H$5,NFI,5,0),1,0)*Table_NFI[[#This Row],[Hygiene Kit]],Table_NFI[Hygiene Kit])</f>
        <v>0</v>
      </c>
      <c r="Z399" s="294">
        <f>IF(NFI_Expiration=1,IF($A399&lt;VLOOKUP(I$5,NFI,5,0),1,0)*Table_NFI[[#This Row],[NFI Core Kit]],Table_NFI[NFI Core Kit])</f>
        <v>0</v>
      </c>
      <c r="AA399" s="294">
        <f>IF(NFI_Expiration=1,IF($A399&lt;VLOOKUP(J$5,NFI,5,0),1,0)*Table_NFI[[#This Row],[Sanitary Kit]],Table_NFI[Sanitary Kit])</f>
        <v>0</v>
      </c>
      <c r="AB399" s="294">
        <f>IF(NFI_Expiration=1,IF($A399&lt;VLOOKUP(K$5,NFI,5,0),1,0)*Table_NFI[[#This Row],[Mosquito net]],Table_NFI[Mosquito net])</f>
        <v>0</v>
      </c>
      <c r="AC399" s="294">
        <f>IF(NFI_Expiration=1,IF($A399&lt;VLOOKUP(L$5,NFI,5,0),1,0)*Table_NFI[[#This Row],[Tarpaulin]],Table_NFI[[#This Row],[Tarpaulin]])</f>
        <v>0</v>
      </c>
      <c r="AD399" s="294">
        <f>IF(NFI_Expiration=1,IF($A399&lt;VLOOKUP(M$5,NFI,5,0),1,0)*Table_NFI[[#This Row],[Blanket]],Table_NFI[[#This Row],[Blanket]])</f>
        <v>0</v>
      </c>
      <c r="AE399" s="294">
        <f>IF(NFI_Expiration=1,IF($A399&lt;VLOOKUP(N$5,NFI,5,0),1,0)*Table_NFI[[#This Row],[Kitchen Set]],Table_NFI[Kitchen Set])</f>
        <v>0</v>
      </c>
      <c r="AF399" s="294">
        <f>IF(NFI_Expiration=1,IF($A399&lt;VLOOKUP(O$5,NFI,5,0),1,0)*Table_NFI[[#This Row],[Clothes Kit]],Table_NFI[Clothes Kit])</f>
        <v>0</v>
      </c>
      <c r="AG399" s="294">
        <f>IF(NFI_Expiration=1,IF($A399&lt;VLOOKUP(P$5,NFI,5,0),1,0)*Table_NFI[[#This Row],[Plastic Bucket]],Table_NFI[Plastic Bucket])</f>
        <v>0</v>
      </c>
      <c r="AH399" s="294">
        <f>IF(NFI_Expiration=1,IF($A399&lt;VLOOKUP(Q$5,NFI,5,0),1,0)*Table_NFI[[#This Row],[Plastic Mat]],Table_NFI[Plastic Mat])*IF(Table_NFI[[#This Row],[Distribution Date]]&gt;"2014-04-01",1,2.5)</f>
        <v>0</v>
      </c>
      <c r="AI399" s="294">
        <f>IF(NFI_Expiration=1,IF($A399&lt;VLOOKUP(R$5,NFI,5,0),1,0)*Table_NFI[[#This Row],[Winter Clothes Adult]],Table_NFI[Winter Clothes Adult])</f>
        <v>0</v>
      </c>
      <c r="AJ399" s="294">
        <f>IF(NFI_Expiration=1,IF($A399&lt;VLOOKUP(S$5,NFI,5,0),1,0)*Table_NFI[[#This Row],[Winter Clothes Children]],Table_NFI[Winter Clothes Children])</f>
        <v>0</v>
      </c>
      <c r="AK399" s="294">
        <f>IF(NFI_Expiration=1,IF($A399&lt;VLOOKUP(T$5,NFI,5,0),1,0)*Table_NFI[[#This Row],[Winter Items Other]],Table_NFI[Winter Items Other])</f>
        <v>0</v>
      </c>
      <c r="AL399" s="294">
        <f>IF(NFI_Expiration=1,IF($A399&lt;VLOOKUP(M$5,NFI,5,0),1,0)*Table_NFI[[#This Row],[Winter Blanket]],Table_NFI[[#This Row],[Winter Blanket]])</f>
        <v>0</v>
      </c>
      <c r="AM399" s="294">
        <f>IF(Table_NFI[[#This Row],[Winter Clothes Adult]]+Table_NFI[[#This Row],[Winter Clothes Children]]+Table_NFI[[#This Row],[Winter Items Other]]+Table_NFI[[#This Row],[Winter Blanket]]&gt;0,1,0)</f>
        <v>1</v>
      </c>
      <c r="AN399" s="331">
        <f>IF(NFI_Expiration=1,IF($A399&lt;VLOOKUP(V$5,NFI,5,0),1,0)*Table_NFI[[#This Row],[Jerry Can]],Table_NFI[Jerry Can])</f>
        <v>0</v>
      </c>
      <c r="AO399" s="331">
        <f>IF(NFI_Expiration=1,IF($A399&lt;VLOOKUP(V$5,NFI,5,0),1,0)*Table_NFI[[#This Row],[Shelter Tool kit]],Table_NFI[Shelter Tool kit])</f>
        <v>0</v>
      </c>
      <c r="AP399" s="331">
        <f>IF(NFI_Expiration=1,IF($A399&lt;VLOOKUP(V$5,NFI,5,0),1,0)*Table_NFI[[#This Row],[Tent]],Table_NFI[Tent])</f>
        <v>0</v>
      </c>
      <c r="AQ399" s="473" t="str">
        <f>IFERROR(VLOOKUP(Table_NFI[[#This Row],[Camp Name]],CL,2,0),"")</f>
        <v>MMR001CMP162</v>
      </c>
      <c r="AR399" s="468">
        <f ca="1">IF(Table_NFI[[#This Row],[Pcode]]="","",IF(OFFSET(CampList[Opening Date],MATCH(Table_NFI[[#This Row],[Pcode]],CampList[CP_Pcode],0)-1,0,1,1)&gt;=NFI_Monitor_Date,1,0))</f>
        <v>0</v>
      </c>
      <c r="AS399" s="473" t="str">
        <f>IFERROR(VLOOKUP(Table_NFI[[#This Row],[Camp Name]],CL,3,0),"")</f>
        <v>Open</v>
      </c>
      <c r="AT399" s="294" t="str">
        <f ca="1">IF(Table_NFI[[#This Row],[Pcode]]="","",OFFSET(CampList[Priority],MATCH(Table_NFI[[#This Row],[Pcode]],CampList[CP_Pcode],0)-1,0,1,1))</f>
        <v>P4</v>
      </c>
      <c r="AU399" s="293">
        <f>IFERROR(Table_NFI[[#This Row],[Kitchen Set]]/VLOOKUP(Table_NFI[[#This Row],[Camp Name]],CL,4,0),"")</f>
        <v>0</v>
      </c>
      <c r="AV399" s="466"/>
      <c r="AW399" s="469"/>
    </row>
    <row r="400" spans="1:49" s="470" customFormat="1" ht="14.45" customHeight="1" x14ac:dyDescent="0.25">
      <c r="A400" s="297">
        <f t="shared" si="6"/>
        <v>30.233333333333334</v>
      </c>
      <c r="B400" s="465">
        <v>41768</v>
      </c>
      <c r="C400" s="466" t="s">
        <v>1104</v>
      </c>
      <c r="D400" s="466" t="s">
        <v>900</v>
      </c>
      <c r="E400" s="466" t="s">
        <v>380</v>
      </c>
      <c r="F400" s="466" t="s">
        <v>237</v>
      </c>
      <c r="G400" s="466" t="s">
        <v>277</v>
      </c>
      <c r="H400" s="291"/>
      <c r="I400" s="291"/>
      <c r="J400" s="291"/>
      <c r="K400" s="291"/>
      <c r="L400" s="292"/>
      <c r="M400" s="292"/>
      <c r="N400" s="292"/>
      <c r="O400" s="292"/>
      <c r="P400" s="294"/>
      <c r="Q400" s="294"/>
      <c r="R400" s="294"/>
      <c r="S400" s="294"/>
      <c r="T400" s="294"/>
      <c r="U400" s="294">
        <v>208</v>
      </c>
      <c r="V400" s="431"/>
      <c r="W400" s="294"/>
      <c r="X400" s="294"/>
      <c r="Y400" s="294">
        <f>IF(NFI_Expiration=1,IF($A400&lt;VLOOKUP(H$5,NFI,5,0),1,0)*Table_NFI[[#This Row],[Hygiene Kit]],Table_NFI[Hygiene Kit])</f>
        <v>0</v>
      </c>
      <c r="Z400" s="294">
        <f>IF(NFI_Expiration=1,IF($A400&lt;VLOOKUP(I$5,NFI,5,0),1,0)*Table_NFI[[#This Row],[NFI Core Kit]],Table_NFI[NFI Core Kit])</f>
        <v>0</v>
      </c>
      <c r="AA400" s="294">
        <f>IF(NFI_Expiration=1,IF($A400&lt;VLOOKUP(J$5,NFI,5,0),1,0)*Table_NFI[[#This Row],[Sanitary Kit]],Table_NFI[Sanitary Kit])</f>
        <v>0</v>
      </c>
      <c r="AB400" s="294">
        <f>IF(NFI_Expiration=1,IF($A400&lt;VLOOKUP(K$5,NFI,5,0),1,0)*Table_NFI[[#This Row],[Mosquito net]],Table_NFI[Mosquito net])</f>
        <v>0</v>
      </c>
      <c r="AC400" s="294">
        <f>IF(NFI_Expiration=1,IF($A400&lt;VLOOKUP(L$5,NFI,5,0),1,0)*Table_NFI[[#This Row],[Tarpaulin]],Table_NFI[[#This Row],[Tarpaulin]])</f>
        <v>0</v>
      </c>
      <c r="AD400" s="294">
        <f>IF(NFI_Expiration=1,IF($A400&lt;VLOOKUP(M$5,NFI,5,0),1,0)*Table_NFI[[#This Row],[Blanket]],Table_NFI[[#This Row],[Blanket]])</f>
        <v>0</v>
      </c>
      <c r="AE400" s="294">
        <f>IF(NFI_Expiration=1,IF($A400&lt;VLOOKUP(N$5,NFI,5,0),1,0)*Table_NFI[[#This Row],[Kitchen Set]],Table_NFI[Kitchen Set])</f>
        <v>0</v>
      </c>
      <c r="AF400" s="294">
        <f>IF(NFI_Expiration=1,IF($A400&lt;VLOOKUP(O$5,NFI,5,0),1,0)*Table_NFI[[#This Row],[Clothes Kit]],Table_NFI[Clothes Kit])</f>
        <v>0</v>
      </c>
      <c r="AG400" s="294">
        <f>IF(NFI_Expiration=1,IF($A400&lt;VLOOKUP(P$5,NFI,5,0),1,0)*Table_NFI[[#This Row],[Plastic Bucket]],Table_NFI[Plastic Bucket])</f>
        <v>0</v>
      </c>
      <c r="AH400" s="294">
        <f>IF(NFI_Expiration=1,IF($A400&lt;VLOOKUP(Q$5,NFI,5,0),1,0)*Table_NFI[[#This Row],[Plastic Mat]],Table_NFI[Plastic Mat])*IF(Table_NFI[[#This Row],[Distribution Date]]&gt;"2014-04-01",1,2.5)</f>
        <v>0</v>
      </c>
      <c r="AI400" s="294">
        <f>IF(NFI_Expiration=1,IF($A400&lt;VLOOKUP(R$5,NFI,5,0),1,0)*Table_NFI[[#This Row],[Winter Clothes Adult]],Table_NFI[Winter Clothes Adult])</f>
        <v>0</v>
      </c>
      <c r="AJ400" s="294">
        <f>IF(NFI_Expiration=1,IF($A400&lt;VLOOKUP(S$5,NFI,5,0),1,0)*Table_NFI[[#This Row],[Winter Clothes Children]],Table_NFI[Winter Clothes Children])</f>
        <v>0</v>
      </c>
      <c r="AK400" s="294">
        <f>IF(NFI_Expiration=1,IF($A400&lt;VLOOKUP(T$5,NFI,5,0),1,0)*Table_NFI[[#This Row],[Winter Items Other]],Table_NFI[Winter Items Other])</f>
        <v>0</v>
      </c>
      <c r="AL400" s="294">
        <f>IF(NFI_Expiration=1,IF($A400&lt;VLOOKUP(M$5,NFI,5,0),1,0)*Table_NFI[[#This Row],[Winter Blanket]],Table_NFI[[#This Row],[Winter Blanket]])</f>
        <v>0</v>
      </c>
      <c r="AM400" s="294">
        <f>IF(Table_NFI[[#This Row],[Winter Clothes Adult]]+Table_NFI[[#This Row],[Winter Clothes Children]]+Table_NFI[[#This Row],[Winter Items Other]]+Table_NFI[[#This Row],[Winter Blanket]]&gt;0,1,0)</f>
        <v>1</v>
      </c>
      <c r="AN400" s="331">
        <f>IF(NFI_Expiration=1,IF($A400&lt;VLOOKUP(V$5,NFI,5,0),1,0)*Table_NFI[[#This Row],[Jerry Can]],Table_NFI[Jerry Can])</f>
        <v>0</v>
      </c>
      <c r="AO400" s="331">
        <f>IF(NFI_Expiration=1,IF($A400&lt;VLOOKUP(V$5,NFI,5,0),1,0)*Table_NFI[[#This Row],[Shelter Tool kit]],Table_NFI[Shelter Tool kit])</f>
        <v>0</v>
      </c>
      <c r="AP400" s="331">
        <f>IF(NFI_Expiration=1,IF($A400&lt;VLOOKUP(V$5,NFI,5,0),1,0)*Table_NFI[[#This Row],[Tent]],Table_NFI[Tent])</f>
        <v>0</v>
      </c>
      <c r="AQ400" s="473" t="str">
        <f>IFERROR(VLOOKUP(Table_NFI[[#This Row],[Camp Name]],CL,2,0),"")</f>
        <v>MMR001CMP006</v>
      </c>
      <c r="AR400" s="468">
        <f ca="1">IF(Table_NFI[[#This Row],[Pcode]]="","",IF(OFFSET(CampList[Opening Date],MATCH(Table_NFI[[#This Row],[Pcode]],CampList[CP_Pcode],0)-1,0,1,1)&gt;=NFI_Monitor_Date,1,0))</f>
        <v>0</v>
      </c>
      <c r="AS400" s="473" t="str">
        <f>IFERROR(VLOOKUP(Table_NFI[[#This Row],[Camp Name]],CL,3,0),"")</f>
        <v>Open</v>
      </c>
      <c r="AT400" s="294" t="str">
        <f ca="1">IF(Table_NFI[[#This Row],[Pcode]]="","",OFFSET(CampList[Priority],MATCH(Table_NFI[[#This Row],[Pcode]],CampList[CP_Pcode],0)-1,0,1,1))</f>
        <v>P4</v>
      </c>
      <c r="AU400" s="293">
        <f>IFERROR(Table_NFI[[#This Row],[Kitchen Set]]/VLOOKUP(Table_NFI[[#This Row],[Camp Name]],CL,4,0),"")</f>
        <v>0</v>
      </c>
      <c r="AV400" s="466"/>
      <c r="AW400" s="469"/>
    </row>
    <row r="401" spans="1:49" s="470" customFormat="1" ht="14.45" customHeight="1" x14ac:dyDescent="0.25">
      <c r="A401" s="297">
        <f t="shared" si="6"/>
        <v>30.833333333333332</v>
      </c>
      <c r="B401" s="465">
        <v>41750</v>
      </c>
      <c r="C401" s="466" t="s">
        <v>452</v>
      </c>
      <c r="D401" s="466" t="s">
        <v>452</v>
      </c>
      <c r="E401" s="466" t="s">
        <v>380</v>
      </c>
      <c r="F401" s="466" t="s">
        <v>5</v>
      </c>
      <c r="G401" s="466" t="s">
        <v>6</v>
      </c>
      <c r="H401" s="291"/>
      <c r="I401" s="291"/>
      <c r="J401" s="291">
        <v>5</v>
      </c>
      <c r="K401" s="291">
        <v>6</v>
      </c>
      <c r="L401" s="292">
        <v>2</v>
      </c>
      <c r="M401" s="292">
        <v>6</v>
      </c>
      <c r="N401" s="292">
        <v>2</v>
      </c>
      <c r="O401" s="292">
        <v>2</v>
      </c>
      <c r="P401" s="294">
        <v>2</v>
      </c>
      <c r="Q401" s="294">
        <v>6</v>
      </c>
      <c r="R401" s="294"/>
      <c r="S401" s="294"/>
      <c r="T401" s="294"/>
      <c r="U401" s="294"/>
      <c r="V401" s="431"/>
      <c r="W401" s="294"/>
      <c r="X401" s="294"/>
      <c r="Y401" s="294">
        <f>IF(NFI_Expiration=1,IF($A401&lt;VLOOKUP(H$5,NFI,5,0),1,0)*Table_NFI[[#This Row],[Hygiene Kit]],Table_NFI[Hygiene Kit])</f>
        <v>0</v>
      </c>
      <c r="Z401" s="294">
        <f>IF(NFI_Expiration=1,IF($A401&lt;VLOOKUP(I$5,NFI,5,0),1,0)*Table_NFI[[#This Row],[NFI Core Kit]],Table_NFI[NFI Core Kit])</f>
        <v>0</v>
      </c>
      <c r="AA401" s="294">
        <f>IF(NFI_Expiration=1,IF($A401&lt;VLOOKUP(J$5,NFI,5,0),1,0)*Table_NFI[[#This Row],[Sanitary Kit]],Table_NFI[Sanitary Kit])</f>
        <v>0</v>
      </c>
      <c r="AB401" s="294">
        <f>IF(NFI_Expiration=1,IF($A401&lt;VLOOKUP(K$5,NFI,5,0),1,0)*Table_NFI[[#This Row],[Mosquito net]],Table_NFI[Mosquito net])</f>
        <v>0</v>
      </c>
      <c r="AC401" s="294">
        <f>IF(NFI_Expiration=1,IF($A401&lt;VLOOKUP(L$5,NFI,5,0),1,0)*Table_NFI[[#This Row],[Tarpaulin]],Table_NFI[[#This Row],[Tarpaulin]])</f>
        <v>0</v>
      </c>
      <c r="AD401" s="294">
        <f>IF(NFI_Expiration=1,IF($A401&lt;VLOOKUP(M$5,NFI,5,0),1,0)*Table_NFI[[#This Row],[Blanket]],Table_NFI[[#This Row],[Blanket]])</f>
        <v>0</v>
      </c>
      <c r="AE401" s="294">
        <f>IF(NFI_Expiration=1,IF($A401&lt;VLOOKUP(N$5,NFI,5,0),1,0)*Table_NFI[[#This Row],[Kitchen Set]],Table_NFI[Kitchen Set])</f>
        <v>0</v>
      </c>
      <c r="AF401" s="294">
        <f>IF(NFI_Expiration=1,IF($A401&lt;VLOOKUP(O$5,NFI,5,0),1,0)*Table_NFI[[#This Row],[Clothes Kit]],Table_NFI[Clothes Kit])</f>
        <v>0</v>
      </c>
      <c r="AG401" s="294">
        <f>IF(NFI_Expiration=1,IF($A401&lt;VLOOKUP(P$5,NFI,5,0),1,0)*Table_NFI[[#This Row],[Plastic Bucket]],Table_NFI[Plastic Bucket])</f>
        <v>0</v>
      </c>
      <c r="AH401" s="294">
        <f>IF(NFI_Expiration=1,IF($A401&lt;VLOOKUP(Q$5,NFI,5,0),1,0)*Table_NFI[[#This Row],[Plastic Mat]],Table_NFI[Plastic Mat])*IF(Table_NFI[[#This Row],[Distribution Date]]&gt;"2014-04-01",1,2.5)</f>
        <v>0</v>
      </c>
      <c r="AI401" s="294">
        <f>IF(NFI_Expiration=1,IF($A401&lt;VLOOKUP(R$5,NFI,5,0),1,0)*Table_NFI[[#This Row],[Winter Clothes Adult]],Table_NFI[Winter Clothes Adult])</f>
        <v>0</v>
      </c>
      <c r="AJ401" s="294">
        <f>IF(NFI_Expiration=1,IF($A401&lt;VLOOKUP(S$5,NFI,5,0),1,0)*Table_NFI[[#This Row],[Winter Clothes Children]],Table_NFI[Winter Clothes Children])</f>
        <v>0</v>
      </c>
      <c r="AK401" s="294">
        <f>IF(NFI_Expiration=1,IF($A401&lt;VLOOKUP(T$5,NFI,5,0),1,0)*Table_NFI[[#This Row],[Winter Items Other]],Table_NFI[Winter Items Other])</f>
        <v>0</v>
      </c>
      <c r="AL401" s="294">
        <f>IF(NFI_Expiration=1,IF($A401&lt;VLOOKUP(M$5,NFI,5,0),1,0)*Table_NFI[[#This Row],[Winter Blanket]],Table_NFI[[#This Row],[Winter Blanket]])</f>
        <v>0</v>
      </c>
      <c r="AM401" s="294">
        <f>IF(Table_NFI[[#This Row],[Winter Clothes Adult]]+Table_NFI[[#This Row],[Winter Clothes Children]]+Table_NFI[[#This Row],[Winter Items Other]]+Table_NFI[[#This Row],[Winter Blanket]]&gt;0,1,0)</f>
        <v>0</v>
      </c>
      <c r="AN401" s="331">
        <f>IF(NFI_Expiration=1,IF($A401&lt;VLOOKUP(V$5,NFI,5,0),1,0)*Table_NFI[[#This Row],[Jerry Can]],Table_NFI[Jerry Can])</f>
        <v>0</v>
      </c>
      <c r="AO401" s="331">
        <f>IF(NFI_Expiration=1,IF($A401&lt;VLOOKUP(V$5,NFI,5,0),1,0)*Table_NFI[[#This Row],[Shelter Tool kit]],Table_NFI[Shelter Tool kit])</f>
        <v>0</v>
      </c>
      <c r="AP401" s="331">
        <f>IF(NFI_Expiration=1,IF($A401&lt;VLOOKUP(V$5,NFI,5,0),1,0)*Table_NFI[[#This Row],[Tent]],Table_NFI[Tent])</f>
        <v>0</v>
      </c>
      <c r="AQ401" s="473" t="str">
        <f>IFERROR(VLOOKUP(Table_NFI[[#This Row],[Camp Name]],CL,2,0),"")</f>
        <v>MMR001CMP050</v>
      </c>
      <c r="AR401" s="468">
        <f ca="1">IF(Table_NFI[[#This Row],[Pcode]]="","",IF(OFFSET(CampList[Opening Date],MATCH(Table_NFI[[#This Row],[Pcode]],CampList[CP_Pcode],0)-1,0,1,1)&gt;=NFI_Monitor_Date,1,0))</f>
        <v>0</v>
      </c>
      <c r="AS401" s="473" t="str">
        <f>IFERROR(VLOOKUP(Table_NFI[[#This Row],[Camp Name]],CL,3,0),"")</f>
        <v>Open</v>
      </c>
      <c r="AT401" s="294" t="str">
        <f ca="1">IF(Table_NFI[[#This Row],[Pcode]]="","",OFFSET(CampList[Priority],MATCH(Table_NFI[[#This Row],[Pcode]],CampList[CP_Pcode],0)-1,0,1,1))</f>
        <v>P4</v>
      </c>
      <c r="AU401" s="293">
        <f>IFERROR(Table_NFI[[#This Row],[Kitchen Set]]/VLOOKUP(Table_NFI[[#This Row],[Camp Name]],CL,4,0),"")</f>
        <v>7.6923076923076927E-3</v>
      </c>
      <c r="AV401" s="466" t="s">
        <v>1092</v>
      </c>
      <c r="AW401" s="469"/>
    </row>
    <row r="402" spans="1:49" s="470" customFormat="1" x14ac:dyDescent="0.25">
      <c r="A402" s="297">
        <f t="shared" si="6"/>
        <v>30.833333333333332</v>
      </c>
      <c r="B402" s="465">
        <v>41750</v>
      </c>
      <c r="C402" s="466" t="s">
        <v>452</v>
      </c>
      <c r="D402" s="466"/>
      <c r="E402" s="466" t="s">
        <v>380</v>
      </c>
      <c r="F402" s="290" t="s">
        <v>151</v>
      </c>
      <c r="G402" s="466" t="s">
        <v>1034</v>
      </c>
      <c r="H402" s="291"/>
      <c r="I402" s="291"/>
      <c r="J402" s="291"/>
      <c r="K402" s="291">
        <v>800</v>
      </c>
      <c r="L402" s="292">
        <v>400</v>
      </c>
      <c r="M402" s="292"/>
      <c r="N402" s="292">
        <v>100</v>
      </c>
      <c r="O402" s="292"/>
      <c r="P402" s="294">
        <v>400</v>
      </c>
      <c r="Q402" s="294">
        <v>2000</v>
      </c>
      <c r="R402" s="294"/>
      <c r="S402" s="294"/>
      <c r="T402" s="294"/>
      <c r="U402" s="294"/>
      <c r="V402" s="431"/>
      <c r="W402" s="294"/>
      <c r="X402" s="294"/>
      <c r="Y402" s="294">
        <f>IF(NFI_Expiration=1,IF($A402&lt;VLOOKUP(H$5,NFI,5,0),1,0)*Table_NFI[[#This Row],[Hygiene Kit]],Table_NFI[Hygiene Kit])</f>
        <v>0</v>
      </c>
      <c r="Z402" s="294">
        <f>IF(NFI_Expiration=1,IF($A402&lt;VLOOKUP(I$5,NFI,5,0),1,0)*Table_NFI[[#This Row],[NFI Core Kit]],Table_NFI[NFI Core Kit])</f>
        <v>0</v>
      </c>
      <c r="AA402" s="294">
        <f>IF(NFI_Expiration=1,IF($A402&lt;VLOOKUP(J$5,NFI,5,0),1,0)*Table_NFI[[#This Row],[Sanitary Kit]],Table_NFI[Sanitary Kit])</f>
        <v>0</v>
      </c>
      <c r="AB402" s="294">
        <f>IF(NFI_Expiration=1,IF($A402&lt;VLOOKUP(K$5,NFI,5,0),1,0)*Table_NFI[[#This Row],[Mosquito net]],Table_NFI[Mosquito net])</f>
        <v>0</v>
      </c>
      <c r="AC402" s="294">
        <f>IF(NFI_Expiration=1,IF($A402&lt;VLOOKUP(L$5,NFI,5,0),1,0)*Table_NFI[[#This Row],[Tarpaulin]],Table_NFI[[#This Row],[Tarpaulin]])</f>
        <v>0</v>
      </c>
      <c r="AD402" s="294">
        <f>IF(NFI_Expiration=1,IF($A402&lt;VLOOKUP(M$5,NFI,5,0),1,0)*Table_NFI[[#This Row],[Blanket]],Table_NFI[[#This Row],[Blanket]])</f>
        <v>0</v>
      </c>
      <c r="AE402" s="294">
        <f>IF(NFI_Expiration=1,IF($A402&lt;VLOOKUP(N$5,NFI,5,0),1,0)*Table_NFI[[#This Row],[Kitchen Set]],Table_NFI[Kitchen Set])</f>
        <v>0</v>
      </c>
      <c r="AF402" s="294">
        <f>IF(NFI_Expiration=1,IF($A402&lt;VLOOKUP(O$5,NFI,5,0),1,0)*Table_NFI[[#This Row],[Clothes Kit]],Table_NFI[Clothes Kit])</f>
        <v>0</v>
      </c>
      <c r="AG402" s="294">
        <f>IF(NFI_Expiration=1,IF($A402&lt;VLOOKUP(P$5,NFI,5,0),1,0)*Table_NFI[[#This Row],[Plastic Bucket]],Table_NFI[Plastic Bucket])</f>
        <v>0</v>
      </c>
      <c r="AH402" s="294">
        <f>IF(NFI_Expiration=1,IF($A402&lt;VLOOKUP(Q$5,NFI,5,0),1,0)*Table_NFI[[#This Row],[Plastic Mat]],Table_NFI[Plastic Mat])*IF(Table_NFI[[#This Row],[Distribution Date]]&gt;"2014-04-01",1,2.5)</f>
        <v>0</v>
      </c>
      <c r="AI402" s="294">
        <f>IF(NFI_Expiration=1,IF($A402&lt;VLOOKUP(R$5,NFI,5,0),1,0)*Table_NFI[[#This Row],[Winter Clothes Adult]],Table_NFI[Winter Clothes Adult])</f>
        <v>0</v>
      </c>
      <c r="AJ402" s="294">
        <f>IF(NFI_Expiration=1,IF($A402&lt;VLOOKUP(S$5,NFI,5,0),1,0)*Table_NFI[[#This Row],[Winter Clothes Children]],Table_NFI[Winter Clothes Children])</f>
        <v>0</v>
      </c>
      <c r="AK402" s="294">
        <f>IF(NFI_Expiration=1,IF($A402&lt;VLOOKUP(T$5,NFI,5,0),1,0)*Table_NFI[[#This Row],[Winter Items Other]],Table_NFI[Winter Items Other])</f>
        <v>0</v>
      </c>
      <c r="AL402" s="294">
        <f>IF(NFI_Expiration=1,IF($A402&lt;VLOOKUP(M$5,NFI,5,0),1,0)*Table_NFI[[#This Row],[Winter Blanket]],Table_NFI[[#This Row],[Winter Blanket]])</f>
        <v>0</v>
      </c>
      <c r="AM402" s="294">
        <f>IF(Table_NFI[[#This Row],[Winter Clothes Adult]]+Table_NFI[[#This Row],[Winter Clothes Children]]+Table_NFI[[#This Row],[Winter Items Other]]+Table_NFI[[#This Row],[Winter Blanket]]&gt;0,1,0)</f>
        <v>0</v>
      </c>
      <c r="AN402" s="331">
        <f>IF(NFI_Expiration=1,IF($A402&lt;VLOOKUP(V$5,NFI,5,0),1,0)*Table_NFI[[#This Row],[Jerry Can]],Table_NFI[Jerry Can])</f>
        <v>0</v>
      </c>
      <c r="AO402" s="331">
        <f>IF(NFI_Expiration=1,IF($A402&lt;VLOOKUP(V$5,NFI,5,0),1,0)*Table_NFI[[#This Row],[Shelter Tool kit]],Table_NFI[Shelter Tool kit])</f>
        <v>0</v>
      </c>
      <c r="AP402" s="331">
        <f>IF(NFI_Expiration=1,IF($A402&lt;VLOOKUP(V$5,NFI,5,0),1,0)*Table_NFI[[#This Row],[Tent]],Table_NFI[Tent])</f>
        <v>0</v>
      </c>
      <c r="AQ402" s="473" t="str">
        <f>IFERROR(VLOOKUP(Table_NFI[[#This Row],[Camp Name]],CL,2,0),"")</f>
        <v>MMR001CMP226</v>
      </c>
      <c r="AR402" s="468">
        <f ca="1">IF(Table_NFI[[#This Row],[Pcode]]="","",IF(OFFSET(CampList[Opening Date],MATCH(Table_NFI[[#This Row],[Pcode]],CampList[CP_Pcode],0)-1,0,1,1)&gt;=NFI_Monitor_Date,1,0))</f>
        <v>0</v>
      </c>
      <c r="AS402" s="473" t="str">
        <f>IFERROR(VLOOKUP(Table_NFI[[#This Row],[Camp Name]],CL,3,0),"")</f>
        <v>Closed</v>
      </c>
      <c r="AT402" s="294" t="str">
        <f ca="1">IF(Table_NFI[[#This Row],[Pcode]]="","",OFFSET(CampList[Priority],MATCH(Table_NFI[[#This Row],[Pcode]],CampList[CP_Pcode],0)-1,0,1,1))</f>
        <v>P2</v>
      </c>
      <c r="AU402" s="293" t="str">
        <f>IFERROR(Table_NFI[[#This Row],[Kitchen Set]]/VLOOKUP(Table_NFI[[#This Row],[Camp Name]],CL,4,0),"")</f>
        <v/>
      </c>
      <c r="AV402" s="466"/>
      <c r="AW402" s="469"/>
    </row>
    <row r="403" spans="1:49" s="470" customFormat="1" x14ac:dyDescent="0.25">
      <c r="A403" s="297">
        <f t="shared" si="6"/>
        <v>30.833333333333332</v>
      </c>
      <c r="B403" s="465">
        <v>41750</v>
      </c>
      <c r="C403" s="466" t="s">
        <v>452</v>
      </c>
      <c r="D403" s="466" t="s">
        <v>452</v>
      </c>
      <c r="E403" s="466" t="s">
        <v>380</v>
      </c>
      <c r="F403" s="466" t="s">
        <v>151</v>
      </c>
      <c r="G403" s="466" t="s">
        <v>152</v>
      </c>
      <c r="H403" s="291"/>
      <c r="I403" s="291"/>
      <c r="J403" s="291">
        <v>20</v>
      </c>
      <c r="K403" s="291">
        <v>30</v>
      </c>
      <c r="L403" s="292">
        <v>13</v>
      </c>
      <c r="M403" s="292">
        <v>40</v>
      </c>
      <c r="N403" s="292">
        <v>13</v>
      </c>
      <c r="O403" s="292">
        <v>13</v>
      </c>
      <c r="P403" s="294">
        <v>13</v>
      </c>
      <c r="Q403" s="294">
        <v>25</v>
      </c>
      <c r="R403" s="294"/>
      <c r="S403" s="294"/>
      <c r="T403" s="294"/>
      <c r="U403" s="294"/>
      <c r="V403" s="431"/>
      <c r="W403" s="294"/>
      <c r="X403" s="294"/>
      <c r="Y403" s="294">
        <f>IF(NFI_Expiration=1,IF($A403&lt;VLOOKUP(H$5,NFI,5,0),1,0)*Table_NFI[[#This Row],[Hygiene Kit]],Table_NFI[Hygiene Kit])</f>
        <v>0</v>
      </c>
      <c r="Z403" s="294">
        <f>IF(NFI_Expiration=1,IF($A403&lt;VLOOKUP(I$5,NFI,5,0),1,0)*Table_NFI[[#This Row],[NFI Core Kit]],Table_NFI[NFI Core Kit])</f>
        <v>0</v>
      </c>
      <c r="AA403" s="294">
        <f>IF(NFI_Expiration=1,IF($A403&lt;VLOOKUP(J$5,NFI,5,0),1,0)*Table_NFI[[#This Row],[Sanitary Kit]],Table_NFI[Sanitary Kit])</f>
        <v>0</v>
      </c>
      <c r="AB403" s="294">
        <f>IF(NFI_Expiration=1,IF($A403&lt;VLOOKUP(K$5,NFI,5,0),1,0)*Table_NFI[[#This Row],[Mosquito net]],Table_NFI[Mosquito net])</f>
        <v>0</v>
      </c>
      <c r="AC403" s="294">
        <f>IF(NFI_Expiration=1,IF($A403&lt;VLOOKUP(L$5,NFI,5,0),1,0)*Table_NFI[[#This Row],[Tarpaulin]],Table_NFI[[#This Row],[Tarpaulin]])</f>
        <v>0</v>
      </c>
      <c r="AD403" s="294">
        <f>IF(NFI_Expiration=1,IF($A403&lt;VLOOKUP(M$5,NFI,5,0),1,0)*Table_NFI[[#This Row],[Blanket]],Table_NFI[[#This Row],[Blanket]])</f>
        <v>0</v>
      </c>
      <c r="AE403" s="294">
        <f>IF(NFI_Expiration=1,IF($A403&lt;VLOOKUP(N$5,NFI,5,0),1,0)*Table_NFI[[#This Row],[Kitchen Set]],Table_NFI[Kitchen Set])</f>
        <v>0</v>
      </c>
      <c r="AF403" s="294">
        <f>IF(NFI_Expiration=1,IF($A403&lt;VLOOKUP(O$5,NFI,5,0),1,0)*Table_NFI[[#This Row],[Clothes Kit]],Table_NFI[Clothes Kit])</f>
        <v>0</v>
      </c>
      <c r="AG403" s="294">
        <f>IF(NFI_Expiration=1,IF($A403&lt;VLOOKUP(P$5,NFI,5,0),1,0)*Table_NFI[[#This Row],[Plastic Bucket]],Table_NFI[Plastic Bucket])</f>
        <v>0</v>
      </c>
      <c r="AH403" s="294">
        <f>IF(NFI_Expiration=1,IF($A403&lt;VLOOKUP(Q$5,NFI,5,0),1,0)*Table_NFI[[#This Row],[Plastic Mat]],Table_NFI[Plastic Mat])*IF(Table_NFI[[#This Row],[Distribution Date]]&gt;"2014-04-01",1,2.5)</f>
        <v>0</v>
      </c>
      <c r="AI403" s="294">
        <f>IF(NFI_Expiration=1,IF($A403&lt;VLOOKUP(R$5,NFI,5,0),1,0)*Table_NFI[[#This Row],[Winter Clothes Adult]],Table_NFI[Winter Clothes Adult])</f>
        <v>0</v>
      </c>
      <c r="AJ403" s="294">
        <f>IF(NFI_Expiration=1,IF($A403&lt;VLOOKUP(S$5,NFI,5,0),1,0)*Table_NFI[[#This Row],[Winter Clothes Children]],Table_NFI[Winter Clothes Children])</f>
        <v>0</v>
      </c>
      <c r="AK403" s="294">
        <f>IF(NFI_Expiration=1,IF($A403&lt;VLOOKUP(T$5,NFI,5,0),1,0)*Table_NFI[[#This Row],[Winter Items Other]],Table_NFI[Winter Items Other])</f>
        <v>0</v>
      </c>
      <c r="AL403" s="294">
        <f>IF(NFI_Expiration=1,IF($A403&lt;VLOOKUP(M$5,NFI,5,0),1,0)*Table_NFI[[#This Row],[Winter Blanket]],Table_NFI[[#This Row],[Winter Blanket]])</f>
        <v>0</v>
      </c>
      <c r="AM403" s="294">
        <f>IF(Table_NFI[[#This Row],[Winter Clothes Adult]]+Table_NFI[[#This Row],[Winter Clothes Children]]+Table_NFI[[#This Row],[Winter Items Other]]+Table_NFI[[#This Row],[Winter Blanket]]&gt;0,1,0)</f>
        <v>0</v>
      </c>
      <c r="AN403" s="331">
        <f>IF(NFI_Expiration=1,IF($A403&lt;VLOOKUP(V$5,NFI,5,0),1,0)*Table_NFI[[#This Row],[Jerry Can]],Table_NFI[Jerry Can])</f>
        <v>0</v>
      </c>
      <c r="AO403" s="331">
        <f>IF(NFI_Expiration=1,IF($A403&lt;VLOOKUP(V$5,NFI,5,0),1,0)*Table_NFI[[#This Row],[Shelter Tool kit]],Table_NFI[Shelter Tool kit])</f>
        <v>0</v>
      </c>
      <c r="AP403" s="331">
        <f>IF(NFI_Expiration=1,IF($A403&lt;VLOOKUP(V$5,NFI,5,0),1,0)*Table_NFI[[#This Row],[Tent]],Table_NFI[Tent])</f>
        <v>0</v>
      </c>
      <c r="AQ403" s="473" t="str">
        <f>IFERROR(VLOOKUP(Table_NFI[[#This Row],[Camp Name]],CL,2,0),"")</f>
        <v>MMR001CMP066</v>
      </c>
      <c r="AR403" s="468">
        <f ca="1">IF(Table_NFI[[#This Row],[Pcode]]="","",IF(OFFSET(CampList[Opening Date],MATCH(Table_NFI[[#This Row],[Pcode]],CampList[CP_Pcode],0)-1,0,1,1)&gt;=NFI_Monitor_Date,1,0))</f>
        <v>0</v>
      </c>
      <c r="AS403" s="473" t="str">
        <f>IFERROR(VLOOKUP(Table_NFI[[#This Row],[Camp Name]],CL,3,0),"")</f>
        <v>Open</v>
      </c>
      <c r="AT403" s="294" t="str">
        <f ca="1">IF(Table_NFI[[#This Row],[Pcode]]="","",OFFSET(CampList[Priority],MATCH(Table_NFI[[#This Row],[Pcode]],CampList[CP_Pcode],0)-1,0,1,1))</f>
        <v>P4</v>
      </c>
      <c r="AU403" s="293">
        <f>IFERROR(Table_NFI[[#This Row],[Kitchen Set]]/VLOOKUP(Table_NFI[[#This Row],[Camp Name]],CL,4,0),"")</f>
        <v>6.5989847715736044E-2</v>
      </c>
      <c r="AV403" s="466" t="s">
        <v>1092</v>
      </c>
      <c r="AW403" s="469"/>
    </row>
    <row r="404" spans="1:49" s="470" customFormat="1" ht="14.45" customHeight="1" x14ac:dyDescent="0.25">
      <c r="A404" s="297">
        <f t="shared" si="6"/>
        <v>30.833333333333332</v>
      </c>
      <c r="B404" s="465">
        <v>41750</v>
      </c>
      <c r="C404" s="466" t="s">
        <v>452</v>
      </c>
      <c r="D404" s="466" t="s">
        <v>452</v>
      </c>
      <c r="E404" s="466" t="s">
        <v>380</v>
      </c>
      <c r="F404" s="466" t="s">
        <v>185</v>
      </c>
      <c r="G404" s="466" t="s">
        <v>209</v>
      </c>
      <c r="H404" s="291"/>
      <c r="I404" s="291"/>
      <c r="J404" s="291">
        <v>15</v>
      </c>
      <c r="K404" s="291">
        <v>16</v>
      </c>
      <c r="L404" s="292">
        <v>50</v>
      </c>
      <c r="M404" s="292">
        <v>16</v>
      </c>
      <c r="N404" s="292">
        <v>7</v>
      </c>
      <c r="O404" s="292">
        <v>7</v>
      </c>
      <c r="P404" s="294">
        <v>7</v>
      </c>
      <c r="Q404" s="294">
        <v>13</v>
      </c>
      <c r="R404" s="294"/>
      <c r="S404" s="294"/>
      <c r="T404" s="294"/>
      <c r="U404" s="294"/>
      <c r="V404" s="431"/>
      <c r="W404" s="294"/>
      <c r="X404" s="294"/>
      <c r="Y404" s="294">
        <f>IF(NFI_Expiration=1,IF($A404&lt;VLOOKUP(H$5,NFI,5,0),1,0)*Table_NFI[[#This Row],[Hygiene Kit]],Table_NFI[Hygiene Kit])</f>
        <v>0</v>
      </c>
      <c r="Z404" s="294">
        <f>IF(NFI_Expiration=1,IF($A404&lt;VLOOKUP(I$5,NFI,5,0),1,0)*Table_NFI[[#This Row],[NFI Core Kit]],Table_NFI[NFI Core Kit])</f>
        <v>0</v>
      </c>
      <c r="AA404" s="294">
        <f>IF(NFI_Expiration=1,IF($A404&lt;VLOOKUP(J$5,NFI,5,0),1,0)*Table_NFI[[#This Row],[Sanitary Kit]],Table_NFI[Sanitary Kit])</f>
        <v>0</v>
      </c>
      <c r="AB404" s="294">
        <f>IF(NFI_Expiration=1,IF($A404&lt;VLOOKUP(K$5,NFI,5,0),1,0)*Table_NFI[[#This Row],[Mosquito net]],Table_NFI[Mosquito net])</f>
        <v>0</v>
      </c>
      <c r="AC404" s="294">
        <f>IF(NFI_Expiration=1,IF($A404&lt;VLOOKUP(L$5,NFI,5,0),1,0)*Table_NFI[[#This Row],[Tarpaulin]],Table_NFI[[#This Row],[Tarpaulin]])</f>
        <v>0</v>
      </c>
      <c r="AD404" s="294">
        <f>IF(NFI_Expiration=1,IF($A404&lt;VLOOKUP(M$5,NFI,5,0),1,0)*Table_NFI[[#This Row],[Blanket]],Table_NFI[[#This Row],[Blanket]])</f>
        <v>0</v>
      </c>
      <c r="AE404" s="294">
        <f>IF(NFI_Expiration=1,IF($A404&lt;VLOOKUP(N$5,NFI,5,0),1,0)*Table_NFI[[#This Row],[Kitchen Set]],Table_NFI[Kitchen Set])</f>
        <v>0</v>
      </c>
      <c r="AF404" s="294">
        <f>IF(NFI_Expiration=1,IF($A404&lt;VLOOKUP(O$5,NFI,5,0),1,0)*Table_NFI[[#This Row],[Clothes Kit]],Table_NFI[Clothes Kit])</f>
        <v>0</v>
      </c>
      <c r="AG404" s="294">
        <f>IF(NFI_Expiration=1,IF($A404&lt;VLOOKUP(P$5,NFI,5,0),1,0)*Table_NFI[[#This Row],[Plastic Bucket]],Table_NFI[Plastic Bucket])</f>
        <v>0</v>
      </c>
      <c r="AH404" s="294">
        <f>IF(NFI_Expiration=1,IF($A404&lt;VLOOKUP(Q$5,NFI,5,0),1,0)*Table_NFI[[#This Row],[Plastic Mat]],Table_NFI[Plastic Mat])*IF(Table_NFI[[#This Row],[Distribution Date]]&gt;"2014-04-01",1,2.5)</f>
        <v>0</v>
      </c>
      <c r="AI404" s="294">
        <f>IF(NFI_Expiration=1,IF($A404&lt;VLOOKUP(R$5,NFI,5,0),1,0)*Table_NFI[[#This Row],[Winter Clothes Adult]],Table_NFI[Winter Clothes Adult])</f>
        <v>0</v>
      </c>
      <c r="AJ404" s="294">
        <f>IF(NFI_Expiration=1,IF($A404&lt;VLOOKUP(S$5,NFI,5,0),1,0)*Table_NFI[[#This Row],[Winter Clothes Children]],Table_NFI[Winter Clothes Children])</f>
        <v>0</v>
      </c>
      <c r="AK404" s="294">
        <f>IF(NFI_Expiration=1,IF($A404&lt;VLOOKUP(T$5,NFI,5,0),1,0)*Table_NFI[[#This Row],[Winter Items Other]],Table_NFI[Winter Items Other])</f>
        <v>0</v>
      </c>
      <c r="AL404" s="294">
        <f>IF(NFI_Expiration=1,IF($A404&lt;VLOOKUP(M$5,NFI,5,0),1,0)*Table_NFI[[#This Row],[Winter Blanket]],Table_NFI[[#This Row],[Winter Blanket]])</f>
        <v>0</v>
      </c>
      <c r="AM404" s="294">
        <f>IF(Table_NFI[[#This Row],[Winter Clothes Adult]]+Table_NFI[[#This Row],[Winter Clothes Children]]+Table_NFI[[#This Row],[Winter Items Other]]+Table_NFI[[#This Row],[Winter Blanket]]&gt;0,1,0)</f>
        <v>0</v>
      </c>
      <c r="AN404" s="331">
        <f>IF(NFI_Expiration=1,IF($A404&lt;VLOOKUP(V$5,NFI,5,0),1,0)*Table_NFI[[#This Row],[Jerry Can]],Table_NFI[Jerry Can])</f>
        <v>0</v>
      </c>
      <c r="AO404" s="331">
        <f>IF(NFI_Expiration=1,IF($A404&lt;VLOOKUP(V$5,NFI,5,0),1,0)*Table_NFI[[#This Row],[Shelter Tool kit]],Table_NFI[Shelter Tool kit])</f>
        <v>0</v>
      </c>
      <c r="AP404" s="331">
        <f>IF(NFI_Expiration=1,IF($A404&lt;VLOOKUP(V$5,NFI,5,0),1,0)*Table_NFI[[#This Row],[Tent]],Table_NFI[Tent])</f>
        <v>0</v>
      </c>
      <c r="AQ404" s="473" t="str">
        <f>IFERROR(VLOOKUP(Table_NFI[[#This Row],[Camp Name]],CL,2,0),"")</f>
        <v>MMR001CMP056</v>
      </c>
      <c r="AR404" s="468">
        <f ca="1">IF(Table_NFI[[#This Row],[Pcode]]="","",IF(OFFSET(CampList[Opening Date],MATCH(Table_NFI[[#This Row],[Pcode]],CampList[CP_Pcode],0)-1,0,1,1)&gt;=NFI_Monitor_Date,1,0))</f>
        <v>0</v>
      </c>
      <c r="AS404" s="473" t="str">
        <f>IFERROR(VLOOKUP(Table_NFI[[#This Row],[Camp Name]],CL,3,0),"")</f>
        <v>Open</v>
      </c>
      <c r="AT404" s="294" t="str">
        <f ca="1">IF(Table_NFI[[#This Row],[Pcode]]="","",OFFSET(CampList[Priority],MATCH(Table_NFI[[#This Row],[Pcode]],CampList[CP_Pcode],0)-1,0,1,1))</f>
        <v>P4</v>
      </c>
      <c r="AU404" s="293">
        <f>IFERROR(Table_NFI[[#This Row],[Kitchen Set]]/VLOOKUP(Table_NFI[[#This Row],[Camp Name]],CL,4,0),"")</f>
        <v>3.0973451327433628E-2</v>
      </c>
      <c r="AV404" s="466" t="s">
        <v>1092</v>
      </c>
      <c r="AW404" s="469"/>
    </row>
    <row r="405" spans="1:49" s="470" customFormat="1" ht="14.45" customHeight="1" x14ac:dyDescent="0.25">
      <c r="A405" s="297">
        <f t="shared" si="6"/>
        <v>30.833333333333332</v>
      </c>
      <c r="B405" s="465">
        <v>41750</v>
      </c>
      <c r="C405" s="466" t="s">
        <v>452</v>
      </c>
      <c r="D405" s="466"/>
      <c r="E405" s="466" t="s">
        <v>553</v>
      </c>
      <c r="F405" s="466" t="s">
        <v>289</v>
      </c>
      <c r="G405" s="466" t="s">
        <v>1055</v>
      </c>
      <c r="H405" s="291"/>
      <c r="I405" s="291"/>
      <c r="J405" s="291"/>
      <c r="K405" s="291">
        <v>0</v>
      </c>
      <c r="L405" s="292">
        <v>1</v>
      </c>
      <c r="M405" s="292">
        <v>167</v>
      </c>
      <c r="N405" s="292">
        <v>1</v>
      </c>
      <c r="O405" s="292">
        <v>0</v>
      </c>
      <c r="P405" s="294">
        <v>1</v>
      </c>
      <c r="Q405" s="294">
        <v>0</v>
      </c>
      <c r="R405" s="294"/>
      <c r="S405" s="294"/>
      <c r="T405" s="294"/>
      <c r="U405" s="294"/>
      <c r="V405" s="431"/>
      <c r="W405" s="294"/>
      <c r="X405" s="294"/>
      <c r="Y405" s="294">
        <f>IF(NFI_Expiration=1,IF($A405&lt;VLOOKUP(H$5,NFI,5,0),1,0)*Table_NFI[[#This Row],[Hygiene Kit]],Table_NFI[Hygiene Kit])</f>
        <v>0</v>
      </c>
      <c r="Z405" s="294">
        <f>IF(NFI_Expiration=1,IF($A405&lt;VLOOKUP(I$5,NFI,5,0),1,0)*Table_NFI[[#This Row],[NFI Core Kit]],Table_NFI[NFI Core Kit])</f>
        <v>0</v>
      </c>
      <c r="AA405" s="294">
        <f>IF(NFI_Expiration=1,IF($A405&lt;VLOOKUP(J$5,NFI,5,0),1,0)*Table_NFI[[#This Row],[Sanitary Kit]],Table_NFI[Sanitary Kit])</f>
        <v>0</v>
      </c>
      <c r="AB405" s="294">
        <f>IF(NFI_Expiration=1,IF($A405&lt;VLOOKUP(K$5,NFI,5,0),1,0)*Table_NFI[[#This Row],[Mosquito net]],Table_NFI[Mosquito net])</f>
        <v>0</v>
      </c>
      <c r="AC405" s="294">
        <f>IF(NFI_Expiration=1,IF($A405&lt;VLOOKUP(L$5,NFI,5,0),1,0)*Table_NFI[[#This Row],[Tarpaulin]],Table_NFI[[#This Row],[Tarpaulin]])</f>
        <v>0</v>
      </c>
      <c r="AD405" s="294">
        <f>IF(NFI_Expiration=1,IF($A405&lt;VLOOKUP(M$5,NFI,5,0),1,0)*Table_NFI[[#This Row],[Blanket]],Table_NFI[[#This Row],[Blanket]])</f>
        <v>0</v>
      </c>
      <c r="AE405" s="294">
        <f>IF(NFI_Expiration=1,IF($A405&lt;VLOOKUP(N$5,NFI,5,0),1,0)*Table_NFI[[#This Row],[Kitchen Set]],Table_NFI[Kitchen Set])</f>
        <v>0</v>
      </c>
      <c r="AF405" s="294">
        <f>IF(NFI_Expiration=1,IF($A405&lt;VLOOKUP(O$5,NFI,5,0),1,0)*Table_NFI[[#This Row],[Clothes Kit]],Table_NFI[Clothes Kit])</f>
        <v>0</v>
      </c>
      <c r="AG405" s="294">
        <f>IF(NFI_Expiration=1,IF($A405&lt;VLOOKUP(P$5,NFI,5,0),1,0)*Table_NFI[[#This Row],[Plastic Bucket]],Table_NFI[Plastic Bucket])</f>
        <v>0</v>
      </c>
      <c r="AH405" s="294">
        <f>IF(NFI_Expiration=1,IF($A405&lt;VLOOKUP(Q$5,NFI,5,0),1,0)*Table_NFI[[#This Row],[Plastic Mat]],Table_NFI[Plastic Mat])*IF(Table_NFI[[#This Row],[Distribution Date]]&gt;"2014-04-01",1,2.5)</f>
        <v>0</v>
      </c>
      <c r="AI405" s="294">
        <f>IF(NFI_Expiration=1,IF($A405&lt;VLOOKUP(R$5,NFI,5,0),1,0)*Table_NFI[[#This Row],[Winter Clothes Adult]],Table_NFI[Winter Clothes Adult])</f>
        <v>0</v>
      </c>
      <c r="AJ405" s="294">
        <f>IF(NFI_Expiration=1,IF($A405&lt;VLOOKUP(S$5,NFI,5,0),1,0)*Table_NFI[[#This Row],[Winter Clothes Children]],Table_NFI[Winter Clothes Children])</f>
        <v>0</v>
      </c>
      <c r="AK405" s="294">
        <f>IF(NFI_Expiration=1,IF($A405&lt;VLOOKUP(T$5,NFI,5,0),1,0)*Table_NFI[[#This Row],[Winter Items Other]],Table_NFI[Winter Items Other])</f>
        <v>0</v>
      </c>
      <c r="AL405" s="294">
        <f>IF(NFI_Expiration=1,IF($A405&lt;VLOOKUP(M$5,NFI,5,0),1,0)*Table_NFI[[#This Row],[Winter Blanket]],Table_NFI[[#This Row],[Winter Blanket]])</f>
        <v>0</v>
      </c>
      <c r="AM405" s="294">
        <f>IF(Table_NFI[[#This Row],[Winter Clothes Adult]]+Table_NFI[[#This Row],[Winter Clothes Children]]+Table_NFI[[#This Row],[Winter Items Other]]+Table_NFI[[#This Row],[Winter Blanket]]&gt;0,1,0)</f>
        <v>0</v>
      </c>
      <c r="AN405" s="331">
        <f>IF(NFI_Expiration=1,IF($A405&lt;VLOOKUP(V$5,NFI,5,0),1,0)*Table_NFI[[#This Row],[Jerry Can]],Table_NFI[Jerry Can])</f>
        <v>0</v>
      </c>
      <c r="AO405" s="331">
        <f>IF(NFI_Expiration=1,IF($A405&lt;VLOOKUP(V$5,NFI,5,0),1,0)*Table_NFI[[#This Row],[Shelter Tool kit]],Table_NFI[Shelter Tool kit])</f>
        <v>0</v>
      </c>
      <c r="AP405" s="331">
        <f>IF(NFI_Expiration=1,IF($A405&lt;VLOOKUP(V$5,NFI,5,0),1,0)*Table_NFI[[#This Row],[Tent]],Table_NFI[Tent])</f>
        <v>0</v>
      </c>
      <c r="AQ405" s="473" t="str">
        <f>IFERROR(VLOOKUP(Table_NFI[[#This Row],[Camp Name]],CL,2,0),"")</f>
        <v>MMR015CMP214</v>
      </c>
      <c r="AR405" s="468">
        <f ca="1">IF(Table_NFI[[#This Row],[Pcode]]="","",IF(OFFSET(CampList[Opening Date],MATCH(Table_NFI[[#This Row],[Pcode]],CampList[CP_Pcode],0)-1,0,1,1)&gt;=NFI_Monitor_Date,1,0))</f>
        <v>1</v>
      </c>
      <c r="AS405" s="473" t="str">
        <f>IFERROR(VLOOKUP(Table_NFI[[#This Row],[Camp Name]],CL,3,0),"")</f>
        <v>Open</v>
      </c>
      <c r="AT405" s="294" t="str">
        <f ca="1">IF(Table_NFI[[#This Row],[Pcode]]="","",OFFSET(CampList[Priority],MATCH(Table_NFI[[#This Row],[Pcode]],CampList[CP_Pcode],0)-1,0,1,1))</f>
        <v>P4</v>
      </c>
      <c r="AU405" s="293">
        <f>IFERROR(Table_NFI[[#This Row],[Kitchen Set]]/VLOOKUP(Table_NFI[[#This Row],[Camp Name]],CL,4,0),"")</f>
        <v>2.7777777777777776E-2</v>
      </c>
      <c r="AV405" s="466"/>
      <c r="AW405" s="469" t="s">
        <v>1232</v>
      </c>
    </row>
    <row r="406" spans="1:49" s="470" customFormat="1" ht="14.45" customHeight="1" x14ac:dyDescent="0.25">
      <c r="A406" s="297">
        <f t="shared" si="6"/>
        <v>30.833333333333332</v>
      </c>
      <c r="B406" s="465">
        <v>41750</v>
      </c>
      <c r="C406" s="466" t="s">
        <v>452</v>
      </c>
      <c r="D406" s="466"/>
      <c r="E406" s="466" t="s">
        <v>553</v>
      </c>
      <c r="F406" s="466" t="s">
        <v>289</v>
      </c>
      <c r="G406" s="466" t="s">
        <v>1055</v>
      </c>
      <c r="H406" s="291"/>
      <c r="I406" s="291"/>
      <c r="J406" s="291"/>
      <c r="K406" s="291">
        <v>90</v>
      </c>
      <c r="L406" s="292">
        <v>49</v>
      </c>
      <c r="M406" s="292">
        <v>98</v>
      </c>
      <c r="N406" s="292">
        <v>49</v>
      </c>
      <c r="O406" s="292"/>
      <c r="P406" s="294">
        <v>49</v>
      </c>
      <c r="Q406" s="294">
        <v>225</v>
      </c>
      <c r="R406" s="294"/>
      <c r="S406" s="294"/>
      <c r="T406" s="294"/>
      <c r="U406" s="294"/>
      <c r="V406" s="431"/>
      <c r="W406" s="294"/>
      <c r="X406" s="294"/>
      <c r="Y406" s="294">
        <f>IF(NFI_Expiration=1,IF($A406&lt;VLOOKUP(H$5,NFI,5,0),1,0)*Table_NFI[[#This Row],[Hygiene Kit]],Table_NFI[Hygiene Kit])</f>
        <v>0</v>
      </c>
      <c r="Z406" s="294">
        <f>IF(NFI_Expiration=1,IF($A406&lt;VLOOKUP(I$5,NFI,5,0),1,0)*Table_NFI[[#This Row],[NFI Core Kit]],Table_NFI[NFI Core Kit])</f>
        <v>0</v>
      </c>
      <c r="AA406" s="294">
        <f>IF(NFI_Expiration=1,IF($A406&lt;VLOOKUP(J$5,NFI,5,0),1,0)*Table_NFI[[#This Row],[Sanitary Kit]],Table_NFI[Sanitary Kit])</f>
        <v>0</v>
      </c>
      <c r="AB406" s="294">
        <f>IF(NFI_Expiration=1,IF($A406&lt;VLOOKUP(K$5,NFI,5,0),1,0)*Table_NFI[[#This Row],[Mosquito net]],Table_NFI[Mosquito net])</f>
        <v>0</v>
      </c>
      <c r="AC406" s="294">
        <f>IF(NFI_Expiration=1,IF($A406&lt;VLOOKUP(L$5,NFI,5,0),1,0)*Table_NFI[[#This Row],[Tarpaulin]],Table_NFI[[#This Row],[Tarpaulin]])</f>
        <v>0</v>
      </c>
      <c r="AD406" s="294">
        <f>IF(NFI_Expiration=1,IF($A406&lt;VLOOKUP(M$5,NFI,5,0),1,0)*Table_NFI[[#This Row],[Blanket]],Table_NFI[[#This Row],[Blanket]])</f>
        <v>0</v>
      </c>
      <c r="AE406" s="294">
        <f>IF(NFI_Expiration=1,IF($A406&lt;VLOOKUP(N$5,NFI,5,0),1,0)*Table_NFI[[#This Row],[Kitchen Set]],Table_NFI[Kitchen Set])</f>
        <v>0</v>
      </c>
      <c r="AF406" s="294">
        <f>IF(NFI_Expiration=1,IF($A406&lt;VLOOKUP(O$5,NFI,5,0),1,0)*Table_NFI[[#This Row],[Clothes Kit]],Table_NFI[Clothes Kit])</f>
        <v>0</v>
      </c>
      <c r="AG406" s="294">
        <f>IF(NFI_Expiration=1,IF($A406&lt;VLOOKUP(P$5,NFI,5,0),1,0)*Table_NFI[[#This Row],[Plastic Bucket]],Table_NFI[Plastic Bucket])</f>
        <v>0</v>
      </c>
      <c r="AH406" s="294">
        <f>IF(NFI_Expiration=1,IF($A406&lt;VLOOKUP(Q$5,NFI,5,0),1,0)*Table_NFI[[#This Row],[Plastic Mat]],Table_NFI[Plastic Mat])*IF(Table_NFI[[#This Row],[Distribution Date]]&gt;"2014-04-01",1,2.5)</f>
        <v>0</v>
      </c>
      <c r="AI406" s="294">
        <f>IF(NFI_Expiration=1,IF($A406&lt;VLOOKUP(R$5,NFI,5,0),1,0)*Table_NFI[[#This Row],[Winter Clothes Adult]],Table_NFI[Winter Clothes Adult])</f>
        <v>0</v>
      </c>
      <c r="AJ406" s="294">
        <f>IF(NFI_Expiration=1,IF($A406&lt;VLOOKUP(S$5,NFI,5,0),1,0)*Table_NFI[[#This Row],[Winter Clothes Children]],Table_NFI[Winter Clothes Children])</f>
        <v>0</v>
      </c>
      <c r="AK406" s="294">
        <f>IF(NFI_Expiration=1,IF($A406&lt;VLOOKUP(T$5,NFI,5,0),1,0)*Table_NFI[[#This Row],[Winter Items Other]],Table_NFI[Winter Items Other])</f>
        <v>0</v>
      </c>
      <c r="AL406" s="294">
        <f>IF(NFI_Expiration=1,IF($A406&lt;VLOOKUP(M$5,NFI,5,0),1,0)*Table_NFI[[#This Row],[Winter Blanket]],Table_NFI[[#This Row],[Winter Blanket]])</f>
        <v>0</v>
      </c>
      <c r="AM406" s="294">
        <f>IF(Table_NFI[[#This Row],[Winter Clothes Adult]]+Table_NFI[[#This Row],[Winter Clothes Children]]+Table_NFI[[#This Row],[Winter Items Other]]+Table_NFI[[#This Row],[Winter Blanket]]&gt;0,1,0)</f>
        <v>0</v>
      </c>
      <c r="AN406" s="331">
        <f>IF(NFI_Expiration=1,IF($A406&lt;VLOOKUP(V$5,NFI,5,0),1,0)*Table_NFI[[#This Row],[Jerry Can]],Table_NFI[Jerry Can])</f>
        <v>0</v>
      </c>
      <c r="AO406" s="331">
        <f>IF(NFI_Expiration=1,IF($A406&lt;VLOOKUP(V$5,NFI,5,0),1,0)*Table_NFI[[#This Row],[Shelter Tool kit]],Table_NFI[Shelter Tool kit])</f>
        <v>0</v>
      </c>
      <c r="AP406" s="331">
        <f>IF(NFI_Expiration=1,IF($A406&lt;VLOOKUP(V$5,NFI,5,0),1,0)*Table_NFI[[#This Row],[Tent]],Table_NFI[Tent])</f>
        <v>0</v>
      </c>
      <c r="AQ406" s="473" t="str">
        <f>IFERROR(VLOOKUP(Table_NFI[[#This Row],[Camp Name]],CL,2,0),"")</f>
        <v>MMR015CMP214</v>
      </c>
      <c r="AR406" s="468">
        <f ca="1">IF(Table_NFI[[#This Row],[Pcode]]="","",IF(OFFSET(CampList[Opening Date],MATCH(Table_NFI[[#This Row],[Pcode]],CampList[CP_Pcode],0)-1,0,1,1)&gt;=NFI_Monitor_Date,1,0))</f>
        <v>1</v>
      </c>
      <c r="AS406" s="473" t="str">
        <f>IFERROR(VLOOKUP(Table_NFI[[#This Row],[Camp Name]],CL,3,0),"")</f>
        <v>Open</v>
      </c>
      <c r="AT406" s="294" t="str">
        <f ca="1">IF(Table_NFI[[#This Row],[Pcode]]="","",OFFSET(CampList[Priority],MATCH(Table_NFI[[#This Row],[Pcode]],CampList[CP_Pcode],0)-1,0,1,1))</f>
        <v>P4</v>
      </c>
      <c r="AU406" s="293">
        <f>IFERROR(Table_NFI[[#This Row],[Kitchen Set]]/VLOOKUP(Table_NFI[[#This Row],[Camp Name]],CL,4,0),"")</f>
        <v>1.3611111111111112</v>
      </c>
      <c r="AV406" s="466"/>
      <c r="AW406" s="469"/>
    </row>
    <row r="407" spans="1:49" s="470" customFormat="1" ht="14.45" customHeight="1" x14ac:dyDescent="0.25">
      <c r="A407" s="297">
        <f t="shared" si="6"/>
        <v>30.866666666666667</v>
      </c>
      <c r="B407" s="465">
        <v>41749</v>
      </c>
      <c r="C407" s="466" t="s">
        <v>452</v>
      </c>
      <c r="D407" s="466"/>
      <c r="E407" s="466" t="s">
        <v>380</v>
      </c>
      <c r="F407" s="466" t="s">
        <v>151</v>
      </c>
      <c r="G407" s="466" t="s">
        <v>160</v>
      </c>
      <c r="H407" s="291"/>
      <c r="I407" s="291"/>
      <c r="J407" s="291"/>
      <c r="K407" s="291">
        <v>220</v>
      </c>
      <c r="L407" s="292">
        <v>110</v>
      </c>
      <c r="M407" s="292">
        <v>1000</v>
      </c>
      <c r="N407" s="292">
        <v>110</v>
      </c>
      <c r="O407" s="292"/>
      <c r="P407" s="294">
        <v>110</v>
      </c>
      <c r="Q407" s="294">
        <v>550</v>
      </c>
      <c r="R407" s="294"/>
      <c r="S407" s="294"/>
      <c r="T407" s="294"/>
      <c r="U407" s="294"/>
      <c r="V407" s="431"/>
      <c r="W407" s="294"/>
      <c r="X407" s="294"/>
      <c r="Y407" s="294">
        <f>IF(NFI_Expiration=1,IF($A407&lt;VLOOKUP(H$5,NFI,5,0),1,0)*Table_NFI[[#This Row],[Hygiene Kit]],Table_NFI[Hygiene Kit])</f>
        <v>0</v>
      </c>
      <c r="Z407" s="294">
        <f>IF(NFI_Expiration=1,IF($A407&lt;VLOOKUP(I$5,NFI,5,0),1,0)*Table_NFI[[#This Row],[NFI Core Kit]],Table_NFI[NFI Core Kit])</f>
        <v>0</v>
      </c>
      <c r="AA407" s="294">
        <f>IF(NFI_Expiration=1,IF($A407&lt;VLOOKUP(J$5,NFI,5,0),1,0)*Table_NFI[[#This Row],[Sanitary Kit]],Table_NFI[Sanitary Kit])</f>
        <v>0</v>
      </c>
      <c r="AB407" s="294">
        <f>IF(NFI_Expiration=1,IF($A407&lt;VLOOKUP(K$5,NFI,5,0),1,0)*Table_NFI[[#This Row],[Mosquito net]],Table_NFI[Mosquito net])</f>
        <v>0</v>
      </c>
      <c r="AC407" s="294">
        <f>IF(NFI_Expiration=1,IF($A407&lt;VLOOKUP(L$5,NFI,5,0),1,0)*Table_NFI[[#This Row],[Tarpaulin]],Table_NFI[[#This Row],[Tarpaulin]])</f>
        <v>0</v>
      </c>
      <c r="AD407" s="294">
        <f>IF(NFI_Expiration=1,IF($A407&lt;VLOOKUP(M$5,NFI,5,0),1,0)*Table_NFI[[#This Row],[Blanket]],Table_NFI[[#This Row],[Blanket]])</f>
        <v>0</v>
      </c>
      <c r="AE407" s="294">
        <f>IF(NFI_Expiration=1,IF($A407&lt;VLOOKUP(N$5,NFI,5,0),1,0)*Table_NFI[[#This Row],[Kitchen Set]],Table_NFI[Kitchen Set])</f>
        <v>0</v>
      </c>
      <c r="AF407" s="294">
        <f>IF(NFI_Expiration=1,IF($A407&lt;VLOOKUP(O$5,NFI,5,0),1,0)*Table_NFI[[#This Row],[Clothes Kit]],Table_NFI[Clothes Kit])</f>
        <v>0</v>
      </c>
      <c r="AG407" s="294">
        <f>IF(NFI_Expiration=1,IF($A407&lt;VLOOKUP(P$5,NFI,5,0),1,0)*Table_NFI[[#This Row],[Plastic Bucket]],Table_NFI[Plastic Bucket])</f>
        <v>0</v>
      </c>
      <c r="AH407" s="294">
        <f>IF(NFI_Expiration=1,IF($A407&lt;VLOOKUP(Q$5,NFI,5,0),1,0)*Table_NFI[[#This Row],[Plastic Mat]],Table_NFI[Plastic Mat])*IF(Table_NFI[[#This Row],[Distribution Date]]&gt;"2014-04-01",1,2.5)</f>
        <v>0</v>
      </c>
      <c r="AI407" s="294">
        <f>IF(NFI_Expiration=1,IF($A407&lt;VLOOKUP(R$5,NFI,5,0),1,0)*Table_NFI[[#This Row],[Winter Clothes Adult]],Table_NFI[Winter Clothes Adult])</f>
        <v>0</v>
      </c>
      <c r="AJ407" s="294">
        <f>IF(NFI_Expiration=1,IF($A407&lt;VLOOKUP(S$5,NFI,5,0),1,0)*Table_NFI[[#This Row],[Winter Clothes Children]],Table_NFI[Winter Clothes Children])</f>
        <v>0</v>
      </c>
      <c r="AK407" s="294">
        <f>IF(NFI_Expiration=1,IF($A407&lt;VLOOKUP(T$5,NFI,5,0),1,0)*Table_NFI[[#This Row],[Winter Items Other]],Table_NFI[Winter Items Other])</f>
        <v>0</v>
      </c>
      <c r="AL407" s="294">
        <f>IF(NFI_Expiration=1,IF($A407&lt;VLOOKUP(M$5,NFI,5,0),1,0)*Table_NFI[[#This Row],[Winter Blanket]],Table_NFI[[#This Row],[Winter Blanket]])</f>
        <v>0</v>
      </c>
      <c r="AM407" s="294">
        <f>IF(Table_NFI[[#This Row],[Winter Clothes Adult]]+Table_NFI[[#This Row],[Winter Clothes Children]]+Table_NFI[[#This Row],[Winter Items Other]]+Table_NFI[[#This Row],[Winter Blanket]]&gt;0,1,0)</f>
        <v>0</v>
      </c>
      <c r="AN407" s="331">
        <f>IF(NFI_Expiration=1,IF($A407&lt;VLOOKUP(V$5,NFI,5,0),1,0)*Table_NFI[[#This Row],[Jerry Can]],Table_NFI[Jerry Can])</f>
        <v>0</v>
      </c>
      <c r="AO407" s="331">
        <f>IF(NFI_Expiration=1,IF($A407&lt;VLOOKUP(V$5,NFI,5,0),1,0)*Table_NFI[[#This Row],[Shelter Tool kit]],Table_NFI[Shelter Tool kit])</f>
        <v>0</v>
      </c>
      <c r="AP407" s="331">
        <f>IF(NFI_Expiration=1,IF($A407&lt;VLOOKUP(V$5,NFI,5,0),1,0)*Table_NFI[[#This Row],[Tent]],Table_NFI[Tent])</f>
        <v>0</v>
      </c>
      <c r="AQ407" s="473" t="str">
        <f>IFERROR(VLOOKUP(Table_NFI[[#This Row],[Camp Name]],CL,2,0),"")</f>
        <v>MMR001CMP133</v>
      </c>
      <c r="AR407" s="468">
        <f ca="1">IF(Table_NFI[[#This Row],[Pcode]]="","",IF(OFFSET(CampList[Opening Date],MATCH(Table_NFI[[#This Row],[Pcode]],CampList[CP_Pcode],0)-1,0,1,1)&gt;=NFI_Monitor_Date,1,0))</f>
        <v>0</v>
      </c>
      <c r="AS407" s="473" t="str">
        <f>IFERROR(VLOOKUP(Table_NFI[[#This Row],[Camp Name]],CL,3,0),"")</f>
        <v>Open</v>
      </c>
      <c r="AT407" s="294" t="str">
        <f ca="1">IF(Table_NFI[[#This Row],[Pcode]]="","",OFFSET(CampList[Priority],MATCH(Table_NFI[[#This Row],[Pcode]],CampList[CP_Pcode],0)-1,0,1,1))</f>
        <v>P4</v>
      </c>
      <c r="AU407" s="293">
        <f>IFERROR(Table_NFI[[#This Row],[Kitchen Set]]/VLOOKUP(Table_NFI[[#This Row],[Camp Name]],CL,4,0),"")</f>
        <v>1.02803738317757</v>
      </c>
      <c r="AV407" s="466"/>
      <c r="AW407" s="469"/>
    </row>
    <row r="408" spans="1:49" s="470" customFormat="1" ht="14.45" customHeight="1" x14ac:dyDescent="0.25">
      <c r="A408" s="297">
        <f t="shared" si="6"/>
        <v>30.9</v>
      </c>
      <c r="B408" s="465">
        <v>41748</v>
      </c>
      <c r="C408" s="466" t="s">
        <v>452</v>
      </c>
      <c r="D408" s="466"/>
      <c r="E408" s="466" t="s">
        <v>380</v>
      </c>
      <c r="F408" s="466" t="s">
        <v>151</v>
      </c>
      <c r="G408" s="466" t="s">
        <v>154</v>
      </c>
      <c r="H408" s="291"/>
      <c r="I408" s="291"/>
      <c r="J408" s="291"/>
      <c r="K408" s="291">
        <v>400</v>
      </c>
      <c r="L408" s="292">
        <v>190</v>
      </c>
      <c r="M408" s="292">
        <v>870</v>
      </c>
      <c r="N408" s="292">
        <v>190</v>
      </c>
      <c r="O408" s="292"/>
      <c r="P408" s="294">
        <v>190</v>
      </c>
      <c r="Q408" s="294">
        <v>1000</v>
      </c>
      <c r="R408" s="294"/>
      <c r="S408" s="294"/>
      <c r="T408" s="294"/>
      <c r="U408" s="294"/>
      <c r="V408" s="431"/>
      <c r="W408" s="294"/>
      <c r="X408" s="294"/>
      <c r="Y408" s="294">
        <f>IF(NFI_Expiration=1,IF($A408&lt;VLOOKUP(H$5,NFI,5,0),1,0)*Table_NFI[[#This Row],[Hygiene Kit]],Table_NFI[Hygiene Kit])</f>
        <v>0</v>
      </c>
      <c r="Z408" s="294">
        <f>IF(NFI_Expiration=1,IF($A408&lt;VLOOKUP(I$5,NFI,5,0),1,0)*Table_NFI[[#This Row],[NFI Core Kit]],Table_NFI[NFI Core Kit])</f>
        <v>0</v>
      </c>
      <c r="AA408" s="294">
        <f>IF(NFI_Expiration=1,IF($A408&lt;VLOOKUP(J$5,NFI,5,0),1,0)*Table_NFI[[#This Row],[Sanitary Kit]],Table_NFI[Sanitary Kit])</f>
        <v>0</v>
      </c>
      <c r="AB408" s="294">
        <f>IF(NFI_Expiration=1,IF($A408&lt;VLOOKUP(K$5,NFI,5,0),1,0)*Table_NFI[[#This Row],[Mosquito net]],Table_NFI[Mosquito net])</f>
        <v>0</v>
      </c>
      <c r="AC408" s="294">
        <f>IF(NFI_Expiration=1,IF($A408&lt;VLOOKUP(L$5,NFI,5,0),1,0)*Table_NFI[[#This Row],[Tarpaulin]],Table_NFI[[#This Row],[Tarpaulin]])</f>
        <v>0</v>
      </c>
      <c r="AD408" s="294">
        <f>IF(NFI_Expiration=1,IF($A408&lt;VLOOKUP(M$5,NFI,5,0),1,0)*Table_NFI[[#This Row],[Blanket]],Table_NFI[[#This Row],[Blanket]])</f>
        <v>0</v>
      </c>
      <c r="AE408" s="294">
        <f>IF(NFI_Expiration=1,IF($A408&lt;VLOOKUP(N$5,NFI,5,0),1,0)*Table_NFI[[#This Row],[Kitchen Set]],Table_NFI[Kitchen Set])</f>
        <v>0</v>
      </c>
      <c r="AF408" s="294">
        <f>IF(NFI_Expiration=1,IF($A408&lt;VLOOKUP(O$5,NFI,5,0),1,0)*Table_NFI[[#This Row],[Clothes Kit]],Table_NFI[Clothes Kit])</f>
        <v>0</v>
      </c>
      <c r="AG408" s="294">
        <f>IF(NFI_Expiration=1,IF($A408&lt;VLOOKUP(P$5,NFI,5,0),1,0)*Table_NFI[[#This Row],[Plastic Bucket]],Table_NFI[Plastic Bucket])</f>
        <v>0</v>
      </c>
      <c r="AH408" s="294">
        <f>IF(NFI_Expiration=1,IF($A408&lt;VLOOKUP(Q$5,NFI,5,0),1,0)*Table_NFI[[#This Row],[Plastic Mat]],Table_NFI[Plastic Mat])*IF(Table_NFI[[#This Row],[Distribution Date]]&gt;"2014-04-01",1,2.5)</f>
        <v>0</v>
      </c>
      <c r="AI408" s="294">
        <f>IF(NFI_Expiration=1,IF($A408&lt;VLOOKUP(R$5,NFI,5,0),1,0)*Table_NFI[[#This Row],[Winter Clothes Adult]],Table_NFI[Winter Clothes Adult])</f>
        <v>0</v>
      </c>
      <c r="AJ408" s="294">
        <f>IF(NFI_Expiration=1,IF($A408&lt;VLOOKUP(S$5,NFI,5,0),1,0)*Table_NFI[[#This Row],[Winter Clothes Children]],Table_NFI[Winter Clothes Children])</f>
        <v>0</v>
      </c>
      <c r="AK408" s="294">
        <f>IF(NFI_Expiration=1,IF($A408&lt;VLOOKUP(T$5,NFI,5,0),1,0)*Table_NFI[[#This Row],[Winter Items Other]],Table_NFI[Winter Items Other])</f>
        <v>0</v>
      </c>
      <c r="AL408" s="294">
        <f>IF(NFI_Expiration=1,IF($A408&lt;VLOOKUP(M$5,NFI,5,0),1,0)*Table_NFI[[#This Row],[Winter Blanket]],Table_NFI[[#This Row],[Winter Blanket]])</f>
        <v>0</v>
      </c>
      <c r="AM408" s="294">
        <f>IF(Table_NFI[[#This Row],[Winter Clothes Adult]]+Table_NFI[[#This Row],[Winter Clothes Children]]+Table_NFI[[#This Row],[Winter Items Other]]+Table_NFI[[#This Row],[Winter Blanket]]&gt;0,1,0)</f>
        <v>0</v>
      </c>
      <c r="AN408" s="331">
        <f>IF(NFI_Expiration=1,IF($A408&lt;VLOOKUP(V$5,NFI,5,0),1,0)*Table_NFI[[#This Row],[Jerry Can]],Table_NFI[Jerry Can])</f>
        <v>0</v>
      </c>
      <c r="AO408" s="331">
        <f>IF(NFI_Expiration=1,IF($A408&lt;VLOOKUP(V$5,NFI,5,0),1,0)*Table_NFI[[#This Row],[Shelter Tool kit]],Table_NFI[Shelter Tool kit])</f>
        <v>0</v>
      </c>
      <c r="AP408" s="331">
        <f>IF(NFI_Expiration=1,IF($A408&lt;VLOOKUP(V$5,NFI,5,0),1,0)*Table_NFI[[#This Row],[Tent]],Table_NFI[Tent])</f>
        <v>0</v>
      </c>
      <c r="AQ408" s="473" t="str">
        <f>IFERROR(VLOOKUP(Table_NFI[[#This Row],[Camp Name]],CL,2,0),"")</f>
        <v>MMR001CMP132</v>
      </c>
      <c r="AR408" s="468">
        <f ca="1">IF(Table_NFI[[#This Row],[Pcode]]="","",IF(OFFSET(CampList[Opening Date],MATCH(Table_NFI[[#This Row],[Pcode]],CampList[CP_Pcode],0)-1,0,1,1)&gt;=NFI_Monitor_Date,1,0))</f>
        <v>0</v>
      </c>
      <c r="AS408" s="473" t="str">
        <f>IFERROR(VLOOKUP(Table_NFI[[#This Row],[Camp Name]],CL,3,0),"")</f>
        <v>Open</v>
      </c>
      <c r="AT408" s="294" t="str">
        <f ca="1">IF(Table_NFI[[#This Row],[Pcode]]="","",OFFSET(CampList[Priority],MATCH(Table_NFI[[#This Row],[Pcode]],CampList[CP_Pcode],0)-1,0,1,1))</f>
        <v>P4</v>
      </c>
      <c r="AU408" s="293">
        <f>IFERROR(Table_NFI[[#This Row],[Kitchen Set]]/VLOOKUP(Table_NFI[[#This Row],[Camp Name]],CL,4,0),"")</f>
        <v>0.43181818181818182</v>
      </c>
      <c r="AV408" s="466"/>
      <c r="AW408" s="469"/>
    </row>
    <row r="409" spans="1:49" s="470" customFormat="1" ht="14.45" customHeight="1" x14ac:dyDescent="0.25">
      <c r="A409" s="297">
        <f t="shared" si="6"/>
        <v>30.966666666666665</v>
      </c>
      <c r="B409" s="465">
        <v>41746</v>
      </c>
      <c r="C409" s="466" t="s">
        <v>452</v>
      </c>
      <c r="D409" s="466" t="s">
        <v>452</v>
      </c>
      <c r="E409" s="466" t="s">
        <v>380</v>
      </c>
      <c r="F409" s="466" t="s">
        <v>185</v>
      </c>
      <c r="G409" s="466" t="s">
        <v>209</v>
      </c>
      <c r="H409" s="291"/>
      <c r="I409" s="291"/>
      <c r="J409" s="291"/>
      <c r="K409" s="291">
        <v>8</v>
      </c>
      <c r="L409" s="292">
        <v>4</v>
      </c>
      <c r="M409" s="292">
        <v>12</v>
      </c>
      <c r="N409" s="292">
        <v>4</v>
      </c>
      <c r="O409" s="292">
        <v>4</v>
      </c>
      <c r="P409" s="294">
        <v>4</v>
      </c>
      <c r="Q409" s="294">
        <v>41</v>
      </c>
      <c r="R409" s="294"/>
      <c r="S409" s="294"/>
      <c r="T409" s="294"/>
      <c r="U409" s="294"/>
      <c r="V409" s="431"/>
      <c r="W409" s="294"/>
      <c r="X409" s="294"/>
      <c r="Y409" s="294">
        <f>IF(NFI_Expiration=1,IF($A409&lt;VLOOKUP(H$5,NFI,5,0),1,0)*Table_NFI[[#This Row],[Hygiene Kit]],Table_NFI[Hygiene Kit])</f>
        <v>0</v>
      </c>
      <c r="Z409" s="294">
        <f>IF(NFI_Expiration=1,IF($A409&lt;VLOOKUP(I$5,NFI,5,0),1,0)*Table_NFI[[#This Row],[NFI Core Kit]],Table_NFI[NFI Core Kit])</f>
        <v>0</v>
      </c>
      <c r="AA409" s="294">
        <f>IF(NFI_Expiration=1,IF($A409&lt;VLOOKUP(J$5,NFI,5,0),1,0)*Table_NFI[[#This Row],[Sanitary Kit]],Table_NFI[Sanitary Kit])</f>
        <v>0</v>
      </c>
      <c r="AB409" s="294">
        <f>IF(NFI_Expiration=1,IF($A409&lt;VLOOKUP(K$5,NFI,5,0),1,0)*Table_NFI[[#This Row],[Mosquito net]],Table_NFI[Mosquito net])</f>
        <v>0</v>
      </c>
      <c r="AC409" s="294">
        <f>IF(NFI_Expiration=1,IF($A409&lt;VLOOKUP(L$5,NFI,5,0),1,0)*Table_NFI[[#This Row],[Tarpaulin]],Table_NFI[[#This Row],[Tarpaulin]])</f>
        <v>0</v>
      </c>
      <c r="AD409" s="294">
        <f>IF(NFI_Expiration=1,IF($A409&lt;VLOOKUP(M$5,NFI,5,0),1,0)*Table_NFI[[#This Row],[Blanket]],Table_NFI[[#This Row],[Blanket]])</f>
        <v>0</v>
      </c>
      <c r="AE409" s="294">
        <f>IF(NFI_Expiration=1,IF($A409&lt;VLOOKUP(N$5,NFI,5,0),1,0)*Table_NFI[[#This Row],[Kitchen Set]],Table_NFI[Kitchen Set])</f>
        <v>0</v>
      </c>
      <c r="AF409" s="294">
        <f>IF(NFI_Expiration=1,IF($A409&lt;VLOOKUP(O$5,NFI,5,0),1,0)*Table_NFI[[#This Row],[Clothes Kit]],Table_NFI[Clothes Kit])</f>
        <v>0</v>
      </c>
      <c r="AG409" s="294">
        <f>IF(NFI_Expiration=1,IF($A409&lt;VLOOKUP(P$5,NFI,5,0),1,0)*Table_NFI[[#This Row],[Plastic Bucket]],Table_NFI[Plastic Bucket])</f>
        <v>0</v>
      </c>
      <c r="AH409" s="294">
        <f>IF(NFI_Expiration=1,IF($A409&lt;VLOOKUP(Q$5,NFI,5,0),1,0)*Table_NFI[[#This Row],[Plastic Mat]],Table_NFI[Plastic Mat])*IF(Table_NFI[[#This Row],[Distribution Date]]&gt;"2014-04-01",1,2.5)</f>
        <v>0</v>
      </c>
      <c r="AI409" s="294">
        <f>IF(NFI_Expiration=1,IF($A409&lt;VLOOKUP(R$5,NFI,5,0),1,0)*Table_NFI[[#This Row],[Winter Clothes Adult]],Table_NFI[Winter Clothes Adult])</f>
        <v>0</v>
      </c>
      <c r="AJ409" s="294">
        <f>IF(NFI_Expiration=1,IF($A409&lt;VLOOKUP(S$5,NFI,5,0),1,0)*Table_NFI[[#This Row],[Winter Clothes Children]],Table_NFI[Winter Clothes Children])</f>
        <v>0</v>
      </c>
      <c r="AK409" s="294">
        <f>IF(NFI_Expiration=1,IF($A409&lt;VLOOKUP(T$5,NFI,5,0),1,0)*Table_NFI[[#This Row],[Winter Items Other]],Table_NFI[Winter Items Other])</f>
        <v>0</v>
      </c>
      <c r="AL409" s="294">
        <f>IF(NFI_Expiration=1,IF($A409&lt;VLOOKUP(M$5,NFI,5,0),1,0)*Table_NFI[[#This Row],[Winter Blanket]],Table_NFI[[#This Row],[Winter Blanket]])</f>
        <v>0</v>
      </c>
      <c r="AM409" s="294">
        <f>IF(Table_NFI[[#This Row],[Winter Clothes Adult]]+Table_NFI[[#This Row],[Winter Clothes Children]]+Table_NFI[[#This Row],[Winter Items Other]]+Table_NFI[[#This Row],[Winter Blanket]]&gt;0,1,0)</f>
        <v>0</v>
      </c>
      <c r="AN409" s="331">
        <f>IF(NFI_Expiration=1,IF($A409&lt;VLOOKUP(V$5,NFI,5,0),1,0)*Table_NFI[[#This Row],[Jerry Can]],Table_NFI[Jerry Can])</f>
        <v>0</v>
      </c>
      <c r="AO409" s="331">
        <f>IF(NFI_Expiration=1,IF($A409&lt;VLOOKUP(V$5,NFI,5,0),1,0)*Table_NFI[[#This Row],[Shelter Tool kit]],Table_NFI[Shelter Tool kit])</f>
        <v>0</v>
      </c>
      <c r="AP409" s="331">
        <f>IF(NFI_Expiration=1,IF($A409&lt;VLOOKUP(V$5,NFI,5,0),1,0)*Table_NFI[[#This Row],[Tent]],Table_NFI[Tent])</f>
        <v>0</v>
      </c>
      <c r="AQ409" s="473" t="str">
        <f>IFERROR(VLOOKUP(Table_NFI[[#This Row],[Camp Name]],CL,2,0),"")</f>
        <v>MMR001CMP056</v>
      </c>
      <c r="AR409" s="468">
        <f ca="1">IF(Table_NFI[[#This Row],[Pcode]]="","",IF(OFFSET(CampList[Opening Date],MATCH(Table_NFI[[#This Row],[Pcode]],CampList[CP_Pcode],0)-1,0,1,1)&gt;=NFI_Monitor_Date,1,0))</f>
        <v>0</v>
      </c>
      <c r="AS409" s="473" t="str">
        <f>IFERROR(VLOOKUP(Table_NFI[[#This Row],[Camp Name]],CL,3,0),"")</f>
        <v>Open</v>
      </c>
      <c r="AT409" s="294" t="str">
        <f ca="1">IF(Table_NFI[[#This Row],[Pcode]]="","",OFFSET(CampList[Priority],MATCH(Table_NFI[[#This Row],[Pcode]],CampList[CP_Pcode],0)-1,0,1,1))</f>
        <v>P4</v>
      </c>
      <c r="AU409" s="293">
        <f>IFERROR(Table_NFI[[#This Row],[Kitchen Set]]/VLOOKUP(Table_NFI[[#This Row],[Camp Name]],CL,4,0),"")</f>
        <v>1.7699115044247787E-2</v>
      </c>
      <c r="AV409" s="466" t="s">
        <v>1092</v>
      </c>
      <c r="AW409" s="469"/>
    </row>
    <row r="410" spans="1:49" s="470" customFormat="1" ht="14.45" customHeight="1" x14ac:dyDescent="0.25">
      <c r="A410" s="297">
        <f t="shared" si="6"/>
        <v>31.066666666666666</v>
      </c>
      <c r="B410" s="465">
        <v>41743</v>
      </c>
      <c r="C410" s="466" t="s">
        <v>452</v>
      </c>
      <c r="D410" s="466" t="s">
        <v>452</v>
      </c>
      <c r="E410" s="466" t="s">
        <v>380</v>
      </c>
      <c r="F410" s="466" t="s">
        <v>185</v>
      </c>
      <c r="G410" s="466" t="s">
        <v>209</v>
      </c>
      <c r="H410" s="291"/>
      <c r="I410" s="291"/>
      <c r="J410" s="291"/>
      <c r="K410" s="291">
        <v>10</v>
      </c>
      <c r="L410" s="292">
        <v>5</v>
      </c>
      <c r="M410" s="292">
        <v>15</v>
      </c>
      <c r="N410" s="292">
        <v>5</v>
      </c>
      <c r="O410" s="292">
        <v>5</v>
      </c>
      <c r="P410" s="294">
        <v>5</v>
      </c>
      <c r="Q410" s="294"/>
      <c r="R410" s="294"/>
      <c r="S410" s="294"/>
      <c r="T410" s="294"/>
      <c r="U410" s="294"/>
      <c r="V410" s="431"/>
      <c r="W410" s="294"/>
      <c r="X410" s="294"/>
      <c r="Y410" s="294">
        <f>IF(NFI_Expiration=1,IF($A410&lt;VLOOKUP(H$5,NFI,5,0),1,0)*Table_NFI[[#This Row],[Hygiene Kit]],Table_NFI[Hygiene Kit])</f>
        <v>0</v>
      </c>
      <c r="Z410" s="294">
        <f>IF(NFI_Expiration=1,IF($A410&lt;VLOOKUP(I$5,NFI,5,0),1,0)*Table_NFI[[#This Row],[NFI Core Kit]],Table_NFI[NFI Core Kit])</f>
        <v>0</v>
      </c>
      <c r="AA410" s="294">
        <f>IF(NFI_Expiration=1,IF($A410&lt;VLOOKUP(J$5,NFI,5,0),1,0)*Table_NFI[[#This Row],[Sanitary Kit]],Table_NFI[Sanitary Kit])</f>
        <v>0</v>
      </c>
      <c r="AB410" s="294">
        <f>IF(NFI_Expiration=1,IF($A410&lt;VLOOKUP(K$5,NFI,5,0),1,0)*Table_NFI[[#This Row],[Mosquito net]],Table_NFI[Mosquito net])</f>
        <v>0</v>
      </c>
      <c r="AC410" s="294">
        <f>IF(NFI_Expiration=1,IF($A410&lt;VLOOKUP(L$5,NFI,5,0),1,0)*Table_NFI[[#This Row],[Tarpaulin]],Table_NFI[[#This Row],[Tarpaulin]])</f>
        <v>0</v>
      </c>
      <c r="AD410" s="294">
        <f>IF(NFI_Expiration=1,IF($A410&lt;VLOOKUP(M$5,NFI,5,0),1,0)*Table_NFI[[#This Row],[Blanket]],Table_NFI[[#This Row],[Blanket]])</f>
        <v>0</v>
      </c>
      <c r="AE410" s="294">
        <f>IF(NFI_Expiration=1,IF($A410&lt;VLOOKUP(N$5,NFI,5,0),1,0)*Table_NFI[[#This Row],[Kitchen Set]],Table_NFI[Kitchen Set])</f>
        <v>0</v>
      </c>
      <c r="AF410" s="294">
        <f>IF(NFI_Expiration=1,IF($A410&lt;VLOOKUP(O$5,NFI,5,0),1,0)*Table_NFI[[#This Row],[Clothes Kit]],Table_NFI[Clothes Kit])</f>
        <v>0</v>
      </c>
      <c r="AG410" s="294">
        <f>IF(NFI_Expiration=1,IF($A410&lt;VLOOKUP(P$5,NFI,5,0),1,0)*Table_NFI[[#This Row],[Plastic Bucket]],Table_NFI[Plastic Bucket])</f>
        <v>0</v>
      </c>
      <c r="AH410" s="294">
        <f>IF(NFI_Expiration=1,IF($A410&lt;VLOOKUP(Q$5,NFI,5,0),1,0)*Table_NFI[[#This Row],[Plastic Mat]],Table_NFI[Plastic Mat])*IF(Table_NFI[[#This Row],[Distribution Date]]&gt;"2014-04-01",1,2.5)</f>
        <v>0</v>
      </c>
      <c r="AI410" s="294">
        <f>IF(NFI_Expiration=1,IF($A410&lt;VLOOKUP(R$5,NFI,5,0),1,0)*Table_NFI[[#This Row],[Winter Clothes Adult]],Table_NFI[Winter Clothes Adult])</f>
        <v>0</v>
      </c>
      <c r="AJ410" s="294">
        <f>IF(NFI_Expiration=1,IF($A410&lt;VLOOKUP(S$5,NFI,5,0),1,0)*Table_NFI[[#This Row],[Winter Clothes Children]],Table_NFI[Winter Clothes Children])</f>
        <v>0</v>
      </c>
      <c r="AK410" s="294">
        <f>IF(NFI_Expiration=1,IF($A410&lt;VLOOKUP(T$5,NFI,5,0),1,0)*Table_NFI[[#This Row],[Winter Items Other]],Table_NFI[Winter Items Other])</f>
        <v>0</v>
      </c>
      <c r="AL410" s="294">
        <f>IF(NFI_Expiration=1,IF($A410&lt;VLOOKUP(M$5,NFI,5,0),1,0)*Table_NFI[[#This Row],[Winter Blanket]],Table_NFI[[#This Row],[Winter Blanket]])</f>
        <v>0</v>
      </c>
      <c r="AM410" s="294">
        <f>IF(Table_NFI[[#This Row],[Winter Clothes Adult]]+Table_NFI[[#This Row],[Winter Clothes Children]]+Table_NFI[[#This Row],[Winter Items Other]]+Table_NFI[[#This Row],[Winter Blanket]]&gt;0,1,0)</f>
        <v>0</v>
      </c>
      <c r="AN410" s="331">
        <f>IF(NFI_Expiration=1,IF($A410&lt;VLOOKUP(V$5,NFI,5,0),1,0)*Table_NFI[[#This Row],[Jerry Can]],Table_NFI[Jerry Can])</f>
        <v>0</v>
      </c>
      <c r="AO410" s="331">
        <f>IF(NFI_Expiration=1,IF($A410&lt;VLOOKUP(V$5,NFI,5,0),1,0)*Table_NFI[[#This Row],[Shelter Tool kit]],Table_NFI[Shelter Tool kit])</f>
        <v>0</v>
      </c>
      <c r="AP410" s="331">
        <f>IF(NFI_Expiration=1,IF($A410&lt;VLOOKUP(V$5,NFI,5,0),1,0)*Table_NFI[[#This Row],[Tent]],Table_NFI[Tent])</f>
        <v>0</v>
      </c>
      <c r="AQ410" s="473" t="str">
        <f>IFERROR(VLOOKUP(Table_NFI[[#This Row],[Camp Name]],CL,2,0),"")</f>
        <v>MMR001CMP056</v>
      </c>
      <c r="AR410" s="468">
        <f ca="1">IF(Table_NFI[[#This Row],[Pcode]]="","",IF(OFFSET(CampList[Opening Date],MATCH(Table_NFI[[#This Row],[Pcode]],CampList[CP_Pcode],0)-1,0,1,1)&gt;=NFI_Monitor_Date,1,0))</f>
        <v>0</v>
      </c>
      <c r="AS410" s="473" t="str">
        <f>IFERROR(VLOOKUP(Table_NFI[[#This Row],[Camp Name]],CL,3,0),"")</f>
        <v>Open</v>
      </c>
      <c r="AT410" s="294" t="str">
        <f ca="1">IF(Table_NFI[[#This Row],[Pcode]]="","",OFFSET(CampList[Priority],MATCH(Table_NFI[[#This Row],[Pcode]],CampList[CP_Pcode],0)-1,0,1,1))</f>
        <v>P4</v>
      </c>
      <c r="AU410" s="293">
        <f>IFERROR(Table_NFI[[#This Row],[Kitchen Set]]/VLOOKUP(Table_NFI[[#This Row],[Camp Name]],CL,4,0),"")</f>
        <v>2.2123893805309734E-2</v>
      </c>
      <c r="AV410" s="466" t="s">
        <v>1092</v>
      </c>
      <c r="AW410" s="469"/>
    </row>
    <row r="411" spans="1:49" s="470" customFormat="1" x14ac:dyDescent="0.25">
      <c r="A411" s="297">
        <f t="shared" si="6"/>
        <v>31.233333333333334</v>
      </c>
      <c r="B411" s="465">
        <v>41738</v>
      </c>
      <c r="C411" s="466" t="s">
        <v>1104</v>
      </c>
      <c r="D411" s="466" t="s">
        <v>900</v>
      </c>
      <c r="E411" s="466" t="s">
        <v>380</v>
      </c>
      <c r="F411" s="466" t="s">
        <v>5</v>
      </c>
      <c r="G411" s="466" t="s">
        <v>24</v>
      </c>
      <c r="H411" s="291"/>
      <c r="I411" s="291"/>
      <c r="J411" s="291"/>
      <c r="K411" s="291"/>
      <c r="L411" s="292"/>
      <c r="M411" s="292"/>
      <c r="N411" s="292"/>
      <c r="O411" s="292"/>
      <c r="P411" s="294"/>
      <c r="Q411" s="294"/>
      <c r="R411" s="294"/>
      <c r="S411" s="294"/>
      <c r="T411" s="294"/>
      <c r="U411" s="294">
        <v>122</v>
      </c>
      <c r="V411" s="431"/>
      <c r="W411" s="294"/>
      <c r="X411" s="294"/>
      <c r="Y411" s="294">
        <f>IF(NFI_Expiration=1,IF($A411&lt;VLOOKUP(H$5,NFI,5,0),1,0)*Table_NFI[[#This Row],[Hygiene Kit]],Table_NFI[Hygiene Kit])</f>
        <v>0</v>
      </c>
      <c r="Z411" s="294">
        <f>IF(NFI_Expiration=1,IF($A411&lt;VLOOKUP(I$5,NFI,5,0),1,0)*Table_NFI[[#This Row],[NFI Core Kit]],Table_NFI[NFI Core Kit])</f>
        <v>0</v>
      </c>
      <c r="AA411" s="294">
        <f>IF(NFI_Expiration=1,IF($A411&lt;VLOOKUP(J$5,NFI,5,0),1,0)*Table_NFI[[#This Row],[Sanitary Kit]],Table_NFI[Sanitary Kit])</f>
        <v>0</v>
      </c>
      <c r="AB411" s="294">
        <f>IF(NFI_Expiration=1,IF($A411&lt;VLOOKUP(K$5,NFI,5,0),1,0)*Table_NFI[[#This Row],[Mosquito net]],Table_NFI[Mosquito net])</f>
        <v>0</v>
      </c>
      <c r="AC411" s="294">
        <f>IF(NFI_Expiration=1,IF($A411&lt;VLOOKUP(L$5,NFI,5,0),1,0)*Table_NFI[[#This Row],[Tarpaulin]],Table_NFI[[#This Row],[Tarpaulin]])</f>
        <v>0</v>
      </c>
      <c r="AD411" s="294">
        <f>IF(NFI_Expiration=1,IF($A411&lt;VLOOKUP(M$5,NFI,5,0),1,0)*Table_NFI[[#This Row],[Blanket]],Table_NFI[[#This Row],[Blanket]])</f>
        <v>0</v>
      </c>
      <c r="AE411" s="294">
        <f>IF(NFI_Expiration=1,IF($A411&lt;VLOOKUP(N$5,NFI,5,0),1,0)*Table_NFI[[#This Row],[Kitchen Set]],Table_NFI[Kitchen Set])</f>
        <v>0</v>
      </c>
      <c r="AF411" s="294">
        <f>IF(NFI_Expiration=1,IF($A411&lt;VLOOKUP(O$5,NFI,5,0),1,0)*Table_NFI[[#This Row],[Clothes Kit]],Table_NFI[Clothes Kit])</f>
        <v>0</v>
      </c>
      <c r="AG411" s="294">
        <f>IF(NFI_Expiration=1,IF($A411&lt;VLOOKUP(P$5,NFI,5,0),1,0)*Table_NFI[[#This Row],[Plastic Bucket]],Table_NFI[Plastic Bucket])</f>
        <v>0</v>
      </c>
      <c r="AH411" s="294">
        <f>IF(NFI_Expiration=1,IF($A411&lt;VLOOKUP(Q$5,NFI,5,0),1,0)*Table_NFI[[#This Row],[Plastic Mat]],Table_NFI[Plastic Mat])*IF(Table_NFI[[#This Row],[Distribution Date]]&gt;"2014-04-01",1,2.5)</f>
        <v>0</v>
      </c>
      <c r="AI411" s="294">
        <f>IF(NFI_Expiration=1,IF($A411&lt;VLOOKUP(R$5,NFI,5,0),1,0)*Table_NFI[[#This Row],[Winter Clothes Adult]],Table_NFI[Winter Clothes Adult])</f>
        <v>0</v>
      </c>
      <c r="AJ411" s="294">
        <f>IF(NFI_Expiration=1,IF($A411&lt;VLOOKUP(S$5,NFI,5,0),1,0)*Table_NFI[[#This Row],[Winter Clothes Children]],Table_NFI[Winter Clothes Children])</f>
        <v>0</v>
      </c>
      <c r="AK411" s="294">
        <f>IF(NFI_Expiration=1,IF($A411&lt;VLOOKUP(T$5,NFI,5,0),1,0)*Table_NFI[[#This Row],[Winter Items Other]],Table_NFI[Winter Items Other])</f>
        <v>0</v>
      </c>
      <c r="AL411" s="294">
        <f>IF(NFI_Expiration=1,IF($A411&lt;VLOOKUP(M$5,NFI,5,0),1,0)*Table_NFI[[#This Row],[Winter Blanket]],Table_NFI[[#This Row],[Winter Blanket]])</f>
        <v>0</v>
      </c>
      <c r="AM411" s="294">
        <f>IF(Table_NFI[[#This Row],[Winter Clothes Adult]]+Table_NFI[[#This Row],[Winter Clothes Children]]+Table_NFI[[#This Row],[Winter Items Other]]+Table_NFI[[#This Row],[Winter Blanket]]&gt;0,1,0)</f>
        <v>1</v>
      </c>
      <c r="AN411" s="331">
        <f>IF(NFI_Expiration=1,IF($A411&lt;VLOOKUP(V$5,NFI,5,0),1,0)*Table_NFI[[#This Row],[Jerry Can]],Table_NFI[Jerry Can])</f>
        <v>0</v>
      </c>
      <c r="AO411" s="331">
        <f>IF(NFI_Expiration=1,IF($A411&lt;VLOOKUP(V$5,NFI,5,0),1,0)*Table_NFI[[#This Row],[Shelter Tool kit]],Table_NFI[Shelter Tool kit])</f>
        <v>0</v>
      </c>
      <c r="AP411" s="331">
        <f>IF(NFI_Expiration=1,IF($A411&lt;VLOOKUP(V$5,NFI,5,0),1,0)*Table_NFI[[#This Row],[Tent]],Table_NFI[Tent])</f>
        <v>0</v>
      </c>
      <c r="AQ411" s="473" t="str">
        <f>IFERROR(VLOOKUP(Table_NFI[[#This Row],[Camp Name]],CL,2,0),"")</f>
        <v>MMR001CMP055</v>
      </c>
      <c r="AR411" s="468">
        <f ca="1">IF(Table_NFI[[#This Row],[Pcode]]="","",IF(OFFSET(CampList[Opening Date],MATCH(Table_NFI[[#This Row],[Pcode]],CampList[CP_Pcode],0)-1,0,1,1)&gt;=NFI_Monitor_Date,1,0))</f>
        <v>0</v>
      </c>
      <c r="AS411" s="473" t="str">
        <f>IFERROR(VLOOKUP(Table_NFI[[#This Row],[Camp Name]],CL,3,0),"")</f>
        <v>Open</v>
      </c>
      <c r="AT411" s="294" t="str">
        <f ca="1">IF(Table_NFI[[#This Row],[Pcode]]="","",OFFSET(CampList[Priority],MATCH(Table_NFI[[#This Row],[Pcode]],CampList[CP_Pcode],0)-1,0,1,1))</f>
        <v>P4</v>
      </c>
      <c r="AU411" s="293">
        <f>IFERROR(Table_NFI[[#This Row],[Kitchen Set]]/VLOOKUP(Table_NFI[[#This Row],[Camp Name]],CL,4,0),"")</f>
        <v>0</v>
      </c>
      <c r="AV411" s="466"/>
      <c r="AW411" s="469"/>
    </row>
    <row r="412" spans="1:49" s="470" customFormat="1" x14ac:dyDescent="0.25">
      <c r="A412" s="297">
        <f t="shared" si="6"/>
        <v>31.233333333333334</v>
      </c>
      <c r="B412" s="465">
        <v>41738</v>
      </c>
      <c r="C412" s="466" t="s">
        <v>1104</v>
      </c>
      <c r="D412" s="466" t="s">
        <v>900</v>
      </c>
      <c r="E412" s="466" t="s">
        <v>380</v>
      </c>
      <c r="F412" s="466" t="s">
        <v>5</v>
      </c>
      <c r="G412" s="466" t="s">
        <v>26</v>
      </c>
      <c r="H412" s="291"/>
      <c r="I412" s="291"/>
      <c r="J412" s="291"/>
      <c r="K412" s="291"/>
      <c r="L412" s="292"/>
      <c r="M412" s="292"/>
      <c r="N412" s="292"/>
      <c r="O412" s="292"/>
      <c r="P412" s="294"/>
      <c r="Q412" s="294"/>
      <c r="R412" s="294"/>
      <c r="S412" s="294"/>
      <c r="T412" s="294"/>
      <c r="U412" s="294">
        <v>42</v>
      </c>
      <c r="V412" s="431"/>
      <c r="W412" s="294"/>
      <c r="X412" s="294"/>
      <c r="Y412" s="294">
        <f>IF(NFI_Expiration=1,IF($A412&lt;VLOOKUP(H$5,NFI,5,0),1,0)*Table_NFI[[#This Row],[Hygiene Kit]],Table_NFI[Hygiene Kit])</f>
        <v>0</v>
      </c>
      <c r="Z412" s="294">
        <f>IF(NFI_Expiration=1,IF($A412&lt;VLOOKUP(I$5,NFI,5,0),1,0)*Table_NFI[[#This Row],[NFI Core Kit]],Table_NFI[NFI Core Kit])</f>
        <v>0</v>
      </c>
      <c r="AA412" s="294">
        <f>IF(NFI_Expiration=1,IF($A412&lt;VLOOKUP(J$5,NFI,5,0),1,0)*Table_NFI[[#This Row],[Sanitary Kit]],Table_NFI[Sanitary Kit])</f>
        <v>0</v>
      </c>
      <c r="AB412" s="294">
        <f>IF(NFI_Expiration=1,IF($A412&lt;VLOOKUP(K$5,NFI,5,0),1,0)*Table_NFI[[#This Row],[Mosquito net]],Table_NFI[Mosquito net])</f>
        <v>0</v>
      </c>
      <c r="AC412" s="294">
        <f>IF(NFI_Expiration=1,IF($A412&lt;VLOOKUP(L$5,NFI,5,0),1,0)*Table_NFI[[#This Row],[Tarpaulin]],Table_NFI[[#This Row],[Tarpaulin]])</f>
        <v>0</v>
      </c>
      <c r="AD412" s="294">
        <f>IF(NFI_Expiration=1,IF($A412&lt;VLOOKUP(M$5,NFI,5,0),1,0)*Table_NFI[[#This Row],[Blanket]],Table_NFI[[#This Row],[Blanket]])</f>
        <v>0</v>
      </c>
      <c r="AE412" s="294">
        <f>IF(NFI_Expiration=1,IF($A412&lt;VLOOKUP(N$5,NFI,5,0),1,0)*Table_NFI[[#This Row],[Kitchen Set]],Table_NFI[Kitchen Set])</f>
        <v>0</v>
      </c>
      <c r="AF412" s="294">
        <f>IF(NFI_Expiration=1,IF($A412&lt;VLOOKUP(O$5,NFI,5,0),1,0)*Table_NFI[[#This Row],[Clothes Kit]],Table_NFI[Clothes Kit])</f>
        <v>0</v>
      </c>
      <c r="AG412" s="294">
        <f>IF(NFI_Expiration=1,IF($A412&lt;VLOOKUP(P$5,NFI,5,0),1,0)*Table_NFI[[#This Row],[Plastic Bucket]],Table_NFI[Plastic Bucket])</f>
        <v>0</v>
      </c>
      <c r="AH412" s="294">
        <f>IF(NFI_Expiration=1,IF($A412&lt;VLOOKUP(Q$5,NFI,5,0),1,0)*Table_NFI[[#This Row],[Plastic Mat]],Table_NFI[Plastic Mat])*IF(Table_NFI[[#This Row],[Distribution Date]]&gt;"2014-04-01",1,2.5)</f>
        <v>0</v>
      </c>
      <c r="AI412" s="294">
        <f>IF(NFI_Expiration=1,IF($A412&lt;VLOOKUP(R$5,NFI,5,0),1,0)*Table_NFI[[#This Row],[Winter Clothes Adult]],Table_NFI[Winter Clothes Adult])</f>
        <v>0</v>
      </c>
      <c r="AJ412" s="294">
        <f>IF(NFI_Expiration=1,IF($A412&lt;VLOOKUP(S$5,NFI,5,0),1,0)*Table_NFI[[#This Row],[Winter Clothes Children]],Table_NFI[Winter Clothes Children])</f>
        <v>0</v>
      </c>
      <c r="AK412" s="294">
        <f>IF(NFI_Expiration=1,IF($A412&lt;VLOOKUP(T$5,NFI,5,0),1,0)*Table_NFI[[#This Row],[Winter Items Other]],Table_NFI[Winter Items Other])</f>
        <v>0</v>
      </c>
      <c r="AL412" s="294">
        <f>IF(NFI_Expiration=1,IF($A412&lt;VLOOKUP(M$5,NFI,5,0),1,0)*Table_NFI[[#This Row],[Winter Blanket]],Table_NFI[[#This Row],[Winter Blanket]])</f>
        <v>0</v>
      </c>
      <c r="AM412" s="294">
        <f>IF(Table_NFI[[#This Row],[Winter Clothes Adult]]+Table_NFI[[#This Row],[Winter Clothes Children]]+Table_NFI[[#This Row],[Winter Items Other]]+Table_NFI[[#This Row],[Winter Blanket]]&gt;0,1,0)</f>
        <v>1</v>
      </c>
      <c r="AN412" s="331">
        <f>IF(NFI_Expiration=1,IF($A412&lt;VLOOKUP(V$5,NFI,5,0),1,0)*Table_NFI[[#This Row],[Jerry Can]],Table_NFI[Jerry Can])</f>
        <v>0</v>
      </c>
      <c r="AO412" s="331">
        <f>IF(NFI_Expiration=1,IF($A412&lt;VLOOKUP(V$5,NFI,5,0),1,0)*Table_NFI[[#This Row],[Shelter Tool kit]],Table_NFI[Shelter Tool kit])</f>
        <v>0</v>
      </c>
      <c r="AP412" s="331">
        <f>IF(NFI_Expiration=1,IF($A412&lt;VLOOKUP(V$5,NFI,5,0),1,0)*Table_NFI[[#This Row],[Tent]],Table_NFI[Tent])</f>
        <v>0</v>
      </c>
      <c r="AQ412" s="473" t="str">
        <f>IFERROR(VLOOKUP(Table_NFI[[#This Row],[Camp Name]],CL,2,0),"")</f>
        <v>MMR001CMP053</v>
      </c>
      <c r="AR412" s="468">
        <f ca="1">IF(Table_NFI[[#This Row],[Pcode]]="","",IF(OFFSET(CampList[Opening Date],MATCH(Table_NFI[[#This Row],[Pcode]],CampList[CP_Pcode],0)-1,0,1,1)&gt;=NFI_Monitor_Date,1,0))</f>
        <v>0</v>
      </c>
      <c r="AS412" s="473" t="str">
        <f>IFERROR(VLOOKUP(Table_NFI[[#This Row],[Camp Name]],CL,3,0),"")</f>
        <v>Open</v>
      </c>
      <c r="AT412" s="294" t="str">
        <f ca="1">IF(Table_NFI[[#This Row],[Pcode]]="","",OFFSET(CampList[Priority],MATCH(Table_NFI[[#This Row],[Pcode]],CampList[CP_Pcode],0)-1,0,1,1))</f>
        <v>P4</v>
      </c>
      <c r="AU412" s="293">
        <f>IFERROR(Table_NFI[[#This Row],[Kitchen Set]]/VLOOKUP(Table_NFI[[#This Row],[Camp Name]],CL,4,0),"")</f>
        <v>0</v>
      </c>
      <c r="AV412" s="466"/>
      <c r="AW412" s="469"/>
    </row>
    <row r="413" spans="1:49" s="470" customFormat="1" ht="14.45" customHeight="1" x14ac:dyDescent="0.25">
      <c r="A413" s="297">
        <f t="shared" si="6"/>
        <v>31.266666666666666</v>
      </c>
      <c r="B413" s="465">
        <v>41737</v>
      </c>
      <c r="C413" s="466" t="s">
        <v>1104</v>
      </c>
      <c r="D413" s="466" t="s">
        <v>900</v>
      </c>
      <c r="E413" s="466" t="s">
        <v>380</v>
      </c>
      <c r="F413" s="466" t="s">
        <v>5</v>
      </c>
      <c r="G413" s="466" t="s">
        <v>14</v>
      </c>
      <c r="H413" s="291"/>
      <c r="I413" s="291"/>
      <c r="J413" s="291"/>
      <c r="K413" s="291"/>
      <c r="L413" s="292"/>
      <c r="M413" s="292"/>
      <c r="N413" s="292"/>
      <c r="O413" s="292"/>
      <c r="P413" s="294"/>
      <c r="Q413" s="294"/>
      <c r="R413" s="294"/>
      <c r="S413" s="294"/>
      <c r="T413" s="294"/>
      <c r="U413" s="294">
        <v>90</v>
      </c>
      <c r="V413" s="431"/>
      <c r="W413" s="294"/>
      <c r="X413" s="294"/>
      <c r="Y413" s="294">
        <f>IF(NFI_Expiration=1,IF($A413&lt;VLOOKUP(H$5,NFI,5,0),1,0)*Table_NFI[[#This Row],[Hygiene Kit]],Table_NFI[Hygiene Kit])</f>
        <v>0</v>
      </c>
      <c r="Z413" s="294">
        <f>IF(NFI_Expiration=1,IF($A413&lt;VLOOKUP(I$5,NFI,5,0),1,0)*Table_NFI[[#This Row],[NFI Core Kit]],Table_NFI[NFI Core Kit])</f>
        <v>0</v>
      </c>
      <c r="AA413" s="294">
        <f>IF(NFI_Expiration=1,IF($A413&lt;VLOOKUP(J$5,NFI,5,0),1,0)*Table_NFI[[#This Row],[Sanitary Kit]],Table_NFI[Sanitary Kit])</f>
        <v>0</v>
      </c>
      <c r="AB413" s="294">
        <f>IF(NFI_Expiration=1,IF($A413&lt;VLOOKUP(K$5,NFI,5,0),1,0)*Table_NFI[[#This Row],[Mosquito net]],Table_NFI[Mosquito net])</f>
        <v>0</v>
      </c>
      <c r="AC413" s="294">
        <f>IF(NFI_Expiration=1,IF($A413&lt;VLOOKUP(L$5,NFI,5,0),1,0)*Table_NFI[[#This Row],[Tarpaulin]],Table_NFI[[#This Row],[Tarpaulin]])</f>
        <v>0</v>
      </c>
      <c r="AD413" s="294">
        <f>IF(NFI_Expiration=1,IF($A413&lt;VLOOKUP(M$5,NFI,5,0),1,0)*Table_NFI[[#This Row],[Blanket]],Table_NFI[[#This Row],[Blanket]])</f>
        <v>0</v>
      </c>
      <c r="AE413" s="294">
        <f>IF(NFI_Expiration=1,IF($A413&lt;VLOOKUP(N$5,NFI,5,0),1,0)*Table_NFI[[#This Row],[Kitchen Set]],Table_NFI[Kitchen Set])</f>
        <v>0</v>
      </c>
      <c r="AF413" s="294">
        <f>IF(NFI_Expiration=1,IF($A413&lt;VLOOKUP(O$5,NFI,5,0),1,0)*Table_NFI[[#This Row],[Clothes Kit]],Table_NFI[Clothes Kit])</f>
        <v>0</v>
      </c>
      <c r="AG413" s="294">
        <f>IF(NFI_Expiration=1,IF($A413&lt;VLOOKUP(P$5,NFI,5,0),1,0)*Table_NFI[[#This Row],[Plastic Bucket]],Table_NFI[Plastic Bucket])</f>
        <v>0</v>
      </c>
      <c r="AH413" s="294">
        <f>IF(NFI_Expiration=1,IF($A413&lt;VLOOKUP(Q$5,NFI,5,0),1,0)*Table_NFI[[#This Row],[Plastic Mat]],Table_NFI[Plastic Mat])*IF(Table_NFI[[#This Row],[Distribution Date]]&gt;"2014-04-01",1,2.5)</f>
        <v>0</v>
      </c>
      <c r="AI413" s="294">
        <f>IF(NFI_Expiration=1,IF($A413&lt;VLOOKUP(R$5,NFI,5,0),1,0)*Table_NFI[[#This Row],[Winter Clothes Adult]],Table_NFI[Winter Clothes Adult])</f>
        <v>0</v>
      </c>
      <c r="AJ413" s="294">
        <f>IF(NFI_Expiration=1,IF($A413&lt;VLOOKUP(S$5,NFI,5,0),1,0)*Table_NFI[[#This Row],[Winter Clothes Children]],Table_NFI[Winter Clothes Children])</f>
        <v>0</v>
      </c>
      <c r="AK413" s="294">
        <f>IF(NFI_Expiration=1,IF($A413&lt;VLOOKUP(T$5,NFI,5,0),1,0)*Table_NFI[[#This Row],[Winter Items Other]],Table_NFI[Winter Items Other])</f>
        <v>0</v>
      </c>
      <c r="AL413" s="294">
        <f>IF(NFI_Expiration=1,IF($A413&lt;VLOOKUP(M$5,NFI,5,0),1,0)*Table_NFI[[#This Row],[Winter Blanket]],Table_NFI[[#This Row],[Winter Blanket]])</f>
        <v>0</v>
      </c>
      <c r="AM413" s="294">
        <f>IF(Table_NFI[[#This Row],[Winter Clothes Adult]]+Table_NFI[[#This Row],[Winter Clothes Children]]+Table_NFI[[#This Row],[Winter Items Other]]+Table_NFI[[#This Row],[Winter Blanket]]&gt;0,1,0)</f>
        <v>1</v>
      </c>
      <c r="AN413" s="331">
        <f>IF(NFI_Expiration=1,IF($A413&lt;VLOOKUP(V$5,NFI,5,0),1,0)*Table_NFI[[#This Row],[Jerry Can]],Table_NFI[Jerry Can])</f>
        <v>0</v>
      </c>
      <c r="AO413" s="331">
        <f>IF(NFI_Expiration=1,IF($A413&lt;VLOOKUP(V$5,NFI,5,0),1,0)*Table_NFI[[#This Row],[Shelter Tool kit]],Table_NFI[Shelter Tool kit])</f>
        <v>0</v>
      </c>
      <c r="AP413" s="331">
        <f>IF(NFI_Expiration=1,IF($A413&lt;VLOOKUP(V$5,NFI,5,0),1,0)*Table_NFI[[#This Row],[Tent]],Table_NFI[Tent])</f>
        <v>0</v>
      </c>
      <c r="AQ413" s="473" t="str">
        <f>IFERROR(VLOOKUP(Table_NFI[[#This Row],[Camp Name]],CL,2,0),"")</f>
        <v>MMR001CMP052</v>
      </c>
      <c r="AR413" s="468">
        <f ca="1">IF(Table_NFI[[#This Row],[Pcode]]="","",IF(OFFSET(CampList[Opening Date],MATCH(Table_NFI[[#This Row],[Pcode]],CampList[CP_Pcode],0)-1,0,1,1)&gt;=NFI_Monitor_Date,1,0))</f>
        <v>0</v>
      </c>
      <c r="AS413" s="473" t="str">
        <f>IFERROR(VLOOKUP(Table_NFI[[#This Row],[Camp Name]],CL,3,0),"")</f>
        <v>Open</v>
      </c>
      <c r="AT413" s="294" t="str">
        <f ca="1">IF(Table_NFI[[#This Row],[Pcode]]="","",OFFSET(CampList[Priority],MATCH(Table_NFI[[#This Row],[Pcode]],CampList[CP_Pcode],0)-1,0,1,1))</f>
        <v>P4</v>
      </c>
      <c r="AU413" s="293">
        <f>IFERROR(Table_NFI[[#This Row],[Kitchen Set]]/VLOOKUP(Table_NFI[[#This Row],[Camp Name]],CL,4,0),"")</f>
        <v>0</v>
      </c>
      <c r="AV413" s="466"/>
      <c r="AW413" s="469"/>
    </row>
    <row r="414" spans="1:49" s="470" customFormat="1" ht="14.45" customHeight="1" x14ac:dyDescent="0.25">
      <c r="A414" s="297">
        <f t="shared" si="6"/>
        <v>31.266666666666666</v>
      </c>
      <c r="B414" s="465">
        <v>41737</v>
      </c>
      <c r="C414" s="466" t="s">
        <v>1104</v>
      </c>
      <c r="D414" s="466" t="s">
        <v>900</v>
      </c>
      <c r="E414" s="466" t="s">
        <v>380</v>
      </c>
      <c r="F414" s="466" t="s">
        <v>185</v>
      </c>
      <c r="G414" s="466" t="s">
        <v>207</v>
      </c>
      <c r="H414" s="291"/>
      <c r="I414" s="291"/>
      <c r="J414" s="291"/>
      <c r="K414" s="291"/>
      <c r="L414" s="292"/>
      <c r="M414" s="292"/>
      <c r="N414" s="292"/>
      <c r="O414" s="292"/>
      <c r="P414" s="294"/>
      <c r="Q414" s="294"/>
      <c r="R414" s="294"/>
      <c r="S414" s="294"/>
      <c r="T414" s="294"/>
      <c r="U414" s="294">
        <v>10</v>
      </c>
      <c r="V414" s="431"/>
      <c r="W414" s="294"/>
      <c r="X414" s="294"/>
      <c r="Y414" s="294">
        <f>IF(NFI_Expiration=1,IF($A414&lt;VLOOKUP(H$5,NFI,5,0),1,0)*Table_NFI[[#This Row],[Hygiene Kit]],Table_NFI[Hygiene Kit])</f>
        <v>0</v>
      </c>
      <c r="Z414" s="294">
        <f>IF(NFI_Expiration=1,IF($A414&lt;VLOOKUP(I$5,NFI,5,0),1,0)*Table_NFI[[#This Row],[NFI Core Kit]],Table_NFI[NFI Core Kit])</f>
        <v>0</v>
      </c>
      <c r="AA414" s="294">
        <f>IF(NFI_Expiration=1,IF($A414&lt;VLOOKUP(J$5,NFI,5,0),1,0)*Table_NFI[[#This Row],[Sanitary Kit]],Table_NFI[Sanitary Kit])</f>
        <v>0</v>
      </c>
      <c r="AB414" s="294">
        <f>IF(NFI_Expiration=1,IF($A414&lt;VLOOKUP(K$5,NFI,5,0),1,0)*Table_NFI[[#This Row],[Mosquito net]],Table_NFI[Mosquito net])</f>
        <v>0</v>
      </c>
      <c r="AC414" s="294">
        <f>IF(NFI_Expiration=1,IF($A414&lt;VLOOKUP(L$5,NFI,5,0),1,0)*Table_NFI[[#This Row],[Tarpaulin]],Table_NFI[[#This Row],[Tarpaulin]])</f>
        <v>0</v>
      </c>
      <c r="AD414" s="294">
        <f>IF(NFI_Expiration=1,IF($A414&lt;VLOOKUP(M$5,NFI,5,0),1,0)*Table_NFI[[#This Row],[Blanket]],Table_NFI[[#This Row],[Blanket]])</f>
        <v>0</v>
      </c>
      <c r="AE414" s="294">
        <f>IF(NFI_Expiration=1,IF($A414&lt;VLOOKUP(N$5,NFI,5,0),1,0)*Table_NFI[[#This Row],[Kitchen Set]],Table_NFI[Kitchen Set])</f>
        <v>0</v>
      </c>
      <c r="AF414" s="294">
        <f>IF(NFI_Expiration=1,IF($A414&lt;VLOOKUP(O$5,NFI,5,0),1,0)*Table_NFI[[#This Row],[Clothes Kit]],Table_NFI[Clothes Kit])</f>
        <v>0</v>
      </c>
      <c r="AG414" s="294">
        <f>IF(NFI_Expiration=1,IF($A414&lt;VLOOKUP(P$5,NFI,5,0),1,0)*Table_NFI[[#This Row],[Plastic Bucket]],Table_NFI[Plastic Bucket])</f>
        <v>0</v>
      </c>
      <c r="AH414" s="294">
        <f>IF(NFI_Expiration=1,IF($A414&lt;VLOOKUP(Q$5,NFI,5,0),1,0)*Table_NFI[[#This Row],[Plastic Mat]],Table_NFI[Plastic Mat])*IF(Table_NFI[[#This Row],[Distribution Date]]&gt;"2014-04-01",1,2.5)</f>
        <v>0</v>
      </c>
      <c r="AI414" s="294">
        <f>IF(NFI_Expiration=1,IF($A414&lt;VLOOKUP(R$5,NFI,5,0),1,0)*Table_NFI[[#This Row],[Winter Clothes Adult]],Table_NFI[Winter Clothes Adult])</f>
        <v>0</v>
      </c>
      <c r="AJ414" s="294">
        <f>IF(NFI_Expiration=1,IF($A414&lt;VLOOKUP(S$5,NFI,5,0),1,0)*Table_NFI[[#This Row],[Winter Clothes Children]],Table_NFI[Winter Clothes Children])</f>
        <v>0</v>
      </c>
      <c r="AK414" s="294">
        <f>IF(NFI_Expiration=1,IF($A414&lt;VLOOKUP(T$5,NFI,5,0),1,0)*Table_NFI[[#This Row],[Winter Items Other]],Table_NFI[Winter Items Other])</f>
        <v>0</v>
      </c>
      <c r="AL414" s="294">
        <f>IF(NFI_Expiration=1,IF($A414&lt;VLOOKUP(M$5,NFI,5,0),1,0)*Table_NFI[[#This Row],[Winter Blanket]],Table_NFI[[#This Row],[Winter Blanket]])</f>
        <v>0</v>
      </c>
      <c r="AM414" s="294">
        <f>IF(Table_NFI[[#This Row],[Winter Clothes Adult]]+Table_NFI[[#This Row],[Winter Clothes Children]]+Table_NFI[[#This Row],[Winter Items Other]]+Table_NFI[[#This Row],[Winter Blanket]]&gt;0,1,0)</f>
        <v>1</v>
      </c>
      <c r="AN414" s="331">
        <f>IF(NFI_Expiration=1,IF($A414&lt;VLOOKUP(V$5,NFI,5,0),1,0)*Table_NFI[[#This Row],[Jerry Can]],Table_NFI[Jerry Can])</f>
        <v>0</v>
      </c>
      <c r="AO414" s="331">
        <f>IF(NFI_Expiration=1,IF($A414&lt;VLOOKUP(V$5,NFI,5,0),1,0)*Table_NFI[[#This Row],[Shelter Tool kit]],Table_NFI[Shelter Tool kit])</f>
        <v>0</v>
      </c>
      <c r="AP414" s="331">
        <f>IF(NFI_Expiration=1,IF($A414&lt;VLOOKUP(V$5,NFI,5,0),1,0)*Table_NFI[[#This Row],[Tent]],Table_NFI[Tent])</f>
        <v>0</v>
      </c>
      <c r="AQ414" s="473" t="str">
        <f>IFERROR(VLOOKUP(Table_NFI[[#This Row],[Camp Name]],CL,2,0),"")</f>
        <v>MMR001CMP058</v>
      </c>
      <c r="AR414" s="468">
        <f ca="1">IF(Table_NFI[[#This Row],[Pcode]]="","",IF(OFFSET(CampList[Opening Date],MATCH(Table_NFI[[#This Row],[Pcode]],CampList[CP_Pcode],0)-1,0,1,1)&gt;=NFI_Monitor_Date,1,0))</f>
        <v>0</v>
      </c>
      <c r="AS414" s="473" t="s">
        <v>843</v>
      </c>
      <c r="AT414" s="294" t="str">
        <f ca="1">IF(Table_NFI[[#This Row],[Pcode]]="","",OFFSET(CampList[Priority],MATCH(Table_NFI[[#This Row],[Pcode]],CampList[CP_Pcode],0)-1,0,1,1))</f>
        <v>P4</v>
      </c>
      <c r="AU414" s="293" t="str">
        <f>IFERROR(Table_NFI[[#This Row],[Kitchen Set]]/VLOOKUP(Table_NFI[[#This Row],[Camp Name]],CL,4,0),"")</f>
        <v/>
      </c>
      <c r="AV414" s="466"/>
      <c r="AW414" s="469"/>
    </row>
    <row r="415" spans="1:49" s="470" customFormat="1" ht="14.45" customHeight="1" x14ac:dyDescent="0.25">
      <c r="A415" s="297">
        <f t="shared" si="6"/>
        <v>31.266666666666666</v>
      </c>
      <c r="B415" s="465">
        <v>41737</v>
      </c>
      <c r="C415" s="466" t="s">
        <v>1104</v>
      </c>
      <c r="D415" s="466" t="s">
        <v>900</v>
      </c>
      <c r="E415" s="466" t="s">
        <v>380</v>
      </c>
      <c r="F415" s="466" t="s">
        <v>185</v>
      </c>
      <c r="G415" s="466" t="s">
        <v>217</v>
      </c>
      <c r="H415" s="291"/>
      <c r="I415" s="291"/>
      <c r="J415" s="291"/>
      <c r="K415" s="291"/>
      <c r="L415" s="292"/>
      <c r="M415" s="292"/>
      <c r="N415" s="292"/>
      <c r="O415" s="292"/>
      <c r="P415" s="294"/>
      <c r="Q415" s="294"/>
      <c r="R415" s="294"/>
      <c r="S415" s="294"/>
      <c r="T415" s="294"/>
      <c r="U415" s="294">
        <v>46</v>
      </c>
      <c r="V415" s="431"/>
      <c r="W415" s="294"/>
      <c r="X415" s="294"/>
      <c r="Y415" s="294">
        <f>IF(NFI_Expiration=1,IF($A415&lt;VLOOKUP(H$5,NFI,5,0),1,0)*Table_NFI[[#This Row],[Hygiene Kit]],Table_NFI[Hygiene Kit])</f>
        <v>0</v>
      </c>
      <c r="Z415" s="294">
        <f>IF(NFI_Expiration=1,IF($A415&lt;VLOOKUP(I$5,NFI,5,0),1,0)*Table_NFI[[#This Row],[NFI Core Kit]],Table_NFI[NFI Core Kit])</f>
        <v>0</v>
      </c>
      <c r="AA415" s="294">
        <f>IF(NFI_Expiration=1,IF($A415&lt;VLOOKUP(J$5,NFI,5,0),1,0)*Table_NFI[[#This Row],[Sanitary Kit]],Table_NFI[Sanitary Kit])</f>
        <v>0</v>
      </c>
      <c r="AB415" s="294">
        <f>IF(NFI_Expiration=1,IF($A415&lt;VLOOKUP(K$5,NFI,5,0),1,0)*Table_NFI[[#This Row],[Mosquito net]],Table_NFI[Mosquito net])</f>
        <v>0</v>
      </c>
      <c r="AC415" s="294">
        <f>IF(NFI_Expiration=1,IF($A415&lt;VLOOKUP(L$5,NFI,5,0),1,0)*Table_NFI[[#This Row],[Tarpaulin]],Table_NFI[[#This Row],[Tarpaulin]])</f>
        <v>0</v>
      </c>
      <c r="AD415" s="294">
        <f>IF(NFI_Expiration=1,IF($A415&lt;VLOOKUP(M$5,NFI,5,0),1,0)*Table_NFI[[#This Row],[Blanket]],Table_NFI[[#This Row],[Blanket]])</f>
        <v>0</v>
      </c>
      <c r="AE415" s="294">
        <f>IF(NFI_Expiration=1,IF($A415&lt;VLOOKUP(N$5,NFI,5,0),1,0)*Table_NFI[[#This Row],[Kitchen Set]],Table_NFI[Kitchen Set])</f>
        <v>0</v>
      </c>
      <c r="AF415" s="294">
        <f>IF(NFI_Expiration=1,IF($A415&lt;VLOOKUP(O$5,NFI,5,0),1,0)*Table_NFI[[#This Row],[Clothes Kit]],Table_NFI[Clothes Kit])</f>
        <v>0</v>
      </c>
      <c r="AG415" s="294">
        <f>IF(NFI_Expiration=1,IF($A415&lt;VLOOKUP(P$5,NFI,5,0),1,0)*Table_NFI[[#This Row],[Plastic Bucket]],Table_NFI[Plastic Bucket])</f>
        <v>0</v>
      </c>
      <c r="AH415" s="294">
        <f>IF(NFI_Expiration=1,IF($A415&lt;VLOOKUP(Q$5,NFI,5,0),1,0)*Table_NFI[[#This Row],[Plastic Mat]],Table_NFI[Plastic Mat])*IF(Table_NFI[[#This Row],[Distribution Date]]&gt;"2014-04-01",1,2.5)</f>
        <v>0</v>
      </c>
      <c r="AI415" s="294">
        <f>IF(NFI_Expiration=1,IF($A415&lt;VLOOKUP(R$5,NFI,5,0),1,0)*Table_NFI[[#This Row],[Winter Clothes Adult]],Table_NFI[Winter Clothes Adult])</f>
        <v>0</v>
      </c>
      <c r="AJ415" s="294">
        <f>IF(NFI_Expiration=1,IF($A415&lt;VLOOKUP(S$5,NFI,5,0),1,0)*Table_NFI[[#This Row],[Winter Clothes Children]],Table_NFI[Winter Clothes Children])</f>
        <v>0</v>
      </c>
      <c r="AK415" s="294">
        <f>IF(NFI_Expiration=1,IF($A415&lt;VLOOKUP(T$5,NFI,5,0),1,0)*Table_NFI[[#This Row],[Winter Items Other]],Table_NFI[Winter Items Other])</f>
        <v>0</v>
      </c>
      <c r="AL415" s="294">
        <f>IF(NFI_Expiration=1,IF($A415&lt;VLOOKUP(M$5,NFI,5,0),1,0)*Table_NFI[[#This Row],[Winter Blanket]],Table_NFI[[#This Row],[Winter Blanket]])</f>
        <v>0</v>
      </c>
      <c r="AM415" s="294">
        <f>IF(Table_NFI[[#This Row],[Winter Clothes Adult]]+Table_NFI[[#This Row],[Winter Clothes Children]]+Table_NFI[[#This Row],[Winter Items Other]]+Table_NFI[[#This Row],[Winter Blanket]]&gt;0,1,0)</f>
        <v>1</v>
      </c>
      <c r="AN415" s="331">
        <f>IF(NFI_Expiration=1,IF($A415&lt;VLOOKUP(V$5,NFI,5,0),1,0)*Table_NFI[[#This Row],[Jerry Can]],Table_NFI[Jerry Can])</f>
        <v>0</v>
      </c>
      <c r="AO415" s="331">
        <f>IF(NFI_Expiration=1,IF($A415&lt;VLOOKUP(V$5,NFI,5,0),1,0)*Table_NFI[[#This Row],[Shelter Tool kit]],Table_NFI[Shelter Tool kit])</f>
        <v>0</v>
      </c>
      <c r="AP415" s="331">
        <f>IF(NFI_Expiration=1,IF($A415&lt;VLOOKUP(V$5,NFI,5,0),1,0)*Table_NFI[[#This Row],[Tent]],Table_NFI[Tent])</f>
        <v>0</v>
      </c>
      <c r="AQ415" s="473" t="str">
        <f>IFERROR(VLOOKUP(Table_NFI[[#This Row],[Camp Name]],CL,2,0),"")</f>
        <v>MMR001CMP059</v>
      </c>
      <c r="AR415" s="468">
        <f ca="1">IF(Table_NFI[[#This Row],[Pcode]]="","",IF(OFFSET(CampList[Opening Date],MATCH(Table_NFI[[#This Row],[Pcode]],CampList[CP_Pcode],0)-1,0,1,1)&gt;=NFI_Monitor_Date,1,0))</f>
        <v>0</v>
      </c>
      <c r="AS415" s="473" t="str">
        <f>IFERROR(VLOOKUP(Table_NFI[[#This Row],[Camp Name]],CL,3,0),"")</f>
        <v>Closed</v>
      </c>
      <c r="AT415" s="294" t="str">
        <f ca="1">IF(Table_NFI[[#This Row],[Pcode]]="","",OFFSET(CampList[Priority],MATCH(Table_NFI[[#This Row],[Pcode]],CampList[CP_Pcode],0)-1,0,1,1))</f>
        <v>P4</v>
      </c>
      <c r="AU415" s="293" t="str">
        <f>IFERROR(Table_NFI[[#This Row],[Kitchen Set]]/VLOOKUP(Table_NFI[[#This Row],[Camp Name]],CL,4,0),"")</f>
        <v/>
      </c>
      <c r="AV415" s="466"/>
      <c r="AW415" s="469"/>
    </row>
    <row r="416" spans="1:49" s="470" customFormat="1" ht="14.45" customHeight="1" x14ac:dyDescent="0.25">
      <c r="A416" s="297">
        <f t="shared" si="6"/>
        <v>31.266666666666666</v>
      </c>
      <c r="B416" s="465">
        <v>41737</v>
      </c>
      <c r="C416" s="466" t="s">
        <v>1104</v>
      </c>
      <c r="D416" s="466" t="s">
        <v>900</v>
      </c>
      <c r="E416" s="466" t="s">
        <v>380</v>
      </c>
      <c r="F416" s="466" t="s">
        <v>5</v>
      </c>
      <c r="G416" s="466" t="s">
        <v>366</v>
      </c>
      <c r="H416" s="291"/>
      <c r="I416" s="291"/>
      <c r="J416" s="291"/>
      <c r="K416" s="291"/>
      <c r="L416" s="292"/>
      <c r="M416" s="292"/>
      <c r="N416" s="292"/>
      <c r="O416" s="292"/>
      <c r="P416" s="294"/>
      <c r="Q416" s="294"/>
      <c r="R416" s="294"/>
      <c r="S416" s="294"/>
      <c r="T416" s="294"/>
      <c r="U416" s="294">
        <v>372</v>
      </c>
      <c r="V416" s="431"/>
      <c r="W416" s="294"/>
      <c r="X416" s="294"/>
      <c r="Y416" s="294">
        <f>IF(NFI_Expiration=1,IF($A416&lt;VLOOKUP(H$5,NFI,5,0),1,0)*Table_NFI[[#This Row],[Hygiene Kit]],Table_NFI[Hygiene Kit])</f>
        <v>0</v>
      </c>
      <c r="Z416" s="294">
        <f>IF(NFI_Expiration=1,IF($A416&lt;VLOOKUP(I$5,NFI,5,0),1,0)*Table_NFI[[#This Row],[NFI Core Kit]],Table_NFI[NFI Core Kit])</f>
        <v>0</v>
      </c>
      <c r="AA416" s="294">
        <f>IF(NFI_Expiration=1,IF($A416&lt;VLOOKUP(J$5,NFI,5,0),1,0)*Table_NFI[[#This Row],[Sanitary Kit]],Table_NFI[Sanitary Kit])</f>
        <v>0</v>
      </c>
      <c r="AB416" s="294">
        <f>IF(NFI_Expiration=1,IF($A416&lt;VLOOKUP(K$5,NFI,5,0),1,0)*Table_NFI[[#This Row],[Mosquito net]],Table_NFI[Mosquito net])</f>
        <v>0</v>
      </c>
      <c r="AC416" s="294">
        <f>IF(NFI_Expiration=1,IF($A416&lt;VLOOKUP(L$5,NFI,5,0),1,0)*Table_NFI[[#This Row],[Tarpaulin]],Table_NFI[[#This Row],[Tarpaulin]])</f>
        <v>0</v>
      </c>
      <c r="AD416" s="294">
        <f>IF(NFI_Expiration=1,IF($A416&lt;VLOOKUP(M$5,NFI,5,0),1,0)*Table_NFI[[#This Row],[Blanket]],Table_NFI[[#This Row],[Blanket]])</f>
        <v>0</v>
      </c>
      <c r="AE416" s="294">
        <f>IF(NFI_Expiration=1,IF($A416&lt;VLOOKUP(N$5,NFI,5,0),1,0)*Table_NFI[[#This Row],[Kitchen Set]],Table_NFI[Kitchen Set])</f>
        <v>0</v>
      </c>
      <c r="AF416" s="294">
        <f>IF(NFI_Expiration=1,IF($A416&lt;VLOOKUP(O$5,NFI,5,0),1,0)*Table_NFI[[#This Row],[Clothes Kit]],Table_NFI[Clothes Kit])</f>
        <v>0</v>
      </c>
      <c r="AG416" s="294">
        <f>IF(NFI_Expiration=1,IF($A416&lt;VLOOKUP(P$5,NFI,5,0),1,0)*Table_NFI[[#This Row],[Plastic Bucket]],Table_NFI[Plastic Bucket])</f>
        <v>0</v>
      </c>
      <c r="AH416" s="294">
        <f>IF(NFI_Expiration=1,IF($A416&lt;VLOOKUP(Q$5,NFI,5,0),1,0)*Table_NFI[[#This Row],[Plastic Mat]],Table_NFI[Plastic Mat])*IF(Table_NFI[[#This Row],[Distribution Date]]&gt;"2014-04-01",1,2.5)</f>
        <v>0</v>
      </c>
      <c r="AI416" s="294">
        <f>IF(NFI_Expiration=1,IF($A416&lt;VLOOKUP(R$5,NFI,5,0),1,0)*Table_NFI[[#This Row],[Winter Clothes Adult]],Table_NFI[Winter Clothes Adult])</f>
        <v>0</v>
      </c>
      <c r="AJ416" s="294">
        <f>IF(NFI_Expiration=1,IF($A416&lt;VLOOKUP(S$5,NFI,5,0),1,0)*Table_NFI[[#This Row],[Winter Clothes Children]],Table_NFI[Winter Clothes Children])</f>
        <v>0</v>
      </c>
      <c r="AK416" s="294">
        <f>IF(NFI_Expiration=1,IF($A416&lt;VLOOKUP(T$5,NFI,5,0),1,0)*Table_NFI[[#This Row],[Winter Items Other]],Table_NFI[Winter Items Other])</f>
        <v>0</v>
      </c>
      <c r="AL416" s="294">
        <f>IF(NFI_Expiration=1,IF($A416&lt;VLOOKUP(M$5,NFI,5,0),1,0)*Table_NFI[[#This Row],[Winter Blanket]],Table_NFI[[#This Row],[Winter Blanket]])</f>
        <v>0</v>
      </c>
      <c r="AM416" s="294">
        <f>IF(Table_NFI[[#This Row],[Winter Clothes Adult]]+Table_NFI[[#This Row],[Winter Clothes Children]]+Table_NFI[[#This Row],[Winter Items Other]]+Table_NFI[[#This Row],[Winter Blanket]]&gt;0,1,0)</f>
        <v>1</v>
      </c>
      <c r="AN416" s="331">
        <f>IF(NFI_Expiration=1,IF($A416&lt;VLOOKUP(V$5,NFI,5,0),1,0)*Table_NFI[[#This Row],[Jerry Can]],Table_NFI[Jerry Can])</f>
        <v>0</v>
      </c>
      <c r="AO416" s="331">
        <f>IF(NFI_Expiration=1,IF($A416&lt;VLOOKUP(V$5,NFI,5,0),1,0)*Table_NFI[[#This Row],[Shelter Tool kit]],Table_NFI[Shelter Tool kit])</f>
        <v>0</v>
      </c>
      <c r="AP416" s="331">
        <f>IF(NFI_Expiration=1,IF($A416&lt;VLOOKUP(V$5,NFI,5,0),1,0)*Table_NFI[[#This Row],[Tent]],Table_NFI[Tent])</f>
        <v>0</v>
      </c>
      <c r="AQ416" s="473" t="str">
        <f>IFERROR(VLOOKUP(Table_NFI[[#This Row],[Camp Name]],CL,2,0),"")</f>
        <v>MMR001CMP193</v>
      </c>
      <c r="AR416" s="468">
        <f ca="1">IF(Table_NFI[[#This Row],[Pcode]]="","",IF(OFFSET(CampList[Opening Date],MATCH(Table_NFI[[#This Row],[Pcode]],CampList[CP_Pcode],0)-1,0,1,1)&gt;=NFI_Monitor_Date,1,0))</f>
        <v>0</v>
      </c>
      <c r="AS416" s="473" t="str">
        <f>IFERROR(VLOOKUP(Table_NFI[[#This Row],[Camp Name]],CL,3,0),"")</f>
        <v>Open</v>
      </c>
      <c r="AT416" s="294" t="str">
        <f ca="1">IF(Table_NFI[[#This Row],[Pcode]]="","",OFFSET(CampList[Priority],MATCH(Table_NFI[[#This Row],[Pcode]],CampList[CP_Pcode],0)-1,0,1,1))</f>
        <v>P4</v>
      </c>
      <c r="AU416" s="293">
        <f>IFERROR(Table_NFI[[#This Row],[Kitchen Set]]/VLOOKUP(Table_NFI[[#This Row],[Camp Name]],CL,4,0),"")</f>
        <v>0</v>
      </c>
      <c r="AV416" s="466"/>
      <c r="AW416" s="469"/>
    </row>
    <row r="417" spans="1:49" s="470" customFormat="1" ht="14.45" customHeight="1" x14ac:dyDescent="0.25">
      <c r="A417" s="297">
        <f t="shared" si="6"/>
        <v>31.3</v>
      </c>
      <c r="B417" s="465">
        <v>41736</v>
      </c>
      <c r="C417" s="466" t="s">
        <v>1104</v>
      </c>
      <c r="D417" s="466" t="s">
        <v>900</v>
      </c>
      <c r="E417" s="466" t="s">
        <v>380</v>
      </c>
      <c r="F417" s="466" t="s">
        <v>151</v>
      </c>
      <c r="G417" s="466" t="s">
        <v>12</v>
      </c>
      <c r="H417" s="291"/>
      <c r="I417" s="291"/>
      <c r="J417" s="291"/>
      <c r="K417" s="291"/>
      <c r="L417" s="292"/>
      <c r="M417" s="292"/>
      <c r="N417" s="292"/>
      <c r="O417" s="292"/>
      <c r="P417" s="294"/>
      <c r="Q417" s="294"/>
      <c r="R417" s="294"/>
      <c r="S417" s="294"/>
      <c r="T417" s="294"/>
      <c r="U417" s="294">
        <v>558</v>
      </c>
      <c r="V417" s="431"/>
      <c r="W417" s="294"/>
      <c r="X417" s="294"/>
      <c r="Y417" s="294">
        <f>IF(NFI_Expiration=1,IF($A417&lt;VLOOKUP(H$5,NFI,5,0),1,0)*Table_NFI[[#This Row],[Hygiene Kit]],Table_NFI[Hygiene Kit])</f>
        <v>0</v>
      </c>
      <c r="Z417" s="294">
        <f>IF(NFI_Expiration=1,IF($A417&lt;VLOOKUP(I$5,NFI,5,0),1,0)*Table_NFI[[#This Row],[NFI Core Kit]],Table_NFI[NFI Core Kit])</f>
        <v>0</v>
      </c>
      <c r="AA417" s="294">
        <f>IF(NFI_Expiration=1,IF($A417&lt;VLOOKUP(J$5,NFI,5,0),1,0)*Table_NFI[[#This Row],[Sanitary Kit]],Table_NFI[Sanitary Kit])</f>
        <v>0</v>
      </c>
      <c r="AB417" s="294">
        <f>IF(NFI_Expiration=1,IF($A417&lt;VLOOKUP(K$5,NFI,5,0),1,0)*Table_NFI[[#This Row],[Mosquito net]],Table_NFI[Mosquito net])</f>
        <v>0</v>
      </c>
      <c r="AC417" s="294">
        <f>IF(NFI_Expiration=1,IF($A417&lt;VLOOKUP(L$5,NFI,5,0),1,0)*Table_NFI[[#This Row],[Tarpaulin]],Table_NFI[[#This Row],[Tarpaulin]])</f>
        <v>0</v>
      </c>
      <c r="AD417" s="294">
        <f>IF(NFI_Expiration=1,IF($A417&lt;VLOOKUP(M$5,NFI,5,0),1,0)*Table_NFI[[#This Row],[Blanket]],Table_NFI[[#This Row],[Blanket]])</f>
        <v>0</v>
      </c>
      <c r="AE417" s="294">
        <f>IF(NFI_Expiration=1,IF($A417&lt;VLOOKUP(N$5,NFI,5,0),1,0)*Table_NFI[[#This Row],[Kitchen Set]],Table_NFI[Kitchen Set])</f>
        <v>0</v>
      </c>
      <c r="AF417" s="294">
        <f>IF(NFI_Expiration=1,IF($A417&lt;VLOOKUP(O$5,NFI,5,0),1,0)*Table_NFI[[#This Row],[Clothes Kit]],Table_NFI[Clothes Kit])</f>
        <v>0</v>
      </c>
      <c r="AG417" s="294">
        <f>IF(NFI_Expiration=1,IF($A417&lt;VLOOKUP(P$5,NFI,5,0),1,0)*Table_NFI[[#This Row],[Plastic Bucket]],Table_NFI[Plastic Bucket])</f>
        <v>0</v>
      </c>
      <c r="AH417" s="294">
        <f>IF(NFI_Expiration=1,IF($A417&lt;VLOOKUP(Q$5,NFI,5,0),1,0)*Table_NFI[[#This Row],[Plastic Mat]],Table_NFI[Plastic Mat])*IF(Table_NFI[[#This Row],[Distribution Date]]&gt;"2014-04-01",1,2.5)</f>
        <v>0</v>
      </c>
      <c r="AI417" s="294">
        <f>IF(NFI_Expiration=1,IF($A417&lt;VLOOKUP(R$5,NFI,5,0),1,0)*Table_NFI[[#This Row],[Winter Clothes Adult]],Table_NFI[Winter Clothes Adult])</f>
        <v>0</v>
      </c>
      <c r="AJ417" s="294">
        <f>IF(NFI_Expiration=1,IF($A417&lt;VLOOKUP(S$5,NFI,5,0),1,0)*Table_NFI[[#This Row],[Winter Clothes Children]],Table_NFI[Winter Clothes Children])</f>
        <v>0</v>
      </c>
      <c r="AK417" s="294">
        <f>IF(NFI_Expiration=1,IF($A417&lt;VLOOKUP(T$5,NFI,5,0),1,0)*Table_NFI[[#This Row],[Winter Items Other]],Table_NFI[Winter Items Other])</f>
        <v>0</v>
      </c>
      <c r="AL417" s="294">
        <f>IF(NFI_Expiration=1,IF($A417&lt;VLOOKUP(M$5,NFI,5,0),1,0)*Table_NFI[[#This Row],[Winter Blanket]],Table_NFI[[#This Row],[Winter Blanket]])</f>
        <v>0</v>
      </c>
      <c r="AM417" s="294">
        <f>IF(Table_NFI[[#This Row],[Winter Clothes Adult]]+Table_NFI[[#This Row],[Winter Clothes Children]]+Table_NFI[[#This Row],[Winter Items Other]]+Table_NFI[[#This Row],[Winter Blanket]]&gt;0,1,0)</f>
        <v>1</v>
      </c>
      <c r="AN417" s="331">
        <f>IF(NFI_Expiration=1,IF($A417&lt;VLOOKUP(V$5,NFI,5,0),1,0)*Table_NFI[[#This Row],[Jerry Can]],Table_NFI[Jerry Can])</f>
        <v>0</v>
      </c>
      <c r="AO417" s="331">
        <f>IF(NFI_Expiration=1,IF($A417&lt;VLOOKUP(V$5,NFI,5,0),1,0)*Table_NFI[[#This Row],[Shelter Tool kit]],Table_NFI[Shelter Tool kit])</f>
        <v>0</v>
      </c>
      <c r="AP417" s="331">
        <f>IF(NFI_Expiration=1,IF($A417&lt;VLOOKUP(V$5,NFI,5,0),1,0)*Table_NFI[[#This Row],[Tent]],Table_NFI[Tent])</f>
        <v>0</v>
      </c>
      <c r="AQ417" s="473" t="str">
        <f>IFERROR(VLOOKUP(Table_NFI[[#This Row],[Camp Name]],CL,2,0),"")</f>
        <v>MMR001CMP163</v>
      </c>
      <c r="AR417" s="468">
        <f ca="1">IF(Table_NFI[[#This Row],[Pcode]]="","",IF(OFFSET(CampList[Opening Date],MATCH(Table_NFI[[#This Row],[Pcode]],CampList[CP_Pcode],0)-1,0,1,1)&gt;=NFI_Monitor_Date,1,0))</f>
        <v>0</v>
      </c>
      <c r="AS417" s="473" t="str">
        <f>IFERROR(VLOOKUP(Table_NFI[[#This Row],[Camp Name]],CL,3,0),"")</f>
        <v>Open</v>
      </c>
      <c r="AT417" s="294" t="str">
        <f ca="1">IF(Table_NFI[[#This Row],[Pcode]]="","",OFFSET(CampList[Priority],MATCH(Table_NFI[[#This Row],[Pcode]],CampList[CP_Pcode],0)-1,0,1,1))</f>
        <v>P4</v>
      </c>
      <c r="AU417" s="293">
        <f>IFERROR(Table_NFI[[#This Row],[Kitchen Set]]/VLOOKUP(Table_NFI[[#This Row],[Camp Name]],CL,4,0),"")</f>
        <v>0</v>
      </c>
      <c r="AV417" s="466"/>
      <c r="AW417" s="469"/>
    </row>
    <row r="418" spans="1:49" s="470" customFormat="1" ht="14.45" customHeight="1" x14ac:dyDescent="0.25">
      <c r="A418" s="297">
        <f t="shared" si="6"/>
        <v>31.3</v>
      </c>
      <c r="B418" s="465">
        <v>41736</v>
      </c>
      <c r="C418" s="466" t="s">
        <v>1104</v>
      </c>
      <c r="D418" s="466" t="s">
        <v>900</v>
      </c>
      <c r="E418" s="466" t="s">
        <v>380</v>
      </c>
      <c r="F418" s="466" t="s">
        <v>151</v>
      </c>
      <c r="G418" s="466" t="s">
        <v>885</v>
      </c>
      <c r="H418" s="291"/>
      <c r="I418" s="291"/>
      <c r="J418" s="291"/>
      <c r="K418" s="291"/>
      <c r="L418" s="292"/>
      <c r="M418" s="292"/>
      <c r="N418" s="292"/>
      <c r="O418" s="292"/>
      <c r="P418" s="294"/>
      <c r="Q418" s="294"/>
      <c r="R418" s="294"/>
      <c r="S418" s="294"/>
      <c r="T418" s="294"/>
      <c r="U418" s="294">
        <v>478</v>
      </c>
      <c r="V418" s="431"/>
      <c r="W418" s="294"/>
      <c r="X418" s="294"/>
      <c r="Y418" s="294">
        <f>IF(NFI_Expiration=1,IF($A418&lt;VLOOKUP(H$5,NFI,5,0),1,0)*Table_NFI[[#This Row],[Hygiene Kit]],Table_NFI[Hygiene Kit])</f>
        <v>0</v>
      </c>
      <c r="Z418" s="294">
        <f>IF(NFI_Expiration=1,IF($A418&lt;VLOOKUP(I$5,NFI,5,0),1,0)*Table_NFI[[#This Row],[NFI Core Kit]],Table_NFI[NFI Core Kit])</f>
        <v>0</v>
      </c>
      <c r="AA418" s="294">
        <f>IF(NFI_Expiration=1,IF($A418&lt;VLOOKUP(J$5,NFI,5,0),1,0)*Table_NFI[[#This Row],[Sanitary Kit]],Table_NFI[Sanitary Kit])</f>
        <v>0</v>
      </c>
      <c r="AB418" s="294">
        <f>IF(NFI_Expiration=1,IF($A418&lt;VLOOKUP(K$5,NFI,5,0),1,0)*Table_NFI[[#This Row],[Mosquito net]],Table_NFI[Mosquito net])</f>
        <v>0</v>
      </c>
      <c r="AC418" s="294">
        <f>IF(NFI_Expiration=1,IF($A418&lt;VLOOKUP(L$5,NFI,5,0),1,0)*Table_NFI[[#This Row],[Tarpaulin]],Table_NFI[[#This Row],[Tarpaulin]])</f>
        <v>0</v>
      </c>
      <c r="AD418" s="294">
        <f>IF(NFI_Expiration=1,IF($A418&lt;VLOOKUP(M$5,NFI,5,0),1,0)*Table_NFI[[#This Row],[Blanket]],Table_NFI[[#This Row],[Blanket]])</f>
        <v>0</v>
      </c>
      <c r="AE418" s="294">
        <f>IF(NFI_Expiration=1,IF($A418&lt;VLOOKUP(N$5,NFI,5,0),1,0)*Table_NFI[[#This Row],[Kitchen Set]],Table_NFI[Kitchen Set])</f>
        <v>0</v>
      </c>
      <c r="AF418" s="294">
        <f>IF(NFI_Expiration=1,IF($A418&lt;VLOOKUP(O$5,NFI,5,0),1,0)*Table_NFI[[#This Row],[Clothes Kit]],Table_NFI[Clothes Kit])</f>
        <v>0</v>
      </c>
      <c r="AG418" s="294">
        <f>IF(NFI_Expiration=1,IF($A418&lt;VLOOKUP(P$5,NFI,5,0),1,0)*Table_NFI[[#This Row],[Plastic Bucket]],Table_NFI[Plastic Bucket])</f>
        <v>0</v>
      </c>
      <c r="AH418" s="294">
        <f>IF(NFI_Expiration=1,IF($A418&lt;VLOOKUP(Q$5,NFI,5,0),1,0)*Table_NFI[[#This Row],[Plastic Mat]],Table_NFI[Plastic Mat])*IF(Table_NFI[[#This Row],[Distribution Date]]&gt;"2014-04-01",1,2.5)</f>
        <v>0</v>
      </c>
      <c r="AI418" s="294">
        <f>IF(NFI_Expiration=1,IF($A418&lt;VLOOKUP(R$5,NFI,5,0),1,0)*Table_NFI[[#This Row],[Winter Clothes Adult]],Table_NFI[Winter Clothes Adult])</f>
        <v>0</v>
      </c>
      <c r="AJ418" s="294">
        <f>IF(NFI_Expiration=1,IF($A418&lt;VLOOKUP(S$5,NFI,5,0),1,0)*Table_NFI[[#This Row],[Winter Clothes Children]],Table_NFI[Winter Clothes Children])</f>
        <v>0</v>
      </c>
      <c r="AK418" s="294">
        <f>IF(NFI_Expiration=1,IF($A418&lt;VLOOKUP(T$5,NFI,5,0),1,0)*Table_NFI[[#This Row],[Winter Items Other]],Table_NFI[Winter Items Other])</f>
        <v>0</v>
      </c>
      <c r="AL418" s="294">
        <f>IF(NFI_Expiration=1,IF($A418&lt;VLOOKUP(M$5,NFI,5,0),1,0)*Table_NFI[[#This Row],[Winter Blanket]],Table_NFI[[#This Row],[Winter Blanket]])</f>
        <v>0</v>
      </c>
      <c r="AM418" s="294">
        <f>IF(Table_NFI[[#This Row],[Winter Clothes Adult]]+Table_NFI[[#This Row],[Winter Clothes Children]]+Table_NFI[[#This Row],[Winter Items Other]]+Table_NFI[[#This Row],[Winter Blanket]]&gt;0,1,0)</f>
        <v>1</v>
      </c>
      <c r="AN418" s="331">
        <f>IF(NFI_Expiration=1,IF($A418&lt;VLOOKUP(V$5,NFI,5,0),1,0)*Table_NFI[[#This Row],[Jerry Can]],Table_NFI[Jerry Can])</f>
        <v>0</v>
      </c>
      <c r="AO418" s="331">
        <f>IF(NFI_Expiration=1,IF($A418&lt;VLOOKUP(V$5,NFI,5,0),1,0)*Table_NFI[[#This Row],[Shelter Tool kit]],Table_NFI[Shelter Tool kit])</f>
        <v>0</v>
      </c>
      <c r="AP418" s="331">
        <f>IF(NFI_Expiration=1,IF($A418&lt;VLOOKUP(V$5,NFI,5,0),1,0)*Table_NFI[[#This Row],[Tent]],Table_NFI[Tent])</f>
        <v>0</v>
      </c>
      <c r="AQ418" s="473" t="str">
        <f>IFERROR(VLOOKUP(Table_NFI[[#This Row],[Camp Name]],CL,2,0),"")</f>
        <v>MMR001CMP218</v>
      </c>
      <c r="AR418" s="468">
        <f ca="1">IF(Table_NFI[[#This Row],[Pcode]]="","",IF(OFFSET(CampList[Opening Date],MATCH(Table_NFI[[#This Row],[Pcode]],CampList[CP_Pcode],0)-1,0,1,1)&gt;=NFI_Monitor_Date,1,0))</f>
        <v>0</v>
      </c>
      <c r="AS418" s="473" t="str">
        <f>IFERROR(VLOOKUP(Table_NFI[[#This Row],[Camp Name]],CL,3,0),"")</f>
        <v>Open</v>
      </c>
      <c r="AT418" s="294" t="str">
        <f ca="1">IF(Table_NFI[[#This Row],[Pcode]]="","",OFFSET(CampList[Priority],MATCH(Table_NFI[[#This Row],[Pcode]],CampList[CP_Pcode],0)-1,0,1,1))</f>
        <v>P4</v>
      </c>
      <c r="AU418" s="293">
        <f>IFERROR(Table_NFI[[#This Row],[Kitchen Set]]/VLOOKUP(Table_NFI[[#This Row],[Camp Name]],CL,4,0),"")</f>
        <v>0</v>
      </c>
      <c r="AV418" s="466"/>
      <c r="AW418" s="469"/>
    </row>
    <row r="419" spans="1:49" s="470" customFormat="1" ht="14.45" customHeight="1" x14ac:dyDescent="0.25">
      <c r="A419" s="297">
        <f t="shared" si="6"/>
        <v>31.3</v>
      </c>
      <c r="B419" s="465">
        <v>41736</v>
      </c>
      <c r="C419" s="466" t="s">
        <v>1104</v>
      </c>
      <c r="D419" s="466" t="s">
        <v>900</v>
      </c>
      <c r="E419" s="466" t="s">
        <v>380</v>
      </c>
      <c r="F419" s="466" t="s">
        <v>151</v>
      </c>
      <c r="G419" s="466" t="s">
        <v>942</v>
      </c>
      <c r="H419" s="291"/>
      <c r="I419" s="291"/>
      <c r="J419" s="291"/>
      <c r="K419" s="291"/>
      <c r="L419" s="292"/>
      <c r="M419" s="292"/>
      <c r="N419" s="292"/>
      <c r="O419" s="292"/>
      <c r="P419" s="294"/>
      <c r="Q419" s="294"/>
      <c r="R419" s="294"/>
      <c r="S419" s="294"/>
      <c r="T419" s="294"/>
      <c r="U419" s="294">
        <v>158</v>
      </c>
      <c r="V419" s="431"/>
      <c r="W419" s="294"/>
      <c r="X419" s="294"/>
      <c r="Y419" s="294">
        <f>IF(NFI_Expiration=1,IF($A419&lt;VLOOKUP(H$5,NFI,5,0),1,0)*Table_NFI[[#This Row],[Hygiene Kit]],Table_NFI[Hygiene Kit])</f>
        <v>0</v>
      </c>
      <c r="Z419" s="294">
        <f>IF(NFI_Expiration=1,IF($A419&lt;VLOOKUP(I$5,NFI,5,0),1,0)*Table_NFI[[#This Row],[NFI Core Kit]],Table_NFI[NFI Core Kit])</f>
        <v>0</v>
      </c>
      <c r="AA419" s="294">
        <f>IF(NFI_Expiration=1,IF($A419&lt;VLOOKUP(J$5,NFI,5,0),1,0)*Table_NFI[[#This Row],[Sanitary Kit]],Table_NFI[Sanitary Kit])</f>
        <v>0</v>
      </c>
      <c r="AB419" s="294">
        <f>IF(NFI_Expiration=1,IF($A419&lt;VLOOKUP(K$5,NFI,5,0),1,0)*Table_NFI[[#This Row],[Mosquito net]],Table_NFI[Mosquito net])</f>
        <v>0</v>
      </c>
      <c r="AC419" s="294">
        <f>IF(NFI_Expiration=1,IF($A419&lt;VLOOKUP(L$5,NFI,5,0),1,0)*Table_NFI[[#This Row],[Tarpaulin]],Table_NFI[[#This Row],[Tarpaulin]])</f>
        <v>0</v>
      </c>
      <c r="AD419" s="294">
        <f>IF(NFI_Expiration=1,IF($A419&lt;VLOOKUP(M$5,NFI,5,0),1,0)*Table_NFI[[#This Row],[Blanket]],Table_NFI[[#This Row],[Blanket]])</f>
        <v>0</v>
      </c>
      <c r="AE419" s="294">
        <f>IF(NFI_Expiration=1,IF($A419&lt;VLOOKUP(N$5,NFI,5,0),1,0)*Table_NFI[[#This Row],[Kitchen Set]],Table_NFI[Kitchen Set])</f>
        <v>0</v>
      </c>
      <c r="AF419" s="294">
        <f>IF(NFI_Expiration=1,IF($A419&lt;VLOOKUP(O$5,NFI,5,0),1,0)*Table_NFI[[#This Row],[Clothes Kit]],Table_NFI[Clothes Kit])</f>
        <v>0</v>
      </c>
      <c r="AG419" s="294">
        <f>IF(NFI_Expiration=1,IF($A419&lt;VLOOKUP(P$5,NFI,5,0),1,0)*Table_NFI[[#This Row],[Plastic Bucket]],Table_NFI[Plastic Bucket])</f>
        <v>0</v>
      </c>
      <c r="AH419" s="294">
        <f>IF(NFI_Expiration=1,IF($A419&lt;VLOOKUP(Q$5,NFI,5,0),1,0)*Table_NFI[[#This Row],[Plastic Mat]],Table_NFI[Plastic Mat])*IF(Table_NFI[[#This Row],[Distribution Date]]&gt;"2014-04-01",1,2.5)</f>
        <v>0</v>
      </c>
      <c r="AI419" s="294">
        <f>IF(NFI_Expiration=1,IF($A419&lt;VLOOKUP(R$5,NFI,5,0),1,0)*Table_NFI[[#This Row],[Winter Clothes Adult]],Table_NFI[Winter Clothes Adult])</f>
        <v>0</v>
      </c>
      <c r="AJ419" s="294">
        <f>IF(NFI_Expiration=1,IF($A419&lt;VLOOKUP(S$5,NFI,5,0),1,0)*Table_NFI[[#This Row],[Winter Clothes Children]],Table_NFI[Winter Clothes Children])</f>
        <v>0</v>
      </c>
      <c r="AK419" s="294">
        <f>IF(NFI_Expiration=1,IF($A419&lt;VLOOKUP(T$5,NFI,5,0),1,0)*Table_NFI[[#This Row],[Winter Items Other]],Table_NFI[Winter Items Other])</f>
        <v>0</v>
      </c>
      <c r="AL419" s="294">
        <f>IF(NFI_Expiration=1,IF($A419&lt;VLOOKUP(M$5,NFI,5,0),1,0)*Table_NFI[[#This Row],[Winter Blanket]],Table_NFI[[#This Row],[Winter Blanket]])</f>
        <v>0</v>
      </c>
      <c r="AM419" s="294">
        <f>IF(Table_NFI[[#This Row],[Winter Clothes Adult]]+Table_NFI[[#This Row],[Winter Clothes Children]]+Table_NFI[[#This Row],[Winter Items Other]]+Table_NFI[[#This Row],[Winter Blanket]]&gt;0,1,0)</f>
        <v>1</v>
      </c>
      <c r="AN419" s="331">
        <f>IF(NFI_Expiration=1,IF($A419&lt;VLOOKUP(V$5,NFI,5,0),1,0)*Table_NFI[[#This Row],[Jerry Can]],Table_NFI[Jerry Can])</f>
        <v>0</v>
      </c>
      <c r="AO419" s="331">
        <f>IF(NFI_Expiration=1,IF($A419&lt;VLOOKUP(V$5,NFI,5,0),1,0)*Table_NFI[[#This Row],[Shelter Tool kit]],Table_NFI[Shelter Tool kit])</f>
        <v>0</v>
      </c>
      <c r="AP419" s="331">
        <f>IF(NFI_Expiration=1,IF($A419&lt;VLOOKUP(V$5,NFI,5,0),1,0)*Table_NFI[[#This Row],[Tent]],Table_NFI[Tent])</f>
        <v>0</v>
      </c>
      <c r="AQ419" s="473" t="str">
        <f>IFERROR(VLOOKUP(Table_NFI[[#This Row],[Camp Name]],CL,2,0),"")</f>
        <v>MMR001CMP223</v>
      </c>
      <c r="AR419" s="468">
        <f ca="1">IF(Table_NFI[[#This Row],[Pcode]]="","",IF(OFFSET(CampList[Opening Date],MATCH(Table_NFI[[#This Row],[Pcode]],CampList[CP_Pcode],0)-1,0,1,1)&gt;=NFI_Monitor_Date,1,0))</f>
        <v>0</v>
      </c>
      <c r="AS419" s="473" t="str">
        <f>IFERROR(VLOOKUP(Table_NFI[[#This Row],[Camp Name]],CL,3,0),"")</f>
        <v>Open</v>
      </c>
      <c r="AT419" s="294" t="str">
        <f ca="1">IF(Table_NFI[[#This Row],[Pcode]]="","",OFFSET(CampList[Priority],MATCH(Table_NFI[[#This Row],[Pcode]],CampList[CP_Pcode],0)-1,0,1,1))</f>
        <v>P4</v>
      </c>
      <c r="AU419" s="293">
        <f>IFERROR(Table_NFI[[#This Row],[Kitchen Set]]/VLOOKUP(Table_NFI[[#This Row],[Camp Name]],CL,4,0),"")</f>
        <v>0</v>
      </c>
      <c r="AV419" s="466"/>
      <c r="AW419" s="469"/>
    </row>
    <row r="420" spans="1:49" s="470" customFormat="1" ht="14.45" customHeight="1" x14ac:dyDescent="0.25">
      <c r="A420" s="297">
        <f t="shared" si="6"/>
        <v>31.3</v>
      </c>
      <c r="B420" s="465">
        <v>41736</v>
      </c>
      <c r="C420" s="466" t="s">
        <v>1104</v>
      </c>
      <c r="D420" s="466" t="s">
        <v>900</v>
      </c>
      <c r="E420" s="466" t="s">
        <v>380</v>
      </c>
      <c r="F420" s="466" t="s">
        <v>151</v>
      </c>
      <c r="G420" s="466" t="s">
        <v>152</v>
      </c>
      <c r="H420" s="291"/>
      <c r="I420" s="291"/>
      <c r="J420" s="291"/>
      <c r="K420" s="291"/>
      <c r="L420" s="292"/>
      <c r="M420" s="292"/>
      <c r="N420" s="292"/>
      <c r="O420" s="292"/>
      <c r="P420" s="294"/>
      <c r="Q420" s="294"/>
      <c r="R420" s="294"/>
      <c r="S420" s="294"/>
      <c r="T420" s="294"/>
      <c r="U420" s="294">
        <v>262</v>
      </c>
      <c r="V420" s="431"/>
      <c r="W420" s="294"/>
      <c r="X420" s="294"/>
      <c r="Y420" s="294">
        <f>IF(NFI_Expiration=1,IF($A420&lt;VLOOKUP(H$5,NFI,5,0),1,0)*Table_NFI[[#This Row],[Hygiene Kit]],Table_NFI[Hygiene Kit])</f>
        <v>0</v>
      </c>
      <c r="Z420" s="294">
        <f>IF(NFI_Expiration=1,IF($A420&lt;VLOOKUP(I$5,NFI,5,0),1,0)*Table_NFI[[#This Row],[NFI Core Kit]],Table_NFI[NFI Core Kit])</f>
        <v>0</v>
      </c>
      <c r="AA420" s="294">
        <f>IF(NFI_Expiration=1,IF($A420&lt;VLOOKUP(J$5,NFI,5,0),1,0)*Table_NFI[[#This Row],[Sanitary Kit]],Table_NFI[Sanitary Kit])</f>
        <v>0</v>
      </c>
      <c r="AB420" s="294">
        <f>IF(NFI_Expiration=1,IF($A420&lt;VLOOKUP(K$5,NFI,5,0),1,0)*Table_NFI[[#This Row],[Mosquito net]],Table_NFI[Mosquito net])</f>
        <v>0</v>
      </c>
      <c r="AC420" s="294">
        <f>IF(NFI_Expiration=1,IF($A420&lt;VLOOKUP(L$5,NFI,5,0),1,0)*Table_NFI[[#This Row],[Tarpaulin]],Table_NFI[[#This Row],[Tarpaulin]])</f>
        <v>0</v>
      </c>
      <c r="AD420" s="294">
        <f>IF(NFI_Expiration=1,IF($A420&lt;VLOOKUP(M$5,NFI,5,0),1,0)*Table_NFI[[#This Row],[Blanket]],Table_NFI[[#This Row],[Blanket]])</f>
        <v>0</v>
      </c>
      <c r="AE420" s="294">
        <f>IF(NFI_Expiration=1,IF($A420&lt;VLOOKUP(N$5,NFI,5,0),1,0)*Table_NFI[[#This Row],[Kitchen Set]],Table_NFI[Kitchen Set])</f>
        <v>0</v>
      </c>
      <c r="AF420" s="294">
        <f>IF(NFI_Expiration=1,IF($A420&lt;VLOOKUP(O$5,NFI,5,0),1,0)*Table_NFI[[#This Row],[Clothes Kit]],Table_NFI[Clothes Kit])</f>
        <v>0</v>
      </c>
      <c r="AG420" s="294">
        <f>IF(NFI_Expiration=1,IF($A420&lt;VLOOKUP(P$5,NFI,5,0),1,0)*Table_NFI[[#This Row],[Plastic Bucket]],Table_NFI[Plastic Bucket])</f>
        <v>0</v>
      </c>
      <c r="AH420" s="294">
        <f>IF(NFI_Expiration=1,IF($A420&lt;VLOOKUP(Q$5,NFI,5,0),1,0)*Table_NFI[[#This Row],[Plastic Mat]],Table_NFI[Plastic Mat])*IF(Table_NFI[[#This Row],[Distribution Date]]&gt;"2014-04-01",1,2.5)</f>
        <v>0</v>
      </c>
      <c r="AI420" s="294">
        <f>IF(NFI_Expiration=1,IF($A420&lt;VLOOKUP(R$5,NFI,5,0),1,0)*Table_NFI[[#This Row],[Winter Clothes Adult]],Table_NFI[Winter Clothes Adult])</f>
        <v>0</v>
      </c>
      <c r="AJ420" s="294">
        <f>IF(NFI_Expiration=1,IF($A420&lt;VLOOKUP(S$5,NFI,5,0),1,0)*Table_NFI[[#This Row],[Winter Clothes Children]],Table_NFI[Winter Clothes Children])</f>
        <v>0</v>
      </c>
      <c r="AK420" s="294">
        <f>IF(NFI_Expiration=1,IF($A420&lt;VLOOKUP(T$5,NFI,5,0),1,0)*Table_NFI[[#This Row],[Winter Items Other]],Table_NFI[Winter Items Other])</f>
        <v>0</v>
      </c>
      <c r="AL420" s="294">
        <f>IF(NFI_Expiration=1,IF($A420&lt;VLOOKUP(M$5,NFI,5,0),1,0)*Table_NFI[[#This Row],[Winter Blanket]],Table_NFI[[#This Row],[Winter Blanket]])</f>
        <v>0</v>
      </c>
      <c r="AM420" s="294">
        <f>IF(Table_NFI[[#This Row],[Winter Clothes Adult]]+Table_NFI[[#This Row],[Winter Clothes Children]]+Table_NFI[[#This Row],[Winter Items Other]]+Table_NFI[[#This Row],[Winter Blanket]]&gt;0,1,0)</f>
        <v>1</v>
      </c>
      <c r="AN420" s="331">
        <f>IF(NFI_Expiration=1,IF($A420&lt;VLOOKUP(V$5,NFI,5,0),1,0)*Table_NFI[[#This Row],[Jerry Can]],Table_NFI[Jerry Can])</f>
        <v>0</v>
      </c>
      <c r="AO420" s="331">
        <f>IF(NFI_Expiration=1,IF($A420&lt;VLOOKUP(V$5,NFI,5,0),1,0)*Table_NFI[[#This Row],[Shelter Tool kit]],Table_NFI[Shelter Tool kit])</f>
        <v>0</v>
      </c>
      <c r="AP420" s="331">
        <f>IF(NFI_Expiration=1,IF($A420&lt;VLOOKUP(V$5,NFI,5,0),1,0)*Table_NFI[[#This Row],[Tent]],Table_NFI[Tent])</f>
        <v>0</v>
      </c>
      <c r="AQ420" s="473" t="str">
        <f>IFERROR(VLOOKUP(Table_NFI[[#This Row],[Camp Name]],CL,2,0),"")</f>
        <v>MMR001CMP066</v>
      </c>
      <c r="AR420" s="468">
        <f ca="1">IF(Table_NFI[[#This Row],[Pcode]]="","",IF(OFFSET(CampList[Opening Date],MATCH(Table_NFI[[#This Row],[Pcode]],CampList[CP_Pcode],0)-1,0,1,1)&gt;=NFI_Monitor_Date,1,0))</f>
        <v>0</v>
      </c>
      <c r="AS420" s="473" t="str">
        <f>IFERROR(VLOOKUP(Table_NFI[[#This Row],[Camp Name]],CL,3,0),"")</f>
        <v>Open</v>
      </c>
      <c r="AT420" s="294" t="str">
        <f ca="1">IF(Table_NFI[[#This Row],[Pcode]]="","",OFFSET(CampList[Priority],MATCH(Table_NFI[[#This Row],[Pcode]],CampList[CP_Pcode],0)-1,0,1,1))</f>
        <v>P4</v>
      </c>
      <c r="AU420" s="293">
        <f>IFERROR(Table_NFI[[#This Row],[Kitchen Set]]/VLOOKUP(Table_NFI[[#This Row],[Camp Name]],CL,4,0),"")</f>
        <v>0</v>
      </c>
      <c r="AV420" s="466"/>
      <c r="AW420" s="469"/>
    </row>
    <row r="421" spans="1:49" s="470" customFormat="1" ht="14.45" customHeight="1" x14ac:dyDescent="0.25">
      <c r="A421" s="297">
        <f t="shared" si="6"/>
        <v>31.333333333333332</v>
      </c>
      <c r="B421" s="465">
        <v>41735</v>
      </c>
      <c r="C421" s="466" t="s">
        <v>1104</v>
      </c>
      <c r="D421" s="466" t="s">
        <v>900</v>
      </c>
      <c r="E421" s="466" t="s">
        <v>380</v>
      </c>
      <c r="F421" s="466" t="s">
        <v>527</v>
      </c>
      <c r="G421" s="466" t="s">
        <v>58</v>
      </c>
      <c r="H421" s="291"/>
      <c r="I421" s="291"/>
      <c r="J421" s="291"/>
      <c r="K421" s="291"/>
      <c r="L421" s="292"/>
      <c r="M421" s="292"/>
      <c r="N421" s="292"/>
      <c r="O421" s="292"/>
      <c r="P421" s="294"/>
      <c r="Q421" s="294"/>
      <c r="R421" s="294"/>
      <c r="S421" s="294"/>
      <c r="T421" s="294"/>
      <c r="U421" s="294">
        <v>30</v>
      </c>
      <c r="V421" s="431"/>
      <c r="W421" s="294"/>
      <c r="X421" s="294"/>
      <c r="Y421" s="294">
        <f>IF(NFI_Expiration=1,IF($A421&lt;VLOOKUP(H$5,NFI,5,0),1,0)*Table_NFI[[#This Row],[Hygiene Kit]],Table_NFI[Hygiene Kit])</f>
        <v>0</v>
      </c>
      <c r="Z421" s="294">
        <f>IF(NFI_Expiration=1,IF($A421&lt;VLOOKUP(I$5,NFI,5,0),1,0)*Table_NFI[[#This Row],[NFI Core Kit]],Table_NFI[NFI Core Kit])</f>
        <v>0</v>
      </c>
      <c r="AA421" s="294">
        <f>IF(NFI_Expiration=1,IF($A421&lt;VLOOKUP(J$5,NFI,5,0),1,0)*Table_NFI[[#This Row],[Sanitary Kit]],Table_NFI[Sanitary Kit])</f>
        <v>0</v>
      </c>
      <c r="AB421" s="294">
        <f>IF(NFI_Expiration=1,IF($A421&lt;VLOOKUP(K$5,NFI,5,0),1,0)*Table_NFI[[#This Row],[Mosquito net]],Table_NFI[Mosquito net])</f>
        <v>0</v>
      </c>
      <c r="AC421" s="294">
        <f>IF(NFI_Expiration=1,IF($A421&lt;VLOOKUP(L$5,NFI,5,0),1,0)*Table_NFI[[#This Row],[Tarpaulin]],Table_NFI[[#This Row],[Tarpaulin]])</f>
        <v>0</v>
      </c>
      <c r="AD421" s="294">
        <f>IF(NFI_Expiration=1,IF($A421&lt;VLOOKUP(M$5,NFI,5,0),1,0)*Table_NFI[[#This Row],[Blanket]],Table_NFI[[#This Row],[Blanket]])</f>
        <v>0</v>
      </c>
      <c r="AE421" s="294">
        <f>IF(NFI_Expiration=1,IF($A421&lt;VLOOKUP(N$5,NFI,5,0),1,0)*Table_NFI[[#This Row],[Kitchen Set]],Table_NFI[Kitchen Set])</f>
        <v>0</v>
      </c>
      <c r="AF421" s="294">
        <f>IF(NFI_Expiration=1,IF($A421&lt;VLOOKUP(O$5,NFI,5,0),1,0)*Table_NFI[[#This Row],[Clothes Kit]],Table_NFI[Clothes Kit])</f>
        <v>0</v>
      </c>
      <c r="AG421" s="294">
        <f>IF(NFI_Expiration=1,IF($A421&lt;VLOOKUP(P$5,NFI,5,0),1,0)*Table_NFI[[#This Row],[Plastic Bucket]],Table_NFI[Plastic Bucket])</f>
        <v>0</v>
      </c>
      <c r="AH421" s="294">
        <f>IF(NFI_Expiration=1,IF($A421&lt;VLOOKUP(Q$5,NFI,5,0),1,0)*Table_NFI[[#This Row],[Plastic Mat]],Table_NFI[Plastic Mat])*IF(Table_NFI[[#This Row],[Distribution Date]]&gt;"2014-04-01",1,2.5)</f>
        <v>0</v>
      </c>
      <c r="AI421" s="294">
        <f>IF(NFI_Expiration=1,IF($A421&lt;VLOOKUP(R$5,NFI,5,0),1,0)*Table_NFI[[#This Row],[Winter Clothes Adult]],Table_NFI[Winter Clothes Adult])</f>
        <v>0</v>
      </c>
      <c r="AJ421" s="294">
        <f>IF(NFI_Expiration=1,IF($A421&lt;VLOOKUP(S$5,NFI,5,0),1,0)*Table_NFI[[#This Row],[Winter Clothes Children]],Table_NFI[Winter Clothes Children])</f>
        <v>0</v>
      </c>
      <c r="AK421" s="294">
        <f>IF(NFI_Expiration=1,IF($A421&lt;VLOOKUP(T$5,NFI,5,0),1,0)*Table_NFI[[#This Row],[Winter Items Other]],Table_NFI[Winter Items Other])</f>
        <v>0</v>
      </c>
      <c r="AL421" s="294">
        <f>IF(NFI_Expiration=1,IF($A421&lt;VLOOKUP(M$5,NFI,5,0),1,0)*Table_NFI[[#This Row],[Winter Blanket]],Table_NFI[[#This Row],[Winter Blanket]])</f>
        <v>0</v>
      </c>
      <c r="AM421" s="294">
        <f>IF(Table_NFI[[#This Row],[Winter Clothes Adult]]+Table_NFI[[#This Row],[Winter Clothes Children]]+Table_NFI[[#This Row],[Winter Items Other]]+Table_NFI[[#This Row],[Winter Blanket]]&gt;0,1,0)</f>
        <v>1</v>
      </c>
      <c r="AN421" s="331">
        <f>IF(NFI_Expiration=1,IF($A421&lt;VLOOKUP(V$5,NFI,5,0),1,0)*Table_NFI[[#This Row],[Jerry Can]],Table_NFI[Jerry Can])</f>
        <v>0</v>
      </c>
      <c r="AO421" s="331">
        <f>IF(NFI_Expiration=1,IF($A421&lt;VLOOKUP(V$5,NFI,5,0),1,0)*Table_NFI[[#This Row],[Shelter Tool kit]],Table_NFI[Shelter Tool kit])</f>
        <v>0</v>
      </c>
      <c r="AP421" s="331">
        <f>IF(NFI_Expiration=1,IF($A421&lt;VLOOKUP(V$5,NFI,5,0),1,0)*Table_NFI[[#This Row],[Tent]],Table_NFI[Tent])</f>
        <v>0</v>
      </c>
      <c r="AQ421" s="473" t="str">
        <f>IFERROR(VLOOKUP(Table_NFI[[#This Row],[Camp Name]],CL,2,0),"")</f>
        <v>MMR001CMP188</v>
      </c>
      <c r="AR421" s="468">
        <f ca="1">IF(Table_NFI[[#This Row],[Pcode]]="","",IF(OFFSET(CampList[Opening Date],MATCH(Table_NFI[[#This Row],[Pcode]],CampList[CP_Pcode],0)-1,0,1,1)&gt;=NFI_Monitor_Date,1,0))</f>
        <v>0</v>
      </c>
      <c r="AS421" s="473" t="str">
        <f>IFERROR(VLOOKUP(Table_NFI[[#This Row],[Camp Name]],CL,3,0),"")</f>
        <v>Closed</v>
      </c>
      <c r="AT421" s="294" t="str">
        <f ca="1">IF(Table_NFI[[#This Row],[Pcode]]="","",OFFSET(CampList[Priority],MATCH(Table_NFI[[#This Row],[Pcode]],CampList[CP_Pcode],0)-1,0,1,1))</f>
        <v>P4</v>
      </c>
      <c r="AU421" s="293" t="str">
        <f>IFERROR(Table_NFI[[#This Row],[Kitchen Set]]/VLOOKUP(Table_NFI[[#This Row],[Camp Name]],CL,4,0),"")</f>
        <v/>
      </c>
      <c r="AV421" s="466"/>
      <c r="AW421" s="469"/>
    </row>
    <row r="422" spans="1:49" s="470" customFormat="1" ht="14.45" customHeight="1" x14ac:dyDescent="0.25">
      <c r="A422" s="297">
        <f t="shared" si="6"/>
        <v>31.366666666666667</v>
      </c>
      <c r="B422" s="465">
        <v>41734</v>
      </c>
      <c r="C422" s="466" t="s">
        <v>1104</v>
      </c>
      <c r="D422" s="466" t="s">
        <v>900</v>
      </c>
      <c r="E422" s="466" t="s">
        <v>380</v>
      </c>
      <c r="F422" s="466" t="s">
        <v>527</v>
      </c>
      <c r="G422" s="466" t="s">
        <v>88</v>
      </c>
      <c r="H422" s="291"/>
      <c r="I422" s="291"/>
      <c r="J422" s="291"/>
      <c r="K422" s="291"/>
      <c r="L422" s="292"/>
      <c r="M422" s="292"/>
      <c r="N422" s="292"/>
      <c r="O422" s="292"/>
      <c r="P422" s="294"/>
      <c r="Q422" s="294"/>
      <c r="R422" s="294"/>
      <c r="S422" s="294"/>
      <c r="T422" s="294"/>
      <c r="U422" s="294">
        <v>44</v>
      </c>
      <c r="V422" s="431"/>
      <c r="W422" s="294"/>
      <c r="X422" s="294"/>
      <c r="Y422" s="294">
        <f>IF(NFI_Expiration=1,IF($A422&lt;VLOOKUP(H$5,NFI,5,0),1,0)*Table_NFI[[#This Row],[Hygiene Kit]],Table_NFI[Hygiene Kit])</f>
        <v>0</v>
      </c>
      <c r="Z422" s="294">
        <f>IF(NFI_Expiration=1,IF($A422&lt;VLOOKUP(I$5,NFI,5,0),1,0)*Table_NFI[[#This Row],[NFI Core Kit]],Table_NFI[NFI Core Kit])</f>
        <v>0</v>
      </c>
      <c r="AA422" s="294">
        <f>IF(NFI_Expiration=1,IF($A422&lt;VLOOKUP(J$5,NFI,5,0),1,0)*Table_NFI[[#This Row],[Sanitary Kit]],Table_NFI[Sanitary Kit])</f>
        <v>0</v>
      </c>
      <c r="AB422" s="294">
        <f>IF(NFI_Expiration=1,IF($A422&lt;VLOOKUP(K$5,NFI,5,0),1,0)*Table_NFI[[#This Row],[Mosquito net]],Table_NFI[Mosquito net])</f>
        <v>0</v>
      </c>
      <c r="AC422" s="294">
        <f>IF(NFI_Expiration=1,IF($A422&lt;VLOOKUP(L$5,NFI,5,0),1,0)*Table_NFI[[#This Row],[Tarpaulin]],Table_NFI[[#This Row],[Tarpaulin]])</f>
        <v>0</v>
      </c>
      <c r="AD422" s="294">
        <f>IF(NFI_Expiration=1,IF($A422&lt;VLOOKUP(M$5,NFI,5,0),1,0)*Table_NFI[[#This Row],[Blanket]],Table_NFI[[#This Row],[Blanket]])</f>
        <v>0</v>
      </c>
      <c r="AE422" s="294">
        <f>IF(NFI_Expiration=1,IF($A422&lt;VLOOKUP(N$5,NFI,5,0),1,0)*Table_NFI[[#This Row],[Kitchen Set]],Table_NFI[Kitchen Set])</f>
        <v>0</v>
      </c>
      <c r="AF422" s="294">
        <f>IF(NFI_Expiration=1,IF($A422&lt;VLOOKUP(O$5,NFI,5,0),1,0)*Table_NFI[[#This Row],[Clothes Kit]],Table_NFI[Clothes Kit])</f>
        <v>0</v>
      </c>
      <c r="AG422" s="294">
        <f>IF(NFI_Expiration=1,IF($A422&lt;VLOOKUP(P$5,NFI,5,0),1,0)*Table_NFI[[#This Row],[Plastic Bucket]],Table_NFI[Plastic Bucket])</f>
        <v>0</v>
      </c>
      <c r="AH422" s="294">
        <f>IF(NFI_Expiration=1,IF($A422&lt;VLOOKUP(Q$5,NFI,5,0),1,0)*Table_NFI[[#This Row],[Plastic Mat]],Table_NFI[Plastic Mat])*IF(Table_NFI[[#This Row],[Distribution Date]]&gt;"2014-04-01",1,2.5)</f>
        <v>0</v>
      </c>
      <c r="AI422" s="294">
        <f>IF(NFI_Expiration=1,IF($A422&lt;VLOOKUP(R$5,NFI,5,0),1,0)*Table_NFI[[#This Row],[Winter Clothes Adult]],Table_NFI[Winter Clothes Adult])</f>
        <v>0</v>
      </c>
      <c r="AJ422" s="294">
        <f>IF(NFI_Expiration=1,IF($A422&lt;VLOOKUP(S$5,NFI,5,0),1,0)*Table_NFI[[#This Row],[Winter Clothes Children]],Table_NFI[Winter Clothes Children])</f>
        <v>0</v>
      </c>
      <c r="AK422" s="294">
        <f>IF(NFI_Expiration=1,IF($A422&lt;VLOOKUP(T$5,NFI,5,0),1,0)*Table_NFI[[#This Row],[Winter Items Other]],Table_NFI[Winter Items Other])</f>
        <v>0</v>
      </c>
      <c r="AL422" s="294">
        <f>IF(NFI_Expiration=1,IF($A422&lt;VLOOKUP(M$5,NFI,5,0),1,0)*Table_NFI[[#This Row],[Winter Blanket]],Table_NFI[[#This Row],[Winter Blanket]])</f>
        <v>0</v>
      </c>
      <c r="AM422" s="294">
        <f>IF(Table_NFI[[#This Row],[Winter Clothes Adult]]+Table_NFI[[#This Row],[Winter Clothes Children]]+Table_NFI[[#This Row],[Winter Items Other]]+Table_NFI[[#This Row],[Winter Blanket]]&gt;0,1,0)</f>
        <v>1</v>
      </c>
      <c r="AN422" s="331">
        <f>IF(NFI_Expiration=1,IF($A422&lt;VLOOKUP(V$5,NFI,5,0),1,0)*Table_NFI[[#This Row],[Jerry Can]],Table_NFI[Jerry Can])</f>
        <v>0</v>
      </c>
      <c r="AO422" s="331">
        <f>IF(NFI_Expiration=1,IF($A422&lt;VLOOKUP(V$5,NFI,5,0),1,0)*Table_NFI[[#This Row],[Shelter Tool kit]],Table_NFI[Shelter Tool kit])</f>
        <v>0</v>
      </c>
      <c r="AP422" s="331">
        <f>IF(NFI_Expiration=1,IF($A422&lt;VLOOKUP(V$5,NFI,5,0),1,0)*Table_NFI[[#This Row],[Tent]],Table_NFI[Tent])</f>
        <v>0</v>
      </c>
      <c r="AQ422" s="473" t="str">
        <f>IFERROR(VLOOKUP(Table_NFI[[#This Row],[Camp Name]],CL,2,0),"")</f>
        <v>MMR001CMP148</v>
      </c>
      <c r="AR422" s="468">
        <f ca="1">IF(Table_NFI[[#This Row],[Pcode]]="","",IF(OFFSET(CampList[Opening Date],MATCH(Table_NFI[[#This Row],[Pcode]],CampList[CP_Pcode],0)-1,0,1,1)&gt;=NFI_Monitor_Date,1,0))</f>
        <v>0</v>
      </c>
      <c r="AS422" s="473" t="str">
        <f>IFERROR(VLOOKUP(Table_NFI[[#This Row],[Camp Name]],CL,3,0),"")</f>
        <v>Open</v>
      </c>
      <c r="AT422" s="294" t="str">
        <f ca="1">IF(Table_NFI[[#This Row],[Pcode]]="","",OFFSET(CampList[Priority],MATCH(Table_NFI[[#This Row],[Pcode]],CampList[CP_Pcode],0)-1,0,1,1))</f>
        <v>P4</v>
      </c>
      <c r="AU422" s="293">
        <f>IFERROR(Table_NFI[[#This Row],[Kitchen Set]]/VLOOKUP(Table_NFI[[#This Row],[Camp Name]],CL,4,0),"")</f>
        <v>0</v>
      </c>
      <c r="AV422" s="466"/>
      <c r="AW422" s="469"/>
    </row>
    <row r="423" spans="1:49" s="470" customFormat="1" ht="14.45" customHeight="1" x14ac:dyDescent="0.25">
      <c r="A423" s="297">
        <f t="shared" si="6"/>
        <v>31.466666666666665</v>
      </c>
      <c r="B423" s="465">
        <v>41731</v>
      </c>
      <c r="C423" s="466" t="s">
        <v>452</v>
      </c>
      <c r="D423" s="466" t="s">
        <v>452</v>
      </c>
      <c r="E423" s="466" t="s">
        <v>380</v>
      </c>
      <c r="F423" s="466" t="s">
        <v>5</v>
      </c>
      <c r="G423" s="466" t="s">
        <v>8</v>
      </c>
      <c r="H423" s="291"/>
      <c r="I423" s="291"/>
      <c r="J423" s="291"/>
      <c r="K423" s="291"/>
      <c r="L423" s="292">
        <v>1</v>
      </c>
      <c r="M423" s="292">
        <v>3</v>
      </c>
      <c r="N423" s="292">
        <v>2</v>
      </c>
      <c r="O423" s="292"/>
      <c r="P423" s="294">
        <v>3</v>
      </c>
      <c r="Q423" s="294"/>
      <c r="R423" s="294"/>
      <c r="S423" s="294"/>
      <c r="T423" s="294"/>
      <c r="U423" s="294"/>
      <c r="V423" s="431"/>
      <c r="W423" s="294"/>
      <c r="X423" s="294"/>
      <c r="Y423" s="294">
        <f>IF(NFI_Expiration=1,IF($A423&lt;VLOOKUP(H$5,NFI,5,0),1,0)*Table_NFI[[#This Row],[Hygiene Kit]],Table_NFI[Hygiene Kit])</f>
        <v>0</v>
      </c>
      <c r="Z423" s="294">
        <f>IF(NFI_Expiration=1,IF($A423&lt;VLOOKUP(I$5,NFI,5,0),1,0)*Table_NFI[[#This Row],[NFI Core Kit]],Table_NFI[NFI Core Kit])</f>
        <v>0</v>
      </c>
      <c r="AA423" s="294">
        <f>IF(NFI_Expiration=1,IF($A423&lt;VLOOKUP(J$5,NFI,5,0),1,0)*Table_NFI[[#This Row],[Sanitary Kit]],Table_NFI[Sanitary Kit])</f>
        <v>0</v>
      </c>
      <c r="AB423" s="294">
        <f>IF(NFI_Expiration=1,IF($A423&lt;VLOOKUP(K$5,NFI,5,0),1,0)*Table_NFI[[#This Row],[Mosquito net]],Table_NFI[Mosquito net])</f>
        <v>0</v>
      </c>
      <c r="AC423" s="294">
        <f>IF(NFI_Expiration=1,IF($A423&lt;VLOOKUP(L$5,NFI,5,0),1,0)*Table_NFI[[#This Row],[Tarpaulin]],Table_NFI[[#This Row],[Tarpaulin]])</f>
        <v>0</v>
      </c>
      <c r="AD423" s="294">
        <f>IF(NFI_Expiration=1,IF($A423&lt;VLOOKUP(M$5,NFI,5,0),1,0)*Table_NFI[[#This Row],[Blanket]],Table_NFI[[#This Row],[Blanket]])</f>
        <v>0</v>
      </c>
      <c r="AE423" s="294">
        <f>IF(NFI_Expiration=1,IF($A423&lt;VLOOKUP(N$5,NFI,5,0),1,0)*Table_NFI[[#This Row],[Kitchen Set]],Table_NFI[Kitchen Set])</f>
        <v>0</v>
      </c>
      <c r="AF423" s="294">
        <f>IF(NFI_Expiration=1,IF($A423&lt;VLOOKUP(O$5,NFI,5,0),1,0)*Table_NFI[[#This Row],[Clothes Kit]],Table_NFI[Clothes Kit])</f>
        <v>0</v>
      </c>
      <c r="AG423" s="294">
        <f>IF(NFI_Expiration=1,IF($A423&lt;VLOOKUP(P$5,NFI,5,0),1,0)*Table_NFI[[#This Row],[Plastic Bucket]],Table_NFI[Plastic Bucket])</f>
        <v>0</v>
      </c>
      <c r="AH423" s="294">
        <f>IF(NFI_Expiration=1,IF($A423&lt;VLOOKUP(Q$5,NFI,5,0),1,0)*Table_NFI[[#This Row],[Plastic Mat]],Table_NFI[Plastic Mat])*IF(Table_NFI[[#This Row],[Distribution Date]]&gt;"2014-04-01",1,2.5)</f>
        <v>0</v>
      </c>
      <c r="AI423" s="294">
        <f>IF(NFI_Expiration=1,IF($A423&lt;VLOOKUP(R$5,NFI,5,0),1,0)*Table_NFI[[#This Row],[Winter Clothes Adult]],Table_NFI[Winter Clothes Adult])</f>
        <v>0</v>
      </c>
      <c r="AJ423" s="294">
        <f>IF(NFI_Expiration=1,IF($A423&lt;VLOOKUP(S$5,NFI,5,0),1,0)*Table_NFI[[#This Row],[Winter Clothes Children]],Table_NFI[Winter Clothes Children])</f>
        <v>0</v>
      </c>
      <c r="AK423" s="294">
        <f>IF(NFI_Expiration=1,IF($A423&lt;VLOOKUP(T$5,NFI,5,0),1,0)*Table_NFI[[#This Row],[Winter Items Other]],Table_NFI[Winter Items Other])</f>
        <v>0</v>
      </c>
      <c r="AL423" s="294">
        <f>IF(NFI_Expiration=1,IF($A423&lt;VLOOKUP(M$5,NFI,5,0),1,0)*Table_NFI[[#This Row],[Winter Blanket]],Table_NFI[[#This Row],[Winter Blanket]])</f>
        <v>0</v>
      </c>
      <c r="AM423" s="294">
        <f>IF(Table_NFI[[#This Row],[Winter Clothes Adult]]+Table_NFI[[#This Row],[Winter Clothes Children]]+Table_NFI[[#This Row],[Winter Items Other]]+Table_NFI[[#This Row],[Winter Blanket]]&gt;0,1,0)</f>
        <v>0</v>
      </c>
      <c r="AN423" s="331">
        <f>IF(NFI_Expiration=1,IF($A423&lt;VLOOKUP(V$5,NFI,5,0),1,0)*Table_NFI[[#This Row],[Jerry Can]],Table_NFI[Jerry Can])</f>
        <v>0</v>
      </c>
      <c r="AO423" s="331">
        <f>IF(NFI_Expiration=1,IF($A423&lt;VLOOKUP(V$5,NFI,5,0),1,0)*Table_NFI[[#This Row],[Shelter Tool kit]],Table_NFI[Shelter Tool kit])</f>
        <v>0</v>
      </c>
      <c r="AP423" s="331">
        <f>IF(NFI_Expiration=1,IF($A423&lt;VLOOKUP(V$5,NFI,5,0),1,0)*Table_NFI[[#This Row],[Tent]],Table_NFI[Tent])</f>
        <v>0</v>
      </c>
      <c r="AQ423" s="473" t="str">
        <f>IFERROR(VLOOKUP(Table_NFI[[#This Row],[Camp Name]],CL,2,0),"")</f>
        <v>MMR001CMP051</v>
      </c>
      <c r="AR423" s="468">
        <f ca="1">IF(Table_NFI[[#This Row],[Pcode]]="","",IF(OFFSET(CampList[Opening Date],MATCH(Table_NFI[[#This Row],[Pcode]],CampList[CP_Pcode],0)-1,0,1,1)&gt;=NFI_Monitor_Date,1,0))</f>
        <v>0</v>
      </c>
      <c r="AS423" s="473" t="str">
        <f>IFERROR(VLOOKUP(Table_NFI[[#This Row],[Camp Name]],CL,3,0),"")</f>
        <v>Open</v>
      </c>
      <c r="AT423" s="294" t="str">
        <f ca="1">IF(Table_NFI[[#This Row],[Pcode]]="","",OFFSET(CampList[Priority],MATCH(Table_NFI[[#This Row],[Pcode]],CampList[CP_Pcode],0)-1,0,1,1))</f>
        <v>P4</v>
      </c>
      <c r="AU423" s="293">
        <f>IFERROR(Table_NFI[[#This Row],[Kitchen Set]]/VLOOKUP(Table_NFI[[#This Row],[Camp Name]],CL,4,0),"")</f>
        <v>0.14285714285714285</v>
      </c>
      <c r="AV423" s="466" t="s">
        <v>1092</v>
      </c>
      <c r="AW423" s="469"/>
    </row>
    <row r="424" spans="1:49" s="470" customFormat="1" ht="14.45" customHeight="1" x14ac:dyDescent="0.25">
      <c r="A424" s="297">
        <f t="shared" si="6"/>
        <v>32.666666666666664</v>
      </c>
      <c r="B424" s="465">
        <v>41695</v>
      </c>
      <c r="C424" s="466" t="s">
        <v>1104</v>
      </c>
      <c r="D424" s="466" t="s">
        <v>900</v>
      </c>
      <c r="E424" s="466" t="s">
        <v>380</v>
      </c>
      <c r="F424" s="466" t="s">
        <v>173</v>
      </c>
      <c r="G424" s="466" t="s">
        <v>174</v>
      </c>
      <c r="H424" s="291"/>
      <c r="I424" s="291"/>
      <c r="J424" s="291"/>
      <c r="K424" s="291"/>
      <c r="L424" s="292"/>
      <c r="M424" s="292"/>
      <c r="N424" s="292"/>
      <c r="O424" s="292"/>
      <c r="P424" s="294"/>
      <c r="Q424" s="294"/>
      <c r="R424" s="294"/>
      <c r="S424" s="294"/>
      <c r="T424" s="294"/>
      <c r="U424" s="294">
        <v>26</v>
      </c>
      <c r="V424" s="431"/>
      <c r="W424" s="294"/>
      <c r="X424" s="294"/>
      <c r="Y424" s="294">
        <f>IF(NFI_Expiration=1,IF($A424&lt;VLOOKUP(H$5,NFI,5,0),1,0)*Table_NFI[[#This Row],[Hygiene Kit]],Table_NFI[Hygiene Kit])</f>
        <v>0</v>
      </c>
      <c r="Z424" s="294">
        <f>IF(NFI_Expiration=1,IF($A424&lt;VLOOKUP(I$5,NFI,5,0),1,0)*Table_NFI[[#This Row],[NFI Core Kit]],Table_NFI[NFI Core Kit])</f>
        <v>0</v>
      </c>
      <c r="AA424" s="294">
        <f>IF(NFI_Expiration=1,IF($A424&lt;VLOOKUP(J$5,NFI,5,0),1,0)*Table_NFI[[#This Row],[Sanitary Kit]],Table_NFI[Sanitary Kit])</f>
        <v>0</v>
      </c>
      <c r="AB424" s="294">
        <f>IF(NFI_Expiration=1,IF($A424&lt;VLOOKUP(K$5,NFI,5,0),1,0)*Table_NFI[[#This Row],[Mosquito net]],Table_NFI[Mosquito net])</f>
        <v>0</v>
      </c>
      <c r="AC424" s="294">
        <f>IF(NFI_Expiration=1,IF($A424&lt;VLOOKUP(L$5,NFI,5,0),1,0)*Table_NFI[[#This Row],[Tarpaulin]],Table_NFI[[#This Row],[Tarpaulin]])</f>
        <v>0</v>
      </c>
      <c r="AD424" s="294">
        <f>IF(NFI_Expiration=1,IF($A424&lt;VLOOKUP(M$5,NFI,5,0),1,0)*Table_NFI[[#This Row],[Blanket]],Table_NFI[[#This Row],[Blanket]])</f>
        <v>0</v>
      </c>
      <c r="AE424" s="294">
        <f>IF(NFI_Expiration=1,IF($A424&lt;VLOOKUP(N$5,NFI,5,0),1,0)*Table_NFI[[#This Row],[Kitchen Set]],Table_NFI[Kitchen Set])</f>
        <v>0</v>
      </c>
      <c r="AF424" s="294">
        <f>IF(NFI_Expiration=1,IF($A424&lt;VLOOKUP(O$5,NFI,5,0),1,0)*Table_NFI[[#This Row],[Clothes Kit]],Table_NFI[Clothes Kit])</f>
        <v>0</v>
      </c>
      <c r="AG424" s="294">
        <f>IF(NFI_Expiration=1,IF($A424&lt;VLOOKUP(P$5,NFI,5,0),1,0)*Table_NFI[[#This Row],[Plastic Bucket]],Table_NFI[Plastic Bucket])</f>
        <v>0</v>
      </c>
      <c r="AH424" s="294">
        <f>IF(NFI_Expiration=1,IF($A424&lt;VLOOKUP(Q$5,NFI,5,0),1,0)*Table_NFI[[#This Row],[Plastic Mat]],Table_NFI[Plastic Mat])*IF(Table_NFI[[#This Row],[Distribution Date]]&gt;"2014-04-01",1,2.5)</f>
        <v>0</v>
      </c>
      <c r="AI424" s="294">
        <f>IF(NFI_Expiration=1,IF($A424&lt;VLOOKUP(R$5,NFI,5,0),1,0)*Table_NFI[[#This Row],[Winter Clothes Adult]],Table_NFI[Winter Clothes Adult])</f>
        <v>0</v>
      </c>
      <c r="AJ424" s="294">
        <f>IF(NFI_Expiration=1,IF($A424&lt;VLOOKUP(S$5,NFI,5,0),1,0)*Table_NFI[[#This Row],[Winter Clothes Children]],Table_NFI[Winter Clothes Children])</f>
        <v>0</v>
      </c>
      <c r="AK424" s="294">
        <f>IF(NFI_Expiration=1,IF($A424&lt;VLOOKUP(T$5,NFI,5,0),1,0)*Table_NFI[[#This Row],[Winter Items Other]],Table_NFI[Winter Items Other])</f>
        <v>0</v>
      </c>
      <c r="AL424" s="294">
        <f>IF(NFI_Expiration=1,IF($A424&lt;VLOOKUP(M$5,NFI,5,0),1,0)*Table_NFI[[#This Row],[Winter Blanket]],Table_NFI[[#This Row],[Winter Blanket]])</f>
        <v>0</v>
      </c>
      <c r="AM424" s="294">
        <f>IF(Table_NFI[[#This Row],[Winter Clothes Adult]]+Table_NFI[[#This Row],[Winter Clothes Children]]+Table_NFI[[#This Row],[Winter Items Other]]+Table_NFI[[#This Row],[Winter Blanket]]&gt;0,1,0)</f>
        <v>1</v>
      </c>
      <c r="AN424" s="331">
        <f>IF(NFI_Expiration=1,IF($A424&lt;VLOOKUP(V$5,NFI,5,0),1,0)*Table_NFI[[#This Row],[Jerry Can]],Table_NFI[Jerry Can])</f>
        <v>0</v>
      </c>
      <c r="AO424" s="331">
        <f>IF(NFI_Expiration=1,IF($A424&lt;VLOOKUP(V$5,NFI,5,0),1,0)*Table_NFI[[#This Row],[Shelter Tool kit]],Table_NFI[Shelter Tool kit])</f>
        <v>0</v>
      </c>
      <c r="AP424" s="331">
        <f>IF(NFI_Expiration=1,IF($A424&lt;VLOOKUP(V$5,NFI,5,0),1,0)*Table_NFI[[#This Row],[Tent]],Table_NFI[Tent])</f>
        <v>0</v>
      </c>
      <c r="AQ424" s="473" t="str">
        <f>IFERROR(VLOOKUP(Table_NFI[[#This Row],[Camp Name]],CL,2,0),"")</f>
        <v>MMR001CMP078</v>
      </c>
      <c r="AR424" s="468">
        <f ca="1">IF(Table_NFI[[#This Row],[Pcode]]="","",IF(OFFSET(CampList[Opening Date],MATCH(Table_NFI[[#This Row],[Pcode]],CampList[CP_Pcode],0)-1,0,1,1)&gt;=NFI_Monitor_Date,1,0))</f>
        <v>0</v>
      </c>
      <c r="AS424" s="473" t="str">
        <f>IFERROR(VLOOKUP(Table_NFI[[#This Row],[Camp Name]],CL,3,0),"")</f>
        <v>Open</v>
      </c>
      <c r="AT424" s="294" t="str">
        <f ca="1">IF(Table_NFI[[#This Row],[Pcode]]="","",OFFSET(CampList[Priority],MATCH(Table_NFI[[#This Row],[Pcode]],CampList[CP_Pcode],0)-1,0,1,1))</f>
        <v>P4</v>
      </c>
      <c r="AU424" s="293">
        <f>IFERROR(Table_NFI[[#This Row],[Kitchen Set]]/VLOOKUP(Table_NFI[[#This Row],[Camp Name]],CL,4,0),"")</f>
        <v>0</v>
      </c>
      <c r="AV424" s="466"/>
      <c r="AW424" s="469"/>
    </row>
    <row r="425" spans="1:49" s="470" customFormat="1" ht="14.45" customHeight="1" x14ac:dyDescent="0.25">
      <c r="A425" s="297">
        <f t="shared" si="6"/>
        <v>32.666666666666664</v>
      </c>
      <c r="B425" s="465">
        <v>41695</v>
      </c>
      <c r="C425" s="466" t="s">
        <v>1104</v>
      </c>
      <c r="D425" s="466" t="s">
        <v>900</v>
      </c>
      <c r="E425" s="466" t="s">
        <v>380</v>
      </c>
      <c r="F425" s="466" t="s">
        <v>173</v>
      </c>
      <c r="G425" s="466" t="s">
        <v>176</v>
      </c>
      <c r="H425" s="291"/>
      <c r="I425" s="291"/>
      <c r="J425" s="291"/>
      <c r="K425" s="291"/>
      <c r="L425" s="292"/>
      <c r="M425" s="292"/>
      <c r="N425" s="292"/>
      <c r="O425" s="292"/>
      <c r="P425" s="294"/>
      <c r="Q425" s="294"/>
      <c r="R425" s="294"/>
      <c r="S425" s="294"/>
      <c r="T425" s="294"/>
      <c r="U425" s="294">
        <v>26</v>
      </c>
      <c r="V425" s="431"/>
      <c r="W425" s="294"/>
      <c r="X425" s="294"/>
      <c r="Y425" s="294">
        <f>IF(NFI_Expiration=1,IF($A425&lt;VLOOKUP(H$5,NFI,5,0),1,0)*Table_NFI[[#This Row],[Hygiene Kit]],Table_NFI[Hygiene Kit])</f>
        <v>0</v>
      </c>
      <c r="Z425" s="294">
        <f>IF(NFI_Expiration=1,IF($A425&lt;VLOOKUP(I$5,NFI,5,0),1,0)*Table_NFI[[#This Row],[NFI Core Kit]],Table_NFI[NFI Core Kit])</f>
        <v>0</v>
      </c>
      <c r="AA425" s="294">
        <f>IF(NFI_Expiration=1,IF($A425&lt;VLOOKUP(J$5,NFI,5,0),1,0)*Table_NFI[[#This Row],[Sanitary Kit]],Table_NFI[Sanitary Kit])</f>
        <v>0</v>
      </c>
      <c r="AB425" s="294">
        <f>IF(NFI_Expiration=1,IF($A425&lt;VLOOKUP(K$5,NFI,5,0),1,0)*Table_NFI[[#This Row],[Mosquito net]],Table_NFI[Mosquito net])</f>
        <v>0</v>
      </c>
      <c r="AC425" s="294">
        <f>IF(NFI_Expiration=1,IF($A425&lt;VLOOKUP(L$5,NFI,5,0),1,0)*Table_NFI[[#This Row],[Tarpaulin]],Table_NFI[[#This Row],[Tarpaulin]])</f>
        <v>0</v>
      </c>
      <c r="AD425" s="294">
        <f>IF(NFI_Expiration=1,IF($A425&lt;VLOOKUP(M$5,NFI,5,0),1,0)*Table_NFI[[#This Row],[Blanket]],Table_NFI[[#This Row],[Blanket]])</f>
        <v>0</v>
      </c>
      <c r="AE425" s="294">
        <f>IF(NFI_Expiration=1,IF($A425&lt;VLOOKUP(N$5,NFI,5,0),1,0)*Table_NFI[[#This Row],[Kitchen Set]],Table_NFI[Kitchen Set])</f>
        <v>0</v>
      </c>
      <c r="AF425" s="294">
        <f>IF(NFI_Expiration=1,IF($A425&lt;VLOOKUP(O$5,NFI,5,0),1,0)*Table_NFI[[#This Row],[Clothes Kit]],Table_NFI[Clothes Kit])</f>
        <v>0</v>
      </c>
      <c r="AG425" s="294">
        <f>IF(NFI_Expiration=1,IF($A425&lt;VLOOKUP(P$5,NFI,5,0),1,0)*Table_NFI[[#This Row],[Plastic Bucket]],Table_NFI[Plastic Bucket])</f>
        <v>0</v>
      </c>
      <c r="AH425" s="294">
        <f>IF(NFI_Expiration=1,IF($A425&lt;VLOOKUP(Q$5,NFI,5,0),1,0)*Table_NFI[[#This Row],[Plastic Mat]],Table_NFI[Plastic Mat])*IF(Table_NFI[[#This Row],[Distribution Date]]&gt;"2014-04-01",1,2.5)</f>
        <v>0</v>
      </c>
      <c r="AI425" s="294">
        <f>IF(NFI_Expiration=1,IF($A425&lt;VLOOKUP(R$5,NFI,5,0),1,0)*Table_NFI[[#This Row],[Winter Clothes Adult]],Table_NFI[Winter Clothes Adult])</f>
        <v>0</v>
      </c>
      <c r="AJ425" s="294">
        <f>IF(NFI_Expiration=1,IF($A425&lt;VLOOKUP(S$5,NFI,5,0),1,0)*Table_NFI[[#This Row],[Winter Clothes Children]],Table_NFI[Winter Clothes Children])</f>
        <v>0</v>
      </c>
      <c r="AK425" s="294">
        <f>IF(NFI_Expiration=1,IF($A425&lt;VLOOKUP(T$5,NFI,5,0),1,0)*Table_NFI[[#This Row],[Winter Items Other]],Table_NFI[Winter Items Other])</f>
        <v>0</v>
      </c>
      <c r="AL425" s="294">
        <f>IF(NFI_Expiration=1,IF($A425&lt;VLOOKUP(M$5,NFI,5,0),1,0)*Table_NFI[[#This Row],[Winter Blanket]],Table_NFI[[#This Row],[Winter Blanket]])</f>
        <v>0</v>
      </c>
      <c r="AM425" s="294">
        <f>IF(Table_NFI[[#This Row],[Winter Clothes Adult]]+Table_NFI[[#This Row],[Winter Clothes Children]]+Table_NFI[[#This Row],[Winter Items Other]]+Table_NFI[[#This Row],[Winter Blanket]]&gt;0,1,0)</f>
        <v>1</v>
      </c>
      <c r="AN425" s="331">
        <f>IF(NFI_Expiration=1,IF($A425&lt;VLOOKUP(V$5,NFI,5,0),1,0)*Table_NFI[[#This Row],[Jerry Can]],Table_NFI[Jerry Can])</f>
        <v>0</v>
      </c>
      <c r="AO425" s="331">
        <f>IF(NFI_Expiration=1,IF($A425&lt;VLOOKUP(V$5,NFI,5,0),1,0)*Table_NFI[[#This Row],[Shelter Tool kit]],Table_NFI[Shelter Tool kit])</f>
        <v>0</v>
      </c>
      <c r="AP425" s="331">
        <f>IF(NFI_Expiration=1,IF($A425&lt;VLOOKUP(V$5,NFI,5,0),1,0)*Table_NFI[[#This Row],[Tent]],Table_NFI[Tent])</f>
        <v>0</v>
      </c>
      <c r="AQ425" s="473" t="str">
        <f>IFERROR(VLOOKUP(Table_NFI[[#This Row],[Camp Name]],CL,2,0),"")</f>
        <v>MMR001CMP077</v>
      </c>
      <c r="AR425" s="468">
        <f ca="1">IF(Table_NFI[[#This Row],[Pcode]]="","",IF(OFFSET(CampList[Opening Date],MATCH(Table_NFI[[#This Row],[Pcode]],CampList[CP_Pcode],0)-1,0,1,1)&gt;=NFI_Monitor_Date,1,0))</f>
        <v>0</v>
      </c>
      <c r="AS425" s="473" t="str">
        <f>IFERROR(VLOOKUP(Table_NFI[[#This Row],[Camp Name]],CL,3,0),"")</f>
        <v>Open</v>
      </c>
      <c r="AT425" s="294" t="str">
        <f ca="1">IF(Table_NFI[[#This Row],[Pcode]]="","",OFFSET(CampList[Priority],MATCH(Table_NFI[[#This Row],[Pcode]],CampList[CP_Pcode],0)-1,0,1,1))</f>
        <v>P4</v>
      </c>
      <c r="AU425" s="293">
        <f>IFERROR(Table_NFI[[#This Row],[Kitchen Set]]/VLOOKUP(Table_NFI[[#This Row],[Camp Name]],CL,4,0),"")</f>
        <v>0</v>
      </c>
      <c r="AV425" s="466"/>
      <c r="AW425" s="469"/>
    </row>
    <row r="426" spans="1:49" s="470" customFormat="1" ht="14.45" customHeight="1" x14ac:dyDescent="0.25">
      <c r="A426" s="297">
        <f t="shared" si="6"/>
        <v>32.666666666666664</v>
      </c>
      <c r="B426" s="465">
        <v>41695</v>
      </c>
      <c r="C426" s="466" t="s">
        <v>1104</v>
      </c>
      <c r="D426" s="466" t="s">
        <v>900</v>
      </c>
      <c r="E426" s="466" t="s">
        <v>380</v>
      </c>
      <c r="F426" s="466" t="s">
        <v>173</v>
      </c>
      <c r="G426" s="466" t="s">
        <v>178</v>
      </c>
      <c r="H426" s="291"/>
      <c r="I426" s="291"/>
      <c r="J426" s="291"/>
      <c r="K426" s="291"/>
      <c r="L426" s="292"/>
      <c r="M426" s="292"/>
      <c r="N426" s="292"/>
      <c r="O426" s="292"/>
      <c r="P426" s="294"/>
      <c r="Q426" s="294"/>
      <c r="R426" s="294"/>
      <c r="S426" s="294"/>
      <c r="T426" s="294"/>
      <c r="U426" s="294">
        <v>28</v>
      </c>
      <c r="V426" s="431"/>
      <c r="W426" s="294"/>
      <c r="X426" s="294"/>
      <c r="Y426" s="294">
        <f>IF(NFI_Expiration=1,IF($A426&lt;VLOOKUP(H$5,NFI,5,0),1,0)*Table_NFI[[#This Row],[Hygiene Kit]],Table_NFI[Hygiene Kit])</f>
        <v>0</v>
      </c>
      <c r="Z426" s="294">
        <f>IF(NFI_Expiration=1,IF($A426&lt;VLOOKUP(I$5,NFI,5,0),1,0)*Table_NFI[[#This Row],[NFI Core Kit]],Table_NFI[NFI Core Kit])</f>
        <v>0</v>
      </c>
      <c r="AA426" s="294">
        <f>IF(NFI_Expiration=1,IF($A426&lt;VLOOKUP(J$5,NFI,5,0),1,0)*Table_NFI[[#This Row],[Sanitary Kit]],Table_NFI[Sanitary Kit])</f>
        <v>0</v>
      </c>
      <c r="AB426" s="294">
        <f>IF(NFI_Expiration=1,IF($A426&lt;VLOOKUP(K$5,NFI,5,0),1,0)*Table_NFI[[#This Row],[Mosquito net]],Table_NFI[Mosquito net])</f>
        <v>0</v>
      </c>
      <c r="AC426" s="294">
        <f>IF(NFI_Expiration=1,IF($A426&lt;VLOOKUP(L$5,NFI,5,0),1,0)*Table_NFI[[#This Row],[Tarpaulin]],Table_NFI[[#This Row],[Tarpaulin]])</f>
        <v>0</v>
      </c>
      <c r="AD426" s="294">
        <f>IF(NFI_Expiration=1,IF($A426&lt;VLOOKUP(M$5,NFI,5,0),1,0)*Table_NFI[[#This Row],[Blanket]],Table_NFI[[#This Row],[Blanket]])</f>
        <v>0</v>
      </c>
      <c r="AE426" s="294">
        <f>IF(NFI_Expiration=1,IF($A426&lt;VLOOKUP(N$5,NFI,5,0),1,0)*Table_NFI[[#This Row],[Kitchen Set]],Table_NFI[Kitchen Set])</f>
        <v>0</v>
      </c>
      <c r="AF426" s="294">
        <f>IF(NFI_Expiration=1,IF($A426&lt;VLOOKUP(O$5,NFI,5,0),1,0)*Table_NFI[[#This Row],[Clothes Kit]],Table_NFI[Clothes Kit])</f>
        <v>0</v>
      </c>
      <c r="AG426" s="294">
        <f>IF(NFI_Expiration=1,IF($A426&lt;VLOOKUP(P$5,NFI,5,0),1,0)*Table_NFI[[#This Row],[Plastic Bucket]],Table_NFI[Plastic Bucket])</f>
        <v>0</v>
      </c>
      <c r="AH426" s="294">
        <f>IF(NFI_Expiration=1,IF($A426&lt;VLOOKUP(Q$5,NFI,5,0),1,0)*Table_NFI[[#This Row],[Plastic Mat]],Table_NFI[Plastic Mat])*IF(Table_NFI[[#This Row],[Distribution Date]]&gt;"2014-04-01",1,2.5)</f>
        <v>0</v>
      </c>
      <c r="AI426" s="294">
        <f>IF(NFI_Expiration=1,IF($A426&lt;VLOOKUP(R$5,NFI,5,0),1,0)*Table_NFI[[#This Row],[Winter Clothes Adult]],Table_NFI[Winter Clothes Adult])</f>
        <v>0</v>
      </c>
      <c r="AJ426" s="294">
        <f>IF(NFI_Expiration=1,IF($A426&lt;VLOOKUP(S$5,NFI,5,0),1,0)*Table_NFI[[#This Row],[Winter Clothes Children]],Table_NFI[Winter Clothes Children])</f>
        <v>0</v>
      </c>
      <c r="AK426" s="294">
        <f>IF(NFI_Expiration=1,IF($A426&lt;VLOOKUP(T$5,NFI,5,0),1,0)*Table_NFI[[#This Row],[Winter Items Other]],Table_NFI[Winter Items Other])</f>
        <v>0</v>
      </c>
      <c r="AL426" s="294">
        <f>IF(NFI_Expiration=1,IF($A426&lt;VLOOKUP(M$5,NFI,5,0),1,0)*Table_NFI[[#This Row],[Winter Blanket]],Table_NFI[[#This Row],[Winter Blanket]])</f>
        <v>0</v>
      </c>
      <c r="AM426" s="294">
        <f>IF(Table_NFI[[#This Row],[Winter Clothes Adult]]+Table_NFI[[#This Row],[Winter Clothes Children]]+Table_NFI[[#This Row],[Winter Items Other]]+Table_NFI[[#This Row],[Winter Blanket]]&gt;0,1,0)</f>
        <v>1</v>
      </c>
      <c r="AN426" s="331">
        <f>IF(NFI_Expiration=1,IF($A426&lt;VLOOKUP(V$5,NFI,5,0),1,0)*Table_NFI[[#This Row],[Jerry Can]],Table_NFI[Jerry Can])</f>
        <v>0</v>
      </c>
      <c r="AO426" s="331">
        <f>IF(NFI_Expiration=1,IF($A426&lt;VLOOKUP(V$5,NFI,5,0),1,0)*Table_NFI[[#This Row],[Shelter Tool kit]],Table_NFI[Shelter Tool kit])</f>
        <v>0</v>
      </c>
      <c r="AP426" s="331">
        <f>IF(NFI_Expiration=1,IF($A426&lt;VLOOKUP(V$5,NFI,5,0),1,0)*Table_NFI[[#This Row],[Tent]],Table_NFI[Tent])</f>
        <v>0</v>
      </c>
      <c r="AQ426" s="473" t="str">
        <f>IFERROR(VLOOKUP(Table_NFI[[#This Row],[Camp Name]],CL,2,0),"")</f>
        <v>MMR001CMP079</v>
      </c>
      <c r="AR426" s="468">
        <f ca="1">IF(Table_NFI[[#This Row],[Pcode]]="","",IF(OFFSET(CampList[Opening Date],MATCH(Table_NFI[[#This Row],[Pcode]],CampList[CP_Pcode],0)-1,0,1,1)&gt;=NFI_Monitor_Date,1,0))</f>
        <v>0</v>
      </c>
      <c r="AS426" s="473" t="str">
        <f>IFERROR(VLOOKUP(Table_NFI[[#This Row],[Camp Name]],CL,3,0),"")</f>
        <v>Open</v>
      </c>
      <c r="AT426" s="294" t="str">
        <f ca="1">IF(Table_NFI[[#This Row],[Pcode]]="","",OFFSET(CampList[Priority],MATCH(Table_NFI[[#This Row],[Pcode]],CampList[CP_Pcode],0)-1,0,1,1))</f>
        <v>P4</v>
      </c>
      <c r="AU426" s="293">
        <f>IFERROR(Table_NFI[[#This Row],[Kitchen Set]]/VLOOKUP(Table_NFI[[#This Row],[Camp Name]],CL,4,0),"")</f>
        <v>0</v>
      </c>
      <c r="AV426" s="466"/>
      <c r="AW426" s="469"/>
    </row>
    <row r="427" spans="1:49" s="470" customFormat="1" x14ac:dyDescent="0.25">
      <c r="A427" s="297">
        <f t="shared" si="6"/>
        <v>32.733333333333334</v>
      </c>
      <c r="B427" s="465">
        <v>41693</v>
      </c>
      <c r="C427" s="466" t="s">
        <v>1104</v>
      </c>
      <c r="D427" s="466" t="s">
        <v>900</v>
      </c>
      <c r="E427" s="466" t="s">
        <v>380</v>
      </c>
      <c r="F427" s="466" t="s">
        <v>27</v>
      </c>
      <c r="G427" s="466" t="s">
        <v>28</v>
      </c>
      <c r="H427" s="291"/>
      <c r="I427" s="291"/>
      <c r="J427" s="291"/>
      <c r="K427" s="291"/>
      <c r="L427" s="292"/>
      <c r="M427" s="292"/>
      <c r="N427" s="292"/>
      <c r="O427" s="292"/>
      <c r="P427" s="294"/>
      <c r="Q427" s="294"/>
      <c r="R427" s="294"/>
      <c r="S427" s="294"/>
      <c r="T427" s="294"/>
      <c r="U427" s="294">
        <v>222</v>
      </c>
      <c r="V427" s="431"/>
      <c r="W427" s="294"/>
      <c r="X427" s="294"/>
      <c r="Y427" s="294">
        <f>IF(NFI_Expiration=1,IF($A427&lt;VLOOKUP(H$5,NFI,5,0),1,0)*Table_NFI[[#This Row],[Hygiene Kit]],Table_NFI[Hygiene Kit])</f>
        <v>0</v>
      </c>
      <c r="Z427" s="294">
        <f>IF(NFI_Expiration=1,IF($A427&lt;VLOOKUP(I$5,NFI,5,0),1,0)*Table_NFI[[#This Row],[NFI Core Kit]],Table_NFI[NFI Core Kit])</f>
        <v>0</v>
      </c>
      <c r="AA427" s="294">
        <f>IF(NFI_Expiration=1,IF($A427&lt;VLOOKUP(J$5,NFI,5,0),1,0)*Table_NFI[[#This Row],[Sanitary Kit]],Table_NFI[Sanitary Kit])</f>
        <v>0</v>
      </c>
      <c r="AB427" s="294">
        <f>IF(NFI_Expiration=1,IF($A427&lt;VLOOKUP(K$5,NFI,5,0),1,0)*Table_NFI[[#This Row],[Mosquito net]],Table_NFI[Mosquito net])</f>
        <v>0</v>
      </c>
      <c r="AC427" s="294">
        <f>IF(NFI_Expiration=1,IF($A427&lt;VLOOKUP(L$5,NFI,5,0),1,0)*Table_NFI[[#This Row],[Tarpaulin]],Table_NFI[[#This Row],[Tarpaulin]])</f>
        <v>0</v>
      </c>
      <c r="AD427" s="294">
        <f>IF(NFI_Expiration=1,IF($A427&lt;VLOOKUP(M$5,NFI,5,0),1,0)*Table_NFI[[#This Row],[Blanket]],Table_NFI[[#This Row],[Blanket]])</f>
        <v>0</v>
      </c>
      <c r="AE427" s="294">
        <f>IF(NFI_Expiration=1,IF($A427&lt;VLOOKUP(N$5,NFI,5,0),1,0)*Table_NFI[[#This Row],[Kitchen Set]],Table_NFI[Kitchen Set])</f>
        <v>0</v>
      </c>
      <c r="AF427" s="294">
        <f>IF(NFI_Expiration=1,IF($A427&lt;VLOOKUP(O$5,NFI,5,0),1,0)*Table_NFI[[#This Row],[Clothes Kit]],Table_NFI[Clothes Kit])</f>
        <v>0</v>
      </c>
      <c r="AG427" s="294">
        <f>IF(NFI_Expiration=1,IF($A427&lt;VLOOKUP(P$5,NFI,5,0),1,0)*Table_NFI[[#This Row],[Plastic Bucket]],Table_NFI[Plastic Bucket])</f>
        <v>0</v>
      </c>
      <c r="AH427" s="294">
        <f>IF(NFI_Expiration=1,IF($A427&lt;VLOOKUP(Q$5,NFI,5,0),1,0)*Table_NFI[[#This Row],[Plastic Mat]],Table_NFI[Plastic Mat])*IF(Table_NFI[[#This Row],[Distribution Date]]&gt;"2014-04-01",1,2.5)</f>
        <v>0</v>
      </c>
      <c r="AI427" s="294">
        <f>IF(NFI_Expiration=1,IF($A427&lt;VLOOKUP(R$5,NFI,5,0),1,0)*Table_NFI[[#This Row],[Winter Clothes Adult]],Table_NFI[Winter Clothes Adult])</f>
        <v>0</v>
      </c>
      <c r="AJ427" s="294">
        <f>IF(NFI_Expiration=1,IF($A427&lt;VLOOKUP(S$5,NFI,5,0),1,0)*Table_NFI[[#This Row],[Winter Clothes Children]],Table_NFI[Winter Clothes Children])</f>
        <v>0</v>
      </c>
      <c r="AK427" s="294">
        <f>IF(NFI_Expiration=1,IF($A427&lt;VLOOKUP(T$5,NFI,5,0),1,0)*Table_NFI[[#This Row],[Winter Items Other]],Table_NFI[Winter Items Other])</f>
        <v>0</v>
      </c>
      <c r="AL427" s="294">
        <f>IF(NFI_Expiration=1,IF($A427&lt;VLOOKUP(M$5,NFI,5,0),1,0)*Table_NFI[[#This Row],[Winter Blanket]],Table_NFI[[#This Row],[Winter Blanket]])</f>
        <v>0</v>
      </c>
      <c r="AM427" s="294">
        <f>IF(Table_NFI[[#This Row],[Winter Clothes Adult]]+Table_NFI[[#This Row],[Winter Clothes Children]]+Table_NFI[[#This Row],[Winter Items Other]]+Table_NFI[[#This Row],[Winter Blanket]]&gt;0,1,0)</f>
        <v>1</v>
      </c>
      <c r="AN427" s="331">
        <f>IF(NFI_Expiration=1,IF($A427&lt;VLOOKUP(V$5,NFI,5,0),1,0)*Table_NFI[[#This Row],[Jerry Can]],Table_NFI[Jerry Can])</f>
        <v>0</v>
      </c>
      <c r="AO427" s="331">
        <f>IF(NFI_Expiration=1,IF($A427&lt;VLOOKUP(V$5,NFI,5,0),1,0)*Table_NFI[[#This Row],[Shelter Tool kit]],Table_NFI[Shelter Tool kit])</f>
        <v>0</v>
      </c>
      <c r="AP427" s="331">
        <f>IF(NFI_Expiration=1,IF($A427&lt;VLOOKUP(V$5,NFI,5,0),1,0)*Table_NFI[[#This Row],[Tent]],Table_NFI[Tent])</f>
        <v>0</v>
      </c>
      <c r="AQ427" s="473" t="str">
        <f>IFERROR(VLOOKUP(Table_NFI[[#This Row],[Camp Name]],CL,2,0),"")</f>
        <v>MMR001CMP042</v>
      </c>
      <c r="AR427" s="468">
        <f ca="1">IF(Table_NFI[[#This Row],[Pcode]]="","",IF(OFFSET(CampList[Opening Date],MATCH(Table_NFI[[#This Row],[Pcode]],CampList[CP_Pcode],0)-1,0,1,1)&gt;=NFI_Monitor_Date,1,0))</f>
        <v>0</v>
      </c>
      <c r="AS427" s="473" t="str">
        <f>IFERROR(VLOOKUP(Table_NFI[[#This Row],[Camp Name]],CL,3,0),"")</f>
        <v>Open</v>
      </c>
      <c r="AT427" s="294" t="str">
        <f ca="1">IF(Table_NFI[[#This Row],[Pcode]]="","",OFFSET(CampList[Priority],MATCH(Table_NFI[[#This Row],[Pcode]],CampList[CP_Pcode],0)-1,0,1,1))</f>
        <v>P1</v>
      </c>
      <c r="AU427" s="293">
        <f>IFERROR(Table_NFI[[#This Row],[Kitchen Set]]/VLOOKUP(Table_NFI[[#This Row],[Camp Name]],CL,4,0),"")</f>
        <v>0</v>
      </c>
      <c r="AV427" s="466"/>
      <c r="AW427" s="469"/>
    </row>
    <row r="428" spans="1:49" s="470" customFormat="1" x14ac:dyDescent="0.25">
      <c r="A428" s="297">
        <f t="shared" si="6"/>
        <v>32.733333333333334</v>
      </c>
      <c r="B428" s="465">
        <v>41693</v>
      </c>
      <c r="C428" s="466" t="s">
        <v>1104</v>
      </c>
      <c r="D428" s="466" t="s">
        <v>900</v>
      </c>
      <c r="E428" s="466" t="s">
        <v>380</v>
      </c>
      <c r="F428" s="466" t="s">
        <v>27</v>
      </c>
      <c r="G428" s="466" t="s">
        <v>365</v>
      </c>
      <c r="H428" s="291"/>
      <c r="I428" s="291"/>
      <c r="J428" s="291"/>
      <c r="K428" s="291"/>
      <c r="L428" s="292"/>
      <c r="M428" s="292"/>
      <c r="N428" s="292"/>
      <c r="O428" s="292"/>
      <c r="P428" s="294"/>
      <c r="Q428" s="294"/>
      <c r="R428" s="294"/>
      <c r="S428" s="294"/>
      <c r="T428" s="294"/>
      <c r="U428" s="294">
        <v>278</v>
      </c>
      <c r="V428" s="431"/>
      <c r="W428" s="294"/>
      <c r="X428" s="294"/>
      <c r="Y428" s="294">
        <f>IF(NFI_Expiration=1,IF($A428&lt;VLOOKUP(H$5,NFI,5,0),1,0)*Table_NFI[[#This Row],[Hygiene Kit]],Table_NFI[Hygiene Kit])</f>
        <v>0</v>
      </c>
      <c r="Z428" s="294">
        <f>IF(NFI_Expiration=1,IF($A428&lt;VLOOKUP(I$5,NFI,5,0),1,0)*Table_NFI[[#This Row],[NFI Core Kit]],Table_NFI[NFI Core Kit])</f>
        <v>0</v>
      </c>
      <c r="AA428" s="294">
        <f>IF(NFI_Expiration=1,IF($A428&lt;VLOOKUP(J$5,NFI,5,0),1,0)*Table_NFI[[#This Row],[Sanitary Kit]],Table_NFI[Sanitary Kit])</f>
        <v>0</v>
      </c>
      <c r="AB428" s="294">
        <f>IF(NFI_Expiration=1,IF($A428&lt;VLOOKUP(K$5,NFI,5,0),1,0)*Table_NFI[[#This Row],[Mosquito net]],Table_NFI[Mosquito net])</f>
        <v>0</v>
      </c>
      <c r="AC428" s="294">
        <f>IF(NFI_Expiration=1,IF($A428&lt;VLOOKUP(L$5,NFI,5,0),1,0)*Table_NFI[[#This Row],[Tarpaulin]],Table_NFI[[#This Row],[Tarpaulin]])</f>
        <v>0</v>
      </c>
      <c r="AD428" s="294">
        <f>IF(NFI_Expiration=1,IF($A428&lt;VLOOKUP(M$5,NFI,5,0),1,0)*Table_NFI[[#This Row],[Blanket]],Table_NFI[[#This Row],[Blanket]])</f>
        <v>0</v>
      </c>
      <c r="AE428" s="294">
        <f>IF(NFI_Expiration=1,IF($A428&lt;VLOOKUP(N$5,NFI,5,0),1,0)*Table_NFI[[#This Row],[Kitchen Set]],Table_NFI[Kitchen Set])</f>
        <v>0</v>
      </c>
      <c r="AF428" s="294">
        <f>IF(NFI_Expiration=1,IF($A428&lt;VLOOKUP(O$5,NFI,5,0),1,0)*Table_NFI[[#This Row],[Clothes Kit]],Table_NFI[Clothes Kit])</f>
        <v>0</v>
      </c>
      <c r="AG428" s="294">
        <f>IF(NFI_Expiration=1,IF($A428&lt;VLOOKUP(P$5,NFI,5,0),1,0)*Table_NFI[[#This Row],[Plastic Bucket]],Table_NFI[Plastic Bucket])</f>
        <v>0</v>
      </c>
      <c r="AH428" s="294">
        <f>IF(NFI_Expiration=1,IF($A428&lt;VLOOKUP(Q$5,NFI,5,0),1,0)*Table_NFI[[#This Row],[Plastic Mat]],Table_NFI[Plastic Mat])*IF(Table_NFI[[#This Row],[Distribution Date]]&gt;"2014-04-01",1,2.5)</f>
        <v>0</v>
      </c>
      <c r="AI428" s="294">
        <f>IF(NFI_Expiration=1,IF($A428&lt;VLOOKUP(R$5,NFI,5,0),1,0)*Table_NFI[[#This Row],[Winter Clothes Adult]],Table_NFI[Winter Clothes Adult])</f>
        <v>0</v>
      </c>
      <c r="AJ428" s="294">
        <f>IF(NFI_Expiration=1,IF($A428&lt;VLOOKUP(S$5,NFI,5,0),1,0)*Table_NFI[[#This Row],[Winter Clothes Children]],Table_NFI[Winter Clothes Children])</f>
        <v>0</v>
      </c>
      <c r="AK428" s="294">
        <f>IF(NFI_Expiration=1,IF($A428&lt;VLOOKUP(T$5,NFI,5,0),1,0)*Table_NFI[[#This Row],[Winter Items Other]],Table_NFI[Winter Items Other])</f>
        <v>0</v>
      </c>
      <c r="AL428" s="294">
        <f>IF(NFI_Expiration=1,IF($A428&lt;VLOOKUP(M$5,NFI,5,0),1,0)*Table_NFI[[#This Row],[Winter Blanket]],Table_NFI[[#This Row],[Winter Blanket]])</f>
        <v>0</v>
      </c>
      <c r="AM428" s="294">
        <f>IF(Table_NFI[[#This Row],[Winter Clothes Adult]]+Table_NFI[[#This Row],[Winter Clothes Children]]+Table_NFI[[#This Row],[Winter Items Other]]+Table_NFI[[#This Row],[Winter Blanket]]&gt;0,1,0)</f>
        <v>1</v>
      </c>
      <c r="AN428" s="331">
        <f>IF(NFI_Expiration=1,IF($A428&lt;VLOOKUP(V$5,NFI,5,0),1,0)*Table_NFI[[#This Row],[Jerry Can]],Table_NFI[Jerry Can])</f>
        <v>0</v>
      </c>
      <c r="AO428" s="331">
        <f>IF(NFI_Expiration=1,IF($A428&lt;VLOOKUP(V$5,NFI,5,0),1,0)*Table_NFI[[#This Row],[Shelter Tool kit]],Table_NFI[Shelter Tool kit])</f>
        <v>0</v>
      </c>
      <c r="AP428" s="331">
        <f>IF(NFI_Expiration=1,IF($A428&lt;VLOOKUP(V$5,NFI,5,0),1,0)*Table_NFI[[#This Row],[Tent]],Table_NFI[Tent])</f>
        <v>0</v>
      </c>
      <c r="AQ428" s="473" t="str">
        <f>IFERROR(VLOOKUP(Table_NFI[[#This Row],[Camp Name]],CL,2,0),"")</f>
        <v>MMR001CMP195</v>
      </c>
      <c r="AR428" s="468">
        <f ca="1">IF(Table_NFI[[#This Row],[Pcode]]="","",IF(OFFSET(CampList[Opening Date],MATCH(Table_NFI[[#This Row],[Pcode]],CampList[CP_Pcode],0)-1,0,1,1)&gt;=NFI_Monitor_Date,1,0))</f>
        <v>0</v>
      </c>
      <c r="AS428" s="473" t="str">
        <f>IFERROR(VLOOKUP(Table_NFI[[#This Row],[Camp Name]],CL,3,0),"")</f>
        <v>Open</v>
      </c>
      <c r="AT428" s="294" t="str">
        <f ca="1">IF(Table_NFI[[#This Row],[Pcode]]="","",OFFSET(CampList[Priority],MATCH(Table_NFI[[#This Row],[Pcode]],CampList[CP_Pcode],0)-1,0,1,1))</f>
        <v>P1</v>
      </c>
      <c r="AU428" s="293">
        <f>IFERROR(Table_NFI[[#This Row],[Kitchen Set]]/VLOOKUP(Table_NFI[[#This Row],[Camp Name]],CL,4,0),"")</f>
        <v>0</v>
      </c>
      <c r="AV428" s="466"/>
      <c r="AW428" s="469"/>
    </row>
    <row r="429" spans="1:49" s="470" customFormat="1" ht="14.45" customHeight="1" x14ac:dyDescent="0.25">
      <c r="A429" s="297">
        <f t="shared" si="6"/>
        <v>32.733333333333334</v>
      </c>
      <c r="B429" s="465">
        <v>41693</v>
      </c>
      <c r="C429" s="466" t="s">
        <v>1104</v>
      </c>
      <c r="D429" s="466" t="s">
        <v>900</v>
      </c>
      <c r="E429" s="466" t="s">
        <v>380</v>
      </c>
      <c r="F429" s="466" t="s">
        <v>185</v>
      </c>
      <c r="G429" s="466" t="s">
        <v>225</v>
      </c>
      <c r="H429" s="291"/>
      <c r="I429" s="291"/>
      <c r="J429" s="291"/>
      <c r="K429" s="291"/>
      <c r="L429" s="292"/>
      <c r="M429" s="292"/>
      <c r="N429" s="292"/>
      <c r="O429" s="292"/>
      <c r="P429" s="294"/>
      <c r="Q429" s="294"/>
      <c r="R429" s="294"/>
      <c r="S429" s="294"/>
      <c r="T429" s="294"/>
      <c r="U429" s="294">
        <v>376</v>
      </c>
      <c r="V429" s="431"/>
      <c r="W429" s="294"/>
      <c r="X429" s="294"/>
      <c r="Y429" s="294">
        <f>IF(NFI_Expiration=1,IF($A429&lt;VLOOKUP(H$5,NFI,5,0),1,0)*Table_NFI[[#This Row],[Hygiene Kit]],Table_NFI[Hygiene Kit])</f>
        <v>0</v>
      </c>
      <c r="Z429" s="294">
        <f>IF(NFI_Expiration=1,IF($A429&lt;VLOOKUP(I$5,NFI,5,0),1,0)*Table_NFI[[#This Row],[NFI Core Kit]],Table_NFI[NFI Core Kit])</f>
        <v>0</v>
      </c>
      <c r="AA429" s="294">
        <f>IF(NFI_Expiration=1,IF($A429&lt;VLOOKUP(J$5,NFI,5,0),1,0)*Table_NFI[[#This Row],[Sanitary Kit]],Table_NFI[Sanitary Kit])</f>
        <v>0</v>
      </c>
      <c r="AB429" s="294">
        <f>IF(NFI_Expiration=1,IF($A429&lt;VLOOKUP(K$5,NFI,5,0),1,0)*Table_NFI[[#This Row],[Mosquito net]],Table_NFI[Mosquito net])</f>
        <v>0</v>
      </c>
      <c r="AC429" s="294">
        <f>IF(NFI_Expiration=1,IF($A429&lt;VLOOKUP(L$5,NFI,5,0),1,0)*Table_NFI[[#This Row],[Tarpaulin]],Table_NFI[[#This Row],[Tarpaulin]])</f>
        <v>0</v>
      </c>
      <c r="AD429" s="294">
        <f>IF(NFI_Expiration=1,IF($A429&lt;VLOOKUP(M$5,NFI,5,0),1,0)*Table_NFI[[#This Row],[Blanket]],Table_NFI[[#This Row],[Blanket]])</f>
        <v>0</v>
      </c>
      <c r="AE429" s="294">
        <f>IF(NFI_Expiration=1,IF($A429&lt;VLOOKUP(N$5,NFI,5,0),1,0)*Table_NFI[[#This Row],[Kitchen Set]],Table_NFI[Kitchen Set])</f>
        <v>0</v>
      </c>
      <c r="AF429" s="294">
        <f>IF(NFI_Expiration=1,IF($A429&lt;VLOOKUP(O$5,NFI,5,0),1,0)*Table_NFI[[#This Row],[Clothes Kit]],Table_NFI[Clothes Kit])</f>
        <v>0</v>
      </c>
      <c r="AG429" s="294">
        <f>IF(NFI_Expiration=1,IF($A429&lt;VLOOKUP(P$5,NFI,5,0),1,0)*Table_NFI[[#This Row],[Plastic Bucket]],Table_NFI[Plastic Bucket])</f>
        <v>0</v>
      </c>
      <c r="AH429" s="294">
        <f>IF(NFI_Expiration=1,IF($A429&lt;VLOOKUP(Q$5,NFI,5,0),1,0)*Table_NFI[[#This Row],[Plastic Mat]],Table_NFI[Plastic Mat])*IF(Table_NFI[[#This Row],[Distribution Date]]&gt;"2014-04-01",1,2.5)</f>
        <v>0</v>
      </c>
      <c r="AI429" s="294">
        <f>IF(NFI_Expiration=1,IF($A429&lt;VLOOKUP(R$5,NFI,5,0),1,0)*Table_NFI[[#This Row],[Winter Clothes Adult]],Table_NFI[Winter Clothes Adult])</f>
        <v>0</v>
      </c>
      <c r="AJ429" s="294">
        <f>IF(NFI_Expiration=1,IF($A429&lt;VLOOKUP(S$5,NFI,5,0),1,0)*Table_NFI[[#This Row],[Winter Clothes Children]],Table_NFI[Winter Clothes Children])</f>
        <v>0</v>
      </c>
      <c r="AK429" s="294">
        <f>IF(NFI_Expiration=1,IF($A429&lt;VLOOKUP(T$5,NFI,5,0),1,0)*Table_NFI[[#This Row],[Winter Items Other]],Table_NFI[Winter Items Other])</f>
        <v>0</v>
      </c>
      <c r="AL429" s="294">
        <f>IF(NFI_Expiration=1,IF($A429&lt;VLOOKUP(M$5,NFI,5,0),1,0)*Table_NFI[[#This Row],[Winter Blanket]],Table_NFI[[#This Row],[Winter Blanket]])</f>
        <v>0</v>
      </c>
      <c r="AM429" s="294">
        <f>IF(Table_NFI[[#This Row],[Winter Clothes Adult]]+Table_NFI[[#This Row],[Winter Clothes Children]]+Table_NFI[[#This Row],[Winter Items Other]]+Table_NFI[[#This Row],[Winter Blanket]]&gt;0,1,0)</f>
        <v>1</v>
      </c>
      <c r="AN429" s="331">
        <f>IF(NFI_Expiration=1,IF($A429&lt;VLOOKUP(V$5,NFI,5,0),1,0)*Table_NFI[[#This Row],[Jerry Can]],Table_NFI[Jerry Can])</f>
        <v>0</v>
      </c>
      <c r="AO429" s="331">
        <f>IF(NFI_Expiration=1,IF($A429&lt;VLOOKUP(V$5,NFI,5,0),1,0)*Table_NFI[[#This Row],[Shelter Tool kit]],Table_NFI[Shelter Tool kit])</f>
        <v>0</v>
      </c>
      <c r="AP429" s="331">
        <f>IF(NFI_Expiration=1,IF($A429&lt;VLOOKUP(V$5,NFI,5,0),1,0)*Table_NFI[[#This Row],[Tent]],Table_NFI[Tent])</f>
        <v>0</v>
      </c>
      <c r="AQ429" s="473" t="str">
        <f>IFERROR(VLOOKUP(Table_NFI[[#This Row],[Camp Name]],CL,2,0),"")</f>
        <v>MMR001CMP073</v>
      </c>
      <c r="AR429" s="468">
        <f ca="1">IF(Table_NFI[[#This Row],[Pcode]]="","",IF(OFFSET(CampList[Opening Date],MATCH(Table_NFI[[#This Row],[Pcode]],CampList[CP_Pcode],0)-1,0,1,1)&gt;=NFI_Monitor_Date,1,0))</f>
        <v>0</v>
      </c>
      <c r="AS429" s="473" t="str">
        <f>IFERROR(VLOOKUP(Table_NFI[[#This Row],[Camp Name]],CL,3,0),"")</f>
        <v>Open</v>
      </c>
      <c r="AT429" s="294" t="str">
        <f ca="1">IF(Table_NFI[[#This Row],[Pcode]]="","",OFFSET(CampList[Priority],MATCH(Table_NFI[[#This Row],[Pcode]],CampList[CP_Pcode],0)-1,0,1,1))</f>
        <v>P3</v>
      </c>
      <c r="AU429" s="293">
        <f>IFERROR(Table_NFI[[#This Row],[Kitchen Set]]/VLOOKUP(Table_NFI[[#This Row],[Camp Name]],CL,4,0),"")</f>
        <v>0</v>
      </c>
      <c r="AV429" s="466"/>
      <c r="AW429" s="469"/>
    </row>
    <row r="430" spans="1:49" s="470" customFormat="1" ht="14.45" customHeight="1" x14ac:dyDescent="0.25">
      <c r="A430" s="297">
        <f t="shared" si="6"/>
        <v>32.766666666666666</v>
      </c>
      <c r="B430" s="465">
        <v>41692</v>
      </c>
      <c r="C430" s="466" t="s">
        <v>1104</v>
      </c>
      <c r="D430" s="466" t="s">
        <v>900</v>
      </c>
      <c r="E430" s="466" t="s">
        <v>380</v>
      </c>
      <c r="F430" s="466" t="s">
        <v>27</v>
      </c>
      <c r="G430" s="466" t="s">
        <v>864</v>
      </c>
      <c r="H430" s="291"/>
      <c r="I430" s="291"/>
      <c r="J430" s="291"/>
      <c r="K430" s="291"/>
      <c r="L430" s="292"/>
      <c r="M430" s="292"/>
      <c r="N430" s="292"/>
      <c r="O430" s="292"/>
      <c r="P430" s="294"/>
      <c r="Q430" s="294"/>
      <c r="R430" s="294"/>
      <c r="S430" s="294"/>
      <c r="T430" s="294"/>
      <c r="U430" s="294">
        <v>126</v>
      </c>
      <c r="V430" s="431"/>
      <c r="W430" s="294"/>
      <c r="X430" s="294"/>
      <c r="Y430" s="294">
        <f>IF(NFI_Expiration=1,IF($A430&lt;VLOOKUP(H$5,NFI,5,0),1,0)*Table_NFI[[#This Row],[Hygiene Kit]],Table_NFI[Hygiene Kit])</f>
        <v>0</v>
      </c>
      <c r="Z430" s="294">
        <f>IF(NFI_Expiration=1,IF($A430&lt;VLOOKUP(I$5,NFI,5,0),1,0)*Table_NFI[[#This Row],[NFI Core Kit]],Table_NFI[NFI Core Kit])</f>
        <v>0</v>
      </c>
      <c r="AA430" s="294">
        <f>IF(NFI_Expiration=1,IF($A430&lt;VLOOKUP(J$5,NFI,5,0),1,0)*Table_NFI[[#This Row],[Sanitary Kit]],Table_NFI[Sanitary Kit])</f>
        <v>0</v>
      </c>
      <c r="AB430" s="294">
        <f>IF(NFI_Expiration=1,IF($A430&lt;VLOOKUP(K$5,NFI,5,0),1,0)*Table_NFI[[#This Row],[Mosquito net]],Table_NFI[Mosquito net])</f>
        <v>0</v>
      </c>
      <c r="AC430" s="294">
        <f>IF(NFI_Expiration=1,IF($A430&lt;VLOOKUP(L$5,NFI,5,0),1,0)*Table_NFI[[#This Row],[Tarpaulin]],Table_NFI[[#This Row],[Tarpaulin]])</f>
        <v>0</v>
      </c>
      <c r="AD430" s="294">
        <f>IF(NFI_Expiration=1,IF($A430&lt;VLOOKUP(M$5,NFI,5,0),1,0)*Table_NFI[[#This Row],[Blanket]],Table_NFI[[#This Row],[Blanket]])</f>
        <v>0</v>
      </c>
      <c r="AE430" s="294">
        <f>IF(NFI_Expiration=1,IF($A430&lt;VLOOKUP(N$5,NFI,5,0),1,0)*Table_NFI[[#This Row],[Kitchen Set]],Table_NFI[Kitchen Set])</f>
        <v>0</v>
      </c>
      <c r="AF430" s="294">
        <f>IF(NFI_Expiration=1,IF($A430&lt;VLOOKUP(O$5,NFI,5,0),1,0)*Table_NFI[[#This Row],[Clothes Kit]],Table_NFI[Clothes Kit])</f>
        <v>0</v>
      </c>
      <c r="AG430" s="294">
        <f>IF(NFI_Expiration=1,IF($A430&lt;VLOOKUP(P$5,NFI,5,0),1,0)*Table_NFI[[#This Row],[Plastic Bucket]],Table_NFI[Plastic Bucket])</f>
        <v>0</v>
      </c>
      <c r="AH430" s="294">
        <f>IF(NFI_Expiration=1,IF($A430&lt;VLOOKUP(Q$5,NFI,5,0),1,0)*Table_NFI[[#This Row],[Plastic Mat]],Table_NFI[Plastic Mat])*IF(Table_NFI[[#This Row],[Distribution Date]]&gt;"2014-04-01",1,2.5)</f>
        <v>0</v>
      </c>
      <c r="AI430" s="294">
        <f>IF(NFI_Expiration=1,IF($A430&lt;VLOOKUP(R$5,NFI,5,0),1,0)*Table_NFI[[#This Row],[Winter Clothes Adult]],Table_NFI[Winter Clothes Adult])</f>
        <v>0</v>
      </c>
      <c r="AJ430" s="294">
        <f>IF(NFI_Expiration=1,IF($A430&lt;VLOOKUP(S$5,NFI,5,0),1,0)*Table_NFI[[#This Row],[Winter Clothes Children]],Table_NFI[Winter Clothes Children])</f>
        <v>0</v>
      </c>
      <c r="AK430" s="294">
        <f>IF(NFI_Expiration=1,IF($A430&lt;VLOOKUP(T$5,NFI,5,0),1,0)*Table_NFI[[#This Row],[Winter Items Other]],Table_NFI[Winter Items Other])</f>
        <v>0</v>
      </c>
      <c r="AL430" s="294">
        <f>IF(NFI_Expiration=1,IF($A430&lt;VLOOKUP(M$5,NFI,5,0),1,0)*Table_NFI[[#This Row],[Winter Blanket]],Table_NFI[[#This Row],[Winter Blanket]])</f>
        <v>0</v>
      </c>
      <c r="AM430" s="294">
        <f>IF(Table_NFI[[#This Row],[Winter Clothes Adult]]+Table_NFI[[#This Row],[Winter Clothes Children]]+Table_NFI[[#This Row],[Winter Items Other]]+Table_NFI[[#This Row],[Winter Blanket]]&gt;0,1,0)</f>
        <v>1</v>
      </c>
      <c r="AN430" s="331">
        <f>IF(NFI_Expiration=1,IF($A430&lt;VLOOKUP(V$5,NFI,5,0),1,0)*Table_NFI[[#This Row],[Jerry Can]],Table_NFI[Jerry Can])</f>
        <v>0</v>
      </c>
      <c r="AO430" s="331">
        <f>IF(NFI_Expiration=1,IF($A430&lt;VLOOKUP(V$5,NFI,5,0),1,0)*Table_NFI[[#This Row],[Shelter Tool kit]],Table_NFI[Shelter Tool kit])</f>
        <v>0</v>
      </c>
      <c r="AP430" s="331">
        <f>IF(NFI_Expiration=1,IF($A430&lt;VLOOKUP(V$5,NFI,5,0),1,0)*Table_NFI[[#This Row],[Tent]],Table_NFI[Tent])</f>
        <v>0</v>
      </c>
      <c r="AQ430" s="473" t="str">
        <f>IFERROR(VLOOKUP(Table_NFI[[#This Row],[Camp Name]],CL,2,0),"")</f>
        <v>MMR001CMP210</v>
      </c>
      <c r="AR430" s="468">
        <f ca="1">IF(Table_NFI[[#This Row],[Pcode]]="","",IF(OFFSET(CampList[Opening Date],MATCH(Table_NFI[[#This Row],[Pcode]],CampList[CP_Pcode],0)-1,0,1,1)&gt;=NFI_Monitor_Date,1,0))</f>
        <v>0</v>
      </c>
      <c r="AS430" s="473" t="str">
        <f>IFERROR(VLOOKUP(Table_NFI[[#This Row],[Camp Name]],CL,3,0),"")</f>
        <v>Open</v>
      </c>
      <c r="AT430" s="294" t="str">
        <f ca="1">IF(Table_NFI[[#This Row],[Pcode]]="","",OFFSET(CampList[Priority],MATCH(Table_NFI[[#This Row],[Pcode]],CampList[CP_Pcode],0)-1,0,1,1))</f>
        <v>P1</v>
      </c>
      <c r="AU430" s="293">
        <f>IFERROR(Table_NFI[[#This Row],[Kitchen Set]]/VLOOKUP(Table_NFI[[#This Row],[Camp Name]],CL,4,0),"")</f>
        <v>0</v>
      </c>
      <c r="AV430" s="466"/>
      <c r="AW430" s="469"/>
    </row>
    <row r="431" spans="1:49" s="470" customFormat="1" ht="14.45" customHeight="1" x14ac:dyDescent="0.25">
      <c r="A431" s="297">
        <f t="shared" si="6"/>
        <v>32.766666666666666</v>
      </c>
      <c r="B431" s="465">
        <v>41692</v>
      </c>
      <c r="C431" s="466" t="s">
        <v>1104</v>
      </c>
      <c r="D431" s="466" t="s">
        <v>900</v>
      </c>
      <c r="E431" s="466" t="s">
        <v>380</v>
      </c>
      <c r="F431" s="466" t="s">
        <v>27</v>
      </c>
      <c r="G431" s="466" t="s">
        <v>1019</v>
      </c>
      <c r="H431" s="291"/>
      <c r="I431" s="291"/>
      <c r="J431" s="291"/>
      <c r="K431" s="291"/>
      <c r="L431" s="292"/>
      <c r="M431" s="292"/>
      <c r="N431" s="292"/>
      <c r="O431" s="292"/>
      <c r="P431" s="294"/>
      <c r="Q431" s="294"/>
      <c r="R431" s="294"/>
      <c r="S431" s="294"/>
      <c r="T431" s="294"/>
      <c r="U431" s="294">
        <v>58</v>
      </c>
      <c r="V431" s="431"/>
      <c r="W431" s="294"/>
      <c r="X431" s="294"/>
      <c r="Y431" s="294">
        <f>IF(NFI_Expiration=1,IF($A431&lt;VLOOKUP(H$5,NFI,5,0),1,0)*Table_NFI[[#This Row],[Hygiene Kit]],Table_NFI[Hygiene Kit])</f>
        <v>0</v>
      </c>
      <c r="Z431" s="294">
        <f>IF(NFI_Expiration=1,IF($A431&lt;VLOOKUP(I$5,NFI,5,0),1,0)*Table_NFI[[#This Row],[NFI Core Kit]],Table_NFI[NFI Core Kit])</f>
        <v>0</v>
      </c>
      <c r="AA431" s="294">
        <f>IF(NFI_Expiration=1,IF($A431&lt;VLOOKUP(J$5,NFI,5,0),1,0)*Table_NFI[[#This Row],[Sanitary Kit]],Table_NFI[Sanitary Kit])</f>
        <v>0</v>
      </c>
      <c r="AB431" s="294">
        <f>IF(NFI_Expiration=1,IF($A431&lt;VLOOKUP(K$5,NFI,5,0),1,0)*Table_NFI[[#This Row],[Mosquito net]],Table_NFI[Mosquito net])</f>
        <v>0</v>
      </c>
      <c r="AC431" s="294">
        <f>IF(NFI_Expiration=1,IF($A431&lt;VLOOKUP(L$5,NFI,5,0),1,0)*Table_NFI[[#This Row],[Tarpaulin]],Table_NFI[[#This Row],[Tarpaulin]])</f>
        <v>0</v>
      </c>
      <c r="AD431" s="294">
        <f>IF(NFI_Expiration=1,IF($A431&lt;VLOOKUP(M$5,NFI,5,0),1,0)*Table_NFI[[#This Row],[Blanket]],Table_NFI[[#This Row],[Blanket]])</f>
        <v>0</v>
      </c>
      <c r="AE431" s="294">
        <f>IF(NFI_Expiration=1,IF($A431&lt;VLOOKUP(N$5,NFI,5,0),1,0)*Table_NFI[[#This Row],[Kitchen Set]],Table_NFI[Kitchen Set])</f>
        <v>0</v>
      </c>
      <c r="AF431" s="294">
        <f>IF(NFI_Expiration=1,IF($A431&lt;VLOOKUP(O$5,NFI,5,0),1,0)*Table_NFI[[#This Row],[Clothes Kit]],Table_NFI[Clothes Kit])</f>
        <v>0</v>
      </c>
      <c r="AG431" s="294">
        <f>IF(NFI_Expiration=1,IF($A431&lt;VLOOKUP(P$5,NFI,5,0),1,0)*Table_NFI[[#This Row],[Plastic Bucket]],Table_NFI[Plastic Bucket])</f>
        <v>0</v>
      </c>
      <c r="AH431" s="294">
        <f>IF(NFI_Expiration=1,IF($A431&lt;VLOOKUP(Q$5,NFI,5,0),1,0)*Table_NFI[[#This Row],[Plastic Mat]],Table_NFI[Plastic Mat])*IF(Table_NFI[[#This Row],[Distribution Date]]&gt;"2014-04-01",1,2.5)</f>
        <v>0</v>
      </c>
      <c r="AI431" s="294">
        <f>IF(NFI_Expiration=1,IF($A431&lt;VLOOKUP(R$5,NFI,5,0),1,0)*Table_NFI[[#This Row],[Winter Clothes Adult]],Table_NFI[Winter Clothes Adult])</f>
        <v>0</v>
      </c>
      <c r="AJ431" s="294">
        <f>IF(NFI_Expiration=1,IF($A431&lt;VLOOKUP(S$5,NFI,5,0),1,0)*Table_NFI[[#This Row],[Winter Clothes Children]],Table_NFI[Winter Clothes Children])</f>
        <v>0</v>
      </c>
      <c r="AK431" s="294">
        <f>IF(NFI_Expiration=1,IF($A431&lt;VLOOKUP(T$5,NFI,5,0),1,0)*Table_NFI[[#This Row],[Winter Items Other]],Table_NFI[Winter Items Other])</f>
        <v>0</v>
      </c>
      <c r="AL431" s="294">
        <f>IF(NFI_Expiration=1,IF($A431&lt;VLOOKUP(M$5,NFI,5,0),1,0)*Table_NFI[[#This Row],[Winter Blanket]],Table_NFI[[#This Row],[Winter Blanket]])</f>
        <v>0</v>
      </c>
      <c r="AM431" s="294">
        <f>IF(Table_NFI[[#This Row],[Winter Clothes Adult]]+Table_NFI[[#This Row],[Winter Clothes Children]]+Table_NFI[[#This Row],[Winter Items Other]]+Table_NFI[[#This Row],[Winter Blanket]]&gt;0,1,0)</f>
        <v>1</v>
      </c>
      <c r="AN431" s="331">
        <f>IF(NFI_Expiration=1,IF($A431&lt;VLOOKUP(V$5,NFI,5,0),1,0)*Table_NFI[[#This Row],[Jerry Can]],Table_NFI[Jerry Can])</f>
        <v>0</v>
      </c>
      <c r="AO431" s="331">
        <f>IF(NFI_Expiration=1,IF($A431&lt;VLOOKUP(V$5,NFI,5,0),1,0)*Table_NFI[[#This Row],[Shelter Tool kit]],Table_NFI[Shelter Tool kit])</f>
        <v>0</v>
      </c>
      <c r="AP431" s="331">
        <f>IF(NFI_Expiration=1,IF($A431&lt;VLOOKUP(V$5,NFI,5,0),1,0)*Table_NFI[[#This Row],[Tent]],Table_NFI[Tent])</f>
        <v>0</v>
      </c>
      <c r="AQ431" s="473" t="str">
        <f>IFERROR(VLOOKUP(Table_NFI[[#This Row],[Camp Name]],CL,2,0),"")</f>
        <v>MMR001CMP225</v>
      </c>
      <c r="AR431" s="468">
        <f ca="1">IF(Table_NFI[[#This Row],[Pcode]]="","",IF(OFFSET(CampList[Opening Date],MATCH(Table_NFI[[#This Row],[Pcode]],CampList[CP_Pcode],0)-1,0,1,1)&gt;=NFI_Monitor_Date,1,0))</f>
        <v>0</v>
      </c>
      <c r="AS431" s="473" t="str">
        <f>IFERROR(VLOOKUP(Table_NFI[[#This Row],[Camp Name]],CL,3,0),"")</f>
        <v>Open</v>
      </c>
      <c r="AT431" s="294" t="str">
        <f ca="1">IF(Table_NFI[[#This Row],[Pcode]]="","",OFFSET(CampList[Priority],MATCH(Table_NFI[[#This Row],[Pcode]],CampList[CP_Pcode],0)-1,0,1,1))</f>
        <v>P1</v>
      </c>
      <c r="AU431" s="293">
        <f>IFERROR(Table_NFI[[#This Row],[Kitchen Set]]/VLOOKUP(Table_NFI[[#This Row],[Camp Name]],CL,4,0),"")</f>
        <v>0</v>
      </c>
      <c r="AV431" s="466"/>
      <c r="AW431" s="469"/>
    </row>
    <row r="432" spans="1:49" s="470" customFormat="1" ht="14.45" customHeight="1" x14ac:dyDescent="0.25">
      <c r="A432" s="297">
        <f t="shared" si="6"/>
        <v>32.766666666666666</v>
      </c>
      <c r="B432" s="465">
        <v>41692</v>
      </c>
      <c r="C432" s="466" t="s">
        <v>1104</v>
      </c>
      <c r="D432" s="466" t="s">
        <v>900</v>
      </c>
      <c r="E432" s="466" t="s">
        <v>380</v>
      </c>
      <c r="F432" s="466" t="s">
        <v>808</v>
      </c>
      <c r="G432" s="466" t="s">
        <v>808</v>
      </c>
      <c r="H432" s="291"/>
      <c r="I432" s="291"/>
      <c r="J432" s="291"/>
      <c r="K432" s="291"/>
      <c r="L432" s="292"/>
      <c r="M432" s="292"/>
      <c r="N432" s="292"/>
      <c r="O432" s="292"/>
      <c r="P432" s="294"/>
      <c r="Q432" s="294"/>
      <c r="R432" s="294"/>
      <c r="S432" s="294"/>
      <c r="T432" s="294"/>
      <c r="U432" s="294">
        <v>16</v>
      </c>
      <c r="V432" s="431"/>
      <c r="W432" s="294"/>
      <c r="X432" s="294"/>
      <c r="Y432" s="294">
        <f>IF(NFI_Expiration=1,IF($A432&lt;VLOOKUP(H$5,NFI,5,0),1,0)*Table_NFI[[#This Row],[Hygiene Kit]],Table_NFI[Hygiene Kit])</f>
        <v>0</v>
      </c>
      <c r="Z432" s="294">
        <f>IF(NFI_Expiration=1,IF($A432&lt;VLOOKUP(I$5,NFI,5,0),1,0)*Table_NFI[[#This Row],[NFI Core Kit]],Table_NFI[NFI Core Kit])</f>
        <v>0</v>
      </c>
      <c r="AA432" s="294">
        <f>IF(NFI_Expiration=1,IF($A432&lt;VLOOKUP(J$5,NFI,5,0),1,0)*Table_NFI[[#This Row],[Sanitary Kit]],Table_NFI[Sanitary Kit])</f>
        <v>0</v>
      </c>
      <c r="AB432" s="294">
        <f>IF(NFI_Expiration=1,IF($A432&lt;VLOOKUP(K$5,NFI,5,0),1,0)*Table_NFI[[#This Row],[Mosquito net]],Table_NFI[Mosquito net])</f>
        <v>0</v>
      </c>
      <c r="AC432" s="294">
        <f>IF(NFI_Expiration=1,IF($A432&lt;VLOOKUP(L$5,NFI,5,0),1,0)*Table_NFI[[#This Row],[Tarpaulin]],Table_NFI[[#This Row],[Tarpaulin]])</f>
        <v>0</v>
      </c>
      <c r="AD432" s="294">
        <f>IF(NFI_Expiration=1,IF($A432&lt;VLOOKUP(M$5,NFI,5,0),1,0)*Table_NFI[[#This Row],[Blanket]],Table_NFI[[#This Row],[Blanket]])</f>
        <v>0</v>
      </c>
      <c r="AE432" s="294">
        <f>IF(NFI_Expiration=1,IF($A432&lt;VLOOKUP(N$5,NFI,5,0),1,0)*Table_NFI[[#This Row],[Kitchen Set]],Table_NFI[Kitchen Set])</f>
        <v>0</v>
      </c>
      <c r="AF432" s="294">
        <f>IF(NFI_Expiration=1,IF($A432&lt;VLOOKUP(O$5,NFI,5,0),1,0)*Table_NFI[[#This Row],[Clothes Kit]],Table_NFI[Clothes Kit])</f>
        <v>0</v>
      </c>
      <c r="AG432" s="294">
        <f>IF(NFI_Expiration=1,IF($A432&lt;VLOOKUP(P$5,NFI,5,0),1,0)*Table_NFI[[#This Row],[Plastic Bucket]],Table_NFI[Plastic Bucket])</f>
        <v>0</v>
      </c>
      <c r="AH432" s="294">
        <f>IF(NFI_Expiration=1,IF($A432&lt;VLOOKUP(Q$5,NFI,5,0),1,0)*Table_NFI[[#This Row],[Plastic Mat]],Table_NFI[Plastic Mat])*IF(Table_NFI[[#This Row],[Distribution Date]]&gt;"2014-04-01",1,2.5)</f>
        <v>0</v>
      </c>
      <c r="AI432" s="294">
        <f>IF(NFI_Expiration=1,IF($A432&lt;VLOOKUP(R$5,NFI,5,0),1,0)*Table_NFI[[#This Row],[Winter Clothes Adult]],Table_NFI[Winter Clothes Adult])</f>
        <v>0</v>
      </c>
      <c r="AJ432" s="294">
        <f>IF(NFI_Expiration=1,IF($A432&lt;VLOOKUP(S$5,NFI,5,0),1,0)*Table_NFI[[#This Row],[Winter Clothes Children]],Table_NFI[Winter Clothes Children])</f>
        <v>0</v>
      </c>
      <c r="AK432" s="294">
        <f>IF(NFI_Expiration=1,IF($A432&lt;VLOOKUP(T$5,NFI,5,0),1,0)*Table_NFI[[#This Row],[Winter Items Other]],Table_NFI[Winter Items Other])</f>
        <v>0</v>
      </c>
      <c r="AL432" s="294">
        <f>IF(NFI_Expiration=1,IF($A432&lt;VLOOKUP(M$5,NFI,5,0),1,0)*Table_NFI[[#This Row],[Winter Blanket]],Table_NFI[[#This Row],[Winter Blanket]])</f>
        <v>0</v>
      </c>
      <c r="AM432" s="294">
        <f>IF(Table_NFI[[#This Row],[Winter Clothes Adult]]+Table_NFI[[#This Row],[Winter Clothes Children]]+Table_NFI[[#This Row],[Winter Items Other]]+Table_NFI[[#This Row],[Winter Blanket]]&gt;0,1,0)</f>
        <v>1</v>
      </c>
      <c r="AN432" s="331">
        <f>IF(NFI_Expiration=1,IF($A432&lt;VLOOKUP(V$5,NFI,5,0),1,0)*Table_NFI[[#This Row],[Jerry Can]],Table_NFI[Jerry Can])</f>
        <v>0</v>
      </c>
      <c r="AO432" s="331">
        <f>IF(NFI_Expiration=1,IF($A432&lt;VLOOKUP(V$5,NFI,5,0),1,0)*Table_NFI[[#This Row],[Shelter Tool kit]],Table_NFI[Shelter Tool kit])</f>
        <v>0</v>
      </c>
      <c r="AP432" s="331">
        <f>IF(NFI_Expiration=1,IF($A432&lt;VLOOKUP(V$5,NFI,5,0),1,0)*Table_NFI[[#This Row],[Tent]],Table_NFI[Tent])</f>
        <v>0</v>
      </c>
      <c r="AQ432" s="473" t="str">
        <f>IFERROR(VLOOKUP(Table_NFI[[#This Row],[Camp Name]],CL,2,0),"")</f>
        <v>MMR001CMP206</v>
      </c>
      <c r="AR432" s="468">
        <f ca="1">IF(Table_NFI[[#This Row],[Pcode]]="","",IF(OFFSET(CampList[Opening Date],MATCH(Table_NFI[[#This Row],[Pcode]],CampList[CP_Pcode],0)-1,0,1,1)&gt;=NFI_Monitor_Date,1,0))</f>
        <v>0</v>
      </c>
      <c r="AS432" s="473" t="str">
        <f>IFERROR(VLOOKUP(Table_NFI[[#This Row],[Camp Name]],CL,3,0),"")</f>
        <v>Open</v>
      </c>
      <c r="AT432" s="294" t="str">
        <f ca="1">IF(Table_NFI[[#This Row],[Pcode]]="","",OFFSET(CampList[Priority],MATCH(Table_NFI[[#This Row],[Pcode]],CampList[CP_Pcode],0)-1,0,1,1))</f>
        <v>P4</v>
      </c>
      <c r="AU432" s="293">
        <f>IFERROR(Table_NFI[[#This Row],[Kitchen Set]]/VLOOKUP(Table_NFI[[#This Row],[Camp Name]],CL,4,0),"")</f>
        <v>0</v>
      </c>
      <c r="AV432" s="466"/>
      <c r="AW432" s="469"/>
    </row>
    <row r="433" spans="1:49" s="470" customFormat="1" ht="14.45" customHeight="1" x14ac:dyDescent="0.25">
      <c r="A433" s="297">
        <f t="shared" si="6"/>
        <v>33.56666666666667</v>
      </c>
      <c r="B433" s="465">
        <v>41668</v>
      </c>
      <c r="C433" s="466" t="s">
        <v>452</v>
      </c>
      <c r="D433" s="467" t="s">
        <v>452</v>
      </c>
      <c r="E433" s="466" t="s">
        <v>380</v>
      </c>
      <c r="F433" s="290" t="s">
        <v>151</v>
      </c>
      <c r="G433" s="290" t="s">
        <v>885</v>
      </c>
      <c r="H433" s="291"/>
      <c r="I433" s="291"/>
      <c r="J433" s="291"/>
      <c r="K433" s="291">
        <v>100</v>
      </c>
      <c r="L433" s="292">
        <v>58</v>
      </c>
      <c r="M433" s="292">
        <v>100</v>
      </c>
      <c r="N433" s="292">
        <v>58</v>
      </c>
      <c r="O433" s="292"/>
      <c r="P433" s="294">
        <v>58</v>
      </c>
      <c r="Q433" s="294">
        <v>290</v>
      </c>
      <c r="R433" s="294"/>
      <c r="S433" s="294"/>
      <c r="T433" s="294"/>
      <c r="U433" s="294"/>
      <c r="V433" s="431"/>
      <c r="W433" s="294"/>
      <c r="X433" s="294"/>
      <c r="Y433" s="294">
        <f>IF(NFI_Expiration=1,IF($A433&lt;VLOOKUP(H$5,NFI,5,0),1,0)*Table_NFI[[#This Row],[Hygiene Kit]],Table_NFI[Hygiene Kit])</f>
        <v>0</v>
      </c>
      <c r="Z433" s="294">
        <f>IF(NFI_Expiration=1,IF($A433&lt;VLOOKUP(I$5,NFI,5,0),1,0)*Table_NFI[[#This Row],[NFI Core Kit]],Table_NFI[NFI Core Kit])</f>
        <v>0</v>
      </c>
      <c r="AA433" s="294">
        <f>IF(NFI_Expiration=1,IF($A433&lt;VLOOKUP(J$5,NFI,5,0),1,0)*Table_NFI[[#This Row],[Sanitary Kit]],Table_NFI[Sanitary Kit])</f>
        <v>0</v>
      </c>
      <c r="AB433" s="294">
        <f>IF(NFI_Expiration=1,IF($A433&lt;VLOOKUP(K$5,NFI,5,0),1,0)*Table_NFI[[#This Row],[Mosquito net]],Table_NFI[Mosquito net])</f>
        <v>0</v>
      </c>
      <c r="AC433" s="294">
        <f>IF(NFI_Expiration=1,IF($A433&lt;VLOOKUP(L$5,NFI,5,0),1,0)*Table_NFI[[#This Row],[Tarpaulin]],Table_NFI[[#This Row],[Tarpaulin]])</f>
        <v>0</v>
      </c>
      <c r="AD433" s="294">
        <f>IF(NFI_Expiration=1,IF($A433&lt;VLOOKUP(M$5,NFI,5,0),1,0)*Table_NFI[[#This Row],[Blanket]],Table_NFI[[#This Row],[Blanket]])</f>
        <v>0</v>
      </c>
      <c r="AE433" s="294">
        <f>IF(NFI_Expiration=1,IF($A433&lt;VLOOKUP(N$5,NFI,5,0),1,0)*Table_NFI[[#This Row],[Kitchen Set]],Table_NFI[Kitchen Set])</f>
        <v>0</v>
      </c>
      <c r="AF433" s="294">
        <f>IF(NFI_Expiration=1,IF($A433&lt;VLOOKUP(O$5,NFI,5,0),1,0)*Table_NFI[[#This Row],[Clothes Kit]],Table_NFI[Clothes Kit])</f>
        <v>0</v>
      </c>
      <c r="AG433" s="294">
        <f>IF(NFI_Expiration=1,IF($A433&lt;VLOOKUP(P$5,NFI,5,0),1,0)*Table_NFI[[#This Row],[Plastic Bucket]],Table_NFI[Plastic Bucket])</f>
        <v>0</v>
      </c>
      <c r="AH433" s="294">
        <f>IF(NFI_Expiration=1,IF($A433&lt;VLOOKUP(Q$5,NFI,5,0),1,0)*Table_NFI[[#This Row],[Plastic Mat]],Table_NFI[Plastic Mat])*IF(Table_NFI[[#This Row],[Distribution Date]]&gt;"2014-04-01",1,2.5)</f>
        <v>0</v>
      </c>
      <c r="AI433" s="294">
        <f>IF(NFI_Expiration=1,IF($A433&lt;VLOOKUP(R$5,NFI,5,0),1,0)*Table_NFI[[#This Row],[Winter Clothes Adult]],Table_NFI[Winter Clothes Adult])</f>
        <v>0</v>
      </c>
      <c r="AJ433" s="294">
        <f>IF(NFI_Expiration=1,IF($A433&lt;VLOOKUP(S$5,NFI,5,0),1,0)*Table_NFI[[#This Row],[Winter Clothes Children]],Table_NFI[Winter Clothes Children])</f>
        <v>0</v>
      </c>
      <c r="AK433" s="294">
        <f>IF(NFI_Expiration=1,IF($A433&lt;VLOOKUP(T$5,NFI,5,0),1,0)*Table_NFI[[#This Row],[Winter Items Other]],Table_NFI[Winter Items Other])</f>
        <v>0</v>
      </c>
      <c r="AL433" s="294">
        <f>IF(NFI_Expiration=1,IF($A433&lt;VLOOKUP(M$5,NFI,5,0),1,0)*Table_NFI[[#This Row],[Winter Blanket]],Table_NFI[[#This Row],[Winter Blanket]])</f>
        <v>0</v>
      </c>
      <c r="AM433" s="294">
        <f>IF(Table_NFI[[#This Row],[Winter Clothes Adult]]+Table_NFI[[#This Row],[Winter Clothes Children]]+Table_NFI[[#This Row],[Winter Items Other]]+Table_NFI[[#This Row],[Winter Blanket]]&gt;0,1,0)</f>
        <v>0</v>
      </c>
      <c r="AN433" s="331">
        <f>IF(NFI_Expiration=1,IF($A433&lt;VLOOKUP(V$5,NFI,5,0),1,0)*Table_NFI[[#This Row],[Jerry Can]],Table_NFI[Jerry Can])</f>
        <v>0</v>
      </c>
      <c r="AO433" s="331">
        <f>IF(NFI_Expiration=1,IF($A433&lt;VLOOKUP(V$5,NFI,5,0),1,0)*Table_NFI[[#This Row],[Shelter Tool kit]],Table_NFI[Shelter Tool kit])</f>
        <v>0</v>
      </c>
      <c r="AP433" s="331">
        <f>IF(NFI_Expiration=1,IF($A433&lt;VLOOKUP(V$5,NFI,5,0),1,0)*Table_NFI[[#This Row],[Tent]],Table_NFI[Tent])</f>
        <v>0</v>
      </c>
      <c r="AQ433" s="473" t="str">
        <f>IFERROR(VLOOKUP(Table_NFI[[#This Row],[Camp Name]],CL,2,0),"")</f>
        <v>MMR001CMP218</v>
      </c>
      <c r="AR433" s="468">
        <f ca="1">IF(Table_NFI[[#This Row],[Pcode]]="","",IF(OFFSET(CampList[Opening Date],MATCH(Table_NFI[[#This Row],[Pcode]],CampList[CP_Pcode],0)-1,0,1,1)&gt;=NFI_Monitor_Date,1,0))</f>
        <v>0</v>
      </c>
      <c r="AS433" s="473" t="str">
        <f>IFERROR(VLOOKUP(Table_NFI[[#This Row],[Camp Name]],CL,3,0),"")</f>
        <v>Open</v>
      </c>
      <c r="AT433" s="294" t="str">
        <f ca="1">IF(Table_NFI[[#This Row],[Pcode]]="","",OFFSET(CampList[Priority],MATCH(Table_NFI[[#This Row],[Pcode]],CampList[CP_Pcode],0)-1,0,1,1))</f>
        <v>P4</v>
      </c>
      <c r="AU433" s="293">
        <f>IFERROR(Table_NFI[[#This Row],[Kitchen Set]]/VLOOKUP(Table_NFI[[#This Row],[Camp Name]],CL,4,0),"")</f>
        <v>0.15508021390374332</v>
      </c>
      <c r="AV433" s="466" t="s">
        <v>1092</v>
      </c>
      <c r="AW433" s="469"/>
    </row>
    <row r="434" spans="1:49" s="470" customFormat="1" ht="14.45" customHeight="1" x14ac:dyDescent="0.25">
      <c r="A434" s="297">
        <f t="shared" si="6"/>
        <v>33.6</v>
      </c>
      <c r="B434" s="465">
        <v>41667</v>
      </c>
      <c r="C434" s="466" t="s">
        <v>452</v>
      </c>
      <c r="D434" s="471"/>
      <c r="E434" s="466" t="s">
        <v>380</v>
      </c>
      <c r="F434" s="466" t="s">
        <v>151</v>
      </c>
      <c r="G434" s="466" t="s">
        <v>942</v>
      </c>
      <c r="H434" s="292"/>
      <c r="I434" s="292"/>
      <c r="J434" s="292"/>
      <c r="K434" s="292">
        <v>18</v>
      </c>
      <c r="L434" s="292">
        <v>10</v>
      </c>
      <c r="M434" s="292">
        <v>18</v>
      </c>
      <c r="N434" s="292">
        <v>40</v>
      </c>
      <c r="O434" s="292"/>
      <c r="P434" s="294">
        <v>10</v>
      </c>
      <c r="Q434" s="294">
        <v>50</v>
      </c>
      <c r="R434" s="294"/>
      <c r="S434" s="294"/>
      <c r="T434" s="294"/>
      <c r="U434" s="294"/>
      <c r="V434" s="431"/>
      <c r="W434" s="294"/>
      <c r="X434" s="294"/>
      <c r="Y434" s="294">
        <f>IF(NFI_Expiration=1,IF($A434&lt;VLOOKUP(H$5,NFI,5,0),1,0)*Table_NFI[[#This Row],[Hygiene Kit]],Table_NFI[Hygiene Kit])</f>
        <v>0</v>
      </c>
      <c r="Z434" s="294">
        <f>IF(NFI_Expiration=1,IF($A434&lt;VLOOKUP(I$5,NFI,5,0),1,0)*Table_NFI[[#This Row],[NFI Core Kit]],Table_NFI[NFI Core Kit])</f>
        <v>0</v>
      </c>
      <c r="AA434" s="294">
        <f>IF(NFI_Expiration=1,IF($A434&lt;VLOOKUP(J$5,NFI,5,0),1,0)*Table_NFI[[#This Row],[Sanitary Kit]],Table_NFI[Sanitary Kit])</f>
        <v>0</v>
      </c>
      <c r="AB434" s="294">
        <f>IF(NFI_Expiration=1,IF($A434&lt;VLOOKUP(K$5,NFI,5,0),1,0)*Table_NFI[[#This Row],[Mosquito net]],Table_NFI[Mosquito net])</f>
        <v>0</v>
      </c>
      <c r="AC434" s="294">
        <f>IF(NFI_Expiration=1,IF($A434&lt;VLOOKUP(L$5,NFI,5,0),1,0)*Table_NFI[[#This Row],[Tarpaulin]],Table_NFI[[#This Row],[Tarpaulin]])</f>
        <v>0</v>
      </c>
      <c r="AD434" s="294">
        <f>IF(NFI_Expiration=1,IF($A434&lt;VLOOKUP(M$5,NFI,5,0),1,0)*Table_NFI[[#This Row],[Blanket]],Table_NFI[[#This Row],[Blanket]])</f>
        <v>0</v>
      </c>
      <c r="AE434" s="294">
        <f>IF(NFI_Expiration=1,IF($A434&lt;VLOOKUP(N$5,NFI,5,0),1,0)*Table_NFI[[#This Row],[Kitchen Set]],Table_NFI[Kitchen Set])</f>
        <v>0</v>
      </c>
      <c r="AF434" s="294">
        <f>IF(NFI_Expiration=1,IF($A434&lt;VLOOKUP(O$5,NFI,5,0),1,0)*Table_NFI[[#This Row],[Clothes Kit]],Table_NFI[Clothes Kit])</f>
        <v>0</v>
      </c>
      <c r="AG434" s="294">
        <f>IF(NFI_Expiration=1,IF($A434&lt;VLOOKUP(P$5,NFI,5,0),1,0)*Table_NFI[[#This Row],[Plastic Bucket]],Table_NFI[Plastic Bucket])</f>
        <v>0</v>
      </c>
      <c r="AH434" s="294">
        <f>IF(NFI_Expiration=1,IF($A434&lt;VLOOKUP(Q$5,NFI,5,0),1,0)*Table_NFI[[#This Row],[Plastic Mat]],Table_NFI[Plastic Mat])*IF(Table_NFI[[#This Row],[Distribution Date]]&gt;"2014-04-01",1,2.5)</f>
        <v>0</v>
      </c>
      <c r="AI434" s="294">
        <f>IF(NFI_Expiration=1,IF($A434&lt;VLOOKUP(R$5,NFI,5,0),1,0)*Table_NFI[[#This Row],[Winter Clothes Adult]],Table_NFI[Winter Clothes Adult])</f>
        <v>0</v>
      </c>
      <c r="AJ434" s="294">
        <f>IF(NFI_Expiration=1,IF($A434&lt;VLOOKUP(S$5,NFI,5,0),1,0)*Table_NFI[[#This Row],[Winter Clothes Children]],Table_NFI[Winter Clothes Children])</f>
        <v>0</v>
      </c>
      <c r="AK434" s="294">
        <f>IF(NFI_Expiration=1,IF($A434&lt;VLOOKUP(T$5,NFI,5,0),1,0)*Table_NFI[[#This Row],[Winter Items Other]],Table_NFI[Winter Items Other])</f>
        <v>0</v>
      </c>
      <c r="AL434" s="294">
        <f>IF(NFI_Expiration=1,IF($A434&lt;VLOOKUP(M$5,NFI,5,0),1,0)*Table_NFI[[#This Row],[Winter Blanket]],Table_NFI[[#This Row],[Winter Blanket]])</f>
        <v>0</v>
      </c>
      <c r="AM434" s="294">
        <f>IF(Table_NFI[[#This Row],[Winter Clothes Adult]]+Table_NFI[[#This Row],[Winter Clothes Children]]+Table_NFI[[#This Row],[Winter Items Other]]+Table_NFI[[#This Row],[Winter Blanket]]&gt;0,1,0)</f>
        <v>0</v>
      </c>
      <c r="AN434" s="331">
        <f>IF(NFI_Expiration=1,IF($A434&lt;VLOOKUP(V$5,NFI,5,0),1,0)*Table_NFI[[#This Row],[Jerry Can]],Table_NFI[Jerry Can])</f>
        <v>0</v>
      </c>
      <c r="AO434" s="331">
        <f>IF(NFI_Expiration=1,IF($A434&lt;VLOOKUP(V$5,NFI,5,0),1,0)*Table_NFI[[#This Row],[Shelter Tool kit]],Table_NFI[Shelter Tool kit])</f>
        <v>0</v>
      </c>
      <c r="AP434" s="331">
        <f>IF(NFI_Expiration=1,IF($A434&lt;VLOOKUP(V$5,NFI,5,0),1,0)*Table_NFI[[#This Row],[Tent]],Table_NFI[Tent])</f>
        <v>0</v>
      </c>
      <c r="AQ434" s="473" t="str">
        <f>IFERROR(VLOOKUP(Table_NFI[[#This Row],[Camp Name]],CL,2,0),"")</f>
        <v>MMR001CMP223</v>
      </c>
      <c r="AR434" s="468">
        <f ca="1">IF(Table_NFI[[#This Row],[Pcode]]="","",IF(OFFSET(CampList[Opening Date],MATCH(Table_NFI[[#This Row],[Pcode]],CampList[CP_Pcode],0)-1,0,1,1)&gt;=NFI_Monitor_Date,1,0))</f>
        <v>0</v>
      </c>
      <c r="AS434" s="473" t="str">
        <f>IFERROR(VLOOKUP(Table_NFI[[#This Row],[Camp Name]],CL,3,0),"")</f>
        <v>Open</v>
      </c>
      <c r="AT434" s="294" t="str">
        <f ca="1">IF(Table_NFI[[#This Row],[Pcode]]="","",OFFSET(CampList[Priority],MATCH(Table_NFI[[#This Row],[Pcode]],CampList[CP_Pcode],0)-1,0,1,1))</f>
        <v>P4</v>
      </c>
      <c r="AU434" s="293">
        <f>IFERROR(Table_NFI[[#This Row],[Kitchen Set]]/VLOOKUP(Table_NFI[[#This Row],[Camp Name]],CL,4,0),"")</f>
        <v>0.2857142857142857</v>
      </c>
      <c r="AV434" s="471"/>
      <c r="AW434" s="474"/>
    </row>
    <row r="435" spans="1:49" s="470" customFormat="1" ht="14.45" customHeight="1" x14ac:dyDescent="0.25">
      <c r="A435" s="297">
        <f t="shared" si="6"/>
        <v>33.633333333333333</v>
      </c>
      <c r="B435" s="465">
        <v>41666</v>
      </c>
      <c r="C435" s="466" t="s">
        <v>1036</v>
      </c>
      <c r="D435" s="466" t="s">
        <v>460</v>
      </c>
      <c r="E435" s="466" t="s">
        <v>380</v>
      </c>
      <c r="F435" s="466" t="s">
        <v>310</v>
      </c>
      <c r="G435" s="466" t="s">
        <v>336</v>
      </c>
      <c r="H435" s="291"/>
      <c r="I435" s="291"/>
      <c r="J435" s="291"/>
      <c r="K435" s="291"/>
      <c r="L435" s="292"/>
      <c r="M435" s="292">
        <v>181</v>
      </c>
      <c r="N435" s="292">
        <v>181</v>
      </c>
      <c r="O435" s="292">
        <v>181</v>
      </c>
      <c r="P435" s="294"/>
      <c r="Q435" s="294">
        <v>181</v>
      </c>
      <c r="R435" s="294"/>
      <c r="S435" s="294"/>
      <c r="T435" s="294"/>
      <c r="U435" s="294"/>
      <c r="V435" s="431"/>
      <c r="W435" s="294"/>
      <c r="X435" s="294"/>
      <c r="Y435" s="294">
        <f>IF(NFI_Expiration=1,IF($A435&lt;VLOOKUP(H$5,NFI,5,0),1,0)*Table_NFI[[#This Row],[Hygiene Kit]],Table_NFI[Hygiene Kit])</f>
        <v>0</v>
      </c>
      <c r="Z435" s="294">
        <f>IF(NFI_Expiration=1,IF($A435&lt;VLOOKUP(I$5,NFI,5,0),1,0)*Table_NFI[[#This Row],[NFI Core Kit]],Table_NFI[NFI Core Kit])</f>
        <v>0</v>
      </c>
      <c r="AA435" s="294">
        <f>IF(NFI_Expiration=1,IF($A435&lt;VLOOKUP(J$5,NFI,5,0),1,0)*Table_NFI[[#This Row],[Sanitary Kit]],Table_NFI[Sanitary Kit])</f>
        <v>0</v>
      </c>
      <c r="AB435" s="294">
        <f>IF(NFI_Expiration=1,IF($A435&lt;VLOOKUP(K$5,NFI,5,0),1,0)*Table_NFI[[#This Row],[Mosquito net]],Table_NFI[Mosquito net])</f>
        <v>0</v>
      </c>
      <c r="AC435" s="294">
        <f>IF(NFI_Expiration=1,IF($A435&lt;VLOOKUP(L$5,NFI,5,0),1,0)*Table_NFI[[#This Row],[Tarpaulin]],Table_NFI[[#This Row],[Tarpaulin]])</f>
        <v>0</v>
      </c>
      <c r="AD435" s="294">
        <f>IF(NFI_Expiration=1,IF($A435&lt;VLOOKUP(M$5,NFI,5,0),1,0)*Table_NFI[[#This Row],[Blanket]],Table_NFI[[#This Row],[Blanket]])</f>
        <v>0</v>
      </c>
      <c r="AE435" s="294">
        <f>IF(NFI_Expiration=1,IF($A435&lt;VLOOKUP(N$5,NFI,5,0),1,0)*Table_NFI[[#This Row],[Kitchen Set]],Table_NFI[Kitchen Set])</f>
        <v>0</v>
      </c>
      <c r="AF435" s="294">
        <f>IF(NFI_Expiration=1,IF($A435&lt;VLOOKUP(O$5,NFI,5,0),1,0)*Table_NFI[[#This Row],[Clothes Kit]],Table_NFI[Clothes Kit])</f>
        <v>0</v>
      </c>
      <c r="AG435" s="294">
        <f>IF(NFI_Expiration=1,IF($A435&lt;VLOOKUP(P$5,NFI,5,0),1,0)*Table_NFI[[#This Row],[Plastic Bucket]],Table_NFI[Plastic Bucket])</f>
        <v>0</v>
      </c>
      <c r="AH435" s="294">
        <f>IF(NFI_Expiration=1,IF($A435&lt;VLOOKUP(Q$5,NFI,5,0),1,0)*Table_NFI[[#This Row],[Plastic Mat]],Table_NFI[Plastic Mat])*IF(Table_NFI[[#This Row],[Distribution Date]]&gt;"2014-04-01",1,2.5)</f>
        <v>0</v>
      </c>
      <c r="AI435" s="294">
        <f>IF(NFI_Expiration=1,IF($A435&lt;VLOOKUP(R$5,NFI,5,0),1,0)*Table_NFI[[#This Row],[Winter Clothes Adult]],Table_NFI[Winter Clothes Adult])</f>
        <v>0</v>
      </c>
      <c r="AJ435" s="294">
        <f>IF(NFI_Expiration=1,IF($A435&lt;VLOOKUP(S$5,NFI,5,0),1,0)*Table_NFI[[#This Row],[Winter Clothes Children]],Table_NFI[Winter Clothes Children])</f>
        <v>0</v>
      </c>
      <c r="AK435" s="294">
        <f>IF(NFI_Expiration=1,IF($A435&lt;VLOOKUP(T$5,NFI,5,0),1,0)*Table_NFI[[#This Row],[Winter Items Other]],Table_NFI[Winter Items Other])</f>
        <v>0</v>
      </c>
      <c r="AL435" s="294">
        <f>IF(NFI_Expiration=1,IF($A435&lt;VLOOKUP(M$5,NFI,5,0),1,0)*Table_NFI[[#This Row],[Winter Blanket]],Table_NFI[[#This Row],[Winter Blanket]])</f>
        <v>0</v>
      </c>
      <c r="AM435" s="294">
        <f>IF(Table_NFI[[#This Row],[Winter Clothes Adult]]+Table_NFI[[#This Row],[Winter Clothes Children]]+Table_NFI[[#This Row],[Winter Items Other]]+Table_NFI[[#This Row],[Winter Blanket]]&gt;0,1,0)</f>
        <v>0</v>
      </c>
      <c r="AN435" s="331">
        <f>IF(NFI_Expiration=1,IF($A435&lt;VLOOKUP(V$5,NFI,5,0),1,0)*Table_NFI[[#This Row],[Jerry Can]],Table_NFI[Jerry Can])</f>
        <v>0</v>
      </c>
      <c r="AO435" s="331">
        <f>IF(NFI_Expiration=1,IF($A435&lt;VLOOKUP(V$5,NFI,5,0),1,0)*Table_NFI[[#This Row],[Shelter Tool kit]],Table_NFI[Shelter Tool kit])</f>
        <v>0</v>
      </c>
      <c r="AP435" s="331">
        <f>IF(NFI_Expiration=1,IF($A435&lt;VLOOKUP(V$5,NFI,5,0),1,0)*Table_NFI[[#This Row],[Tent]],Table_NFI[Tent])</f>
        <v>0</v>
      </c>
      <c r="AQ435" s="473" t="str">
        <f>IFERROR(VLOOKUP(Table_NFI[[#This Row],[Camp Name]],CL,2,0),"")</f>
        <v>MMR001CMP115</v>
      </c>
      <c r="AR435" s="468">
        <f ca="1">IF(Table_NFI[[#This Row],[Pcode]]="","",IF(OFFSET(CampList[Opening Date],MATCH(Table_NFI[[#This Row],[Pcode]],CampList[CP_Pcode],0)-1,0,1,1)&gt;=NFI_Monitor_Date,1,0))</f>
        <v>0</v>
      </c>
      <c r="AS435" s="473" t="str">
        <f>IFERROR(VLOOKUP(Table_NFI[[#This Row],[Camp Name]],CL,3,0),"")</f>
        <v>Open</v>
      </c>
      <c r="AT435" s="294" t="str">
        <f ca="1">IF(Table_NFI[[#This Row],[Pcode]]="","",OFFSET(CampList[Priority],MATCH(Table_NFI[[#This Row],[Pcode]],CampList[CP_Pcode],0)-1,0,1,1))</f>
        <v>P1</v>
      </c>
      <c r="AU435" s="293">
        <f>IFERROR(Table_NFI[[#This Row],[Kitchen Set]]/VLOOKUP(Table_NFI[[#This Row],[Camp Name]],CL,4,0),"")</f>
        <v>1.222972972972973</v>
      </c>
      <c r="AV435" s="466" t="s">
        <v>1092</v>
      </c>
      <c r="AW435" s="469"/>
    </row>
    <row r="436" spans="1:49" s="470" customFormat="1" ht="14.45" customHeight="1" x14ac:dyDescent="0.25">
      <c r="A436" s="297">
        <f t="shared" si="6"/>
        <v>33.633333333333333</v>
      </c>
      <c r="B436" s="465">
        <v>41666</v>
      </c>
      <c r="C436" s="466" t="s">
        <v>1036</v>
      </c>
      <c r="D436" s="466" t="s">
        <v>460</v>
      </c>
      <c r="E436" s="466" t="s">
        <v>380</v>
      </c>
      <c r="F436" s="466" t="s">
        <v>27</v>
      </c>
      <c r="G436" s="466" t="s">
        <v>364</v>
      </c>
      <c r="H436" s="291"/>
      <c r="I436" s="291"/>
      <c r="J436" s="291"/>
      <c r="K436" s="291"/>
      <c r="L436" s="292"/>
      <c r="M436" s="292">
        <v>155</v>
      </c>
      <c r="N436" s="292">
        <v>155</v>
      </c>
      <c r="O436" s="292">
        <v>155</v>
      </c>
      <c r="P436" s="294"/>
      <c r="Q436" s="294">
        <v>155</v>
      </c>
      <c r="R436" s="294"/>
      <c r="S436" s="294"/>
      <c r="T436" s="294"/>
      <c r="U436" s="294"/>
      <c r="V436" s="431"/>
      <c r="W436" s="294"/>
      <c r="X436" s="294"/>
      <c r="Y436" s="294">
        <f>IF(NFI_Expiration=1,IF($A436&lt;VLOOKUP(H$5,NFI,5,0),1,0)*Table_NFI[[#This Row],[Hygiene Kit]],Table_NFI[Hygiene Kit])</f>
        <v>0</v>
      </c>
      <c r="Z436" s="294">
        <f>IF(NFI_Expiration=1,IF($A436&lt;VLOOKUP(I$5,NFI,5,0),1,0)*Table_NFI[[#This Row],[NFI Core Kit]],Table_NFI[NFI Core Kit])</f>
        <v>0</v>
      </c>
      <c r="AA436" s="294">
        <f>IF(NFI_Expiration=1,IF($A436&lt;VLOOKUP(J$5,NFI,5,0),1,0)*Table_NFI[[#This Row],[Sanitary Kit]],Table_NFI[Sanitary Kit])</f>
        <v>0</v>
      </c>
      <c r="AB436" s="294">
        <f>IF(NFI_Expiration=1,IF($A436&lt;VLOOKUP(K$5,NFI,5,0),1,0)*Table_NFI[[#This Row],[Mosquito net]],Table_NFI[Mosquito net])</f>
        <v>0</v>
      </c>
      <c r="AC436" s="294">
        <f>IF(NFI_Expiration=1,IF($A436&lt;VLOOKUP(L$5,NFI,5,0),1,0)*Table_NFI[[#This Row],[Tarpaulin]],Table_NFI[[#This Row],[Tarpaulin]])</f>
        <v>0</v>
      </c>
      <c r="AD436" s="294">
        <f>IF(NFI_Expiration=1,IF($A436&lt;VLOOKUP(M$5,NFI,5,0),1,0)*Table_NFI[[#This Row],[Blanket]],Table_NFI[[#This Row],[Blanket]])</f>
        <v>0</v>
      </c>
      <c r="AE436" s="294">
        <f>IF(NFI_Expiration=1,IF($A436&lt;VLOOKUP(N$5,NFI,5,0),1,0)*Table_NFI[[#This Row],[Kitchen Set]],Table_NFI[Kitchen Set])</f>
        <v>0</v>
      </c>
      <c r="AF436" s="294">
        <f>IF(NFI_Expiration=1,IF($A436&lt;VLOOKUP(O$5,NFI,5,0),1,0)*Table_NFI[[#This Row],[Clothes Kit]],Table_NFI[Clothes Kit])</f>
        <v>0</v>
      </c>
      <c r="AG436" s="294">
        <f>IF(NFI_Expiration=1,IF($A436&lt;VLOOKUP(P$5,NFI,5,0),1,0)*Table_NFI[[#This Row],[Plastic Bucket]],Table_NFI[Plastic Bucket])</f>
        <v>0</v>
      </c>
      <c r="AH436" s="294">
        <f>IF(NFI_Expiration=1,IF($A436&lt;VLOOKUP(Q$5,NFI,5,0),1,0)*Table_NFI[[#This Row],[Plastic Mat]],Table_NFI[Plastic Mat])*IF(Table_NFI[[#This Row],[Distribution Date]]&gt;"2014-04-01",1,2.5)</f>
        <v>0</v>
      </c>
      <c r="AI436" s="294">
        <f>IF(NFI_Expiration=1,IF($A436&lt;VLOOKUP(R$5,NFI,5,0),1,0)*Table_NFI[[#This Row],[Winter Clothes Adult]],Table_NFI[Winter Clothes Adult])</f>
        <v>0</v>
      </c>
      <c r="AJ436" s="294">
        <f>IF(NFI_Expiration=1,IF($A436&lt;VLOOKUP(S$5,NFI,5,0),1,0)*Table_NFI[[#This Row],[Winter Clothes Children]],Table_NFI[Winter Clothes Children])</f>
        <v>0</v>
      </c>
      <c r="AK436" s="294">
        <f>IF(NFI_Expiration=1,IF($A436&lt;VLOOKUP(T$5,NFI,5,0),1,0)*Table_NFI[[#This Row],[Winter Items Other]],Table_NFI[Winter Items Other])</f>
        <v>0</v>
      </c>
      <c r="AL436" s="294">
        <f>IF(NFI_Expiration=1,IF($A436&lt;VLOOKUP(M$5,NFI,5,0),1,0)*Table_NFI[[#This Row],[Winter Blanket]],Table_NFI[[#This Row],[Winter Blanket]])</f>
        <v>0</v>
      </c>
      <c r="AM436" s="294">
        <f>IF(Table_NFI[[#This Row],[Winter Clothes Adult]]+Table_NFI[[#This Row],[Winter Clothes Children]]+Table_NFI[[#This Row],[Winter Items Other]]+Table_NFI[[#This Row],[Winter Blanket]]&gt;0,1,0)</f>
        <v>0</v>
      </c>
      <c r="AN436" s="331">
        <f>IF(NFI_Expiration=1,IF($A436&lt;VLOOKUP(V$5,NFI,5,0),1,0)*Table_NFI[[#This Row],[Jerry Can]],Table_NFI[Jerry Can])</f>
        <v>0</v>
      </c>
      <c r="AO436" s="331">
        <f>IF(NFI_Expiration=1,IF($A436&lt;VLOOKUP(V$5,NFI,5,0),1,0)*Table_NFI[[#This Row],[Shelter Tool kit]],Table_NFI[Shelter Tool kit])</f>
        <v>0</v>
      </c>
      <c r="AP436" s="331">
        <f>IF(NFI_Expiration=1,IF($A436&lt;VLOOKUP(V$5,NFI,5,0),1,0)*Table_NFI[[#This Row],[Tent]],Table_NFI[Tent])</f>
        <v>0</v>
      </c>
      <c r="AQ436" s="473" t="str">
        <f>IFERROR(VLOOKUP(Table_NFI[[#This Row],[Camp Name]],CL,2,0),"")</f>
        <v>MMR001CMP043</v>
      </c>
      <c r="AR436" s="468">
        <f ca="1">IF(Table_NFI[[#This Row],[Pcode]]="","",IF(OFFSET(CampList[Opening Date],MATCH(Table_NFI[[#This Row],[Pcode]],CampList[CP_Pcode],0)-1,0,1,1)&gt;=NFI_Monitor_Date,1,0))</f>
        <v>0</v>
      </c>
      <c r="AS436" s="473" t="str">
        <f>IFERROR(VLOOKUP(Table_NFI[[#This Row],[Camp Name]],CL,3,0),"")</f>
        <v>Open</v>
      </c>
      <c r="AT436" s="294" t="str">
        <f ca="1">IF(Table_NFI[[#This Row],[Pcode]]="","",OFFSET(CampList[Priority],MATCH(Table_NFI[[#This Row],[Pcode]],CampList[CP_Pcode],0)-1,0,1,1))</f>
        <v>P1</v>
      </c>
      <c r="AU436" s="293">
        <f>IFERROR(Table_NFI[[#This Row],[Kitchen Set]]/VLOOKUP(Table_NFI[[#This Row],[Camp Name]],CL,4,0),"")</f>
        <v>0.99358974358974361</v>
      </c>
      <c r="AV436" s="466" t="s">
        <v>1092</v>
      </c>
      <c r="AW436" s="469"/>
    </row>
    <row r="437" spans="1:49" s="470" customFormat="1" ht="14.45" customHeight="1" x14ac:dyDescent="0.25">
      <c r="A437" s="297">
        <f t="shared" si="6"/>
        <v>33.700000000000003</v>
      </c>
      <c r="B437" s="465">
        <v>41664</v>
      </c>
      <c r="C437" s="466" t="s">
        <v>452</v>
      </c>
      <c r="D437" s="467" t="s">
        <v>452</v>
      </c>
      <c r="E437" s="466" t="s">
        <v>380</v>
      </c>
      <c r="F437" s="290" t="s">
        <v>185</v>
      </c>
      <c r="G437" s="290" t="s">
        <v>192</v>
      </c>
      <c r="H437" s="291"/>
      <c r="I437" s="291"/>
      <c r="J437" s="291"/>
      <c r="K437" s="294">
        <v>62</v>
      </c>
      <c r="L437" s="292">
        <v>31</v>
      </c>
      <c r="M437" s="292">
        <v>62</v>
      </c>
      <c r="N437" s="292">
        <v>31</v>
      </c>
      <c r="O437" s="292"/>
      <c r="P437" s="294">
        <v>31</v>
      </c>
      <c r="Q437" s="294">
        <v>155</v>
      </c>
      <c r="R437" s="294"/>
      <c r="S437" s="294"/>
      <c r="T437" s="294"/>
      <c r="U437" s="294"/>
      <c r="V437" s="431"/>
      <c r="W437" s="294"/>
      <c r="X437" s="294"/>
      <c r="Y437" s="294">
        <f>IF(NFI_Expiration=1,IF($A437&lt;VLOOKUP(H$5,NFI,5,0),1,0)*Table_NFI[[#This Row],[Hygiene Kit]],Table_NFI[Hygiene Kit])</f>
        <v>0</v>
      </c>
      <c r="Z437" s="294">
        <f>IF(NFI_Expiration=1,IF($A437&lt;VLOOKUP(I$5,NFI,5,0),1,0)*Table_NFI[[#This Row],[NFI Core Kit]],Table_NFI[NFI Core Kit])</f>
        <v>0</v>
      </c>
      <c r="AA437" s="294">
        <f>IF(NFI_Expiration=1,IF($A437&lt;VLOOKUP(J$5,NFI,5,0),1,0)*Table_NFI[[#This Row],[Sanitary Kit]],Table_NFI[Sanitary Kit])</f>
        <v>0</v>
      </c>
      <c r="AB437" s="294">
        <f>IF(NFI_Expiration=1,IF($A437&lt;VLOOKUP(K$5,NFI,5,0),1,0)*Table_NFI[[#This Row],[Mosquito net]],Table_NFI[Mosquito net])</f>
        <v>0</v>
      </c>
      <c r="AC437" s="294">
        <f>IF(NFI_Expiration=1,IF($A437&lt;VLOOKUP(L$5,NFI,5,0),1,0)*Table_NFI[[#This Row],[Tarpaulin]],Table_NFI[[#This Row],[Tarpaulin]])</f>
        <v>0</v>
      </c>
      <c r="AD437" s="294">
        <f>IF(NFI_Expiration=1,IF($A437&lt;VLOOKUP(M$5,NFI,5,0),1,0)*Table_NFI[[#This Row],[Blanket]],Table_NFI[[#This Row],[Blanket]])</f>
        <v>0</v>
      </c>
      <c r="AE437" s="294">
        <f>IF(NFI_Expiration=1,IF($A437&lt;VLOOKUP(N$5,NFI,5,0),1,0)*Table_NFI[[#This Row],[Kitchen Set]],Table_NFI[Kitchen Set])</f>
        <v>0</v>
      </c>
      <c r="AF437" s="294">
        <f>IF(NFI_Expiration=1,IF($A437&lt;VLOOKUP(O$5,NFI,5,0),1,0)*Table_NFI[[#This Row],[Clothes Kit]],Table_NFI[Clothes Kit])</f>
        <v>0</v>
      </c>
      <c r="AG437" s="294">
        <f>IF(NFI_Expiration=1,IF($A437&lt;VLOOKUP(P$5,NFI,5,0),1,0)*Table_NFI[[#This Row],[Plastic Bucket]],Table_NFI[Plastic Bucket])</f>
        <v>0</v>
      </c>
      <c r="AH437" s="294">
        <f>IF(NFI_Expiration=1,IF($A437&lt;VLOOKUP(Q$5,NFI,5,0),1,0)*Table_NFI[[#This Row],[Plastic Mat]],Table_NFI[Plastic Mat])*IF(Table_NFI[[#This Row],[Distribution Date]]&gt;"2014-04-01",1,2.5)</f>
        <v>0</v>
      </c>
      <c r="AI437" s="294">
        <f>IF(NFI_Expiration=1,IF($A437&lt;VLOOKUP(R$5,NFI,5,0),1,0)*Table_NFI[[#This Row],[Winter Clothes Adult]],Table_NFI[Winter Clothes Adult])</f>
        <v>0</v>
      </c>
      <c r="AJ437" s="294">
        <f>IF(NFI_Expiration=1,IF($A437&lt;VLOOKUP(S$5,NFI,5,0),1,0)*Table_NFI[[#This Row],[Winter Clothes Children]],Table_NFI[Winter Clothes Children])</f>
        <v>0</v>
      </c>
      <c r="AK437" s="294">
        <f>IF(NFI_Expiration=1,IF($A437&lt;VLOOKUP(T$5,NFI,5,0),1,0)*Table_NFI[[#This Row],[Winter Items Other]],Table_NFI[Winter Items Other])</f>
        <v>0</v>
      </c>
      <c r="AL437" s="294">
        <f>IF(NFI_Expiration=1,IF($A437&lt;VLOOKUP(M$5,NFI,5,0),1,0)*Table_NFI[[#This Row],[Winter Blanket]],Table_NFI[[#This Row],[Winter Blanket]])</f>
        <v>0</v>
      </c>
      <c r="AM437" s="294">
        <f>IF(Table_NFI[[#This Row],[Winter Clothes Adult]]+Table_NFI[[#This Row],[Winter Clothes Children]]+Table_NFI[[#This Row],[Winter Items Other]]+Table_NFI[[#This Row],[Winter Blanket]]&gt;0,1,0)</f>
        <v>0</v>
      </c>
      <c r="AN437" s="331">
        <f>IF(NFI_Expiration=1,IF($A437&lt;VLOOKUP(V$5,NFI,5,0),1,0)*Table_NFI[[#This Row],[Jerry Can]],Table_NFI[Jerry Can])</f>
        <v>0</v>
      </c>
      <c r="AO437" s="331">
        <f>IF(NFI_Expiration=1,IF($A437&lt;VLOOKUP(V$5,NFI,5,0),1,0)*Table_NFI[[#This Row],[Shelter Tool kit]],Table_NFI[Shelter Tool kit])</f>
        <v>0</v>
      </c>
      <c r="AP437" s="331">
        <f>IF(NFI_Expiration=1,IF($A437&lt;VLOOKUP(V$5,NFI,5,0),1,0)*Table_NFI[[#This Row],[Tent]],Table_NFI[Tent])</f>
        <v>0</v>
      </c>
      <c r="AQ437" s="473" t="str">
        <f>IFERROR(VLOOKUP(Table_NFI[[#This Row],[Camp Name]],CL,2,0),"")</f>
        <v>MMR001CMP123</v>
      </c>
      <c r="AR437" s="468">
        <f ca="1">IF(Table_NFI[[#This Row],[Pcode]]="","",IF(OFFSET(CampList[Opening Date],MATCH(Table_NFI[[#This Row],[Pcode]],CampList[CP_Pcode],0)-1,0,1,1)&gt;=NFI_Monitor_Date,1,0))</f>
        <v>0</v>
      </c>
      <c r="AS437" s="473" t="str">
        <f>IFERROR(VLOOKUP(Table_NFI[[#This Row],[Camp Name]],CL,3,0),"")</f>
        <v>Open</v>
      </c>
      <c r="AT437" s="294" t="str">
        <f ca="1">IF(Table_NFI[[#This Row],[Pcode]]="","",OFFSET(CampList[Priority],MATCH(Table_NFI[[#This Row],[Pcode]],CampList[CP_Pcode],0)-1,0,1,1))</f>
        <v>P2</v>
      </c>
      <c r="AU437" s="293">
        <f>IFERROR(Table_NFI[[#This Row],[Kitchen Set]]/VLOOKUP(Table_NFI[[#This Row],[Camp Name]],CL,4,0),"")</f>
        <v>0.28440366972477066</v>
      </c>
      <c r="AV437" s="466" t="s">
        <v>1092</v>
      </c>
      <c r="AW437" s="469"/>
    </row>
    <row r="438" spans="1:49" s="470" customFormat="1" ht="14.45" customHeight="1" x14ac:dyDescent="0.25">
      <c r="A438" s="297">
        <f t="shared" si="6"/>
        <v>33.700000000000003</v>
      </c>
      <c r="B438" s="465">
        <v>41664</v>
      </c>
      <c r="C438" s="466" t="s">
        <v>1036</v>
      </c>
      <c r="D438" s="466" t="s">
        <v>460</v>
      </c>
      <c r="E438" s="466" t="s">
        <v>380</v>
      </c>
      <c r="F438" s="466" t="s">
        <v>310</v>
      </c>
      <c r="G438" s="466" t="s">
        <v>1243</v>
      </c>
      <c r="H438" s="291"/>
      <c r="I438" s="291"/>
      <c r="J438" s="291"/>
      <c r="K438" s="291"/>
      <c r="L438" s="292"/>
      <c r="M438" s="292">
        <v>191</v>
      </c>
      <c r="N438" s="292">
        <v>191</v>
      </c>
      <c r="O438" s="292">
        <v>191</v>
      </c>
      <c r="P438" s="294"/>
      <c r="Q438" s="294">
        <v>191</v>
      </c>
      <c r="R438" s="294"/>
      <c r="S438" s="294"/>
      <c r="T438" s="294"/>
      <c r="U438" s="294"/>
      <c r="V438" s="431"/>
      <c r="W438" s="294"/>
      <c r="X438" s="294"/>
      <c r="Y438" s="294">
        <f>IF(NFI_Expiration=1,IF($A438&lt;VLOOKUP(H$5,NFI,5,0),1,0)*Table_NFI[[#This Row],[Hygiene Kit]],Table_NFI[Hygiene Kit])</f>
        <v>0</v>
      </c>
      <c r="Z438" s="294">
        <f>IF(NFI_Expiration=1,IF($A438&lt;VLOOKUP(I$5,NFI,5,0),1,0)*Table_NFI[[#This Row],[NFI Core Kit]],Table_NFI[NFI Core Kit])</f>
        <v>0</v>
      </c>
      <c r="AA438" s="294">
        <f>IF(NFI_Expiration=1,IF($A438&lt;VLOOKUP(J$5,NFI,5,0),1,0)*Table_NFI[[#This Row],[Sanitary Kit]],Table_NFI[Sanitary Kit])</f>
        <v>0</v>
      </c>
      <c r="AB438" s="294">
        <f>IF(NFI_Expiration=1,IF($A438&lt;VLOOKUP(K$5,NFI,5,0),1,0)*Table_NFI[[#This Row],[Mosquito net]],Table_NFI[Mosquito net])</f>
        <v>0</v>
      </c>
      <c r="AC438" s="294">
        <f>IF(NFI_Expiration=1,IF($A438&lt;VLOOKUP(L$5,NFI,5,0),1,0)*Table_NFI[[#This Row],[Tarpaulin]],Table_NFI[[#This Row],[Tarpaulin]])</f>
        <v>0</v>
      </c>
      <c r="AD438" s="294">
        <f>IF(NFI_Expiration=1,IF($A438&lt;VLOOKUP(M$5,NFI,5,0),1,0)*Table_NFI[[#This Row],[Blanket]],Table_NFI[[#This Row],[Blanket]])</f>
        <v>0</v>
      </c>
      <c r="AE438" s="294">
        <f>IF(NFI_Expiration=1,IF($A438&lt;VLOOKUP(N$5,NFI,5,0),1,0)*Table_NFI[[#This Row],[Kitchen Set]],Table_NFI[Kitchen Set])</f>
        <v>0</v>
      </c>
      <c r="AF438" s="294">
        <f>IF(NFI_Expiration=1,IF($A438&lt;VLOOKUP(O$5,NFI,5,0),1,0)*Table_NFI[[#This Row],[Clothes Kit]],Table_NFI[Clothes Kit])</f>
        <v>0</v>
      </c>
      <c r="AG438" s="294">
        <f>IF(NFI_Expiration=1,IF($A438&lt;VLOOKUP(P$5,NFI,5,0),1,0)*Table_NFI[[#This Row],[Plastic Bucket]],Table_NFI[Plastic Bucket])</f>
        <v>0</v>
      </c>
      <c r="AH438" s="294">
        <f>IF(NFI_Expiration=1,IF($A438&lt;VLOOKUP(Q$5,NFI,5,0),1,0)*Table_NFI[[#This Row],[Plastic Mat]],Table_NFI[Plastic Mat])*IF(Table_NFI[[#This Row],[Distribution Date]]&gt;"2014-04-01",1,2.5)</f>
        <v>0</v>
      </c>
      <c r="AI438" s="294">
        <f>IF(NFI_Expiration=1,IF($A438&lt;VLOOKUP(R$5,NFI,5,0),1,0)*Table_NFI[[#This Row],[Winter Clothes Adult]],Table_NFI[Winter Clothes Adult])</f>
        <v>0</v>
      </c>
      <c r="AJ438" s="294">
        <f>IF(NFI_Expiration=1,IF($A438&lt;VLOOKUP(S$5,NFI,5,0),1,0)*Table_NFI[[#This Row],[Winter Clothes Children]],Table_NFI[Winter Clothes Children])</f>
        <v>0</v>
      </c>
      <c r="AK438" s="294">
        <f>IF(NFI_Expiration=1,IF($A438&lt;VLOOKUP(T$5,NFI,5,0),1,0)*Table_NFI[[#This Row],[Winter Items Other]],Table_NFI[Winter Items Other])</f>
        <v>0</v>
      </c>
      <c r="AL438" s="294">
        <f>IF(NFI_Expiration=1,IF($A438&lt;VLOOKUP(M$5,NFI,5,0),1,0)*Table_NFI[[#This Row],[Winter Blanket]],Table_NFI[[#This Row],[Winter Blanket]])</f>
        <v>0</v>
      </c>
      <c r="AM438" s="294">
        <f>IF(Table_NFI[[#This Row],[Winter Clothes Adult]]+Table_NFI[[#This Row],[Winter Clothes Children]]+Table_NFI[[#This Row],[Winter Items Other]]+Table_NFI[[#This Row],[Winter Blanket]]&gt;0,1,0)</f>
        <v>0</v>
      </c>
      <c r="AN438" s="331">
        <f>IF(NFI_Expiration=1,IF($A438&lt;VLOOKUP(V$5,NFI,5,0),1,0)*Table_NFI[[#This Row],[Jerry Can]],Table_NFI[Jerry Can])</f>
        <v>0</v>
      </c>
      <c r="AO438" s="331">
        <f>IF(NFI_Expiration=1,IF($A438&lt;VLOOKUP(V$5,NFI,5,0),1,0)*Table_NFI[[#This Row],[Shelter Tool kit]],Table_NFI[Shelter Tool kit])</f>
        <v>0</v>
      </c>
      <c r="AP438" s="331">
        <f>IF(NFI_Expiration=1,IF($A438&lt;VLOOKUP(V$5,NFI,5,0),1,0)*Table_NFI[[#This Row],[Tent]],Table_NFI[Tent])</f>
        <v>0</v>
      </c>
      <c r="AQ438" s="473" t="str">
        <f>IFERROR(VLOOKUP(Table_NFI[[#This Row],[Camp Name]],CL,2,0),"")</f>
        <v>MMR001CMP120</v>
      </c>
      <c r="AR438" s="468">
        <f ca="1">IF(Table_NFI[[#This Row],[Pcode]]="","",IF(OFFSET(CampList[Opening Date],MATCH(Table_NFI[[#This Row],[Pcode]],CampList[CP_Pcode],0)-1,0,1,1)&gt;=NFI_Monitor_Date,1,0))</f>
        <v>0</v>
      </c>
      <c r="AS438" s="473" t="str">
        <f>IFERROR(VLOOKUP(Table_NFI[[#This Row],[Camp Name]],CL,3,0),"")</f>
        <v>Open</v>
      </c>
      <c r="AT438" s="294" t="str">
        <f ca="1">IF(Table_NFI[[#This Row],[Pcode]]="","",OFFSET(CampList[Priority],MATCH(Table_NFI[[#This Row],[Pcode]],CampList[CP_Pcode],0)-1,0,1,1))</f>
        <v>P1</v>
      </c>
      <c r="AU438" s="293">
        <f>IFERROR(Table_NFI[[#This Row],[Kitchen Set]]/VLOOKUP(Table_NFI[[#This Row],[Camp Name]],CL,4,0),"")</f>
        <v>1.0611111111111111</v>
      </c>
      <c r="AV438" s="466" t="s">
        <v>1092</v>
      </c>
      <c r="AW438" s="469"/>
    </row>
    <row r="439" spans="1:49" s="470" customFormat="1" ht="14.45" customHeight="1" x14ac:dyDescent="0.25">
      <c r="A439" s="297">
        <f t="shared" si="6"/>
        <v>33.700000000000003</v>
      </c>
      <c r="B439" s="465">
        <v>41664</v>
      </c>
      <c r="C439" s="466" t="s">
        <v>1036</v>
      </c>
      <c r="D439" s="466" t="s">
        <v>460</v>
      </c>
      <c r="E439" s="466" t="s">
        <v>380</v>
      </c>
      <c r="F439" s="466" t="s">
        <v>310</v>
      </c>
      <c r="G439" s="466" t="s">
        <v>347</v>
      </c>
      <c r="H439" s="291"/>
      <c r="I439" s="291"/>
      <c r="J439" s="291"/>
      <c r="K439" s="291"/>
      <c r="L439" s="292"/>
      <c r="M439" s="292">
        <v>198</v>
      </c>
      <c r="N439" s="292">
        <v>198</v>
      </c>
      <c r="O439" s="292">
        <v>198</v>
      </c>
      <c r="P439" s="294"/>
      <c r="Q439" s="294">
        <v>198</v>
      </c>
      <c r="R439" s="294"/>
      <c r="S439" s="294"/>
      <c r="T439" s="294"/>
      <c r="U439" s="294"/>
      <c r="V439" s="431"/>
      <c r="W439" s="294"/>
      <c r="X439" s="294"/>
      <c r="Y439" s="294">
        <f>IF(NFI_Expiration=1,IF($A439&lt;VLOOKUP(H$5,NFI,5,0),1,0)*Table_NFI[[#This Row],[Hygiene Kit]],Table_NFI[Hygiene Kit])</f>
        <v>0</v>
      </c>
      <c r="Z439" s="294">
        <f>IF(NFI_Expiration=1,IF($A439&lt;VLOOKUP(I$5,NFI,5,0),1,0)*Table_NFI[[#This Row],[NFI Core Kit]],Table_NFI[NFI Core Kit])</f>
        <v>0</v>
      </c>
      <c r="AA439" s="294">
        <f>IF(NFI_Expiration=1,IF($A439&lt;VLOOKUP(J$5,NFI,5,0),1,0)*Table_NFI[[#This Row],[Sanitary Kit]],Table_NFI[Sanitary Kit])</f>
        <v>0</v>
      </c>
      <c r="AB439" s="294">
        <f>IF(NFI_Expiration=1,IF($A439&lt;VLOOKUP(K$5,NFI,5,0),1,0)*Table_NFI[[#This Row],[Mosquito net]],Table_NFI[Mosquito net])</f>
        <v>0</v>
      </c>
      <c r="AC439" s="294">
        <f>IF(NFI_Expiration=1,IF($A439&lt;VLOOKUP(L$5,NFI,5,0),1,0)*Table_NFI[[#This Row],[Tarpaulin]],Table_NFI[[#This Row],[Tarpaulin]])</f>
        <v>0</v>
      </c>
      <c r="AD439" s="294">
        <f>IF(NFI_Expiration=1,IF($A439&lt;VLOOKUP(M$5,NFI,5,0),1,0)*Table_NFI[[#This Row],[Blanket]],Table_NFI[[#This Row],[Blanket]])</f>
        <v>0</v>
      </c>
      <c r="AE439" s="294">
        <f>IF(NFI_Expiration=1,IF($A439&lt;VLOOKUP(N$5,NFI,5,0),1,0)*Table_NFI[[#This Row],[Kitchen Set]],Table_NFI[Kitchen Set])</f>
        <v>0</v>
      </c>
      <c r="AF439" s="294">
        <f>IF(NFI_Expiration=1,IF($A439&lt;VLOOKUP(O$5,NFI,5,0),1,0)*Table_NFI[[#This Row],[Clothes Kit]],Table_NFI[Clothes Kit])</f>
        <v>0</v>
      </c>
      <c r="AG439" s="294">
        <f>IF(NFI_Expiration=1,IF($A439&lt;VLOOKUP(P$5,NFI,5,0),1,0)*Table_NFI[[#This Row],[Plastic Bucket]],Table_NFI[Plastic Bucket])</f>
        <v>0</v>
      </c>
      <c r="AH439" s="294">
        <f>IF(NFI_Expiration=1,IF($A439&lt;VLOOKUP(Q$5,NFI,5,0),1,0)*Table_NFI[[#This Row],[Plastic Mat]],Table_NFI[Plastic Mat])*IF(Table_NFI[[#This Row],[Distribution Date]]&gt;"2014-04-01",1,2.5)</f>
        <v>0</v>
      </c>
      <c r="AI439" s="294">
        <f>IF(NFI_Expiration=1,IF($A439&lt;VLOOKUP(R$5,NFI,5,0),1,0)*Table_NFI[[#This Row],[Winter Clothes Adult]],Table_NFI[Winter Clothes Adult])</f>
        <v>0</v>
      </c>
      <c r="AJ439" s="294">
        <f>IF(NFI_Expiration=1,IF($A439&lt;VLOOKUP(S$5,NFI,5,0),1,0)*Table_NFI[[#This Row],[Winter Clothes Children]],Table_NFI[Winter Clothes Children])</f>
        <v>0</v>
      </c>
      <c r="AK439" s="294">
        <f>IF(NFI_Expiration=1,IF($A439&lt;VLOOKUP(T$5,NFI,5,0),1,0)*Table_NFI[[#This Row],[Winter Items Other]],Table_NFI[Winter Items Other])</f>
        <v>0</v>
      </c>
      <c r="AL439" s="294">
        <f>IF(NFI_Expiration=1,IF($A439&lt;VLOOKUP(M$5,NFI,5,0),1,0)*Table_NFI[[#This Row],[Winter Blanket]],Table_NFI[[#This Row],[Winter Blanket]])</f>
        <v>0</v>
      </c>
      <c r="AM439" s="294">
        <f>IF(Table_NFI[[#This Row],[Winter Clothes Adult]]+Table_NFI[[#This Row],[Winter Clothes Children]]+Table_NFI[[#This Row],[Winter Items Other]]+Table_NFI[[#This Row],[Winter Blanket]]&gt;0,1,0)</f>
        <v>0</v>
      </c>
      <c r="AN439" s="331">
        <f>IF(NFI_Expiration=1,IF($A439&lt;VLOOKUP(V$5,NFI,5,0),1,0)*Table_NFI[[#This Row],[Jerry Can]],Table_NFI[Jerry Can])</f>
        <v>0</v>
      </c>
      <c r="AO439" s="331">
        <f>IF(NFI_Expiration=1,IF($A439&lt;VLOOKUP(V$5,NFI,5,0),1,0)*Table_NFI[[#This Row],[Shelter Tool kit]],Table_NFI[Shelter Tool kit])</f>
        <v>0</v>
      </c>
      <c r="AP439" s="331">
        <f>IF(NFI_Expiration=1,IF($A439&lt;VLOOKUP(V$5,NFI,5,0),1,0)*Table_NFI[[#This Row],[Tent]],Table_NFI[Tent])</f>
        <v>0</v>
      </c>
      <c r="AQ439" s="473" t="str">
        <f>IFERROR(VLOOKUP(Table_NFI[[#This Row],[Camp Name]],CL,2,0),"")</f>
        <v>MMR001CMP041</v>
      </c>
      <c r="AR439" s="468">
        <f ca="1">IF(Table_NFI[[#This Row],[Pcode]]="","",IF(OFFSET(CampList[Opening Date],MATCH(Table_NFI[[#This Row],[Pcode]],CampList[CP_Pcode],0)-1,0,1,1)&gt;=NFI_Monitor_Date,1,0))</f>
        <v>0</v>
      </c>
      <c r="AS439" s="473" t="str">
        <f>IFERROR(VLOOKUP(Table_NFI[[#This Row],[Camp Name]],CL,3,0),"")</f>
        <v>Open</v>
      </c>
      <c r="AT439" s="294" t="str">
        <f ca="1">IF(Table_NFI[[#This Row],[Pcode]]="","",OFFSET(CampList[Priority],MATCH(Table_NFI[[#This Row],[Pcode]],CampList[CP_Pcode],0)-1,0,1,1))</f>
        <v>P1</v>
      </c>
      <c r="AU439" s="293">
        <f>IFERROR(Table_NFI[[#This Row],[Kitchen Set]]/VLOOKUP(Table_NFI[[#This Row],[Camp Name]],CL,4,0),"")</f>
        <v>1.1061452513966481</v>
      </c>
      <c r="AV439" s="466" t="s">
        <v>1092</v>
      </c>
      <c r="AW439" s="469"/>
    </row>
    <row r="440" spans="1:49" s="470" customFormat="1" ht="14.45" customHeight="1" x14ac:dyDescent="0.25">
      <c r="A440" s="297">
        <f t="shared" si="6"/>
        <v>33.700000000000003</v>
      </c>
      <c r="B440" s="465">
        <v>41664</v>
      </c>
      <c r="C440" s="466" t="s">
        <v>1036</v>
      </c>
      <c r="D440" s="466" t="s">
        <v>460</v>
      </c>
      <c r="E440" s="466" t="s">
        <v>380</v>
      </c>
      <c r="F440" s="466" t="s">
        <v>310</v>
      </c>
      <c r="G440" s="466" t="s">
        <v>1245</v>
      </c>
      <c r="H440" s="291"/>
      <c r="I440" s="291"/>
      <c r="J440" s="291"/>
      <c r="K440" s="291"/>
      <c r="L440" s="292"/>
      <c r="M440" s="292">
        <v>646</v>
      </c>
      <c r="N440" s="292">
        <v>646</v>
      </c>
      <c r="O440" s="292">
        <v>646</v>
      </c>
      <c r="P440" s="294"/>
      <c r="Q440" s="294">
        <v>646</v>
      </c>
      <c r="R440" s="294"/>
      <c r="S440" s="294"/>
      <c r="T440" s="294"/>
      <c r="U440" s="294"/>
      <c r="V440" s="431"/>
      <c r="W440" s="294"/>
      <c r="X440" s="294"/>
      <c r="Y440" s="294">
        <f>IF(NFI_Expiration=1,IF($A440&lt;VLOOKUP(H$5,NFI,5,0),1,0)*Table_NFI[[#This Row],[Hygiene Kit]],Table_NFI[Hygiene Kit])</f>
        <v>0</v>
      </c>
      <c r="Z440" s="294">
        <f>IF(NFI_Expiration=1,IF($A440&lt;VLOOKUP(I$5,NFI,5,0),1,0)*Table_NFI[[#This Row],[NFI Core Kit]],Table_NFI[NFI Core Kit])</f>
        <v>0</v>
      </c>
      <c r="AA440" s="294">
        <f>IF(NFI_Expiration=1,IF($A440&lt;VLOOKUP(J$5,NFI,5,0),1,0)*Table_NFI[[#This Row],[Sanitary Kit]],Table_NFI[Sanitary Kit])</f>
        <v>0</v>
      </c>
      <c r="AB440" s="294">
        <f>IF(NFI_Expiration=1,IF($A440&lt;VLOOKUP(K$5,NFI,5,0),1,0)*Table_NFI[[#This Row],[Mosquito net]],Table_NFI[Mosquito net])</f>
        <v>0</v>
      </c>
      <c r="AC440" s="294">
        <f>IF(NFI_Expiration=1,IF($A440&lt;VLOOKUP(L$5,NFI,5,0),1,0)*Table_NFI[[#This Row],[Tarpaulin]],Table_NFI[[#This Row],[Tarpaulin]])</f>
        <v>0</v>
      </c>
      <c r="AD440" s="294">
        <f>IF(NFI_Expiration=1,IF($A440&lt;VLOOKUP(M$5,NFI,5,0),1,0)*Table_NFI[[#This Row],[Blanket]],Table_NFI[[#This Row],[Blanket]])</f>
        <v>0</v>
      </c>
      <c r="AE440" s="294">
        <f>IF(NFI_Expiration=1,IF($A440&lt;VLOOKUP(N$5,NFI,5,0),1,0)*Table_NFI[[#This Row],[Kitchen Set]],Table_NFI[Kitchen Set])</f>
        <v>0</v>
      </c>
      <c r="AF440" s="294">
        <f>IF(NFI_Expiration=1,IF($A440&lt;VLOOKUP(O$5,NFI,5,0),1,0)*Table_NFI[[#This Row],[Clothes Kit]],Table_NFI[Clothes Kit])</f>
        <v>0</v>
      </c>
      <c r="AG440" s="294">
        <f>IF(NFI_Expiration=1,IF($A440&lt;VLOOKUP(P$5,NFI,5,0),1,0)*Table_NFI[[#This Row],[Plastic Bucket]],Table_NFI[Plastic Bucket])</f>
        <v>0</v>
      </c>
      <c r="AH440" s="294">
        <f>IF(NFI_Expiration=1,IF($A440&lt;VLOOKUP(Q$5,NFI,5,0),1,0)*Table_NFI[[#This Row],[Plastic Mat]],Table_NFI[Plastic Mat])*IF(Table_NFI[[#This Row],[Distribution Date]]&gt;"2014-04-01",1,2.5)</f>
        <v>0</v>
      </c>
      <c r="AI440" s="294">
        <f>IF(NFI_Expiration=1,IF($A440&lt;VLOOKUP(R$5,NFI,5,0),1,0)*Table_NFI[[#This Row],[Winter Clothes Adult]],Table_NFI[Winter Clothes Adult])</f>
        <v>0</v>
      </c>
      <c r="AJ440" s="294">
        <f>IF(NFI_Expiration=1,IF($A440&lt;VLOOKUP(S$5,NFI,5,0),1,0)*Table_NFI[[#This Row],[Winter Clothes Children]],Table_NFI[Winter Clothes Children])</f>
        <v>0</v>
      </c>
      <c r="AK440" s="294">
        <f>IF(NFI_Expiration=1,IF($A440&lt;VLOOKUP(T$5,NFI,5,0),1,0)*Table_NFI[[#This Row],[Winter Items Other]],Table_NFI[Winter Items Other])</f>
        <v>0</v>
      </c>
      <c r="AL440" s="294">
        <f>IF(NFI_Expiration=1,IF($A440&lt;VLOOKUP(M$5,NFI,5,0),1,0)*Table_NFI[[#This Row],[Winter Blanket]],Table_NFI[[#This Row],[Winter Blanket]])</f>
        <v>0</v>
      </c>
      <c r="AM440" s="294">
        <f>IF(Table_NFI[[#This Row],[Winter Clothes Adult]]+Table_NFI[[#This Row],[Winter Clothes Children]]+Table_NFI[[#This Row],[Winter Items Other]]+Table_NFI[[#This Row],[Winter Blanket]]&gt;0,1,0)</f>
        <v>0</v>
      </c>
      <c r="AN440" s="331">
        <f>IF(NFI_Expiration=1,IF($A440&lt;VLOOKUP(V$5,NFI,5,0),1,0)*Table_NFI[[#This Row],[Jerry Can]],Table_NFI[Jerry Can])</f>
        <v>0</v>
      </c>
      <c r="AO440" s="331">
        <f>IF(NFI_Expiration=1,IF($A440&lt;VLOOKUP(V$5,NFI,5,0),1,0)*Table_NFI[[#This Row],[Shelter Tool kit]],Table_NFI[Shelter Tool kit])</f>
        <v>0</v>
      </c>
      <c r="AP440" s="331">
        <f>IF(NFI_Expiration=1,IF($A440&lt;VLOOKUP(V$5,NFI,5,0),1,0)*Table_NFI[[#This Row],[Tent]],Table_NFI[Tent])</f>
        <v>0</v>
      </c>
      <c r="AQ440" s="473" t="str">
        <f>IFERROR(VLOOKUP(Table_NFI[[#This Row],[Camp Name]],CL,2,0),"")</f>
        <v>MMR001CMP111</v>
      </c>
      <c r="AR440" s="468">
        <f ca="1">IF(Table_NFI[[#This Row],[Pcode]]="","",IF(OFFSET(CampList[Opening Date],MATCH(Table_NFI[[#This Row],[Pcode]],CampList[CP_Pcode],0)-1,0,1,1)&gt;=NFI_Monitor_Date,1,0))</f>
        <v>0</v>
      </c>
      <c r="AS440" s="473" t="str">
        <f>IFERROR(VLOOKUP(Table_NFI[[#This Row],[Camp Name]],CL,3,0),"")</f>
        <v>Open</v>
      </c>
      <c r="AT440" s="294" t="str">
        <f ca="1">IF(Table_NFI[[#This Row],[Pcode]]="","",OFFSET(CampList[Priority],MATCH(Table_NFI[[#This Row],[Pcode]],CampList[CP_Pcode],0)-1,0,1,1))</f>
        <v>P2</v>
      </c>
      <c r="AU440" s="293">
        <f>IFERROR(Table_NFI[[#This Row],[Kitchen Set]]/VLOOKUP(Table_NFI[[#This Row],[Camp Name]],CL,4,0),"")</f>
        <v>1.0695364238410596</v>
      </c>
      <c r="AV440" s="466" t="s">
        <v>1092</v>
      </c>
      <c r="AW440" s="469"/>
    </row>
    <row r="441" spans="1:49" s="470" customFormat="1" ht="13.9" customHeight="1" x14ac:dyDescent="0.25">
      <c r="A441" s="297">
        <f t="shared" si="6"/>
        <v>33.733333333333334</v>
      </c>
      <c r="B441" s="465">
        <v>41663</v>
      </c>
      <c r="C441" s="466" t="s">
        <v>453</v>
      </c>
      <c r="D441" s="466"/>
      <c r="E441" s="466" t="s">
        <v>380</v>
      </c>
      <c r="F441" s="290" t="s">
        <v>151</v>
      </c>
      <c r="G441" s="466" t="s">
        <v>188</v>
      </c>
      <c r="H441" s="291"/>
      <c r="I441" s="291"/>
      <c r="J441" s="291"/>
      <c r="K441" s="291"/>
      <c r="L441" s="292"/>
      <c r="M441" s="292"/>
      <c r="N441" s="292"/>
      <c r="O441" s="292"/>
      <c r="P441" s="294"/>
      <c r="Q441" s="294"/>
      <c r="R441" s="294"/>
      <c r="S441" s="294">
        <v>838</v>
      </c>
      <c r="T441" s="294"/>
      <c r="U441" s="294"/>
      <c r="V441" s="431"/>
      <c r="W441" s="294"/>
      <c r="X441" s="294"/>
      <c r="Y441" s="294">
        <f>IF(NFI_Expiration=1,IF($A441&lt;VLOOKUP(H$5,NFI,5,0),1,0)*Table_NFI[[#This Row],[Hygiene Kit]],Table_NFI[Hygiene Kit])</f>
        <v>0</v>
      </c>
      <c r="Z441" s="294">
        <f>IF(NFI_Expiration=1,IF($A441&lt;VLOOKUP(I$5,NFI,5,0),1,0)*Table_NFI[[#This Row],[NFI Core Kit]],Table_NFI[NFI Core Kit])</f>
        <v>0</v>
      </c>
      <c r="AA441" s="294">
        <f>IF(NFI_Expiration=1,IF($A441&lt;VLOOKUP(J$5,NFI,5,0),1,0)*Table_NFI[[#This Row],[Sanitary Kit]],Table_NFI[Sanitary Kit])</f>
        <v>0</v>
      </c>
      <c r="AB441" s="294">
        <f>IF(NFI_Expiration=1,IF($A441&lt;VLOOKUP(K$5,NFI,5,0),1,0)*Table_NFI[[#This Row],[Mosquito net]],Table_NFI[Mosquito net])</f>
        <v>0</v>
      </c>
      <c r="AC441" s="294">
        <f>IF(NFI_Expiration=1,IF($A441&lt;VLOOKUP(L$5,NFI,5,0),1,0)*Table_NFI[[#This Row],[Tarpaulin]],Table_NFI[[#This Row],[Tarpaulin]])</f>
        <v>0</v>
      </c>
      <c r="AD441" s="294">
        <f>IF(NFI_Expiration=1,IF($A441&lt;VLOOKUP(M$5,NFI,5,0),1,0)*Table_NFI[[#This Row],[Blanket]],Table_NFI[[#This Row],[Blanket]])</f>
        <v>0</v>
      </c>
      <c r="AE441" s="294">
        <f>IF(NFI_Expiration=1,IF($A441&lt;VLOOKUP(N$5,NFI,5,0),1,0)*Table_NFI[[#This Row],[Kitchen Set]],Table_NFI[Kitchen Set])</f>
        <v>0</v>
      </c>
      <c r="AF441" s="294">
        <f>IF(NFI_Expiration=1,IF($A441&lt;VLOOKUP(O$5,NFI,5,0),1,0)*Table_NFI[[#This Row],[Clothes Kit]],Table_NFI[Clothes Kit])</f>
        <v>0</v>
      </c>
      <c r="AG441" s="294">
        <f>IF(NFI_Expiration=1,IF($A441&lt;VLOOKUP(P$5,NFI,5,0),1,0)*Table_NFI[[#This Row],[Plastic Bucket]],Table_NFI[Plastic Bucket])</f>
        <v>0</v>
      </c>
      <c r="AH441" s="294">
        <f>IF(NFI_Expiration=1,IF($A441&lt;VLOOKUP(Q$5,NFI,5,0),1,0)*Table_NFI[[#This Row],[Plastic Mat]],Table_NFI[Plastic Mat])*IF(Table_NFI[[#This Row],[Distribution Date]]&gt;"2014-04-01",1,2.5)</f>
        <v>0</v>
      </c>
      <c r="AI441" s="294">
        <f>IF(NFI_Expiration=1,IF($A441&lt;VLOOKUP(R$5,NFI,5,0),1,0)*Table_NFI[[#This Row],[Winter Clothes Adult]],Table_NFI[Winter Clothes Adult])</f>
        <v>0</v>
      </c>
      <c r="AJ441" s="294">
        <f>IF(NFI_Expiration=1,IF($A441&lt;VLOOKUP(S$5,NFI,5,0),1,0)*Table_NFI[[#This Row],[Winter Clothes Children]],Table_NFI[Winter Clothes Children])</f>
        <v>0</v>
      </c>
      <c r="AK441" s="294">
        <f>IF(NFI_Expiration=1,IF($A441&lt;VLOOKUP(T$5,NFI,5,0),1,0)*Table_NFI[[#This Row],[Winter Items Other]],Table_NFI[Winter Items Other])</f>
        <v>0</v>
      </c>
      <c r="AL441" s="294">
        <f>IF(NFI_Expiration=1,IF($A441&lt;VLOOKUP(M$5,NFI,5,0),1,0)*Table_NFI[[#This Row],[Winter Blanket]],Table_NFI[[#This Row],[Winter Blanket]])</f>
        <v>0</v>
      </c>
      <c r="AM441" s="294">
        <f>IF(Table_NFI[[#This Row],[Winter Clothes Adult]]+Table_NFI[[#This Row],[Winter Clothes Children]]+Table_NFI[[#This Row],[Winter Items Other]]+Table_NFI[[#This Row],[Winter Blanket]]&gt;0,1,0)</f>
        <v>1</v>
      </c>
      <c r="AN441" s="331">
        <f>IF(NFI_Expiration=1,IF($A441&lt;VLOOKUP(V$5,NFI,5,0),1,0)*Table_NFI[[#This Row],[Jerry Can]],Table_NFI[Jerry Can])</f>
        <v>0</v>
      </c>
      <c r="AO441" s="331">
        <f>IF(NFI_Expiration=1,IF($A441&lt;VLOOKUP(V$5,NFI,5,0),1,0)*Table_NFI[[#This Row],[Shelter Tool kit]],Table_NFI[Shelter Tool kit])</f>
        <v>0</v>
      </c>
      <c r="AP441" s="331">
        <f>IF(NFI_Expiration=1,IF($A441&lt;VLOOKUP(V$5,NFI,5,0),1,0)*Table_NFI[[#This Row],[Tent]],Table_NFI[Tent])</f>
        <v>0</v>
      </c>
      <c r="AQ441" s="473" t="str">
        <f>IFERROR(VLOOKUP(Table_NFI[[#This Row],[Camp Name]],CL,2,0),"")</f>
        <v>MMR001CMP129</v>
      </c>
      <c r="AR441" s="468">
        <f ca="1">IF(Table_NFI[[#This Row],[Pcode]]="","",IF(OFFSET(CampList[Opening Date],MATCH(Table_NFI[[#This Row],[Pcode]],CampList[CP_Pcode],0)-1,0,1,1)&gt;=NFI_Monitor_Date,1,0))</f>
        <v>0</v>
      </c>
      <c r="AS441" s="473" t="str">
        <f>IFERROR(VLOOKUP(Table_NFI[[#This Row],[Camp Name]],CL,3,0),"")</f>
        <v>Open</v>
      </c>
      <c r="AT441" s="294" t="str">
        <f ca="1">IF(Table_NFI[[#This Row],[Pcode]]="","",OFFSET(CampList[Priority],MATCH(Table_NFI[[#This Row],[Pcode]],CampList[CP_Pcode],0)-1,0,1,1))</f>
        <v>P2</v>
      </c>
      <c r="AU441" s="293">
        <f>IFERROR(Table_NFI[[#This Row],[Kitchen Set]]/VLOOKUP(Table_NFI[[#This Row],[Camp Name]],CL,4,0),"")</f>
        <v>0</v>
      </c>
      <c r="AV441" s="466" t="s">
        <v>1092</v>
      </c>
      <c r="AW441" s="469"/>
    </row>
    <row r="442" spans="1:49" s="470" customFormat="1" ht="14.45" customHeight="1" x14ac:dyDescent="0.25">
      <c r="A442" s="297">
        <f t="shared" si="6"/>
        <v>33.733333333333334</v>
      </c>
      <c r="B442" s="465">
        <v>41663</v>
      </c>
      <c r="C442" s="466" t="s">
        <v>452</v>
      </c>
      <c r="D442" s="467" t="s">
        <v>452</v>
      </c>
      <c r="E442" s="466" t="s">
        <v>380</v>
      </c>
      <c r="F442" s="466" t="s">
        <v>185</v>
      </c>
      <c r="G442" s="290" t="s">
        <v>219</v>
      </c>
      <c r="H442" s="291"/>
      <c r="I442" s="291"/>
      <c r="J442" s="291"/>
      <c r="K442" s="291">
        <v>60</v>
      </c>
      <c r="L442" s="292">
        <v>30</v>
      </c>
      <c r="M442" s="292">
        <v>60</v>
      </c>
      <c r="N442" s="292">
        <v>30</v>
      </c>
      <c r="O442" s="292"/>
      <c r="P442" s="294">
        <v>30</v>
      </c>
      <c r="Q442" s="294">
        <v>150</v>
      </c>
      <c r="R442" s="294"/>
      <c r="S442" s="294"/>
      <c r="T442" s="294"/>
      <c r="U442" s="294"/>
      <c r="V442" s="431"/>
      <c r="W442" s="294"/>
      <c r="X442" s="294"/>
      <c r="Y442" s="294">
        <f>IF(NFI_Expiration=1,IF($A442&lt;VLOOKUP(H$5,NFI,5,0),1,0)*Table_NFI[[#This Row],[Hygiene Kit]],Table_NFI[Hygiene Kit])</f>
        <v>0</v>
      </c>
      <c r="Z442" s="294">
        <f>IF(NFI_Expiration=1,IF($A442&lt;VLOOKUP(I$5,NFI,5,0),1,0)*Table_NFI[[#This Row],[NFI Core Kit]],Table_NFI[NFI Core Kit])</f>
        <v>0</v>
      </c>
      <c r="AA442" s="294">
        <f>IF(NFI_Expiration=1,IF($A442&lt;VLOOKUP(J$5,NFI,5,0),1,0)*Table_NFI[[#This Row],[Sanitary Kit]],Table_NFI[Sanitary Kit])</f>
        <v>0</v>
      </c>
      <c r="AB442" s="294">
        <f>IF(NFI_Expiration=1,IF($A442&lt;VLOOKUP(K$5,NFI,5,0),1,0)*Table_NFI[[#This Row],[Mosquito net]],Table_NFI[Mosquito net])</f>
        <v>0</v>
      </c>
      <c r="AC442" s="294">
        <f>IF(NFI_Expiration=1,IF($A442&lt;VLOOKUP(L$5,NFI,5,0),1,0)*Table_NFI[[#This Row],[Tarpaulin]],Table_NFI[[#This Row],[Tarpaulin]])</f>
        <v>0</v>
      </c>
      <c r="AD442" s="294">
        <f>IF(NFI_Expiration=1,IF($A442&lt;VLOOKUP(M$5,NFI,5,0),1,0)*Table_NFI[[#This Row],[Blanket]],Table_NFI[[#This Row],[Blanket]])</f>
        <v>0</v>
      </c>
      <c r="AE442" s="294">
        <f>IF(NFI_Expiration=1,IF($A442&lt;VLOOKUP(N$5,NFI,5,0),1,0)*Table_NFI[[#This Row],[Kitchen Set]],Table_NFI[Kitchen Set])</f>
        <v>0</v>
      </c>
      <c r="AF442" s="294">
        <f>IF(NFI_Expiration=1,IF($A442&lt;VLOOKUP(O$5,NFI,5,0),1,0)*Table_NFI[[#This Row],[Clothes Kit]],Table_NFI[Clothes Kit])</f>
        <v>0</v>
      </c>
      <c r="AG442" s="294">
        <f>IF(NFI_Expiration=1,IF($A442&lt;VLOOKUP(P$5,NFI,5,0),1,0)*Table_NFI[[#This Row],[Plastic Bucket]],Table_NFI[Plastic Bucket])</f>
        <v>0</v>
      </c>
      <c r="AH442" s="294">
        <f>IF(NFI_Expiration=1,IF($A442&lt;VLOOKUP(Q$5,NFI,5,0),1,0)*Table_NFI[[#This Row],[Plastic Mat]],Table_NFI[Plastic Mat])*IF(Table_NFI[[#This Row],[Distribution Date]]&gt;"2014-04-01",1,2.5)</f>
        <v>0</v>
      </c>
      <c r="AI442" s="294">
        <f>IF(NFI_Expiration=1,IF($A442&lt;VLOOKUP(R$5,NFI,5,0),1,0)*Table_NFI[[#This Row],[Winter Clothes Adult]],Table_NFI[Winter Clothes Adult])</f>
        <v>0</v>
      </c>
      <c r="AJ442" s="294">
        <f>IF(NFI_Expiration=1,IF($A442&lt;VLOOKUP(S$5,NFI,5,0),1,0)*Table_NFI[[#This Row],[Winter Clothes Children]],Table_NFI[Winter Clothes Children])</f>
        <v>0</v>
      </c>
      <c r="AK442" s="294">
        <f>IF(NFI_Expiration=1,IF($A442&lt;VLOOKUP(T$5,NFI,5,0),1,0)*Table_NFI[[#This Row],[Winter Items Other]],Table_NFI[Winter Items Other])</f>
        <v>0</v>
      </c>
      <c r="AL442" s="294">
        <f>IF(NFI_Expiration=1,IF($A442&lt;VLOOKUP(M$5,NFI,5,0),1,0)*Table_NFI[[#This Row],[Winter Blanket]],Table_NFI[[#This Row],[Winter Blanket]])</f>
        <v>0</v>
      </c>
      <c r="AM442" s="294">
        <f>IF(Table_NFI[[#This Row],[Winter Clothes Adult]]+Table_NFI[[#This Row],[Winter Clothes Children]]+Table_NFI[[#This Row],[Winter Items Other]]+Table_NFI[[#This Row],[Winter Blanket]]&gt;0,1,0)</f>
        <v>0</v>
      </c>
      <c r="AN442" s="331">
        <f>IF(NFI_Expiration=1,IF($A442&lt;VLOOKUP(V$5,NFI,5,0),1,0)*Table_NFI[[#This Row],[Jerry Can]],Table_NFI[Jerry Can])</f>
        <v>0</v>
      </c>
      <c r="AO442" s="331">
        <f>IF(NFI_Expiration=1,IF($A442&lt;VLOOKUP(V$5,NFI,5,0),1,0)*Table_NFI[[#This Row],[Shelter Tool kit]],Table_NFI[Shelter Tool kit])</f>
        <v>0</v>
      </c>
      <c r="AP442" s="331">
        <f>IF(NFI_Expiration=1,IF($A442&lt;VLOOKUP(V$5,NFI,5,0),1,0)*Table_NFI[[#This Row],[Tent]],Table_NFI[Tent])</f>
        <v>0</v>
      </c>
      <c r="AQ442" s="473" t="str">
        <f>IFERROR(VLOOKUP(Table_NFI[[#This Row],[Camp Name]],CL,2,0),"")</f>
        <v>MMR001CMP126</v>
      </c>
      <c r="AR442" s="468">
        <f ca="1">IF(Table_NFI[[#This Row],[Pcode]]="","",IF(OFFSET(CampList[Opening Date],MATCH(Table_NFI[[#This Row],[Pcode]],CampList[CP_Pcode],0)-1,0,1,1)&gt;=NFI_Monitor_Date,1,0))</f>
        <v>0</v>
      </c>
      <c r="AS442" s="473" t="str">
        <f>IFERROR(VLOOKUP(Table_NFI[[#This Row],[Camp Name]],CL,3,0),"")</f>
        <v>Open</v>
      </c>
      <c r="AT442" s="294" t="str">
        <f ca="1">IF(Table_NFI[[#This Row],[Pcode]]="","",OFFSET(CampList[Priority],MATCH(Table_NFI[[#This Row],[Pcode]],CampList[CP_Pcode],0)-1,0,1,1))</f>
        <v>P2</v>
      </c>
      <c r="AU442" s="293">
        <f>IFERROR(Table_NFI[[#This Row],[Kitchen Set]]/VLOOKUP(Table_NFI[[#This Row],[Camp Name]],CL,4,0),"")</f>
        <v>4.4843049327354258E-2</v>
      </c>
      <c r="AV442" s="466" t="s">
        <v>1092</v>
      </c>
      <c r="AW442" s="469"/>
    </row>
    <row r="443" spans="1:49" s="470" customFormat="1" ht="14.45" customHeight="1" x14ac:dyDescent="0.25">
      <c r="A443" s="297">
        <f t="shared" si="6"/>
        <v>33.866666666666667</v>
      </c>
      <c r="B443" s="465">
        <v>41659</v>
      </c>
      <c r="C443" s="466" t="s">
        <v>1094</v>
      </c>
      <c r="D443" s="466" t="s">
        <v>900</v>
      </c>
      <c r="E443" s="466" t="s">
        <v>380</v>
      </c>
      <c r="F443" s="466" t="s">
        <v>892</v>
      </c>
      <c r="G443" s="466" t="s">
        <v>894</v>
      </c>
      <c r="H443" s="291"/>
      <c r="I443" s="291"/>
      <c r="J443" s="291"/>
      <c r="K443" s="291">
        <v>8</v>
      </c>
      <c r="L443" s="292">
        <v>16</v>
      </c>
      <c r="M443" s="292">
        <v>16</v>
      </c>
      <c r="N443" s="292">
        <v>8</v>
      </c>
      <c r="O443" s="292"/>
      <c r="P443" s="294"/>
      <c r="Q443" s="294"/>
      <c r="R443" s="294">
        <v>19</v>
      </c>
      <c r="S443" s="294">
        <v>9</v>
      </c>
      <c r="T443" s="294"/>
      <c r="U443" s="294"/>
      <c r="V443" s="431"/>
      <c r="W443" s="294"/>
      <c r="X443" s="294"/>
      <c r="Y443" s="294">
        <f>IF(NFI_Expiration=1,IF($A443&lt;VLOOKUP(H$5,NFI,5,0),1,0)*Table_NFI[[#This Row],[Hygiene Kit]],Table_NFI[Hygiene Kit])</f>
        <v>0</v>
      </c>
      <c r="Z443" s="294">
        <f>IF(NFI_Expiration=1,IF($A443&lt;VLOOKUP(I$5,NFI,5,0),1,0)*Table_NFI[[#This Row],[NFI Core Kit]],Table_NFI[NFI Core Kit])</f>
        <v>0</v>
      </c>
      <c r="AA443" s="294">
        <f>IF(NFI_Expiration=1,IF($A443&lt;VLOOKUP(J$5,NFI,5,0),1,0)*Table_NFI[[#This Row],[Sanitary Kit]],Table_NFI[Sanitary Kit])</f>
        <v>0</v>
      </c>
      <c r="AB443" s="294">
        <f>IF(NFI_Expiration=1,IF($A443&lt;VLOOKUP(K$5,NFI,5,0),1,0)*Table_NFI[[#This Row],[Mosquito net]],Table_NFI[Mosquito net])</f>
        <v>0</v>
      </c>
      <c r="AC443" s="294">
        <f>IF(NFI_Expiration=1,IF($A443&lt;VLOOKUP(L$5,NFI,5,0),1,0)*Table_NFI[[#This Row],[Tarpaulin]],Table_NFI[[#This Row],[Tarpaulin]])</f>
        <v>0</v>
      </c>
      <c r="AD443" s="294">
        <f>IF(NFI_Expiration=1,IF($A443&lt;VLOOKUP(M$5,NFI,5,0),1,0)*Table_NFI[[#This Row],[Blanket]],Table_NFI[[#This Row],[Blanket]])</f>
        <v>0</v>
      </c>
      <c r="AE443" s="294">
        <f>IF(NFI_Expiration=1,IF($A443&lt;VLOOKUP(N$5,NFI,5,0),1,0)*Table_NFI[[#This Row],[Kitchen Set]],Table_NFI[Kitchen Set])</f>
        <v>0</v>
      </c>
      <c r="AF443" s="294">
        <f>IF(NFI_Expiration=1,IF($A443&lt;VLOOKUP(O$5,NFI,5,0),1,0)*Table_NFI[[#This Row],[Clothes Kit]],Table_NFI[Clothes Kit])</f>
        <v>0</v>
      </c>
      <c r="AG443" s="294">
        <f>IF(NFI_Expiration=1,IF($A443&lt;VLOOKUP(P$5,NFI,5,0),1,0)*Table_NFI[[#This Row],[Plastic Bucket]],Table_NFI[Plastic Bucket])</f>
        <v>0</v>
      </c>
      <c r="AH443" s="294">
        <f>IF(NFI_Expiration=1,IF($A443&lt;VLOOKUP(Q$5,NFI,5,0),1,0)*Table_NFI[[#This Row],[Plastic Mat]],Table_NFI[Plastic Mat])*IF(Table_NFI[[#This Row],[Distribution Date]]&gt;"2014-04-01",1,2.5)</f>
        <v>0</v>
      </c>
      <c r="AI443" s="294">
        <f>IF(NFI_Expiration=1,IF($A443&lt;VLOOKUP(R$5,NFI,5,0),1,0)*Table_NFI[[#This Row],[Winter Clothes Adult]],Table_NFI[Winter Clothes Adult])</f>
        <v>0</v>
      </c>
      <c r="AJ443" s="294">
        <f>IF(NFI_Expiration=1,IF($A443&lt;VLOOKUP(S$5,NFI,5,0),1,0)*Table_NFI[[#This Row],[Winter Clothes Children]],Table_NFI[Winter Clothes Children])</f>
        <v>0</v>
      </c>
      <c r="AK443" s="294">
        <f>IF(NFI_Expiration=1,IF($A443&lt;VLOOKUP(T$5,NFI,5,0),1,0)*Table_NFI[[#This Row],[Winter Items Other]],Table_NFI[Winter Items Other])</f>
        <v>0</v>
      </c>
      <c r="AL443" s="294">
        <f>IF(NFI_Expiration=1,IF($A443&lt;VLOOKUP(M$5,NFI,5,0),1,0)*Table_NFI[[#This Row],[Winter Blanket]],Table_NFI[[#This Row],[Winter Blanket]])</f>
        <v>0</v>
      </c>
      <c r="AM443" s="294">
        <f>IF(Table_NFI[[#This Row],[Winter Clothes Adult]]+Table_NFI[[#This Row],[Winter Clothes Children]]+Table_NFI[[#This Row],[Winter Items Other]]+Table_NFI[[#This Row],[Winter Blanket]]&gt;0,1,0)</f>
        <v>1</v>
      </c>
      <c r="AN443" s="331">
        <f>IF(NFI_Expiration=1,IF($A443&lt;VLOOKUP(V$5,NFI,5,0),1,0)*Table_NFI[[#This Row],[Jerry Can]],Table_NFI[Jerry Can])</f>
        <v>0</v>
      </c>
      <c r="AO443" s="331">
        <f>IF(NFI_Expiration=1,IF($A443&lt;VLOOKUP(V$5,NFI,5,0),1,0)*Table_NFI[[#This Row],[Shelter Tool kit]],Table_NFI[Shelter Tool kit])</f>
        <v>0</v>
      </c>
      <c r="AP443" s="331">
        <f>IF(NFI_Expiration=1,IF($A443&lt;VLOOKUP(V$5,NFI,5,0),1,0)*Table_NFI[[#This Row],[Tent]],Table_NFI[Tent])</f>
        <v>0</v>
      </c>
      <c r="AQ443" s="473" t="str">
        <f>IFERROR(VLOOKUP(Table_NFI[[#This Row],[Camp Name]],CL,2,0),"")</f>
        <v>MMR001CMP221</v>
      </c>
      <c r="AR443" s="468">
        <f ca="1">IF(Table_NFI[[#This Row],[Pcode]]="","",IF(OFFSET(CampList[Opening Date],MATCH(Table_NFI[[#This Row],[Pcode]],CampList[CP_Pcode],0)-1,0,1,1)&gt;=NFI_Monitor_Date,1,0))</f>
        <v>0</v>
      </c>
      <c r="AS443" s="473" t="str">
        <f>IFERROR(VLOOKUP(Table_NFI[[#This Row],[Camp Name]],CL,3,0),"")</f>
        <v>Closed</v>
      </c>
      <c r="AT443" s="294" t="str">
        <f ca="1">IF(Table_NFI[[#This Row],[Pcode]]="","",OFFSET(CampList[Priority],MATCH(Table_NFI[[#This Row],[Pcode]],CampList[CP_Pcode],0)-1,0,1,1))</f>
        <v>P3</v>
      </c>
      <c r="AU443" s="293" t="str">
        <f>IFERROR(Table_NFI[[#This Row],[Kitchen Set]]/VLOOKUP(Table_NFI[[#This Row],[Camp Name]],CL,4,0),"")</f>
        <v/>
      </c>
      <c r="AV443" s="466"/>
      <c r="AW443" s="469"/>
    </row>
    <row r="444" spans="1:49" s="470" customFormat="1" ht="14.45" customHeight="1" x14ac:dyDescent="0.25">
      <c r="A444" s="297">
        <f t="shared" si="6"/>
        <v>33.866666666666667</v>
      </c>
      <c r="B444" s="465">
        <v>41659</v>
      </c>
      <c r="C444" s="466" t="s">
        <v>453</v>
      </c>
      <c r="D444" s="466" t="s">
        <v>506</v>
      </c>
      <c r="E444" s="466" t="s">
        <v>380</v>
      </c>
      <c r="F444" s="466" t="s">
        <v>310</v>
      </c>
      <c r="G444" s="466" t="s">
        <v>322</v>
      </c>
      <c r="H444" s="291"/>
      <c r="I444" s="291"/>
      <c r="J444" s="291"/>
      <c r="K444" s="291"/>
      <c r="L444" s="292"/>
      <c r="M444" s="292"/>
      <c r="N444" s="292"/>
      <c r="O444" s="292"/>
      <c r="P444" s="294"/>
      <c r="Q444" s="294"/>
      <c r="R444" s="294">
        <v>1497</v>
      </c>
      <c r="S444" s="294">
        <v>925</v>
      </c>
      <c r="T444" s="294"/>
      <c r="U444" s="294"/>
      <c r="V444" s="431"/>
      <c r="W444" s="294"/>
      <c r="X444" s="294"/>
      <c r="Y444" s="294">
        <f>IF(NFI_Expiration=1,IF($A444&lt;VLOOKUP(H$5,NFI,5,0),1,0)*Table_NFI[[#This Row],[Hygiene Kit]],Table_NFI[Hygiene Kit])</f>
        <v>0</v>
      </c>
      <c r="Z444" s="294">
        <f>IF(NFI_Expiration=1,IF($A444&lt;VLOOKUP(I$5,NFI,5,0),1,0)*Table_NFI[[#This Row],[NFI Core Kit]],Table_NFI[NFI Core Kit])</f>
        <v>0</v>
      </c>
      <c r="AA444" s="294">
        <f>IF(NFI_Expiration=1,IF($A444&lt;VLOOKUP(J$5,NFI,5,0),1,0)*Table_NFI[[#This Row],[Sanitary Kit]],Table_NFI[Sanitary Kit])</f>
        <v>0</v>
      </c>
      <c r="AB444" s="294">
        <f>IF(NFI_Expiration=1,IF($A444&lt;VLOOKUP(K$5,NFI,5,0),1,0)*Table_NFI[[#This Row],[Mosquito net]],Table_NFI[Mosquito net])</f>
        <v>0</v>
      </c>
      <c r="AC444" s="294">
        <f>IF(NFI_Expiration=1,IF($A444&lt;VLOOKUP(L$5,NFI,5,0),1,0)*Table_NFI[[#This Row],[Tarpaulin]],Table_NFI[[#This Row],[Tarpaulin]])</f>
        <v>0</v>
      </c>
      <c r="AD444" s="294">
        <f>IF(NFI_Expiration=1,IF($A444&lt;VLOOKUP(M$5,NFI,5,0),1,0)*Table_NFI[[#This Row],[Blanket]],Table_NFI[[#This Row],[Blanket]])</f>
        <v>0</v>
      </c>
      <c r="AE444" s="294">
        <f>IF(NFI_Expiration=1,IF($A444&lt;VLOOKUP(N$5,NFI,5,0),1,0)*Table_NFI[[#This Row],[Kitchen Set]],Table_NFI[Kitchen Set])</f>
        <v>0</v>
      </c>
      <c r="AF444" s="294">
        <f>IF(NFI_Expiration=1,IF($A444&lt;VLOOKUP(O$5,NFI,5,0),1,0)*Table_NFI[[#This Row],[Clothes Kit]],Table_NFI[Clothes Kit])</f>
        <v>0</v>
      </c>
      <c r="AG444" s="294">
        <f>IF(NFI_Expiration=1,IF($A444&lt;VLOOKUP(P$5,NFI,5,0),1,0)*Table_NFI[[#This Row],[Plastic Bucket]],Table_NFI[Plastic Bucket])</f>
        <v>0</v>
      </c>
      <c r="AH444" s="294">
        <f>IF(NFI_Expiration=1,IF($A444&lt;VLOOKUP(Q$5,NFI,5,0),1,0)*Table_NFI[[#This Row],[Plastic Mat]],Table_NFI[Plastic Mat])*IF(Table_NFI[[#This Row],[Distribution Date]]&gt;"2014-04-01",1,2.5)</f>
        <v>0</v>
      </c>
      <c r="AI444" s="294">
        <f>IF(NFI_Expiration=1,IF($A444&lt;VLOOKUP(R$5,NFI,5,0),1,0)*Table_NFI[[#This Row],[Winter Clothes Adult]],Table_NFI[Winter Clothes Adult])</f>
        <v>0</v>
      </c>
      <c r="AJ444" s="294">
        <f>IF(NFI_Expiration=1,IF($A444&lt;VLOOKUP(S$5,NFI,5,0),1,0)*Table_NFI[[#This Row],[Winter Clothes Children]],Table_NFI[Winter Clothes Children])</f>
        <v>0</v>
      </c>
      <c r="AK444" s="294">
        <f>IF(NFI_Expiration=1,IF($A444&lt;VLOOKUP(T$5,NFI,5,0),1,0)*Table_NFI[[#This Row],[Winter Items Other]],Table_NFI[Winter Items Other])</f>
        <v>0</v>
      </c>
      <c r="AL444" s="294">
        <f>IF(NFI_Expiration=1,IF($A444&lt;VLOOKUP(M$5,NFI,5,0),1,0)*Table_NFI[[#This Row],[Winter Blanket]],Table_NFI[[#This Row],[Winter Blanket]])</f>
        <v>0</v>
      </c>
      <c r="AM444" s="294">
        <f>IF(Table_NFI[[#This Row],[Winter Clothes Adult]]+Table_NFI[[#This Row],[Winter Clothes Children]]+Table_NFI[[#This Row],[Winter Items Other]]+Table_NFI[[#This Row],[Winter Blanket]]&gt;0,1,0)</f>
        <v>1</v>
      </c>
      <c r="AN444" s="331">
        <f>IF(NFI_Expiration=1,IF($A444&lt;VLOOKUP(V$5,NFI,5,0),1,0)*Table_NFI[[#This Row],[Jerry Can]],Table_NFI[Jerry Can])</f>
        <v>0</v>
      </c>
      <c r="AO444" s="331">
        <f>IF(NFI_Expiration=1,IF($A444&lt;VLOOKUP(V$5,NFI,5,0),1,0)*Table_NFI[[#This Row],[Shelter Tool kit]],Table_NFI[Shelter Tool kit])</f>
        <v>0</v>
      </c>
      <c r="AP444" s="331">
        <f>IF(NFI_Expiration=1,IF($A444&lt;VLOOKUP(V$5,NFI,5,0),1,0)*Table_NFI[[#This Row],[Tent]],Table_NFI[Tent])</f>
        <v>0</v>
      </c>
      <c r="AQ444" s="473" t="str">
        <f>IFERROR(VLOOKUP(Table_NFI[[#This Row],[Camp Name]],CL,2,0),"")</f>
        <v>MMR001CMP119</v>
      </c>
      <c r="AR444" s="468">
        <f ca="1">IF(Table_NFI[[#This Row],[Pcode]]="","",IF(OFFSET(CampList[Opening Date],MATCH(Table_NFI[[#This Row],[Pcode]],CampList[CP_Pcode],0)-1,0,1,1)&gt;=NFI_Monitor_Date,1,0))</f>
        <v>0</v>
      </c>
      <c r="AS444" s="473" t="str">
        <f>IFERROR(VLOOKUP(Table_NFI[[#This Row],[Camp Name]],CL,3,0),"")</f>
        <v>Open</v>
      </c>
      <c r="AT444" s="294" t="str">
        <f ca="1">IF(Table_NFI[[#This Row],[Pcode]]="","",OFFSET(CampList[Priority],MATCH(Table_NFI[[#This Row],[Pcode]],CampList[CP_Pcode],0)-1,0,1,1))</f>
        <v>P2</v>
      </c>
      <c r="AU444" s="293">
        <f>IFERROR(Table_NFI[[#This Row],[Kitchen Set]]/VLOOKUP(Table_NFI[[#This Row],[Camp Name]],CL,4,0),"")</f>
        <v>0</v>
      </c>
      <c r="AV444" s="466" t="s">
        <v>1092</v>
      </c>
      <c r="AW444" s="469"/>
    </row>
    <row r="445" spans="1:49" s="470" customFormat="1" ht="14.45" customHeight="1" x14ac:dyDescent="0.25">
      <c r="A445" s="297">
        <f t="shared" si="6"/>
        <v>33.866666666666667</v>
      </c>
      <c r="B445" s="465">
        <v>41659</v>
      </c>
      <c r="C445" s="466" t="s">
        <v>1094</v>
      </c>
      <c r="D445" s="466" t="s">
        <v>900</v>
      </c>
      <c r="E445" s="466" t="s">
        <v>380</v>
      </c>
      <c r="F445" s="466" t="s">
        <v>300</v>
      </c>
      <c r="G445" s="466" t="s">
        <v>890</v>
      </c>
      <c r="H445" s="291"/>
      <c r="I445" s="291"/>
      <c r="J445" s="291"/>
      <c r="K445" s="291">
        <v>17</v>
      </c>
      <c r="L445" s="292">
        <v>34</v>
      </c>
      <c r="M445" s="292">
        <v>34</v>
      </c>
      <c r="N445" s="292">
        <v>17</v>
      </c>
      <c r="O445" s="292"/>
      <c r="P445" s="294"/>
      <c r="Q445" s="294"/>
      <c r="R445" s="294">
        <v>31</v>
      </c>
      <c r="S445" s="294">
        <v>28</v>
      </c>
      <c r="T445" s="294"/>
      <c r="U445" s="294"/>
      <c r="V445" s="431"/>
      <c r="W445" s="294"/>
      <c r="X445" s="294"/>
      <c r="Y445" s="294">
        <f>IF(NFI_Expiration=1,IF($A445&lt;VLOOKUP(H$5,NFI,5,0),1,0)*Table_NFI[[#This Row],[Hygiene Kit]],Table_NFI[Hygiene Kit])</f>
        <v>0</v>
      </c>
      <c r="Z445" s="294">
        <f>IF(NFI_Expiration=1,IF($A445&lt;VLOOKUP(I$5,NFI,5,0),1,0)*Table_NFI[[#This Row],[NFI Core Kit]],Table_NFI[NFI Core Kit])</f>
        <v>0</v>
      </c>
      <c r="AA445" s="294">
        <f>IF(NFI_Expiration=1,IF($A445&lt;VLOOKUP(J$5,NFI,5,0),1,0)*Table_NFI[[#This Row],[Sanitary Kit]],Table_NFI[Sanitary Kit])</f>
        <v>0</v>
      </c>
      <c r="AB445" s="294">
        <f>IF(NFI_Expiration=1,IF($A445&lt;VLOOKUP(K$5,NFI,5,0),1,0)*Table_NFI[[#This Row],[Mosquito net]],Table_NFI[Mosquito net])</f>
        <v>0</v>
      </c>
      <c r="AC445" s="294">
        <f>IF(NFI_Expiration=1,IF($A445&lt;VLOOKUP(L$5,NFI,5,0),1,0)*Table_NFI[[#This Row],[Tarpaulin]],Table_NFI[[#This Row],[Tarpaulin]])</f>
        <v>0</v>
      </c>
      <c r="AD445" s="294">
        <f>IF(NFI_Expiration=1,IF($A445&lt;VLOOKUP(M$5,NFI,5,0),1,0)*Table_NFI[[#This Row],[Blanket]],Table_NFI[[#This Row],[Blanket]])</f>
        <v>0</v>
      </c>
      <c r="AE445" s="294">
        <f>IF(NFI_Expiration=1,IF($A445&lt;VLOOKUP(N$5,NFI,5,0),1,0)*Table_NFI[[#This Row],[Kitchen Set]],Table_NFI[Kitchen Set])</f>
        <v>0</v>
      </c>
      <c r="AF445" s="294">
        <f>IF(NFI_Expiration=1,IF($A445&lt;VLOOKUP(O$5,NFI,5,0),1,0)*Table_NFI[[#This Row],[Clothes Kit]],Table_NFI[Clothes Kit])</f>
        <v>0</v>
      </c>
      <c r="AG445" s="294">
        <f>IF(NFI_Expiration=1,IF($A445&lt;VLOOKUP(P$5,NFI,5,0),1,0)*Table_NFI[[#This Row],[Plastic Bucket]],Table_NFI[Plastic Bucket])</f>
        <v>0</v>
      </c>
      <c r="AH445" s="294">
        <f>IF(NFI_Expiration=1,IF($A445&lt;VLOOKUP(Q$5,NFI,5,0),1,0)*Table_NFI[[#This Row],[Plastic Mat]],Table_NFI[Plastic Mat])*IF(Table_NFI[[#This Row],[Distribution Date]]&gt;"2014-04-01",1,2.5)</f>
        <v>0</v>
      </c>
      <c r="AI445" s="294">
        <f>IF(NFI_Expiration=1,IF($A445&lt;VLOOKUP(R$5,NFI,5,0),1,0)*Table_NFI[[#This Row],[Winter Clothes Adult]],Table_NFI[Winter Clothes Adult])</f>
        <v>0</v>
      </c>
      <c r="AJ445" s="294">
        <f>IF(NFI_Expiration=1,IF($A445&lt;VLOOKUP(S$5,NFI,5,0),1,0)*Table_NFI[[#This Row],[Winter Clothes Children]],Table_NFI[Winter Clothes Children])</f>
        <v>0</v>
      </c>
      <c r="AK445" s="294">
        <f>IF(NFI_Expiration=1,IF($A445&lt;VLOOKUP(T$5,NFI,5,0),1,0)*Table_NFI[[#This Row],[Winter Items Other]],Table_NFI[Winter Items Other])</f>
        <v>0</v>
      </c>
      <c r="AL445" s="294">
        <f>IF(NFI_Expiration=1,IF($A445&lt;VLOOKUP(M$5,NFI,5,0),1,0)*Table_NFI[[#This Row],[Winter Blanket]],Table_NFI[[#This Row],[Winter Blanket]])</f>
        <v>0</v>
      </c>
      <c r="AM445" s="294">
        <f>IF(Table_NFI[[#This Row],[Winter Clothes Adult]]+Table_NFI[[#This Row],[Winter Clothes Children]]+Table_NFI[[#This Row],[Winter Items Other]]+Table_NFI[[#This Row],[Winter Blanket]]&gt;0,1,0)</f>
        <v>1</v>
      </c>
      <c r="AN445" s="331">
        <f>IF(NFI_Expiration=1,IF($A445&lt;VLOOKUP(V$5,NFI,5,0),1,0)*Table_NFI[[#This Row],[Jerry Can]],Table_NFI[Jerry Can])</f>
        <v>0</v>
      </c>
      <c r="AO445" s="331">
        <f>IF(NFI_Expiration=1,IF($A445&lt;VLOOKUP(V$5,NFI,5,0),1,0)*Table_NFI[[#This Row],[Shelter Tool kit]],Table_NFI[Shelter Tool kit])</f>
        <v>0</v>
      </c>
      <c r="AP445" s="331">
        <f>IF(NFI_Expiration=1,IF($A445&lt;VLOOKUP(V$5,NFI,5,0),1,0)*Table_NFI[[#This Row],[Tent]],Table_NFI[Tent])</f>
        <v>0</v>
      </c>
      <c r="AQ445" s="473" t="str">
        <f>IFERROR(VLOOKUP(Table_NFI[[#This Row],[Camp Name]],CL,2,0),"")</f>
        <v>MMR001CMP220</v>
      </c>
      <c r="AR445" s="468">
        <f ca="1">IF(Table_NFI[[#This Row],[Pcode]]="","",IF(OFFSET(CampList[Opening Date],MATCH(Table_NFI[[#This Row],[Pcode]],CampList[CP_Pcode],0)-1,0,1,1)&gt;=NFI_Monitor_Date,1,0))</f>
        <v>0</v>
      </c>
      <c r="AS445" s="473" t="str">
        <f>IFERROR(VLOOKUP(Table_NFI[[#This Row],[Camp Name]],CL,3,0),"")</f>
        <v>Closed</v>
      </c>
      <c r="AT445" s="294" t="str">
        <f ca="1">IF(Table_NFI[[#This Row],[Pcode]]="","",OFFSET(CampList[Priority],MATCH(Table_NFI[[#This Row],[Pcode]],CampList[CP_Pcode],0)-1,0,1,1))</f>
        <v>P3</v>
      </c>
      <c r="AU445" s="293" t="str">
        <f>IFERROR(Table_NFI[[#This Row],[Kitchen Set]]/VLOOKUP(Table_NFI[[#This Row],[Camp Name]],CL,4,0),"")</f>
        <v/>
      </c>
      <c r="AV445" s="466"/>
      <c r="AW445" s="469"/>
    </row>
    <row r="446" spans="1:49" s="470" customFormat="1" ht="14.45" customHeight="1" x14ac:dyDescent="0.25">
      <c r="A446" s="297">
        <f t="shared" si="6"/>
        <v>33.866666666666667</v>
      </c>
      <c r="B446" s="465">
        <v>41659</v>
      </c>
      <c r="C446" s="466" t="s">
        <v>453</v>
      </c>
      <c r="D446" s="466" t="s">
        <v>506</v>
      </c>
      <c r="E446" s="466" t="s">
        <v>380</v>
      </c>
      <c r="F446" s="466" t="s">
        <v>310</v>
      </c>
      <c r="G446" s="466" t="s">
        <v>355</v>
      </c>
      <c r="H446" s="291"/>
      <c r="I446" s="291"/>
      <c r="J446" s="291"/>
      <c r="K446" s="291"/>
      <c r="L446" s="292"/>
      <c r="M446" s="292"/>
      <c r="N446" s="292"/>
      <c r="O446" s="292">
        <v>127</v>
      </c>
      <c r="P446" s="294"/>
      <c r="Q446" s="294"/>
      <c r="R446" s="294"/>
      <c r="S446" s="294"/>
      <c r="T446" s="294"/>
      <c r="U446" s="294"/>
      <c r="V446" s="431"/>
      <c r="W446" s="294"/>
      <c r="X446" s="294"/>
      <c r="Y446" s="294">
        <f>IF(NFI_Expiration=1,IF($A446&lt;VLOOKUP(H$5,NFI,5,0),1,0)*Table_NFI[[#This Row],[Hygiene Kit]],Table_NFI[Hygiene Kit])</f>
        <v>0</v>
      </c>
      <c r="Z446" s="294">
        <f>IF(NFI_Expiration=1,IF($A446&lt;VLOOKUP(I$5,NFI,5,0),1,0)*Table_NFI[[#This Row],[NFI Core Kit]],Table_NFI[NFI Core Kit])</f>
        <v>0</v>
      </c>
      <c r="AA446" s="294">
        <f>IF(NFI_Expiration=1,IF($A446&lt;VLOOKUP(J$5,NFI,5,0),1,0)*Table_NFI[[#This Row],[Sanitary Kit]],Table_NFI[Sanitary Kit])</f>
        <v>0</v>
      </c>
      <c r="AB446" s="294">
        <f>IF(NFI_Expiration=1,IF($A446&lt;VLOOKUP(K$5,NFI,5,0),1,0)*Table_NFI[[#This Row],[Mosquito net]],Table_NFI[Mosquito net])</f>
        <v>0</v>
      </c>
      <c r="AC446" s="294">
        <f>IF(NFI_Expiration=1,IF($A446&lt;VLOOKUP(L$5,NFI,5,0),1,0)*Table_NFI[[#This Row],[Tarpaulin]],Table_NFI[[#This Row],[Tarpaulin]])</f>
        <v>0</v>
      </c>
      <c r="AD446" s="294">
        <f>IF(NFI_Expiration=1,IF($A446&lt;VLOOKUP(M$5,NFI,5,0),1,0)*Table_NFI[[#This Row],[Blanket]],Table_NFI[[#This Row],[Blanket]])</f>
        <v>0</v>
      </c>
      <c r="AE446" s="294">
        <f>IF(NFI_Expiration=1,IF($A446&lt;VLOOKUP(N$5,NFI,5,0),1,0)*Table_NFI[[#This Row],[Kitchen Set]],Table_NFI[Kitchen Set])</f>
        <v>0</v>
      </c>
      <c r="AF446" s="294">
        <f>IF(NFI_Expiration=1,IF($A446&lt;VLOOKUP(O$5,NFI,5,0),1,0)*Table_NFI[[#This Row],[Clothes Kit]],Table_NFI[Clothes Kit])</f>
        <v>0</v>
      </c>
      <c r="AG446" s="294">
        <f>IF(NFI_Expiration=1,IF($A446&lt;VLOOKUP(P$5,NFI,5,0),1,0)*Table_NFI[[#This Row],[Plastic Bucket]],Table_NFI[Plastic Bucket])</f>
        <v>0</v>
      </c>
      <c r="AH446" s="294">
        <f>IF(NFI_Expiration=1,IF($A446&lt;VLOOKUP(Q$5,NFI,5,0),1,0)*Table_NFI[[#This Row],[Plastic Mat]],Table_NFI[Plastic Mat])*IF(Table_NFI[[#This Row],[Distribution Date]]&gt;"2014-04-01",1,2.5)</f>
        <v>0</v>
      </c>
      <c r="AI446" s="294">
        <f>IF(NFI_Expiration=1,IF($A446&lt;VLOOKUP(R$5,NFI,5,0),1,0)*Table_NFI[[#This Row],[Winter Clothes Adult]],Table_NFI[Winter Clothes Adult])</f>
        <v>0</v>
      </c>
      <c r="AJ446" s="294">
        <f>IF(NFI_Expiration=1,IF($A446&lt;VLOOKUP(S$5,NFI,5,0),1,0)*Table_NFI[[#This Row],[Winter Clothes Children]],Table_NFI[Winter Clothes Children])</f>
        <v>0</v>
      </c>
      <c r="AK446" s="294">
        <f>IF(NFI_Expiration=1,IF($A446&lt;VLOOKUP(T$5,NFI,5,0),1,0)*Table_NFI[[#This Row],[Winter Items Other]],Table_NFI[Winter Items Other])</f>
        <v>0</v>
      </c>
      <c r="AL446" s="294">
        <f>IF(NFI_Expiration=1,IF($A446&lt;VLOOKUP(M$5,NFI,5,0),1,0)*Table_NFI[[#This Row],[Winter Blanket]],Table_NFI[[#This Row],[Winter Blanket]])</f>
        <v>0</v>
      </c>
      <c r="AM446" s="294">
        <f>IF(Table_NFI[[#This Row],[Winter Clothes Adult]]+Table_NFI[[#This Row],[Winter Clothes Children]]+Table_NFI[[#This Row],[Winter Items Other]]+Table_NFI[[#This Row],[Winter Blanket]]&gt;0,1,0)</f>
        <v>0</v>
      </c>
      <c r="AN446" s="331">
        <f>IF(NFI_Expiration=1,IF($A446&lt;VLOOKUP(V$5,NFI,5,0),1,0)*Table_NFI[[#This Row],[Jerry Can]],Table_NFI[Jerry Can])</f>
        <v>0</v>
      </c>
      <c r="AO446" s="331">
        <f>IF(NFI_Expiration=1,IF($A446&lt;VLOOKUP(V$5,NFI,5,0),1,0)*Table_NFI[[#This Row],[Shelter Tool kit]],Table_NFI[Shelter Tool kit])</f>
        <v>0</v>
      </c>
      <c r="AP446" s="331">
        <f>IF(NFI_Expiration=1,IF($A446&lt;VLOOKUP(V$5,NFI,5,0),1,0)*Table_NFI[[#This Row],[Tent]],Table_NFI[Tent])</f>
        <v>0</v>
      </c>
      <c r="AQ446" s="473" t="str">
        <f>IFERROR(VLOOKUP(Table_NFI[[#This Row],[Camp Name]],CL,2,0),"")</f>
        <v>MMR001CMP160</v>
      </c>
      <c r="AR446" s="468">
        <f ca="1">IF(Table_NFI[[#This Row],[Pcode]]="","",IF(OFFSET(CampList[Opening Date],MATCH(Table_NFI[[#This Row],[Pcode]],CampList[CP_Pcode],0)-1,0,1,1)&gt;=NFI_Monitor_Date,1,0))</f>
        <v>0</v>
      </c>
      <c r="AS446" s="473" t="str">
        <f>IFERROR(VLOOKUP(Table_NFI[[#This Row],[Camp Name]],CL,3,0),"")</f>
        <v>Open</v>
      </c>
      <c r="AT446" s="294" t="str">
        <f ca="1">IF(Table_NFI[[#This Row],[Pcode]]="","",OFFSET(CampList[Priority],MATCH(Table_NFI[[#This Row],[Pcode]],CampList[CP_Pcode],0)-1,0,1,1))</f>
        <v>P1</v>
      </c>
      <c r="AU446" s="293">
        <f>IFERROR(Table_NFI[[#This Row],[Kitchen Set]]/VLOOKUP(Table_NFI[[#This Row],[Camp Name]],CL,4,0),"")</f>
        <v>0</v>
      </c>
      <c r="AV446" s="466" t="s">
        <v>1092</v>
      </c>
      <c r="AW446" s="469"/>
    </row>
    <row r="447" spans="1:49" s="470" customFormat="1" ht="14.45" customHeight="1" x14ac:dyDescent="0.25">
      <c r="A447" s="297">
        <f t="shared" si="6"/>
        <v>33.866666666666667</v>
      </c>
      <c r="B447" s="465">
        <v>41659</v>
      </c>
      <c r="C447" s="466" t="s">
        <v>453</v>
      </c>
      <c r="D447" s="466" t="s">
        <v>506</v>
      </c>
      <c r="E447" s="466" t="s">
        <v>380</v>
      </c>
      <c r="F447" s="466" t="s">
        <v>310</v>
      </c>
      <c r="G447" s="466" t="s">
        <v>355</v>
      </c>
      <c r="H447" s="291"/>
      <c r="I447" s="291"/>
      <c r="J447" s="291"/>
      <c r="K447" s="291"/>
      <c r="L447" s="292"/>
      <c r="M447" s="292"/>
      <c r="N447" s="292"/>
      <c r="O447" s="292"/>
      <c r="P447" s="294"/>
      <c r="Q447" s="294"/>
      <c r="R447" s="294">
        <v>443</v>
      </c>
      <c r="S447" s="294">
        <v>218</v>
      </c>
      <c r="T447" s="294"/>
      <c r="U447" s="294"/>
      <c r="V447" s="431"/>
      <c r="W447" s="294"/>
      <c r="X447" s="294"/>
      <c r="Y447" s="294">
        <f>IF(NFI_Expiration=1,IF($A447&lt;VLOOKUP(H$5,NFI,5,0),1,0)*Table_NFI[[#This Row],[Hygiene Kit]],Table_NFI[Hygiene Kit])</f>
        <v>0</v>
      </c>
      <c r="Z447" s="294">
        <f>IF(NFI_Expiration=1,IF($A447&lt;VLOOKUP(I$5,NFI,5,0),1,0)*Table_NFI[[#This Row],[NFI Core Kit]],Table_NFI[NFI Core Kit])</f>
        <v>0</v>
      </c>
      <c r="AA447" s="294">
        <f>IF(NFI_Expiration=1,IF($A447&lt;VLOOKUP(J$5,NFI,5,0),1,0)*Table_NFI[[#This Row],[Sanitary Kit]],Table_NFI[Sanitary Kit])</f>
        <v>0</v>
      </c>
      <c r="AB447" s="294">
        <f>IF(NFI_Expiration=1,IF($A447&lt;VLOOKUP(K$5,NFI,5,0),1,0)*Table_NFI[[#This Row],[Mosquito net]],Table_NFI[Mosquito net])</f>
        <v>0</v>
      </c>
      <c r="AC447" s="294">
        <f>IF(NFI_Expiration=1,IF($A447&lt;VLOOKUP(L$5,NFI,5,0),1,0)*Table_NFI[[#This Row],[Tarpaulin]],Table_NFI[[#This Row],[Tarpaulin]])</f>
        <v>0</v>
      </c>
      <c r="AD447" s="294">
        <f>IF(NFI_Expiration=1,IF($A447&lt;VLOOKUP(M$5,NFI,5,0),1,0)*Table_NFI[[#This Row],[Blanket]],Table_NFI[[#This Row],[Blanket]])</f>
        <v>0</v>
      </c>
      <c r="AE447" s="294">
        <f>IF(NFI_Expiration=1,IF($A447&lt;VLOOKUP(N$5,NFI,5,0),1,0)*Table_NFI[[#This Row],[Kitchen Set]],Table_NFI[Kitchen Set])</f>
        <v>0</v>
      </c>
      <c r="AF447" s="294">
        <f>IF(NFI_Expiration=1,IF($A447&lt;VLOOKUP(O$5,NFI,5,0),1,0)*Table_NFI[[#This Row],[Clothes Kit]],Table_NFI[Clothes Kit])</f>
        <v>0</v>
      </c>
      <c r="AG447" s="294">
        <f>IF(NFI_Expiration=1,IF($A447&lt;VLOOKUP(P$5,NFI,5,0),1,0)*Table_NFI[[#This Row],[Plastic Bucket]],Table_NFI[Plastic Bucket])</f>
        <v>0</v>
      </c>
      <c r="AH447" s="294">
        <f>IF(NFI_Expiration=1,IF($A447&lt;VLOOKUP(Q$5,NFI,5,0),1,0)*Table_NFI[[#This Row],[Plastic Mat]],Table_NFI[Plastic Mat])*IF(Table_NFI[[#This Row],[Distribution Date]]&gt;"2014-04-01",1,2.5)</f>
        <v>0</v>
      </c>
      <c r="AI447" s="294">
        <f>IF(NFI_Expiration=1,IF($A447&lt;VLOOKUP(R$5,NFI,5,0),1,0)*Table_NFI[[#This Row],[Winter Clothes Adult]],Table_NFI[Winter Clothes Adult])</f>
        <v>0</v>
      </c>
      <c r="AJ447" s="294">
        <f>IF(NFI_Expiration=1,IF($A447&lt;VLOOKUP(S$5,NFI,5,0),1,0)*Table_NFI[[#This Row],[Winter Clothes Children]],Table_NFI[Winter Clothes Children])</f>
        <v>0</v>
      </c>
      <c r="AK447" s="294">
        <f>IF(NFI_Expiration=1,IF($A447&lt;VLOOKUP(T$5,NFI,5,0),1,0)*Table_NFI[[#This Row],[Winter Items Other]],Table_NFI[Winter Items Other])</f>
        <v>0</v>
      </c>
      <c r="AL447" s="294">
        <f>IF(NFI_Expiration=1,IF($A447&lt;VLOOKUP(M$5,NFI,5,0),1,0)*Table_NFI[[#This Row],[Winter Blanket]],Table_NFI[[#This Row],[Winter Blanket]])</f>
        <v>0</v>
      </c>
      <c r="AM447" s="294">
        <f>IF(Table_NFI[[#This Row],[Winter Clothes Adult]]+Table_NFI[[#This Row],[Winter Clothes Children]]+Table_NFI[[#This Row],[Winter Items Other]]+Table_NFI[[#This Row],[Winter Blanket]]&gt;0,1,0)</f>
        <v>1</v>
      </c>
      <c r="AN447" s="331">
        <f>IF(NFI_Expiration=1,IF($A447&lt;VLOOKUP(V$5,NFI,5,0),1,0)*Table_NFI[[#This Row],[Jerry Can]],Table_NFI[Jerry Can])</f>
        <v>0</v>
      </c>
      <c r="AO447" s="331">
        <f>IF(NFI_Expiration=1,IF($A447&lt;VLOOKUP(V$5,NFI,5,0),1,0)*Table_NFI[[#This Row],[Shelter Tool kit]],Table_NFI[Shelter Tool kit])</f>
        <v>0</v>
      </c>
      <c r="AP447" s="331">
        <f>IF(NFI_Expiration=1,IF($A447&lt;VLOOKUP(V$5,NFI,5,0),1,0)*Table_NFI[[#This Row],[Tent]],Table_NFI[Tent])</f>
        <v>0</v>
      </c>
      <c r="AQ447" s="473" t="str">
        <f>IFERROR(VLOOKUP(Table_NFI[[#This Row],[Camp Name]],CL,2,0),"")</f>
        <v>MMR001CMP160</v>
      </c>
      <c r="AR447" s="468">
        <f ca="1">IF(Table_NFI[[#This Row],[Pcode]]="","",IF(OFFSET(CampList[Opening Date],MATCH(Table_NFI[[#This Row],[Pcode]],CampList[CP_Pcode],0)-1,0,1,1)&gt;=NFI_Monitor_Date,1,0))</f>
        <v>0</v>
      </c>
      <c r="AS447" s="473" t="str">
        <f>IFERROR(VLOOKUP(Table_NFI[[#This Row],[Camp Name]],CL,3,0),"")</f>
        <v>Open</v>
      </c>
      <c r="AT447" s="294" t="str">
        <f ca="1">IF(Table_NFI[[#This Row],[Pcode]]="","",OFFSET(CampList[Priority],MATCH(Table_NFI[[#This Row],[Pcode]],CampList[CP_Pcode],0)-1,0,1,1))</f>
        <v>P1</v>
      </c>
      <c r="AU447" s="293">
        <f>IFERROR(Table_NFI[[#This Row],[Kitchen Set]]/VLOOKUP(Table_NFI[[#This Row],[Camp Name]],CL,4,0),"")</f>
        <v>0</v>
      </c>
      <c r="AV447" s="466" t="s">
        <v>1092</v>
      </c>
      <c r="AW447" s="469"/>
    </row>
    <row r="448" spans="1:49" s="470" customFormat="1" ht="14.45" customHeight="1" x14ac:dyDescent="0.25">
      <c r="A448" s="297">
        <f t="shared" si="6"/>
        <v>33.866666666666667</v>
      </c>
      <c r="B448" s="465">
        <v>41659</v>
      </c>
      <c r="C448" s="466" t="s">
        <v>1094</v>
      </c>
      <c r="D448" s="466" t="s">
        <v>900</v>
      </c>
      <c r="E448" s="466" t="s">
        <v>380</v>
      </c>
      <c r="F448" s="466" t="s">
        <v>300</v>
      </c>
      <c r="G448" s="466" t="s">
        <v>301</v>
      </c>
      <c r="H448" s="291"/>
      <c r="I448" s="291"/>
      <c r="J448" s="291"/>
      <c r="K448" s="291">
        <v>18</v>
      </c>
      <c r="L448" s="292">
        <v>36</v>
      </c>
      <c r="M448" s="292">
        <v>36</v>
      </c>
      <c r="N448" s="292">
        <v>18</v>
      </c>
      <c r="O448" s="292"/>
      <c r="P448" s="294"/>
      <c r="Q448" s="294"/>
      <c r="R448" s="294">
        <v>53</v>
      </c>
      <c r="S448" s="294">
        <v>42</v>
      </c>
      <c r="T448" s="294"/>
      <c r="U448" s="294"/>
      <c r="V448" s="431"/>
      <c r="W448" s="294"/>
      <c r="X448" s="294"/>
      <c r="Y448" s="294">
        <f>IF(NFI_Expiration=1,IF($A448&lt;VLOOKUP(H$5,NFI,5,0),1,0)*Table_NFI[[#This Row],[Hygiene Kit]],Table_NFI[Hygiene Kit])</f>
        <v>0</v>
      </c>
      <c r="Z448" s="294">
        <f>IF(NFI_Expiration=1,IF($A448&lt;VLOOKUP(I$5,NFI,5,0),1,0)*Table_NFI[[#This Row],[NFI Core Kit]],Table_NFI[NFI Core Kit])</f>
        <v>0</v>
      </c>
      <c r="AA448" s="294">
        <f>IF(NFI_Expiration=1,IF($A448&lt;VLOOKUP(J$5,NFI,5,0),1,0)*Table_NFI[[#This Row],[Sanitary Kit]],Table_NFI[Sanitary Kit])</f>
        <v>0</v>
      </c>
      <c r="AB448" s="294">
        <f>IF(NFI_Expiration=1,IF($A448&lt;VLOOKUP(K$5,NFI,5,0),1,0)*Table_NFI[[#This Row],[Mosquito net]],Table_NFI[Mosquito net])</f>
        <v>0</v>
      </c>
      <c r="AC448" s="294">
        <f>IF(NFI_Expiration=1,IF($A448&lt;VLOOKUP(L$5,NFI,5,0),1,0)*Table_NFI[[#This Row],[Tarpaulin]],Table_NFI[[#This Row],[Tarpaulin]])</f>
        <v>0</v>
      </c>
      <c r="AD448" s="294">
        <f>IF(NFI_Expiration=1,IF($A448&lt;VLOOKUP(M$5,NFI,5,0),1,0)*Table_NFI[[#This Row],[Blanket]],Table_NFI[[#This Row],[Blanket]])</f>
        <v>0</v>
      </c>
      <c r="AE448" s="294">
        <f>IF(NFI_Expiration=1,IF($A448&lt;VLOOKUP(N$5,NFI,5,0),1,0)*Table_NFI[[#This Row],[Kitchen Set]],Table_NFI[Kitchen Set])</f>
        <v>0</v>
      </c>
      <c r="AF448" s="294">
        <f>IF(NFI_Expiration=1,IF($A448&lt;VLOOKUP(O$5,NFI,5,0),1,0)*Table_NFI[[#This Row],[Clothes Kit]],Table_NFI[Clothes Kit])</f>
        <v>0</v>
      </c>
      <c r="AG448" s="294">
        <f>IF(NFI_Expiration=1,IF($A448&lt;VLOOKUP(P$5,NFI,5,0),1,0)*Table_NFI[[#This Row],[Plastic Bucket]],Table_NFI[Plastic Bucket])</f>
        <v>0</v>
      </c>
      <c r="AH448" s="294">
        <f>IF(NFI_Expiration=1,IF($A448&lt;VLOOKUP(Q$5,NFI,5,0),1,0)*Table_NFI[[#This Row],[Plastic Mat]],Table_NFI[Plastic Mat])*IF(Table_NFI[[#This Row],[Distribution Date]]&gt;"2014-04-01",1,2.5)</f>
        <v>0</v>
      </c>
      <c r="AI448" s="294">
        <f>IF(NFI_Expiration=1,IF($A448&lt;VLOOKUP(R$5,NFI,5,0),1,0)*Table_NFI[[#This Row],[Winter Clothes Adult]],Table_NFI[Winter Clothes Adult])</f>
        <v>0</v>
      </c>
      <c r="AJ448" s="294">
        <f>IF(NFI_Expiration=1,IF($A448&lt;VLOOKUP(S$5,NFI,5,0),1,0)*Table_NFI[[#This Row],[Winter Clothes Children]],Table_NFI[Winter Clothes Children])</f>
        <v>0</v>
      </c>
      <c r="AK448" s="294">
        <f>IF(NFI_Expiration=1,IF($A448&lt;VLOOKUP(T$5,NFI,5,0),1,0)*Table_NFI[[#This Row],[Winter Items Other]],Table_NFI[Winter Items Other])</f>
        <v>0</v>
      </c>
      <c r="AL448" s="294">
        <f>IF(NFI_Expiration=1,IF($A448&lt;VLOOKUP(M$5,NFI,5,0),1,0)*Table_NFI[[#This Row],[Winter Blanket]],Table_NFI[[#This Row],[Winter Blanket]])</f>
        <v>0</v>
      </c>
      <c r="AM448" s="294">
        <f>IF(Table_NFI[[#This Row],[Winter Clothes Adult]]+Table_NFI[[#This Row],[Winter Clothes Children]]+Table_NFI[[#This Row],[Winter Items Other]]+Table_NFI[[#This Row],[Winter Blanket]]&gt;0,1,0)</f>
        <v>1</v>
      </c>
      <c r="AN448" s="331">
        <f>IF(NFI_Expiration=1,IF($A448&lt;VLOOKUP(V$5,NFI,5,0),1,0)*Table_NFI[[#This Row],[Jerry Can]],Table_NFI[Jerry Can])</f>
        <v>0</v>
      </c>
      <c r="AO448" s="331">
        <f>IF(NFI_Expiration=1,IF($A448&lt;VLOOKUP(V$5,NFI,5,0),1,0)*Table_NFI[[#This Row],[Shelter Tool kit]],Table_NFI[Shelter Tool kit])</f>
        <v>0</v>
      </c>
      <c r="AP448" s="331">
        <f>IF(NFI_Expiration=1,IF($A448&lt;VLOOKUP(V$5,NFI,5,0),1,0)*Table_NFI[[#This Row],[Tent]],Table_NFI[Tent])</f>
        <v>0</v>
      </c>
      <c r="AQ448" s="473" t="str">
        <f>IFERROR(VLOOKUP(Table_NFI[[#This Row],[Camp Name]],CL,2,0),"")</f>
        <v>MMR001CMP075</v>
      </c>
      <c r="AR448" s="468">
        <f ca="1">IF(Table_NFI[[#This Row],[Pcode]]="","",IF(OFFSET(CampList[Opening Date],MATCH(Table_NFI[[#This Row],[Pcode]],CampList[CP_Pcode],0)-1,0,1,1)&gt;=NFI_Monitor_Date,1,0))</f>
        <v>0</v>
      </c>
      <c r="AS448" s="473" t="str">
        <f>IFERROR(VLOOKUP(Table_NFI[[#This Row],[Camp Name]],CL,3,0),"")</f>
        <v>Open</v>
      </c>
      <c r="AT448" s="294" t="str">
        <f ca="1">IF(Table_NFI[[#This Row],[Pcode]]="","",OFFSET(CampList[Priority],MATCH(Table_NFI[[#This Row],[Pcode]],CampList[CP_Pcode],0)-1,0,1,1))</f>
        <v>P3</v>
      </c>
      <c r="AU448" s="293">
        <f>IFERROR(Table_NFI[[#This Row],[Kitchen Set]]/VLOOKUP(Table_NFI[[#This Row],[Camp Name]],CL,4,0),"")</f>
        <v>1.2857142857142858</v>
      </c>
      <c r="AV448" s="466"/>
      <c r="AW448" s="469"/>
    </row>
    <row r="449" spans="1:49" s="470" customFormat="1" ht="14.45" customHeight="1" x14ac:dyDescent="0.25">
      <c r="A449" s="297">
        <f t="shared" si="6"/>
        <v>34</v>
      </c>
      <c r="B449" s="465">
        <v>41655</v>
      </c>
      <c r="C449" s="466" t="s">
        <v>452</v>
      </c>
      <c r="D449" s="467" t="s">
        <v>452</v>
      </c>
      <c r="E449" s="466" t="s">
        <v>380</v>
      </c>
      <c r="F449" s="290" t="s">
        <v>151</v>
      </c>
      <c r="G449" s="290" t="s">
        <v>188</v>
      </c>
      <c r="H449" s="291"/>
      <c r="I449" s="291"/>
      <c r="J449" s="291"/>
      <c r="K449" s="291">
        <v>45</v>
      </c>
      <c r="L449" s="292">
        <v>30</v>
      </c>
      <c r="M449" s="292">
        <v>45</v>
      </c>
      <c r="N449" s="292">
        <v>30</v>
      </c>
      <c r="O449" s="292"/>
      <c r="P449" s="294">
        <v>30</v>
      </c>
      <c r="Q449" s="294">
        <v>150</v>
      </c>
      <c r="R449" s="294"/>
      <c r="S449" s="294"/>
      <c r="T449" s="294"/>
      <c r="U449" s="294"/>
      <c r="V449" s="431"/>
      <c r="W449" s="294"/>
      <c r="X449" s="294"/>
      <c r="Y449" s="294">
        <f>IF(NFI_Expiration=1,IF($A449&lt;VLOOKUP(H$5,NFI,5,0),1,0)*Table_NFI[[#This Row],[Hygiene Kit]],Table_NFI[Hygiene Kit])</f>
        <v>0</v>
      </c>
      <c r="Z449" s="294">
        <f>IF(NFI_Expiration=1,IF($A449&lt;VLOOKUP(I$5,NFI,5,0),1,0)*Table_NFI[[#This Row],[NFI Core Kit]],Table_NFI[NFI Core Kit])</f>
        <v>0</v>
      </c>
      <c r="AA449" s="294">
        <f>IF(NFI_Expiration=1,IF($A449&lt;VLOOKUP(J$5,NFI,5,0),1,0)*Table_NFI[[#This Row],[Sanitary Kit]],Table_NFI[Sanitary Kit])</f>
        <v>0</v>
      </c>
      <c r="AB449" s="294">
        <f>IF(NFI_Expiration=1,IF($A449&lt;VLOOKUP(K$5,NFI,5,0),1,0)*Table_NFI[[#This Row],[Mosquito net]],Table_NFI[Mosquito net])</f>
        <v>0</v>
      </c>
      <c r="AC449" s="294">
        <f>IF(NFI_Expiration=1,IF($A449&lt;VLOOKUP(L$5,NFI,5,0),1,0)*Table_NFI[[#This Row],[Tarpaulin]],Table_NFI[[#This Row],[Tarpaulin]])</f>
        <v>0</v>
      </c>
      <c r="AD449" s="294">
        <f>IF(NFI_Expiration=1,IF($A449&lt;VLOOKUP(M$5,NFI,5,0),1,0)*Table_NFI[[#This Row],[Blanket]],Table_NFI[[#This Row],[Blanket]])</f>
        <v>0</v>
      </c>
      <c r="AE449" s="294">
        <f>IF(NFI_Expiration=1,IF($A449&lt;VLOOKUP(N$5,NFI,5,0),1,0)*Table_NFI[[#This Row],[Kitchen Set]],Table_NFI[Kitchen Set])</f>
        <v>0</v>
      </c>
      <c r="AF449" s="294">
        <f>IF(NFI_Expiration=1,IF($A449&lt;VLOOKUP(O$5,NFI,5,0),1,0)*Table_NFI[[#This Row],[Clothes Kit]],Table_NFI[Clothes Kit])</f>
        <v>0</v>
      </c>
      <c r="AG449" s="294">
        <f>IF(NFI_Expiration=1,IF($A449&lt;VLOOKUP(P$5,NFI,5,0),1,0)*Table_NFI[[#This Row],[Plastic Bucket]],Table_NFI[Plastic Bucket])</f>
        <v>0</v>
      </c>
      <c r="AH449" s="294">
        <f>IF(NFI_Expiration=1,IF($A449&lt;VLOOKUP(Q$5,NFI,5,0),1,0)*Table_NFI[[#This Row],[Plastic Mat]],Table_NFI[Plastic Mat])*IF(Table_NFI[[#This Row],[Distribution Date]]&gt;"2014-04-01",1,2.5)</f>
        <v>0</v>
      </c>
      <c r="AI449" s="294">
        <f>IF(NFI_Expiration=1,IF($A449&lt;VLOOKUP(R$5,NFI,5,0),1,0)*Table_NFI[[#This Row],[Winter Clothes Adult]],Table_NFI[Winter Clothes Adult])</f>
        <v>0</v>
      </c>
      <c r="AJ449" s="294">
        <f>IF(NFI_Expiration=1,IF($A449&lt;VLOOKUP(S$5,NFI,5,0),1,0)*Table_NFI[[#This Row],[Winter Clothes Children]],Table_NFI[Winter Clothes Children])</f>
        <v>0</v>
      </c>
      <c r="AK449" s="294">
        <f>IF(NFI_Expiration=1,IF($A449&lt;VLOOKUP(T$5,NFI,5,0),1,0)*Table_NFI[[#This Row],[Winter Items Other]],Table_NFI[Winter Items Other])</f>
        <v>0</v>
      </c>
      <c r="AL449" s="294">
        <f>IF(NFI_Expiration=1,IF($A449&lt;VLOOKUP(M$5,NFI,5,0),1,0)*Table_NFI[[#This Row],[Winter Blanket]],Table_NFI[[#This Row],[Winter Blanket]])</f>
        <v>0</v>
      </c>
      <c r="AM449" s="294">
        <f>IF(Table_NFI[[#This Row],[Winter Clothes Adult]]+Table_NFI[[#This Row],[Winter Clothes Children]]+Table_NFI[[#This Row],[Winter Items Other]]+Table_NFI[[#This Row],[Winter Blanket]]&gt;0,1,0)</f>
        <v>0</v>
      </c>
      <c r="AN449" s="331">
        <f>IF(NFI_Expiration=1,IF($A449&lt;VLOOKUP(V$5,NFI,5,0),1,0)*Table_NFI[[#This Row],[Jerry Can]],Table_NFI[Jerry Can])</f>
        <v>0</v>
      </c>
      <c r="AO449" s="331">
        <f>IF(NFI_Expiration=1,IF($A449&lt;VLOOKUP(V$5,NFI,5,0),1,0)*Table_NFI[[#This Row],[Shelter Tool kit]],Table_NFI[Shelter Tool kit])</f>
        <v>0</v>
      </c>
      <c r="AP449" s="331">
        <f>IF(NFI_Expiration=1,IF($A449&lt;VLOOKUP(V$5,NFI,5,0),1,0)*Table_NFI[[#This Row],[Tent]],Table_NFI[Tent])</f>
        <v>0</v>
      </c>
      <c r="AQ449" s="473" t="str">
        <f>IFERROR(VLOOKUP(Table_NFI[[#This Row],[Camp Name]],CL,2,0),"")</f>
        <v>MMR001CMP129</v>
      </c>
      <c r="AR449" s="468">
        <f ca="1">IF(Table_NFI[[#This Row],[Pcode]]="","",IF(OFFSET(CampList[Opening Date],MATCH(Table_NFI[[#This Row],[Pcode]],CampList[CP_Pcode],0)-1,0,1,1)&gt;=NFI_Monitor_Date,1,0))</f>
        <v>0</v>
      </c>
      <c r="AS449" s="473" t="str">
        <f>IFERROR(VLOOKUP(Table_NFI[[#This Row],[Camp Name]],CL,3,0),"")</f>
        <v>Open</v>
      </c>
      <c r="AT449" s="294" t="str">
        <f ca="1">IF(Table_NFI[[#This Row],[Pcode]]="","",OFFSET(CampList[Priority],MATCH(Table_NFI[[#This Row],[Pcode]],CampList[CP_Pcode],0)-1,0,1,1))</f>
        <v>P2</v>
      </c>
      <c r="AU449" s="293">
        <f>IFERROR(Table_NFI[[#This Row],[Kitchen Set]]/VLOOKUP(Table_NFI[[#This Row],[Camp Name]],CL,4,0),"")</f>
        <v>6.8181818181818177E-2</v>
      </c>
      <c r="AV449" s="466" t="s">
        <v>1092</v>
      </c>
      <c r="AW449" s="469"/>
    </row>
    <row r="450" spans="1:49" s="470" customFormat="1" x14ac:dyDescent="0.25">
      <c r="A450" s="297">
        <f t="shared" si="6"/>
        <v>34</v>
      </c>
      <c r="B450" s="465">
        <v>41655</v>
      </c>
      <c r="C450" s="466" t="s">
        <v>453</v>
      </c>
      <c r="D450" s="466" t="s">
        <v>506</v>
      </c>
      <c r="E450" s="466" t="s">
        <v>380</v>
      </c>
      <c r="F450" s="466" t="s">
        <v>310</v>
      </c>
      <c r="G450" s="466" t="s">
        <v>322</v>
      </c>
      <c r="H450" s="291"/>
      <c r="I450" s="291"/>
      <c r="J450" s="291"/>
      <c r="K450" s="291"/>
      <c r="L450" s="292"/>
      <c r="M450" s="292"/>
      <c r="N450" s="292"/>
      <c r="O450" s="292">
        <v>600</v>
      </c>
      <c r="P450" s="294"/>
      <c r="Q450" s="294"/>
      <c r="R450" s="294"/>
      <c r="S450" s="294"/>
      <c r="T450" s="294"/>
      <c r="U450" s="294"/>
      <c r="V450" s="431"/>
      <c r="W450" s="294"/>
      <c r="X450" s="294"/>
      <c r="Y450" s="294">
        <f>IF(NFI_Expiration=1,IF($A450&lt;VLOOKUP(H$5,NFI,5,0),1,0)*Table_NFI[[#This Row],[Hygiene Kit]],Table_NFI[Hygiene Kit])</f>
        <v>0</v>
      </c>
      <c r="Z450" s="294">
        <f>IF(NFI_Expiration=1,IF($A450&lt;VLOOKUP(I$5,NFI,5,0),1,0)*Table_NFI[[#This Row],[NFI Core Kit]],Table_NFI[NFI Core Kit])</f>
        <v>0</v>
      </c>
      <c r="AA450" s="294">
        <f>IF(NFI_Expiration=1,IF($A450&lt;VLOOKUP(J$5,NFI,5,0),1,0)*Table_NFI[[#This Row],[Sanitary Kit]],Table_NFI[Sanitary Kit])</f>
        <v>0</v>
      </c>
      <c r="AB450" s="294">
        <f>IF(NFI_Expiration=1,IF($A450&lt;VLOOKUP(K$5,NFI,5,0),1,0)*Table_NFI[[#This Row],[Mosquito net]],Table_NFI[Mosquito net])</f>
        <v>0</v>
      </c>
      <c r="AC450" s="294">
        <f>IF(NFI_Expiration=1,IF($A450&lt;VLOOKUP(L$5,NFI,5,0),1,0)*Table_NFI[[#This Row],[Tarpaulin]],Table_NFI[[#This Row],[Tarpaulin]])</f>
        <v>0</v>
      </c>
      <c r="AD450" s="294">
        <f>IF(NFI_Expiration=1,IF($A450&lt;VLOOKUP(M$5,NFI,5,0),1,0)*Table_NFI[[#This Row],[Blanket]],Table_NFI[[#This Row],[Blanket]])</f>
        <v>0</v>
      </c>
      <c r="AE450" s="294">
        <f>IF(NFI_Expiration=1,IF($A450&lt;VLOOKUP(N$5,NFI,5,0),1,0)*Table_NFI[[#This Row],[Kitchen Set]],Table_NFI[Kitchen Set])</f>
        <v>0</v>
      </c>
      <c r="AF450" s="294">
        <f>IF(NFI_Expiration=1,IF($A450&lt;VLOOKUP(O$5,NFI,5,0),1,0)*Table_NFI[[#This Row],[Clothes Kit]],Table_NFI[Clothes Kit])</f>
        <v>0</v>
      </c>
      <c r="AG450" s="294">
        <f>IF(NFI_Expiration=1,IF($A450&lt;VLOOKUP(P$5,NFI,5,0),1,0)*Table_NFI[[#This Row],[Plastic Bucket]],Table_NFI[Plastic Bucket])</f>
        <v>0</v>
      </c>
      <c r="AH450" s="294">
        <f>IF(NFI_Expiration=1,IF($A450&lt;VLOOKUP(Q$5,NFI,5,0),1,0)*Table_NFI[[#This Row],[Plastic Mat]],Table_NFI[Plastic Mat])*IF(Table_NFI[[#This Row],[Distribution Date]]&gt;"2014-04-01",1,2.5)</f>
        <v>0</v>
      </c>
      <c r="AI450" s="294">
        <f>IF(NFI_Expiration=1,IF($A450&lt;VLOOKUP(R$5,NFI,5,0),1,0)*Table_NFI[[#This Row],[Winter Clothes Adult]],Table_NFI[Winter Clothes Adult])</f>
        <v>0</v>
      </c>
      <c r="AJ450" s="294">
        <f>IF(NFI_Expiration=1,IF($A450&lt;VLOOKUP(S$5,NFI,5,0),1,0)*Table_NFI[[#This Row],[Winter Clothes Children]],Table_NFI[Winter Clothes Children])</f>
        <v>0</v>
      </c>
      <c r="AK450" s="294">
        <f>IF(NFI_Expiration=1,IF($A450&lt;VLOOKUP(T$5,NFI,5,0),1,0)*Table_NFI[[#This Row],[Winter Items Other]],Table_NFI[Winter Items Other])</f>
        <v>0</v>
      </c>
      <c r="AL450" s="294">
        <f>IF(NFI_Expiration=1,IF($A450&lt;VLOOKUP(M$5,NFI,5,0),1,0)*Table_NFI[[#This Row],[Winter Blanket]],Table_NFI[[#This Row],[Winter Blanket]])</f>
        <v>0</v>
      </c>
      <c r="AM450" s="294">
        <f>IF(Table_NFI[[#This Row],[Winter Clothes Adult]]+Table_NFI[[#This Row],[Winter Clothes Children]]+Table_NFI[[#This Row],[Winter Items Other]]+Table_NFI[[#This Row],[Winter Blanket]]&gt;0,1,0)</f>
        <v>0</v>
      </c>
      <c r="AN450" s="331">
        <f>IF(NFI_Expiration=1,IF($A450&lt;VLOOKUP(V$5,NFI,5,0),1,0)*Table_NFI[[#This Row],[Jerry Can]],Table_NFI[Jerry Can])</f>
        <v>0</v>
      </c>
      <c r="AO450" s="331">
        <f>IF(NFI_Expiration=1,IF($A450&lt;VLOOKUP(V$5,NFI,5,0),1,0)*Table_NFI[[#This Row],[Shelter Tool kit]],Table_NFI[Shelter Tool kit])</f>
        <v>0</v>
      </c>
      <c r="AP450" s="331">
        <f>IF(NFI_Expiration=1,IF($A450&lt;VLOOKUP(V$5,NFI,5,0),1,0)*Table_NFI[[#This Row],[Tent]],Table_NFI[Tent])</f>
        <v>0</v>
      </c>
      <c r="AQ450" s="473" t="str">
        <f>IFERROR(VLOOKUP(Table_NFI[[#This Row],[Camp Name]],CL,2,0),"")</f>
        <v>MMR001CMP119</v>
      </c>
      <c r="AR450" s="468">
        <f ca="1">IF(Table_NFI[[#This Row],[Pcode]]="","",IF(OFFSET(CampList[Opening Date],MATCH(Table_NFI[[#This Row],[Pcode]],CampList[CP_Pcode],0)-1,0,1,1)&gt;=NFI_Monitor_Date,1,0))</f>
        <v>0</v>
      </c>
      <c r="AS450" s="473" t="str">
        <f>IFERROR(VLOOKUP(Table_NFI[[#This Row],[Camp Name]],CL,3,0),"")</f>
        <v>Open</v>
      </c>
      <c r="AT450" s="294" t="str">
        <f ca="1">IF(Table_NFI[[#This Row],[Pcode]]="","",OFFSET(CampList[Priority],MATCH(Table_NFI[[#This Row],[Pcode]],CampList[CP_Pcode],0)-1,0,1,1))</f>
        <v>P2</v>
      </c>
      <c r="AU450" s="293">
        <f>IFERROR(Table_NFI[[#This Row],[Kitchen Set]]/VLOOKUP(Table_NFI[[#This Row],[Camp Name]],CL,4,0),"")</f>
        <v>0</v>
      </c>
      <c r="AV450" s="466" t="s">
        <v>1092</v>
      </c>
      <c r="AW450" s="469"/>
    </row>
    <row r="451" spans="1:49" s="470" customFormat="1" x14ac:dyDescent="0.25">
      <c r="A451" s="297">
        <f t="shared" si="6"/>
        <v>34.06666666666667</v>
      </c>
      <c r="B451" s="465">
        <v>41653</v>
      </c>
      <c r="C451" s="466" t="s">
        <v>453</v>
      </c>
      <c r="D451" s="466" t="s">
        <v>506</v>
      </c>
      <c r="E451" s="466" t="s">
        <v>380</v>
      </c>
      <c r="F451" s="466" t="s">
        <v>310</v>
      </c>
      <c r="G451" s="466" t="s">
        <v>334</v>
      </c>
      <c r="H451" s="291"/>
      <c r="I451" s="291"/>
      <c r="J451" s="291"/>
      <c r="K451" s="291"/>
      <c r="L451" s="292"/>
      <c r="M451" s="292"/>
      <c r="N451" s="292"/>
      <c r="O451" s="292">
        <v>180</v>
      </c>
      <c r="P451" s="294"/>
      <c r="Q451" s="294"/>
      <c r="R451" s="294"/>
      <c r="S451" s="294"/>
      <c r="T451" s="294"/>
      <c r="U451" s="294"/>
      <c r="V451" s="431"/>
      <c r="W451" s="294"/>
      <c r="X451" s="294"/>
      <c r="Y451" s="294">
        <f>IF(NFI_Expiration=1,IF($A451&lt;VLOOKUP(H$5,NFI,5,0),1,0)*Table_NFI[[#This Row],[Hygiene Kit]],Table_NFI[Hygiene Kit])</f>
        <v>0</v>
      </c>
      <c r="Z451" s="294">
        <f>IF(NFI_Expiration=1,IF($A451&lt;VLOOKUP(I$5,NFI,5,0),1,0)*Table_NFI[[#This Row],[NFI Core Kit]],Table_NFI[NFI Core Kit])</f>
        <v>0</v>
      </c>
      <c r="AA451" s="294">
        <f>IF(NFI_Expiration=1,IF($A451&lt;VLOOKUP(J$5,NFI,5,0),1,0)*Table_NFI[[#This Row],[Sanitary Kit]],Table_NFI[Sanitary Kit])</f>
        <v>0</v>
      </c>
      <c r="AB451" s="294">
        <f>IF(NFI_Expiration=1,IF($A451&lt;VLOOKUP(K$5,NFI,5,0),1,0)*Table_NFI[[#This Row],[Mosquito net]],Table_NFI[Mosquito net])</f>
        <v>0</v>
      </c>
      <c r="AC451" s="294">
        <f>IF(NFI_Expiration=1,IF($A451&lt;VLOOKUP(L$5,NFI,5,0),1,0)*Table_NFI[[#This Row],[Tarpaulin]],Table_NFI[[#This Row],[Tarpaulin]])</f>
        <v>0</v>
      </c>
      <c r="AD451" s="294">
        <f>IF(NFI_Expiration=1,IF($A451&lt;VLOOKUP(M$5,NFI,5,0),1,0)*Table_NFI[[#This Row],[Blanket]],Table_NFI[[#This Row],[Blanket]])</f>
        <v>0</v>
      </c>
      <c r="AE451" s="294">
        <f>IF(NFI_Expiration=1,IF($A451&lt;VLOOKUP(N$5,NFI,5,0),1,0)*Table_NFI[[#This Row],[Kitchen Set]],Table_NFI[Kitchen Set])</f>
        <v>0</v>
      </c>
      <c r="AF451" s="294">
        <f>IF(NFI_Expiration=1,IF($A451&lt;VLOOKUP(O$5,NFI,5,0),1,0)*Table_NFI[[#This Row],[Clothes Kit]],Table_NFI[Clothes Kit])</f>
        <v>0</v>
      </c>
      <c r="AG451" s="294">
        <f>IF(NFI_Expiration=1,IF($A451&lt;VLOOKUP(P$5,NFI,5,0),1,0)*Table_NFI[[#This Row],[Plastic Bucket]],Table_NFI[Plastic Bucket])</f>
        <v>0</v>
      </c>
      <c r="AH451" s="294">
        <f>IF(NFI_Expiration=1,IF($A451&lt;VLOOKUP(Q$5,NFI,5,0),1,0)*Table_NFI[[#This Row],[Plastic Mat]],Table_NFI[Plastic Mat])*IF(Table_NFI[[#This Row],[Distribution Date]]&gt;"2014-04-01",1,2.5)</f>
        <v>0</v>
      </c>
      <c r="AI451" s="294">
        <f>IF(NFI_Expiration=1,IF($A451&lt;VLOOKUP(R$5,NFI,5,0),1,0)*Table_NFI[[#This Row],[Winter Clothes Adult]],Table_NFI[Winter Clothes Adult])</f>
        <v>0</v>
      </c>
      <c r="AJ451" s="294">
        <f>IF(NFI_Expiration=1,IF($A451&lt;VLOOKUP(S$5,NFI,5,0),1,0)*Table_NFI[[#This Row],[Winter Clothes Children]],Table_NFI[Winter Clothes Children])</f>
        <v>0</v>
      </c>
      <c r="AK451" s="294">
        <f>IF(NFI_Expiration=1,IF($A451&lt;VLOOKUP(T$5,NFI,5,0),1,0)*Table_NFI[[#This Row],[Winter Items Other]],Table_NFI[Winter Items Other])</f>
        <v>0</v>
      </c>
      <c r="AL451" s="294">
        <f>IF(NFI_Expiration=1,IF($A451&lt;VLOOKUP(M$5,NFI,5,0),1,0)*Table_NFI[[#This Row],[Winter Blanket]],Table_NFI[[#This Row],[Winter Blanket]])</f>
        <v>0</v>
      </c>
      <c r="AM451" s="294">
        <f>IF(Table_NFI[[#This Row],[Winter Clothes Adult]]+Table_NFI[[#This Row],[Winter Clothes Children]]+Table_NFI[[#This Row],[Winter Items Other]]+Table_NFI[[#This Row],[Winter Blanket]]&gt;0,1,0)</f>
        <v>0</v>
      </c>
      <c r="AN451" s="331">
        <f>IF(NFI_Expiration=1,IF($A451&lt;VLOOKUP(V$5,NFI,5,0),1,0)*Table_NFI[[#This Row],[Jerry Can]],Table_NFI[Jerry Can])</f>
        <v>0</v>
      </c>
      <c r="AO451" s="331">
        <f>IF(NFI_Expiration=1,IF($A451&lt;VLOOKUP(V$5,NFI,5,0),1,0)*Table_NFI[[#This Row],[Shelter Tool kit]],Table_NFI[Shelter Tool kit])</f>
        <v>0</v>
      </c>
      <c r="AP451" s="331">
        <f>IF(NFI_Expiration=1,IF($A451&lt;VLOOKUP(V$5,NFI,5,0),1,0)*Table_NFI[[#This Row],[Tent]],Table_NFI[Tent])</f>
        <v>0</v>
      </c>
      <c r="AQ451" s="473" t="str">
        <f>IFERROR(VLOOKUP(Table_NFI[[#This Row],[Camp Name]],CL,2,0),"")</f>
        <v>MMR001CMP113</v>
      </c>
      <c r="AR451" s="468">
        <f ca="1">IF(Table_NFI[[#This Row],[Pcode]]="","",IF(OFFSET(CampList[Opening Date],MATCH(Table_NFI[[#This Row],[Pcode]],CampList[CP_Pcode],0)-1,0,1,1)&gt;=NFI_Monitor_Date,1,0))</f>
        <v>0</v>
      </c>
      <c r="AS451" s="473" t="str">
        <f>IFERROR(VLOOKUP(Table_NFI[[#This Row],[Camp Name]],CL,3,0),"")</f>
        <v>Open</v>
      </c>
      <c r="AT451" s="294" t="str">
        <f ca="1">IF(Table_NFI[[#This Row],[Pcode]]="","",OFFSET(CampList[Priority],MATCH(Table_NFI[[#This Row],[Pcode]],CampList[CP_Pcode],0)-1,0,1,1))</f>
        <v>P1</v>
      </c>
      <c r="AU451" s="293">
        <f>IFERROR(Table_NFI[[#This Row],[Kitchen Set]]/VLOOKUP(Table_NFI[[#This Row],[Camp Name]],CL,4,0),"")</f>
        <v>0</v>
      </c>
      <c r="AV451" s="466" t="s">
        <v>1092</v>
      </c>
      <c r="AW451" s="469"/>
    </row>
    <row r="452" spans="1:49" s="470" customFormat="1" ht="14.45" customHeight="1" x14ac:dyDescent="0.25">
      <c r="A452" s="297">
        <f t="shared" si="6"/>
        <v>34.06666666666667</v>
      </c>
      <c r="B452" s="465">
        <v>41653</v>
      </c>
      <c r="C452" s="466" t="s">
        <v>453</v>
      </c>
      <c r="D452" s="466" t="s">
        <v>506</v>
      </c>
      <c r="E452" s="466" t="s">
        <v>380</v>
      </c>
      <c r="F452" s="466" t="s">
        <v>310</v>
      </c>
      <c r="G452" s="466" t="s">
        <v>334</v>
      </c>
      <c r="H452" s="291"/>
      <c r="I452" s="291"/>
      <c r="J452" s="291"/>
      <c r="K452" s="291"/>
      <c r="L452" s="292"/>
      <c r="M452" s="292"/>
      <c r="N452" s="292"/>
      <c r="O452" s="292"/>
      <c r="P452" s="294"/>
      <c r="Q452" s="294"/>
      <c r="R452" s="294">
        <v>501</v>
      </c>
      <c r="S452" s="294">
        <v>335</v>
      </c>
      <c r="T452" s="294"/>
      <c r="U452" s="294"/>
      <c r="V452" s="431"/>
      <c r="W452" s="294"/>
      <c r="X452" s="294"/>
      <c r="Y452" s="294">
        <f>IF(NFI_Expiration=1,IF($A452&lt;VLOOKUP(H$5,NFI,5,0),1,0)*Table_NFI[[#This Row],[Hygiene Kit]],Table_NFI[Hygiene Kit])</f>
        <v>0</v>
      </c>
      <c r="Z452" s="294">
        <f>IF(NFI_Expiration=1,IF($A452&lt;VLOOKUP(I$5,NFI,5,0),1,0)*Table_NFI[[#This Row],[NFI Core Kit]],Table_NFI[NFI Core Kit])</f>
        <v>0</v>
      </c>
      <c r="AA452" s="294">
        <f>IF(NFI_Expiration=1,IF($A452&lt;VLOOKUP(J$5,NFI,5,0),1,0)*Table_NFI[[#This Row],[Sanitary Kit]],Table_NFI[Sanitary Kit])</f>
        <v>0</v>
      </c>
      <c r="AB452" s="294">
        <f>IF(NFI_Expiration=1,IF($A452&lt;VLOOKUP(K$5,NFI,5,0),1,0)*Table_NFI[[#This Row],[Mosquito net]],Table_NFI[Mosquito net])</f>
        <v>0</v>
      </c>
      <c r="AC452" s="294">
        <f>IF(NFI_Expiration=1,IF($A452&lt;VLOOKUP(L$5,NFI,5,0),1,0)*Table_NFI[[#This Row],[Tarpaulin]],Table_NFI[[#This Row],[Tarpaulin]])</f>
        <v>0</v>
      </c>
      <c r="AD452" s="294">
        <f>IF(NFI_Expiration=1,IF($A452&lt;VLOOKUP(M$5,NFI,5,0),1,0)*Table_NFI[[#This Row],[Blanket]],Table_NFI[[#This Row],[Blanket]])</f>
        <v>0</v>
      </c>
      <c r="AE452" s="294">
        <f>IF(NFI_Expiration=1,IF($A452&lt;VLOOKUP(N$5,NFI,5,0),1,0)*Table_NFI[[#This Row],[Kitchen Set]],Table_NFI[Kitchen Set])</f>
        <v>0</v>
      </c>
      <c r="AF452" s="294">
        <f>IF(NFI_Expiration=1,IF($A452&lt;VLOOKUP(O$5,NFI,5,0),1,0)*Table_NFI[[#This Row],[Clothes Kit]],Table_NFI[Clothes Kit])</f>
        <v>0</v>
      </c>
      <c r="AG452" s="294">
        <f>IF(NFI_Expiration=1,IF($A452&lt;VLOOKUP(P$5,NFI,5,0),1,0)*Table_NFI[[#This Row],[Plastic Bucket]],Table_NFI[Plastic Bucket])</f>
        <v>0</v>
      </c>
      <c r="AH452" s="294">
        <f>IF(NFI_Expiration=1,IF($A452&lt;VLOOKUP(Q$5,NFI,5,0),1,0)*Table_NFI[[#This Row],[Plastic Mat]],Table_NFI[Plastic Mat])*IF(Table_NFI[[#This Row],[Distribution Date]]&gt;"2014-04-01",1,2.5)</f>
        <v>0</v>
      </c>
      <c r="AI452" s="294">
        <f>IF(NFI_Expiration=1,IF($A452&lt;VLOOKUP(R$5,NFI,5,0),1,0)*Table_NFI[[#This Row],[Winter Clothes Adult]],Table_NFI[Winter Clothes Adult])</f>
        <v>0</v>
      </c>
      <c r="AJ452" s="294">
        <f>IF(NFI_Expiration=1,IF($A452&lt;VLOOKUP(S$5,NFI,5,0),1,0)*Table_NFI[[#This Row],[Winter Clothes Children]],Table_NFI[Winter Clothes Children])</f>
        <v>0</v>
      </c>
      <c r="AK452" s="294">
        <f>IF(NFI_Expiration=1,IF($A452&lt;VLOOKUP(T$5,NFI,5,0),1,0)*Table_NFI[[#This Row],[Winter Items Other]],Table_NFI[Winter Items Other])</f>
        <v>0</v>
      </c>
      <c r="AL452" s="294">
        <f>IF(NFI_Expiration=1,IF($A452&lt;VLOOKUP(M$5,NFI,5,0),1,0)*Table_NFI[[#This Row],[Winter Blanket]],Table_NFI[[#This Row],[Winter Blanket]])</f>
        <v>0</v>
      </c>
      <c r="AM452" s="294">
        <f>IF(Table_NFI[[#This Row],[Winter Clothes Adult]]+Table_NFI[[#This Row],[Winter Clothes Children]]+Table_NFI[[#This Row],[Winter Items Other]]+Table_NFI[[#This Row],[Winter Blanket]]&gt;0,1,0)</f>
        <v>1</v>
      </c>
      <c r="AN452" s="331">
        <f>IF(NFI_Expiration=1,IF($A452&lt;VLOOKUP(V$5,NFI,5,0),1,0)*Table_NFI[[#This Row],[Jerry Can]],Table_NFI[Jerry Can])</f>
        <v>0</v>
      </c>
      <c r="AO452" s="331">
        <f>IF(NFI_Expiration=1,IF($A452&lt;VLOOKUP(V$5,NFI,5,0),1,0)*Table_NFI[[#This Row],[Shelter Tool kit]],Table_NFI[Shelter Tool kit])</f>
        <v>0</v>
      </c>
      <c r="AP452" s="331">
        <f>IF(NFI_Expiration=1,IF($A452&lt;VLOOKUP(V$5,NFI,5,0),1,0)*Table_NFI[[#This Row],[Tent]],Table_NFI[Tent])</f>
        <v>0</v>
      </c>
      <c r="AQ452" s="473" t="str">
        <f>IFERROR(VLOOKUP(Table_NFI[[#This Row],[Camp Name]],CL,2,0),"")</f>
        <v>MMR001CMP113</v>
      </c>
      <c r="AR452" s="468">
        <f ca="1">IF(Table_NFI[[#This Row],[Pcode]]="","",IF(OFFSET(CampList[Opening Date],MATCH(Table_NFI[[#This Row],[Pcode]],CampList[CP_Pcode],0)-1,0,1,1)&gt;=NFI_Monitor_Date,1,0))</f>
        <v>0</v>
      </c>
      <c r="AS452" s="473" t="str">
        <f>IFERROR(VLOOKUP(Table_NFI[[#This Row],[Camp Name]],CL,3,0),"")</f>
        <v>Open</v>
      </c>
      <c r="AT452" s="294" t="str">
        <f ca="1">IF(Table_NFI[[#This Row],[Pcode]]="","",OFFSET(CampList[Priority],MATCH(Table_NFI[[#This Row],[Pcode]],CampList[CP_Pcode],0)-1,0,1,1))</f>
        <v>P1</v>
      </c>
      <c r="AU452" s="293">
        <f>IFERROR(Table_NFI[[#This Row],[Kitchen Set]]/VLOOKUP(Table_NFI[[#This Row],[Camp Name]],CL,4,0),"")</f>
        <v>0</v>
      </c>
      <c r="AV452" s="466" t="s">
        <v>1092</v>
      </c>
      <c r="AW452" s="469"/>
    </row>
    <row r="453" spans="1:49" s="470" customFormat="1" ht="14.45" customHeight="1" x14ac:dyDescent="0.25">
      <c r="A453" s="297">
        <f t="shared" si="6"/>
        <v>34.06666666666667</v>
      </c>
      <c r="B453" s="465">
        <v>41653</v>
      </c>
      <c r="C453" s="466" t="s">
        <v>452</v>
      </c>
      <c r="D453" s="467" t="s">
        <v>452</v>
      </c>
      <c r="E453" s="466" t="s">
        <v>380</v>
      </c>
      <c r="F453" s="290" t="s">
        <v>151</v>
      </c>
      <c r="G453" s="290" t="s">
        <v>198</v>
      </c>
      <c r="H453" s="291"/>
      <c r="I453" s="291"/>
      <c r="J453" s="291"/>
      <c r="K453" s="291">
        <v>140</v>
      </c>
      <c r="L453" s="292">
        <v>70</v>
      </c>
      <c r="M453" s="292">
        <v>140</v>
      </c>
      <c r="N453" s="292">
        <v>70</v>
      </c>
      <c r="O453" s="292"/>
      <c r="P453" s="294">
        <v>70</v>
      </c>
      <c r="Q453" s="294">
        <v>350</v>
      </c>
      <c r="R453" s="294"/>
      <c r="S453" s="294"/>
      <c r="T453" s="294"/>
      <c r="U453" s="294"/>
      <c r="V453" s="431"/>
      <c r="W453" s="294"/>
      <c r="X453" s="294"/>
      <c r="Y453" s="294">
        <f>IF(NFI_Expiration=1,IF($A453&lt;VLOOKUP(H$5,NFI,5,0),1,0)*Table_NFI[[#This Row],[Hygiene Kit]],Table_NFI[Hygiene Kit])</f>
        <v>0</v>
      </c>
      <c r="Z453" s="294">
        <f>IF(NFI_Expiration=1,IF($A453&lt;VLOOKUP(I$5,NFI,5,0),1,0)*Table_NFI[[#This Row],[NFI Core Kit]],Table_NFI[NFI Core Kit])</f>
        <v>0</v>
      </c>
      <c r="AA453" s="294">
        <f>IF(NFI_Expiration=1,IF($A453&lt;VLOOKUP(J$5,NFI,5,0),1,0)*Table_NFI[[#This Row],[Sanitary Kit]],Table_NFI[Sanitary Kit])</f>
        <v>0</v>
      </c>
      <c r="AB453" s="294">
        <f>IF(NFI_Expiration=1,IF($A453&lt;VLOOKUP(K$5,NFI,5,0),1,0)*Table_NFI[[#This Row],[Mosquito net]],Table_NFI[Mosquito net])</f>
        <v>0</v>
      </c>
      <c r="AC453" s="294">
        <f>IF(NFI_Expiration=1,IF($A453&lt;VLOOKUP(L$5,NFI,5,0),1,0)*Table_NFI[[#This Row],[Tarpaulin]],Table_NFI[[#This Row],[Tarpaulin]])</f>
        <v>0</v>
      </c>
      <c r="AD453" s="294">
        <f>IF(NFI_Expiration=1,IF($A453&lt;VLOOKUP(M$5,NFI,5,0),1,0)*Table_NFI[[#This Row],[Blanket]],Table_NFI[[#This Row],[Blanket]])</f>
        <v>0</v>
      </c>
      <c r="AE453" s="294">
        <f>IF(NFI_Expiration=1,IF($A453&lt;VLOOKUP(N$5,NFI,5,0),1,0)*Table_NFI[[#This Row],[Kitchen Set]],Table_NFI[Kitchen Set])</f>
        <v>0</v>
      </c>
      <c r="AF453" s="294">
        <f>IF(NFI_Expiration=1,IF($A453&lt;VLOOKUP(O$5,NFI,5,0),1,0)*Table_NFI[[#This Row],[Clothes Kit]],Table_NFI[Clothes Kit])</f>
        <v>0</v>
      </c>
      <c r="AG453" s="294">
        <f>IF(NFI_Expiration=1,IF($A453&lt;VLOOKUP(P$5,NFI,5,0),1,0)*Table_NFI[[#This Row],[Plastic Bucket]],Table_NFI[Plastic Bucket])</f>
        <v>0</v>
      </c>
      <c r="AH453" s="294">
        <f>IF(NFI_Expiration=1,IF($A453&lt;VLOOKUP(Q$5,NFI,5,0),1,0)*Table_NFI[[#This Row],[Plastic Mat]],Table_NFI[Plastic Mat])*IF(Table_NFI[[#This Row],[Distribution Date]]&gt;"2014-04-01",1,2.5)</f>
        <v>0</v>
      </c>
      <c r="AI453" s="294">
        <f>IF(NFI_Expiration=1,IF($A453&lt;VLOOKUP(R$5,NFI,5,0),1,0)*Table_NFI[[#This Row],[Winter Clothes Adult]],Table_NFI[Winter Clothes Adult])</f>
        <v>0</v>
      </c>
      <c r="AJ453" s="294">
        <f>IF(NFI_Expiration=1,IF($A453&lt;VLOOKUP(S$5,NFI,5,0),1,0)*Table_NFI[[#This Row],[Winter Clothes Children]],Table_NFI[Winter Clothes Children])</f>
        <v>0</v>
      </c>
      <c r="AK453" s="294">
        <f>IF(NFI_Expiration=1,IF($A453&lt;VLOOKUP(T$5,NFI,5,0),1,0)*Table_NFI[[#This Row],[Winter Items Other]],Table_NFI[Winter Items Other])</f>
        <v>0</v>
      </c>
      <c r="AL453" s="294">
        <f>IF(NFI_Expiration=1,IF($A453&lt;VLOOKUP(M$5,NFI,5,0),1,0)*Table_NFI[[#This Row],[Winter Blanket]],Table_NFI[[#This Row],[Winter Blanket]])</f>
        <v>0</v>
      </c>
      <c r="AM453" s="294">
        <f>IF(Table_NFI[[#This Row],[Winter Clothes Adult]]+Table_NFI[[#This Row],[Winter Clothes Children]]+Table_NFI[[#This Row],[Winter Items Other]]+Table_NFI[[#This Row],[Winter Blanket]]&gt;0,1,0)</f>
        <v>0</v>
      </c>
      <c r="AN453" s="331">
        <f>IF(NFI_Expiration=1,IF($A453&lt;VLOOKUP(V$5,NFI,5,0),1,0)*Table_NFI[[#This Row],[Jerry Can]],Table_NFI[Jerry Can])</f>
        <v>0</v>
      </c>
      <c r="AO453" s="331">
        <f>IF(NFI_Expiration=1,IF($A453&lt;VLOOKUP(V$5,NFI,5,0),1,0)*Table_NFI[[#This Row],[Shelter Tool kit]],Table_NFI[Shelter Tool kit])</f>
        <v>0</v>
      </c>
      <c r="AP453" s="331">
        <f>IF(NFI_Expiration=1,IF($A453&lt;VLOOKUP(V$5,NFI,5,0),1,0)*Table_NFI[[#This Row],[Tent]],Table_NFI[Tent])</f>
        <v>0</v>
      </c>
      <c r="AQ453" s="473" t="str">
        <f>IFERROR(VLOOKUP(Table_NFI[[#This Row],[Camp Name]],CL,2,0),"")</f>
        <v>MMR001CMP128</v>
      </c>
      <c r="AR453" s="468">
        <f ca="1">IF(Table_NFI[[#This Row],[Pcode]]="","",IF(OFFSET(CampList[Opening Date],MATCH(Table_NFI[[#This Row],[Pcode]],CampList[CP_Pcode],0)-1,0,1,1)&gt;=NFI_Monitor_Date,1,0))</f>
        <v>0</v>
      </c>
      <c r="AS453" s="473" t="str">
        <f>IFERROR(VLOOKUP(Table_NFI[[#This Row],[Camp Name]],CL,3,0),"")</f>
        <v>Open</v>
      </c>
      <c r="AT453" s="294" t="str">
        <f ca="1">IF(Table_NFI[[#This Row],[Pcode]]="","",OFFSET(CampList[Priority],MATCH(Table_NFI[[#This Row],[Pcode]],CampList[CP_Pcode],0)-1,0,1,1))</f>
        <v>P2</v>
      </c>
      <c r="AU453" s="293">
        <f>IFERROR(Table_NFI[[#This Row],[Kitchen Set]]/VLOOKUP(Table_NFI[[#This Row],[Camp Name]],CL,4,0),"")</f>
        <v>0.12820512820512819</v>
      </c>
      <c r="AV453" s="466" t="s">
        <v>1092</v>
      </c>
      <c r="AW453" s="469"/>
    </row>
    <row r="454" spans="1:49" s="470" customFormat="1" ht="14.45" customHeight="1" x14ac:dyDescent="0.25">
      <c r="A454" s="297">
        <f t="shared" ref="A454:A517" si="7">IF(ISBLANK(B454),"",(Report_Date-B454)/30)</f>
        <v>34.133333333333333</v>
      </c>
      <c r="B454" s="465">
        <v>41651</v>
      </c>
      <c r="C454" s="466" t="s">
        <v>453</v>
      </c>
      <c r="D454" s="466" t="s">
        <v>506</v>
      </c>
      <c r="E454" s="466" t="s">
        <v>380</v>
      </c>
      <c r="F454" s="466" t="s">
        <v>185</v>
      </c>
      <c r="G454" s="466" t="s">
        <v>192</v>
      </c>
      <c r="H454" s="291"/>
      <c r="I454" s="291"/>
      <c r="J454" s="291"/>
      <c r="K454" s="291"/>
      <c r="L454" s="292"/>
      <c r="M454" s="292"/>
      <c r="N454" s="292"/>
      <c r="O454" s="292">
        <v>125</v>
      </c>
      <c r="P454" s="294"/>
      <c r="Q454" s="294"/>
      <c r="R454" s="294"/>
      <c r="S454" s="294"/>
      <c r="T454" s="294"/>
      <c r="U454" s="294"/>
      <c r="V454" s="431"/>
      <c r="W454" s="294"/>
      <c r="X454" s="294"/>
      <c r="Y454" s="294">
        <f>IF(NFI_Expiration=1,IF($A454&lt;VLOOKUP(H$5,NFI,5,0),1,0)*Table_NFI[[#This Row],[Hygiene Kit]],Table_NFI[Hygiene Kit])</f>
        <v>0</v>
      </c>
      <c r="Z454" s="294">
        <f>IF(NFI_Expiration=1,IF($A454&lt;VLOOKUP(I$5,NFI,5,0),1,0)*Table_NFI[[#This Row],[NFI Core Kit]],Table_NFI[NFI Core Kit])</f>
        <v>0</v>
      </c>
      <c r="AA454" s="294">
        <f>IF(NFI_Expiration=1,IF($A454&lt;VLOOKUP(J$5,NFI,5,0),1,0)*Table_NFI[[#This Row],[Sanitary Kit]],Table_NFI[Sanitary Kit])</f>
        <v>0</v>
      </c>
      <c r="AB454" s="294">
        <f>IF(NFI_Expiration=1,IF($A454&lt;VLOOKUP(K$5,NFI,5,0),1,0)*Table_NFI[[#This Row],[Mosquito net]],Table_NFI[Mosquito net])</f>
        <v>0</v>
      </c>
      <c r="AC454" s="294">
        <f>IF(NFI_Expiration=1,IF($A454&lt;VLOOKUP(L$5,NFI,5,0),1,0)*Table_NFI[[#This Row],[Tarpaulin]],Table_NFI[[#This Row],[Tarpaulin]])</f>
        <v>0</v>
      </c>
      <c r="AD454" s="294">
        <f>IF(NFI_Expiration=1,IF($A454&lt;VLOOKUP(M$5,NFI,5,0),1,0)*Table_NFI[[#This Row],[Blanket]],Table_NFI[[#This Row],[Blanket]])</f>
        <v>0</v>
      </c>
      <c r="AE454" s="294">
        <f>IF(NFI_Expiration=1,IF($A454&lt;VLOOKUP(N$5,NFI,5,0),1,0)*Table_NFI[[#This Row],[Kitchen Set]],Table_NFI[Kitchen Set])</f>
        <v>0</v>
      </c>
      <c r="AF454" s="294">
        <f>IF(NFI_Expiration=1,IF($A454&lt;VLOOKUP(O$5,NFI,5,0),1,0)*Table_NFI[[#This Row],[Clothes Kit]],Table_NFI[Clothes Kit])</f>
        <v>0</v>
      </c>
      <c r="AG454" s="294">
        <f>IF(NFI_Expiration=1,IF($A454&lt;VLOOKUP(P$5,NFI,5,0),1,0)*Table_NFI[[#This Row],[Plastic Bucket]],Table_NFI[Plastic Bucket])</f>
        <v>0</v>
      </c>
      <c r="AH454" s="294">
        <f>IF(NFI_Expiration=1,IF($A454&lt;VLOOKUP(Q$5,NFI,5,0),1,0)*Table_NFI[[#This Row],[Plastic Mat]],Table_NFI[Plastic Mat])*IF(Table_NFI[[#This Row],[Distribution Date]]&gt;"2014-04-01",1,2.5)</f>
        <v>0</v>
      </c>
      <c r="AI454" s="294">
        <f>IF(NFI_Expiration=1,IF($A454&lt;VLOOKUP(R$5,NFI,5,0),1,0)*Table_NFI[[#This Row],[Winter Clothes Adult]],Table_NFI[Winter Clothes Adult])</f>
        <v>0</v>
      </c>
      <c r="AJ454" s="294">
        <f>IF(NFI_Expiration=1,IF($A454&lt;VLOOKUP(S$5,NFI,5,0),1,0)*Table_NFI[[#This Row],[Winter Clothes Children]],Table_NFI[Winter Clothes Children])</f>
        <v>0</v>
      </c>
      <c r="AK454" s="294">
        <f>IF(NFI_Expiration=1,IF($A454&lt;VLOOKUP(T$5,NFI,5,0),1,0)*Table_NFI[[#This Row],[Winter Items Other]],Table_NFI[Winter Items Other])</f>
        <v>0</v>
      </c>
      <c r="AL454" s="294">
        <f>IF(NFI_Expiration=1,IF($A454&lt;VLOOKUP(M$5,NFI,5,0),1,0)*Table_NFI[[#This Row],[Winter Blanket]],Table_NFI[[#This Row],[Winter Blanket]])</f>
        <v>0</v>
      </c>
      <c r="AM454" s="294">
        <f>IF(Table_NFI[[#This Row],[Winter Clothes Adult]]+Table_NFI[[#This Row],[Winter Clothes Children]]+Table_NFI[[#This Row],[Winter Items Other]]+Table_NFI[[#This Row],[Winter Blanket]]&gt;0,1,0)</f>
        <v>0</v>
      </c>
      <c r="AN454" s="331">
        <f>IF(NFI_Expiration=1,IF($A454&lt;VLOOKUP(V$5,NFI,5,0),1,0)*Table_NFI[[#This Row],[Jerry Can]],Table_NFI[Jerry Can])</f>
        <v>0</v>
      </c>
      <c r="AO454" s="331">
        <f>IF(NFI_Expiration=1,IF($A454&lt;VLOOKUP(V$5,NFI,5,0),1,0)*Table_NFI[[#This Row],[Shelter Tool kit]],Table_NFI[Shelter Tool kit])</f>
        <v>0</v>
      </c>
      <c r="AP454" s="331">
        <f>IF(NFI_Expiration=1,IF($A454&lt;VLOOKUP(V$5,NFI,5,0),1,0)*Table_NFI[[#This Row],[Tent]],Table_NFI[Tent])</f>
        <v>0</v>
      </c>
      <c r="AQ454" s="473" t="str">
        <f>IFERROR(VLOOKUP(Table_NFI[[#This Row],[Camp Name]],CL,2,0),"")</f>
        <v>MMR001CMP123</v>
      </c>
      <c r="AR454" s="468">
        <f ca="1">IF(Table_NFI[[#This Row],[Pcode]]="","",IF(OFFSET(CampList[Opening Date],MATCH(Table_NFI[[#This Row],[Pcode]],CampList[CP_Pcode],0)-1,0,1,1)&gt;=NFI_Monitor_Date,1,0))</f>
        <v>0</v>
      </c>
      <c r="AS454" s="473" t="str">
        <f>IFERROR(VLOOKUP(Table_NFI[[#This Row],[Camp Name]],CL,3,0),"")</f>
        <v>Open</v>
      </c>
      <c r="AT454" s="294" t="str">
        <f ca="1">IF(Table_NFI[[#This Row],[Pcode]]="","",OFFSET(CampList[Priority],MATCH(Table_NFI[[#This Row],[Pcode]],CampList[CP_Pcode],0)-1,0,1,1))</f>
        <v>P2</v>
      </c>
      <c r="AU454" s="293">
        <f>IFERROR(Table_NFI[[#This Row],[Kitchen Set]]/VLOOKUP(Table_NFI[[#This Row],[Camp Name]],CL,4,0),"")</f>
        <v>0</v>
      </c>
      <c r="AV454" s="466" t="s">
        <v>1092</v>
      </c>
      <c r="AW454" s="469"/>
    </row>
    <row r="455" spans="1:49" s="470" customFormat="1" ht="14.45" customHeight="1" x14ac:dyDescent="0.25">
      <c r="A455" s="297">
        <f t="shared" si="7"/>
        <v>34.133333333333333</v>
      </c>
      <c r="B455" s="465">
        <v>41651</v>
      </c>
      <c r="C455" s="466" t="s">
        <v>453</v>
      </c>
      <c r="D455" s="466" t="s">
        <v>506</v>
      </c>
      <c r="E455" s="466" t="s">
        <v>380</v>
      </c>
      <c r="F455" s="466" t="s">
        <v>185</v>
      </c>
      <c r="G455" s="466" t="s">
        <v>192</v>
      </c>
      <c r="H455" s="291"/>
      <c r="I455" s="291"/>
      <c r="J455" s="291"/>
      <c r="K455" s="291"/>
      <c r="L455" s="292"/>
      <c r="M455" s="292"/>
      <c r="N455" s="292"/>
      <c r="O455" s="292"/>
      <c r="P455" s="294"/>
      <c r="Q455" s="294"/>
      <c r="R455" s="294">
        <v>393</v>
      </c>
      <c r="S455" s="294">
        <v>232</v>
      </c>
      <c r="T455" s="294"/>
      <c r="U455" s="294"/>
      <c r="V455" s="431"/>
      <c r="W455" s="294"/>
      <c r="X455" s="294"/>
      <c r="Y455" s="294">
        <f>IF(NFI_Expiration=1,IF($A455&lt;VLOOKUP(H$5,NFI,5,0),1,0)*Table_NFI[[#This Row],[Hygiene Kit]],Table_NFI[Hygiene Kit])</f>
        <v>0</v>
      </c>
      <c r="Z455" s="294">
        <f>IF(NFI_Expiration=1,IF($A455&lt;VLOOKUP(I$5,NFI,5,0),1,0)*Table_NFI[[#This Row],[NFI Core Kit]],Table_NFI[NFI Core Kit])</f>
        <v>0</v>
      </c>
      <c r="AA455" s="294">
        <f>IF(NFI_Expiration=1,IF($A455&lt;VLOOKUP(J$5,NFI,5,0),1,0)*Table_NFI[[#This Row],[Sanitary Kit]],Table_NFI[Sanitary Kit])</f>
        <v>0</v>
      </c>
      <c r="AB455" s="294">
        <f>IF(NFI_Expiration=1,IF($A455&lt;VLOOKUP(K$5,NFI,5,0),1,0)*Table_NFI[[#This Row],[Mosquito net]],Table_NFI[Mosquito net])</f>
        <v>0</v>
      </c>
      <c r="AC455" s="294">
        <f>IF(NFI_Expiration=1,IF($A455&lt;VLOOKUP(L$5,NFI,5,0),1,0)*Table_NFI[[#This Row],[Tarpaulin]],Table_NFI[[#This Row],[Tarpaulin]])</f>
        <v>0</v>
      </c>
      <c r="AD455" s="294">
        <f>IF(NFI_Expiration=1,IF($A455&lt;VLOOKUP(M$5,NFI,5,0),1,0)*Table_NFI[[#This Row],[Blanket]],Table_NFI[[#This Row],[Blanket]])</f>
        <v>0</v>
      </c>
      <c r="AE455" s="294">
        <f>IF(NFI_Expiration=1,IF($A455&lt;VLOOKUP(N$5,NFI,5,0),1,0)*Table_NFI[[#This Row],[Kitchen Set]],Table_NFI[Kitchen Set])</f>
        <v>0</v>
      </c>
      <c r="AF455" s="294">
        <f>IF(NFI_Expiration=1,IF($A455&lt;VLOOKUP(O$5,NFI,5,0),1,0)*Table_NFI[[#This Row],[Clothes Kit]],Table_NFI[Clothes Kit])</f>
        <v>0</v>
      </c>
      <c r="AG455" s="294">
        <f>IF(NFI_Expiration=1,IF($A455&lt;VLOOKUP(P$5,NFI,5,0),1,0)*Table_NFI[[#This Row],[Plastic Bucket]],Table_NFI[Plastic Bucket])</f>
        <v>0</v>
      </c>
      <c r="AH455" s="294">
        <f>IF(NFI_Expiration=1,IF($A455&lt;VLOOKUP(Q$5,NFI,5,0),1,0)*Table_NFI[[#This Row],[Plastic Mat]],Table_NFI[Plastic Mat])*IF(Table_NFI[[#This Row],[Distribution Date]]&gt;"2014-04-01",1,2.5)</f>
        <v>0</v>
      </c>
      <c r="AI455" s="294">
        <f>IF(NFI_Expiration=1,IF($A455&lt;VLOOKUP(R$5,NFI,5,0),1,0)*Table_NFI[[#This Row],[Winter Clothes Adult]],Table_NFI[Winter Clothes Adult])</f>
        <v>0</v>
      </c>
      <c r="AJ455" s="294">
        <f>IF(NFI_Expiration=1,IF($A455&lt;VLOOKUP(S$5,NFI,5,0),1,0)*Table_NFI[[#This Row],[Winter Clothes Children]],Table_NFI[Winter Clothes Children])</f>
        <v>0</v>
      </c>
      <c r="AK455" s="294">
        <f>IF(NFI_Expiration=1,IF($A455&lt;VLOOKUP(T$5,NFI,5,0),1,0)*Table_NFI[[#This Row],[Winter Items Other]],Table_NFI[Winter Items Other])</f>
        <v>0</v>
      </c>
      <c r="AL455" s="294">
        <f>IF(NFI_Expiration=1,IF($A455&lt;VLOOKUP(M$5,NFI,5,0),1,0)*Table_NFI[[#This Row],[Winter Blanket]],Table_NFI[[#This Row],[Winter Blanket]])</f>
        <v>0</v>
      </c>
      <c r="AM455" s="294">
        <f>IF(Table_NFI[[#This Row],[Winter Clothes Adult]]+Table_NFI[[#This Row],[Winter Clothes Children]]+Table_NFI[[#This Row],[Winter Items Other]]+Table_NFI[[#This Row],[Winter Blanket]]&gt;0,1,0)</f>
        <v>1</v>
      </c>
      <c r="AN455" s="331">
        <f>IF(NFI_Expiration=1,IF($A455&lt;VLOOKUP(V$5,NFI,5,0),1,0)*Table_NFI[[#This Row],[Jerry Can]],Table_NFI[Jerry Can])</f>
        <v>0</v>
      </c>
      <c r="AO455" s="331">
        <f>IF(NFI_Expiration=1,IF($A455&lt;VLOOKUP(V$5,NFI,5,0),1,0)*Table_NFI[[#This Row],[Shelter Tool kit]],Table_NFI[Shelter Tool kit])</f>
        <v>0</v>
      </c>
      <c r="AP455" s="331">
        <f>IF(NFI_Expiration=1,IF($A455&lt;VLOOKUP(V$5,NFI,5,0),1,0)*Table_NFI[[#This Row],[Tent]],Table_NFI[Tent])</f>
        <v>0</v>
      </c>
      <c r="AQ455" s="473" t="str">
        <f>IFERROR(VLOOKUP(Table_NFI[[#This Row],[Camp Name]],CL,2,0),"")</f>
        <v>MMR001CMP123</v>
      </c>
      <c r="AR455" s="468">
        <f ca="1">IF(Table_NFI[[#This Row],[Pcode]]="","",IF(OFFSET(CampList[Opening Date],MATCH(Table_NFI[[#This Row],[Pcode]],CampList[CP_Pcode],0)-1,0,1,1)&gt;=NFI_Monitor_Date,1,0))</f>
        <v>0</v>
      </c>
      <c r="AS455" s="473" t="str">
        <f>IFERROR(VLOOKUP(Table_NFI[[#This Row],[Camp Name]],CL,3,0),"")</f>
        <v>Open</v>
      </c>
      <c r="AT455" s="294" t="str">
        <f ca="1">IF(Table_NFI[[#This Row],[Pcode]]="","",OFFSET(CampList[Priority],MATCH(Table_NFI[[#This Row],[Pcode]],CampList[CP_Pcode],0)-1,0,1,1))</f>
        <v>P2</v>
      </c>
      <c r="AU455" s="293">
        <f>IFERROR(Table_NFI[[#This Row],[Kitchen Set]]/VLOOKUP(Table_NFI[[#This Row],[Camp Name]],CL,4,0),"")</f>
        <v>0</v>
      </c>
      <c r="AV455" s="466" t="s">
        <v>1092</v>
      </c>
      <c r="AW455" s="469"/>
    </row>
    <row r="456" spans="1:49" s="470" customFormat="1" ht="14.45" customHeight="1" x14ac:dyDescent="0.25">
      <c r="A456" s="297">
        <f t="shared" si="7"/>
        <v>34.166666666666664</v>
      </c>
      <c r="B456" s="465">
        <v>41650</v>
      </c>
      <c r="C456" s="471" t="s">
        <v>452</v>
      </c>
      <c r="D456" s="471"/>
      <c r="E456" s="471" t="s">
        <v>380</v>
      </c>
      <c r="F456" s="471" t="s">
        <v>5</v>
      </c>
      <c r="G456" s="471" t="s">
        <v>366</v>
      </c>
      <c r="H456" s="292"/>
      <c r="I456" s="292"/>
      <c r="J456" s="292"/>
      <c r="K456" s="292"/>
      <c r="L456" s="292">
        <v>10</v>
      </c>
      <c r="M456" s="292"/>
      <c r="N456" s="292"/>
      <c r="O456" s="292"/>
      <c r="P456" s="294"/>
      <c r="Q456" s="294"/>
      <c r="R456" s="294"/>
      <c r="S456" s="294"/>
      <c r="T456" s="294"/>
      <c r="U456" s="294"/>
      <c r="V456" s="431"/>
      <c r="W456" s="294"/>
      <c r="X456" s="294"/>
      <c r="Y456" s="294">
        <f>IF(NFI_Expiration=1,IF($A456&lt;VLOOKUP(H$5,NFI,5,0),1,0)*Table_NFI[[#This Row],[Hygiene Kit]],Table_NFI[Hygiene Kit])</f>
        <v>0</v>
      </c>
      <c r="Z456" s="294">
        <f>IF(NFI_Expiration=1,IF($A456&lt;VLOOKUP(I$5,NFI,5,0),1,0)*Table_NFI[[#This Row],[NFI Core Kit]],Table_NFI[NFI Core Kit])</f>
        <v>0</v>
      </c>
      <c r="AA456" s="294">
        <f>IF(NFI_Expiration=1,IF($A456&lt;VLOOKUP(J$5,NFI,5,0),1,0)*Table_NFI[[#This Row],[Sanitary Kit]],Table_NFI[Sanitary Kit])</f>
        <v>0</v>
      </c>
      <c r="AB456" s="294">
        <f>IF(NFI_Expiration=1,IF($A456&lt;VLOOKUP(K$5,NFI,5,0),1,0)*Table_NFI[[#This Row],[Mosquito net]],Table_NFI[Mosquito net])</f>
        <v>0</v>
      </c>
      <c r="AC456" s="294">
        <f>IF(NFI_Expiration=1,IF($A456&lt;VLOOKUP(L$5,NFI,5,0),1,0)*Table_NFI[[#This Row],[Tarpaulin]],Table_NFI[[#This Row],[Tarpaulin]])</f>
        <v>0</v>
      </c>
      <c r="AD456" s="294">
        <f>IF(NFI_Expiration=1,IF($A456&lt;VLOOKUP(M$5,NFI,5,0),1,0)*Table_NFI[[#This Row],[Blanket]],Table_NFI[[#This Row],[Blanket]])</f>
        <v>0</v>
      </c>
      <c r="AE456" s="294">
        <f>IF(NFI_Expiration=1,IF($A456&lt;VLOOKUP(N$5,NFI,5,0),1,0)*Table_NFI[[#This Row],[Kitchen Set]],Table_NFI[Kitchen Set])</f>
        <v>0</v>
      </c>
      <c r="AF456" s="294">
        <f>IF(NFI_Expiration=1,IF($A456&lt;VLOOKUP(O$5,NFI,5,0),1,0)*Table_NFI[[#This Row],[Clothes Kit]],Table_NFI[Clothes Kit])</f>
        <v>0</v>
      </c>
      <c r="AG456" s="294">
        <f>IF(NFI_Expiration=1,IF($A456&lt;VLOOKUP(P$5,NFI,5,0),1,0)*Table_NFI[[#This Row],[Plastic Bucket]],Table_NFI[Plastic Bucket])</f>
        <v>0</v>
      </c>
      <c r="AH456" s="294">
        <f>IF(NFI_Expiration=1,IF($A456&lt;VLOOKUP(Q$5,NFI,5,0),1,0)*Table_NFI[[#This Row],[Plastic Mat]],Table_NFI[Plastic Mat])*IF(Table_NFI[[#This Row],[Distribution Date]]&gt;"2014-04-01",1,2.5)</f>
        <v>0</v>
      </c>
      <c r="AI456" s="294">
        <f>IF(NFI_Expiration=1,IF($A456&lt;VLOOKUP(R$5,NFI,5,0),1,0)*Table_NFI[[#This Row],[Winter Clothes Adult]],Table_NFI[Winter Clothes Adult])</f>
        <v>0</v>
      </c>
      <c r="AJ456" s="294">
        <f>IF(NFI_Expiration=1,IF($A456&lt;VLOOKUP(S$5,NFI,5,0),1,0)*Table_NFI[[#This Row],[Winter Clothes Children]],Table_NFI[Winter Clothes Children])</f>
        <v>0</v>
      </c>
      <c r="AK456" s="294">
        <f>IF(NFI_Expiration=1,IF($A456&lt;VLOOKUP(T$5,NFI,5,0),1,0)*Table_NFI[[#This Row],[Winter Items Other]],Table_NFI[Winter Items Other])</f>
        <v>0</v>
      </c>
      <c r="AL456" s="294">
        <f>IF(NFI_Expiration=1,IF($A456&lt;VLOOKUP(M$5,NFI,5,0),1,0)*Table_NFI[[#This Row],[Winter Blanket]],Table_NFI[[#This Row],[Winter Blanket]])</f>
        <v>0</v>
      </c>
      <c r="AM456" s="294">
        <f>IF(Table_NFI[[#This Row],[Winter Clothes Adult]]+Table_NFI[[#This Row],[Winter Clothes Children]]+Table_NFI[[#This Row],[Winter Items Other]]+Table_NFI[[#This Row],[Winter Blanket]]&gt;0,1,0)</f>
        <v>0</v>
      </c>
      <c r="AN456" s="331">
        <f>IF(NFI_Expiration=1,IF($A456&lt;VLOOKUP(V$5,NFI,5,0),1,0)*Table_NFI[[#This Row],[Jerry Can]],Table_NFI[Jerry Can])</f>
        <v>0</v>
      </c>
      <c r="AO456" s="331">
        <f>IF(NFI_Expiration=1,IF($A456&lt;VLOOKUP(V$5,NFI,5,0),1,0)*Table_NFI[[#This Row],[Shelter Tool kit]],Table_NFI[Shelter Tool kit])</f>
        <v>0</v>
      </c>
      <c r="AP456" s="331">
        <f>IF(NFI_Expiration=1,IF($A456&lt;VLOOKUP(V$5,NFI,5,0),1,0)*Table_NFI[[#This Row],[Tent]],Table_NFI[Tent])</f>
        <v>0</v>
      </c>
      <c r="AQ456" s="473" t="str">
        <f>IFERROR(VLOOKUP(Table_NFI[[#This Row],[Camp Name]],CL,2,0),"")</f>
        <v>MMR001CMP193</v>
      </c>
      <c r="AR456" s="468">
        <f ca="1">IF(Table_NFI[[#This Row],[Pcode]]="","",IF(OFFSET(CampList[Opening Date],MATCH(Table_NFI[[#This Row],[Pcode]],CampList[CP_Pcode],0)-1,0,1,1)&gt;=NFI_Monitor_Date,1,0))</f>
        <v>0</v>
      </c>
      <c r="AS456" s="473" t="str">
        <f>IFERROR(VLOOKUP(Table_NFI[[#This Row],[Camp Name]],CL,3,0),"")</f>
        <v>Open</v>
      </c>
      <c r="AT456" s="294" t="str">
        <f ca="1">IF(Table_NFI[[#This Row],[Pcode]]="","",OFFSET(CampList[Priority],MATCH(Table_NFI[[#This Row],[Pcode]],CampList[CP_Pcode],0)-1,0,1,1))</f>
        <v>P4</v>
      </c>
      <c r="AU456" s="293">
        <f>IFERROR(Table_NFI[[#This Row],[Kitchen Set]]/VLOOKUP(Table_NFI[[#This Row],[Camp Name]],CL,4,0),"")</f>
        <v>0</v>
      </c>
      <c r="AV456" s="471"/>
      <c r="AW456" s="474"/>
    </row>
    <row r="457" spans="1:49" s="470" customFormat="1" ht="14.45" customHeight="1" x14ac:dyDescent="0.25">
      <c r="A457" s="297">
        <f t="shared" si="7"/>
        <v>34.233333333333334</v>
      </c>
      <c r="B457" s="465">
        <v>41648</v>
      </c>
      <c r="C457" s="466" t="s">
        <v>905</v>
      </c>
      <c r="D457" s="466" t="s">
        <v>460</v>
      </c>
      <c r="E457" s="466" t="s">
        <v>380</v>
      </c>
      <c r="F457" s="466" t="s">
        <v>151</v>
      </c>
      <c r="G457" s="466" t="s">
        <v>884</v>
      </c>
      <c r="H457" s="291"/>
      <c r="I457" s="291"/>
      <c r="J457" s="291"/>
      <c r="K457" s="291"/>
      <c r="L457" s="292"/>
      <c r="M457" s="292"/>
      <c r="N457" s="292"/>
      <c r="O457" s="292"/>
      <c r="P457" s="294"/>
      <c r="Q457" s="294"/>
      <c r="R457" s="294">
        <v>142</v>
      </c>
      <c r="S457" s="294">
        <v>284</v>
      </c>
      <c r="T457" s="294">
        <v>852</v>
      </c>
      <c r="U457" s="294">
        <v>426</v>
      </c>
      <c r="V457" s="431"/>
      <c r="W457" s="294"/>
      <c r="X457" s="294"/>
      <c r="Y457" s="294">
        <f>IF(NFI_Expiration=1,IF($A457&lt;VLOOKUP(H$5,NFI,5,0),1,0)*Table_NFI[[#This Row],[Hygiene Kit]],Table_NFI[Hygiene Kit])</f>
        <v>0</v>
      </c>
      <c r="Z457" s="294">
        <f>IF(NFI_Expiration=1,IF($A457&lt;VLOOKUP(I$5,NFI,5,0),1,0)*Table_NFI[[#This Row],[NFI Core Kit]],Table_NFI[NFI Core Kit])</f>
        <v>0</v>
      </c>
      <c r="AA457" s="294">
        <f>IF(NFI_Expiration=1,IF($A457&lt;VLOOKUP(J$5,NFI,5,0),1,0)*Table_NFI[[#This Row],[Sanitary Kit]],Table_NFI[Sanitary Kit])</f>
        <v>0</v>
      </c>
      <c r="AB457" s="294">
        <f>IF(NFI_Expiration=1,IF($A457&lt;VLOOKUP(K$5,NFI,5,0),1,0)*Table_NFI[[#This Row],[Mosquito net]],Table_NFI[Mosquito net])</f>
        <v>0</v>
      </c>
      <c r="AC457" s="294">
        <f>IF(NFI_Expiration=1,IF($A457&lt;VLOOKUP(L$5,NFI,5,0),1,0)*Table_NFI[[#This Row],[Tarpaulin]],Table_NFI[[#This Row],[Tarpaulin]])</f>
        <v>0</v>
      </c>
      <c r="AD457" s="294">
        <f>IF(NFI_Expiration=1,IF($A457&lt;VLOOKUP(M$5,NFI,5,0),1,0)*Table_NFI[[#This Row],[Blanket]],Table_NFI[[#This Row],[Blanket]])</f>
        <v>0</v>
      </c>
      <c r="AE457" s="294">
        <f>IF(NFI_Expiration=1,IF($A457&lt;VLOOKUP(N$5,NFI,5,0),1,0)*Table_NFI[[#This Row],[Kitchen Set]],Table_NFI[Kitchen Set])</f>
        <v>0</v>
      </c>
      <c r="AF457" s="294">
        <f>IF(NFI_Expiration=1,IF($A457&lt;VLOOKUP(O$5,NFI,5,0),1,0)*Table_NFI[[#This Row],[Clothes Kit]],Table_NFI[Clothes Kit])</f>
        <v>0</v>
      </c>
      <c r="AG457" s="294">
        <f>IF(NFI_Expiration=1,IF($A457&lt;VLOOKUP(P$5,NFI,5,0),1,0)*Table_NFI[[#This Row],[Plastic Bucket]],Table_NFI[Plastic Bucket])</f>
        <v>0</v>
      </c>
      <c r="AH457" s="294">
        <f>IF(NFI_Expiration=1,IF($A457&lt;VLOOKUP(Q$5,NFI,5,0),1,0)*Table_NFI[[#This Row],[Plastic Mat]],Table_NFI[Plastic Mat])*IF(Table_NFI[[#This Row],[Distribution Date]]&gt;"2014-04-01",1,2.5)</f>
        <v>0</v>
      </c>
      <c r="AI457" s="294">
        <f>IF(NFI_Expiration=1,IF($A457&lt;VLOOKUP(R$5,NFI,5,0),1,0)*Table_NFI[[#This Row],[Winter Clothes Adult]],Table_NFI[Winter Clothes Adult])</f>
        <v>0</v>
      </c>
      <c r="AJ457" s="294">
        <f>IF(NFI_Expiration=1,IF($A457&lt;VLOOKUP(S$5,NFI,5,0),1,0)*Table_NFI[[#This Row],[Winter Clothes Children]],Table_NFI[Winter Clothes Children])</f>
        <v>0</v>
      </c>
      <c r="AK457" s="294">
        <f>IF(NFI_Expiration=1,IF($A457&lt;VLOOKUP(T$5,NFI,5,0),1,0)*Table_NFI[[#This Row],[Winter Items Other]],Table_NFI[Winter Items Other])</f>
        <v>0</v>
      </c>
      <c r="AL457" s="294">
        <f>IF(NFI_Expiration=1,IF($A457&lt;VLOOKUP(M$5,NFI,5,0),1,0)*Table_NFI[[#This Row],[Winter Blanket]],Table_NFI[[#This Row],[Winter Blanket]])</f>
        <v>0</v>
      </c>
      <c r="AM457" s="294">
        <f>IF(Table_NFI[[#This Row],[Winter Clothes Adult]]+Table_NFI[[#This Row],[Winter Clothes Children]]+Table_NFI[[#This Row],[Winter Items Other]]+Table_NFI[[#This Row],[Winter Blanket]]&gt;0,1,0)</f>
        <v>1</v>
      </c>
      <c r="AN457" s="331">
        <f>IF(NFI_Expiration=1,IF($A457&lt;VLOOKUP(V$5,NFI,5,0),1,0)*Table_NFI[[#This Row],[Jerry Can]],Table_NFI[Jerry Can])</f>
        <v>0</v>
      </c>
      <c r="AO457" s="331">
        <f>IF(NFI_Expiration=1,IF($A457&lt;VLOOKUP(V$5,NFI,5,0),1,0)*Table_NFI[[#This Row],[Shelter Tool kit]],Table_NFI[Shelter Tool kit])</f>
        <v>0</v>
      </c>
      <c r="AP457" s="331">
        <f>IF(NFI_Expiration=1,IF($A457&lt;VLOOKUP(V$5,NFI,5,0),1,0)*Table_NFI[[#This Row],[Tent]],Table_NFI[Tent])</f>
        <v>0</v>
      </c>
      <c r="AQ457" s="473" t="str">
        <f>IFERROR(VLOOKUP(Table_NFI[[#This Row],[Camp Name]],CL,2,0),"")</f>
        <v>MMR001CMP217</v>
      </c>
      <c r="AR457" s="468">
        <f ca="1">IF(Table_NFI[[#This Row],[Pcode]]="","",IF(OFFSET(CampList[Opening Date],MATCH(Table_NFI[[#This Row],[Pcode]],CampList[CP_Pcode],0)-1,0,1,1)&gt;=NFI_Monitor_Date,1,0))</f>
        <v>0</v>
      </c>
      <c r="AS457" s="473" t="str">
        <f>IFERROR(VLOOKUP(Table_NFI[[#This Row],[Camp Name]],CL,3,0),"")</f>
        <v>Closed</v>
      </c>
      <c r="AT457" s="294" t="str">
        <f ca="1">IF(Table_NFI[[#This Row],[Pcode]]="","",OFFSET(CampList[Priority],MATCH(Table_NFI[[#This Row],[Pcode]],CampList[CP_Pcode],0)-1,0,1,1))</f>
        <v/>
      </c>
      <c r="AU457" s="293" t="str">
        <f>IFERROR(Table_NFI[[#This Row],[Kitchen Set]]/VLOOKUP(Table_NFI[[#This Row],[Camp Name]],CL,4,0),"")</f>
        <v/>
      </c>
      <c r="AV457" s="466"/>
      <c r="AW457" s="469"/>
    </row>
    <row r="458" spans="1:49" s="470" customFormat="1" x14ac:dyDescent="0.25">
      <c r="A458" s="297">
        <f t="shared" si="7"/>
        <v>34.299999999999997</v>
      </c>
      <c r="B458" s="465">
        <v>41646</v>
      </c>
      <c r="C458" s="466" t="s">
        <v>452</v>
      </c>
      <c r="D458" s="467" t="s">
        <v>452</v>
      </c>
      <c r="E458" s="466" t="s">
        <v>380</v>
      </c>
      <c r="F458" s="290" t="s">
        <v>5</v>
      </c>
      <c r="G458" s="290" t="s">
        <v>22</v>
      </c>
      <c r="H458" s="291"/>
      <c r="I458" s="291"/>
      <c r="J458" s="291"/>
      <c r="K458" s="291">
        <v>44</v>
      </c>
      <c r="L458" s="292">
        <v>30</v>
      </c>
      <c r="M458" s="292">
        <v>44</v>
      </c>
      <c r="N458" s="292">
        <v>20</v>
      </c>
      <c r="O458" s="292">
        <v>20</v>
      </c>
      <c r="P458" s="294"/>
      <c r="Q458" s="294"/>
      <c r="R458" s="294"/>
      <c r="S458" s="294"/>
      <c r="T458" s="294"/>
      <c r="U458" s="294"/>
      <c r="V458" s="431"/>
      <c r="W458" s="294"/>
      <c r="X458" s="294"/>
      <c r="Y458" s="294">
        <f>IF(NFI_Expiration=1,IF($A458&lt;VLOOKUP(H$5,NFI,5,0),1,0)*Table_NFI[[#This Row],[Hygiene Kit]],Table_NFI[Hygiene Kit])</f>
        <v>0</v>
      </c>
      <c r="Z458" s="294">
        <f>IF(NFI_Expiration=1,IF($A458&lt;VLOOKUP(I$5,NFI,5,0),1,0)*Table_NFI[[#This Row],[NFI Core Kit]],Table_NFI[NFI Core Kit])</f>
        <v>0</v>
      </c>
      <c r="AA458" s="294">
        <f>IF(NFI_Expiration=1,IF($A458&lt;VLOOKUP(J$5,NFI,5,0),1,0)*Table_NFI[[#This Row],[Sanitary Kit]],Table_NFI[Sanitary Kit])</f>
        <v>0</v>
      </c>
      <c r="AB458" s="294">
        <f>IF(NFI_Expiration=1,IF($A458&lt;VLOOKUP(K$5,NFI,5,0),1,0)*Table_NFI[[#This Row],[Mosquito net]],Table_NFI[Mosquito net])</f>
        <v>0</v>
      </c>
      <c r="AC458" s="294">
        <f>IF(NFI_Expiration=1,IF($A458&lt;VLOOKUP(L$5,NFI,5,0),1,0)*Table_NFI[[#This Row],[Tarpaulin]],Table_NFI[[#This Row],[Tarpaulin]])</f>
        <v>0</v>
      </c>
      <c r="AD458" s="294">
        <f>IF(NFI_Expiration=1,IF($A458&lt;VLOOKUP(M$5,NFI,5,0),1,0)*Table_NFI[[#This Row],[Blanket]],Table_NFI[[#This Row],[Blanket]])</f>
        <v>0</v>
      </c>
      <c r="AE458" s="294">
        <f>IF(NFI_Expiration=1,IF($A458&lt;VLOOKUP(N$5,NFI,5,0),1,0)*Table_NFI[[#This Row],[Kitchen Set]],Table_NFI[Kitchen Set])</f>
        <v>0</v>
      </c>
      <c r="AF458" s="294">
        <f>IF(NFI_Expiration=1,IF($A458&lt;VLOOKUP(O$5,NFI,5,0),1,0)*Table_NFI[[#This Row],[Clothes Kit]],Table_NFI[Clothes Kit])</f>
        <v>0</v>
      </c>
      <c r="AG458" s="294">
        <f>IF(NFI_Expiration=1,IF($A458&lt;VLOOKUP(P$5,NFI,5,0),1,0)*Table_NFI[[#This Row],[Plastic Bucket]],Table_NFI[Plastic Bucket])</f>
        <v>0</v>
      </c>
      <c r="AH458" s="294">
        <f>IF(NFI_Expiration=1,IF($A458&lt;VLOOKUP(Q$5,NFI,5,0),1,0)*Table_NFI[[#This Row],[Plastic Mat]],Table_NFI[Plastic Mat])*IF(Table_NFI[[#This Row],[Distribution Date]]&gt;"2014-04-01",1,2.5)</f>
        <v>0</v>
      </c>
      <c r="AI458" s="294">
        <f>IF(NFI_Expiration=1,IF($A458&lt;VLOOKUP(R$5,NFI,5,0),1,0)*Table_NFI[[#This Row],[Winter Clothes Adult]],Table_NFI[Winter Clothes Adult])</f>
        <v>0</v>
      </c>
      <c r="AJ458" s="294">
        <f>IF(NFI_Expiration=1,IF($A458&lt;VLOOKUP(S$5,NFI,5,0),1,0)*Table_NFI[[#This Row],[Winter Clothes Children]],Table_NFI[Winter Clothes Children])</f>
        <v>0</v>
      </c>
      <c r="AK458" s="294">
        <f>IF(NFI_Expiration=1,IF($A458&lt;VLOOKUP(T$5,NFI,5,0),1,0)*Table_NFI[[#This Row],[Winter Items Other]],Table_NFI[Winter Items Other])</f>
        <v>0</v>
      </c>
      <c r="AL458" s="294">
        <f>IF(NFI_Expiration=1,IF($A458&lt;VLOOKUP(M$5,NFI,5,0),1,0)*Table_NFI[[#This Row],[Winter Blanket]],Table_NFI[[#This Row],[Winter Blanket]])</f>
        <v>0</v>
      </c>
      <c r="AM458" s="294">
        <f>IF(Table_NFI[[#This Row],[Winter Clothes Adult]]+Table_NFI[[#This Row],[Winter Clothes Children]]+Table_NFI[[#This Row],[Winter Items Other]]+Table_NFI[[#This Row],[Winter Blanket]]&gt;0,1,0)</f>
        <v>0</v>
      </c>
      <c r="AN458" s="331">
        <f>IF(NFI_Expiration=1,IF($A458&lt;VLOOKUP(V$5,NFI,5,0),1,0)*Table_NFI[[#This Row],[Jerry Can]],Table_NFI[Jerry Can])</f>
        <v>0</v>
      </c>
      <c r="AO458" s="331">
        <f>IF(NFI_Expiration=1,IF($A458&lt;VLOOKUP(V$5,NFI,5,0),1,0)*Table_NFI[[#This Row],[Shelter Tool kit]],Table_NFI[Shelter Tool kit])</f>
        <v>0</v>
      </c>
      <c r="AP458" s="331">
        <f>IF(NFI_Expiration=1,IF($A458&lt;VLOOKUP(V$5,NFI,5,0),1,0)*Table_NFI[[#This Row],[Tent]],Table_NFI[Tent])</f>
        <v>0</v>
      </c>
      <c r="AQ458" s="473" t="str">
        <f>IFERROR(VLOOKUP(Table_NFI[[#This Row],[Camp Name]],CL,2,0),"")</f>
        <v>MMR001CMP047</v>
      </c>
      <c r="AR458" s="468">
        <f ca="1">IF(Table_NFI[[#This Row],[Pcode]]="","",IF(OFFSET(CampList[Opening Date],MATCH(Table_NFI[[#This Row],[Pcode]],CampList[CP_Pcode],0)-1,0,1,1)&gt;=NFI_Monitor_Date,1,0))</f>
        <v>0</v>
      </c>
      <c r="AS458" s="473" t="str">
        <f>IFERROR(VLOOKUP(Table_NFI[[#This Row],[Camp Name]],CL,3,0),"")</f>
        <v>Open</v>
      </c>
      <c r="AT458" s="294" t="str">
        <f ca="1">IF(Table_NFI[[#This Row],[Pcode]]="","",OFFSET(CampList[Priority],MATCH(Table_NFI[[#This Row],[Pcode]],CampList[CP_Pcode],0)-1,0,1,1))</f>
        <v>P4</v>
      </c>
      <c r="AU458" s="293">
        <f>IFERROR(Table_NFI[[#This Row],[Kitchen Set]]/VLOOKUP(Table_NFI[[#This Row],[Camp Name]],CL,4,0),"")</f>
        <v>3.1948881789137379E-2</v>
      </c>
      <c r="AV458" s="466" t="s">
        <v>1092</v>
      </c>
      <c r="AW458" s="469"/>
    </row>
    <row r="459" spans="1:49" s="470" customFormat="1" x14ac:dyDescent="0.25">
      <c r="A459" s="297">
        <f t="shared" si="7"/>
        <v>34.5</v>
      </c>
      <c r="B459" s="465">
        <v>41640</v>
      </c>
      <c r="C459" s="466" t="s">
        <v>1037</v>
      </c>
      <c r="D459" s="466" t="s">
        <v>900</v>
      </c>
      <c r="E459" s="466" t="s">
        <v>380</v>
      </c>
      <c r="F459" s="466" t="s">
        <v>173</v>
      </c>
      <c r="G459" s="466" t="s">
        <v>176</v>
      </c>
      <c r="H459" s="291"/>
      <c r="I459" s="291"/>
      <c r="J459" s="291"/>
      <c r="K459" s="291"/>
      <c r="L459" s="292"/>
      <c r="M459" s="292"/>
      <c r="N459" s="292">
        <v>14</v>
      </c>
      <c r="O459" s="292"/>
      <c r="P459" s="294"/>
      <c r="Q459" s="294"/>
      <c r="R459" s="294"/>
      <c r="S459" s="294"/>
      <c r="T459" s="294"/>
      <c r="U459" s="294"/>
      <c r="V459" s="431"/>
      <c r="W459" s="294"/>
      <c r="X459" s="294"/>
      <c r="Y459" s="294">
        <f>IF(NFI_Expiration=1,IF($A459&lt;VLOOKUP(H$5,NFI,5,0),1,0)*Table_NFI[[#This Row],[Hygiene Kit]],Table_NFI[Hygiene Kit])</f>
        <v>0</v>
      </c>
      <c r="Z459" s="294">
        <f>IF(NFI_Expiration=1,IF($A459&lt;VLOOKUP(I$5,NFI,5,0),1,0)*Table_NFI[[#This Row],[NFI Core Kit]],Table_NFI[NFI Core Kit])</f>
        <v>0</v>
      </c>
      <c r="AA459" s="294">
        <f>IF(NFI_Expiration=1,IF($A459&lt;VLOOKUP(J$5,NFI,5,0),1,0)*Table_NFI[[#This Row],[Sanitary Kit]],Table_NFI[Sanitary Kit])</f>
        <v>0</v>
      </c>
      <c r="AB459" s="294">
        <f>IF(NFI_Expiration=1,IF($A459&lt;VLOOKUP(K$5,NFI,5,0),1,0)*Table_NFI[[#This Row],[Mosquito net]],Table_NFI[Mosquito net])</f>
        <v>0</v>
      </c>
      <c r="AC459" s="294">
        <f>IF(NFI_Expiration=1,IF($A459&lt;VLOOKUP(L$5,NFI,5,0),1,0)*Table_NFI[[#This Row],[Tarpaulin]],Table_NFI[[#This Row],[Tarpaulin]])</f>
        <v>0</v>
      </c>
      <c r="AD459" s="294">
        <f>IF(NFI_Expiration=1,IF($A459&lt;VLOOKUP(M$5,NFI,5,0),1,0)*Table_NFI[[#This Row],[Blanket]],Table_NFI[[#This Row],[Blanket]])</f>
        <v>0</v>
      </c>
      <c r="AE459" s="294">
        <f>IF(NFI_Expiration=1,IF($A459&lt;VLOOKUP(N$5,NFI,5,0),1,0)*Table_NFI[[#This Row],[Kitchen Set]],Table_NFI[Kitchen Set])</f>
        <v>0</v>
      </c>
      <c r="AF459" s="294">
        <f>IF(NFI_Expiration=1,IF($A459&lt;VLOOKUP(O$5,NFI,5,0),1,0)*Table_NFI[[#This Row],[Clothes Kit]],Table_NFI[Clothes Kit])</f>
        <v>0</v>
      </c>
      <c r="AG459" s="294">
        <f>IF(NFI_Expiration=1,IF($A459&lt;VLOOKUP(P$5,NFI,5,0),1,0)*Table_NFI[[#This Row],[Plastic Bucket]],Table_NFI[Plastic Bucket])</f>
        <v>0</v>
      </c>
      <c r="AH459" s="294">
        <f>IF(NFI_Expiration=1,IF($A459&lt;VLOOKUP(Q$5,NFI,5,0),1,0)*Table_NFI[[#This Row],[Plastic Mat]],Table_NFI[Plastic Mat])*IF(Table_NFI[[#This Row],[Distribution Date]]&gt;"2014-04-01",1,2.5)</f>
        <v>0</v>
      </c>
      <c r="AI459" s="294">
        <f>IF(NFI_Expiration=1,IF($A459&lt;VLOOKUP(R$5,NFI,5,0),1,0)*Table_NFI[[#This Row],[Winter Clothes Adult]],Table_NFI[Winter Clothes Adult])</f>
        <v>0</v>
      </c>
      <c r="AJ459" s="294">
        <f>IF(NFI_Expiration=1,IF($A459&lt;VLOOKUP(S$5,NFI,5,0),1,0)*Table_NFI[[#This Row],[Winter Clothes Children]],Table_NFI[Winter Clothes Children])</f>
        <v>0</v>
      </c>
      <c r="AK459" s="294">
        <f>IF(NFI_Expiration=1,IF($A459&lt;VLOOKUP(T$5,NFI,5,0),1,0)*Table_NFI[[#This Row],[Winter Items Other]],Table_NFI[Winter Items Other])</f>
        <v>0</v>
      </c>
      <c r="AL459" s="294">
        <f>IF(NFI_Expiration=1,IF($A459&lt;VLOOKUP(M$5,NFI,5,0),1,0)*Table_NFI[[#This Row],[Winter Blanket]],Table_NFI[[#This Row],[Winter Blanket]])</f>
        <v>0</v>
      </c>
      <c r="AM459" s="294">
        <f>IF(Table_NFI[[#This Row],[Winter Clothes Adult]]+Table_NFI[[#This Row],[Winter Clothes Children]]+Table_NFI[[#This Row],[Winter Items Other]]+Table_NFI[[#This Row],[Winter Blanket]]&gt;0,1,0)</f>
        <v>0</v>
      </c>
      <c r="AN459" s="331">
        <f>IF(NFI_Expiration=1,IF($A459&lt;VLOOKUP(V$5,NFI,5,0),1,0)*Table_NFI[[#This Row],[Jerry Can]],Table_NFI[Jerry Can])</f>
        <v>0</v>
      </c>
      <c r="AO459" s="331">
        <f>IF(NFI_Expiration=1,IF($A459&lt;VLOOKUP(V$5,NFI,5,0),1,0)*Table_NFI[[#This Row],[Shelter Tool kit]],Table_NFI[Shelter Tool kit])</f>
        <v>0</v>
      </c>
      <c r="AP459" s="331">
        <f>IF(NFI_Expiration=1,IF($A459&lt;VLOOKUP(V$5,NFI,5,0),1,0)*Table_NFI[[#This Row],[Tent]],Table_NFI[Tent])</f>
        <v>0</v>
      </c>
      <c r="AQ459" s="473" t="str">
        <f>IFERROR(VLOOKUP(Table_NFI[[#This Row],[Camp Name]],CL,2,0),"")</f>
        <v>MMR001CMP077</v>
      </c>
      <c r="AR459" s="468">
        <f ca="1">IF(Table_NFI[[#This Row],[Pcode]]="","",IF(OFFSET(CampList[Opening Date],MATCH(Table_NFI[[#This Row],[Pcode]],CampList[CP_Pcode],0)-1,0,1,1)&gt;=NFI_Monitor_Date,1,0))</f>
        <v>0</v>
      </c>
      <c r="AS459" s="473" t="str">
        <f>IFERROR(VLOOKUP(Table_NFI[[#This Row],[Camp Name]],CL,3,0),"")</f>
        <v>Open</v>
      </c>
      <c r="AT459" s="294" t="str">
        <f ca="1">IF(Table_NFI[[#This Row],[Pcode]]="","",OFFSET(CampList[Priority],MATCH(Table_NFI[[#This Row],[Pcode]],CampList[CP_Pcode],0)-1,0,1,1))</f>
        <v>P4</v>
      </c>
      <c r="AU459" s="293">
        <f>IFERROR(Table_NFI[[#This Row],[Kitchen Set]]/VLOOKUP(Table_NFI[[#This Row],[Camp Name]],CL,4,0),"")</f>
        <v>0.93333333333333335</v>
      </c>
      <c r="AV459" s="466" t="s">
        <v>1092</v>
      </c>
      <c r="AW459" s="469"/>
    </row>
    <row r="460" spans="1:49" s="470" customFormat="1" ht="14.45" customHeight="1" x14ac:dyDescent="0.25">
      <c r="A460" s="297">
        <f t="shared" si="7"/>
        <v>34.5</v>
      </c>
      <c r="B460" s="465">
        <v>41640</v>
      </c>
      <c r="C460" s="466" t="s">
        <v>1037</v>
      </c>
      <c r="D460" s="466" t="s">
        <v>900</v>
      </c>
      <c r="E460" s="466" t="s">
        <v>380</v>
      </c>
      <c r="F460" s="290" t="s">
        <v>180</v>
      </c>
      <c r="G460" s="466" t="s">
        <v>183</v>
      </c>
      <c r="H460" s="291"/>
      <c r="I460" s="291"/>
      <c r="J460" s="291"/>
      <c r="K460" s="291"/>
      <c r="L460" s="292"/>
      <c r="M460" s="292"/>
      <c r="N460" s="292">
        <v>12</v>
      </c>
      <c r="O460" s="292"/>
      <c r="P460" s="294"/>
      <c r="Q460" s="294"/>
      <c r="R460" s="294"/>
      <c r="S460" s="294"/>
      <c r="T460" s="294"/>
      <c r="U460" s="294"/>
      <c r="V460" s="431"/>
      <c r="W460" s="294"/>
      <c r="X460" s="294"/>
      <c r="Y460" s="294">
        <f>IF(NFI_Expiration=1,IF($A460&lt;VLOOKUP(H$5,NFI,5,0),1,0)*Table_NFI[[#This Row],[Hygiene Kit]],Table_NFI[Hygiene Kit])</f>
        <v>0</v>
      </c>
      <c r="Z460" s="294">
        <f>IF(NFI_Expiration=1,IF($A460&lt;VLOOKUP(I$5,NFI,5,0),1,0)*Table_NFI[[#This Row],[NFI Core Kit]],Table_NFI[NFI Core Kit])</f>
        <v>0</v>
      </c>
      <c r="AA460" s="294">
        <f>IF(NFI_Expiration=1,IF($A460&lt;VLOOKUP(J$5,NFI,5,0),1,0)*Table_NFI[[#This Row],[Sanitary Kit]],Table_NFI[Sanitary Kit])</f>
        <v>0</v>
      </c>
      <c r="AB460" s="294">
        <f>IF(NFI_Expiration=1,IF($A460&lt;VLOOKUP(K$5,NFI,5,0),1,0)*Table_NFI[[#This Row],[Mosquito net]],Table_NFI[Mosquito net])</f>
        <v>0</v>
      </c>
      <c r="AC460" s="294">
        <f>IF(NFI_Expiration=1,IF($A460&lt;VLOOKUP(L$5,NFI,5,0),1,0)*Table_NFI[[#This Row],[Tarpaulin]],Table_NFI[[#This Row],[Tarpaulin]])</f>
        <v>0</v>
      </c>
      <c r="AD460" s="294">
        <f>IF(NFI_Expiration=1,IF($A460&lt;VLOOKUP(M$5,NFI,5,0),1,0)*Table_NFI[[#This Row],[Blanket]],Table_NFI[[#This Row],[Blanket]])</f>
        <v>0</v>
      </c>
      <c r="AE460" s="294">
        <f>IF(NFI_Expiration=1,IF($A460&lt;VLOOKUP(N$5,NFI,5,0),1,0)*Table_NFI[[#This Row],[Kitchen Set]],Table_NFI[Kitchen Set])</f>
        <v>0</v>
      </c>
      <c r="AF460" s="294">
        <f>IF(NFI_Expiration=1,IF($A460&lt;VLOOKUP(O$5,NFI,5,0),1,0)*Table_NFI[[#This Row],[Clothes Kit]],Table_NFI[Clothes Kit])</f>
        <v>0</v>
      </c>
      <c r="AG460" s="294">
        <f>IF(NFI_Expiration=1,IF($A460&lt;VLOOKUP(P$5,NFI,5,0),1,0)*Table_NFI[[#This Row],[Plastic Bucket]],Table_NFI[Plastic Bucket])</f>
        <v>0</v>
      </c>
      <c r="AH460" s="294">
        <f>IF(NFI_Expiration=1,IF($A460&lt;VLOOKUP(Q$5,NFI,5,0),1,0)*Table_NFI[[#This Row],[Plastic Mat]],Table_NFI[Plastic Mat])*IF(Table_NFI[[#This Row],[Distribution Date]]&gt;"2014-04-01",1,2.5)</f>
        <v>0</v>
      </c>
      <c r="AI460" s="294">
        <f>IF(NFI_Expiration=1,IF($A460&lt;VLOOKUP(R$5,NFI,5,0),1,0)*Table_NFI[[#This Row],[Winter Clothes Adult]],Table_NFI[Winter Clothes Adult])</f>
        <v>0</v>
      </c>
      <c r="AJ460" s="294">
        <f>IF(NFI_Expiration=1,IF($A460&lt;VLOOKUP(S$5,NFI,5,0),1,0)*Table_NFI[[#This Row],[Winter Clothes Children]],Table_NFI[Winter Clothes Children])</f>
        <v>0</v>
      </c>
      <c r="AK460" s="294">
        <f>IF(NFI_Expiration=1,IF($A460&lt;VLOOKUP(T$5,NFI,5,0),1,0)*Table_NFI[[#This Row],[Winter Items Other]],Table_NFI[Winter Items Other])</f>
        <v>0</v>
      </c>
      <c r="AL460" s="294">
        <f>IF(NFI_Expiration=1,IF($A460&lt;VLOOKUP(M$5,NFI,5,0),1,0)*Table_NFI[[#This Row],[Winter Blanket]],Table_NFI[[#This Row],[Winter Blanket]])</f>
        <v>0</v>
      </c>
      <c r="AM460" s="294">
        <f>IF(Table_NFI[[#This Row],[Winter Clothes Adult]]+Table_NFI[[#This Row],[Winter Clothes Children]]+Table_NFI[[#This Row],[Winter Items Other]]+Table_NFI[[#This Row],[Winter Blanket]]&gt;0,1,0)</f>
        <v>0</v>
      </c>
      <c r="AN460" s="331">
        <f>IF(NFI_Expiration=1,IF($A460&lt;VLOOKUP(V$5,NFI,5,0),1,0)*Table_NFI[[#This Row],[Jerry Can]],Table_NFI[Jerry Can])</f>
        <v>0</v>
      </c>
      <c r="AO460" s="331">
        <f>IF(NFI_Expiration=1,IF($A460&lt;VLOOKUP(V$5,NFI,5,0),1,0)*Table_NFI[[#This Row],[Shelter Tool kit]],Table_NFI[Shelter Tool kit])</f>
        <v>0</v>
      </c>
      <c r="AP460" s="331">
        <f>IF(NFI_Expiration=1,IF($A460&lt;VLOOKUP(V$5,NFI,5,0),1,0)*Table_NFI[[#This Row],[Tent]],Table_NFI[Tent])</f>
        <v>0</v>
      </c>
      <c r="AQ460" s="473" t="str">
        <f>IFERROR(VLOOKUP(Table_NFI[[#This Row],[Camp Name]],CL,2,0),"")</f>
        <v>MMR001CMP081</v>
      </c>
      <c r="AR460" s="468">
        <f ca="1">IF(Table_NFI[[#This Row],[Pcode]]="","",IF(OFFSET(CampList[Opening Date],MATCH(Table_NFI[[#This Row],[Pcode]],CampList[CP_Pcode],0)-1,0,1,1)&gt;=NFI_Monitor_Date,1,0))</f>
        <v>0</v>
      </c>
      <c r="AS460" s="473" t="str">
        <f>IFERROR(VLOOKUP(Table_NFI[[#This Row],[Camp Name]],CL,3,0),"")</f>
        <v>Closed</v>
      </c>
      <c r="AT460" s="294" t="str">
        <f ca="1">IF(Table_NFI[[#This Row],[Pcode]]="","",OFFSET(CampList[Priority],MATCH(Table_NFI[[#This Row],[Pcode]],CampList[CP_Pcode],0)-1,0,1,1))</f>
        <v>P4</v>
      </c>
      <c r="AU460" s="293" t="str">
        <f>IFERROR(Table_NFI[[#This Row],[Kitchen Set]]/VLOOKUP(Table_NFI[[#This Row],[Camp Name]],CL,4,0),"")</f>
        <v/>
      </c>
      <c r="AV460" s="466" t="s">
        <v>1092</v>
      </c>
      <c r="AW460" s="469"/>
    </row>
    <row r="461" spans="1:49" s="470" customFormat="1" ht="14.45" customHeight="1" x14ac:dyDescent="0.25">
      <c r="A461" s="297">
        <f t="shared" si="7"/>
        <v>34.5</v>
      </c>
      <c r="B461" s="465">
        <v>41640</v>
      </c>
      <c r="C461" s="466" t="s">
        <v>1037</v>
      </c>
      <c r="D461" s="466" t="s">
        <v>900</v>
      </c>
      <c r="E461" s="466" t="s">
        <v>380</v>
      </c>
      <c r="F461" s="466" t="s">
        <v>173</v>
      </c>
      <c r="G461" s="466" t="s">
        <v>178</v>
      </c>
      <c r="H461" s="291"/>
      <c r="I461" s="291"/>
      <c r="J461" s="291"/>
      <c r="K461" s="291"/>
      <c r="L461" s="292"/>
      <c r="M461" s="292"/>
      <c r="N461" s="292">
        <v>13</v>
      </c>
      <c r="O461" s="292"/>
      <c r="P461" s="294"/>
      <c r="Q461" s="294"/>
      <c r="R461" s="294"/>
      <c r="S461" s="294"/>
      <c r="T461" s="294"/>
      <c r="U461" s="294"/>
      <c r="V461" s="431"/>
      <c r="W461" s="294"/>
      <c r="X461" s="294"/>
      <c r="Y461" s="294">
        <f>IF(NFI_Expiration=1,IF($A461&lt;VLOOKUP(H$5,NFI,5,0),1,0)*Table_NFI[[#This Row],[Hygiene Kit]],Table_NFI[Hygiene Kit])</f>
        <v>0</v>
      </c>
      <c r="Z461" s="294">
        <f>IF(NFI_Expiration=1,IF($A461&lt;VLOOKUP(I$5,NFI,5,0),1,0)*Table_NFI[[#This Row],[NFI Core Kit]],Table_NFI[NFI Core Kit])</f>
        <v>0</v>
      </c>
      <c r="AA461" s="294">
        <f>IF(NFI_Expiration=1,IF($A461&lt;VLOOKUP(J$5,NFI,5,0),1,0)*Table_NFI[[#This Row],[Sanitary Kit]],Table_NFI[Sanitary Kit])</f>
        <v>0</v>
      </c>
      <c r="AB461" s="294">
        <f>IF(NFI_Expiration=1,IF($A461&lt;VLOOKUP(K$5,NFI,5,0),1,0)*Table_NFI[[#This Row],[Mosquito net]],Table_NFI[Mosquito net])</f>
        <v>0</v>
      </c>
      <c r="AC461" s="294">
        <f>IF(NFI_Expiration=1,IF($A461&lt;VLOOKUP(L$5,NFI,5,0),1,0)*Table_NFI[[#This Row],[Tarpaulin]],Table_NFI[[#This Row],[Tarpaulin]])</f>
        <v>0</v>
      </c>
      <c r="AD461" s="294">
        <f>IF(NFI_Expiration=1,IF($A461&lt;VLOOKUP(M$5,NFI,5,0),1,0)*Table_NFI[[#This Row],[Blanket]],Table_NFI[[#This Row],[Blanket]])</f>
        <v>0</v>
      </c>
      <c r="AE461" s="294">
        <f>IF(NFI_Expiration=1,IF($A461&lt;VLOOKUP(N$5,NFI,5,0),1,0)*Table_NFI[[#This Row],[Kitchen Set]],Table_NFI[Kitchen Set])</f>
        <v>0</v>
      </c>
      <c r="AF461" s="294">
        <f>IF(NFI_Expiration=1,IF($A461&lt;VLOOKUP(O$5,NFI,5,0),1,0)*Table_NFI[[#This Row],[Clothes Kit]],Table_NFI[Clothes Kit])</f>
        <v>0</v>
      </c>
      <c r="AG461" s="294">
        <f>IF(NFI_Expiration=1,IF($A461&lt;VLOOKUP(P$5,NFI,5,0),1,0)*Table_NFI[[#This Row],[Plastic Bucket]],Table_NFI[Plastic Bucket])</f>
        <v>0</v>
      </c>
      <c r="AH461" s="294">
        <f>IF(NFI_Expiration=1,IF($A461&lt;VLOOKUP(Q$5,NFI,5,0),1,0)*Table_NFI[[#This Row],[Plastic Mat]],Table_NFI[Plastic Mat])*IF(Table_NFI[[#This Row],[Distribution Date]]&gt;"2014-04-01",1,2.5)</f>
        <v>0</v>
      </c>
      <c r="AI461" s="294">
        <f>IF(NFI_Expiration=1,IF($A461&lt;VLOOKUP(R$5,NFI,5,0),1,0)*Table_NFI[[#This Row],[Winter Clothes Adult]],Table_NFI[Winter Clothes Adult])</f>
        <v>0</v>
      </c>
      <c r="AJ461" s="294">
        <f>IF(NFI_Expiration=1,IF($A461&lt;VLOOKUP(S$5,NFI,5,0),1,0)*Table_NFI[[#This Row],[Winter Clothes Children]],Table_NFI[Winter Clothes Children])</f>
        <v>0</v>
      </c>
      <c r="AK461" s="294">
        <f>IF(NFI_Expiration=1,IF($A461&lt;VLOOKUP(T$5,NFI,5,0),1,0)*Table_NFI[[#This Row],[Winter Items Other]],Table_NFI[Winter Items Other])</f>
        <v>0</v>
      </c>
      <c r="AL461" s="294">
        <f>IF(NFI_Expiration=1,IF($A461&lt;VLOOKUP(M$5,NFI,5,0),1,0)*Table_NFI[[#This Row],[Winter Blanket]],Table_NFI[[#This Row],[Winter Blanket]])</f>
        <v>0</v>
      </c>
      <c r="AM461" s="294">
        <f>IF(Table_NFI[[#This Row],[Winter Clothes Adult]]+Table_NFI[[#This Row],[Winter Clothes Children]]+Table_NFI[[#This Row],[Winter Items Other]]+Table_NFI[[#This Row],[Winter Blanket]]&gt;0,1,0)</f>
        <v>0</v>
      </c>
      <c r="AN461" s="331">
        <f>IF(NFI_Expiration=1,IF($A461&lt;VLOOKUP(V$5,NFI,5,0),1,0)*Table_NFI[[#This Row],[Jerry Can]],Table_NFI[Jerry Can])</f>
        <v>0</v>
      </c>
      <c r="AO461" s="331">
        <f>IF(NFI_Expiration=1,IF($A461&lt;VLOOKUP(V$5,NFI,5,0),1,0)*Table_NFI[[#This Row],[Shelter Tool kit]],Table_NFI[Shelter Tool kit])</f>
        <v>0</v>
      </c>
      <c r="AP461" s="331">
        <f>IF(NFI_Expiration=1,IF($A461&lt;VLOOKUP(V$5,NFI,5,0),1,0)*Table_NFI[[#This Row],[Tent]],Table_NFI[Tent])</f>
        <v>0</v>
      </c>
      <c r="AQ461" s="473" t="str">
        <f>IFERROR(VLOOKUP(Table_NFI[[#This Row],[Camp Name]],CL,2,0),"")</f>
        <v>MMR001CMP079</v>
      </c>
      <c r="AR461" s="468">
        <f ca="1">IF(Table_NFI[[#This Row],[Pcode]]="","",IF(OFFSET(CampList[Opening Date],MATCH(Table_NFI[[#This Row],[Pcode]],CampList[CP_Pcode],0)-1,0,1,1)&gt;=NFI_Monitor_Date,1,0))</f>
        <v>0</v>
      </c>
      <c r="AS461" s="473" t="str">
        <f>IFERROR(VLOOKUP(Table_NFI[[#This Row],[Camp Name]],CL,3,0),"")</f>
        <v>Open</v>
      </c>
      <c r="AT461" s="294" t="str">
        <f ca="1">IF(Table_NFI[[#This Row],[Pcode]]="","",OFFSET(CampList[Priority],MATCH(Table_NFI[[#This Row],[Pcode]],CampList[CP_Pcode],0)-1,0,1,1))</f>
        <v>P4</v>
      </c>
      <c r="AU461" s="293">
        <f>IFERROR(Table_NFI[[#This Row],[Kitchen Set]]/VLOOKUP(Table_NFI[[#This Row],[Camp Name]],CL,4,0),"")</f>
        <v>1.0833333333333333</v>
      </c>
      <c r="AV461" s="466" t="s">
        <v>1092</v>
      </c>
      <c r="AW461" s="469"/>
    </row>
    <row r="462" spans="1:49" s="470" customFormat="1" ht="14.45" customHeight="1" x14ac:dyDescent="0.25">
      <c r="A462" s="297">
        <f t="shared" si="7"/>
        <v>34.5</v>
      </c>
      <c r="B462" s="465">
        <v>41640</v>
      </c>
      <c r="C462" s="466" t="s">
        <v>1037</v>
      </c>
      <c r="D462" s="466" t="s">
        <v>900</v>
      </c>
      <c r="E462" s="466" t="s">
        <v>380</v>
      </c>
      <c r="F462" s="466" t="s">
        <v>27</v>
      </c>
      <c r="G462" s="466" t="s">
        <v>864</v>
      </c>
      <c r="H462" s="291"/>
      <c r="I462" s="291"/>
      <c r="J462" s="291"/>
      <c r="K462" s="291"/>
      <c r="L462" s="292"/>
      <c r="M462" s="292"/>
      <c r="N462" s="292">
        <v>92</v>
      </c>
      <c r="O462" s="292"/>
      <c r="P462" s="294"/>
      <c r="Q462" s="294"/>
      <c r="R462" s="294"/>
      <c r="S462" s="294"/>
      <c r="T462" s="294"/>
      <c r="U462" s="294"/>
      <c r="V462" s="431"/>
      <c r="W462" s="294"/>
      <c r="X462" s="294"/>
      <c r="Y462" s="294">
        <f>IF(NFI_Expiration=1,IF($A462&lt;VLOOKUP(H$5,NFI,5,0),1,0)*Table_NFI[[#This Row],[Hygiene Kit]],Table_NFI[Hygiene Kit])</f>
        <v>0</v>
      </c>
      <c r="Z462" s="294">
        <f>IF(NFI_Expiration=1,IF($A462&lt;VLOOKUP(I$5,NFI,5,0),1,0)*Table_NFI[[#This Row],[NFI Core Kit]],Table_NFI[NFI Core Kit])</f>
        <v>0</v>
      </c>
      <c r="AA462" s="294">
        <f>IF(NFI_Expiration=1,IF($A462&lt;VLOOKUP(J$5,NFI,5,0),1,0)*Table_NFI[[#This Row],[Sanitary Kit]],Table_NFI[Sanitary Kit])</f>
        <v>0</v>
      </c>
      <c r="AB462" s="294">
        <f>IF(NFI_Expiration=1,IF($A462&lt;VLOOKUP(K$5,NFI,5,0),1,0)*Table_NFI[[#This Row],[Mosquito net]],Table_NFI[Mosquito net])</f>
        <v>0</v>
      </c>
      <c r="AC462" s="294">
        <f>IF(NFI_Expiration=1,IF($A462&lt;VLOOKUP(L$5,NFI,5,0),1,0)*Table_NFI[[#This Row],[Tarpaulin]],Table_NFI[[#This Row],[Tarpaulin]])</f>
        <v>0</v>
      </c>
      <c r="AD462" s="294">
        <f>IF(NFI_Expiration=1,IF($A462&lt;VLOOKUP(M$5,NFI,5,0),1,0)*Table_NFI[[#This Row],[Blanket]],Table_NFI[[#This Row],[Blanket]])</f>
        <v>0</v>
      </c>
      <c r="AE462" s="294">
        <f>IF(NFI_Expiration=1,IF($A462&lt;VLOOKUP(N$5,NFI,5,0),1,0)*Table_NFI[[#This Row],[Kitchen Set]],Table_NFI[Kitchen Set])</f>
        <v>0</v>
      </c>
      <c r="AF462" s="294">
        <f>IF(NFI_Expiration=1,IF($A462&lt;VLOOKUP(O$5,NFI,5,0),1,0)*Table_NFI[[#This Row],[Clothes Kit]],Table_NFI[Clothes Kit])</f>
        <v>0</v>
      </c>
      <c r="AG462" s="294">
        <f>IF(NFI_Expiration=1,IF($A462&lt;VLOOKUP(P$5,NFI,5,0),1,0)*Table_NFI[[#This Row],[Plastic Bucket]],Table_NFI[Plastic Bucket])</f>
        <v>0</v>
      </c>
      <c r="AH462" s="294">
        <f>IF(NFI_Expiration=1,IF($A462&lt;VLOOKUP(Q$5,NFI,5,0),1,0)*Table_NFI[[#This Row],[Plastic Mat]],Table_NFI[Plastic Mat])*IF(Table_NFI[[#This Row],[Distribution Date]]&gt;"2014-04-01",1,2.5)</f>
        <v>0</v>
      </c>
      <c r="AI462" s="294">
        <f>IF(NFI_Expiration=1,IF($A462&lt;VLOOKUP(R$5,NFI,5,0),1,0)*Table_NFI[[#This Row],[Winter Clothes Adult]],Table_NFI[Winter Clothes Adult])</f>
        <v>0</v>
      </c>
      <c r="AJ462" s="294">
        <f>IF(NFI_Expiration=1,IF($A462&lt;VLOOKUP(S$5,NFI,5,0),1,0)*Table_NFI[[#This Row],[Winter Clothes Children]],Table_NFI[Winter Clothes Children])</f>
        <v>0</v>
      </c>
      <c r="AK462" s="294">
        <f>IF(NFI_Expiration=1,IF($A462&lt;VLOOKUP(T$5,NFI,5,0),1,0)*Table_NFI[[#This Row],[Winter Items Other]],Table_NFI[Winter Items Other])</f>
        <v>0</v>
      </c>
      <c r="AL462" s="294">
        <f>IF(NFI_Expiration=1,IF($A462&lt;VLOOKUP(M$5,NFI,5,0),1,0)*Table_NFI[[#This Row],[Winter Blanket]],Table_NFI[[#This Row],[Winter Blanket]])</f>
        <v>0</v>
      </c>
      <c r="AM462" s="294">
        <f>IF(Table_NFI[[#This Row],[Winter Clothes Adult]]+Table_NFI[[#This Row],[Winter Clothes Children]]+Table_NFI[[#This Row],[Winter Items Other]]+Table_NFI[[#This Row],[Winter Blanket]]&gt;0,1,0)</f>
        <v>0</v>
      </c>
      <c r="AN462" s="331">
        <f>IF(NFI_Expiration=1,IF($A462&lt;VLOOKUP(V$5,NFI,5,0),1,0)*Table_NFI[[#This Row],[Jerry Can]],Table_NFI[Jerry Can])</f>
        <v>0</v>
      </c>
      <c r="AO462" s="331">
        <f>IF(NFI_Expiration=1,IF($A462&lt;VLOOKUP(V$5,NFI,5,0),1,0)*Table_NFI[[#This Row],[Shelter Tool kit]],Table_NFI[Shelter Tool kit])</f>
        <v>0</v>
      </c>
      <c r="AP462" s="331">
        <f>IF(NFI_Expiration=1,IF($A462&lt;VLOOKUP(V$5,NFI,5,0),1,0)*Table_NFI[[#This Row],[Tent]],Table_NFI[Tent])</f>
        <v>0</v>
      </c>
      <c r="AQ462" s="473" t="str">
        <f>IFERROR(VLOOKUP(Table_NFI[[#This Row],[Camp Name]],CL,2,0),"")</f>
        <v>MMR001CMP210</v>
      </c>
      <c r="AR462" s="468">
        <f ca="1">IF(Table_NFI[[#This Row],[Pcode]]="","",IF(OFFSET(CampList[Opening Date],MATCH(Table_NFI[[#This Row],[Pcode]],CampList[CP_Pcode],0)-1,0,1,1)&gt;=NFI_Monitor_Date,1,0))</f>
        <v>0</v>
      </c>
      <c r="AS462" s="473" t="str">
        <f>IFERROR(VLOOKUP(Table_NFI[[#This Row],[Camp Name]],CL,3,0),"")</f>
        <v>Open</v>
      </c>
      <c r="AT462" s="294" t="str">
        <f ca="1">IF(Table_NFI[[#This Row],[Pcode]]="","",OFFSET(CampList[Priority],MATCH(Table_NFI[[#This Row],[Pcode]],CampList[CP_Pcode],0)-1,0,1,1))</f>
        <v>P1</v>
      </c>
      <c r="AU462" s="293">
        <f>IFERROR(Table_NFI[[#This Row],[Kitchen Set]]/VLOOKUP(Table_NFI[[#This Row],[Camp Name]],CL,4,0),"")</f>
        <v>1.5081967213114753</v>
      </c>
      <c r="AV462" s="466" t="s">
        <v>1092</v>
      </c>
      <c r="AW462" s="469"/>
    </row>
    <row r="463" spans="1:49" s="470" customFormat="1" ht="14.45" customHeight="1" x14ac:dyDescent="0.25">
      <c r="A463" s="297">
        <f t="shared" si="7"/>
        <v>34.799999999999997</v>
      </c>
      <c r="B463" s="465">
        <v>41631</v>
      </c>
      <c r="C463" s="466" t="s">
        <v>452</v>
      </c>
      <c r="D463" s="467" t="s">
        <v>452</v>
      </c>
      <c r="E463" s="466" t="s">
        <v>380</v>
      </c>
      <c r="F463" s="290" t="s">
        <v>5</v>
      </c>
      <c r="G463" s="290" t="s">
        <v>6</v>
      </c>
      <c r="H463" s="291"/>
      <c r="I463" s="291"/>
      <c r="J463" s="291">
        <v>10</v>
      </c>
      <c r="K463" s="291">
        <v>10</v>
      </c>
      <c r="L463" s="292">
        <v>7</v>
      </c>
      <c r="M463" s="292">
        <v>10</v>
      </c>
      <c r="N463" s="292">
        <v>7</v>
      </c>
      <c r="O463" s="292">
        <v>7</v>
      </c>
      <c r="P463" s="294"/>
      <c r="Q463" s="294"/>
      <c r="R463" s="294"/>
      <c r="S463" s="294"/>
      <c r="T463" s="294"/>
      <c r="U463" s="294"/>
      <c r="V463" s="431"/>
      <c r="W463" s="294"/>
      <c r="X463" s="294"/>
      <c r="Y463" s="294">
        <f>IF(NFI_Expiration=1,IF($A463&lt;VLOOKUP(H$5,NFI,5,0),1,0)*Table_NFI[[#This Row],[Hygiene Kit]],Table_NFI[Hygiene Kit])</f>
        <v>0</v>
      </c>
      <c r="Z463" s="294">
        <f>IF(NFI_Expiration=1,IF($A463&lt;VLOOKUP(I$5,NFI,5,0),1,0)*Table_NFI[[#This Row],[NFI Core Kit]],Table_NFI[NFI Core Kit])</f>
        <v>0</v>
      </c>
      <c r="AA463" s="294">
        <f>IF(NFI_Expiration=1,IF($A463&lt;VLOOKUP(J$5,NFI,5,0),1,0)*Table_NFI[[#This Row],[Sanitary Kit]],Table_NFI[Sanitary Kit])</f>
        <v>0</v>
      </c>
      <c r="AB463" s="294">
        <f>IF(NFI_Expiration=1,IF($A463&lt;VLOOKUP(K$5,NFI,5,0),1,0)*Table_NFI[[#This Row],[Mosquito net]],Table_NFI[Mosquito net])</f>
        <v>0</v>
      </c>
      <c r="AC463" s="294">
        <f>IF(NFI_Expiration=1,IF($A463&lt;VLOOKUP(L$5,NFI,5,0),1,0)*Table_NFI[[#This Row],[Tarpaulin]],Table_NFI[[#This Row],[Tarpaulin]])</f>
        <v>0</v>
      </c>
      <c r="AD463" s="294">
        <f>IF(NFI_Expiration=1,IF($A463&lt;VLOOKUP(M$5,NFI,5,0),1,0)*Table_NFI[[#This Row],[Blanket]],Table_NFI[[#This Row],[Blanket]])</f>
        <v>0</v>
      </c>
      <c r="AE463" s="294">
        <f>IF(NFI_Expiration=1,IF($A463&lt;VLOOKUP(N$5,NFI,5,0),1,0)*Table_NFI[[#This Row],[Kitchen Set]],Table_NFI[Kitchen Set])</f>
        <v>0</v>
      </c>
      <c r="AF463" s="294">
        <f>IF(NFI_Expiration=1,IF($A463&lt;VLOOKUP(O$5,NFI,5,0),1,0)*Table_NFI[[#This Row],[Clothes Kit]],Table_NFI[Clothes Kit])</f>
        <v>0</v>
      </c>
      <c r="AG463" s="294">
        <f>IF(NFI_Expiration=1,IF($A463&lt;VLOOKUP(P$5,NFI,5,0),1,0)*Table_NFI[[#This Row],[Plastic Bucket]],Table_NFI[Plastic Bucket])</f>
        <v>0</v>
      </c>
      <c r="AH463" s="294">
        <f>IF(NFI_Expiration=1,IF($A463&lt;VLOOKUP(Q$5,NFI,5,0),1,0)*Table_NFI[[#This Row],[Plastic Mat]],Table_NFI[Plastic Mat])*IF(Table_NFI[[#This Row],[Distribution Date]]&gt;"2014-04-01",1,2.5)</f>
        <v>0</v>
      </c>
      <c r="AI463" s="294">
        <f>IF(NFI_Expiration=1,IF($A463&lt;VLOOKUP(R$5,NFI,5,0),1,0)*Table_NFI[[#This Row],[Winter Clothes Adult]],Table_NFI[Winter Clothes Adult])</f>
        <v>0</v>
      </c>
      <c r="AJ463" s="294">
        <f>IF(NFI_Expiration=1,IF($A463&lt;VLOOKUP(S$5,NFI,5,0),1,0)*Table_NFI[[#This Row],[Winter Clothes Children]],Table_NFI[Winter Clothes Children])</f>
        <v>0</v>
      </c>
      <c r="AK463" s="294">
        <f>IF(NFI_Expiration=1,IF($A463&lt;VLOOKUP(T$5,NFI,5,0),1,0)*Table_NFI[[#This Row],[Winter Items Other]],Table_NFI[Winter Items Other])</f>
        <v>0</v>
      </c>
      <c r="AL463" s="294">
        <f>IF(NFI_Expiration=1,IF($A463&lt;VLOOKUP(M$5,NFI,5,0),1,0)*Table_NFI[[#This Row],[Winter Blanket]],Table_NFI[[#This Row],[Winter Blanket]])</f>
        <v>0</v>
      </c>
      <c r="AM463" s="294">
        <f>IF(Table_NFI[[#This Row],[Winter Clothes Adult]]+Table_NFI[[#This Row],[Winter Clothes Children]]+Table_NFI[[#This Row],[Winter Items Other]]+Table_NFI[[#This Row],[Winter Blanket]]&gt;0,1,0)</f>
        <v>0</v>
      </c>
      <c r="AN463" s="331">
        <f>IF(NFI_Expiration=1,IF($A463&lt;VLOOKUP(V$5,NFI,5,0),1,0)*Table_NFI[[#This Row],[Jerry Can]],Table_NFI[Jerry Can])</f>
        <v>0</v>
      </c>
      <c r="AO463" s="331">
        <f>IF(NFI_Expiration=1,IF($A463&lt;VLOOKUP(V$5,NFI,5,0),1,0)*Table_NFI[[#This Row],[Shelter Tool kit]],Table_NFI[Shelter Tool kit])</f>
        <v>0</v>
      </c>
      <c r="AP463" s="331">
        <f>IF(NFI_Expiration=1,IF($A463&lt;VLOOKUP(V$5,NFI,5,0),1,0)*Table_NFI[[#This Row],[Tent]],Table_NFI[Tent])</f>
        <v>0</v>
      </c>
      <c r="AQ463" s="473" t="str">
        <f>IFERROR(VLOOKUP(Table_NFI[[#This Row],[Camp Name]],CL,2,0),"")</f>
        <v>MMR001CMP050</v>
      </c>
      <c r="AR463" s="468">
        <f ca="1">IF(Table_NFI[[#This Row],[Pcode]]="","",IF(OFFSET(CampList[Opening Date],MATCH(Table_NFI[[#This Row],[Pcode]],CampList[CP_Pcode],0)-1,0,1,1)&gt;=NFI_Monitor_Date,1,0))</f>
        <v>0</v>
      </c>
      <c r="AS463" s="473" t="str">
        <f>IFERROR(VLOOKUP(Table_NFI[[#This Row],[Camp Name]],CL,3,0),"")</f>
        <v>Open</v>
      </c>
      <c r="AT463" s="294" t="str">
        <f ca="1">IF(Table_NFI[[#This Row],[Pcode]]="","",OFFSET(CampList[Priority],MATCH(Table_NFI[[#This Row],[Pcode]],CampList[CP_Pcode],0)-1,0,1,1))</f>
        <v>P4</v>
      </c>
      <c r="AU463" s="293">
        <f>IFERROR(Table_NFI[[#This Row],[Kitchen Set]]/VLOOKUP(Table_NFI[[#This Row],[Camp Name]],CL,4,0),"")</f>
        <v>2.6923076923076925E-2</v>
      </c>
      <c r="AV463" s="466" t="s">
        <v>1092</v>
      </c>
      <c r="AW463" s="469"/>
    </row>
    <row r="464" spans="1:49" s="470" customFormat="1" ht="14.45" customHeight="1" x14ac:dyDescent="0.25">
      <c r="A464" s="297">
        <f t="shared" si="7"/>
        <v>34.799999999999997</v>
      </c>
      <c r="B464" s="465">
        <v>41631</v>
      </c>
      <c r="C464" s="466" t="s">
        <v>905</v>
      </c>
      <c r="D464" s="466" t="s">
        <v>460</v>
      </c>
      <c r="E464" s="466" t="s">
        <v>380</v>
      </c>
      <c r="F464" s="466" t="s">
        <v>310</v>
      </c>
      <c r="G464" s="466" t="s">
        <v>813</v>
      </c>
      <c r="H464" s="291"/>
      <c r="I464" s="291"/>
      <c r="J464" s="291"/>
      <c r="K464" s="291"/>
      <c r="L464" s="292"/>
      <c r="M464" s="292"/>
      <c r="N464" s="292"/>
      <c r="O464" s="292"/>
      <c r="P464" s="294"/>
      <c r="Q464" s="294"/>
      <c r="R464" s="294">
        <v>2</v>
      </c>
      <c r="S464" s="294">
        <v>111</v>
      </c>
      <c r="T464" s="294">
        <v>226</v>
      </c>
      <c r="U464" s="294">
        <v>113</v>
      </c>
      <c r="V464" s="431"/>
      <c r="W464" s="294"/>
      <c r="X464" s="294"/>
      <c r="Y464" s="294">
        <f>IF(NFI_Expiration=1,IF($A464&lt;VLOOKUP(H$5,NFI,5,0),1,0)*Table_NFI[[#This Row],[Hygiene Kit]],Table_NFI[Hygiene Kit])</f>
        <v>0</v>
      </c>
      <c r="Z464" s="294">
        <f>IF(NFI_Expiration=1,IF($A464&lt;VLOOKUP(I$5,NFI,5,0),1,0)*Table_NFI[[#This Row],[NFI Core Kit]],Table_NFI[NFI Core Kit])</f>
        <v>0</v>
      </c>
      <c r="AA464" s="294">
        <f>IF(NFI_Expiration=1,IF($A464&lt;VLOOKUP(J$5,NFI,5,0),1,0)*Table_NFI[[#This Row],[Sanitary Kit]],Table_NFI[Sanitary Kit])</f>
        <v>0</v>
      </c>
      <c r="AB464" s="294">
        <f>IF(NFI_Expiration=1,IF($A464&lt;VLOOKUP(K$5,NFI,5,0),1,0)*Table_NFI[[#This Row],[Mosquito net]],Table_NFI[Mosquito net])</f>
        <v>0</v>
      </c>
      <c r="AC464" s="294">
        <f>IF(NFI_Expiration=1,IF($A464&lt;VLOOKUP(L$5,NFI,5,0),1,0)*Table_NFI[[#This Row],[Tarpaulin]],Table_NFI[[#This Row],[Tarpaulin]])</f>
        <v>0</v>
      </c>
      <c r="AD464" s="294">
        <f>IF(NFI_Expiration=1,IF($A464&lt;VLOOKUP(M$5,NFI,5,0),1,0)*Table_NFI[[#This Row],[Blanket]],Table_NFI[[#This Row],[Blanket]])</f>
        <v>0</v>
      </c>
      <c r="AE464" s="294">
        <f>IF(NFI_Expiration=1,IF($A464&lt;VLOOKUP(N$5,NFI,5,0),1,0)*Table_NFI[[#This Row],[Kitchen Set]],Table_NFI[Kitchen Set])</f>
        <v>0</v>
      </c>
      <c r="AF464" s="294">
        <f>IF(NFI_Expiration=1,IF($A464&lt;VLOOKUP(O$5,NFI,5,0),1,0)*Table_NFI[[#This Row],[Clothes Kit]],Table_NFI[Clothes Kit])</f>
        <v>0</v>
      </c>
      <c r="AG464" s="294">
        <f>IF(NFI_Expiration=1,IF($A464&lt;VLOOKUP(P$5,NFI,5,0),1,0)*Table_NFI[[#This Row],[Plastic Bucket]],Table_NFI[Plastic Bucket])</f>
        <v>0</v>
      </c>
      <c r="AH464" s="294">
        <f>IF(NFI_Expiration=1,IF($A464&lt;VLOOKUP(Q$5,NFI,5,0),1,0)*Table_NFI[[#This Row],[Plastic Mat]],Table_NFI[Plastic Mat])*IF(Table_NFI[[#This Row],[Distribution Date]]&gt;"2014-04-01",1,2.5)</f>
        <v>0</v>
      </c>
      <c r="AI464" s="294">
        <f>IF(NFI_Expiration=1,IF($A464&lt;VLOOKUP(R$5,NFI,5,0),1,0)*Table_NFI[[#This Row],[Winter Clothes Adult]],Table_NFI[Winter Clothes Adult])</f>
        <v>0</v>
      </c>
      <c r="AJ464" s="294">
        <f>IF(NFI_Expiration=1,IF($A464&lt;VLOOKUP(S$5,NFI,5,0),1,0)*Table_NFI[[#This Row],[Winter Clothes Children]],Table_NFI[Winter Clothes Children])</f>
        <v>0</v>
      </c>
      <c r="AK464" s="294">
        <f>IF(NFI_Expiration=1,IF($A464&lt;VLOOKUP(T$5,NFI,5,0),1,0)*Table_NFI[[#This Row],[Winter Items Other]],Table_NFI[Winter Items Other])</f>
        <v>0</v>
      </c>
      <c r="AL464" s="294">
        <f>IF(NFI_Expiration=1,IF($A464&lt;VLOOKUP(M$5,NFI,5,0),1,0)*Table_NFI[[#This Row],[Winter Blanket]],Table_NFI[[#This Row],[Winter Blanket]])</f>
        <v>0</v>
      </c>
      <c r="AM464" s="294">
        <f>IF(Table_NFI[[#This Row],[Winter Clothes Adult]]+Table_NFI[[#This Row],[Winter Clothes Children]]+Table_NFI[[#This Row],[Winter Items Other]]+Table_NFI[[#This Row],[Winter Blanket]]&gt;0,1,0)</f>
        <v>1</v>
      </c>
      <c r="AN464" s="331">
        <f>IF(NFI_Expiration=1,IF($A464&lt;VLOOKUP(V$5,NFI,5,0),1,0)*Table_NFI[[#This Row],[Jerry Can]],Table_NFI[Jerry Can])</f>
        <v>0</v>
      </c>
      <c r="AO464" s="331">
        <f>IF(NFI_Expiration=1,IF($A464&lt;VLOOKUP(V$5,NFI,5,0),1,0)*Table_NFI[[#This Row],[Shelter Tool kit]],Table_NFI[Shelter Tool kit])</f>
        <v>0</v>
      </c>
      <c r="AP464" s="331">
        <f>IF(NFI_Expiration=1,IF($A464&lt;VLOOKUP(V$5,NFI,5,0),1,0)*Table_NFI[[#This Row],[Tent]],Table_NFI[Tent])</f>
        <v>0</v>
      </c>
      <c r="AQ464" s="473" t="str">
        <f>IFERROR(VLOOKUP(Table_NFI[[#This Row],[Camp Name]],CL,2,0),"")</f>
        <v>MMR001CMP208</v>
      </c>
      <c r="AR464" s="468">
        <f ca="1">IF(Table_NFI[[#This Row],[Pcode]]="","",IF(OFFSET(CampList[Opening Date],MATCH(Table_NFI[[#This Row],[Pcode]],CampList[CP_Pcode],0)-1,0,1,1)&gt;=NFI_Monitor_Date,1,0))</f>
        <v>0</v>
      </c>
      <c r="AS464" s="473" t="str">
        <f>IFERROR(VLOOKUP(Table_NFI[[#This Row],[Camp Name]],CL,3,0),"")</f>
        <v>Open</v>
      </c>
      <c r="AT464" s="294" t="str">
        <f ca="1">IF(Table_NFI[[#This Row],[Pcode]]="","",OFFSET(CampList[Priority],MATCH(Table_NFI[[#This Row],[Pcode]],CampList[CP_Pcode],0)-1,0,1,1))</f>
        <v>P2</v>
      </c>
      <c r="AU464" s="293" t="str">
        <f>IFERROR(Table_NFI[[#This Row],[Kitchen Set]]/VLOOKUP(Table_NFI[[#This Row],[Camp Name]],CL,4,0),"")</f>
        <v/>
      </c>
      <c r="AV464" s="466"/>
      <c r="AW464" s="469"/>
    </row>
    <row r="465" spans="1:49" s="470" customFormat="1" ht="14.45" customHeight="1" x14ac:dyDescent="0.25">
      <c r="A465" s="297">
        <f t="shared" si="7"/>
        <v>34.799999999999997</v>
      </c>
      <c r="B465" s="465">
        <v>41631</v>
      </c>
      <c r="C465" s="466" t="s">
        <v>905</v>
      </c>
      <c r="D465" s="466" t="s">
        <v>460</v>
      </c>
      <c r="E465" s="466" t="s">
        <v>380</v>
      </c>
      <c r="F465" s="466" t="s">
        <v>310</v>
      </c>
      <c r="G465" s="466" t="s">
        <v>318</v>
      </c>
      <c r="H465" s="291"/>
      <c r="I465" s="291"/>
      <c r="J465" s="291"/>
      <c r="K465" s="291"/>
      <c r="L465" s="292"/>
      <c r="M465" s="292"/>
      <c r="N465" s="292"/>
      <c r="O465" s="292"/>
      <c r="P465" s="294"/>
      <c r="Q465" s="294"/>
      <c r="R465" s="294">
        <v>59</v>
      </c>
      <c r="S465" s="294">
        <v>196</v>
      </c>
      <c r="T465" s="294">
        <v>510</v>
      </c>
      <c r="U465" s="294">
        <v>255</v>
      </c>
      <c r="V465" s="431"/>
      <c r="W465" s="294"/>
      <c r="X465" s="294"/>
      <c r="Y465" s="294">
        <f>IF(NFI_Expiration=1,IF($A465&lt;VLOOKUP(H$5,NFI,5,0),1,0)*Table_NFI[[#This Row],[Hygiene Kit]],Table_NFI[Hygiene Kit])</f>
        <v>0</v>
      </c>
      <c r="Z465" s="294">
        <f>IF(NFI_Expiration=1,IF($A465&lt;VLOOKUP(I$5,NFI,5,0),1,0)*Table_NFI[[#This Row],[NFI Core Kit]],Table_NFI[NFI Core Kit])</f>
        <v>0</v>
      </c>
      <c r="AA465" s="294">
        <f>IF(NFI_Expiration=1,IF($A465&lt;VLOOKUP(J$5,NFI,5,0),1,0)*Table_NFI[[#This Row],[Sanitary Kit]],Table_NFI[Sanitary Kit])</f>
        <v>0</v>
      </c>
      <c r="AB465" s="294">
        <f>IF(NFI_Expiration=1,IF($A465&lt;VLOOKUP(K$5,NFI,5,0),1,0)*Table_NFI[[#This Row],[Mosquito net]],Table_NFI[Mosquito net])</f>
        <v>0</v>
      </c>
      <c r="AC465" s="294">
        <f>IF(NFI_Expiration=1,IF($A465&lt;VLOOKUP(L$5,NFI,5,0),1,0)*Table_NFI[[#This Row],[Tarpaulin]],Table_NFI[[#This Row],[Tarpaulin]])</f>
        <v>0</v>
      </c>
      <c r="AD465" s="294">
        <f>IF(NFI_Expiration=1,IF($A465&lt;VLOOKUP(M$5,NFI,5,0),1,0)*Table_NFI[[#This Row],[Blanket]],Table_NFI[[#This Row],[Blanket]])</f>
        <v>0</v>
      </c>
      <c r="AE465" s="294">
        <f>IF(NFI_Expiration=1,IF($A465&lt;VLOOKUP(N$5,NFI,5,0),1,0)*Table_NFI[[#This Row],[Kitchen Set]],Table_NFI[Kitchen Set])</f>
        <v>0</v>
      </c>
      <c r="AF465" s="294">
        <f>IF(NFI_Expiration=1,IF($A465&lt;VLOOKUP(O$5,NFI,5,0),1,0)*Table_NFI[[#This Row],[Clothes Kit]],Table_NFI[Clothes Kit])</f>
        <v>0</v>
      </c>
      <c r="AG465" s="294">
        <f>IF(NFI_Expiration=1,IF($A465&lt;VLOOKUP(P$5,NFI,5,0),1,0)*Table_NFI[[#This Row],[Plastic Bucket]],Table_NFI[Plastic Bucket])</f>
        <v>0</v>
      </c>
      <c r="AH465" s="294">
        <f>IF(NFI_Expiration=1,IF($A465&lt;VLOOKUP(Q$5,NFI,5,0),1,0)*Table_NFI[[#This Row],[Plastic Mat]],Table_NFI[Plastic Mat])*IF(Table_NFI[[#This Row],[Distribution Date]]&gt;"2014-04-01",1,2.5)</f>
        <v>0</v>
      </c>
      <c r="AI465" s="294">
        <f>IF(NFI_Expiration=1,IF($A465&lt;VLOOKUP(R$5,NFI,5,0),1,0)*Table_NFI[[#This Row],[Winter Clothes Adult]],Table_NFI[Winter Clothes Adult])</f>
        <v>0</v>
      </c>
      <c r="AJ465" s="294">
        <f>IF(NFI_Expiration=1,IF($A465&lt;VLOOKUP(S$5,NFI,5,0),1,0)*Table_NFI[[#This Row],[Winter Clothes Children]],Table_NFI[Winter Clothes Children])</f>
        <v>0</v>
      </c>
      <c r="AK465" s="294">
        <f>IF(NFI_Expiration=1,IF($A465&lt;VLOOKUP(T$5,NFI,5,0),1,0)*Table_NFI[[#This Row],[Winter Items Other]],Table_NFI[Winter Items Other])</f>
        <v>0</v>
      </c>
      <c r="AL465" s="294">
        <f>IF(NFI_Expiration=1,IF($A465&lt;VLOOKUP(M$5,NFI,5,0),1,0)*Table_NFI[[#This Row],[Winter Blanket]],Table_NFI[[#This Row],[Winter Blanket]])</f>
        <v>0</v>
      </c>
      <c r="AM465" s="294">
        <f>IF(Table_NFI[[#This Row],[Winter Clothes Adult]]+Table_NFI[[#This Row],[Winter Clothes Children]]+Table_NFI[[#This Row],[Winter Items Other]]+Table_NFI[[#This Row],[Winter Blanket]]&gt;0,1,0)</f>
        <v>1</v>
      </c>
      <c r="AN465" s="331">
        <f>IF(NFI_Expiration=1,IF($A465&lt;VLOOKUP(V$5,NFI,5,0),1,0)*Table_NFI[[#This Row],[Jerry Can]],Table_NFI[Jerry Can])</f>
        <v>0</v>
      </c>
      <c r="AO465" s="331">
        <f>IF(NFI_Expiration=1,IF($A465&lt;VLOOKUP(V$5,NFI,5,0),1,0)*Table_NFI[[#This Row],[Shelter Tool kit]],Table_NFI[Shelter Tool kit])</f>
        <v>0</v>
      </c>
      <c r="AP465" s="331">
        <f>IF(NFI_Expiration=1,IF($A465&lt;VLOOKUP(V$5,NFI,5,0),1,0)*Table_NFI[[#This Row],[Tent]],Table_NFI[Tent])</f>
        <v>0</v>
      </c>
      <c r="AQ465" s="473" t="str">
        <f>IFERROR(VLOOKUP(Table_NFI[[#This Row],[Camp Name]],CL,2,0),"")</f>
        <v>MMR001CMP032</v>
      </c>
      <c r="AR465" s="468">
        <f ca="1">IF(Table_NFI[[#This Row],[Pcode]]="","",IF(OFFSET(CampList[Opening Date],MATCH(Table_NFI[[#This Row],[Pcode]],CampList[CP_Pcode],0)-1,0,1,1)&gt;=NFI_Monitor_Date,1,0))</f>
        <v>0</v>
      </c>
      <c r="AS465" s="473" t="str">
        <f>IFERROR(VLOOKUP(Table_NFI[[#This Row],[Camp Name]],CL,3,0),"")</f>
        <v>Open</v>
      </c>
      <c r="AT465" s="294" t="str">
        <f ca="1">IF(Table_NFI[[#This Row],[Pcode]]="","",OFFSET(CampList[Priority],MATCH(Table_NFI[[#This Row],[Pcode]],CampList[CP_Pcode],0)-1,0,1,1))</f>
        <v>P4</v>
      </c>
      <c r="AU465" s="293">
        <f>IFERROR(Table_NFI[[#This Row],[Kitchen Set]]/VLOOKUP(Table_NFI[[#This Row],[Camp Name]],CL,4,0),"")</f>
        <v>0</v>
      </c>
      <c r="AV465" s="466"/>
      <c r="AW465" s="469"/>
    </row>
    <row r="466" spans="1:49" s="470" customFormat="1" x14ac:dyDescent="0.25">
      <c r="A466" s="297">
        <f t="shared" si="7"/>
        <v>34.866666666666667</v>
      </c>
      <c r="B466" s="465">
        <v>41629</v>
      </c>
      <c r="C466" s="466" t="s">
        <v>905</v>
      </c>
      <c r="D466" s="466" t="s">
        <v>460</v>
      </c>
      <c r="E466" s="466" t="s">
        <v>380</v>
      </c>
      <c r="F466" s="466" t="s">
        <v>310</v>
      </c>
      <c r="G466" s="466" t="s">
        <v>349</v>
      </c>
      <c r="H466" s="291"/>
      <c r="I466" s="291"/>
      <c r="J466" s="291"/>
      <c r="K466" s="291"/>
      <c r="L466" s="292"/>
      <c r="M466" s="292"/>
      <c r="N466" s="292"/>
      <c r="O466" s="292"/>
      <c r="P466" s="294"/>
      <c r="Q466" s="294"/>
      <c r="R466" s="294">
        <v>75</v>
      </c>
      <c r="S466" s="294">
        <v>139</v>
      </c>
      <c r="T466" s="294">
        <v>428</v>
      </c>
      <c r="U466" s="294">
        <v>214</v>
      </c>
      <c r="V466" s="431"/>
      <c r="W466" s="331"/>
      <c r="X466" s="331"/>
      <c r="Y466" s="294">
        <f>IF(NFI_Expiration=1,IF($A466&lt;VLOOKUP(H$5,NFI,5,0),1,0)*Table_NFI[[#This Row],[Hygiene Kit]],Table_NFI[Hygiene Kit])</f>
        <v>0</v>
      </c>
      <c r="Z466" s="294">
        <f>IF(NFI_Expiration=1,IF($A466&lt;VLOOKUP(I$5,NFI,5,0),1,0)*Table_NFI[[#This Row],[NFI Core Kit]],Table_NFI[NFI Core Kit])</f>
        <v>0</v>
      </c>
      <c r="AA466" s="294">
        <f>IF(NFI_Expiration=1,IF($A466&lt;VLOOKUP(J$5,NFI,5,0),1,0)*Table_NFI[[#This Row],[Sanitary Kit]],Table_NFI[Sanitary Kit])</f>
        <v>0</v>
      </c>
      <c r="AB466" s="294">
        <f>IF(NFI_Expiration=1,IF($A466&lt;VLOOKUP(K$5,NFI,5,0),1,0)*Table_NFI[[#This Row],[Mosquito net]],Table_NFI[Mosquito net])</f>
        <v>0</v>
      </c>
      <c r="AC466" s="294">
        <f>IF(NFI_Expiration=1,IF($A466&lt;VLOOKUP(L$5,NFI,5,0),1,0)*Table_NFI[[#This Row],[Tarpaulin]],Table_NFI[[#This Row],[Tarpaulin]])</f>
        <v>0</v>
      </c>
      <c r="AD466" s="294">
        <f>IF(NFI_Expiration=1,IF($A466&lt;VLOOKUP(M$5,NFI,5,0),1,0)*Table_NFI[[#This Row],[Blanket]],Table_NFI[[#This Row],[Blanket]])</f>
        <v>0</v>
      </c>
      <c r="AE466" s="294">
        <f>IF(NFI_Expiration=1,IF($A466&lt;VLOOKUP(N$5,NFI,5,0),1,0)*Table_NFI[[#This Row],[Kitchen Set]],Table_NFI[Kitchen Set])</f>
        <v>0</v>
      </c>
      <c r="AF466" s="294">
        <f>IF(NFI_Expiration=1,IF($A466&lt;VLOOKUP(O$5,NFI,5,0),1,0)*Table_NFI[[#This Row],[Clothes Kit]],Table_NFI[Clothes Kit])</f>
        <v>0</v>
      </c>
      <c r="AG466" s="294">
        <f>IF(NFI_Expiration=1,IF($A466&lt;VLOOKUP(P$5,NFI,5,0),1,0)*Table_NFI[[#This Row],[Plastic Bucket]],Table_NFI[Plastic Bucket])</f>
        <v>0</v>
      </c>
      <c r="AH466" s="294">
        <f>IF(NFI_Expiration=1,IF($A466&lt;VLOOKUP(Q$5,NFI,5,0),1,0)*Table_NFI[[#This Row],[Plastic Mat]],Table_NFI[Plastic Mat])*IF(Table_NFI[[#This Row],[Distribution Date]]&gt;"2014-04-01",1,2.5)</f>
        <v>0</v>
      </c>
      <c r="AI466" s="294">
        <f>IF(NFI_Expiration=1,IF($A466&lt;VLOOKUP(R$5,NFI,5,0),1,0)*Table_NFI[[#This Row],[Winter Clothes Adult]],Table_NFI[Winter Clothes Adult])</f>
        <v>0</v>
      </c>
      <c r="AJ466" s="294">
        <f>IF(NFI_Expiration=1,IF($A466&lt;VLOOKUP(S$5,NFI,5,0),1,0)*Table_NFI[[#This Row],[Winter Clothes Children]],Table_NFI[Winter Clothes Children])</f>
        <v>0</v>
      </c>
      <c r="AK466" s="294">
        <f>IF(NFI_Expiration=1,IF($A466&lt;VLOOKUP(T$5,NFI,5,0),1,0)*Table_NFI[[#This Row],[Winter Items Other]],Table_NFI[Winter Items Other])</f>
        <v>0</v>
      </c>
      <c r="AL466" s="294">
        <f>IF(NFI_Expiration=1,IF($A466&lt;VLOOKUP(M$5,NFI,5,0),1,0)*Table_NFI[[#This Row],[Winter Blanket]],Table_NFI[[#This Row],[Winter Blanket]])</f>
        <v>0</v>
      </c>
      <c r="AM466" s="294">
        <f>IF(Table_NFI[[#This Row],[Winter Clothes Adult]]+Table_NFI[[#This Row],[Winter Clothes Children]]+Table_NFI[[#This Row],[Winter Items Other]]+Table_NFI[[#This Row],[Winter Blanket]]&gt;0,1,0)</f>
        <v>1</v>
      </c>
      <c r="AN466" s="331">
        <f>IF(NFI_Expiration=1,IF($A466&lt;VLOOKUP(V$5,NFI,5,0),1,0)*Table_NFI[[#This Row],[Jerry Can]],Table_NFI[Jerry Can])</f>
        <v>0</v>
      </c>
      <c r="AO466" s="331">
        <f>IF(NFI_Expiration=1,IF($A466&lt;VLOOKUP(V$5,NFI,5,0),1,0)*Table_NFI[[#This Row],[Shelter Tool kit]],Table_NFI[Shelter Tool kit])</f>
        <v>0</v>
      </c>
      <c r="AP466" s="331">
        <f>IF(NFI_Expiration=1,IF($A466&lt;VLOOKUP(V$5,NFI,5,0),1,0)*Table_NFI[[#This Row],[Tent]],Table_NFI[Tent])</f>
        <v>0</v>
      </c>
      <c r="AQ466" s="473" t="str">
        <f>IFERROR(VLOOKUP(Table_NFI[[#This Row],[Camp Name]],CL,2,0),"")</f>
        <v>MMR001CMP037</v>
      </c>
      <c r="AR466" s="468">
        <f ca="1">IF(Table_NFI[[#This Row],[Pcode]]="","",IF(OFFSET(CampList[Opening Date],MATCH(Table_NFI[[#This Row],[Pcode]],CampList[CP_Pcode],0)-1,0,1,1)&gt;=NFI_Monitor_Date,1,0))</f>
        <v>0</v>
      </c>
      <c r="AS466" s="473" t="str">
        <f>IFERROR(VLOOKUP(Table_NFI[[#This Row],[Camp Name]],CL,3,0),"")</f>
        <v>Open</v>
      </c>
      <c r="AT466" s="294" t="str">
        <f ca="1">IF(Table_NFI[[#This Row],[Pcode]]="","",OFFSET(CampList[Priority],MATCH(Table_NFI[[#This Row],[Pcode]],CampList[CP_Pcode],0)-1,0,1,1))</f>
        <v>P4</v>
      </c>
      <c r="AU466" s="293">
        <f>IFERROR(Table_NFI[[#This Row],[Kitchen Set]]/VLOOKUP(Table_NFI[[#This Row],[Camp Name]],CL,4,0),"")</f>
        <v>0</v>
      </c>
      <c r="AV466" s="466"/>
      <c r="AW466" s="469"/>
    </row>
    <row r="467" spans="1:49" s="470" customFormat="1" ht="14.45" customHeight="1" x14ac:dyDescent="0.25">
      <c r="A467" s="297">
        <f t="shared" si="7"/>
        <v>34.9</v>
      </c>
      <c r="B467" s="465">
        <v>41628</v>
      </c>
      <c r="C467" s="466" t="s">
        <v>905</v>
      </c>
      <c r="D467" s="466" t="s">
        <v>460</v>
      </c>
      <c r="E467" s="466" t="s">
        <v>380</v>
      </c>
      <c r="F467" s="466" t="s">
        <v>310</v>
      </c>
      <c r="G467" s="466" t="s">
        <v>328</v>
      </c>
      <c r="H467" s="291"/>
      <c r="I467" s="291"/>
      <c r="J467" s="291"/>
      <c r="K467" s="291"/>
      <c r="L467" s="292"/>
      <c r="M467" s="292"/>
      <c r="N467" s="292"/>
      <c r="O467" s="292"/>
      <c r="P467" s="294"/>
      <c r="Q467" s="294"/>
      <c r="R467" s="294">
        <v>141</v>
      </c>
      <c r="S467" s="294">
        <v>265</v>
      </c>
      <c r="T467" s="294">
        <v>812</v>
      </c>
      <c r="U467" s="294">
        <v>406</v>
      </c>
      <c r="V467" s="431"/>
      <c r="W467" s="294"/>
      <c r="X467" s="294"/>
      <c r="Y467" s="294">
        <f>IF(NFI_Expiration=1,IF($A467&lt;VLOOKUP(H$5,NFI,5,0),1,0)*Table_NFI[[#This Row],[Hygiene Kit]],Table_NFI[Hygiene Kit])</f>
        <v>0</v>
      </c>
      <c r="Z467" s="294">
        <f>IF(NFI_Expiration=1,IF($A467&lt;VLOOKUP(I$5,NFI,5,0),1,0)*Table_NFI[[#This Row],[NFI Core Kit]],Table_NFI[NFI Core Kit])</f>
        <v>0</v>
      </c>
      <c r="AA467" s="294">
        <f>IF(NFI_Expiration=1,IF($A467&lt;VLOOKUP(J$5,NFI,5,0),1,0)*Table_NFI[[#This Row],[Sanitary Kit]],Table_NFI[Sanitary Kit])</f>
        <v>0</v>
      </c>
      <c r="AB467" s="294">
        <f>IF(NFI_Expiration=1,IF($A467&lt;VLOOKUP(K$5,NFI,5,0),1,0)*Table_NFI[[#This Row],[Mosquito net]],Table_NFI[Mosquito net])</f>
        <v>0</v>
      </c>
      <c r="AC467" s="294">
        <f>IF(NFI_Expiration=1,IF($A467&lt;VLOOKUP(L$5,NFI,5,0),1,0)*Table_NFI[[#This Row],[Tarpaulin]],Table_NFI[[#This Row],[Tarpaulin]])</f>
        <v>0</v>
      </c>
      <c r="AD467" s="294">
        <f>IF(NFI_Expiration=1,IF($A467&lt;VLOOKUP(M$5,NFI,5,0),1,0)*Table_NFI[[#This Row],[Blanket]],Table_NFI[[#This Row],[Blanket]])</f>
        <v>0</v>
      </c>
      <c r="AE467" s="294">
        <f>IF(NFI_Expiration=1,IF($A467&lt;VLOOKUP(N$5,NFI,5,0),1,0)*Table_NFI[[#This Row],[Kitchen Set]],Table_NFI[Kitchen Set])</f>
        <v>0</v>
      </c>
      <c r="AF467" s="294">
        <f>IF(NFI_Expiration=1,IF($A467&lt;VLOOKUP(O$5,NFI,5,0),1,0)*Table_NFI[[#This Row],[Clothes Kit]],Table_NFI[Clothes Kit])</f>
        <v>0</v>
      </c>
      <c r="AG467" s="294">
        <f>IF(NFI_Expiration=1,IF($A467&lt;VLOOKUP(P$5,NFI,5,0),1,0)*Table_NFI[[#This Row],[Plastic Bucket]],Table_NFI[Plastic Bucket])</f>
        <v>0</v>
      </c>
      <c r="AH467" s="294">
        <f>IF(NFI_Expiration=1,IF($A467&lt;VLOOKUP(Q$5,NFI,5,0),1,0)*Table_NFI[[#This Row],[Plastic Mat]],Table_NFI[Plastic Mat])*IF(Table_NFI[[#This Row],[Distribution Date]]&gt;"2014-04-01",1,2.5)</f>
        <v>0</v>
      </c>
      <c r="AI467" s="294">
        <f>IF(NFI_Expiration=1,IF($A467&lt;VLOOKUP(R$5,NFI,5,0),1,0)*Table_NFI[[#This Row],[Winter Clothes Adult]],Table_NFI[Winter Clothes Adult])</f>
        <v>0</v>
      </c>
      <c r="AJ467" s="294">
        <f>IF(NFI_Expiration=1,IF($A467&lt;VLOOKUP(S$5,NFI,5,0),1,0)*Table_NFI[[#This Row],[Winter Clothes Children]],Table_NFI[Winter Clothes Children])</f>
        <v>0</v>
      </c>
      <c r="AK467" s="294">
        <f>IF(NFI_Expiration=1,IF($A467&lt;VLOOKUP(T$5,NFI,5,0),1,0)*Table_NFI[[#This Row],[Winter Items Other]],Table_NFI[Winter Items Other])</f>
        <v>0</v>
      </c>
      <c r="AL467" s="294">
        <f>IF(NFI_Expiration=1,IF($A467&lt;VLOOKUP(M$5,NFI,5,0),1,0)*Table_NFI[[#This Row],[Winter Blanket]],Table_NFI[[#This Row],[Winter Blanket]])</f>
        <v>0</v>
      </c>
      <c r="AM467" s="294">
        <f>IF(Table_NFI[[#This Row],[Winter Clothes Adult]]+Table_NFI[[#This Row],[Winter Clothes Children]]+Table_NFI[[#This Row],[Winter Items Other]]+Table_NFI[[#This Row],[Winter Blanket]]&gt;0,1,0)</f>
        <v>1</v>
      </c>
      <c r="AN467" s="331">
        <f>IF(NFI_Expiration=1,IF($A467&lt;VLOOKUP(V$5,NFI,5,0),1,0)*Table_NFI[[#This Row],[Jerry Can]],Table_NFI[Jerry Can])</f>
        <v>0</v>
      </c>
      <c r="AO467" s="331">
        <f>IF(NFI_Expiration=1,IF($A467&lt;VLOOKUP(V$5,NFI,5,0),1,0)*Table_NFI[[#This Row],[Shelter Tool kit]],Table_NFI[Shelter Tool kit])</f>
        <v>0</v>
      </c>
      <c r="AP467" s="331">
        <f>IF(NFI_Expiration=1,IF($A467&lt;VLOOKUP(V$5,NFI,5,0),1,0)*Table_NFI[[#This Row],[Tent]],Table_NFI[Tent])</f>
        <v>0</v>
      </c>
      <c r="AQ467" s="473" t="str">
        <f>IFERROR(VLOOKUP(Table_NFI[[#This Row],[Camp Name]],CL,2,0),"")</f>
        <v>MMR001CMP031</v>
      </c>
      <c r="AR467" s="468">
        <f ca="1">IF(Table_NFI[[#This Row],[Pcode]]="","",IF(OFFSET(CampList[Opening Date],MATCH(Table_NFI[[#This Row],[Pcode]],CampList[CP_Pcode],0)-1,0,1,1)&gt;=NFI_Monitor_Date,1,0))</f>
        <v>0</v>
      </c>
      <c r="AS467" s="473" t="str">
        <f>IFERROR(VLOOKUP(Table_NFI[[#This Row],[Camp Name]],CL,3,0),"")</f>
        <v>Open</v>
      </c>
      <c r="AT467" s="294" t="str">
        <f ca="1">IF(Table_NFI[[#This Row],[Pcode]]="","",OFFSET(CampList[Priority],MATCH(Table_NFI[[#This Row],[Pcode]],CampList[CP_Pcode],0)-1,0,1,1))</f>
        <v>P4</v>
      </c>
      <c r="AU467" s="293">
        <f>IFERROR(Table_NFI[[#This Row],[Kitchen Set]]/VLOOKUP(Table_NFI[[#This Row],[Camp Name]],CL,4,0),"")</f>
        <v>0</v>
      </c>
      <c r="AV467" s="466"/>
      <c r="AW467" s="469"/>
    </row>
    <row r="468" spans="1:49" s="470" customFormat="1" ht="14.45" customHeight="1" x14ac:dyDescent="0.25">
      <c r="A468" s="297">
        <f t="shared" si="7"/>
        <v>34.9</v>
      </c>
      <c r="B468" s="465">
        <v>41628</v>
      </c>
      <c r="C468" s="466" t="s">
        <v>905</v>
      </c>
      <c r="D468" s="466" t="s">
        <v>460</v>
      </c>
      <c r="E468" s="466" t="s">
        <v>380</v>
      </c>
      <c r="F468" s="466" t="s">
        <v>310</v>
      </c>
      <c r="G468" s="466" t="s">
        <v>326</v>
      </c>
      <c r="H468" s="291"/>
      <c r="I468" s="291"/>
      <c r="J468" s="291"/>
      <c r="K468" s="291"/>
      <c r="L468" s="292"/>
      <c r="M468" s="292"/>
      <c r="N468" s="292"/>
      <c r="O468" s="292"/>
      <c r="P468" s="294"/>
      <c r="Q468" s="294"/>
      <c r="R468" s="294">
        <v>47</v>
      </c>
      <c r="S468" s="294">
        <v>85</v>
      </c>
      <c r="T468" s="294">
        <v>264</v>
      </c>
      <c r="U468" s="294">
        <v>132</v>
      </c>
      <c r="V468" s="431"/>
      <c r="W468" s="294"/>
      <c r="X468" s="294"/>
      <c r="Y468" s="294">
        <f>IF(NFI_Expiration=1,IF($A468&lt;VLOOKUP(H$5,NFI,5,0),1,0)*Table_NFI[[#This Row],[Hygiene Kit]],Table_NFI[Hygiene Kit])</f>
        <v>0</v>
      </c>
      <c r="Z468" s="294">
        <f>IF(NFI_Expiration=1,IF($A468&lt;VLOOKUP(I$5,NFI,5,0),1,0)*Table_NFI[[#This Row],[NFI Core Kit]],Table_NFI[NFI Core Kit])</f>
        <v>0</v>
      </c>
      <c r="AA468" s="294">
        <f>IF(NFI_Expiration=1,IF($A468&lt;VLOOKUP(J$5,NFI,5,0),1,0)*Table_NFI[[#This Row],[Sanitary Kit]],Table_NFI[Sanitary Kit])</f>
        <v>0</v>
      </c>
      <c r="AB468" s="294">
        <f>IF(NFI_Expiration=1,IF($A468&lt;VLOOKUP(K$5,NFI,5,0),1,0)*Table_NFI[[#This Row],[Mosquito net]],Table_NFI[Mosquito net])</f>
        <v>0</v>
      </c>
      <c r="AC468" s="294">
        <f>IF(NFI_Expiration=1,IF($A468&lt;VLOOKUP(L$5,NFI,5,0),1,0)*Table_NFI[[#This Row],[Tarpaulin]],Table_NFI[[#This Row],[Tarpaulin]])</f>
        <v>0</v>
      </c>
      <c r="AD468" s="294">
        <f>IF(NFI_Expiration=1,IF($A468&lt;VLOOKUP(M$5,NFI,5,0),1,0)*Table_NFI[[#This Row],[Blanket]],Table_NFI[[#This Row],[Blanket]])</f>
        <v>0</v>
      </c>
      <c r="AE468" s="294">
        <f>IF(NFI_Expiration=1,IF($A468&lt;VLOOKUP(N$5,NFI,5,0),1,0)*Table_NFI[[#This Row],[Kitchen Set]],Table_NFI[Kitchen Set])</f>
        <v>0</v>
      </c>
      <c r="AF468" s="294">
        <f>IF(NFI_Expiration=1,IF($A468&lt;VLOOKUP(O$5,NFI,5,0),1,0)*Table_NFI[[#This Row],[Clothes Kit]],Table_NFI[Clothes Kit])</f>
        <v>0</v>
      </c>
      <c r="AG468" s="294">
        <f>IF(NFI_Expiration=1,IF($A468&lt;VLOOKUP(P$5,NFI,5,0),1,0)*Table_NFI[[#This Row],[Plastic Bucket]],Table_NFI[Plastic Bucket])</f>
        <v>0</v>
      </c>
      <c r="AH468" s="294">
        <f>IF(NFI_Expiration=1,IF($A468&lt;VLOOKUP(Q$5,NFI,5,0),1,0)*Table_NFI[[#This Row],[Plastic Mat]],Table_NFI[Plastic Mat])*IF(Table_NFI[[#This Row],[Distribution Date]]&gt;"2014-04-01",1,2.5)</f>
        <v>0</v>
      </c>
      <c r="AI468" s="294">
        <f>IF(NFI_Expiration=1,IF($A468&lt;VLOOKUP(R$5,NFI,5,0),1,0)*Table_NFI[[#This Row],[Winter Clothes Adult]],Table_NFI[Winter Clothes Adult])</f>
        <v>0</v>
      </c>
      <c r="AJ468" s="294">
        <f>IF(NFI_Expiration=1,IF($A468&lt;VLOOKUP(S$5,NFI,5,0),1,0)*Table_NFI[[#This Row],[Winter Clothes Children]],Table_NFI[Winter Clothes Children])</f>
        <v>0</v>
      </c>
      <c r="AK468" s="294">
        <f>IF(NFI_Expiration=1,IF($A468&lt;VLOOKUP(T$5,NFI,5,0),1,0)*Table_NFI[[#This Row],[Winter Items Other]],Table_NFI[Winter Items Other])</f>
        <v>0</v>
      </c>
      <c r="AL468" s="294">
        <f>IF(NFI_Expiration=1,IF($A468&lt;VLOOKUP(M$5,NFI,5,0),1,0)*Table_NFI[[#This Row],[Winter Blanket]],Table_NFI[[#This Row],[Winter Blanket]])</f>
        <v>0</v>
      </c>
      <c r="AM468" s="294">
        <f>IF(Table_NFI[[#This Row],[Winter Clothes Adult]]+Table_NFI[[#This Row],[Winter Clothes Children]]+Table_NFI[[#This Row],[Winter Items Other]]+Table_NFI[[#This Row],[Winter Blanket]]&gt;0,1,0)</f>
        <v>1</v>
      </c>
      <c r="AN468" s="331">
        <f>IF(NFI_Expiration=1,IF($A468&lt;VLOOKUP(V$5,NFI,5,0),1,0)*Table_NFI[[#This Row],[Jerry Can]],Table_NFI[Jerry Can])</f>
        <v>0</v>
      </c>
      <c r="AO468" s="331">
        <f>IF(NFI_Expiration=1,IF($A468&lt;VLOOKUP(V$5,NFI,5,0),1,0)*Table_NFI[[#This Row],[Shelter Tool kit]],Table_NFI[Shelter Tool kit])</f>
        <v>0</v>
      </c>
      <c r="AP468" s="331">
        <f>IF(NFI_Expiration=1,IF($A468&lt;VLOOKUP(V$5,NFI,5,0),1,0)*Table_NFI[[#This Row],[Tent]],Table_NFI[Tent])</f>
        <v>0</v>
      </c>
      <c r="AQ468" s="473" t="str">
        <f>IFERROR(VLOOKUP(Table_NFI[[#This Row],[Camp Name]],CL,2,0),"")</f>
        <v>MMR001CMP039</v>
      </c>
      <c r="AR468" s="468">
        <f ca="1">IF(Table_NFI[[#This Row],[Pcode]]="","",IF(OFFSET(CampList[Opening Date],MATCH(Table_NFI[[#This Row],[Pcode]],CampList[CP_Pcode],0)-1,0,1,1)&gt;=NFI_Monitor_Date,1,0))</f>
        <v>0</v>
      </c>
      <c r="AS468" s="473" t="str">
        <f>IFERROR(VLOOKUP(Table_NFI[[#This Row],[Camp Name]],CL,3,0),"")</f>
        <v>Open</v>
      </c>
      <c r="AT468" s="294" t="str">
        <f ca="1">IF(Table_NFI[[#This Row],[Pcode]]="","",OFFSET(CampList[Priority],MATCH(Table_NFI[[#This Row],[Pcode]],CampList[CP_Pcode],0)-1,0,1,1))</f>
        <v>P4</v>
      </c>
      <c r="AU468" s="293">
        <f>IFERROR(Table_NFI[[#This Row],[Kitchen Set]]/VLOOKUP(Table_NFI[[#This Row],[Camp Name]],CL,4,0),"")</f>
        <v>0</v>
      </c>
      <c r="AV468" s="466"/>
      <c r="AW468" s="469"/>
    </row>
    <row r="469" spans="1:49" s="470" customFormat="1" ht="14.45" customHeight="1" x14ac:dyDescent="0.25">
      <c r="A469" s="297">
        <f t="shared" si="7"/>
        <v>34.9</v>
      </c>
      <c r="B469" s="465">
        <v>41628</v>
      </c>
      <c r="C469" s="466" t="s">
        <v>905</v>
      </c>
      <c r="D469" s="466" t="s">
        <v>460</v>
      </c>
      <c r="E469" s="466" t="s">
        <v>380</v>
      </c>
      <c r="F469" s="466" t="s">
        <v>310</v>
      </c>
      <c r="G469" s="466" t="s">
        <v>351</v>
      </c>
      <c r="H469" s="291"/>
      <c r="I469" s="291"/>
      <c r="J469" s="291"/>
      <c r="K469" s="291"/>
      <c r="L469" s="292"/>
      <c r="M469" s="292"/>
      <c r="N469" s="292"/>
      <c r="O469" s="292"/>
      <c r="P469" s="294"/>
      <c r="Q469" s="294"/>
      <c r="R469" s="294">
        <v>102</v>
      </c>
      <c r="S469" s="294">
        <v>188</v>
      </c>
      <c r="T469" s="294">
        <v>580</v>
      </c>
      <c r="U469" s="294">
        <v>290</v>
      </c>
      <c r="V469" s="431"/>
      <c r="W469" s="294"/>
      <c r="X469" s="294"/>
      <c r="Y469" s="294">
        <f>IF(NFI_Expiration=1,IF($A469&lt;VLOOKUP(H$5,NFI,5,0),1,0)*Table_NFI[[#This Row],[Hygiene Kit]],Table_NFI[Hygiene Kit])</f>
        <v>0</v>
      </c>
      <c r="Z469" s="294">
        <f>IF(NFI_Expiration=1,IF($A469&lt;VLOOKUP(I$5,NFI,5,0),1,0)*Table_NFI[[#This Row],[NFI Core Kit]],Table_NFI[NFI Core Kit])</f>
        <v>0</v>
      </c>
      <c r="AA469" s="294">
        <f>IF(NFI_Expiration=1,IF($A469&lt;VLOOKUP(J$5,NFI,5,0),1,0)*Table_NFI[[#This Row],[Sanitary Kit]],Table_NFI[Sanitary Kit])</f>
        <v>0</v>
      </c>
      <c r="AB469" s="294">
        <f>IF(NFI_Expiration=1,IF($A469&lt;VLOOKUP(K$5,NFI,5,0),1,0)*Table_NFI[[#This Row],[Mosquito net]],Table_NFI[Mosquito net])</f>
        <v>0</v>
      </c>
      <c r="AC469" s="294">
        <f>IF(NFI_Expiration=1,IF($A469&lt;VLOOKUP(L$5,NFI,5,0),1,0)*Table_NFI[[#This Row],[Tarpaulin]],Table_NFI[[#This Row],[Tarpaulin]])</f>
        <v>0</v>
      </c>
      <c r="AD469" s="294">
        <f>IF(NFI_Expiration=1,IF($A469&lt;VLOOKUP(M$5,NFI,5,0),1,0)*Table_NFI[[#This Row],[Blanket]],Table_NFI[[#This Row],[Blanket]])</f>
        <v>0</v>
      </c>
      <c r="AE469" s="294">
        <f>IF(NFI_Expiration=1,IF($A469&lt;VLOOKUP(N$5,NFI,5,0),1,0)*Table_NFI[[#This Row],[Kitchen Set]],Table_NFI[Kitchen Set])</f>
        <v>0</v>
      </c>
      <c r="AF469" s="294">
        <f>IF(NFI_Expiration=1,IF($A469&lt;VLOOKUP(O$5,NFI,5,0),1,0)*Table_NFI[[#This Row],[Clothes Kit]],Table_NFI[Clothes Kit])</f>
        <v>0</v>
      </c>
      <c r="AG469" s="294">
        <f>IF(NFI_Expiration=1,IF($A469&lt;VLOOKUP(P$5,NFI,5,0),1,0)*Table_NFI[[#This Row],[Plastic Bucket]],Table_NFI[Plastic Bucket])</f>
        <v>0</v>
      </c>
      <c r="AH469" s="294">
        <f>IF(NFI_Expiration=1,IF($A469&lt;VLOOKUP(Q$5,NFI,5,0),1,0)*Table_NFI[[#This Row],[Plastic Mat]],Table_NFI[Plastic Mat])*IF(Table_NFI[[#This Row],[Distribution Date]]&gt;"2014-04-01",1,2.5)</f>
        <v>0</v>
      </c>
      <c r="AI469" s="294">
        <f>IF(NFI_Expiration=1,IF($A469&lt;VLOOKUP(R$5,NFI,5,0),1,0)*Table_NFI[[#This Row],[Winter Clothes Adult]],Table_NFI[Winter Clothes Adult])</f>
        <v>0</v>
      </c>
      <c r="AJ469" s="294">
        <f>IF(NFI_Expiration=1,IF($A469&lt;VLOOKUP(S$5,NFI,5,0),1,0)*Table_NFI[[#This Row],[Winter Clothes Children]],Table_NFI[Winter Clothes Children])</f>
        <v>0</v>
      </c>
      <c r="AK469" s="294">
        <f>IF(NFI_Expiration=1,IF($A469&lt;VLOOKUP(T$5,NFI,5,0),1,0)*Table_NFI[[#This Row],[Winter Items Other]],Table_NFI[Winter Items Other])</f>
        <v>0</v>
      </c>
      <c r="AL469" s="294">
        <f>IF(NFI_Expiration=1,IF($A469&lt;VLOOKUP(M$5,NFI,5,0),1,0)*Table_NFI[[#This Row],[Winter Blanket]],Table_NFI[[#This Row],[Winter Blanket]])</f>
        <v>0</v>
      </c>
      <c r="AM469" s="294">
        <f>IF(Table_NFI[[#This Row],[Winter Clothes Adult]]+Table_NFI[[#This Row],[Winter Clothes Children]]+Table_NFI[[#This Row],[Winter Items Other]]+Table_NFI[[#This Row],[Winter Blanket]]&gt;0,1,0)</f>
        <v>1</v>
      </c>
      <c r="AN469" s="331">
        <f>IF(NFI_Expiration=1,IF($A469&lt;VLOOKUP(V$5,NFI,5,0),1,0)*Table_NFI[[#This Row],[Jerry Can]],Table_NFI[Jerry Can])</f>
        <v>0</v>
      </c>
      <c r="AO469" s="331">
        <f>IF(NFI_Expiration=1,IF($A469&lt;VLOOKUP(V$5,NFI,5,0),1,0)*Table_NFI[[#This Row],[Shelter Tool kit]],Table_NFI[Shelter Tool kit])</f>
        <v>0</v>
      </c>
      <c r="AP469" s="331">
        <f>IF(NFI_Expiration=1,IF($A469&lt;VLOOKUP(V$5,NFI,5,0),1,0)*Table_NFI[[#This Row],[Tent]],Table_NFI[Tent])</f>
        <v>0</v>
      </c>
      <c r="AQ469" s="473" t="str">
        <f>IFERROR(VLOOKUP(Table_NFI[[#This Row],[Camp Name]],CL,2,0),"")</f>
        <v>MMR001CMP026</v>
      </c>
      <c r="AR469" s="468">
        <f ca="1">IF(Table_NFI[[#This Row],[Pcode]]="","",IF(OFFSET(CampList[Opening Date],MATCH(Table_NFI[[#This Row],[Pcode]],CampList[CP_Pcode],0)-1,0,1,1)&gt;=NFI_Monitor_Date,1,0))</f>
        <v>0</v>
      </c>
      <c r="AS469" s="473" t="str">
        <f>IFERROR(VLOOKUP(Table_NFI[[#This Row],[Camp Name]],CL,3,0),"")</f>
        <v>Open</v>
      </c>
      <c r="AT469" s="294" t="str">
        <f ca="1">IF(Table_NFI[[#This Row],[Pcode]]="","",OFFSET(CampList[Priority],MATCH(Table_NFI[[#This Row],[Pcode]],CampList[CP_Pcode],0)-1,0,1,1))</f>
        <v>P4</v>
      </c>
      <c r="AU469" s="293">
        <f>IFERROR(Table_NFI[[#This Row],[Kitchen Set]]/VLOOKUP(Table_NFI[[#This Row],[Camp Name]],CL,4,0),"")</f>
        <v>0</v>
      </c>
      <c r="AV469" s="466"/>
      <c r="AW469" s="469"/>
    </row>
    <row r="470" spans="1:49" s="470" customFormat="1" ht="14.45" customHeight="1" x14ac:dyDescent="0.25">
      <c r="A470" s="297">
        <f t="shared" si="7"/>
        <v>34.93333333333333</v>
      </c>
      <c r="B470" s="465">
        <v>41627</v>
      </c>
      <c r="C470" s="466" t="s">
        <v>905</v>
      </c>
      <c r="D470" s="466" t="s">
        <v>460</v>
      </c>
      <c r="E470" s="466" t="s">
        <v>380</v>
      </c>
      <c r="F470" s="466" t="s">
        <v>310</v>
      </c>
      <c r="G470" s="466" t="s">
        <v>324</v>
      </c>
      <c r="H470" s="291"/>
      <c r="I470" s="291"/>
      <c r="J470" s="291"/>
      <c r="K470" s="291"/>
      <c r="L470" s="292"/>
      <c r="M470" s="292"/>
      <c r="N470" s="292"/>
      <c r="O470" s="292"/>
      <c r="P470" s="294"/>
      <c r="Q470" s="294"/>
      <c r="R470" s="294">
        <v>414</v>
      </c>
      <c r="S470" s="294">
        <v>764</v>
      </c>
      <c r="T470" s="294">
        <v>2356</v>
      </c>
      <c r="U470" s="294">
        <v>1178</v>
      </c>
      <c r="V470" s="431"/>
      <c r="W470" s="294"/>
      <c r="X470" s="294"/>
      <c r="Y470" s="294">
        <f>IF(NFI_Expiration=1,IF($A470&lt;VLOOKUP(H$5,NFI,5,0),1,0)*Table_NFI[[#This Row],[Hygiene Kit]],Table_NFI[Hygiene Kit])</f>
        <v>0</v>
      </c>
      <c r="Z470" s="294">
        <f>IF(NFI_Expiration=1,IF($A470&lt;VLOOKUP(I$5,NFI,5,0),1,0)*Table_NFI[[#This Row],[NFI Core Kit]],Table_NFI[NFI Core Kit])</f>
        <v>0</v>
      </c>
      <c r="AA470" s="294">
        <f>IF(NFI_Expiration=1,IF($A470&lt;VLOOKUP(J$5,NFI,5,0),1,0)*Table_NFI[[#This Row],[Sanitary Kit]],Table_NFI[Sanitary Kit])</f>
        <v>0</v>
      </c>
      <c r="AB470" s="294">
        <f>IF(NFI_Expiration=1,IF($A470&lt;VLOOKUP(K$5,NFI,5,0),1,0)*Table_NFI[[#This Row],[Mosquito net]],Table_NFI[Mosquito net])</f>
        <v>0</v>
      </c>
      <c r="AC470" s="294">
        <f>IF(NFI_Expiration=1,IF($A470&lt;VLOOKUP(L$5,NFI,5,0),1,0)*Table_NFI[[#This Row],[Tarpaulin]],Table_NFI[[#This Row],[Tarpaulin]])</f>
        <v>0</v>
      </c>
      <c r="AD470" s="294">
        <f>IF(NFI_Expiration=1,IF($A470&lt;VLOOKUP(M$5,NFI,5,0),1,0)*Table_NFI[[#This Row],[Blanket]],Table_NFI[[#This Row],[Blanket]])</f>
        <v>0</v>
      </c>
      <c r="AE470" s="294">
        <f>IF(NFI_Expiration=1,IF($A470&lt;VLOOKUP(N$5,NFI,5,0),1,0)*Table_NFI[[#This Row],[Kitchen Set]],Table_NFI[Kitchen Set])</f>
        <v>0</v>
      </c>
      <c r="AF470" s="294">
        <f>IF(NFI_Expiration=1,IF($A470&lt;VLOOKUP(O$5,NFI,5,0),1,0)*Table_NFI[[#This Row],[Clothes Kit]],Table_NFI[Clothes Kit])</f>
        <v>0</v>
      </c>
      <c r="AG470" s="294">
        <f>IF(NFI_Expiration=1,IF($A470&lt;VLOOKUP(P$5,NFI,5,0),1,0)*Table_NFI[[#This Row],[Plastic Bucket]],Table_NFI[Plastic Bucket])</f>
        <v>0</v>
      </c>
      <c r="AH470" s="294">
        <f>IF(NFI_Expiration=1,IF($A470&lt;VLOOKUP(Q$5,NFI,5,0),1,0)*Table_NFI[[#This Row],[Plastic Mat]],Table_NFI[Plastic Mat])*IF(Table_NFI[[#This Row],[Distribution Date]]&gt;"2014-04-01",1,2.5)</f>
        <v>0</v>
      </c>
      <c r="AI470" s="294">
        <f>IF(NFI_Expiration=1,IF($A470&lt;VLOOKUP(R$5,NFI,5,0),1,0)*Table_NFI[[#This Row],[Winter Clothes Adult]],Table_NFI[Winter Clothes Adult])</f>
        <v>0</v>
      </c>
      <c r="AJ470" s="294">
        <f>IF(NFI_Expiration=1,IF($A470&lt;VLOOKUP(S$5,NFI,5,0),1,0)*Table_NFI[[#This Row],[Winter Clothes Children]],Table_NFI[Winter Clothes Children])</f>
        <v>0</v>
      </c>
      <c r="AK470" s="294">
        <f>IF(NFI_Expiration=1,IF($A470&lt;VLOOKUP(T$5,NFI,5,0),1,0)*Table_NFI[[#This Row],[Winter Items Other]],Table_NFI[Winter Items Other])</f>
        <v>0</v>
      </c>
      <c r="AL470" s="294">
        <f>IF(NFI_Expiration=1,IF($A470&lt;VLOOKUP(M$5,NFI,5,0),1,0)*Table_NFI[[#This Row],[Winter Blanket]],Table_NFI[[#This Row],[Winter Blanket]])</f>
        <v>0</v>
      </c>
      <c r="AM470" s="294">
        <f>IF(Table_NFI[[#This Row],[Winter Clothes Adult]]+Table_NFI[[#This Row],[Winter Clothes Children]]+Table_NFI[[#This Row],[Winter Items Other]]+Table_NFI[[#This Row],[Winter Blanket]]&gt;0,1,0)</f>
        <v>1</v>
      </c>
      <c r="AN470" s="331">
        <f>IF(NFI_Expiration=1,IF($A470&lt;VLOOKUP(V$5,NFI,5,0),1,0)*Table_NFI[[#This Row],[Jerry Can]],Table_NFI[Jerry Can])</f>
        <v>0</v>
      </c>
      <c r="AO470" s="331">
        <f>IF(NFI_Expiration=1,IF($A470&lt;VLOOKUP(V$5,NFI,5,0),1,0)*Table_NFI[[#This Row],[Shelter Tool kit]],Table_NFI[Shelter Tool kit])</f>
        <v>0</v>
      </c>
      <c r="AP470" s="331">
        <f>IF(NFI_Expiration=1,IF($A470&lt;VLOOKUP(V$5,NFI,5,0),1,0)*Table_NFI[[#This Row],[Tent]],Table_NFI[Tent])</f>
        <v>0</v>
      </c>
      <c r="AQ470" s="473" t="str">
        <f>IFERROR(VLOOKUP(Table_NFI[[#This Row],[Camp Name]],CL,2,0),"")</f>
        <v>MMR001CMP040</v>
      </c>
      <c r="AR470" s="468">
        <f ca="1">IF(Table_NFI[[#This Row],[Pcode]]="","",IF(OFFSET(CampList[Opening Date],MATCH(Table_NFI[[#This Row],[Pcode]],CampList[CP_Pcode],0)-1,0,1,1)&gt;=NFI_Monitor_Date,1,0))</f>
        <v>0</v>
      </c>
      <c r="AS470" s="473" t="str">
        <f>IFERROR(VLOOKUP(Table_NFI[[#This Row],[Camp Name]],CL,3,0),"")</f>
        <v>Open</v>
      </c>
      <c r="AT470" s="294" t="str">
        <f ca="1">IF(Table_NFI[[#This Row],[Pcode]]="","",OFFSET(CampList[Priority],MATCH(Table_NFI[[#This Row],[Pcode]],CampList[CP_Pcode],0)-1,0,1,1))</f>
        <v>P4</v>
      </c>
      <c r="AU470" s="293">
        <f>IFERROR(Table_NFI[[#This Row],[Kitchen Set]]/VLOOKUP(Table_NFI[[#This Row],[Camp Name]],CL,4,0),"")</f>
        <v>0</v>
      </c>
      <c r="AV470" s="466"/>
      <c r="AW470" s="469"/>
    </row>
    <row r="471" spans="1:49" s="470" customFormat="1" ht="14.45" customHeight="1" x14ac:dyDescent="0.25">
      <c r="A471" s="297">
        <f t="shared" si="7"/>
        <v>34.966666666666669</v>
      </c>
      <c r="B471" s="465">
        <v>41626</v>
      </c>
      <c r="C471" s="466" t="s">
        <v>905</v>
      </c>
      <c r="D471" s="466" t="s">
        <v>460</v>
      </c>
      <c r="E471" s="466" t="s">
        <v>380</v>
      </c>
      <c r="F471" s="466" t="s">
        <v>310</v>
      </c>
      <c r="G471" s="466" t="s">
        <v>313</v>
      </c>
      <c r="H471" s="291"/>
      <c r="I471" s="291"/>
      <c r="J471" s="291"/>
      <c r="K471" s="291"/>
      <c r="L471" s="292"/>
      <c r="M471" s="292"/>
      <c r="N471" s="292"/>
      <c r="O471" s="292"/>
      <c r="P471" s="294"/>
      <c r="Q471" s="294"/>
      <c r="R471" s="294">
        <v>134</v>
      </c>
      <c r="S471" s="294">
        <v>238</v>
      </c>
      <c r="T471" s="294">
        <v>744</v>
      </c>
      <c r="U471" s="294">
        <v>372</v>
      </c>
      <c r="V471" s="431"/>
      <c r="W471" s="294"/>
      <c r="X471" s="294"/>
      <c r="Y471" s="294">
        <f>IF(NFI_Expiration=1,IF($A471&lt;VLOOKUP(H$5,NFI,5,0),1,0)*Table_NFI[[#This Row],[Hygiene Kit]],Table_NFI[Hygiene Kit])</f>
        <v>0</v>
      </c>
      <c r="Z471" s="294">
        <f>IF(NFI_Expiration=1,IF($A471&lt;VLOOKUP(I$5,NFI,5,0),1,0)*Table_NFI[[#This Row],[NFI Core Kit]],Table_NFI[NFI Core Kit])</f>
        <v>0</v>
      </c>
      <c r="AA471" s="294">
        <f>IF(NFI_Expiration=1,IF($A471&lt;VLOOKUP(J$5,NFI,5,0),1,0)*Table_NFI[[#This Row],[Sanitary Kit]],Table_NFI[Sanitary Kit])</f>
        <v>0</v>
      </c>
      <c r="AB471" s="294">
        <f>IF(NFI_Expiration=1,IF($A471&lt;VLOOKUP(K$5,NFI,5,0),1,0)*Table_NFI[[#This Row],[Mosquito net]],Table_NFI[Mosquito net])</f>
        <v>0</v>
      </c>
      <c r="AC471" s="294">
        <f>IF(NFI_Expiration=1,IF($A471&lt;VLOOKUP(L$5,NFI,5,0),1,0)*Table_NFI[[#This Row],[Tarpaulin]],Table_NFI[[#This Row],[Tarpaulin]])</f>
        <v>0</v>
      </c>
      <c r="AD471" s="294">
        <f>IF(NFI_Expiration=1,IF($A471&lt;VLOOKUP(M$5,NFI,5,0),1,0)*Table_NFI[[#This Row],[Blanket]],Table_NFI[[#This Row],[Blanket]])</f>
        <v>0</v>
      </c>
      <c r="AE471" s="294">
        <f>IF(NFI_Expiration=1,IF($A471&lt;VLOOKUP(N$5,NFI,5,0),1,0)*Table_NFI[[#This Row],[Kitchen Set]],Table_NFI[Kitchen Set])</f>
        <v>0</v>
      </c>
      <c r="AF471" s="294">
        <f>IF(NFI_Expiration=1,IF($A471&lt;VLOOKUP(O$5,NFI,5,0),1,0)*Table_NFI[[#This Row],[Clothes Kit]],Table_NFI[Clothes Kit])</f>
        <v>0</v>
      </c>
      <c r="AG471" s="294">
        <f>IF(NFI_Expiration=1,IF($A471&lt;VLOOKUP(P$5,NFI,5,0),1,0)*Table_NFI[[#This Row],[Plastic Bucket]],Table_NFI[Plastic Bucket])</f>
        <v>0</v>
      </c>
      <c r="AH471" s="294">
        <f>IF(NFI_Expiration=1,IF($A471&lt;VLOOKUP(Q$5,NFI,5,0),1,0)*Table_NFI[[#This Row],[Plastic Mat]],Table_NFI[Plastic Mat])*IF(Table_NFI[[#This Row],[Distribution Date]]&gt;"2014-04-01",1,2.5)</f>
        <v>0</v>
      </c>
      <c r="AI471" s="294">
        <f>IF(NFI_Expiration=1,IF($A471&lt;VLOOKUP(R$5,NFI,5,0),1,0)*Table_NFI[[#This Row],[Winter Clothes Adult]],Table_NFI[Winter Clothes Adult])</f>
        <v>0</v>
      </c>
      <c r="AJ471" s="294">
        <f>IF(NFI_Expiration=1,IF($A471&lt;VLOOKUP(S$5,NFI,5,0),1,0)*Table_NFI[[#This Row],[Winter Clothes Children]],Table_NFI[Winter Clothes Children])</f>
        <v>0</v>
      </c>
      <c r="AK471" s="294">
        <f>IF(NFI_Expiration=1,IF($A471&lt;VLOOKUP(T$5,NFI,5,0),1,0)*Table_NFI[[#This Row],[Winter Items Other]],Table_NFI[Winter Items Other])</f>
        <v>0</v>
      </c>
      <c r="AL471" s="294">
        <f>IF(NFI_Expiration=1,IF($A471&lt;VLOOKUP(M$5,NFI,5,0),1,0)*Table_NFI[[#This Row],[Winter Blanket]],Table_NFI[[#This Row],[Winter Blanket]])</f>
        <v>0</v>
      </c>
      <c r="AM471" s="294">
        <f>IF(Table_NFI[[#This Row],[Winter Clothes Adult]]+Table_NFI[[#This Row],[Winter Clothes Children]]+Table_NFI[[#This Row],[Winter Items Other]]+Table_NFI[[#This Row],[Winter Blanket]]&gt;0,1,0)</f>
        <v>1</v>
      </c>
      <c r="AN471" s="331">
        <f>IF(NFI_Expiration=1,IF($A471&lt;VLOOKUP(V$5,NFI,5,0),1,0)*Table_NFI[[#This Row],[Jerry Can]],Table_NFI[Jerry Can])</f>
        <v>0</v>
      </c>
      <c r="AO471" s="331">
        <f>IF(NFI_Expiration=1,IF($A471&lt;VLOOKUP(V$5,NFI,5,0),1,0)*Table_NFI[[#This Row],[Shelter Tool kit]],Table_NFI[Shelter Tool kit])</f>
        <v>0</v>
      </c>
      <c r="AP471" s="331">
        <f>IF(NFI_Expiration=1,IF($A471&lt;VLOOKUP(V$5,NFI,5,0),1,0)*Table_NFI[[#This Row],[Tent]],Table_NFI[Tent])</f>
        <v>0</v>
      </c>
      <c r="AQ471" s="473" t="str">
        <f>IFERROR(VLOOKUP(Table_NFI[[#This Row],[Camp Name]],CL,2,0),"")</f>
        <v>MMR001CMP028</v>
      </c>
      <c r="AR471" s="468">
        <f ca="1">IF(Table_NFI[[#This Row],[Pcode]]="","",IF(OFFSET(CampList[Opening Date],MATCH(Table_NFI[[#This Row],[Pcode]],CampList[CP_Pcode],0)-1,0,1,1)&gt;=NFI_Monitor_Date,1,0))</f>
        <v>0</v>
      </c>
      <c r="AS471" s="473" t="str">
        <f>IFERROR(VLOOKUP(Table_NFI[[#This Row],[Camp Name]],CL,3,0),"")</f>
        <v>Open</v>
      </c>
      <c r="AT471" s="294" t="str">
        <f ca="1">IF(Table_NFI[[#This Row],[Pcode]]="","",OFFSET(CampList[Priority],MATCH(Table_NFI[[#This Row],[Pcode]],CampList[CP_Pcode],0)-1,0,1,1))</f>
        <v>P4</v>
      </c>
      <c r="AU471" s="293">
        <f>IFERROR(Table_NFI[[#This Row],[Kitchen Set]]/VLOOKUP(Table_NFI[[#This Row],[Camp Name]],CL,4,0),"")</f>
        <v>0</v>
      </c>
      <c r="AV471" s="466"/>
      <c r="AW471" s="469"/>
    </row>
    <row r="472" spans="1:49" s="470" customFormat="1" ht="14.45" customHeight="1" x14ac:dyDescent="0.25">
      <c r="A472" s="297">
        <f t="shared" si="7"/>
        <v>34.966666666666669</v>
      </c>
      <c r="B472" s="465">
        <v>41626</v>
      </c>
      <c r="C472" s="466" t="s">
        <v>452</v>
      </c>
      <c r="D472" s="467" t="s">
        <v>452</v>
      </c>
      <c r="E472" s="466" t="s">
        <v>380</v>
      </c>
      <c r="F472" s="290" t="s">
        <v>5</v>
      </c>
      <c r="G472" s="290" t="s">
        <v>12</v>
      </c>
      <c r="H472" s="291"/>
      <c r="I472" s="291"/>
      <c r="J472" s="291"/>
      <c r="K472" s="291"/>
      <c r="L472" s="292">
        <v>4</v>
      </c>
      <c r="M472" s="292"/>
      <c r="N472" s="292"/>
      <c r="O472" s="292"/>
      <c r="P472" s="294"/>
      <c r="Q472" s="294"/>
      <c r="R472" s="294"/>
      <c r="S472" s="294"/>
      <c r="T472" s="294"/>
      <c r="U472" s="294"/>
      <c r="V472" s="431"/>
      <c r="W472" s="294"/>
      <c r="X472" s="294"/>
      <c r="Y472" s="294">
        <f>IF(NFI_Expiration=1,IF($A472&lt;VLOOKUP(H$5,NFI,5,0),1,0)*Table_NFI[[#This Row],[Hygiene Kit]],Table_NFI[Hygiene Kit])</f>
        <v>0</v>
      </c>
      <c r="Z472" s="294">
        <f>IF(NFI_Expiration=1,IF($A472&lt;VLOOKUP(I$5,NFI,5,0),1,0)*Table_NFI[[#This Row],[NFI Core Kit]],Table_NFI[NFI Core Kit])</f>
        <v>0</v>
      </c>
      <c r="AA472" s="294">
        <f>IF(NFI_Expiration=1,IF($A472&lt;VLOOKUP(J$5,NFI,5,0),1,0)*Table_NFI[[#This Row],[Sanitary Kit]],Table_NFI[Sanitary Kit])</f>
        <v>0</v>
      </c>
      <c r="AB472" s="294">
        <f>IF(NFI_Expiration=1,IF($A472&lt;VLOOKUP(K$5,NFI,5,0),1,0)*Table_NFI[[#This Row],[Mosquito net]],Table_NFI[Mosquito net])</f>
        <v>0</v>
      </c>
      <c r="AC472" s="294">
        <f>IF(NFI_Expiration=1,IF($A472&lt;VLOOKUP(L$5,NFI,5,0),1,0)*Table_NFI[[#This Row],[Tarpaulin]],Table_NFI[[#This Row],[Tarpaulin]])</f>
        <v>0</v>
      </c>
      <c r="AD472" s="294">
        <f>IF(NFI_Expiration=1,IF($A472&lt;VLOOKUP(M$5,NFI,5,0),1,0)*Table_NFI[[#This Row],[Blanket]],Table_NFI[[#This Row],[Blanket]])</f>
        <v>0</v>
      </c>
      <c r="AE472" s="294">
        <f>IF(NFI_Expiration=1,IF($A472&lt;VLOOKUP(N$5,NFI,5,0),1,0)*Table_NFI[[#This Row],[Kitchen Set]],Table_NFI[Kitchen Set])</f>
        <v>0</v>
      </c>
      <c r="AF472" s="294">
        <f>IF(NFI_Expiration=1,IF($A472&lt;VLOOKUP(O$5,NFI,5,0),1,0)*Table_NFI[[#This Row],[Clothes Kit]],Table_NFI[Clothes Kit])</f>
        <v>0</v>
      </c>
      <c r="AG472" s="294">
        <f>IF(NFI_Expiration=1,IF($A472&lt;VLOOKUP(P$5,NFI,5,0),1,0)*Table_NFI[[#This Row],[Plastic Bucket]],Table_NFI[Plastic Bucket])</f>
        <v>0</v>
      </c>
      <c r="AH472" s="294">
        <f>IF(NFI_Expiration=1,IF($A472&lt;VLOOKUP(Q$5,NFI,5,0),1,0)*Table_NFI[[#This Row],[Plastic Mat]],Table_NFI[Plastic Mat])*IF(Table_NFI[[#This Row],[Distribution Date]]&gt;"2014-04-01",1,2.5)</f>
        <v>0</v>
      </c>
      <c r="AI472" s="294">
        <f>IF(NFI_Expiration=1,IF($A472&lt;VLOOKUP(R$5,NFI,5,0),1,0)*Table_NFI[[#This Row],[Winter Clothes Adult]],Table_NFI[Winter Clothes Adult])</f>
        <v>0</v>
      </c>
      <c r="AJ472" s="294">
        <f>IF(NFI_Expiration=1,IF($A472&lt;VLOOKUP(S$5,NFI,5,0),1,0)*Table_NFI[[#This Row],[Winter Clothes Children]],Table_NFI[Winter Clothes Children])</f>
        <v>0</v>
      </c>
      <c r="AK472" s="294">
        <f>IF(NFI_Expiration=1,IF($A472&lt;VLOOKUP(T$5,NFI,5,0),1,0)*Table_NFI[[#This Row],[Winter Items Other]],Table_NFI[Winter Items Other])</f>
        <v>0</v>
      </c>
      <c r="AL472" s="294">
        <f>IF(NFI_Expiration=1,IF($A472&lt;VLOOKUP(M$5,NFI,5,0),1,0)*Table_NFI[[#This Row],[Winter Blanket]],Table_NFI[[#This Row],[Winter Blanket]])</f>
        <v>0</v>
      </c>
      <c r="AM472" s="294">
        <f>IF(Table_NFI[[#This Row],[Winter Clothes Adult]]+Table_NFI[[#This Row],[Winter Clothes Children]]+Table_NFI[[#This Row],[Winter Items Other]]+Table_NFI[[#This Row],[Winter Blanket]]&gt;0,1,0)</f>
        <v>0</v>
      </c>
      <c r="AN472" s="331">
        <f>IF(NFI_Expiration=1,IF($A472&lt;VLOOKUP(V$5,NFI,5,0),1,0)*Table_NFI[[#This Row],[Jerry Can]],Table_NFI[Jerry Can])</f>
        <v>0</v>
      </c>
      <c r="AO472" s="331">
        <f>IF(NFI_Expiration=1,IF($A472&lt;VLOOKUP(V$5,NFI,5,0),1,0)*Table_NFI[[#This Row],[Shelter Tool kit]],Table_NFI[Shelter Tool kit])</f>
        <v>0</v>
      </c>
      <c r="AP472" s="331">
        <f>IF(NFI_Expiration=1,IF($A472&lt;VLOOKUP(V$5,NFI,5,0),1,0)*Table_NFI[[#This Row],[Tent]],Table_NFI[Tent])</f>
        <v>0</v>
      </c>
      <c r="AQ472" s="473" t="str">
        <f>IFERROR(VLOOKUP(Table_NFI[[#This Row],[Camp Name]],CL,2,0),"")</f>
        <v>MMR001CMP163</v>
      </c>
      <c r="AR472" s="468">
        <f ca="1">IF(Table_NFI[[#This Row],[Pcode]]="","",IF(OFFSET(CampList[Opening Date],MATCH(Table_NFI[[#This Row],[Pcode]],CampList[CP_Pcode],0)-1,0,1,1)&gt;=NFI_Monitor_Date,1,0))</f>
        <v>0</v>
      </c>
      <c r="AS472" s="473" t="str">
        <f>IFERROR(VLOOKUP(Table_NFI[[#This Row],[Camp Name]],CL,3,0),"")</f>
        <v>Open</v>
      </c>
      <c r="AT472" s="294" t="str">
        <f ca="1">IF(Table_NFI[[#This Row],[Pcode]]="","",OFFSET(CampList[Priority],MATCH(Table_NFI[[#This Row],[Pcode]],CampList[CP_Pcode],0)-1,0,1,1))</f>
        <v>P4</v>
      </c>
      <c r="AU472" s="293">
        <f>IFERROR(Table_NFI[[#This Row],[Kitchen Set]]/VLOOKUP(Table_NFI[[#This Row],[Camp Name]],CL,4,0),"")</f>
        <v>0</v>
      </c>
      <c r="AV472" s="466" t="s">
        <v>1092</v>
      </c>
      <c r="AW472" s="469"/>
    </row>
    <row r="473" spans="1:49" s="470" customFormat="1" ht="14.45" customHeight="1" x14ac:dyDescent="0.25">
      <c r="A473" s="297">
        <f t="shared" si="7"/>
        <v>34.966666666666669</v>
      </c>
      <c r="B473" s="465">
        <v>41626</v>
      </c>
      <c r="C473" s="466" t="s">
        <v>905</v>
      </c>
      <c r="D473" s="466" t="s">
        <v>460</v>
      </c>
      <c r="E473" s="466" t="s">
        <v>380</v>
      </c>
      <c r="F473" s="290" t="s">
        <v>310</v>
      </c>
      <c r="G473" s="466" t="s">
        <v>320</v>
      </c>
      <c r="H473" s="291"/>
      <c r="I473" s="291"/>
      <c r="J473" s="291"/>
      <c r="K473" s="291"/>
      <c r="L473" s="292"/>
      <c r="M473" s="292"/>
      <c r="N473" s="292"/>
      <c r="O473" s="292"/>
      <c r="P473" s="294"/>
      <c r="Q473" s="294"/>
      <c r="R473" s="294">
        <v>23</v>
      </c>
      <c r="S473" s="294">
        <v>45</v>
      </c>
      <c r="T473" s="294">
        <v>136</v>
      </c>
      <c r="U473" s="294">
        <v>68</v>
      </c>
      <c r="V473" s="431"/>
      <c r="W473" s="294"/>
      <c r="X473" s="294"/>
      <c r="Y473" s="294">
        <f>IF(NFI_Expiration=1,IF($A473&lt;VLOOKUP(H$5,NFI,5,0),1,0)*Table_NFI[[#This Row],[Hygiene Kit]],Table_NFI[Hygiene Kit])</f>
        <v>0</v>
      </c>
      <c r="Z473" s="294">
        <f>IF(NFI_Expiration=1,IF($A473&lt;VLOOKUP(I$5,NFI,5,0),1,0)*Table_NFI[[#This Row],[NFI Core Kit]],Table_NFI[NFI Core Kit])</f>
        <v>0</v>
      </c>
      <c r="AA473" s="294">
        <f>IF(NFI_Expiration=1,IF($A473&lt;VLOOKUP(J$5,NFI,5,0),1,0)*Table_NFI[[#This Row],[Sanitary Kit]],Table_NFI[Sanitary Kit])</f>
        <v>0</v>
      </c>
      <c r="AB473" s="294">
        <f>IF(NFI_Expiration=1,IF($A473&lt;VLOOKUP(K$5,NFI,5,0),1,0)*Table_NFI[[#This Row],[Mosquito net]],Table_NFI[Mosquito net])</f>
        <v>0</v>
      </c>
      <c r="AC473" s="294">
        <f>IF(NFI_Expiration=1,IF($A473&lt;VLOOKUP(L$5,NFI,5,0),1,0)*Table_NFI[[#This Row],[Tarpaulin]],Table_NFI[[#This Row],[Tarpaulin]])</f>
        <v>0</v>
      </c>
      <c r="AD473" s="294">
        <f>IF(NFI_Expiration=1,IF($A473&lt;VLOOKUP(M$5,NFI,5,0),1,0)*Table_NFI[[#This Row],[Blanket]],Table_NFI[[#This Row],[Blanket]])</f>
        <v>0</v>
      </c>
      <c r="AE473" s="294">
        <f>IF(NFI_Expiration=1,IF($A473&lt;VLOOKUP(N$5,NFI,5,0),1,0)*Table_NFI[[#This Row],[Kitchen Set]],Table_NFI[Kitchen Set])</f>
        <v>0</v>
      </c>
      <c r="AF473" s="294">
        <f>IF(NFI_Expiration=1,IF($A473&lt;VLOOKUP(O$5,NFI,5,0),1,0)*Table_NFI[[#This Row],[Clothes Kit]],Table_NFI[Clothes Kit])</f>
        <v>0</v>
      </c>
      <c r="AG473" s="294">
        <f>IF(NFI_Expiration=1,IF($A473&lt;VLOOKUP(P$5,NFI,5,0),1,0)*Table_NFI[[#This Row],[Plastic Bucket]],Table_NFI[Plastic Bucket])</f>
        <v>0</v>
      </c>
      <c r="AH473" s="294">
        <f>IF(NFI_Expiration=1,IF($A473&lt;VLOOKUP(Q$5,NFI,5,0),1,0)*Table_NFI[[#This Row],[Plastic Mat]],Table_NFI[Plastic Mat])*IF(Table_NFI[[#This Row],[Distribution Date]]&gt;"2014-04-01",1,2.5)</f>
        <v>0</v>
      </c>
      <c r="AI473" s="294">
        <f>IF(NFI_Expiration=1,IF($A473&lt;VLOOKUP(R$5,NFI,5,0),1,0)*Table_NFI[[#This Row],[Winter Clothes Adult]],Table_NFI[Winter Clothes Adult])</f>
        <v>0</v>
      </c>
      <c r="AJ473" s="294">
        <f>IF(NFI_Expiration=1,IF($A473&lt;VLOOKUP(S$5,NFI,5,0),1,0)*Table_NFI[[#This Row],[Winter Clothes Children]],Table_NFI[Winter Clothes Children])</f>
        <v>0</v>
      </c>
      <c r="AK473" s="294">
        <f>IF(NFI_Expiration=1,IF($A473&lt;VLOOKUP(T$5,NFI,5,0),1,0)*Table_NFI[[#This Row],[Winter Items Other]],Table_NFI[Winter Items Other])</f>
        <v>0</v>
      </c>
      <c r="AL473" s="294">
        <f>IF(NFI_Expiration=1,IF($A473&lt;VLOOKUP(M$5,NFI,5,0),1,0)*Table_NFI[[#This Row],[Winter Blanket]],Table_NFI[[#This Row],[Winter Blanket]])</f>
        <v>0</v>
      </c>
      <c r="AM473" s="294">
        <f>IF(Table_NFI[[#This Row],[Winter Clothes Adult]]+Table_NFI[[#This Row],[Winter Clothes Children]]+Table_NFI[[#This Row],[Winter Items Other]]+Table_NFI[[#This Row],[Winter Blanket]]&gt;0,1,0)</f>
        <v>1</v>
      </c>
      <c r="AN473" s="331">
        <f>IF(NFI_Expiration=1,IF($A473&lt;VLOOKUP(V$5,NFI,5,0),1,0)*Table_NFI[[#This Row],[Jerry Can]],Table_NFI[Jerry Can])</f>
        <v>0</v>
      </c>
      <c r="AO473" s="331">
        <f>IF(NFI_Expiration=1,IF($A473&lt;VLOOKUP(V$5,NFI,5,0),1,0)*Table_NFI[[#This Row],[Shelter Tool kit]],Table_NFI[Shelter Tool kit])</f>
        <v>0</v>
      </c>
      <c r="AP473" s="331">
        <f>IF(NFI_Expiration=1,IF($A473&lt;VLOOKUP(V$5,NFI,5,0),1,0)*Table_NFI[[#This Row],[Tent]],Table_NFI[Tent])</f>
        <v>0</v>
      </c>
      <c r="AQ473" s="473" t="str">
        <f>IFERROR(VLOOKUP(Table_NFI[[#This Row],[Camp Name]],CL,2,0),"")</f>
        <v>MMR001CMP027</v>
      </c>
      <c r="AR473" s="468">
        <f ca="1">IF(Table_NFI[[#This Row],[Pcode]]="","",IF(OFFSET(CampList[Opening Date],MATCH(Table_NFI[[#This Row],[Pcode]],CampList[CP_Pcode],0)-1,0,1,1)&gt;=NFI_Monitor_Date,1,0))</f>
        <v>0</v>
      </c>
      <c r="AS473" s="473" t="str">
        <f>IFERROR(VLOOKUP(Table_NFI[[#This Row],[Camp Name]],CL,3,0),"")</f>
        <v>Open</v>
      </c>
      <c r="AT473" s="294" t="str">
        <f ca="1">IF(Table_NFI[[#This Row],[Pcode]]="","",OFFSET(CampList[Priority],MATCH(Table_NFI[[#This Row],[Pcode]],CampList[CP_Pcode],0)-1,0,1,1))</f>
        <v>P4</v>
      </c>
      <c r="AU473" s="293">
        <f>IFERROR(Table_NFI[[#This Row],[Kitchen Set]]/VLOOKUP(Table_NFI[[#This Row],[Camp Name]],CL,4,0),"")</f>
        <v>0</v>
      </c>
      <c r="AV473" s="466"/>
      <c r="AW473" s="469"/>
    </row>
    <row r="474" spans="1:49" s="470" customFormat="1" ht="14.45" customHeight="1" x14ac:dyDescent="0.25">
      <c r="A474" s="297">
        <f t="shared" si="7"/>
        <v>34.966666666666669</v>
      </c>
      <c r="B474" s="465">
        <v>41626</v>
      </c>
      <c r="C474" s="466" t="s">
        <v>905</v>
      </c>
      <c r="D474" s="466" t="s">
        <v>460</v>
      </c>
      <c r="E474" s="466" t="s">
        <v>380</v>
      </c>
      <c r="F474" s="466" t="s">
        <v>310</v>
      </c>
      <c r="G474" s="466" t="s">
        <v>338</v>
      </c>
      <c r="H474" s="291"/>
      <c r="I474" s="291"/>
      <c r="J474" s="291"/>
      <c r="K474" s="291"/>
      <c r="L474" s="292"/>
      <c r="M474" s="292"/>
      <c r="N474" s="292"/>
      <c r="O474" s="292"/>
      <c r="P474" s="294"/>
      <c r="Q474" s="294"/>
      <c r="R474" s="294">
        <v>30</v>
      </c>
      <c r="S474" s="294">
        <v>57</v>
      </c>
      <c r="T474" s="294">
        <v>174</v>
      </c>
      <c r="U474" s="294">
        <v>87</v>
      </c>
      <c r="V474" s="431"/>
      <c r="W474" s="294"/>
      <c r="X474" s="294"/>
      <c r="Y474" s="294">
        <f>IF(NFI_Expiration=1,IF($A474&lt;VLOOKUP(H$5,NFI,5,0),1,0)*Table_NFI[[#This Row],[Hygiene Kit]],Table_NFI[Hygiene Kit])</f>
        <v>0</v>
      </c>
      <c r="Z474" s="294">
        <f>IF(NFI_Expiration=1,IF($A474&lt;VLOOKUP(I$5,NFI,5,0),1,0)*Table_NFI[[#This Row],[NFI Core Kit]],Table_NFI[NFI Core Kit])</f>
        <v>0</v>
      </c>
      <c r="AA474" s="294">
        <f>IF(NFI_Expiration=1,IF($A474&lt;VLOOKUP(J$5,NFI,5,0),1,0)*Table_NFI[[#This Row],[Sanitary Kit]],Table_NFI[Sanitary Kit])</f>
        <v>0</v>
      </c>
      <c r="AB474" s="294">
        <f>IF(NFI_Expiration=1,IF($A474&lt;VLOOKUP(K$5,NFI,5,0),1,0)*Table_NFI[[#This Row],[Mosquito net]],Table_NFI[Mosquito net])</f>
        <v>0</v>
      </c>
      <c r="AC474" s="294">
        <f>IF(NFI_Expiration=1,IF($A474&lt;VLOOKUP(L$5,NFI,5,0),1,0)*Table_NFI[[#This Row],[Tarpaulin]],Table_NFI[[#This Row],[Tarpaulin]])</f>
        <v>0</v>
      </c>
      <c r="AD474" s="294">
        <f>IF(NFI_Expiration=1,IF($A474&lt;VLOOKUP(M$5,NFI,5,0),1,0)*Table_NFI[[#This Row],[Blanket]],Table_NFI[[#This Row],[Blanket]])</f>
        <v>0</v>
      </c>
      <c r="AE474" s="294">
        <f>IF(NFI_Expiration=1,IF($A474&lt;VLOOKUP(N$5,NFI,5,0),1,0)*Table_NFI[[#This Row],[Kitchen Set]],Table_NFI[Kitchen Set])</f>
        <v>0</v>
      </c>
      <c r="AF474" s="294">
        <f>IF(NFI_Expiration=1,IF($A474&lt;VLOOKUP(O$5,NFI,5,0),1,0)*Table_NFI[[#This Row],[Clothes Kit]],Table_NFI[Clothes Kit])</f>
        <v>0</v>
      </c>
      <c r="AG474" s="294">
        <f>IF(NFI_Expiration=1,IF($A474&lt;VLOOKUP(P$5,NFI,5,0),1,0)*Table_NFI[[#This Row],[Plastic Bucket]],Table_NFI[Plastic Bucket])</f>
        <v>0</v>
      </c>
      <c r="AH474" s="294">
        <f>IF(NFI_Expiration=1,IF($A474&lt;VLOOKUP(Q$5,NFI,5,0),1,0)*Table_NFI[[#This Row],[Plastic Mat]],Table_NFI[Plastic Mat])*IF(Table_NFI[[#This Row],[Distribution Date]]&gt;"2014-04-01",1,2.5)</f>
        <v>0</v>
      </c>
      <c r="AI474" s="294">
        <f>IF(NFI_Expiration=1,IF($A474&lt;VLOOKUP(R$5,NFI,5,0),1,0)*Table_NFI[[#This Row],[Winter Clothes Adult]],Table_NFI[Winter Clothes Adult])</f>
        <v>0</v>
      </c>
      <c r="AJ474" s="294">
        <f>IF(NFI_Expiration=1,IF($A474&lt;VLOOKUP(S$5,NFI,5,0),1,0)*Table_NFI[[#This Row],[Winter Clothes Children]],Table_NFI[Winter Clothes Children])</f>
        <v>0</v>
      </c>
      <c r="AK474" s="294">
        <f>IF(NFI_Expiration=1,IF($A474&lt;VLOOKUP(T$5,NFI,5,0),1,0)*Table_NFI[[#This Row],[Winter Items Other]],Table_NFI[Winter Items Other])</f>
        <v>0</v>
      </c>
      <c r="AL474" s="294">
        <f>IF(NFI_Expiration=1,IF($A474&lt;VLOOKUP(M$5,NFI,5,0),1,0)*Table_NFI[[#This Row],[Winter Blanket]],Table_NFI[[#This Row],[Winter Blanket]])</f>
        <v>0</v>
      </c>
      <c r="AM474" s="294">
        <f>IF(Table_NFI[[#This Row],[Winter Clothes Adult]]+Table_NFI[[#This Row],[Winter Clothes Children]]+Table_NFI[[#This Row],[Winter Items Other]]+Table_NFI[[#This Row],[Winter Blanket]]&gt;0,1,0)</f>
        <v>1</v>
      </c>
      <c r="AN474" s="331">
        <f>IF(NFI_Expiration=1,IF($A474&lt;VLOOKUP(V$5,NFI,5,0),1,0)*Table_NFI[[#This Row],[Jerry Can]],Table_NFI[Jerry Can])</f>
        <v>0</v>
      </c>
      <c r="AO474" s="331">
        <f>IF(NFI_Expiration=1,IF($A474&lt;VLOOKUP(V$5,NFI,5,0),1,0)*Table_NFI[[#This Row],[Shelter Tool kit]],Table_NFI[Shelter Tool kit])</f>
        <v>0</v>
      </c>
      <c r="AP474" s="331">
        <f>IF(NFI_Expiration=1,IF($A474&lt;VLOOKUP(V$5,NFI,5,0),1,0)*Table_NFI[[#This Row],[Tent]],Table_NFI[Tent])</f>
        <v>0</v>
      </c>
      <c r="AQ474" s="473" t="str">
        <f>IFERROR(VLOOKUP(Table_NFI[[#This Row],[Camp Name]],CL,2,0),"")</f>
        <v>MMR001CMP030</v>
      </c>
      <c r="AR474" s="468">
        <f ca="1">IF(Table_NFI[[#This Row],[Pcode]]="","",IF(OFFSET(CampList[Opening Date],MATCH(Table_NFI[[#This Row],[Pcode]],CampList[CP_Pcode],0)-1,0,1,1)&gt;=NFI_Monitor_Date,1,0))</f>
        <v>0</v>
      </c>
      <c r="AS474" s="473" t="str">
        <f>IFERROR(VLOOKUP(Table_NFI[[#This Row],[Camp Name]],CL,3,0),"")</f>
        <v>Open</v>
      </c>
      <c r="AT474" s="294" t="str">
        <f ca="1">IF(Table_NFI[[#This Row],[Pcode]]="","",OFFSET(CampList[Priority],MATCH(Table_NFI[[#This Row],[Pcode]],CampList[CP_Pcode],0)-1,0,1,1))</f>
        <v>P4</v>
      </c>
      <c r="AU474" s="293">
        <f>IFERROR(Table_NFI[[#This Row],[Kitchen Set]]/VLOOKUP(Table_NFI[[#This Row],[Camp Name]],CL,4,0),"")</f>
        <v>0</v>
      </c>
      <c r="AV474" s="466"/>
      <c r="AW474" s="469"/>
    </row>
    <row r="475" spans="1:49" s="470" customFormat="1" ht="14.45" customHeight="1" x14ac:dyDescent="0.25">
      <c r="A475" s="297">
        <f t="shared" si="7"/>
        <v>35</v>
      </c>
      <c r="B475" s="465">
        <v>41625</v>
      </c>
      <c r="C475" s="466" t="s">
        <v>905</v>
      </c>
      <c r="D475" s="466" t="s">
        <v>460</v>
      </c>
      <c r="E475" s="466" t="s">
        <v>380</v>
      </c>
      <c r="F475" s="290" t="s">
        <v>310</v>
      </c>
      <c r="G475" s="466" t="s">
        <v>342</v>
      </c>
      <c r="H475" s="291"/>
      <c r="I475" s="291"/>
      <c r="J475" s="291"/>
      <c r="K475" s="291"/>
      <c r="L475" s="292"/>
      <c r="M475" s="292"/>
      <c r="N475" s="292"/>
      <c r="O475" s="292"/>
      <c r="P475" s="294"/>
      <c r="Q475" s="294"/>
      <c r="R475" s="294">
        <v>73</v>
      </c>
      <c r="S475" s="294">
        <v>146</v>
      </c>
      <c r="T475" s="294">
        <v>438</v>
      </c>
      <c r="U475" s="294">
        <v>219</v>
      </c>
      <c r="V475" s="431"/>
      <c r="W475" s="294"/>
      <c r="X475" s="294"/>
      <c r="Y475" s="294">
        <f>IF(NFI_Expiration=1,IF($A475&lt;VLOOKUP(H$5,NFI,5,0),1,0)*Table_NFI[[#This Row],[Hygiene Kit]],Table_NFI[Hygiene Kit])</f>
        <v>0</v>
      </c>
      <c r="Z475" s="294">
        <f>IF(NFI_Expiration=1,IF($A475&lt;VLOOKUP(I$5,NFI,5,0),1,0)*Table_NFI[[#This Row],[NFI Core Kit]],Table_NFI[NFI Core Kit])</f>
        <v>0</v>
      </c>
      <c r="AA475" s="294">
        <f>IF(NFI_Expiration=1,IF($A475&lt;VLOOKUP(J$5,NFI,5,0),1,0)*Table_NFI[[#This Row],[Sanitary Kit]],Table_NFI[Sanitary Kit])</f>
        <v>0</v>
      </c>
      <c r="AB475" s="294">
        <f>IF(NFI_Expiration=1,IF($A475&lt;VLOOKUP(K$5,NFI,5,0),1,0)*Table_NFI[[#This Row],[Mosquito net]],Table_NFI[Mosquito net])</f>
        <v>0</v>
      </c>
      <c r="AC475" s="294">
        <f>IF(NFI_Expiration=1,IF($A475&lt;VLOOKUP(L$5,NFI,5,0),1,0)*Table_NFI[[#This Row],[Tarpaulin]],Table_NFI[[#This Row],[Tarpaulin]])</f>
        <v>0</v>
      </c>
      <c r="AD475" s="294">
        <f>IF(NFI_Expiration=1,IF($A475&lt;VLOOKUP(M$5,NFI,5,0),1,0)*Table_NFI[[#This Row],[Blanket]],Table_NFI[[#This Row],[Blanket]])</f>
        <v>0</v>
      </c>
      <c r="AE475" s="294">
        <f>IF(NFI_Expiration=1,IF($A475&lt;VLOOKUP(N$5,NFI,5,0),1,0)*Table_NFI[[#This Row],[Kitchen Set]],Table_NFI[Kitchen Set])</f>
        <v>0</v>
      </c>
      <c r="AF475" s="294">
        <f>IF(NFI_Expiration=1,IF($A475&lt;VLOOKUP(O$5,NFI,5,0),1,0)*Table_NFI[[#This Row],[Clothes Kit]],Table_NFI[Clothes Kit])</f>
        <v>0</v>
      </c>
      <c r="AG475" s="294">
        <f>IF(NFI_Expiration=1,IF($A475&lt;VLOOKUP(P$5,NFI,5,0),1,0)*Table_NFI[[#This Row],[Plastic Bucket]],Table_NFI[Plastic Bucket])</f>
        <v>0</v>
      </c>
      <c r="AH475" s="294">
        <f>IF(NFI_Expiration=1,IF($A475&lt;VLOOKUP(Q$5,NFI,5,0),1,0)*Table_NFI[[#This Row],[Plastic Mat]],Table_NFI[Plastic Mat])*IF(Table_NFI[[#This Row],[Distribution Date]]&gt;"2014-04-01",1,2.5)</f>
        <v>0</v>
      </c>
      <c r="AI475" s="294">
        <f>IF(NFI_Expiration=1,IF($A475&lt;VLOOKUP(R$5,NFI,5,0),1,0)*Table_NFI[[#This Row],[Winter Clothes Adult]],Table_NFI[Winter Clothes Adult])</f>
        <v>0</v>
      </c>
      <c r="AJ475" s="294">
        <f>IF(NFI_Expiration=1,IF($A475&lt;VLOOKUP(S$5,NFI,5,0),1,0)*Table_NFI[[#This Row],[Winter Clothes Children]],Table_NFI[Winter Clothes Children])</f>
        <v>0</v>
      </c>
      <c r="AK475" s="294">
        <f>IF(NFI_Expiration=1,IF($A475&lt;VLOOKUP(T$5,NFI,5,0),1,0)*Table_NFI[[#This Row],[Winter Items Other]],Table_NFI[Winter Items Other])</f>
        <v>0</v>
      </c>
      <c r="AL475" s="294">
        <f>IF(NFI_Expiration=1,IF($A475&lt;VLOOKUP(M$5,NFI,5,0),1,0)*Table_NFI[[#This Row],[Winter Blanket]],Table_NFI[[#This Row],[Winter Blanket]])</f>
        <v>0</v>
      </c>
      <c r="AM475" s="294">
        <f>IF(Table_NFI[[#This Row],[Winter Clothes Adult]]+Table_NFI[[#This Row],[Winter Clothes Children]]+Table_NFI[[#This Row],[Winter Items Other]]+Table_NFI[[#This Row],[Winter Blanket]]&gt;0,1,0)</f>
        <v>1</v>
      </c>
      <c r="AN475" s="331">
        <f>IF(NFI_Expiration=1,IF($A475&lt;VLOOKUP(V$5,NFI,5,0),1,0)*Table_NFI[[#This Row],[Jerry Can]],Table_NFI[Jerry Can])</f>
        <v>0</v>
      </c>
      <c r="AO475" s="331">
        <f>IF(NFI_Expiration=1,IF($A475&lt;VLOOKUP(V$5,NFI,5,0),1,0)*Table_NFI[[#This Row],[Shelter Tool kit]],Table_NFI[Shelter Tool kit])</f>
        <v>0</v>
      </c>
      <c r="AP475" s="331">
        <f>IF(NFI_Expiration=1,IF($A475&lt;VLOOKUP(V$5,NFI,5,0),1,0)*Table_NFI[[#This Row],[Tent]],Table_NFI[Tent])</f>
        <v>0</v>
      </c>
      <c r="AQ475" s="473" t="str">
        <f>IFERROR(VLOOKUP(Table_NFI[[#This Row],[Camp Name]],CL,2,0),"")</f>
        <v>MMR001CMP025</v>
      </c>
      <c r="AR475" s="468">
        <f ca="1">IF(Table_NFI[[#This Row],[Pcode]]="","",IF(OFFSET(CampList[Opening Date],MATCH(Table_NFI[[#This Row],[Pcode]],CampList[CP_Pcode],0)-1,0,1,1)&gt;=NFI_Monitor_Date,1,0))</f>
        <v>0</v>
      </c>
      <c r="AS475" s="473" t="str">
        <f>IFERROR(VLOOKUP(Table_NFI[[#This Row],[Camp Name]],CL,3,0),"")</f>
        <v>Open</v>
      </c>
      <c r="AT475" s="294" t="str">
        <f ca="1">IF(Table_NFI[[#This Row],[Pcode]]="","",OFFSET(CampList[Priority],MATCH(Table_NFI[[#This Row],[Pcode]],CampList[CP_Pcode],0)-1,0,1,1))</f>
        <v>P4</v>
      </c>
      <c r="AU475" s="293">
        <f>IFERROR(Table_NFI[[#This Row],[Kitchen Set]]/VLOOKUP(Table_NFI[[#This Row],[Camp Name]],CL,4,0),"")</f>
        <v>0</v>
      </c>
      <c r="AV475" s="466"/>
      <c r="AW475" s="469"/>
    </row>
    <row r="476" spans="1:49" s="470" customFormat="1" ht="14.45" customHeight="1" x14ac:dyDescent="0.25">
      <c r="A476" s="297">
        <f t="shared" si="7"/>
        <v>35</v>
      </c>
      <c r="B476" s="465">
        <v>41625</v>
      </c>
      <c r="C476" s="466" t="s">
        <v>905</v>
      </c>
      <c r="D476" s="466" t="s">
        <v>460</v>
      </c>
      <c r="E476" s="466" t="s">
        <v>380</v>
      </c>
      <c r="F476" s="466" t="s">
        <v>310</v>
      </c>
      <c r="G476" s="466" t="s">
        <v>347</v>
      </c>
      <c r="H476" s="291"/>
      <c r="I476" s="291"/>
      <c r="J476" s="291"/>
      <c r="K476" s="291"/>
      <c r="L476" s="292"/>
      <c r="M476" s="292"/>
      <c r="N476" s="292"/>
      <c r="O476" s="292"/>
      <c r="P476" s="294"/>
      <c r="Q476" s="294"/>
      <c r="R476" s="294">
        <v>188</v>
      </c>
      <c r="S476" s="294">
        <v>343</v>
      </c>
      <c r="T476" s="294">
        <v>1062</v>
      </c>
      <c r="U476" s="294">
        <v>531</v>
      </c>
      <c r="V476" s="431"/>
      <c r="W476" s="294"/>
      <c r="X476" s="294"/>
      <c r="Y476" s="294">
        <f>IF(NFI_Expiration=1,IF($A476&lt;VLOOKUP(H$5,NFI,5,0),1,0)*Table_NFI[[#This Row],[Hygiene Kit]],Table_NFI[Hygiene Kit])</f>
        <v>0</v>
      </c>
      <c r="Z476" s="294">
        <f>IF(NFI_Expiration=1,IF($A476&lt;VLOOKUP(I$5,NFI,5,0),1,0)*Table_NFI[[#This Row],[NFI Core Kit]],Table_NFI[NFI Core Kit])</f>
        <v>0</v>
      </c>
      <c r="AA476" s="294">
        <f>IF(NFI_Expiration=1,IF($A476&lt;VLOOKUP(J$5,NFI,5,0),1,0)*Table_NFI[[#This Row],[Sanitary Kit]],Table_NFI[Sanitary Kit])</f>
        <v>0</v>
      </c>
      <c r="AB476" s="294">
        <f>IF(NFI_Expiration=1,IF($A476&lt;VLOOKUP(K$5,NFI,5,0),1,0)*Table_NFI[[#This Row],[Mosquito net]],Table_NFI[Mosquito net])</f>
        <v>0</v>
      </c>
      <c r="AC476" s="294">
        <f>IF(NFI_Expiration=1,IF($A476&lt;VLOOKUP(L$5,NFI,5,0),1,0)*Table_NFI[[#This Row],[Tarpaulin]],Table_NFI[[#This Row],[Tarpaulin]])</f>
        <v>0</v>
      </c>
      <c r="AD476" s="294">
        <f>IF(NFI_Expiration=1,IF($A476&lt;VLOOKUP(M$5,NFI,5,0),1,0)*Table_NFI[[#This Row],[Blanket]],Table_NFI[[#This Row],[Blanket]])</f>
        <v>0</v>
      </c>
      <c r="AE476" s="294">
        <f>IF(NFI_Expiration=1,IF($A476&lt;VLOOKUP(N$5,NFI,5,0),1,0)*Table_NFI[[#This Row],[Kitchen Set]],Table_NFI[Kitchen Set])</f>
        <v>0</v>
      </c>
      <c r="AF476" s="294">
        <f>IF(NFI_Expiration=1,IF($A476&lt;VLOOKUP(O$5,NFI,5,0),1,0)*Table_NFI[[#This Row],[Clothes Kit]],Table_NFI[Clothes Kit])</f>
        <v>0</v>
      </c>
      <c r="AG476" s="294">
        <f>IF(NFI_Expiration=1,IF($A476&lt;VLOOKUP(P$5,NFI,5,0),1,0)*Table_NFI[[#This Row],[Plastic Bucket]],Table_NFI[Plastic Bucket])</f>
        <v>0</v>
      </c>
      <c r="AH476" s="294">
        <f>IF(NFI_Expiration=1,IF($A476&lt;VLOOKUP(Q$5,NFI,5,0),1,0)*Table_NFI[[#This Row],[Plastic Mat]],Table_NFI[Plastic Mat])*IF(Table_NFI[[#This Row],[Distribution Date]]&gt;"2014-04-01",1,2.5)</f>
        <v>0</v>
      </c>
      <c r="AI476" s="294">
        <f>IF(NFI_Expiration=1,IF($A476&lt;VLOOKUP(R$5,NFI,5,0),1,0)*Table_NFI[[#This Row],[Winter Clothes Adult]],Table_NFI[Winter Clothes Adult])</f>
        <v>0</v>
      </c>
      <c r="AJ476" s="294">
        <f>IF(NFI_Expiration=1,IF($A476&lt;VLOOKUP(S$5,NFI,5,0),1,0)*Table_NFI[[#This Row],[Winter Clothes Children]],Table_NFI[Winter Clothes Children])</f>
        <v>0</v>
      </c>
      <c r="AK476" s="294">
        <f>IF(NFI_Expiration=1,IF($A476&lt;VLOOKUP(T$5,NFI,5,0),1,0)*Table_NFI[[#This Row],[Winter Items Other]],Table_NFI[Winter Items Other])</f>
        <v>0</v>
      </c>
      <c r="AL476" s="294">
        <f>IF(NFI_Expiration=1,IF($A476&lt;VLOOKUP(M$5,NFI,5,0),1,0)*Table_NFI[[#This Row],[Winter Blanket]],Table_NFI[[#This Row],[Winter Blanket]])</f>
        <v>0</v>
      </c>
      <c r="AM476" s="294">
        <f>IF(Table_NFI[[#This Row],[Winter Clothes Adult]]+Table_NFI[[#This Row],[Winter Clothes Children]]+Table_NFI[[#This Row],[Winter Items Other]]+Table_NFI[[#This Row],[Winter Blanket]]&gt;0,1,0)</f>
        <v>1</v>
      </c>
      <c r="AN476" s="331">
        <f>IF(NFI_Expiration=1,IF($A476&lt;VLOOKUP(V$5,NFI,5,0),1,0)*Table_NFI[[#This Row],[Jerry Can]],Table_NFI[Jerry Can])</f>
        <v>0</v>
      </c>
      <c r="AO476" s="331">
        <f>IF(NFI_Expiration=1,IF($A476&lt;VLOOKUP(V$5,NFI,5,0),1,0)*Table_NFI[[#This Row],[Shelter Tool kit]],Table_NFI[Shelter Tool kit])</f>
        <v>0</v>
      </c>
      <c r="AP476" s="331">
        <f>IF(NFI_Expiration=1,IF($A476&lt;VLOOKUP(V$5,NFI,5,0),1,0)*Table_NFI[[#This Row],[Tent]],Table_NFI[Tent])</f>
        <v>0</v>
      </c>
      <c r="AQ476" s="473" t="str">
        <f>IFERROR(VLOOKUP(Table_NFI[[#This Row],[Camp Name]],CL,2,0),"")</f>
        <v>MMR001CMP041</v>
      </c>
      <c r="AR476" s="468">
        <f ca="1">IF(Table_NFI[[#This Row],[Pcode]]="","",IF(OFFSET(CampList[Opening Date],MATCH(Table_NFI[[#This Row],[Pcode]],CampList[CP_Pcode],0)-1,0,1,1)&gt;=NFI_Monitor_Date,1,0))</f>
        <v>0</v>
      </c>
      <c r="AS476" s="473" t="str">
        <f>IFERROR(VLOOKUP(Table_NFI[[#This Row],[Camp Name]],CL,3,0),"")</f>
        <v>Open</v>
      </c>
      <c r="AT476" s="294" t="str">
        <f ca="1">IF(Table_NFI[[#This Row],[Pcode]]="","",OFFSET(CampList[Priority],MATCH(Table_NFI[[#This Row],[Pcode]],CampList[CP_Pcode],0)-1,0,1,1))</f>
        <v>P1</v>
      </c>
      <c r="AU476" s="293">
        <f>IFERROR(Table_NFI[[#This Row],[Kitchen Set]]/VLOOKUP(Table_NFI[[#This Row],[Camp Name]],CL,4,0),"")</f>
        <v>0</v>
      </c>
      <c r="AV476" s="466"/>
      <c r="AW476" s="469"/>
    </row>
    <row r="477" spans="1:49" s="470" customFormat="1" ht="14.45" customHeight="1" x14ac:dyDescent="0.25">
      <c r="A477" s="297">
        <f t="shared" si="7"/>
        <v>35.033333333333331</v>
      </c>
      <c r="B477" s="465">
        <v>41624</v>
      </c>
      <c r="C477" s="466" t="s">
        <v>905</v>
      </c>
      <c r="D477" s="466" t="s">
        <v>460</v>
      </c>
      <c r="E477" s="466" t="s">
        <v>380</v>
      </c>
      <c r="F477" s="466" t="s">
        <v>310</v>
      </c>
      <c r="G477" s="466" t="s">
        <v>316</v>
      </c>
      <c r="H477" s="291"/>
      <c r="I477" s="291"/>
      <c r="J477" s="291"/>
      <c r="K477" s="291"/>
      <c r="L477" s="292"/>
      <c r="M477" s="292"/>
      <c r="N477" s="292"/>
      <c r="O477" s="292"/>
      <c r="P477" s="294"/>
      <c r="Q477" s="294"/>
      <c r="R477" s="294">
        <v>77</v>
      </c>
      <c r="S477" s="294">
        <v>153</v>
      </c>
      <c r="T477" s="294">
        <v>460</v>
      </c>
      <c r="U477" s="294">
        <v>230</v>
      </c>
      <c r="V477" s="431"/>
      <c r="W477" s="294"/>
      <c r="X477" s="294"/>
      <c r="Y477" s="294">
        <f>IF(NFI_Expiration=1,IF($A477&lt;VLOOKUP(H$5,NFI,5,0),1,0)*Table_NFI[[#This Row],[Hygiene Kit]],Table_NFI[Hygiene Kit])</f>
        <v>0</v>
      </c>
      <c r="Z477" s="294">
        <f>IF(NFI_Expiration=1,IF($A477&lt;VLOOKUP(I$5,NFI,5,0),1,0)*Table_NFI[[#This Row],[NFI Core Kit]],Table_NFI[NFI Core Kit])</f>
        <v>0</v>
      </c>
      <c r="AA477" s="294">
        <f>IF(NFI_Expiration=1,IF($A477&lt;VLOOKUP(J$5,NFI,5,0),1,0)*Table_NFI[[#This Row],[Sanitary Kit]],Table_NFI[Sanitary Kit])</f>
        <v>0</v>
      </c>
      <c r="AB477" s="294">
        <f>IF(NFI_Expiration=1,IF($A477&lt;VLOOKUP(K$5,NFI,5,0),1,0)*Table_NFI[[#This Row],[Mosquito net]],Table_NFI[Mosquito net])</f>
        <v>0</v>
      </c>
      <c r="AC477" s="294">
        <f>IF(NFI_Expiration=1,IF($A477&lt;VLOOKUP(L$5,NFI,5,0),1,0)*Table_NFI[[#This Row],[Tarpaulin]],Table_NFI[[#This Row],[Tarpaulin]])</f>
        <v>0</v>
      </c>
      <c r="AD477" s="294">
        <f>IF(NFI_Expiration=1,IF($A477&lt;VLOOKUP(M$5,NFI,5,0),1,0)*Table_NFI[[#This Row],[Blanket]],Table_NFI[[#This Row],[Blanket]])</f>
        <v>0</v>
      </c>
      <c r="AE477" s="294">
        <f>IF(NFI_Expiration=1,IF($A477&lt;VLOOKUP(N$5,NFI,5,0),1,0)*Table_NFI[[#This Row],[Kitchen Set]],Table_NFI[Kitchen Set])</f>
        <v>0</v>
      </c>
      <c r="AF477" s="294">
        <f>IF(NFI_Expiration=1,IF($A477&lt;VLOOKUP(O$5,NFI,5,0),1,0)*Table_NFI[[#This Row],[Clothes Kit]],Table_NFI[Clothes Kit])</f>
        <v>0</v>
      </c>
      <c r="AG477" s="294">
        <f>IF(NFI_Expiration=1,IF($A477&lt;VLOOKUP(P$5,NFI,5,0),1,0)*Table_NFI[[#This Row],[Plastic Bucket]],Table_NFI[Plastic Bucket])</f>
        <v>0</v>
      </c>
      <c r="AH477" s="294">
        <f>IF(NFI_Expiration=1,IF($A477&lt;VLOOKUP(Q$5,NFI,5,0),1,0)*Table_NFI[[#This Row],[Plastic Mat]],Table_NFI[Plastic Mat])*IF(Table_NFI[[#This Row],[Distribution Date]]&gt;"2014-04-01",1,2.5)</f>
        <v>0</v>
      </c>
      <c r="AI477" s="294">
        <f>IF(NFI_Expiration=1,IF($A477&lt;VLOOKUP(R$5,NFI,5,0),1,0)*Table_NFI[[#This Row],[Winter Clothes Adult]],Table_NFI[Winter Clothes Adult])</f>
        <v>0</v>
      </c>
      <c r="AJ477" s="294">
        <f>IF(NFI_Expiration=1,IF($A477&lt;VLOOKUP(S$5,NFI,5,0),1,0)*Table_NFI[[#This Row],[Winter Clothes Children]],Table_NFI[Winter Clothes Children])</f>
        <v>0</v>
      </c>
      <c r="AK477" s="294">
        <f>IF(NFI_Expiration=1,IF($A477&lt;VLOOKUP(T$5,NFI,5,0),1,0)*Table_NFI[[#This Row],[Winter Items Other]],Table_NFI[Winter Items Other])</f>
        <v>0</v>
      </c>
      <c r="AL477" s="294">
        <f>IF(NFI_Expiration=1,IF($A477&lt;VLOOKUP(M$5,NFI,5,0),1,0)*Table_NFI[[#This Row],[Winter Blanket]],Table_NFI[[#This Row],[Winter Blanket]])</f>
        <v>0</v>
      </c>
      <c r="AM477" s="294">
        <f>IF(Table_NFI[[#This Row],[Winter Clothes Adult]]+Table_NFI[[#This Row],[Winter Clothes Children]]+Table_NFI[[#This Row],[Winter Items Other]]+Table_NFI[[#This Row],[Winter Blanket]]&gt;0,1,0)</f>
        <v>1</v>
      </c>
      <c r="AN477" s="331">
        <f>IF(NFI_Expiration=1,IF($A477&lt;VLOOKUP(V$5,NFI,5,0),1,0)*Table_NFI[[#This Row],[Jerry Can]],Table_NFI[Jerry Can])</f>
        <v>0</v>
      </c>
      <c r="AO477" s="331">
        <f>IF(NFI_Expiration=1,IF($A477&lt;VLOOKUP(V$5,NFI,5,0),1,0)*Table_NFI[[#This Row],[Shelter Tool kit]],Table_NFI[Shelter Tool kit])</f>
        <v>0</v>
      </c>
      <c r="AP477" s="331">
        <f>IF(NFI_Expiration=1,IF($A477&lt;VLOOKUP(V$5,NFI,5,0),1,0)*Table_NFI[[#This Row],[Tent]],Table_NFI[Tent])</f>
        <v>0</v>
      </c>
      <c r="AQ477" s="473" t="str">
        <f>IFERROR(VLOOKUP(Table_NFI[[#This Row],[Camp Name]],CL,2,0),"")</f>
        <v>MMR001CMP038</v>
      </c>
      <c r="AR477" s="468">
        <f ca="1">IF(Table_NFI[[#This Row],[Pcode]]="","",IF(OFFSET(CampList[Opening Date],MATCH(Table_NFI[[#This Row],[Pcode]],CampList[CP_Pcode],0)-1,0,1,1)&gt;=NFI_Monitor_Date,1,0))</f>
        <v>0</v>
      </c>
      <c r="AS477" s="473" t="str">
        <f>IFERROR(VLOOKUP(Table_NFI[[#This Row],[Camp Name]],CL,3,0),"")</f>
        <v>Open</v>
      </c>
      <c r="AT477" s="294" t="str">
        <f ca="1">IF(Table_NFI[[#This Row],[Pcode]]="","",OFFSET(CampList[Priority],MATCH(Table_NFI[[#This Row],[Pcode]],CampList[CP_Pcode],0)-1,0,1,1))</f>
        <v>P4</v>
      </c>
      <c r="AU477" s="293">
        <f>IFERROR(Table_NFI[[#This Row],[Kitchen Set]]/VLOOKUP(Table_NFI[[#This Row],[Camp Name]],CL,4,0),"")</f>
        <v>0</v>
      </c>
      <c r="AV477" s="466"/>
      <c r="AW477" s="469"/>
    </row>
    <row r="478" spans="1:49" s="470" customFormat="1" ht="14.45" customHeight="1" x14ac:dyDescent="0.25">
      <c r="A478" s="297">
        <f t="shared" si="7"/>
        <v>35.133333333333333</v>
      </c>
      <c r="B478" s="465">
        <v>41621</v>
      </c>
      <c r="C478" s="466" t="s">
        <v>905</v>
      </c>
      <c r="D478" s="466" t="s">
        <v>905</v>
      </c>
      <c r="E478" s="466" t="s">
        <v>380</v>
      </c>
      <c r="F478" s="466" t="s">
        <v>151</v>
      </c>
      <c r="G478" s="466" t="s">
        <v>152</v>
      </c>
      <c r="H478" s="291"/>
      <c r="I478" s="291"/>
      <c r="J478" s="291"/>
      <c r="K478" s="291"/>
      <c r="L478" s="292"/>
      <c r="M478" s="292"/>
      <c r="N478" s="292"/>
      <c r="O478" s="292"/>
      <c r="P478" s="294"/>
      <c r="Q478" s="294"/>
      <c r="R478" s="294">
        <v>13</v>
      </c>
      <c r="S478" s="294">
        <v>53</v>
      </c>
      <c r="T478" s="294">
        <v>132</v>
      </c>
      <c r="U478" s="294">
        <v>66</v>
      </c>
      <c r="V478" s="431"/>
      <c r="W478" s="294"/>
      <c r="X478" s="294"/>
      <c r="Y478" s="294">
        <f>IF(NFI_Expiration=1,IF($A478&lt;VLOOKUP(H$5,NFI,5,0),1,0)*Table_NFI[[#This Row],[Hygiene Kit]],Table_NFI[Hygiene Kit])</f>
        <v>0</v>
      </c>
      <c r="Z478" s="294">
        <f>IF(NFI_Expiration=1,IF($A478&lt;VLOOKUP(I$5,NFI,5,0),1,0)*Table_NFI[[#This Row],[NFI Core Kit]],Table_NFI[NFI Core Kit])</f>
        <v>0</v>
      </c>
      <c r="AA478" s="294">
        <f>IF(NFI_Expiration=1,IF($A478&lt;VLOOKUP(J$5,NFI,5,0),1,0)*Table_NFI[[#This Row],[Sanitary Kit]],Table_NFI[Sanitary Kit])</f>
        <v>0</v>
      </c>
      <c r="AB478" s="294">
        <f>IF(NFI_Expiration=1,IF($A478&lt;VLOOKUP(K$5,NFI,5,0),1,0)*Table_NFI[[#This Row],[Mosquito net]],Table_NFI[Mosquito net])</f>
        <v>0</v>
      </c>
      <c r="AC478" s="294">
        <f>IF(NFI_Expiration=1,IF($A478&lt;VLOOKUP(L$5,NFI,5,0),1,0)*Table_NFI[[#This Row],[Tarpaulin]],Table_NFI[[#This Row],[Tarpaulin]])</f>
        <v>0</v>
      </c>
      <c r="AD478" s="294">
        <f>IF(NFI_Expiration=1,IF($A478&lt;VLOOKUP(M$5,NFI,5,0),1,0)*Table_NFI[[#This Row],[Blanket]],Table_NFI[[#This Row],[Blanket]])</f>
        <v>0</v>
      </c>
      <c r="AE478" s="294">
        <f>IF(NFI_Expiration=1,IF($A478&lt;VLOOKUP(N$5,NFI,5,0),1,0)*Table_NFI[[#This Row],[Kitchen Set]],Table_NFI[Kitchen Set])</f>
        <v>0</v>
      </c>
      <c r="AF478" s="294">
        <f>IF(NFI_Expiration=1,IF($A478&lt;VLOOKUP(O$5,NFI,5,0),1,0)*Table_NFI[[#This Row],[Clothes Kit]],Table_NFI[Clothes Kit])</f>
        <v>0</v>
      </c>
      <c r="AG478" s="294">
        <f>IF(NFI_Expiration=1,IF($A478&lt;VLOOKUP(P$5,NFI,5,0),1,0)*Table_NFI[[#This Row],[Plastic Bucket]],Table_NFI[Plastic Bucket])</f>
        <v>0</v>
      </c>
      <c r="AH478" s="294">
        <f>IF(NFI_Expiration=1,IF($A478&lt;VLOOKUP(Q$5,NFI,5,0),1,0)*Table_NFI[[#This Row],[Plastic Mat]],Table_NFI[Plastic Mat])*IF(Table_NFI[[#This Row],[Distribution Date]]&gt;"2014-04-01",1,2.5)</f>
        <v>0</v>
      </c>
      <c r="AI478" s="294">
        <f>IF(NFI_Expiration=1,IF($A478&lt;VLOOKUP(R$5,NFI,5,0),1,0)*Table_NFI[[#This Row],[Winter Clothes Adult]],Table_NFI[Winter Clothes Adult])</f>
        <v>0</v>
      </c>
      <c r="AJ478" s="294">
        <f>IF(NFI_Expiration=1,IF($A478&lt;VLOOKUP(S$5,NFI,5,0),1,0)*Table_NFI[[#This Row],[Winter Clothes Children]],Table_NFI[Winter Clothes Children])</f>
        <v>0</v>
      </c>
      <c r="AK478" s="294">
        <f>IF(NFI_Expiration=1,IF($A478&lt;VLOOKUP(T$5,NFI,5,0),1,0)*Table_NFI[[#This Row],[Winter Items Other]],Table_NFI[Winter Items Other])</f>
        <v>0</v>
      </c>
      <c r="AL478" s="294">
        <f>IF(NFI_Expiration=1,IF($A478&lt;VLOOKUP(M$5,NFI,5,0),1,0)*Table_NFI[[#This Row],[Winter Blanket]],Table_NFI[[#This Row],[Winter Blanket]])</f>
        <v>0</v>
      </c>
      <c r="AM478" s="294">
        <f>IF(Table_NFI[[#This Row],[Winter Clothes Adult]]+Table_NFI[[#This Row],[Winter Clothes Children]]+Table_NFI[[#This Row],[Winter Items Other]]+Table_NFI[[#This Row],[Winter Blanket]]&gt;0,1,0)</f>
        <v>1</v>
      </c>
      <c r="AN478" s="331">
        <f>IF(NFI_Expiration=1,IF($A478&lt;VLOOKUP(V$5,NFI,5,0),1,0)*Table_NFI[[#This Row],[Jerry Can]],Table_NFI[Jerry Can])</f>
        <v>0</v>
      </c>
      <c r="AO478" s="331">
        <f>IF(NFI_Expiration=1,IF($A478&lt;VLOOKUP(V$5,NFI,5,0),1,0)*Table_NFI[[#This Row],[Shelter Tool kit]],Table_NFI[Shelter Tool kit])</f>
        <v>0</v>
      </c>
      <c r="AP478" s="331">
        <f>IF(NFI_Expiration=1,IF($A478&lt;VLOOKUP(V$5,NFI,5,0),1,0)*Table_NFI[[#This Row],[Tent]],Table_NFI[Tent])</f>
        <v>0</v>
      </c>
      <c r="AQ478" s="473" t="str">
        <f>IFERROR(VLOOKUP(Table_NFI[[#This Row],[Camp Name]],CL,2,0),"")</f>
        <v>MMR001CMP066</v>
      </c>
      <c r="AR478" s="468">
        <f ca="1">IF(Table_NFI[[#This Row],[Pcode]]="","",IF(OFFSET(CampList[Opening Date],MATCH(Table_NFI[[#This Row],[Pcode]],CampList[CP_Pcode],0)-1,0,1,1)&gt;=NFI_Monitor_Date,1,0))</f>
        <v>0</v>
      </c>
      <c r="AS478" s="473" t="str">
        <f>IFERROR(VLOOKUP(Table_NFI[[#This Row],[Camp Name]],CL,3,0),"")</f>
        <v>Open</v>
      </c>
      <c r="AT478" s="294" t="str">
        <f ca="1">IF(Table_NFI[[#This Row],[Pcode]]="","",OFFSET(CampList[Priority],MATCH(Table_NFI[[#This Row],[Pcode]],CampList[CP_Pcode],0)-1,0,1,1))</f>
        <v>P4</v>
      </c>
      <c r="AU478" s="293">
        <f>IFERROR(Table_NFI[[#This Row],[Kitchen Set]]/VLOOKUP(Table_NFI[[#This Row],[Camp Name]],CL,4,0),"")</f>
        <v>0</v>
      </c>
      <c r="AV478" s="466"/>
      <c r="AW478" s="469"/>
    </row>
    <row r="479" spans="1:49" s="470" customFormat="1" ht="14.45" customHeight="1" x14ac:dyDescent="0.25">
      <c r="A479" s="297">
        <f t="shared" si="7"/>
        <v>35.200000000000003</v>
      </c>
      <c r="B479" s="465">
        <v>41619</v>
      </c>
      <c r="C479" s="466" t="s">
        <v>1027</v>
      </c>
      <c r="D479" s="466" t="s">
        <v>1028</v>
      </c>
      <c r="E479" s="466" t="s">
        <v>380</v>
      </c>
      <c r="F479" s="290" t="s">
        <v>151</v>
      </c>
      <c r="G479" s="290" t="s">
        <v>188</v>
      </c>
      <c r="H479" s="291"/>
      <c r="I479" s="291"/>
      <c r="J479" s="291"/>
      <c r="K479" s="291"/>
      <c r="L479" s="292"/>
      <c r="M479" s="292">
        <v>278</v>
      </c>
      <c r="N479" s="292"/>
      <c r="O479" s="292"/>
      <c r="P479" s="294"/>
      <c r="Q479" s="294"/>
      <c r="R479" s="294"/>
      <c r="S479" s="294"/>
      <c r="T479" s="294"/>
      <c r="U479" s="294"/>
      <c r="V479" s="431"/>
      <c r="W479" s="294"/>
      <c r="X479" s="294"/>
      <c r="Y479" s="294">
        <f>IF(NFI_Expiration=1,IF($A479&lt;VLOOKUP(H$5,NFI,5,0),1,0)*Table_NFI[[#This Row],[Hygiene Kit]],Table_NFI[Hygiene Kit])</f>
        <v>0</v>
      </c>
      <c r="Z479" s="294">
        <f>IF(NFI_Expiration=1,IF($A479&lt;VLOOKUP(I$5,NFI,5,0),1,0)*Table_NFI[[#This Row],[NFI Core Kit]],Table_NFI[NFI Core Kit])</f>
        <v>0</v>
      </c>
      <c r="AA479" s="294">
        <f>IF(NFI_Expiration=1,IF($A479&lt;VLOOKUP(J$5,NFI,5,0),1,0)*Table_NFI[[#This Row],[Sanitary Kit]],Table_NFI[Sanitary Kit])</f>
        <v>0</v>
      </c>
      <c r="AB479" s="294">
        <f>IF(NFI_Expiration=1,IF($A479&lt;VLOOKUP(K$5,NFI,5,0),1,0)*Table_NFI[[#This Row],[Mosquito net]],Table_NFI[Mosquito net])</f>
        <v>0</v>
      </c>
      <c r="AC479" s="294">
        <f>IF(NFI_Expiration=1,IF($A479&lt;VLOOKUP(L$5,NFI,5,0),1,0)*Table_NFI[[#This Row],[Tarpaulin]],Table_NFI[[#This Row],[Tarpaulin]])</f>
        <v>0</v>
      </c>
      <c r="AD479" s="294">
        <f>IF(NFI_Expiration=1,IF($A479&lt;VLOOKUP(M$5,NFI,5,0),1,0)*Table_NFI[[#This Row],[Blanket]],Table_NFI[[#This Row],[Blanket]])</f>
        <v>0</v>
      </c>
      <c r="AE479" s="294">
        <f>IF(NFI_Expiration=1,IF($A479&lt;VLOOKUP(N$5,NFI,5,0),1,0)*Table_NFI[[#This Row],[Kitchen Set]],Table_NFI[Kitchen Set])</f>
        <v>0</v>
      </c>
      <c r="AF479" s="294">
        <f>IF(NFI_Expiration=1,IF($A479&lt;VLOOKUP(O$5,NFI,5,0),1,0)*Table_NFI[[#This Row],[Clothes Kit]],Table_NFI[Clothes Kit])</f>
        <v>0</v>
      </c>
      <c r="AG479" s="294">
        <f>IF(NFI_Expiration=1,IF($A479&lt;VLOOKUP(P$5,NFI,5,0),1,0)*Table_NFI[[#This Row],[Plastic Bucket]],Table_NFI[Plastic Bucket])</f>
        <v>0</v>
      </c>
      <c r="AH479" s="294">
        <f>IF(NFI_Expiration=1,IF($A479&lt;VLOOKUP(Q$5,NFI,5,0),1,0)*Table_NFI[[#This Row],[Plastic Mat]],Table_NFI[Plastic Mat])*IF(Table_NFI[[#This Row],[Distribution Date]]&gt;"2014-04-01",1,2.5)</f>
        <v>0</v>
      </c>
      <c r="AI479" s="294">
        <f>IF(NFI_Expiration=1,IF($A479&lt;VLOOKUP(R$5,NFI,5,0),1,0)*Table_NFI[[#This Row],[Winter Clothes Adult]],Table_NFI[Winter Clothes Adult])</f>
        <v>0</v>
      </c>
      <c r="AJ479" s="294">
        <f>IF(NFI_Expiration=1,IF($A479&lt;VLOOKUP(S$5,NFI,5,0),1,0)*Table_NFI[[#This Row],[Winter Clothes Children]],Table_NFI[Winter Clothes Children])</f>
        <v>0</v>
      </c>
      <c r="AK479" s="294">
        <f>IF(NFI_Expiration=1,IF($A479&lt;VLOOKUP(T$5,NFI,5,0),1,0)*Table_NFI[[#This Row],[Winter Items Other]],Table_NFI[Winter Items Other])</f>
        <v>0</v>
      </c>
      <c r="AL479" s="294">
        <f>IF(NFI_Expiration=1,IF($A479&lt;VLOOKUP(M$5,NFI,5,0),1,0)*Table_NFI[[#This Row],[Winter Blanket]],Table_NFI[[#This Row],[Winter Blanket]])</f>
        <v>0</v>
      </c>
      <c r="AM479" s="294">
        <f>IF(Table_NFI[[#This Row],[Winter Clothes Adult]]+Table_NFI[[#This Row],[Winter Clothes Children]]+Table_NFI[[#This Row],[Winter Items Other]]+Table_NFI[[#This Row],[Winter Blanket]]&gt;0,1,0)</f>
        <v>0</v>
      </c>
      <c r="AN479" s="331">
        <f>IF(NFI_Expiration=1,IF($A479&lt;VLOOKUP(V$5,NFI,5,0),1,0)*Table_NFI[[#This Row],[Jerry Can]],Table_NFI[Jerry Can])</f>
        <v>0</v>
      </c>
      <c r="AO479" s="331">
        <f>IF(NFI_Expiration=1,IF($A479&lt;VLOOKUP(V$5,NFI,5,0),1,0)*Table_NFI[[#This Row],[Shelter Tool kit]],Table_NFI[Shelter Tool kit])</f>
        <v>0</v>
      </c>
      <c r="AP479" s="331">
        <f>IF(NFI_Expiration=1,IF($A479&lt;VLOOKUP(V$5,NFI,5,0),1,0)*Table_NFI[[#This Row],[Tent]],Table_NFI[Tent])</f>
        <v>0</v>
      </c>
      <c r="AQ479" s="473" t="str">
        <f>IFERROR(VLOOKUP(Table_NFI[[#This Row],[Camp Name]],CL,2,0),"")</f>
        <v>MMR001CMP129</v>
      </c>
      <c r="AR479" s="468">
        <f ca="1">IF(Table_NFI[[#This Row],[Pcode]]="","",IF(OFFSET(CampList[Opening Date],MATCH(Table_NFI[[#This Row],[Pcode]],CampList[CP_Pcode],0)-1,0,1,1)&gt;=NFI_Monitor_Date,1,0))</f>
        <v>0</v>
      </c>
      <c r="AS479" s="473" t="str">
        <f>IFERROR(VLOOKUP(Table_NFI[[#This Row],[Camp Name]],CL,3,0),"")</f>
        <v>Open</v>
      </c>
      <c r="AT479" s="294" t="str">
        <f ca="1">IF(Table_NFI[[#This Row],[Pcode]]="","",OFFSET(CampList[Priority],MATCH(Table_NFI[[#This Row],[Pcode]],CampList[CP_Pcode],0)-1,0,1,1))</f>
        <v>P2</v>
      </c>
      <c r="AU479" s="293">
        <f>IFERROR(Table_NFI[[#This Row],[Kitchen Set]]/VLOOKUP(Table_NFI[[#This Row],[Camp Name]],CL,4,0),"")</f>
        <v>0</v>
      </c>
      <c r="AV479" s="466" t="s">
        <v>1092</v>
      </c>
      <c r="AW479" s="469"/>
    </row>
    <row r="480" spans="1:49" s="470" customFormat="1" ht="14.45" customHeight="1" x14ac:dyDescent="0.25">
      <c r="A480" s="297">
        <f t="shared" si="7"/>
        <v>35.200000000000003</v>
      </c>
      <c r="B480" s="465">
        <v>41619</v>
      </c>
      <c r="C480" s="466" t="s">
        <v>1027</v>
      </c>
      <c r="D480" s="466" t="s">
        <v>1028</v>
      </c>
      <c r="E480" s="466" t="s">
        <v>380</v>
      </c>
      <c r="F480" s="290" t="s">
        <v>151</v>
      </c>
      <c r="G480" s="466" t="s">
        <v>188</v>
      </c>
      <c r="H480" s="291"/>
      <c r="I480" s="291"/>
      <c r="J480" s="291"/>
      <c r="K480" s="291"/>
      <c r="L480" s="292"/>
      <c r="M480" s="292">
        <v>174</v>
      </c>
      <c r="N480" s="292"/>
      <c r="O480" s="292"/>
      <c r="P480" s="294"/>
      <c r="Q480" s="294"/>
      <c r="R480" s="294"/>
      <c r="S480" s="294"/>
      <c r="T480" s="294"/>
      <c r="U480" s="294"/>
      <c r="V480" s="431"/>
      <c r="W480" s="294"/>
      <c r="X480" s="294"/>
      <c r="Y480" s="294">
        <f>IF(NFI_Expiration=1,IF($A480&lt;VLOOKUP(H$5,NFI,5,0),1,0)*Table_NFI[[#This Row],[Hygiene Kit]],Table_NFI[Hygiene Kit])</f>
        <v>0</v>
      </c>
      <c r="Z480" s="294">
        <f>IF(NFI_Expiration=1,IF($A480&lt;VLOOKUP(I$5,NFI,5,0),1,0)*Table_NFI[[#This Row],[NFI Core Kit]],Table_NFI[NFI Core Kit])</f>
        <v>0</v>
      </c>
      <c r="AA480" s="294">
        <f>IF(NFI_Expiration=1,IF($A480&lt;VLOOKUP(J$5,NFI,5,0),1,0)*Table_NFI[[#This Row],[Sanitary Kit]],Table_NFI[Sanitary Kit])</f>
        <v>0</v>
      </c>
      <c r="AB480" s="294">
        <f>IF(NFI_Expiration=1,IF($A480&lt;VLOOKUP(K$5,NFI,5,0),1,0)*Table_NFI[[#This Row],[Mosquito net]],Table_NFI[Mosquito net])</f>
        <v>0</v>
      </c>
      <c r="AC480" s="294">
        <f>IF(NFI_Expiration=1,IF($A480&lt;VLOOKUP(L$5,NFI,5,0),1,0)*Table_NFI[[#This Row],[Tarpaulin]],Table_NFI[[#This Row],[Tarpaulin]])</f>
        <v>0</v>
      </c>
      <c r="AD480" s="294">
        <f>IF(NFI_Expiration=1,IF($A480&lt;VLOOKUP(M$5,NFI,5,0),1,0)*Table_NFI[[#This Row],[Blanket]],Table_NFI[[#This Row],[Blanket]])</f>
        <v>0</v>
      </c>
      <c r="AE480" s="294">
        <f>IF(NFI_Expiration=1,IF($A480&lt;VLOOKUP(N$5,NFI,5,0),1,0)*Table_NFI[[#This Row],[Kitchen Set]],Table_NFI[Kitchen Set])</f>
        <v>0</v>
      </c>
      <c r="AF480" s="294">
        <f>IF(NFI_Expiration=1,IF($A480&lt;VLOOKUP(O$5,NFI,5,0),1,0)*Table_NFI[[#This Row],[Clothes Kit]],Table_NFI[Clothes Kit])</f>
        <v>0</v>
      </c>
      <c r="AG480" s="294">
        <f>IF(NFI_Expiration=1,IF($A480&lt;VLOOKUP(P$5,NFI,5,0),1,0)*Table_NFI[[#This Row],[Plastic Bucket]],Table_NFI[Plastic Bucket])</f>
        <v>0</v>
      </c>
      <c r="AH480" s="294">
        <f>IF(NFI_Expiration=1,IF($A480&lt;VLOOKUP(Q$5,NFI,5,0),1,0)*Table_NFI[[#This Row],[Plastic Mat]],Table_NFI[Plastic Mat])*IF(Table_NFI[[#This Row],[Distribution Date]]&gt;"2014-04-01",1,2.5)</f>
        <v>0</v>
      </c>
      <c r="AI480" s="294">
        <f>IF(NFI_Expiration=1,IF($A480&lt;VLOOKUP(R$5,NFI,5,0),1,0)*Table_NFI[[#This Row],[Winter Clothes Adult]],Table_NFI[Winter Clothes Adult])</f>
        <v>0</v>
      </c>
      <c r="AJ480" s="294">
        <f>IF(NFI_Expiration=1,IF($A480&lt;VLOOKUP(S$5,NFI,5,0),1,0)*Table_NFI[[#This Row],[Winter Clothes Children]],Table_NFI[Winter Clothes Children])</f>
        <v>0</v>
      </c>
      <c r="AK480" s="294">
        <f>IF(NFI_Expiration=1,IF($A480&lt;VLOOKUP(T$5,NFI,5,0),1,0)*Table_NFI[[#This Row],[Winter Items Other]],Table_NFI[Winter Items Other])</f>
        <v>0</v>
      </c>
      <c r="AL480" s="294">
        <f>IF(NFI_Expiration=1,IF($A480&lt;VLOOKUP(M$5,NFI,5,0),1,0)*Table_NFI[[#This Row],[Winter Blanket]],Table_NFI[[#This Row],[Winter Blanket]])</f>
        <v>0</v>
      </c>
      <c r="AM480" s="294">
        <f>IF(Table_NFI[[#This Row],[Winter Clothes Adult]]+Table_NFI[[#This Row],[Winter Clothes Children]]+Table_NFI[[#This Row],[Winter Items Other]]+Table_NFI[[#This Row],[Winter Blanket]]&gt;0,1,0)</f>
        <v>0</v>
      </c>
      <c r="AN480" s="331">
        <f>IF(NFI_Expiration=1,IF($A480&lt;VLOOKUP(V$5,NFI,5,0),1,0)*Table_NFI[[#This Row],[Jerry Can]],Table_NFI[Jerry Can])</f>
        <v>0</v>
      </c>
      <c r="AO480" s="331">
        <f>IF(NFI_Expiration=1,IF($A480&lt;VLOOKUP(V$5,NFI,5,0),1,0)*Table_NFI[[#This Row],[Shelter Tool kit]],Table_NFI[Shelter Tool kit])</f>
        <v>0</v>
      </c>
      <c r="AP480" s="331">
        <f>IF(NFI_Expiration=1,IF($A480&lt;VLOOKUP(V$5,NFI,5,0),1,0)*Table_NFI[[#This Row],[Tent]],Table_NFI[Tent])</f>
        <v>0</v>
      </c>
      <c r="AQ480" s="473" t="str">
        <f>IFERROR(VLOOKUP(Table_NFI[[#This Row],[Camp Name]],CL,2,0),"")</f>
        <v>MMR001CMP129</v>
      </c>
      <c r="AR480" s="468">
        <f ca="1">IF(Table_NFI[[#This Row],[Pcode]]="","",IF(OFFSET(CampList[Opening Date],MATCH(Table_NFI[[#This Row],[Pcode]],CampList[CP_Pcode],0)-1,0,1,1)&gt;=NFI_Monitor_Date,1,0))</f>
        <v>0</v>
      </c>
      <c r="AS480" s="473" t="str">
        <f>IFERROR(VLOOKUP(Table_NFI[[#This Row],[Camp Name]],CL,3,0),"")</f>
        <v>Open</v>
      </c>
      <c r="AT480" s="294" t="str">
        <f ca="1">IF(Table_NFI[[#This Row],[Pcode]]="","",OFFSET(CampList[Priority],MATCH(Table_NFI[[#This Row],[Pcode]],CampList[CP_Pcode],0)-1,0,1,1))</f>
        <v>P2</v>
      </c>
      <c r="AU480" s="293">
        <f>IFERROR(Table_NFI[[#This Row],[Kitchen Set]]/VLOOKUP(Table_NFI[[#This Row],[Camp Name]],CL,4,0),"")</f>
        <v>0</v>
      </c>
      <c r="AV480" s="466" t="s">
        <v>1092</v>
      </c>
      <c r="AW480" s="469"/>
    </row>
    <row r="481" spans="1:49" s="470" customFormat="1" ht="14.45" customHeight="1" x14ac:dyDescent="0.25">
      <c r="A481" s="297">
        <f t="shared" si="7"/>
        <v>35.200000000000003</v>
      </c>
      <c r="B481" s="465">
        <v>41619</v>
      </c>
      <c r="C481" s="466" t="s">
        <v>1027</v>
      </c>
      <c r="D481" s="466" t="s">
        <v>1028</v>
      </c>
      <c r="E481" s="466" t="s">
        <v>380</v>
      </c>
      <c r="F481" s="290" t="s">
        <v>151</v>
      </c>
      <c r="G481" s="466" t="s">
        <v>198</v>
      </c>
      <c r="H481" s="291"/>
      <c r="I481" s="291"/>
      <c r="J481" s="291"/>
      <c r="K481" s="291"/>
      <c r="L481" s="292"/>
      <c r="M481" s="292">
        <v>543</v>
      </c>
      <c r="N481" s="292"/>
      <c r="O481" s="292"/>
      <c r="P481" s="294"/>
      <c r="Q481" s="294"/>
      <c r="R481" s="294"/>
      <c r="S481" s="294"/>
      <c r="T481" s="294"/>
      <c r="U481" s="294"/>
      <c r="V481" s="431"/>
      <c r="W481" s="294"/>
      <c r="X481" s="294"/>
      <c r="Y481" s="294">
        <f>IF(NFI_Expiration=1,IF($A481&lt;VLOOKUP(H$5,NFI,5,0),1,0)*Table_NFI[[#This Row],[Hygiene Kit]],Table_NFI[Hygiene Kit])</f>
        <v>0</v>
      </c>
      <c r="Z481" s="294">
        <f>IF(NFI_Expiration=1,IF($A481&lt;VLOOKUP(I$5,NFI,5,0),1,0)*Table_NFI[[#This Row],[NFI Core Kit]],Table_NFI[NFI Core Kit])</f>
        <v>0</v>
      </c>
      <c r="AA481" s="294">
        <f>IF(NFI_Expiration=1,IF($A481&lt;VLOOKUP(J$5,NFI,5,0),1,0)*Table_NFI[[#This Row],[Sanitary Kit]],Table_NFI[Sanitary Kit])</f>
        <v>0</v>
      </c>
      <c r="AB481" s="294">
        <f>IF(NFI_Expiration=1,IF($A481&lt;VLOOKUP(K$5,NFI,5,0),1,0)*Table_NFI[[#This Row],[Mosquito net]],Table_NFI[Mosquito net])</f>
        <v>0</v>
      </c>
      <c r="AC481" s="294">
        <f>IF(NFI_Expiration=1,IF($A481&lt;VLOOKUP(L$5,NFI,5,0),1,0)*Table_NFI[[#This Row],[Tarpaulin]],Table_NFI[[#This Row],[Tarpaulin]])</f>
        <v>0</v>
      </c>
      <c r="AD481" s="294">
        <f>IF(NFI_Expiration=1,IF($A481&lt;VLOOKUP(M$5,NFI,5,0),1,0)*Table_NFI[[#This Row],[Blanket]],Table_NFI[[#This Row],[Blanket]])</f>
        <v>0</v>
      </c>
      <c r="AE481" s="294">
        <f>IF(NFI_Expiration=1,IF($A481&lt;VLOOKUP(N$5,NFI,5,0),1,0)*Table_NFI[[#This Row],[Kitchen Set]],Table_NFI[Kitchen Set])</f>
        <v>0</v>
      </c>
      <c r="AF481" s="294">
        <f>IF(NFI_Expiration=1,IF($A481&lt;VLOOKUP(O$5,NFI,5,0),1,0)*Table_NFI[[#This Row],[Clothes Kit]],Table_NFI[Clothes Kit])</f>
        <v>0</v>
      </c>
      <c r="AG481" s="294">
        <f>IF(NFI_Expiration=1,IF($A481&lt;VLOOKUP(P$5,NFI,5,0),1,0)*Table_NFI[[#This Row],[Plastic Bucket]],Table_NFI[Plastic Bucket])</f>
        <v>0</v>
      </c>
      <c r="AH481" s="294">
        <f>IF(NFI_Expiration=1,IF($A481&lt;VLOOKUP(Q$5,NFI,5,0),1,0)*Table_NFI[[#This Row],[Plastic Mat]],Table_NFI[Plastic Mat])*IF(Table_NFI[[#This Row],[Distribution Date]]&gt;"2014-04-01",1,2.5)</f>
        <v>0</v>
      </c>
      <c r="AI481" s="294">
        <f>IF(NFI_Expiration=1,IF($A481&lt;VLOOKUP(R$5,NFI,5,0),1,0)*Table_NFI[[#This Row],[Winter Clothes Adult]],Table_NFI[Winter Clothes Adult])</f>
        <v>0</v>
      </c>
      <c r="AJ481" s="294">
        <f>IF(NFI_Expiration=1,IF($A481&lt;VLOOKUP(S$5,NFI,5,0),1,0)*Table_NFI[[#This Row],[Winter Clothes Children]],Table_NFI[Winter Clothes Children])</f>
        <v>0</v>
      </c>
      <c r="AK481" s="294">
        <f>IF(NFI_Expiration=1,IF($A481&lt;VLOOKUP(T$5,NFI,5,0),1,0)*Table_NFI[[#This Row],[Winter Items Other]],Table_NFI[Winter Items Other])</f>
        <v>0</v>
      </c>
      <c r="AL481" s="294">
        <f>IF(NFI_Expiration=1,IF($A481&lt;VLOOKUP(M$5,NFI,5,0),1,0)*Table_NFI[[#This Row],[Winter Blanket]],Table_NFI[[#This Row],[Winter Blanket]])</f>
        <v>0</v>
      </c>
      <c r="AM481" s="294">
        <f>IF(Table_NFI[[#This Row],[Winter Clothes Adult]]+Table_NFI[[#This Row],[Winter Clothes Children]]+Table_NFI[[#This Row],[Winter Items Other]]+Table_NFI[[#This Row],[Winter Blanket]]&gt;0,1,0)</f>
        <v>0</v>
      </c>
      <c r="AN481" s="331">
        <f>IF(NFI_Expiration=1,IF($A481&lt;VLOOKUP(V$5,NFI,5,0),1,0)*Table_NFI[[#This Row],[Jerry Can]],Table_NFI[Jerry Can])</f>
        <v>0</v>
      </c>
      <c r="AO481" s="331">
        <f>IF(NFI_Expiration=1,IF($A481&lt;VLOOKUP(V$5,NFI,5,0),1,0)*Table_NFI[[#This Row],[Shelter Tool kit]],Table_NFI[Shelter Tool kit])</f>
        <v>0</v>
      </c>
      <c r="AP481" s="331">
        <f>IF(NFI_Expiration=1,IF($A481&lt;VLOOKUP(V$5,NFI,5,0),1,0)*Table_NFI[[#This Row],[Tent]],Table_NFI[Tent])</f>
        <v>0</v>
      </c>
      <c r="AQ481" s="473" t="str">
        <f>IFERROR(VLOOKUP(Table_NFI[[#This Row],[Camp Name]],CL,2,0),"")</f>
        <v>MMR001CMP128</v>
      </c>
      <c r="AR481" s="468">
        <f ca="1">IF(Table_NFI[[#This Row],[Pcode]]="","",IF(OFFSET(CampList[Opening Date],MATCH(Table_NFI[[#This Row],[Pcode]],CampList[CP_Pcode],0)-1,0,1,1)&gt;=NFI_Monitor_Date,1,0))</f>
        <v>0</v>
      </c>
      <c r="AS481" s="473" t="str">
        <f>IFERROR(VLOOKUP(Table_NFI[[#This Row],[Camp Name]],CL,3,0),"")</f>
        <v>Open</v>
      </c>
      <c r="AT481" s="294" t="str">
        <f ca="1">IF(Table_NFI[[#This Row],[Pcode]]="","",OFFSET(CampList[Priority],MATCH(Table_NFI[[#This Row],[Pcode]],CampList[CP_Pcode],0)-1,0,1,1))</f>
        <v>P2</v>
      </c>
      <c r="AU481" s="293">
        <f>IFERROR(Table_NFI[[#This Row],[Kitchen Set]]/VLOOKUP(Table_NFI[[#This Row],[Camp Name]],CL,4,0),"")</f>
        <v>0</v>
      </c>
      <c r="AV481" s="466" t="s">
        <v>1092</v>
      </c>
      <c r="AW481" s="469"/>
    </row>
    <row r="482" spans="1:49" s="470" customFormat="1" ht="14.45" customHeight="1" x14ac:dyDescent="0.25">
      <c r="A482" s="297">
        <f t="shared" si="7"/>
        <v>35.200000000000003</v>
      </c>
      <c r="B482" s="465">
        <v>41619</v>
      </c>
      <c r="C482" s="466" t="s">
        <v>1027</v>
      </c>
      <c r="D482" s="466" t="s">
        <v>1028</v>
      </c>
      <c r="E482" s="466" t="s">
        <v>380</v>
      </c>
      <c r="F482" s="466" t="s">
        <v>151</v>
      </c>
      <c r="G482" s="466" t="s">
        <v>158</v>
      </c>
      <c r="H482" s="291"/>
      <c r="I482" s="291"/>
      <c r="J482" s="291"/>
      <c r="K482" s="291"/>
      <c r="L482" s="292"/>
      <c r="M482" s="292">
        <v>38</v>
      </c>
      <c r="N482" s="292"/>
      <c r="O482" s="292"/>
      <c r="P482" s="294"/>
      <c r="Q482" s="294"/>
      <c r="R482" s="294"/>
      <c r="S482" s="294"/>
      <c r="T482" s="294"/>
      <c r="U482" s="294"/>
      <c r="V482" s="431"/>
      <c r="W482" s="294"/>
      <c r="X482" s="294"/>
      <c r="Y482" s="294">
        <f>IF(NFI_Expiration=1,IF($A482&lt;VLOOKUP(H$5,NFI,5,0),1,0)*Table_NFI[[#This Row],[Hygiene Kit]],Table_NFI[Hygiene Kit])</f>
        <v>0</v>
      </c>
      <c r="Z482" s="294">
        <f>IF(NFI_Expiration=1,IF($A482&lt;VLOOKUP(I$5,NFI,5,0),1,0)*Table_NFI[[#This Row],[NFI Core Kit]],Table_NFI[NFI Core Kit])</f>
        <v>0</v>
      </c>
      <c r="AA482" s="294">
        <f>IF(NFI_Expiration=1,IF($A482&lt;VLOOKUP(J$5,NFI,5,0),1,0)*Table_NFI[[#This Row],[Sanitary Kit]],Table_NFI[Sanitary Kit])</f>
        <v>0</v>
      </c>
      <c r="AB482" s="294">
        <f>IF(NFI_Expiration=1,IF($A482&lt;VLOOKUP(K$5,NFI,5,0),1,0)*Table_NFI[[#This Row],[Mosquito net]],Table_NFI[Mosquito net])</f>
        <v>0</v>
      </c>
      <c r="AC482" s="294">
        <f>IF(NFI_Expiration=1,IF($A482&lt;VLOOKUP(L$5,NFI,5,0),1,0)*Table_NFI[[#This Row],[Tarpaulin]],Table_NFI[[#This Row],[Tarpaulin]])</f>
        <v>0</v>
      </c>
      <c r="AD482" s="294">
        <f>IF(NFI_Expiration=1,IF($A482&lt;VLOOKUP(M$5,NFI,5,0),1,0)*Table_NFI[[#This Row],[Blanket]],Table_NFI[[#This Row],[Blanket]])</f>
        <v>0</v>
      </c>
      <c r="AE482" s="294">
        <f>IF(NFI_Expiration=1,IF($A482&lt;VLOOKUP(N$5,NFI,5,0),1,0)*Table_NFI[[#This Row],[Kitchen Set]],Table_NFI[Kitchen Set])</f>
        <v>0</v>
      </c>
      <c r="AF482" s="294">
        <f>IF(NFI_Expiration=1,IF($A482&lt;VLOOKUP(O$5,NFI,5,0),1,0)*Table_NFI[[#This Row],[Clothes Kit]],Table_NFI[Clothes Kit])</f>
        <v>0</v>
      </c>
      <c r="AG482" s="294">
        <f>IF(NFI_Expiration=1,IF($A482&lt;VLOOKUP(P$5,NFI,5,0),1,0)*Table_NFI[[#This Row],[Plastic Bucket]],Table_NFI[Plastic Bucket])</f>
        <v>0</v>
      </c>
      <c r="AH482" s="294">
        <f>IF(NFI_Expiration=1,IF($A482&lt;VLOOKUP(Q$5,NFI,5,0),1,0)*Table_NFI[[#This Row],[Plastic Mat]],Table_NFI[Plastic Mat])*IF(Table_NFI[[#This Row],[Distribution Date]]&gt;"2014-04-01",1,2.5)</f>
        <v>0</v>
      </c>
      <c r="AI482" s="294">
        <f>IF(NFI_Expiration=1,IF($A482&lt;VLOOKUP(R$5,NFI,5,0),1,0)*Table_NFI[[#This Row],[Winter Clothes Adult]],Table_NFI[Winter Clothes Adult])</f>
        <v>0</v>
      </c>
      <c r="AJ482" s="294">
        <f>IF(NFI_Expiration=1,IF($A482&lt;VLOOKUP(S$5,NFI,5,0),1,0)*Table_NFI[[#This Row],[Winter Clothes Children]],Table_NFI[Winter Clothes Children])</f>
        <v>0</v>
      </c>
      <c r="AK482" s="294">
        <f>IF(NFI_Expiration=1,IF($A482&lt;VLOOKUP(T$5,NFI,5,0),1,0)*Table_NFI[[#This Row],[Winter Items Other]],Table_NFI[Winter Items Other])</f>
        <v>0</v>
      </c>
      <c r="AL482" s="294">
        <f>IF(NFI_Expiration=1,IF($A482&lt;VLOOKUP(M$5,NFI,5,0),1,0)*Table_NFI[[#This Row],[Winter Blanket]],Table_NFI[[#This Row],[Winter Blanket]])</f>
        <v>0</v>
      </c>
      <c r="AM482" s="294">
        <f>IF(Table_NFI[[#This Row],[Winter Clothes Adult]]+Table_NFI[[#This Row],[Winter Clothes Children]]+Table_NFI[[#This Row],[Winter Items Other]]+Table_NFI[[#This Row],[Winter Blanket]]&gt;0,1,0)</f>
        <v>0</v>
      </c>
      <c r="AN482" s="331">
        <f>IF(NFI_Expiration=1,IF($A482&lt;VLOOKUP(V$5,NFI,5,0),1,0)*Table_NFI[[#This Row],[Jerry Can]],Table_NFI[Jerry Can])</f>
        <v>0</v>
      </c>
      <c r="AO482" s="331">
        <f>IF(NFI_Expiration=1,IF($A482&lt;VLOOKUP(V$5,NFI,5,0),1,0)*Table_NFI[[#This Row],[Shelter Tool kit]],Table_NFI[Shelter Tool kit])</f>
        <v>0</v>
      </c>
      <c r="AP482" s="331">
        <f>IF(NFI_Expiration=1,IF($A482&lt;VLOOKUP(V$5,NFI,5,0),1,0)*Table_NFI[[#This Row],[Tent]],Table_NFI[Tent])</f>
        <v>0</v>
      </c>
      <c r="AQ482" s="473" t="str">
        <f>IFERROR(VLOOKUP(Table_NFI[[#This Row],[Camp Name]],CL,2,0),"")</f>
        <v>MMR001CMP135</v>
      </c>
      <c r="AR482" s="468">
        <f ca="1">IF(Table_NFI[[#This Row],[Pcode]]="","",IF(OFFSET(CampList[Opening Date],MATCH(Table_NFI[[#This Row],[Pcode]],CampList[CP_Pcode],0)-1,0,1,1)&gt;=NFI_Monitor_Date,1,0))</f>
        <v>0</v>
      </c>
      <c r="AS482" s="473" t="str">
        <f>IFERROR(VLOOKUP(Table_NFI[[#This Row],[Camp Name]],CL,3,0),"")</f>
        <v>Closed</v>
      </c>
      <c r="AT482" s="294" t="str">
        <f ca="1">IF(Table_NFI[[#This Row],[Pcode]]="","",OFFSET(CampList[Priority],MATCH(Table_NFI[[#This Row],[Pcode]],CampList[CP_Pcode],0)-1,0,1,1))</f>
        <v>P2</v>
      </c>
      <c r="AU482" s="293" t="str">
        <f>IFERROR(Table_NFI[[#This Row],[Kitchen Set]]/VLOOKUP(Table_NFI[[#This Row],[Camp Name]],CL,4,0),"")</f>
        <v/>
      </c>
      <c r="AV482" s="466" t="s">
        <v>1092</v>
      </c>
      <c r="AW482" s="469"/>
    </row>
    <row r="483" spans="1:49" s="470" customFormat="1" ht="14.45" customHeight="1" x14ac:dyDescent="0.25">
      <c r="A483" s="297">
        <f t="shared" si="7"/>
        <v>35.200000000000003</v>
      </c>
      <c r="B483" s="465">
        <v>41619</v>
      </c>
      <c r="C483" s="466" t="s">
        <v>1027</v>
      </c>
      <c r="D483" s="466" t="s">
        <v>1028</v>
      </c>
      <c r="E483" s="466" t="s">
        <v>380</v>
      </c>
      <c r="F483" s="466" t="s">
        <v>185</v>
      </c>
      <c r="G483" s="466" t="s">
        <v>215</v>
      </c>
      <c r="H483" s="291"/>
      <c r="I483" s="291"/>
      <c r="J483" s="291"/>
      <c r="K483" s="291"/>
      <c r="L483" s="292"/>
      <c r="M483" s="292">
        <v>350</v>
      </c>
      <c r="N483" s="292"/>
      <c r="O483" s="292"/>
      <c r="P483" s="294"/>
      <c r="Q483" s="294"/>
      <c r="R483" s="294"/>
      <c r="S483" s="294"/>
      <c r="T483" s="294"/>
      <c r="U483" s="294"/>
      <c r="V483" s="431"/>
      <c r="W483" s="294"/>
      <c r="X483" s="294"/>
      <c r="Y483" s="294">
        <f>IF(NFI_Expiration=1,IF($A483&lt;VLOOKUP(H$5,NFI,5,0),1,0)*Table_NFI[[#This Row],[Hygiene Kit]],Table_NFI[Hygiene Kit])</f>
        <v>0</v>
      </c>
      <c r="Z483" s="294">
        <f>IF(NFI_Expiration=1,IF($A483&lt;VLOOKUP(I$5,NFI,5,0),1,0)*Table_NFI[[#This Row],[NFI Core Kit]],Table_NFI[NFI Core Kit])</f>
        <v>0</v>
      </c>
      <c r="AA483" s="294">
        <f>IF(NFI_Expiration=1,IF($A483&lt;VLOOKUP(J$5,NFI,5,0),1,0)*Table_NFI[[#This Row],[Sanitary Kit]],Table_NFI[Sanitary Kit])</f>
        <v>0</v>
      </c>
      <c r="AB483" s="294">
        <f>IF(NFI_Expiration=1,IF($A483&lt;VLOOKUP(K$5,NFI,5,0),1,0)*Table_NFI[[#This Row],[Mosquito net]],Table_NFI[Mosquito net])</f>
        <v>0</v>
      </c>
      <c r="AC483" s="294">
        <f>IF(NFI_Expiration=1,IF($A483&lt;VLOOKUP(L$5,NFI,5,0),1,0)*Table_NFI[[#This Row],[Tarpaulin]],Table_NFI[[#This Row],[Tarpaulin]])</f>
        <v>0</v>
      </c>
      <c r="AD483" s="294">
        <f>IF(NFI_Expiration=1,IF($A483&lt;VLOOKUP(M$5,NFI,5,0),1,0)*Table_NFI[[#This Row],[Blanket]],Table_NFI[[#This Row],[Blanket]])</f>
        <v>0</v>
      </c>
      <c r="AE483" s="294">
        <f>IF(NFI_Expiration=1,IF($A483&lt;VLOOKUP(N$5,NFI,5,0),1,0)*Table_NFI[[#This Row],[Kitchen Set]],Table_NFI[Kitchen Set])</f>
        <v>0</v>
      </c>
      <c r="AF483" s="294">
        <f>IF(NFI_Expiration=1,IF($A483&lt;VLOOKUP(O$5,NFI,5,0),1,0)*Table_NFI[[#This Row],[Clothes Kit]],Table_NFI[Clothes Kit])</f>
        <v>0</v>
      </c>
      <c r="AG483" s="294">
        <f>IF(NFI_Expiration=1,IF($A483&lt;VLOOKUP(P$5,NFI,5,0),1,0)*Table_NFI[[#This Row],[Plastic Bucket]],Table_NFI[Plastic Bucket])</f>
        <v>0</v>
      </c>
      <c r="AH483" s="294">
        <f>IF(NFI_Expiration=1,IF($A483&lt;VLOOKUP(Q$5,NFI,5,0),1,0)*Table_NFI[[#This Row],[Plastic Mat]],Table_NFI[Plastic Mat])*IF(Table_NFI[[#This Row],[Distribution Date]]&gt;"2014-04-01",1,2.5)</f>
        <v>0</v>
      </c>
      <c r="AI483" s="294">
        <f>IF(NFI_Expiration=1,IF($A483&lt;VLOOKUP(R$5,NFI,5,0),1,0)*Table_NFI[[#This Row],[Winter Clothes Adult]],Table_NFI[Winter Clothes Adult])</f>
        <v>0</v>
      </c>
      <c r="AJ483" s="294">
        <f>IF(NFI_Expiration=1,IF($A483&lt;VLOOKUP(S$5,NFI,5,0),1,0)*Table_NFI[[#This Row],[Winter Clothes Children]],Table_NFI[Winter Clothes Children])</f>
        <v>0</v>
      </c>
      <c r="AK483" s="294">
        <f>IF(NFI_Expiration=1,IF($A483&lt;VLOOKUP(T$5,NFI,5,0),1,0)*Table_NFI[[#This Row],[Winter Items Other]],Table_NFI[Winter Items Other])</f>
        <v>0</v>
      </c>
      <c r="AL483" s="294">
        <f>IF(NFI_Expiration=1,IF($A483&lt;VLOOKUP(M$5,NFI,5,0),1,0)*Table_NFI[[#This Row],[Winter Blanket]],Table_NFI[[#This Row],[Winter Blanket]])</f>
        <v>0</v>
      </c>
      <c r="AM483" s="294">
        <f>IF(Table_NFI[[#This Row],[Winter Clothes Adult]]+Table_NFI[[#This Row],[Winter Clothes Children]]+Table_NFI[[#This Row],[Winter Items Other]]+Table_NFI[[#This Row],[Winter Blanket]]&gt;0,1,0)</f>
        <v>0</v>
      </c>
      <c r="AN483" s="331">
        <f>IF(NFI_Expiration=1,IF($A483&lt;VLOOKUP(V$5,NFI,5,0),1,0)*Table_NFI[[#This Row],[Jerry Can]],Table_NFI[Jerry Can])</f>
        <v>0</v>
      </c>
      <c r="AO483" s="331">
        <f>IF(NFI_Expiration=1,IF($A483&lt;VLOOKUP(V$5,NFI,5,0),1,0)*Table_NFI[[#This Row],[Shelter Tool kit]],Table_NFI[Shelter Tool kit])</f>
        <v>0</v>
      </c>
      <c r="AP483" s="331">
        <f>IF(NFI_Expiration=1,IF($A483&lt;VLOOKUP(V$5,NFI,5,0),1,0)*Table_NFI[[#This Row],[Tent]],Table_NFI[Tent])</f>
        <v>0</v>
      </c>
      <c r="AQ483" s="473" t="str">
        <f>IFERROR(VLOOKUP(Table_NFI[[#This Row],[Camp Name]],CL,2,0),"")</f>
        <v>MMR001CMP131</v>
      </c>
      <c r="AR483" s="468">
        <f ca="1">IF(Table_NFI[[#This Row],[Pcode]]="","",IF(OFFSET(CampList[Opening Date],MATCH(Table_NFI[[#This Row],[Pcode]],CampList[CP_Pcode],0)-1,0,1,1)&gt;=NFI_Monitor_Date,1,0))</f>
        <v>0</v>
      </c>
      <c r="AS483" s="473" t="str">
        <f>IFERROR(VLOOKUP(Table_NFI[[#This Row],[Camp Name]],CL,3,0),"")</f>
        <v>Open</v>
      </c>
      <c r="AT483" s="294" t="str">
        <f ca="1">IF(Table_NFI[[#This Row],[Pcode]]="","",OFFSET(CampList[Priority],MATCH(Table_NFI[[#This Row],[Pcode]],CampList[CP_Pcode],0)-1,0,1,1))</f>
        <v>P1</v>
      </c>
      <c r="AU483" s="293">
        <f>IFERROR(Table_NFI[[#This Row],[Kitchen Set]]/VLOOKUP(Table_NFI[[#This Row],[Camp Name]],CL,4,0),"")</f>
        <v>0</v>
      </c>
      <c r="AV483" s="466" t="s">
        <v>1092</v>
      </c>
      <c r="AW483" s="469"/>
    </row>
    <row r="484" spans="1:49" s="470" customFormat="1" ht="14.45" customHeight="1" x14ac:dyDescent="0.25">
      <c r="A484" s="297">
        <f t="shared" si="7"/>
        <v>35.200000000000003</v>
      </c>
      <c r="B484" s="465">
        <v>41619</v>
      </c>
      <c r="C484" s="466" t="s">
        <v>1027</v>
      </c>
      <c r="D484" s="466" t="s">
        <v>1028</v>
      </c>
      <c r="E484" s="466" t="s">
        <v>380</v>
      </c>
      <c r="F484" s="466" t="s">
        <v>185</v>
      </c>
      <c r="G484" s="466" t="s">
        <v>219</v>
      </c>
      <c r="H484" s="291"/>
      <c r="I484" s="291"/>
      <c r="J484" s="291"/>
      <c r="K484" s="291"/>
      <c r="L484" s="292"/>
      <c r="M484" s="292">
        <v>417</v>
      </c>
      <c r="N484" s="292"/>
      <c r="O484" s="292"/>
      <c r="P484" s="294"/>
      <c r="Q484" s="294"/>
      <c r="R484" s="294"/>
      <c r="S484" s="294"/>
      <c r="T484" s="294"/>
      <c r="U484" s="294"/>
      <c r="V484" s="431"/>
      <c r="W484" s="294"/>
      <c r="X484" s="294"/>
      <c r="Y484" s="294">
        <f>IF(NFI_Expiration=1,IF($A484&lt;VLOOKUP(H$5,NFI,5,0),1,0)*Table_NFI[[#This Row],[Hygiene Kit]],Table_NFI[Hygiene Kit])</f>
        <v>0</v>
      </c>
      <c r="Z484" s="294">
        <f>IF(NFI_Expiration=1,IF($A484&lt;VLOOKUP(I$5,NFI,5,0),1,0)*Table_NFI[[#This Row],[NFI Core Kit]],Table_NFI[NFI Core Kit])</f>
        <v>0</v>
      </c>
      <c r="AA484" s="294">
        <f>IF(NFI_Expiration=1,IF($A484&lt;VLOOKUP(J$5,NFI,5,0),1,0)*Table_NFI[[#This Row],[Sanitary Kit]],Table_NFI[Sanitary Kit])</f>
        <v>0</v>
      </c>
      <c r="AB484" s="294">
        <f>IF(NFI_Expiration=1,IF($A484&lt;VLOOKUP(K$5,NFI,5,0),1,0)*Table_NFI[[#This Row],[Mosquito net]],Table_NFI[Mosquito net])</f>
        <v>0</v>
      </c>
      <c r="AC484" s="294">
        <f>IF(NFI_Expiration=1,IF($A484&lt;VLOOKUP(L$5,NFI,5,0),1,0)*Table_NFI[[#This Row],[Tarpaulin]],Table_NFI[[#This Row],[Tarpaulin]])</f>
        <v>0</v>
      </c>
      <c r="AD484" s="294">
        <f>IF(NFI_Expiration=1,IF($A484&lt;VLOOKUP(M$5,NFI,5,0),1,0)*Table_NFI[[#This Row],[Blanket]],Table_NFI[[#This Row],[Blanket]])</f>
        <v>0</v>
      </c>
      <c r="AE484" s="294">
        <f>IF(NFI_Expiration=1,IF($A484&lt;VLOOKUP(N$5,NFI,5,0),1,0)*Table_NFI[[#This Row],[Kitchen Set]],Table_NFI[Kitchen Set])</f>
        <v>0</v>
      </c>
      <c r="AF484" s="294">
        <f>IF(NFI_Expiration=1,IF($A484&lt;VLOOKUP(O$5,NFI,5,0),1,0)*Table_NFI[[#This Row],[Clothes Kit]],Table_NFI[Clothes Kit])</f>
        <v>0</v>
      </c>
      <c r="AG484" s="294">
        <f>IF(NFI_Expiration=1,IF($A484&lt;VLOOKUP(P$5,NFI,5,0),1,0)*Table_NFI[[#This Row],[Plastic Bucket]],Table_NFI[Plastic Bucket])</f>
        <v>0</v>
      </c>
      <c r="AH484" s="294">
        <f>IF(NFI_Expiration=1,IF($A484&lt;VLOOKUP(Q$5,NFI,5,0),1,0)*Table_NFI[[#This Row],[Plastic Mat]],Table_NFI[Plastic Mat])*IF(Table_NFI[[#This Row],[Distribution Date]]&gt;"2014-04-01",1,2.5)</f>
        <v>0</v>
      </c>
      <c r="AI484" s="294">
        <f>IF(NFI_Expiration=1,IF($A484&lt;VLOOKUP(R$5,NFI,5,0),1,0)*Table_NFI[[#This Row],[Winter Clothes Adult]],Table_NFI[Winter Clothes Adult])</f>
        <v>0</v>
      </c>
      <c r="AJ484" s="294">
        <f>IF(NFI_Expiration=1,IF($A484&lt;VLOOKUP(S$5,NFI,5,0),1,0)*Table_NFI[[#This Row],[Winter Clothes Children]],Table_NFI[Winter Clothes Children])</f>
        <v>0</v>
      </c>
      <c r="AK484" s="294">
        <f>IF(NFI_Expiration=1,IF($A484&lt;VLOOKUP(T$5,NFI,5,0),1,0)*Table_NFI[[#This Row],[Winter Items Other]],Table_NFI[Winter Items Other])</f>
        <v>0</v>
      </c>
      <c r="AL484" s="294">
        <f>IF(NFI_Expiration=1,IF($A484&lt;VLOOKUP(M$5,NFI,5,0),1,0)*Table_NFI[[#This Row],[Winter Blanket]],Table_NFI[[#This Row],[Winter Blanket]])</f>
        <v>0</v>
      </c>
      <c r="AM484" s="294">
        <f>IF(Table_NFI[[#This Row],[Winter Clothes Adult]]+Table_NFI[[#This Row],[Winter Clothes Children]]+Table_NFI[[#This Row],[Winter Items Other]]+Table_NFI[[#This Row],[Winter Blanket]]&gt;0,1,0)</f>
        <v>0</v>
      </c>
      <c r="AN484" s="331">
        <f>IF(NFI_Expiration=1,IF($A484&lt;VLOOKUP(V$5,NFI,5,0),1,0)*Table_NFI[[#This Row],[Jerry Can]],Table_NFI[Jerry Can])</f>
        <v>0</v>
      </c>
      <c r="AO484" s="331">
        <f>IF(NFI_Expiration=1,IF($A484&lt;VLOOKUP(V$5,NFI,5,0),1,0)*Table_NFI[[#This Row],[Shelter Tool kit]],Table_NFI[Shelter Tool kit])</f>
        <v>0</v>
      </c>
      <c r="AP484" s="331">
        <f>IF(NFI_Expiration=1,IF($A484&lt;VLOOKUP(V$5,NFI,5,0),1,0)*Table_NFI[[#This Row],[Tent]],Table_NFI[Tent])</f>
        <v>0</v>
      </c>
      <c r="AQ484" s="473" t="str">
        <f>IFERROR(VLOOKUP(Table_NFI[[#This Row],[Camp Name]],CL,2,0),"")</f>
        <v>MMR001CMP126</v>
      </c>
      <c r="AR484" s="468">
        <f ca="1">IF(Table_NFI[[#This Row],[Pcode]]="","",IF(OFFSET(CampList[Opening Date],MATCH(Table_NFI[[#This Row],[Pcode]],CampList[CP_Pcode],0)-1,0,1,1)&gt;=NFI_Monitor_Date,1,0))</f>
        <v>0</v>
      </c>
      <c r="AS484" s="473" t="str">
        <f>IFERROR(VLOOKUP(Table_NFI[[#This Row],[Camp Name]],CL,3,0),"")</f>
        <v>Open</v>
      </c>
      <c r="AT484" s="294" t="str">
        <f ca="1">IF(Table_NFI[[#This Row],[Pcode]]="","",OFFSET(CampList[Priority],MATCH(Table_NFI[[#This Row],[Pcode]],CampList[CP_Pcode],0)-1,0,1,1))</f>
        <v>P2</v>
      </c>
      <c r="AU484" s="293">
        <f>IFERROR(Table_NFI[[#This Row],[Kitchen Set]]/VLOOKUP(Table_NFI[[#This Row],[Camp Name]],CL,4,0),"")</f>
        <v>0</v>
      </c>
      <c r="AV484" s="466" t="s">
        <v>1092</v>
      </c>
      <c r="AW484" s="469"/>
    </row>
    <row r="485" spans="1:49" s="470" customFormat="1" ht="14.45" customHeight="1" x14ac:dyDescent="0.25">
      <c r="A485" s="297">
        <f t="shared" si="7"/>
        <v>35.233333333333334</v>
      </c>
      <c r="B485" s="465">
        <v>41618</v>
      </c>
      <c r="C485" s="466" t="s">
        <v>453</v>
      </c>
      <c r="D485" s="466"/>
      <c r="E485" s="466" t="s">
        <v>380</v>
      </c>
      <c r="F485" s="466" t="s">
        <v>151</v>
      </c>
      <c r="G485" s="466" t="s">
        <v>154</v>
      </c>
      <c r="H485" s="291"/>
      <c r="I485" s="291"/>
      <c r="J485" s="291"/>
      <c r="K485" s="291"/>
      <c r="L485" s="292"/>
      <c r="M485" s="292"/>
      <c r="N485" s="292"/>
      <c r="O485" s="292"/>
      <c r="P485" s="294"/>
      <c r="Q485" s="294"/>
      <c r="R485" s="294"/>
      <c r="S485" s="294">
        <v>256</v>
      </c>
      <c r="T485" s="294"/>
      <c r="U485" s="294"/>
      <c r="V485" s="431"/>
      <c r="W485" s="294"/>
      <c r="X485" s="294"/>
      <c r="Y485" s="294">
        <f>IF(NFI_Expiration=1,IF($A485&lt;VLOOKUP(H$5,NFI,5,0),1,0)*Table_NFI[[#This Row],[Hygiene Kit]],Table_NFI[Hygiene Kit])</f>
        <v>0</v>
      </c>
      <c r="Z485" s="294">
        <f>IF(NFI_Expiration=1,IF($A485&lt;VLOOKUP(I$5,NFI,5,0),1,0)*Table_NFI[[#This Row],[NFI Core Kit]],Table_NFI[NFI Core Kit])</f>
        <v>0</v>
      </c>
      <c r="AA485" s="294">
        <f>IF(NFI_Expiration=1,IF($A485&lt;VLOOKUP(J$5,NFI,5,0),1,0)*Table_NFI[[#This Row],[Sanitary Kit]],Table_NFI[Sanitary Kit])</f>
        <v>0</v>
      </c>
      <c r="AB485" s="294">
        <f>IF(NFI_Expiration=1,IF($A485&lt;VLOOKUP(K$5,NFI,5,0),1,0)*Table_NFI[[#This Row],[Mosquito net]],Table_NFI[Mosquito net])</f>
        <v>0</v>
      </c>
      <c r="AC485" s="294">
        <f>IF(NFI_Expiration=1,IF($A485&lt;VLOOKUP(L$5,NFI,5,0),1,0)*Table_NFI[[#This Row],[Tarpaulin]],Table_NFI[[#This Row],[Tarpaulin]])</f>
        <v>0</v>
      </c>
      <c r="AD485" s="294">
        <f>IF(NFI_Expiration=1,IF($A485&lt;VLOOKUP(M$5,NFI,5,0),1,0)*Table_NFI[[#This Row],[Blanket]],Table_NFI[[#This Row],[Blanket]])</f>
        <v>0</v>
      </c>
      <c r="AE485" s="294">
        <f>IF(NFI_Expiration=1,IF($A485&lt;VLOOKUP(N$5,NFI,5,0),1,0)*Table_NFI[[#This Row],[Kitchen Set]],Table_NFI[Kitchen Set])</f>
        <v>0</v>
      </c>
      <c r="AF485" s="294">
        <f>IF(NFI_Expiration=1,IF($A485&lt;VLOOKUP(O$5,NFI,5,0),1,0)*Table_NFI[[#This Row],[Clothes Kit]],Table_NFI[Clothes Kit])</f>
        <v>0</v>
      </c>
      <c r="AG485" s="294">
        <f>IF(NFI_Expiration=1,IF($A485&lt;VLOOKUP(P$5,NFI,5,0),1,0)*Table_NFI[[#This Row],[Plastic Bucket]],Table_NFI[Plastic Bucket])</f>
        <v>0</v>
      </c>
      <c r="AH485" s="294">
        <f>IF(NFI_Expiration=1,IF($A485&lt;VLOOKUP(Q$5,NFI,5,0),1,0)*Table_NFI[[#This Row],[Plastic Mat]],Table_NFI[Plastic Mat])*IF(Table_NFI[[#This Row],[Distribution Date]]&gt;"2014-04-01",1,2.5)</f>
        <v>0</v>
      </c>
      <c r="AI485" s="294">
        <f>IF(NFI_Expiration=1,IF($A485&lt;VLOOKUP(R$5,NFI,5,0),1,0)*Table_NFI[[#This Row],[Winter Clothes Adult]],Table_NFI[Winter Clothes Adult])</f>
        <v>0</v>
      </c>
      <c r="AJ485" s="294">
        <f>IF(NFI_Expiration=1,IF($A485&lt;VLOOKUP(S$5,NFI,5,0),1,0)*Table_NFI[[#This Row],[Winter Clothes Children]],Table_NFI[Winter Clothes Children])</f>
        <v>0</v>
      </c>
      <c r="AK485" s="294">
        <f>IF(NFI_Expiration=1,IF($A485&lt;VLOOKUP(T$5,NFI,5,0),1,0)*Table_NFI[[#This Row],[Winter Items Other]],Table_NFI[Winter Items Other])</f>
        <v>0</v>
      </c>
      <c r="AL485" s="294">
        <f>IF(NFI_Expiration=1,IF($A485&lt;VLOOKUP(M$5,NFI,5,0),1,0)*Table_NFI[[#This Row],[Winter Blanket]],Table_NFI[[#This Row],[Winter Blanket]])</f>
        <v>0</v>
      </c>
      <c r="AM485" s="294">
        <f>IF(Table_NFI[[#This Row],[Winter Clothes Adult]]+Table_NFI[[#This Row],[Winter Clothes Children]]+Table_NFI[[#This Row],[Winter Items Other]]+Table_NFI[[#This Row],[Winter Blanket]]&gt;0,1,0)</f>
        <v>1</v>
      </c>
      <c r="AN485" s="331">
        <f>IF(NFI_Expiration=1,IF($A485&lt;VLOOKUP(V$5,NFI,5,0),1,0)*Table_NFI[[#This Row],[Jerry Can]],Table_NFI[Jerry Can])</f>
        <v>0</v>
      </c>
      <c r="AO485" s="331">
        <f>IF(NFI_Expiration=1,IF($A485&lt;VLOOKUP(V$5,NFI,5,0),1,0)*Table_NFI[[#This Row],[Shelter Tool kit]],Table_NFI[Shelter Tool kit])</f>
        <v>0</v>
      </c>
      <c r="AP485" s="331">
        <f>IF(NFI_Expiration=1,IF($A485&lt;VLOOKUP(V$5,NFI,5,0),1,0)*Table_NFI[[#This Row],[Tent]],Table_NFI[Tent])</f>
        <v>0</v>
      </c>
      <c r="AQ485" s="473" t="str">
        <f>IFERROR(VLOOKUP(Table_NFI[[#This Row],[Camp Name]],CL,2,0),"")</f>
        <v>MMR001CMP132</v>
      </c>
      <c r="AR485" s="468">
        <f ca="1">IF(Table_NFI[[#This Row],[Pcode]]="","",IF(OFFSET(CampList[Opening Date],MATCH(Table_NFI[[#This Row],[Pcode]],CampList[CP_Pcode],0)-1,0,1,1)&gt;=NFI_Monitor_Date,1,0))</f>
        <v>0</v>
      </c>
      <c r="AS485" s="473" t="str">
        <f>IFERROR(VLOOKUP(Table_NFI[[#This Row],[Camp Name]],CL,3,0),"")</f>
        <v>Open</v>
      </c>
      <c r="AT485" s="294" t="str">
        <f ca="1">IF(Table_NFI[[#This Row],[Pcode]]="","",OFFSET(CampList[Priority],MATCH(Table_NFI[[#This Row],[Pcode]],CampList[CP_Pcode],0)-1,0,1,1))</f>
        <v>P4</v>
      </c>
      <c r="AU485" s="293">
        <f>IFERROR(Table_NFI[[#This Row],[Kitchen Set]]/VLOOKUP(Table_NFI[[#This Row],[Camp Name]],CL,4,0),"")</f>
        <v>0</v>
      </c>
      <c r="AV485" s="466" t="s">
        <v>1092</v>
      </c>
      <c r="AW485" s="469"/>
    </row>
    <row r="486" spans="1:49" s="470" customFormat="1" ht="14.45" customHeight="1" x14ac:dyDescent="0.25">
      <c r="A486" s="297">
        <f t="shared" si="7"/>
        <v>35.4</v>
      </c>
      <c r="B486" s="465">
        <v>41613</v>
      </c>
      <c r="C486" s="466" t="s">
        <v>905</v>
      </c>
      <c r="D486" s="466" t="s">
        <v>460</v>
      </c>
      <c r="E486" s="466" t="s">
        <v>380</v>
      </c>
      <c r="F486" s="466" t="s">
        <v>185</v>
      </c>
      <c r="G486" s="466" t="s">
        <v>192</v>
      </c>
      <c r="H486" s="291"/>
      <c r="I486" s="291"/>
      <c r="J486" s="291"/>
      <c r="K486" s="291"/>
      <c r="L486" s="292"/>
      <c r="M486" s="292"/>
      <c r="N486" s="292"/>
      <c r="O486" s="292"/>
      <c r="P486" s="294"/>
      <c r="Q486" s="294"/>
      <c r="R486" s="294">
        <v>120</v>
      </c>
      <c r="S486" s="294">
        <v>240</v>
      </c>
      <c r="T486" s="294">
        <v>720</v>
      </c>
      <c r="U486" s="294">
        <v>360</v>
      </c>
      <c r="V486" s="431"/>
      <c r="W486" s="294"/>
      <c r="X486" s="294"/>
      <c r="Y486" s="294">
        <f>IF(NFI_Expiration=1,IF($A486&lt;VLOOKUP(H$5,NFI,5,0),1,0)*Table_NFI[[#This Row],[Hygiene Kit]],Table_NFI[Hygiene Kit])</f>
        <v>0</v>
      </c>
      <c r="Z486" s="294">
        <f>IF(NFI_Expiration=1,IF($A486&lt;VLOOKUP(I$5,NFI,5,0),1,0)*Table_NFI[[#This Row],[NFI Core Kit]],Table_NFI[NFI Core Kit])</f>
        <v>0</v>
      </c>
      <c r="AA486" s="294">
        <f>IF(NFI_Expiration=1,IF($A486&lt;VLOOKUP(J$5,NFI,5,0),1,0)*Table_NFI[[#This Row],[Sanitary Kit]],Table_NFI[Sanitary Kit])</f>
        <v>0</v>
      </c>
      <c r="AB486" s="294">
        <f>IF(NFI_Expiration=1,IF($A486&lt;VLOOKUP(K$5,NFI,5,0),1,0)*Table_NFI[[#This Row],[Mosquito net]],Table_NFI[Mosquito net])</f>
        <v>0</v>
      </c>
      <c r="AC486" s="294">
        <f>IF(NFI_Expiration=1,IF($A486&lt;VLOOKUP(L$5,NFI,5,0),1,0)*Table_NFI[[#This Row],[Tarpaulin]],Table_NFI[[#This Row],[Tarpaulin]])</f>
        <v>0</v>
      </c>
      <c r="AD486" s="294">
        <f>IF(NFI_Expiration=1,IF($A486&lt;VLOOKUP(M$5,NFI,5,0),1,0)*Table_NFI[[#This Row],[Blanket]],Table_NFI[[#This Row],[Blanket]])</f>
        <v>0</v>
      </c>
      <c r="AE486" s="294">
        <f>IF(NFI_Expiration=1,IF($A486&lt;VLOOKUP(N$5,NFI,5,0),1,0)*Table_NFI[[#This Row],[Kitchen Set]],Table_NFI[Kitchen Set])</f>
        <v>0</v>
      </c>
      <c r="AF486" s="294">
        <f>IF(NFI_Expiration=1,IF($A486&lt;VLOOKUP(O$5,NFI,5,0),1,0)*Table_NFI[[#This Row],[Clothes Kit]],Table_NFI[Clothes Kit])</f>
        <v>0</v>
      </c>
      <c r="AG486" s="294">
        <f>IF(NFI_Expiration=1,IF($A486&lt;VLOOKUP(P$5,NFI,5,0),1,0)*Table_NFI[[#This Row],[Plastic Bucket]],Table_NFI[Plastic Bucket])</f>
        <v>0</v>
      </c>
      <c r="AH486" s="294">
        <f>IF(NFI_Expiration=1,IF($A486&lt;VLOOKUP(Q$5,NFI,5,0),1,0)*Table_NFI[[#This Row],[Plastic Mat]],Table_NFI[Plastic Mat])*IF(Table_NFI[[#This Row],[Distribution Date]]&gt;"2014-04-01",1,2.5)</f>
        <v>0</v>
      </c>
      <c r="AI486" s="294">
        <f>IF(NFI_Expiration=1,IF($A486&lt;VLOOKUP(R$5,NFI,5,0),1,0)*Table_NFI[[#This Row],[Winter Clothes Adult]],Table_NFI[Winter Clothes Adult])</f>
        <v>0</v>
      </c>
      <c r="AJ486" s="294">
        <f>IF(NFI_Expiration=1,IF($A486&lt;VLOOKUP(S$5,NFI,5,0),1,0)*Table_NFI[[#This Row],[Winter Clothes Children]],Table_NFI[Winter Clothes Children])</f>
        <v>0</v>
      </c>
      <c r="AK486" s="294">
        <f>IF(NFI_Expiration=1,IF($A486&lt;VLOOKUP(T$5,NFI,5,0),1,0)*Table_NFI[[#This Row],[Winter Items Other]],Table_NFI[Winter Items Other])</f>
        <v>0</v>
      </c>
      <c r="AL486" s="294">
        <f>IF(NFI_Expiration=1,IF($A486&lt;VLOOKUP(M$5,NFI,5,0),1,0)*Table_NFI[[#This Row],[Winter Blanket]],Table_NFI[[#This Row],[Winter Blanket]])</f>
        <v>0</v>
      </c>
      <c r="AM486" s="294">
        <f>IF(Table_NFI[[#This Row],[Winter Clothes Adult]]+Table_NFI[[#This Row],[Winter Clothes Children]]+Table_NFI[[#This Row],[Winter Items Other]]+Table_NFI[[#This Row],[Winter Blanket]]&gt;0,1,0)</f>
        <v>1</v>
      </c>
      <c r="AN486" s="331">
        <f>IF(NFI_Expiration=1,IF($A486&lt;VLOOKUP(V$5,NFI,5,0),1,0)*Table_NFI[[#This Row],[Jerry Can]],Table_NFI[Jerry Can])</f>
        <v>0</v>
      </c>
      <c r="AO486" s="331">
        <f>IF(NFI_Expiration=1,IF($A486&lt;VLOOKUP(V$5,NFI,5,0),1,0)*Table_NFI[[#This Row],[Shelter Tool kit]],Table_NFI[Shelter Tool kit])</f>
        <v>0</v>
      </c>
      <c r="AP486" s="331">
        <f>IF(NFI_Expiration=1,IF($A486&lt;VLOOKUP(V$5,NFI,5,0),1,0)*Table_NFI[[#This Row],[Tent]],Table_NFI[Tent])</f>
        <v>0</v>
      </c>
      <c r="AQ486" s="473" t="str">
        <f>IFERROR(VLOOKUP(Table_NFI[[#This Row],[Camp Name]],CL,2,0),"")</f>
        <v>MMR001CMP123</v>
      </c>
      <c r="AR486" s="468">
        <f ca="1">IF(Table_NFI[[#This Row],[Pcode]]="","",IF(OFFSET(CampList[Opening Date],MATCH(Table_NFI[[#This Row],[Pcode]],CampList[CP_Pcode],0)-1,0,1,1)&gt;=NFI_Monitor_Date,1,0))</f>
        <v>0</v>
      </c>
      <c r="AS486" s="473" t="str">
        <f>IFERROR(VLOOKUP(Table_NFI[[#This Row],[Camp Name]],CL,3,0),"")</f>
        <v>Open</v>
      </c>
      <c r="AT486" s="294" t="str">
        <f ca="1">IF(Table_NFI[[#This Row],[Pcode]]="","",OFFSET(CampList[Priority],MATCH(Table_NFI[[#This Row],[Pcode]],CampList[CP_Pcode],0)-1,0,1,1))</f>
        <v>P2</v>
      </c>
      <c r="AU486" s="293">
        <f>IFERROR(Table_NFI[[#This Row],[Kitchen Set]]/VLOOKUP(Table_NFI[[#This Row],[Camp Name]],CL,4,0),"")</f>
        <v>0</v>
      </c>
      <c r="AV486" s="466"/>
      <c r="AW486" s="469"/>
    </row>
    <row r="487" spans="1:49" s="470" customFormat="1" ht="14.45" customHeight="1" x14ac:dyDescent="0.25">
      <c r="A487" s="297">
        <f t="shared" si="7"/>
        <v>35.43333333333333</v>
      </c>
      <c r="B487" s="465">
        <v>41612</v>
      </c>
      <c r="C487" s="466" t="s">
        <v>452</v>
      </c>
      <c r="D487" s="467" t="s">
        <v>452</v>
      </c>
      <c r="E487" s="466" t="s">
        <v>380</v>
      </c>
      <c r="F487" s="290" t="s">
        <v>5</v>
      </c>
      <c r="G487" s="290" t="s">
        <v>512</v>
      </c>
      <c r="H487" s="291"/>
      <c r="I487" s="291"/>
      <c r="J487" s="291"/>
      <c r="K487" s="291"/>
      <c r="L487" s="292"/>
      <c r="M487" s="292">
        <v>10</v>
      </c>
      <c r="N487" s="292">
        <v>5</v>
      </c>
      <c r="O487" s="292">
        <v>5</v>
      </c>
      <c r="P487" s="294"/>
      <c r="Q487" s="294"/>
      <c r="R487" s="294"/>
      <c r="S487" s="294"/>
      <c r="T487" s="294"/>
      <c r="U487" s="294"/>
      <c r="V487" s="431"/>
      <c r="W487" s="294"/>
      <c r="X487" s="294"/>
      <c r="Y487" s="294">
        <f>IF(NFI_Expiration=1,IF($A487&lt;VLOOKUP(H$5,NFI,5,0),1,0)*Table_NFI[[#This Row],[Hygiene Kit]],Table_NFI[Hygiene Kit])</f>
        <v>0</v>
      </c>
      <c r="Z487" s="294">
        <f>IF(NFI_Expiration=1,IF($A487&lt;VLOOKUP(I$5,NFI,5,0),1,0)*Table_NFI[[#This Row],[NFI Core Kit]],Table_NFI[NFI Core Kit])</f>
        <v>0</v>
      </c>
      <c r="AA487" s="294">
        <f>IF(NFI_Expiration=1,IF($A487&lt;VLOOKUP(J$5,NFI,5,0),1,0)*Table_NFI[[#This Row],[Sanitary Kit]],Table_NFI[Sanitary Kit])</f>
        <v>0</v>
      </c>
      <c r="AB487" s="294">
        <f>IF(NFI_Expiration=1,IF($A487&lt;VLOOKUP(K$5,NFI,5,0),1,0)*Table_NFI[[#This Row],[Mosquito net]],Table_NFI[Mosquito net])</f>
        <v>0</v>
      </c>
      <c r="AC487" s="294">
        <f>IF(NFI_Expiration=1,IF($A487&lt;VLOOKUP(L$5,NFI,5,0),1,0)*Table_NFI[[#This Row],[Tarpaulin]],Table_NFI[[#This Row],[Tarpaulin]])</f>
        <v>0</v>
      </c>
      <c r="AD487" s="294">
        <f>IF(NFI_Expiration=1,IF($A487&lt;VLOOKUP(M$5,NFI,5,0),1,0)*Table_NFI[[#This Row],[Blanket]],Table_NFI[[#This Row],[Blanket]])</f>
        <v>0</v>
      </c>
      <c r="AE487" s="294">
        <f>IF(NFI_Expiration=1,IF($A487&lt;VLOOKUP(N$5,NFI,5,0),1,0)*Table_NFI[[#This Row],[Kitchen Set]],Table_NFI[Kitchen Set])</f>
        <v>0</v>
      </c>
      <c r="AF487" s="294">
        <f>IF(NFI_Expiration=1,IF($A487&lt;VLOOKUP(O$5,NFI,5,0),1,0)*Table_NFI[[#This Row],[Clothes Kit]],Table_NFI[Clothes Kit])</f>
        <v>0</v>
      </c>
      <c r="AG487" s="294">
        <f>IF(NFI_Expiration=1,IF($A487&lt;VLOOKUP(P$5,NFI,5,0),1,0)*Table_NFI[[#This Row],[Plastic Bucket]],Table_NFI[Plastic Bucket])</f>
        <v>0</v>
      </c>
      <c r="AH487" s="294">
        <f>IF(NFI_Expiration=1,IF($A487&lt;VLOOKUP(Q$5,NFI,5,0),1,0)*Table_NFI[[#This Row],[Plastic Mat]],Table_NFI[Plastic Mat])*IF(Table_NFI[[#This Row],[Distribution Date]]&gt;"2014-04-01",1,2.5)</f>
        <v>0</v>
      </c>
      <c r="AI487" s="294">
        <f>IF(NFI_Expiration=1,IF($A487&lt;VLOOKUP(R$5,NFI,5,0),1,0)*Table_NFI[[#This Row],[Winter Clothes Adult]],Table_NFI[Winter Clothes Adult])</f>
        <v>0</v>
      </c>
      <c r="AJ487" s="294">
        <f>IF(NFI_Expiration=1,IF($A487&lt;VLOOKUP(S$5,NFI,5,0),1,0)*Table_NFI[[#This Row],[Winter Clothes Children]],Table_NFI[Winter Clothes Children])</f>
        <v>0</v>
      </c>
      <c r="AK487" s="294">
        <f>IF(NFI_Expiration=1,IF($A487&lt;VLOOKUP(T$5,NFI,5,0),1,0)*Table_NFI[[#This Row],[Winter Items Other]],Table_NFI[Winter Items Other])</f>
        <v>0</v>
      </c>
      <c r="AL487" s="294">
        <f>IF(NFI_Expiration=1,IF($A487&lt;VLOOKUP(M$5,NFI,5,0),1,0)*Table_NFI[[#This Row],[Winter Blanket]],Table_NFI[[#This Row],[Winter Blanket]])</f>
        <v>0</v>
      </c>
      <c r="AM487" s="294">
        <f>IF(Table_NFI[[#This Row],[Winter Clothes Adult]]+Table_NFI[[#This Row],[Winter Clothes Children]]+Table_NFI[[#This Row],[Winter Items Other]]+Table_NFI[[#This Row],[Winter Blanket]]&gt;0,1,0)</f>
        <v>0</v>
      </c>
      <c r="AN487" s="331">
        <f>IF(NFI_Expiration=1,IF($A487&lt;VLOOKUP(V$5,NFI,5,0),1,0)*Table_NFI[[#This Row],[Jerry Can]],Table_NFI[Jerry Can])</f>
        <v>0</v>
      </c>
      <c r="AO487" s="331">
        <f>IF(NFI_Expiration=1,IF($A487&lt;VLOOKUP(V$5,NFI,5,0),1,0)*Table_NFI[[#This Row],[Shelter Tool kit]],Table_NFI[Shelter Tool kit])</f>
        <v>0</v>
      </c>
      <c r="AP487" s="331">
        <f>IF(NFI_Expiration=1,IF($A487&lt;VLOOKUP(V$5,NFI,5,0),1,0)*Table_NFI[[#This Row],[Tent]],Table_NFI[Tent])</f>
        <v>0</v>
      </c>
      <c r="AQ487" s="473" t="str">
        <f>IFERROR(VLOOKUP(Table_NFI[[#This Row],[Camp Name]],CL,2,0),"")</f>
        <v>MMR001CMP194</v>
      </c>
      <c r="AR487" s="468">
        <f ca="1">IF(Table_NFI[[#This Row],[Pcode]]="","",IF(OFFSET(CampList[Opening Date],MATCH(Table_NFI[[#This Row],[Pcode]],CampList[CP_Pcode],0)-1,0,1,1)&gt;=NFI_Monitor_Date,1,0))</f>
        <v>0</v>
      </c>
      <c r="AS487" s="473" t="str">
        <f>IFERROR(VLOOKUP(Table_NFI[[#This Row],[Camp Name]],CL,3,0),"")</f>
        <v>Open</v>
      </c>
      <c r="AT487" s="294" t="str">
        <f ca="1">IF(Table_NFI[[#This Row],[Pcode]]="","",OFFSET(CampList[Priority],MATCH(Table_NFI[[#This Row],[Pcode]],CampList[CP_Pcode],0)-1,0,1,1))</f>
        <v>P4</v>
      </c>
      <c r="AU487" s="293">
        <f>IFERROR(Table_NFI[[#This Row],[Kitchen Set]]/VLOOKUP(Table_NFI[[#This Row],[Camp Name]],CL,4,0),"")</f>
        <v>0.41666666666666669</v>
      </c>
      <c r="AV487" s="466" t="s">
        <v>1092</v>
      </c>
      <c r="AW487" s="469"/>
    </row>
    <row r="488" spans="1:49" s="470" customFormat="1" ht="14.45" customHeight="1" x14ac:dyDescent="0.25">
      <c r="A488" s="297">
        <f t="shared" si="7"/>
        <v>35.43333333333333</v>
      </c>
      <c r="B488" s="465">
        <v>41612</v>
      </c>
      <c r="C488" s="466" t="s">
        <v>452</v>
      </c>
      <c r="D488" s="467" t="s">
        <v>452</v>
      </c>
      <c r="E488" s="466" t="s">
        <v>380</v>
      </c>
      <c r="F488" s="290" t="s">
        <v>5</v>
      </c>
      <c r="G488" s="290" t="s">
        <v>22</v>
      </c>
      <c r="H488" s="291"/>
      <c r="I488" s="291"/>
      <c r="J488" s="291"/>
      <c r="K488" s="291"/>
      <c r="L488" s="292"/>
      <c r="M488" s="292">
        <v>120</v>
      </c>
      <c r="N488" s="292"/>
      <c r="O488" s="292"/>
      <c r="P488" s="294"/>
      <c r="Q488" s="294"/>
      <c r="R488" s="294"/>
      <c r="S488" s="294"/>
      <c r="T488" s="294"/>
      <c r="U488" s="294"/>
      <c r="V488" s="431"/>
      <c r="W488" s="294"/>
      <c r="X488" s="294"/>
      <c r="Y488" s="294">
        <f>IF(NFI_Expiration=1,IF($A488&lt;VLOOKUP(H$5,NFI,5,0),1,0)*Table_NFI[[#This Row],[Hygiene Kit]],Table_NFI[Hygiene Kit])</f>
        <v>0</v>
      </c>
      <c r="Z488" s="294">
        <f>IF(NFI_Expiration=1,IF($A488&lt;VLOOKUP(I$5,NFI,5,0),1,0)*Table_NFI[[#This Row],[NFI Core Kit]],Table_NFI[NFI Core Kit])</f>
        <v>0</v>
      </c>
      <c r="AA488" s="294">
        <f>IF(NFI_Expiration=1,IF($A488&lt;VLOOKUP(J$5,NFI,5,0),1,0)*Table_NFI[[#This Row],[Sanitary Kit]],Table_NFI[Sanitary Kit])</f>
        <v>0</v>
      </c>
      <c r="AB488" s="294">
        <f>IF(NFI_Expiration=1,IF($A488&lt;VLOOKUP(K$5,NFI,5,0),1,0)*Table_NFI[[#This Row],[Mosquito net]],Table_NFI[Mosquito net])</f>
        <v>0</v>
      </c>
      <c r="AC488" s="294">
        <f>IF(NFI_Expiration=1,IF($A488&lt;VLOOKUP(L$5,NFI,5,0),1,0)*Table_NFI[[#This Row],[Tarpaulin]],Table_NFI[[#This Row],[Tarpaulin]])</f>
        <v>0</v>
      </c>
      <c r="AD488" s="294">
        <f>IF(NFI_Expiration=1,IF($A488&lt;VLOOKUP(M$5,NFI,5,0),1,0)*Table_NFI[[#This Row],[Blanket]],Table_NFI[[#This Row],[Blanket]])</f>
        <v>0</v>
      </c>
      <c r="AE488" s="294">
        <f>IF(NFI_Expiration=1,IF($A488&lt;VLOOKUP(N$5,NFI,5,0),1,0)*Table_NFI[[#This Row],[Kitchen Set]],Table_NFI[Kitchen Set])</f>
        <v>0</v>
      </c>
      <c r="AF488" s="294">
        <f>IF(NFI_Expiration=1,IF($A488&lt;VLOOKUP(O$5,NFI,5,0),1,0)*Table_NFI[[#This Row],[Clothes Kit]],Table_NFI[Clothes Kit])</f>
        <v>0</v>
      </c>
      <c r="AG488" s="294">
        <f>IF(NFI_Expiration=1,IF($A488&lt;VLOOKUP(P$5,NFI,5,0),1,0)*Table_NFI[[#This Row],[Plastic Bucket]],Table_NFI[Plastic Bucket])</f>
        <v>0</v>
      </c>
      <c r="AH488" s="294">
        <f>IF(NFI_Expiration=1,IF($A488&lt;VLOOKUP(Q$5,NFI,5,0),1,0)*Table_NFI[[#This Row],[Plastic Mat]],Table_NFI[Plastic Mat])*IF(Table_NFI[[#This Row],[Distribution Date]]&gt;"2014-04-01",1,2.5)</f>
        <v>0</v>
      </c>
      <c r="AI488" s="294">
        <f>IF(NFI_Expiration=1,IF($A488&lt;VLOOKUP(R$5,NFI,5,0),1,0)*Table_NFI[[#This Row],[Winter Clothes Adult]],Table_NFI[Winter Clothes Adult])</f>
        <v>0</v>
      </c>
      <c r="AJ488" s="294">
        <f>IF(NFI_Expiration=1,IF($A488&lt;VLOOKUP(S$5,NFI,5,0),1,0)*Table_NFI[[#This Row],[Winter Clothes Children]],Table_NFI[Winter Clothes Children])</f>
        <v>0</v>
      </c>
      <c r="AK488" s="294">
        <f>IF(NFI_Expiration=1,IF($A488&lt;VLOOKUP(T$5,NFI,5,0),1,0)*Table_NFI[[#This Row],[Winter Items Other]],Table_NFI[Winter Items Other])</f>
        <v>0</v>
      </c>
      <c r="AL488" s="294">
        <f>IF(NFI_Expiration=1,IF($A488&lt;VLOOKUP(M$5,NFI,5,0),1,0)*Table_NFI[[#This Row],[Winter Blanket]],Table_NFI[[#This Row],[Winter Blanket]])</f>
        <v>0</v>
      </c>
      <c r="AM488" s="294">
        <f>IF(Table_NFI[[#This Row],[Winter Clothes Adult]]+Table_NFI[[#This Row],[Winter Clothes Children]]+Table_NFI[[#This Row],[Winter Items Other]]+Table_NFI[[#This Row],[Winter Blanket]]&gt;0,1,0)</f>
        <v>0</v>
      </c>
      <c r="AN488" s="331">
        <f>IF(NFI_Expiration=1,IF($A488&lt;VLOOKUP(V$5,NFI,5,0),1,0)*Table_NFI[[#This Row],[Jerry Can]],Table_NFI[Jerry Can])</f>
        <v>0</v>
      </c>
      <c r="AO488" s="331">
        <f>IF(NFI_Expiration=1,IF($A488&lt;VLOOKUP(V$5,NFI,5,0),1,0)*Table_NFI[[#This Row],[Shelter Tool kit]],Table_NFI[Shelter Tool kit])</f>
        <v>0</v>
      </c>
      <c r="AP488" s="331">
        <f>IF(NFI_Expiration=1,IF($A488&lt;VLOOKUP(V$5,NFI,5,0),1,0)*Table_NFI[[#This Row],[Tent]],Table_NFI[Tent])</f>
        <v>0</v>
      </c>
      <c r="AQ488" s="473" t="str">
        <f>IFERROR(VLOOKUP(Table_NFI[[#This Row],[Camp Name]],CL,2,0),"")</f>
        <v>MMR001CMP047</v>
      </c>
      <c r="AR488" s="468">
        <f ca="1">IF(Table_NFI[[#This Row],[Pcode]]="","",IF(OFFSET(CampList[Opening Date],MATCH(Table_NFI[[#This Row],[Pcode]],CampList[CP_Pcode],0)-1,0,1,1)&gt;=NFI_Monitor_Date,1,0))</f>
        <v>0</v>
      </c>
      <c r="AS488" s="473" t="str">
        <f>IFERROR(VLOOKUP(Table_NFI[[#This Row],[Camp Name]],CL,3,0),"")</f>
        <v>Open</v>
      </c>
      <c r="AT488" s="294" t="str">
        <f ca="1">IF(Table_NFI[[#This Row],[Pcode]]="","",OFFSET(CampList[Priority],MATCH(Table_NFI[[#This Row],[Pcode]],CampList[CP_Pcode],0)-1,0,1,1))</f>
        <v>P4</v>
      </c>
      <c r="AU488" s="293">
        <f>IFERROR(Table_NFI[[#This Row],[Kitchen Set]]/VLOOKUP(Table_NFI[[#This Row],[Camp Name]],CL,4,0),"")</f>
        <v>0</v>
      </c>
      <c r="AV488" s="466" t="s">
        <v>1092</v>
      </c>
      <c r="AW488" s="469"/>
    </row>
    <row r="489" spans="1:49" s="470" customFormat="1" ht="14.45" customHeight="1" x14ac:dyDescent="0.25">
      <c r="A489" s="297">
        <f t="shared" si="7"/>
        <v>35.43333333333333</v>
      </c>
      <c r="B489" s="465">
        <v>41612</v>
      </c>
      <c r="C489" s="466" t="s">
        <v>452</v>
      </c>
      <c r="D489" s="467" t="s">
        <v>452</v>
      </c>
      <c r="E489" s="466" t="s">
        <v>380</v>
      </c>
      <c r="F489" s="290" t="s">
        <v>5</v>
      </c>
      <c r="G489" s="290" t="s">
        <v>22</v>
      </c>
      <c r="H489" s="291"/>
      <c r="I489" s="291"/>
      <c r="J489" s="291"/>
      <c r="K489" s="291"/>
      <c r="L489" s="292">
        <v>5</v>
      </c>
      <c r="M489" s="292"/>
      <c r="N489" s="292"/>
      <c r="O489" s="292"/>
      <c r="P489" s="294"/>
      <c r="Q489" s="294"/>
      <c r="R489" s="294"/>
      <c r="S489" s="294"/>
      <c r="T489" s="294"/>
      <c r="U489" s="294"/>
      <c r="V489" s="431"/>
      <c r="W489" s="294"/>
      <c r="X489" s="294"/>
      <c r="Y489" s="294">
        <f>IF(NFI_Expiration=1,IF($A489&lt;VLOOKUP(H$5,NFI,5,0),1,0)*Table_NFI[[#This Row],[Hygiene Kit]],Table_NFI[Hygiene Kit])</f>
        <v>0</v>
      </c>
      <c r="Z489" s="294">
        <f>IF(NFI_Expiration=1,IF($A489&lt;VLOOKUP(I$5,NFI,5,0),1,0)*Table_NFI[[#This Row],[NFI Core Kit]],Table_NFI[NFI Core Kit])</f>
        <v>0</v>
      </c>
      <c r="AA489" s="294">
        <f>IF(NFI_Expiration=1,IF($A489&lt;VLOOKUP(J$5,NFI,5,0),1,0)*Table_NFI[[#This Row],[Sanitary Kit]],Table_NFI[Sanitary Kit])</f>
        <v>0</v>
      </c>
      <c r="AB489" s="294">
        <f>IF(NFI_Expiration=1,IF($A489&lt;VLOOKUP(K$5,NFI,5,0),1,0)*Table_NFI[[#This Row],[Mosquito net]],Table_NFI[Mosquito net])</f>
        <v>0</v>
      </c>
      <c r="AC489" s="294">
        <f>IF(NFI_Expiration=1,IF($A489&lt;VLOOKUP(L$5,NFI,5,0),1,0)*Table_NFI[[#This Row],[Tarpaulin]],Table_NFI[[#This Row],[Tarpaulin]])</f>
        <v>0</v>
      </c>
      <c r="AD489" s="294">
        <f>IF(NFI_Expiration=1,IF($A489&lt;VLOOKUP(M$5,NFI,5,0),1,0)*Table_NFI[[#This Row],[Blanket]],Table_NFI[[#This Row],[Blanket]])</f>
        <v>0</v>
      </c>
      <c r="AE489" s="294">
        <f>IF(NFI_Expiration=1,IF($A489&lt;VLOOKUP(N$5,NFI,5,0),1,0)*Table_NFI[[#This Row],[Kitchen Set]],Table_NFI[Kitchen Set])</f>
        <v>0</v>
      </c>
      <c r="AF489" s="294">
        <f>IF(NFI_Expiration=1,IF($A489&lt;VLOOKUP(O$5,NFI,5,0),1,0)*Table_NFI[[#This Row],[Clothes Kit]],Table_NFI[Clothes Kit])</f>
        <v>0</v>
      </c>
      <c r="AG489" s="294">
        <f>IF(NFI_Expiration=1,IF($A489&lt;VLOOKUP(P$5,NFI,5,0),1,0)*Table_NFI[[#This Row],[Plastic Bucket]],Table_NFI[Plastic Bucket])</f>
        <v>0</v>
      </c>
      <c r="AH489" s="294">
        <f>IF(NFI_Expiration=1,IF($A489&lt;VLOOKUP(Q$5,NFI,5,0),1,0)*Table_NFI[[#This Row],[Plastic Mat]],Table_NFI[Plastic Mat])*IF(Table_NFI[[#This Row],[Distribution Date]]&gt;"2014-04-01",1,2.5)</f>
        <v>0</v>
      </c>
      <c r="AI489" s="294">
        <f>IF(NFI_Expiration=1,IF($A489&lt;VLOOKUP(R$5,NFI,5,0),1,0)*Table_NFI[[#This Row],[Winter Clothes Adult]],Table_NFI[Winter Clothes Adult])</f>
        <v>0</v>
      </c>
      <c r="AJ489" s="294">
        <f>IF(NFI_Expiration=1,IF($A489&lt;VLOOKUP(S$5,NFI,5,0),1,0)*Table_NFI[[#This Row],[Winter Clothes Children]],Table_NFI[Winter Clothes Children])</f>
        <v>0</v>
      </c>
      <c r="AK489" s="294">
        <f>IF(NFI_Expiration=1,IF($A489&lt;VLOOKUP(T$5,NFI,5,0),1,0)*Table_NFI[[#This Row],[Winter Items Other]],Table_NFI[Winter Items Other])</f>
        <v>0</v>
      </c>
      <c r="AL489" s="294">
        <f>IF(NFI_Expiration=1,IF($A489&lt;VLOOKUP(M$5,NFI,5,0),1,0)*Table_NFI[[#This Row],[Winter Blanket]],Table_NFI[[#This Row],[Winter Blanket]])</f>
        <v>0</v>
      </c>
      <c r="AM489" s="294">
        <f>IF(Table_NFI[[#This Row],[Winter Clothes Adult]]+Table_NFI[[#This Row],[Winter Clothes Children]]+Table_NFI[[#This Row],[Winter Items Other]]+Table_NFI[[#This Row],[Winter Blanket]]&gt;0,1,0)</f>
        <v>0</v>
      </c>
      <c r="AN489" s="331">
        <f>IF(NFI_Expiration=1,IF($A489&lt;VLOOKUP(V$5,NFI,5,0),1,0)*Table_NFI[[#This Row],[Jerry Can]],Table_NFI[Jerry Can])</f>
        <v>0</v>
      </c>
      <c r="AO489" s="331">
        <f>IF(NFI_Expiration=1,IF($A489&lt;VLOOKUP(V$5,NFI,5,0),1,0)*Table_NFI[[#This Row],[Shelter Tool kit]],Table_NFI[Shelter Tool kit])</f>
        <v>0</v>
      </c>
      <c r="AP489" s="331">
        <f>IF(NFI_Expiration=1,IF($A489&lt;VLOOKUP(V$5,NFI,5,0),1,0)*Table_NFI[[#This Row],[Tent]],Table_NFI[Tent])</f>
        <v>0</v>
      </c>
      <c r="AQ489" s="473" t="str">
        <f>IFERROR(VLOOKUP(Table_NFI[[#This Row],[Camp Name]],CL,2,0),"")</f>
        <v>MMR001CMP047</v>
      </c>
      <c r="AR489" s="468">
        <f ca="1">IF(Table_NFI[[#This Row],[Pcode]]="","",IF(OFFSET(CampList[Opening Date],MATCH(Table_NFI[[#This Row],[Pcode]],CampList[CP_Pcode],0)-1,0,1,1)&gt;=NFI_Monitor_Date,1,0))</f>
        <v>0</v>
      </c>
      <c r="AS489" s="473" t="str">
        <f>IFERROR(VLOOKUP(Table_NFI[[#This Row],[Camp Name]],CL,3,0),"")</f>
        <v>Open</v>
      </c>
      <c r="AT489" s="294" t="str">
        <f ca="1">IF(Table_NFI[[#This Row],[Pcode]]="","",OFFSET(CampList[Priority],MATCH(Table_NFI[[#This Row],[Pcode]],CampList[CP_Pcode],0)-1,0,1,1))</f>
        <v>P4</v>
      </c>
      <c r="AU489" s="293">
        <f>IFERROR(Table_NFI[[#This Row],[Kitchen Set]]/VLOOKUP(Table_NFI[[#This Row],[Camp Name]],CL,4,0),"")</f>
        <v>0</v>
      </c>
      <c r="AV489" s="466" t="s">
        <v>1092</v>
      </c>
      <c r="AW489" s="469"/>
    </row>
    <row r="490" spans="1:49" s="470" customFormat="1" ht="14.45" customHeight="1" x14ac:dyDescent="0.25">
      <c r="A490" s="297">
        <f t="shared" si="7"/>
        <v>35.466666666666669</v>
      </c>
      <c r="B490" s="465">
        <v>41611</v>
      </c>
      <c r="C490" s="466" t="s">
        <v>905</v>
      </c>
      <c r="D490" s="466" t="s">
        <v>460</v>
      </c>
      <c r="E490" s="466" t="s">
        <v>380</v>
      </c>
      <c r="F490" s="466" t="s">
        <v>310</v>
      </c>
      <c r="G490" s="466" t="s">
        <v>334</v>
      </c>
      <c r="H490" s="291"/>
      <c r="I490" s="291"/>
      <c r="J490" s="291"/>
      <c r="K490" s="291"/>
      <c r="L490" s="292"/>
      <c r="M490" s="292"/>
      <c r="N490" s="292"/>
      <c r="O490" s="292"/>
      <c r="P490" s="294"/>
      <c r="Q490" s="294"/>
      <c r="R490" s="294">
        <v>181</v>
      </c>
      <c r="S490" s="294">
        <v>362</v>
      </c>
      <c r="T490" s="294">
        <v>1086</v>
      </c>
      <c r="U490" s="294">
        <v>543</v>
      </c>
      <c r="V490" s="431"/>
      <c r="W490" s="294"/>
      <c r="X490" s="294"/>
      <c r="Y490" s="294">
        <f>IF(NFI_Expiration=1,IF($A490&lt;VLOOKUP(H$5,NFI,5,0),1,0)*Table_NFI[[#This Row],[Hygiene Kit]],Table_NFI[Hygiene Kit])</f>
        <v>0</v>
      </c>
      <c r="Z490" s="294">
        <f>IF(NFI_Expiration=1,IF($A490&lt;VLOOKUP(I$5,NFI,5,0),1,0)*Table_NFI[[#This Row],[NFI Core Kit]],Table_NFI[NFI Core Kit])</f>
        <v>0</v>
      </c>
      <c r="AA490" s="294">
        <f>IF(NFI_Expiration=1,IF($A490&lt;VLOOKUP(J$5,NFI,5,0),1,0)*Table_NFI[[#This Row],[Sanitary Kit]],Table_NFI[Sanitary Kit])</f>
        <v>0</v>
      </c>
      <c r="AB490" s="294">
        <f>IF(NFI_Expiration=1,IF($A490&lt;VLOOKUP(K$5,NFI,5,0),1,0)*Table_NFI[[#This Row],[Mosquito net]],Table_NFI[Mosquito net])</f>
        <v>0</v>
      </c>
      <c r="AC490" s="294">
        <f>IF(NFI_Expiration=1,IF($A490&lt;VLOOKUP(L$5,NFI,5,0),1,0)*Table_NFI[[#This Row],[Tarpaulin]],Table_NFI[[#This Row],[Tarpaulin]])</f>
        <v>0</v>
      </c>
      <c r="AD490" s="294">
        <f>IF(NFI_Expiration=1,IF($A490&lt;VLOOKUP(M$5,NFI,5,0),1,0)*Table_NFI[[#This Row],[Blanket]],Table_NFI[[#This Row],[Blanket]])</f>
        <v>0</v>
      </c>
      <c r="AE490" s="294">
        <f>IF(NFI_Expiration=1,IF($A490&lt;VLOOKUP(N$5,NFI,5,0),1,0)*Table_NFI[[#This Row],[Kitchen Set]],Table_NFI[Kitchen Set])</f>
        <v>0</v>
      </c>
      <c r="AF490" s="294">
        <f>IF(NFI_Expiration=1,IF($A490&lt;VLOOKUP(O$5,NFI,5,0),1,0)*Table_NFI[[#This Row],[Clothes Kit]],Table_NFI[Clothes Kit])</f>
        <v>0</v>
      </c>
      <c r="AG490" s="294">
        <f>IF(NFI_Expiration=1,IF($A490&lt;VLOOKUP(P$5,NFI,5,0),1,0)*Table_NFI[[#This Row],[Plastic Bucket]],Table_NFI[Plastic Bucket])</f>
        <v>0</v>
      </c>
      <c r="AH490" s="294">
        <f>IF(NFI_Expiration=1,IF($A490&lt;VLOOKUP(Q$5,NFI,5,0),1,0)*Table_NFI[[#This Row],[Plastic Mat]],Table_NFI[Plastic Mat])*IF(Table_NFI[[#This Row],[Distribution Date]]&gt;"2014-04-01",1,2.5)</f>
        <v>0</v>
      </c>
      <c r="AI490" s="294">
        <f>IF(NFI_Expiration=1,IF($A490&lt;VLOOKUP(R$5,NFI,5,0),1,0)*Table_NFI[[#This Row],[Winter Clothes Adult]],Table_NFI[Winter Clothes Adult])</f>
        <v>0</v>
      </c>
      <c r="AJ490" s="294">
        <f>IF(NFI_Expiration=1,IF($A490&lt;VLOOKUP(S$5,NFI,5,0),1,0)*Table_NFI[[#This Row],[Winter Clothes Children]],Table_NFI[Winter Clothes Children])</f>
        <v>0</v>
      </c>
      <c r="AK490" s="294">
        <f>IF(NFI_Expiration=1,IF($A490&lt;VLOOKUP(T$5,NFI,5,0),1,0)*Table_NFI[[#This Row],[Winter Items Other]],Table_NFI[Winter Items Other])</f>
        <v>0</v>
      </c>
      <c r="AL490" s="294">
        <f>IF(NFI_Expiration=1,IF($A490&lt;VLOOKUP(M$5,NFI,5,0),1,0)*Table_NFI[[#This Row],[Winter Blanket]],Table_NFI[[#This Row],[Winter Blanket]])</f>
        <v>0</v>
      </c>
      <c r="AM490" s="294">
        <f>IF(Table_NFI[[#This Row],[Winter Clothes Adult]]+Table_NFI[[#This Row],[Winter Clothes Children]]+Table_NFI[[#This Row],[Winter Items Other]]+Table_NFI[[#This Row],[Winter Blanket]]&gt;0,1,0)</f>
        <v>1</v>
      </c>
      <c r="AN490" s="331">
        <f>IF(NFI_Expiration=1,IF($A490&lt;VLOOKUP(V$5,NFI,5,0),1,0)*Table_NFI[[#This Row],[Jerry Can]],Table_NFI[Jerry Can])</f>
        <v>0</v>
      </c>
      <c r="AO490" s="331">
        <f>IF(NFI_Expiration=1,IF($A490&lt;VLOOKUP(V$5,NFI,5,0),1,0)*Table_NFI[[#This Row],[Shelter Tool kit]],Table_NFI[Shelter Tool kit])</f>
        <v>0</v>
      </c>
      <c r="AP490" s="331">
        <f>IF(NFI_Expiration=1,IF($A490&lt;VLOOKUP(V$5,NFI,5,0),1,0)*Table_NFI[[#This Row],[Tent]],Table_NFI[Tent])</f>
        <v>0</v>
      </c>
      <c r="AQ490" s="473" t="str">
        <f>IFERROR(VLOOKUP(Table_NFI[[#This Row],[Camp Name]],CL,2,0),"")</f>
        <v>MMR001CMP113</v>
      </c>
      <c r="AR490" s="468">
        <f ca="1">IF(Table_NFI[[#This Row],[Pcode]]="","",IF(OFFSET(CampList[Opening Date],MATCH(Table_NFI[[#This Row],[Pcode]],CampList[CP_Pcode],0)-1,0,1,1)&gt;=NFI_Monitor_Date,1,0))</f>
        <v>0</v>
      </c>
      <c r="AS490" s="473" t="str">
        <f>IFERROR(VLOOKUP(Table_NFI[[#This Row],[Camp Name]],CL,3,0),"")</f>
        <v>Open</v>
      </c>
      <c r="AT490" s="294" t="str">
        <f ca="1">IF(Table_NFI[[#This Row],[Pcode]]="","",OFFSET(CampList[Priority],MATCH(Table_NFI[[#This Row],[Pcode]],CampList[CP_Pcode],0)-1,0,1,1))</f>
        <v>P1</v>
      </c>
      <c r="AU490" s="293">
        <f>IFERROR(Table_NFI[[#This Row],[Kitchen Set]]/VLOOKUP(Table_NFI[[#This Row],[Camp Name]],CL,4,0),"")</f>
        <v>0</v>
      </c>
      <c r="AV490" s="466"/>
      <c r="AW490" s="469"/>
    </row>
    <row r="491" spans="1:49" s="470" customFormat="1" ht="14.45" customHeight="1" x14ac:dyDescent="0.25">
      <c r="A491" s="297">
        <f t="shared" si="7"/>
        <v>35.466666666666669</v>
      </c>
      <c r="B491" s="465">
        <v>41611</v>
      </c>
      <c r="C491" s="466" t="s">
        <v>452</v>
      </c>
      <c r="D491" s="467" t="s">
        <v>452</v>
      </c>
      <c r="E491" s="466" t="s">
        <v>380</v>
      </c>
      <c r="F491" s="290" t="s">
        <v>185</v>
      </c>
      <c r="G491" s="290" t="s">
        <v>209</v>
      </c>
      <c r="H491" s="291"/>
      <c r="I491" s="291"/>
      <c r="J491" s="291"/>
      <c r="K491" s="291">
        <v>25</v>
      </c>
      <c r="L491" s="292">
        <v>13</v>
      </c>
      <c r="M491" s="292">
        <v>25</v>
      </c>
      <c r="N491" s="292">
        <v>13</v>
      </c>
      <c r="O491" s="292">
        <v>13</v>
      </c>
      <c r="P491" s="294"/>
      <c r="Q491" s="294"/>
      <c r="R491" s="294"/>
      <c r="S491" s="294"/>
      <c r="T491" s="294"/>
      <c r="U491" s="294"/>
      <c r="V491" s="431"/>
      <c r="W491" s="294"/>
      <c r="X491" s="294"/>
      <c r="Y491" s="294">
        <f>IF(NFI_Expiration=1,IF($A491&lt;VLOOKUP(H$5,NFI,5,0),1,0)*Table_NFI[[#This Row],[Hygiene Kit]],Table_NFI[Hygiene Kit])</f>
        <v>0</v>
      </c>
      <c r="Z491" s="294">
        <f>IF(NFI_Expiration=1,IF($A491&lt;VLOOKUP(I$5,NFI,5,0),1,0)*Table_NFI[[#This Row],[NFI Core Kit]],Table_NFI[NFI Core Kit])</f>
        <v>0</v>
      </c>
      <c r="AA491" s="294">
        <f>IF(NFI_Expiration=1,IF($A491&lt;VLOOKUP(J$5,NFI,5,0),1,0)*Table_NFI[[#This Row],[Sanitary Kit]],Table_NFI[Sanitary Kit])</f>
        <v>0</v>
      </c>
      <c r="AB491" s="294">
        <f>IF(NFI_Expiration=1,IF($A491&lt;VLOOKUP(K$5,NFI,5,0),1,0)*Table_NFI[[#This Row],[Mosquito net]],Table_NFI[Mosquito net])</f>
        <v>0</v>
      </c>
      <c r="AC491" s="294">
        <f>IF(NFI_Expiration=1,IF($A491&lt;VLOOKUP(L$5,NFI,5,0),1,0)*Table_NFI[[#This Row],[Tarpaulin]],Table_NFI[[#This Row],[Tarpaulin]])</f>
        <v>0</v>
      </c>
      <c r="AD491" s="294">
        <f>IF(NFI_Expiration=1,IF($A491&lt;VLOOKUP(M$5,NFI,5,0),1,0)*Table_NFI[[#This Row],[Blanket]],Table_NFI[[#This Row],[Blanket]])</f>
        <v>0</v>
      </c>
      <c r="AE491" s="294">
        <f>IF(NFI_Expiration=1,IF($A491&lt;VLOOKUP(N$5,NFI,5,0),1,0)*Table_NFI[[#This Row],[Kitchen Set]],Table_NFI[Kitchen Set])</f>
        <v>0</v>
      </c>
      <c r="AF491" s="294">
        <f>IF(NFI_Expiration=1,IF($A491&lt;VLOOKUP(O$5,NFI,5,0),1,0)*Table_NFI[[#This Row],[Clothes Kit]],Table_NFI[Clothes Kit])</f>
        <v>0</v>
      </c>
      <c r="AG491" s="294">
        <f>IF(NFI_Expiration=1,IF($A491&lt;VLOOKUP(P$5,NFI,5,0),1,0)*Table_NFI[[#This Row],[Plastic Bucket]],Table_NFI[Plastic Bucket])</f>
        <v>0</v>
      </c>
      <c r="AH491" s="294">
        <f>IF(NFI_Expiration=1,IF($A491&lt;VLOOKUP(Q$5,NFI,5,0),1,0)*Table_NFI[[#This Row],[Plastic Mat]],Table_NFI[Plastic Mat])*IF(Table_NFI[[#This Row],[Distribution Date]]&gt;"2014-04-01",1,2.5)</f>
        <v>0</v>
      </c>
      <c r="AI491" s="294">
        <f>IF(NFI_Expiration=1,IF($A491&lt;VLOOKUP(R$5,NFI,5,0),1,0)*Table_NFI[[#This Row],[Winter Clothes Adult]],Table_NFI[Winter Clothes Adult])</f>
        <v>0</v>
      </c>
      <c r="AJ491" s="294">
        <f>IF(NFI_Expiration=1,IF($A491&lt;VLOOKUP(S$5,NFI,5,0),1,0)*Table_NFI[[#This Row],[Winter Clothes Children]],Table_NFI[Winter Clothes Children])</f>
        <v>0</v>
      </c>
      <c r="AK491" s="294">
        <f>IF(NFI_Expiration=1,IF($A491&lt;VLOOKUP(T$5,NFI,5,0),1,0)*Table_NFI[[#This Row],[Winter Items Other]],Table_NFI[Winter Items Other])</f>
        <v>0</v>
      </c>
      <c r="AL491" s="294">
        <f>IF(NFI_Expiration=1,IF($A491&lt;VLOOKUP(M$5,NFI,5,0),1,0)*Table_NFI[[#This Row],[Winter Blanket]],Table_NFI[[#This Row],[Winter Blanket]])</f>
        <v>0</v>
      </c>
      <c r="AM491" s="294">
        <f>IF(Table_NFI[[#This Row],[Winter Clothes Adult]]+Table_NFI[[#This Row],[Winter Clothes Children]]+Table_NFI[[#This Row],[Winter Items Other]]+Table_NFI[[#This Row],[Winter Blanket]]&gt;0,1,0)</f>
        <v>0</v>
      </c>
      <c r="AN491" s="331">
        <f>IF(NFI_Expiration=1,IF($A491&lt;VLOOKUP(V$5,NFI,5,0),1,0)*Table_NFI[[#This Row],[Jerry Can]],Table_NFI[Jerry Can])</f>
        <v>0</v>
      </c>
      <c r="AO491" s="331">
        <f>IF(NFI_Expiration=1,IF($A491&lt;VLOOKUP(V$5,NFI,5,0),1,0)*Table_NFI[[#This Row],[Shelter Tool kit]],Table_NFI[Shelter Tool kit])</f>
        <v>0</v>
      </c>
      <c r="AP491" s="331">
        <f>IF(NFI_Expiration=1,IF($A491&lt;VLOOKUP(V$5,NFI,5,0),1,0)*Table_NFI[[#This Row],[Tent]],Table_NFI[Tent])</f>
        <v>0</v>
      </c>
      <c r="AQ491" s="473" t="str">
        <f>IFERROR(VLOOKUP(Table_NFI[[#This Row],[Camp Name]],CL,2,0),"")</f>
        <v>MMR001CMP056</v>
      </c>
      <c r="AR491" s="468">
        <f ca="1">IF(Table_NFI[[#This Row],[Pcode]]="","",IF(OFFSET(CampList[Opening Date],MATCH(Table_NFI[[#This Row],[Pcode]],CampList[CP_Pcode],0)-1,0,1,1)&gt;=NFI_Monitor_Date,1,0))</f>
        <v>0</v>
      </c>
      <c r="AS491" s="473" t="str">
        <f>IFERROR(VLOOKUP(Table_NFI[[#This Row],[Camp Name]],CL,3,0),"")</f>
        <v>Open</v>
      </c>
      <c r="AT491" s="294" t="str">
        <f ca="1">IF(Table_NFI[[#This Row],[Pcode]]="","",OFFSET(CampList[Priority],MATCH(Table_NFI[[#This Row],[Pcode]],CampList[CP_Pcode],0)-1,0,1,1))</f>
        <v>P4</v>
      </c>
      <c r="AU491" s="293">
        <f>IFERROR(Table_NFI[[#This Row],[Kitchen Set]]/VLOOKUP(Table_NFI[[#This Row],[Camp Name]],CL,4,0),"")</f>
        <v>5.7522123893805309E-2</v>
      </c>
      <c r="AV491" s="466" t="s">
        <v>1092</v>
      </c>
      <c r="AW491" s="469"/>
    </row>
    <row r="492" spans="1:49" s="470" customFormat="1" x14ac:dyDescent="0.25">
      <c r="A492" s="297">
        <f t="shared" si="7"/>
        <v>35.5</v>
      </c>
      <c r="B492" s="465">
        <v>41610</v>
      </c>
      <c r="C492" s="466" t="s">
        <v>905</v>
      </c>
      <c r="D492" s="466" t="s">
        <v>460</v>
      </c>
      <c r="E492" s="466" t="s">
        <v>380</v>
      </c>
      <c r="F492" s="466" t="s">
        <v>310</v>
      </c>
      <c r="G492" s="466" t="s">
        <v>355</v>
      </c>
      <c r="H492" s="291"/>
      <c r="I492" s="291"/>
      <c r="J492" s="291"/>
      <c r="K492" s="291"/>
      <c r="L492" s="292"/>
      <c r="M492" s="292"/>
      <c r="N492" s="292"/>
      <c r="O492" s="292"/>
      <c r="P492" s="294"/>
      <c r="Q492" s="294"/>
      <c r="R492" s="294">
        <v>124</v>
      </c>
      <c r="S492" s="294">
        <v>248</v>
      </c>
      <c r="T492" s="294">
        <v>744</v>
      </c>
      <c r="U492" s="294">
        <v>372</v>
      </c>
      <c r="V492" s="431"/>
      <c r="W492" s="294"/>
      <c r="X492" s="294"/>
      <c r="Y492" s="294">
        <f>IF(NFI_Expiration=1,IF($A492&lt;VLOOKUP(H$5,NFI,5,0),1,0)*Table_NFI[[#This Row],[Hygiene Kit]],Table_NFI[Hygiene Kit])</f>
        <v>0</v>
      </c>
      <c r="Z492" s="294">
        <f>IF(NFI_Expiration=1,IF($A492&lt;VLOOKUP(I$5,NFI,5,0),1,0)*Table_NFI[[#This Row],[NFI Core Kit]],Table_NFI[NFI Core Kit])</f>
        <v>0</v>
      </c>
      <c r="AA492" s="294">
        <f>IF(NFI_Expiration=1,IF($A492&lt;VLOOKUP(J$5,NFI,5,0),1,0)*Table_NFI[[#This Row],[Sanitary Kit]],Table_NFI[Sanitary Kit])</f>
        <v>0</v>
      </c>
      <c r="AB492" s="294">
        <f>IF(NFI_Expiration=1,IF($A492&lt;VLOOKUP(K$5,NFI,5,0),1,0)*Table_NFI[[#This Row],[Mosquito net]],Table_NFI[Mosquito net])</f>
        <v>0</v>
      </c>
      <c r="AC492" s="294">
        <f>IF(NFI_Expiration=1,IF($A492&lt;VLOOKUP(L$5,NFI,5,0),1,0)*Table_NFI[[#This Row],[Tarpaulin]],Table_NFI[[#This Row],[Tarpaulin]])</f>
        <v>0</v>
      </c>
      <c r="AD492" s="294">
        <f>IF(NFI_Expiration=1,IF($A492&lt;VLOOKUP(M$5,NFI,5,0),1,0)*Table_NFI[[#This Row],[Blanket]],Table_NFI[[#This Row],[Blanket]])</f>
        <v>0</v>
      </c>
      <c r="AE492" s="294">
        <f>IF(NFI_Expiration=1,IF($A492&lt;VLOOKUP(N$5,NFI,5,0),1,0)*Table_NFI[[#This Row],[Kitchen Set]],Table_NFI[Kitchen Set])</f>
        <v>0</v>
      </c>
      <c r="AF492" s="294">
        <f>IF(NFI_Expiration=1,IF($A492&lt;VLOOKUP(O$5,NFI,5,0),1,0)*Table_NFI[[#This Row],[Clothes Kit]],Table_NFI[Clothes Kit])</f>
        <v>0</v>
      </c>
      <c r="AG492" s="294">
        <f>IF(NFI_Expiration=1,IF($A492&lt;VLOOKUP(P$5,NFI,5,0),1,0)*Table_NFI[[#This Row],[Plastic Bucket]],Table_NFI[Plastic Bucket])</f>
        <v>0</v>
      </c>
      <c r="AH492" s="294">
        <f>IF(NFI_Expiration=1,IF($A492&lt;VLOOKUP(Q$5,NFI,5,0),1,0)*Table_NFI[[#This Row],[Plastic Mat]],Table_NFI[Plastic Mat])*IF(Table_NFI[[#This Row],[Distribution Date]]&gt;"2014-04-01",1,2.5)</f>
        <v>0</v>
      </c>
      <c r="AI492" s="294">
        <f>IF(NFI_Expiration=1,IF($A492&lt;VLOOKUP(R$5,NFI,5,0),1,0)*Table_NFI[[#This Row],[Winter Clothes Adult]],Table_NFI[Winter Clothes Adult])</f>
        <v>0</v>
      </c>
      <c r="AJ492" s="294">
        <f>IF(NFI_Expiration=1,IF($A492&lt;VLOOKUP(S$5,NFI,5,0),1,0)*Table_NFI[[#This Row],[Winter Clothes Children]],Table_NFI[Winter Clothes Children])</f>
        <v>0</v>
      </c>
      <c r="AK492" s="294">
        <f>IF(NFI_Expiration=1,IF($A492&lt;VLOOKUP(T$5,NFI,5,0),1,0)*Table_NFI[[#This Row],[Winter Items Other]],Table_NFI[Winter Items Other])</f>
        <v>0</v>
      </c>
      <c r="AL492" s="294">
        <f>IF(NFI_Expiration=1,IF($A492&lt;VLOOKUP(M$5,NFI,5,0),1,0)*Table_NFI[[#This Row],[Winter Blanket]],Table_NFI[[#This Row],[Winter Blanket]])</f>
        <v>0</v>
      </c>
      <c r="AM492" s="294">
        <f>IF(Table_NFI[[#This Row],[Winter Clothes Adult]]+Table_NFI[[#This Row],[Winter Clothes Children]]+Table_NFI[[#This Row],[Winter Items Other]]+Table_NFI[[#This Row],[Winter Blanket]]&gt;0,1,0)</f>
        <v>1</v>
      </c>
      <c r="AN492" s="331">
        <f>IF(NFI_Expiration=1,IF($A492&lt;VLOOKUP(V$5,NFI,5,0),1,0)*Table_NFI[[#This Row],[Jerry Can]],Table_NFI[Jerry Can])</f>
        <v>0</v>
      </c>
      <c r="AO492" s="331">
        <f>IF(NFI_Expiration=1,IF($A492&lt;VLOOKUP(V$5,NFI,5,0),1,0)*Table_NFI[[#This Row],[Shelter Tool kit]],Table_NFI[Shelter Tool kit])</f>
        <v>0</v>
      </c>
      <c r="AP492" s="331">
        <f>IF(NFI_Expiration=1,IF($A492&lt;VLOOKUP(V$5,NFI,5,0),1,0)*Table_NFI[[#This Row],[Tent]],Table_NFI[Tent])</f>
        <v>0</v>
      </c>
      <c r="AQ492" s="473" t="str">
        <f>IFERROR(VLOOKUP(Table_NFI[[#This Row],[Camp Name]],CL,2,0),"")</f>
        <v>MMR001CMP160</v>
      </c>
      <c r="AR492" s="468">
        <f ca="1">IF(Table_NFI[[#This Row],[Pcode]]="","",IF(OFFSET(CampList[Opening Date],MATCH(Table_NFI[[#This Row],[Pcode]],CampList[CP_Pcode],0)-1,0,1,1)&gt;=NFI_Monitor_Date,1,0))</f>
        <v>0</v>
      </c>
      <c r="AS492" s="473" t="str">
        <f>IFERROR(VLOOKUP(Table_NFI[[#This Row],[Camp Name]],CL,3,0),"")</f>
        <v>Open</v>
      </c>
      <c r="AT492" s="294" t="str">
        <f ca="1">IF(Table_NFI[[#This Row],[Pcode]]="","",OFFSET(CampList[Priority],MATCH(Table_NFI[[#This Row],[Pcode]],CampList[CP_Pcode],0)-1,0,1,1))</f>
        <v>P1</v>
      </c>
      <c r="AU492" s="293">
        <f>IFERROR(Table_NFI[[#This Row],[Kitchen Set]]/VLOOKUP(Table_NFI[[#This Row],[Camp Name]],CL,4,0),"")</f>
        <v>0</v>
      </c>
      <c r="AV492" s="466"/>
      <c r="AW492" s="469"/>
    </row>
    <row r="493" spans="1:49" s="470" customFormat="1" x14ac:dyDescent="0.25">
      <c r="A493" s="297">
        <f t="shared" si="7"/>
        <v>35.533333333333331</v>
      </c>
      <c r="B493" s="465">
        <v>41609</v>
      </c>
      <c r="C493" s="466" t="s">
        <v>452</v>
      </c>
      <c r="D493" s="467" t="s">
        <v>452</v>
      </c>
      <c r="E493" s="466" t="s">
        <v>380</v>
      </c>
      <c r="F493" s="290" t="s">
        <v>5</v>
      </c>
      <c r="G493" s="290" t="s">
        <v>22</v>
      </c>
      <c r="H493" s="291"/>
      <c r="I493" s="291"/>
      <c r="J493" s="291"/>
      <c r="K493" s="291"/>
      <c r="L493" s="292"/>
      <c r="M493" s="292">
        <v>30</v>
      </c>
      <c r="N493" s="292"/>
      <c r="O493" s="292"/>
      <c r="P493" s="294"/>
      <c r="Q493" s="294"/>
      <c r="R493" s="294"/>
      <c r="S493" s="294"/>
      <c r="T493" s="294"/>
      <c r="U493" s="294"/>
      <c r="V493" s="431"/>
      <c r="W493" s="331"/>
      <c r="X493" s="331"/>
      <c r="Y493" s="294">
        <f>IF(NFI_Expiration=1,IF($A493&lt;VLOOKUP(H$5,NFI,5,0),1,0)*Table_NFI[[#This Row],[Hygiene Kit]],Table_NFI[Hygiene Kit])</f>
        <v>0</v>
      </c>
      <c r="Z493" s="294">
        <f>IF(NFI_Expiration=1,IF($A493&lt;VLOOKUP(I$5,NFI,5,0),1,0)*Table_NFI[[#This Row],[NFI Core Kit]],Table_NFI[NFI Core Kit])</f>
        <v>0</v>
      </c>
      <c r="AA493" s="294">
        <f>IF(NFI_Expiration=1,IF($A493&lt;VLOOKUP(J$5,NFI,5,0),1,0)*Table_NFI[[#This Row],[Sanitary Kit]],Table_NFI[Sanitary Kit])</f>
        <v>0</v>
      </c>
      <c r="AB493" s="294">
        <f>IF(NFI_Expiration=1,IF($A493&lt;VLOOKUP(K$5,NFI,5,0),1,0)*Table_NFI[[#This Row],[Mosquito net]],Table_NFI[Mosquito net])</f>
        <v>0</v>
      </c>
      <c r="AC493" s="294">
        <f>IF(NFI_Expiration=1,IF($A493&lt;VLOOKUP(L$5,NFI,5,0),1,0)*Table_NFI[[#This Row],[Tarpaulin]],Table_NFI[[#This Row],[Tarpaulin]])</f>
        <v>0</v>
      </c>
      <c r="AD493" s="294">
        <f>IF(NFI_Expiration=1,IF($A493&lt;VLOOKUP(M$5,NFI,5,0),1,0)*Table_NFI[[#This Row],[Blanket]],Table_NFI[[#This Row],[Blanket]])</f>
        <v>0</v>
      </c>
      <c r="AE493" s="294">
        <f>IF(NFI_Expiration=1,IF($A493&lt;VLOOKUP(N$5,NFI,5,0),1,0)*Table_NFI[[#This Row],[Kitchen Set]],Table_NFI[Kitchen Set])</f>
        <v>0</v>
      </c>
      <c r="AF493" s="294">
        <f>IF(NFI_Expiration=1,IF($A493&lt;VLOOKUP(O$5,NFI,5,0),1,0)*Table_NFI[[#This Row],[Clothes Kit]],Table_NFI[Clothes Kit])</f>
        <v>0</v>
      </c>
      <c r="AG493" s="294">
        <f>IF(NFI_Expiration=1,IF($A493&lt;VLOOKUP(P$5,NFI,5,0),1,0)*Table_NFI[[#This Row],[Plastic Bucket]],Table_NFI[Plastic Bucket])</f>
        <v>0</v>
      </c>
      <c r="AH493" s="294">
        <f>IF(NFI_Expiration=1,IF($A493&lt;VLOOKUP(Q$5,NFI,5,0),1,0)*Table_NFI[[#This Row],[Plastic Mat]],Table_NFI[Plastic Mat])*IF(Table_NFI[[#This Row],[Distribution Date]]&gt;"2014-04-01",1,2.5)</f>
        <v>0</v>
      </c>
      <c r="AI493" s="294">
        <f>IF(NFI_Expiration=1,IF($A493&lt;VLOOKUP(R$5,NFI,5,0),1,0)*Table_NFI[[#This Row],[Winter Clothes Adult]],Table_NFI[Winter Clothes Adult])</f>
        <v>0</v>
      </c>
      <c r="AJ493" s="294">
        <f>IF(NFI_Expiration=1,IF($A493&lt;VLOOKUP(S$5,NFI,5,0),1,0)*Table_NFI[[#This Row],[Winter Clothes Children]],Table_NFI[Winter Clothes Children])</f>
        <v>0</v>
      </c>
      <c r="AK493" s="294">
        <f>IF(NFI_Expiration=1,IF($A493&lt;VLOOKUP(T$5,NFI,5,0),1,0)*Table_NFI[[#This Row],[Winter Items Other]],Table_NFI[Winter Items Other])</f>
        <v>0</v>
      </c>
      <c r="AL493" s="294">
        <f>IF(NFI_Expiration=1,IF($A493&lt;VLOOKUP(M$5,NFI,5,0),1,0)*Table_NFI[[#This Row],[Winter Blanket]],Table_NFI[[#This Row],[Winter Blanket]])</f>
        <v>0</v>
      </c>
      <c r="AM493" s="294">
        <f>IF(Table_NFI[[#This Row],[Winter Clothes Adult]]+Table_NFI[[#This Row],[Winter Clothes Children]]+Table_NFI[[#This Row],[Winter Items Other]]+Table_NFI[[#This Row],[Winter Blanket]]&gt;0,1,0)</f>
        <v>0</v>
      </c>
      <c r="AN493" s="331">
        <f>IF(NFI_Expiration=1,IF($A493&lt;VLOOKUP(V$5,NFI,5,0),1,0)*Table_NFI[[#This Row],[Jerry Can]],Table_NFI[Jerry Can])</f>
        <v>0</v>
      </c>
      <c r="AO493" s="331">
        <f>IF(NFI_Expiration=1,IF($A493&lt;VLOOKUP(V$5,NFI,5,0),1,0)*Table_NFI[[#This Row],[Shelter Tool kit]],Table_NFI[Shelter Tool kit])</f>
        <v>0</v>
      </c>
      <c r="AP493" s="331">
        <f>IF(NFI_Expiration=1,IF($A493&lt;VLOOKUP(V$5,NFI,5,0),1,0)*Table_NFI[[#This Row],[Tent]],Table_NFI[Tent])</f>
        <v>0</v>
      </c>
      <c r="AQ493" s="473" t="str">
        <f>IFERROR(VLOOKUP(Table_NFI[[#This Row],[Camp Name]],CL,2,0),"")</f>
        <v>MMR001CMP047</v>
      </c>
      <c r="AR493" s="468">
        <f ca="1">IF(Table_NFI[[#This Row],[Pcode]]="","",IF(OFFSET(CampList[Opening Date],MATCH(Table_NFI[[#This Row],[Pcode]],CampList[CP_Pcode],0)-1,0,1,1)&gt;=NFI_Monitor_Date,1,0))</f>
        <v>0</v>
      </c>
      <c r="AS493" s="473" t="str">
        <f>IFERROR(VLOOKUP(Table_NFI[[#This Row],[Camp Name]],CL,3,0),"")</f>
        <v>Open</v>
      </c>
      <c r="AT493" s="294" t="str">
        <f ca="1">IF(Table_NFI[[#This Row],[Pcode]]="","",OFFSET(CampList[Priority],MATCH(Table_NFI[[#This Row],[Pcode]],CampList[CP_Pcode],0)-1,0,1,1))</f>
        <v>P4</v>
      </c>
      <c r="AU493" s="293">
        <f>IFERROR(Table_NFI[[#This Row],[Kitchen Set]]/VLOOKUP(Table_NFI[[#This Row],[Camp Name]],CL,4,0),"")</f>
        <v>0</v>
      </c>
      <c r="AV493" s="466" t="s">
        <v>1092</v>
      </c>
      <c r="AW493" s="469"/>
    </row>
    <row r="494" spans="1:49" s="470" customFormat="1" x14ac:dyDescent="0.25">
      <c r="A494" s="297">
        <f t="shared" si="7"/>
        <v>35.56666666666667</v>
      </c>
      <c r="B494" s="465">
        <v>41608</v>
      </c>
      <c r="C494" s="466" t="s">
        <v>1097</v>
      </c>
      <c r="D494" s="467" t="s">
        <v>944</v>
      </c>
      <c r="E494" s="466" t="s">
        <v>380</v>
      </c>
      <c r="F494" s="466" t="s">
        <v>5</v>
      </c>
      <c r="G494" s="290" t="s">
        <v>6</v>
      </c>
      <c r="H494" s="291"/>
      <c r="I494" s="291"/>
      <c r="J494" s="291"/>
      <c r="K494" s="291"/>
      <c r="L494" s="292"/>
      <c r="M494" s="292">
        <v>104</v>
      </c>
      <c r="N494" s="292"/>
      <c r="O494" s="292"/>
      <c r="P494" s="294"/>
      <c r="Q494" s="294"/>
      <c r="R494" s="294">
        <v>146</v>
      </c>
      <c r="S494" s="294">
        <v>39</v>
      </c>
      <c r="T494" s="294">
        <v>0</v>
      </c>
      <c r="U494" s="294"/>
      <c r="V494" s="431"/>
      <c r="W494" s="294"/>
      <c r="X494" s="294"/>
      <c r="Y494" s="294">
        <f>IF(NFI_Expiration=1,IF($A494&lt;VLOOKUP(H$5,NFI,5,0),1,0)*Table_NFI[[#This Row],[Hygiene Kit]],Table_NFI[Hygiene Kit])</f>
        <v>0</v>
      </c>
      <c r="Z494" s="294">
        <f>IF(NFI_Expiration=1,IF($A494&lt;VLOOKUP(I$5,NFI,5,0),1,0)*Table_NFI[[#This Row],[NFI Core Kit]],Table_NFI[NFI Core Kit])</f>
        <v>0</v>
      </c>
      <c r="AA494" s="294">
        <f>IF(NFI_Expiration=1,IF($A494&lt;VLOOKUP(J$5,NFI,5,0),1,0)*Table_NFI[[#This Row],[Sanitary Kit]],Table_NFI[Sanitary Kit])</f>
        <v>0</v>
      </c>
      <c r="AB494" s="294">
        <f>IF(NFI_Expiration=1,IF($A494&lt;VLOOKUP(K$5,NFI,5,0),1,0)*Table_NFI[[#This Row],[Mosquito net]],Table_NFI[Mosquito net])</f>
        <v>0</v>
      </c>
      <c r="AC494" s="294">
        <f>IF(NFI_Expiration=1,IF($A494&lt;VLOOKUP(L$5,NFI,5,0),1,0)*Table_NFI[[#This Row],[Tarpaulin]],Table_NFI[[#This Row],[Tarpaulin]])</f>
        <v>0</v>
      </c>
      <c r="AD494" s="294">
        <f>IF(NFI_Expiration=1,IF($A494&lt;VLOOKUP(M$5,NFI,5,0),1,0)*Table_NFI[[#This Row],[Blanket]],Table_NFI[[#This Row],[Blanket]])</f>
        <v>0</v>
      </c>
      <c r="AE494" s="294">
        <f>IF(NFI_Expiration=1,IF($A494&lt;VLOOKUP(N$5,NFI,5,0),1,0)*Table_NFI[[#This Row],[Kitchen Set]],Table_NFI[Kitchen Set])</f>
        <v>0</v>
      </c>
      <c r="AF494" s="294">
        <f>IF(NFI_Expiration=1,IF($A494&lt;VLOOKUP(O$5,NFI,5,0),1,0)*Table_NFI[[#This Row],[Clothes Kit]],Table_NFI[Clothes Kit])</f>
        <v>0</v>
      </c>
      <c r="AG494" s="294">
        <f>IF(NFI_Expiration=1,IF($A494&lt;VLOOKUP(P$5,NFI,5,0),1,0)*Table_NFI[[#This Row],[Plastic Bucket]],Table_NFI[Plastic Bucket])</f>
        <v>0</v>
      </c>
      <c r="AH494" s="294">
        <f>IF(NFI_Expiration=1,IF($A494&lt;VLOOKUP(Q$5,NFI,5,0),1,0)*Table_NFI[[#This Row],[Plastic Mat]],Table_NFI[Plastic Mat])*IF(Table_NFI[[#This Row],[Distribution Date]]&gt;"2014-04-01",1,2.5)</f>
        <v>0</v>
      </c>
      <c r="AI494" s="294">
        <f>IF(NFI_Expiration=1,IF($A494&lt;VLOOKUP(R$5,NFI,5,0),1,0)*Table_NFI[[#This Row],[Winter Clothes Adult]],Table_NFI[Winter Clothes Adult])</f>
        <v>0</v>
      </c>
      <c r="AJ494" s="294">
        <f>IF(NFI_Expiration=1,IF($A494&lt;VLOOKUP(S$5,NFI,5,0),1,0)*Table_NFI[[#This Row],[Winter Clothes Children]],Table_NFI[Winter Clothes Children])</f>
        <v>0</v>
      </c>
      <c r="AK494" s="294">
        <f>IF(NFI_Expiration=1,IF($A494&lt;VLOOKUP(T$5,NFI,5,0),1,0)*Table_NFI[[#This Row],[Winter Items Other]],Table_NFI[Winter Items Other])</f>
        <v>0</v>
      </c>
      <c r="AL494" s="294">
        <f>IF(NFI_Expiration=1,IF($A494&lt;VLOOKUP(M$5,NFI,5,0),1,0)*Table_NFI[[#This Row],[Winter Blanket]],Table_NFI[[#This Row],[Winter Blanket]])</f>
        <v>0</v>
      </c>
      <c r="AM494" s="294">
        <f>IF(Table_NFI[[#This Row],[Winter Clothes Adult]]+Table_NFI[[#This Row],[Winter Clothes Children]]+Table_NFI[[#This Row],[Winter Items Other]]+Table_NFI[[#This Row],[Winter Blanket]]&gt;0,1,0)</f>
        <v>1</v>
      </c>
      <c r="AN494" s="331">
        <f>IF(NFI_Expiration=1,IF($A494&lt;VLOOKUP(V$5,NFI,5,0),1,0)*Table_NFI[[#This Row],[Jerry Can]],Table_NFI[Jerry Can])</f>
        <v>0</v>
      </c>
      <c r="AO494" s="331">
        <f>IF(NFI_Expiration=1,IF($A494&lt;VLOOKUP(V$5,NFI,5,0),1,0)*Table_NFI[[#This Row],[Shelter Tool kit]],Table_NFI[Shelter Tool kit])</f>
        <v>0</v>
      </c>
      <c r="AP494" s="331">
        <f>IF(NFI_Expiration=1,IF($A494&lt;VLOOKUP(V$5,NFI,5,0),1,0)*Table_NFI[[#This Row],[Tent]],Table_NFI[Tent])</f>
        <v>0</v>
      </c>
      <c r="AQ494" s="473" t="str">
        <f>IFERROR(VLOOKUP(Table_NFI[[#This Row],[Camp Name]],CL,2,0),"")</f>
        <v>MMR001CMP050</v>
      </c>
      <c r="AR494" s="468">
        <f ca="1">IF(Table_NFI[[#This Row],[Pcode]]="","",IF(OFFSET(CampList[Opening Date],MATCH(Table_NFI[[#This Row],[Pcode]],CampList[CP_Pcode],0)-1,0,1,1)&gt;=NFI_Monitor_Date,1,0))</f>
        <v>0</v>
      </c>
      <c r="AS494" s="473" t="str">
        <f>IFERROR(VLOOKUP(Table_NFI[[#This Row],[Camp Name]],CL,3,0),"")</f>
        <v>Open</v>
      </c>
      <c r="AT494" s="294" t="str">
        <f ca="1">IF(Table_NFI[[#This Row],[Pcode]]="","",OFFSET(CampList[Priority],MATCH(Table_NFI[[#This Row],[Pcode]],CampList[CP_Pcode],0)-1,0,1,1))</f>
        <v>P4</v>
      </c>
      <c r="AU494" s="293">
        <f>IFERROR(Table_NFI[[#This Row],[Kitchen Set]]/VLOOKUP(Table_NFI[[#This Row],[Camp Name]],CL,4,0),"")</f>
        <v>0</v>
      </c>
      <c r="AV494" s="466" t="s">
        <v>1092</v>
      </c>
      <c r="AW494" s="469"/>
    </row>
    <row r="495" spans="1:49" s="470" customFormat="1" ht="14.45" customHeight="1" x14ac:dyDescent="0.25">
      <c r="A495" s="297">
        <f t="shared" si="7"/>
        <v>35.56666666666667</v>
      </c>
      <c r="B495" s="465">
        <v>41608</v>
      </c>
      <c r="C495" s="466" t="s">
        <v>905</v>
      </c>
      <c r="D495" s="466"/>
      <c r="E495" s="466" t="s">
        <v>380</v>
      </c>
      <c r="F495" s="290" t="s">
        <v>5</v>
      </c>
      <c r="G495" s="290" t="s">
        <v>6</v>
      </c>
      <c r="H495" s="291"/>
      <c r="I495" s="291"/>
      <c r="J495" s="291"/>
      <c r="K495" s="291"/>
      <c r="L495" s="292"/>
      <c r="M495" s="292"/>
      <c r="N495" s="292"/>
      <c r="O495" s="292"/>
      <c r="P495" s="294"/>
      <c r="Q495" s="294">
        <v>660</v>
      </c>
      <c r="R495" s="294"/>
      <c r="S495" s="294"/>
      <c r="T495" s="294"/>
      <c r="U495" s="294"/>
      <c r="V495" s="431"/>
      <c r="W495" s="294"/>
      <c r="X495" s="294"/>
      <c r="Y495" s="294">
        <f>IF(NFI_Expiration=1,IF($A495&lt;VLOOKUP(H$5,NFI,5,0),1,0)*Table_NFI[[#This Row],[Hygiene Kit]],Table_NFI[Hygiene Kit])</f>
        <v>0</v>
      </c>
      <c r="Z495" s="294">
        <f>IF(NFI_Expiration=1,IF($A495&lt;VLOOKUP(I$5,NFI,5,0),1,0)*Table_NFI[[#This Row],[NFI Core Kit]],Table_NFI[NFI Core Kit])</f>
        <v>0</v>
      </c>
      <c r="AA495" s="294">
        <f>IF(NFI_Expiration=1,IF($A495&lt;VLOOKUP(J$5,NFI,5,0),1,0)*Table_NFI[[#This Row],[Sanitary Kit]],Table_NFI[Sanitary Kit])</f>
        <v>0</v>
      </c>
      <c r="AB495" s="294">
        <f>IF(NFI_Expiration=1,IF($A495&lt;VLOOKUP(K$5,NFI,5,0),1,0)*Table_NFI[[#This Row],[Mosquito net]],Table_NFI[Mosquito net])</f>
        <v>0</v>
      </c>
      <c r="AC495" s="294">
        <f>IF(NFI_Expiration=1,IF($A495&lt;VLOOKUP(L$5,NFI,5,0),1,0)*Table_NFI[[#This Row],[Tarpaulin]],Table_NFI[[#This Row],[Tarpaulin]])</f>
        <v>0</v>
      </c>
      <c r="AD495" s="294">
        <f>IF(NFI_Expiration=1,IF($A495&lt;VLOOKUP(M$5,NFI,5,0),1,0)*Table_NFI[[#This Row],[Blanket]],Table_NFI[[#This Row],[Blanket]])</f>
        <v>0</v>
      </c>
      <c r="AE495" s="294">
        <f>IF(NFI_Expiration=1,IF($A495&lt;VLOOKUP(N$5,NFI,5,0),1,0)*Table_NFI[[#This Row],[Kitchen Set]],Table_NFI[Kitchen Set])</f>
        <v>0</v>
      </c>
      <c r="AF495" s="294">
        <f>IF(NFI_Expiration=1,IF($A495&lt;VLOOKUP(O$5,NFI,5,0),1,0)*Table_NFI[[#This Row],[Clothes Kit]],Table_NFI[Clothes Kit])</f>
        <v>0</v>
      </c>
      <c r="AG495" s="294">
        <f>IF(NFI_Expiration=1,IF($A495&lt;VLOOKUP(P$5,NFI,5,0),1,0)*Table_NFI[[#This Row],[Plastic Bucket]],Table_NFI[Plastic Bucket])</f>
        <v>0</v>
      </c>
      <c r="AH495" s="294">
        <f>IF(NFI_Expiration=1,IF($A495&lt;VLOOKUP(Q$5,NFI,5,0),1,0)*Table_NFI[[#This Row],[Plastic Mat]],Table_NFI[Plastic Mat])*IF(Table_NFI[[#This Row],[Distribution Date]]&gt;"2014-04-01",1,2.5)</f>
        <v>0</v>
      </c>
      <c r="AI495" s="294">
        <f>IF(NFI_Expiration=1,IF($A495&lt;VLOOKUP(R$5,NFI,5,0),1,0)*Table_NFI[[#This Row],[Winter Clothes Adult]],Table_NFI[Winter Clothes Adult])</f>
        <v>0</v>
      </c>
      <c r="AJ495" s="294">
        <f>IF(NFI_Expiration=1,IF($A495&lt;VLOOKUP(S$5,NFI,5,0),1,0)*Table_NFI[[#This Row],[Winter Clothes Children]],Table_NFI[Winter Clothes Children])</f>
        <v>0</v>
      </c>
      <c r="AK495" s="294">
        <f>IF(NFI_Expiration=1,IF($A495&lt;VLOOKUP(T$5,NFI,5,0),1,0)*Table_NFI[[#This Row],[Winter Items Other]],Table_NFI[Winter Items Other])</f>
        <v>0</v>
      </c>
      <c r="AL495" s="294">
        <f>IF(NFI_Expiration=1,IF($A495&lt;VLOOKUP(M$5,NFI,5,0),1,0)*Table_NFI[[#This Row],[Winter Blanket]],Table_NFI[[#This Row],[Winter Blanket]])</f>
        <v>0</v>
      </c>
      <c r="AM495" s="294">
        <f>IF(Table_NFI[[#This Row],[Winter Clothes Adult]]+Table_NFI[[#This Row],[Winter Clothes Children]]+Table_NFI[[#This Row],[Winter Items Other]]+Table_NFI[[#This Row],[Winter Blanket]]&gt;0,1,0)</f>
        <v>0</v>
      </c>
      <c r="AN495" s="331">
        <f>IF(NFI_Expiration=1,IF($A495&lt;VLOOKUP(V$5,NFI,5,0),1,0)*Table_NFI[[#This Row],[Jerry Can]],Table_NFI[Jerry Can])</f>
        <v>0</v>
      </c>
      <c r="AO495" s="331">
        <f>IF(NFI_Expiration=1,IF($A495&lt;VLOOKUP(V$5,NFI,5,0),1,0)*Table_NFI[[#This Row],[Shelter Tool kit]],Table_NFI[Shelter Tool kit])</f>
        <v>0</v>
      </c>
      <c r="AP495" s="331">
        <f>IF(NFI_Expiration=1,IF($A495&lt;VLOOKUP(V$5,NFI,5,0),1,0)*Table_NFI[[#This Row],[Tent]],Table_NFI[Tent])</f>
        <v>0</v>
      </c>
      <c r="AQ495" s="473" t="str">
        <f>IFERROR(VLOOKUP(Table_NFI[[#This Row],[Camp Name]],CL,2,0),"")</f>
        <v>MMR001CMP050</v>
      </c>
      <c r="AR495" s="468">
        <f ca="1">IF(Table_NFI[[#This Row],[Pcode]]="","",IF(OFFSET(CampList[Opening Date],MATCH(Table_NFI[[#This Row],[Pcode]],CampList[CP_Pcode],0)-1,0,1,1)&gt;=NFI_Monitor_Date,1,0))</f>
        <v>0</v>
      </c>
      <c r="AS495" s="473" t="str">
        <f>IFERROR(VLOOKUP(Table_NFI[[#This Row],[Camp Name]],CL,3,0),"")</f>
        <v>Open</v>
      </c>
      <c r="AT495" s="294" t="str">
        <f ca="1">IF(Table_NFI[[#This Row],[Pcode]]="","",OFFSET(CampList[Priority],MATCH(Table_NFI[[#This Row],[Pcode]],CampList[CP_Pcode],0)-1,0,1,1))</f>
        <v>P4</v>
      </c>
      <c r="AU495" s="293">
        <f>IFERROR(Table_NFI[[#This Row],[Kitchen Set]]/VLOOKUP(Table_NFI[[#This Row],[Camp Name]],CL,4,0),"")</f>
        <v>0</v>
      </c>
      <c r="AV495" s="466" t="s">
        <v>1092</v>
      </c>
      <c r="AW495" s="469"/>
    </row>
    <row r="496" spans="1:49" s="470" customFormat="1" ht="14.45" customHeight="1" x14ac:dyDescent="0.25">
      <c r="A496" s="297">
        <f t="shared" si="7"/>
        <v>35.56666666666667</v>
      </c>
      <c r="B496" s="465">
        <v>41608</v>
      </c>
      <c r="C496" s="467" t="s">
        <v>452</v>
      </c>
      <c r="D496" s="467" t="s">
        <v>452</v>
      </c>
      <c r="E496" s="466" t="s">
        <v>380</v>
      </c>
      <c r="F496" s="290" t="s">
        <v>5</v>
      </c>
      <c r="G496" s="290" t="s">
        <v>6</v>
      </c>
      <c r="H496" s="291"/>
      <c r="I496" s="291"/>
      <c r="J496" s="291"/>
      <c r="K496" s="291">
        <v>6</v>
      </c>
      <c r="L496" s="292">
        <v>6</v>
      </c>
      <c r="M496" s="292">
        <v>6</v>
      </c>
      <c r="N496" s="292">
        <v>6</v>
      </c>
      <c r="O496" s="292">
        <v>6</v>
      </c>
      <c r="P496" s="294"/>
      <c r="Q496" s="294"/>
      <c r="R496" s="294"/>
      <c r="S496" s="294"/>
      <c r="T496" s="294"/>
      <c r="U496" s="294"/>
      <c r="V496" s="431"/>
      <c r="W496" s="294"/>
      <c r="X496" s="294"/>
      <c r="Y496" s="294">
        <f>IF(NFI_Expiration=1,IF($A496&lt;VLOOKUP(H$5,NFI,5,0),1,0)*Table_NFI[[#This Row],[Hygiene Kit]],Table_NFI[Hygiene Kit])</f>
        <v>0</v>
      </c>
      <c r="Z496" s="294">
        <f>IF(NFI_Expiration=1,IF($A496&lt;VLOOKUP(I$5,NFI,5,0),1,0)*Table_NFI[[#This Row],[NFI Core Kit]],Table_NFI[NFI Core Kit])</f>
        <v>0</v>
      </c>
      <c r="AA496" s="294">
        <f>IF(NFI_Expiration=1,IF($A496&lt;VLOOKUP(J$5,NFI,5,0),1,0)*Table_NFI[[#This Row],[Sanitary Kit]],Table_NFI[Sanitary Kit])</f>
        <v>0</v>
      </c>
      <c r="AB496" s="294">
        <f>IF(NFI_Expiration=1,IF($A496&lt;VLOOKUP(K$5,NFI,5,0),1,0)*Table_NFI[[#This Row],[Mosquito net]],Table_NFI[Mosquito net])</f>
        <v>0</v>
      </c>
      <c r="AC496" s="294">
        <f>IF(NFI_Expiration=1,IF($A496&lt;VLOOKUP(L$5,NFI,5,0),1,0)*Table_NFI[[#This Row],[Tarpaulin]],Table_NFI[[#This Row],[Tarpaulin]])</f>
        <v>0</v>
      </c>
      <c r="AD496" s="294">
        <f>IF(NFI_Expiration=1,IF($A496&lt;VLOOKUP(M$5,NFI,5,0),1,0)*Table_NFI[[#This Row],[Blanket]],Table_NFI[[#This Row],[Blanket]])</f>
        <v>0</v>
      </c>
      <c r="AE496" s="294">
        <f>IF(NFI_Expiration=1,IF($A496&lt;VLOOKUP(N$5,NFI,5,0),1,0)*Table_NFI[[#This Row],[Kitchen Set]],Table_NFI[Kitchen Set])</f>
        <v>0</v>
      </c>
      <c r="AF496" s="294">
        <f>IF(NFI_Expiration=1,IF($A496&lt;VLOOKUP(O$5,NFI,5,0),1,0)*Table_NFI[[#This Row],[Clothes Kit]],Table_NFI[Clothes Kit])</f>
        <v>0</v>
      </c>
      <c r="AG496" s="294">
        <f>IF(NFI_Expiration=1,IF($A496&lt;VLOOKUP(P$5,NFI,5,0),1,0)*Table_NFI[[#This Row],[Plastic Bucket]],Table_NFI[Plastic Bucket])</f>
        <v>0</v>
      </c>
      <c r="AH496" s="294">
        <f>IF(NFI_Expiration=1,IF($A496&lt;VLOOKUP(Q$5,NFI,5,0),1,0)*Table_NFI[[#This Row],[Plastic Mat]],Table_NFI[Plastic Mat])*IF(Table_NFI[[#This Row],[Distribution Date]]&gt;"2014-04-01",1,2.5)</f>
        <v>0</v>
      </c>
      <c r="AI496" s="294">
        <f>IF(NFI_Expiration=1,IF($A496&lt;VLOOKUP(R$5,NFI,5,0),1,0)*Table_NFI[[#This Row],[Winter Clothes Adult]],Table_NFI[Winter Clothes Adult])</f>
        <v>0</v>
      </c>
      <c r="AJ496" s="294">
        <f>IF(NFI_Expiration=1,IF($A496&lt;VLOOKUP(S$5,NFI,5,0),1,0)*Table_NFI[[#This Row],[Winter Clothes Children]],Table_NFI[Winter Clothes Children])</f>
        <v>0</v>
      </c>
      <c r="AK496" s="294">
        <f>IF(NFI_Expiration=1,IF($A496&lt;VLOOKUP(T$5,NFI,5,0),1,0)*Table_NFI[[#This Row],[Winter Items Other]],Table_NFI[Winter Items Other])</f>
        <v>0</v>
      </c>
      <c r="AL496" s="294">
        <f>IF(NFI_Expiration=1,IF($A496&lt;VLOOKUP(M$5,NFI,5,0),1,0)*Table_NFI[[#This Row],[Winter Blanket]],Table_NFI[[#This Row],[Winter Blanket]])</f>
        <v>0</v>
      </c>
      <c r="AM496" s="294">
        <f>IF(Table_NFI[[#This Row],[Winter Clothes Adult]]+Table_NFI[[#This Row],[Winter Clothes Children]]+Table_NFI[[#This Row],[Winter Items Other]]+Table_NFI[[#This Row],[Winter Blanket]]&gt;0,1,0)</f>
        <v>0</v>
      </c>
      <c r="AN496" s="331">
        <f>IF(NFI_Expiration=1,IF($A496&lt;VLOOKUP(V$5,NFI,5,0),1,0)*Table_NFI[[#This Row],[Jerry Can]],Table_NFI[Jerry Can])</f>
        <v>0</v>
      </c>
      <c r="AO496" s="331">
        <f>IF(NFI_Expiration=1,IF($A496&lt;VLOOKUP(V$5,NFI,5,0),1,0)*Table_NFI[[#This Row],[Shelter Tool kit]],Table_NFI[Shelter Tool kit])</f>
        <v>0</v>
      </c>
      <c r="AP496" s="331">
        <f>IF(NFI_Expiration=1,IF($A496&lt;VLOOKUP(V$5,NFI,5,0),1,0)*Table_NFI[[#This Row],[Tent]],Table_NFI[Tent])</f>
        <v>0</v>
      </c>
      <c r="AQ496" s="473" t="str">
        <f>IFERROR(VLOOKUP(Table_NFI[[#This Row],[Camp Name]],CL,2,0),"")</f>
        <v>MMR001CMP050</v>
      </c>
      <c r="AR496" s="468">
        <f ca="1">IF(Table_NFI[[#This Row],[Pcode]]="","",IF(OFFSET(CampList[Opening Date],MATCH(Table_NFI[[#This Row],[Pcode]],CampList[CP_Pcode],0)-1,0,1,1)&gt;=NFI_Monitor_Date,1,0))</f>
        <v>0</v>
      </c>
      <c r="AS496" s="473" t="str">
        <f>IFERROR(VLOOKUP(Table_NFI[[#This Row],[Camp Name]],CL,3,0),"")</f>
        <v>Open</v>
      </c>
      <c r="AT496" s="294" t="str">
        <f ca="1">IF(Table_NFI[[#This Row],[Pcode]]="","",OFFSET(CampList[Priority],MATCH(Table_NFI[[#This Row],[Pcode]],CampList[CP_Pcode],0)-1,0,1,1))</f>
        <v>P4</v>
      </c>
      <c r="AU496" s="293">
        <f>IFERROR(Table_NFI[[#This Row],[Kitchen Set]]/VLOOKUP(Table_NFI[[#This Row],[Camp Name]],CL,4,0),"")</f>
        <v>2.3076923076923078E-2</v>
      </c>
      <c r="AV496" s="466" t="s">
        <v>1092</v>
      </c>
      <c r="AW496" s="469"/>
    </row>
    <row r="497" spans="1:49" s="470" customFormat="1" ht="14.45" customHeight="1" x14ac:dyDescent="0.25">
      <c r="A497" s="297">
        <f t="shared" si="7"/>
        <v>35.56666666666667</v>
      </c>
      <c r="B497" s="465">
        <v>41608</v>
      </c>
      <c r="C497" s="466" t="s">
        <v>905</v>
      </c>
      <c r="D497" s="466"/>
      <c r="E497" s="466" t="s">
        <v>380</v>
      </c>
      <c r="F497" s="290" t="s">
        <v>5</v>
      </c>
      <c r="G497" s="290" t="s">
        <v>512</v>
      </c>
      <c r="H497" s="291"/>
      <c r="I497" s="291"/>
      <c r="J497" s="291"/>
      <c r="K497" s="291"/>
      <c r="L497" s="292"/>
      <c r="M497" s="292"/>
      <c r="N497" s="292"/>
      <c r="O497" s="292"/>
      <c r="P497" s="294"/>
      <c r="Q497" s="294"/>
      <c r="R497" s="294"/>
      <c r="S497" s="294"/>
      <c r="T497" s="294"/>
      <c r="U497" s="294"/>
      <c r="V497" s="431"/>
      <c r="W497" s="294"/>
      <c r="X497" s="294"/>
      <c r="Y497" s="294">
        <f>IF(NFI_Expiration=1,IF($A497&lt;VLOOKUP(H$5,NFI,5,0),1,0)*Table_NFI[[#This Row],[Hygiene Kit]],Table_NFI[Hygiene Kit])</f>
        <v>0</v>
      </c>
      <c r="Z497" s="294">
        <f>IF(NFI_Expiration=1,IF($A497&lt;VLOOKUP(I$5,NFI,5,0),1,0)*Table_NFI[[#This Row],[NFI Core Kit]],Table_NFI[NFI Core Kit])</f>
        <v>0</v>
      </c>
      <c r="AA497" s="294">
        <f>IF(NFI_Expiration=1,IF($A497&lt;VLOOKUP(J$5,NFI,5,0),1,0)*Table_NFI[[#This Row],[Sanitary Kit]],Table_NFI[Sanitary Kit])</f>
        <v>0</v>
      </c>
      <c r="AB497" s="294">
        <f>IF(NFI_Expiration=1,IF($A497&lt;VLOOKUP(K$5,NFI,5,0),1,0)*Table_NFI[[#This Row],[Mosquito net]],Table_NFI[Mosquito net])</f>
        <v>0</v>
      </c>
      <c r="AC497" s="294">
        <f>IF(NFI_Expiration=1,IF($A497&lt;VLOOKUP(L$5,NFI,5,0),1,0)*Table_NFI[[#This Row],[Tarpaulin]],Table_NFI[[#This Row],[Tarpaulin]])</f>
        <v>0</v>
      </c>
      <c r="AD497" s="294">
        <f>IF(NFI_Expiration=1,IF($A497&lt;VLOOKUP(M$5,NFI,5,0),1,0)*Table_NFI[[#This Row],[Blanket]],Table_NFI[[#This Row],[Blanket]])</f>
        <v>0</v>
      </c>
      <c r="AE497" s="294">
        <f>IF(NFI_Expiration=1,IF($A497&lt;VLOOKUP(N$5,NFI,5,0),1,0)*Table_NFI[[#This Row],[Kitchen Set]],Table_NFI[Kitchen Set])</f>
        <v>0</v>
      </c>
      <c r="AF497" s="294">
        <f>IF(NFI_Expiration=1,IF($A497&lt;VLOOKUP(O$5,NFI,5,0),1,0)*Table_NFI[[#This Row],[Clothes Kit]],Table_NFI[Clothes Kit])</f>
        <v>0</v>
      </c>
      <c r="AG497" s="294">
        <f>IF(NFI_Expiration=1,IF($A497&lt;VLOOKUP(P$5,NFI,5,0),1,0)*Table_NFI[[#This Row],[Plastic Bucket]],Table_NFI[Plastic Bucket])</f>
        <v>0</v>
      </c>
      <c r="AH497" s="294">
        <f>IF(NFI_Expiration=1,IF($A497&lt;VLOOKUP(Q$5,NFI,5,0),1,0)*Table_NFI[[#This Row],[Plastic Mat]],Table_NFI[Plastic Mat])*IF(Table_NFI[[#This Row],[Distribution Date]]&gt;"2014-04-01",1,2.5)</f>
        <v>0</v>
      </c>
      <c r="AI497" s="294">
        <f>IF(NFI_Expiration=1,IF($A497&lt;VLOOKUP(R$5,NFI,5,0),1,0)*Table_NFI[[#This Row],[Winter Clothes Adult]],Table_NFI[Winter Clothes Adult])</f>
        <v>0</v>
      </c>
      <c r="AJ497" s="294">
        <f>IF(NFI_Expiration=1,IF($A497&lt;VLOOKUP(S$5,NFI,5,0),1,0)*Table_NFI[[#This Row],[Winter Clothes Children]],Table_NFI[Winter Clothes Children])</f>
        <v>0</v>
      </c>
      <c r="AK497" s="294">
        <f>IF(NFI_Expiration=1,IF($A497&lt;VLOOKUP(T$5,NFI,5,0),1,0)*Table_NFI[[#This Row],[Winter Items Other]],Table_NFI[Winter Items Other])</f>
        <v>0</v>
      </c>
      <c r="AL497" s="294">
        <f>IF(NFI_Expiration=1,IF($A497&lt;VLOOKUP(M$5,NFI,5,0),1,0)*Table_NFI[[#This Row],[Winter Blanket]],Table_NFI[[#This Row],[Winter Blanket]])</f>
        <v>0</v>
      </c>
      <c r="AM497" s="294">
        <f>IF(Table_NFI[[#This Row],[Winter Clothes Adult]]+Table_NFI[[#This Row],[Winter Clothes Children]]+Table_NFI[[#This Row],[Winter Items Other]]+Table_NFI[[#This Row],[Winter Blanket]]&gt;0,1,0)</f>
        <v>0</v>
      </c>
      <c r="AN497" s="331">
        <f>IF(NFI_Expiration=1,IF($A497&lt;VLOOKUP(V$5,NFI,5,0),1,0)*Table_NFI[[#This Row],[Jerry Can]],Table_NFI[Jerry Can])</f>
        <v>0</v>
      </c>
      <c r="AO497" s="331">
        <f>IF(NFI_Expiration=1,IF($A497&lt;VLOOKUP(V$5,NFI,5,0),1,0)*Table_NFI[[#This Row],[Shelter Tool kit]],Table_NFI[Shelter Tool kit])</f>
        <v>0</v>
      </c>
      <c r="AP497" s="331">
        <f>IF(NFI_Expiration=1,IF($A497&lt;VLOOKUP(V$5,NFI,5,0),1,0)*Table_NFI[[#This Row],[Tent]],Table_NFI[Tent])</f>
        <v>0</v>
      </c>
      <c r="AQ497" s="473" t="str">
        <f>IFERROR(VLOOKUP(Table_NFI[[#This Row],[Camp Name]],CL,2,0),"")</f>
        <v>MMR001CMP194</v>
      </c>
      <c r="AR497" s="468">
        <f ca="1">IF(Table_NFI[[#This Row],[Pcode]]="","",IF(OFFSET(CampList[Opening Date],MATCH(Table_NFI[[#This Row],[Pcode]],CampList[CP_Pcode],0)-1,0,1,1)&gt;=NFI_Monitor_Date,1,0))</f>
        <v>0</v>
      </c>
      <c r="AS497" s="473" t="s">
        <v>843</v>
      </c>
      <c r="AT497" s="294" t="str">
        <f ca="1">IF(Table_NFI[[#This Row],[Pcode]]="","",OFFSET(CampList[Priority],MATCH(Table_NFI[[#This Row],[Pcode]],CampList[CP_Pcode],0)-1,0,1,1))</f>
        <v>P4</v>
      </c>
      <c r="AU497" s="293">
        <f>IFERROR(Table_NFI[[#This Row],[Kitchen Set]]/VLOOKUP(Table_NFI[[#This Row],[Camp Name]],CL,4,0),"")</f>
        <v>0</v>
      </c>
      <c r="AV497" s="466" t="s">
        <v>1092</v>
      </c>
      <c r="AW497" s="469"/>
    </row>
    <row r="498" spans="1:49" s="470" customFormat="1" ht="14.45" customHeight="1" x14ac:dyDescent="0.25">
      <c r="A498" s="297">
        <f t="shared" si="7"/>
        <v>35.56666666666667</v>
      </c>
      <c r="B498" s="465">
        <v>41608</v>
      </c>
      <c r="C498" s="466" t="s">
        <v>905</v>
      </c>
      <c r="D498" s="466" t="s">
        <v>460</v>
      </c>
      <c r="E498" s="466" t="s">
        <v>380</v>
      </c>
      <c r="F498" s="290" t="s">
        <v>310</v>
      </c>
      <c r="G498" s="290" t="s">
        <v>334</v>
      </c>
      <c r="H498" s="291"/>
      <c r="I498" s="291"/>
      <c r="J498" s="291"/>
      <c r="K498" s="291"/>
      <c r="L498" s="292"/>
      <c r="M498" s="292"/>
      <c r="N498" s="292"/>
      <c r="O498" s="292"/>
      <c r="P498" s="294"/>
      <c r="Q498" s="294"/>
      <c r="R498" s="294"/>
      <c r="S498" s="294"/>
      <c r="T498" s="294"/>
      <c r="U498" s="294"/>
      <c r="V498" s="431"/>
      <c r="W498" s="294"/>
      <c r="X498" s="294"/>
      <c r="Y498" s="294">
        <f>IF(NFI_Expiration=1,IF($A498&lt;VLOOKUP(H$5,NFI,5,0),1,0)*Table_NFI[[#This Row],[Hygiene Kit]],Table_NFI[Hygiene Kit])</f>
        <v>0</v>
      </c>
      <c r="Z498" s="294">
        <f>IF(NFI_Expiration=1,IF($A498&lt;VLOOKUP(I$5,NFI,5,0),1,0)*Table_NFI[[#This Row],[NFI Core Kit]],Table_NFI[NFI Core Kit])</f>
        <v>0</v>
      </c>
      <c r="AA498" s="294">
        <f>IF(NFI_Expiration=1,IF($A498&lt;VLOOKUP(J$5,NFI,5,0),1,0)*Table_NFI[[#This Row],[Sanitary Kit]],Table_NFI[Sanitary Kit])</f>
        <v>0</v>
      </c>
      <c r="AB498" s="294">
        <f>IF(NFI_Expiration=1,IF($A498&lt;VLOOKUP(K$5,NFI,5,0),1,0)*Table_NFI[[#This Row],[Mosquito net]],Table_NFI[Mosquito net])</f>
        <v>0</v>
      </c>
      <c r="AC498" s="294">
        <f>IF(NFI_Expiration=1,IF($A498&lt;VLOOKUP(L$5,NFI,5,0),1,0)*Table_NFI[[#This Row],[Tarpaulin]],Table_NFI[[#This Row],[Tarpaulin]])</f>
        <v>0</v>
      </c>
      <c r="AD498" s="294">
        <f>IF(NFI_Expiration=1,IF($A498&lt;VLOOKUP(M$5,NFI,5,0),1,0)*Table_NFI[[#This Row],[Blanket]],Table_NFI[[#This Row],[Blanket]])</f>
        <v>0</v>
      </c>
      <c r="AE498" s="294">
        <f>IF(NFI_Expiration=1,IF($A498&lt;VLOOKUP(N$5,NFI,5,0),1,0)*Table_NFI[[#This Row],[Kitchen Set]],Table_NFI[Kitchen Set])</f>
        <v>0</v>
      </c>
      <c r="AF498" s="294">
        <f>IF(NFI_Expiration=1,IF($A498&lt;VLOOKUP(O$5,NFI,5,0),1,0)*Table_NFI[[#This Row],[Clothes Kit]],Table_NFI[Clothes Kit])</f>
        <v>0</v>
      </c>
      <c r="AG498" s="294">
        <f>IF(NFI_Expiration=1,IF($A498&lt;VLOOKUP(P$5,NFI,5,0),1,0)*Table_NFI[[#This Row],[Plastic Bucket]],Table_NFI[Plastic Bucket])</f>
        <v>0</v>
      </c>
      <c r="AH498" s="294">
        <f>IF(NFI_Expiration=1,IF($A498&lt;VLOOKUP(Q$5,NFI,5,0),1,0)*Table_NFI[[#This Row],[Plastic Mat]],Table_NFI[Plastic Mat])*IF(Table_NFI[[#This Row],[Distribution Date]]&gt;"2014-04-01",1,2.5)</f>
        <v>0</v>
      </c>
      <c r="AI498" s="294">
        <f>IF(NFI_Expiration=1,IF($A498&lt;VLOOKUP(R$5,NFI,5,0),1,0)*Table_NFI[[#This Row],[Winter Clothes Adult]],Table_NFI[Winter Clothes Adult])</f>
        <v>0</v>
      </c>
      <c r="AJ498" s="294">
        <f>IF(NFI_Expiration=1,IF($A498&lt;VLOOKUP(S$5,NFI,5,0),1,0)*Table_NFI[[#This Row],[Winter Clothes Children]],Table_NFI[Winter Clothes Children])</f>
        <v>0</v>
      </c>
      <c r="AK498" s="294">
        <f>IF(NFI_Expiration=1,IF($A498&lt;VLOOKUP(T$5,NFI,5,0),1,0)*Table_NFI[[#This Row],[Winter Items Other]],Table_NFI[Winter Items Other])</f>
        <v>0</v>
      </c>
      <c r="AL498" s="294">
        <f>IF(NFI_Expiration=1,IF($A498&lt;VLOOKUP(M$5,NFI,5,0),1,0)*Table_NFI[[#This Row],[Winter Blanket]],Table_NFI[[#This Row],[Winter Blanket]])</f>
        <v>0</v>
      </c>
      <c r="AM498" s="294">
        <f>IF(Table_NFI[[#This Row],[Winter Clothes Adult]]+Table_NFI[[#This Row],[Winter Clothes Children]]+Table_NFI[[#This Row],[Winter Items Other]]+Table_NFI[[#This Row],[Winter Blanket]]&gt;0,1,0)</f>
        <v>0</v>
      </c>
      <c r="AN498" s="331">
        <f>IF(NFI_Expiration=1,IF($A498&lt;VLOOKUP(V$5,NFI,5,0),1,0)*Table_NFI[[#This Row],[Jerry Can]],Table_NFI[Jerry Can])</f>
        <v>0</v>
      </c>
      <c r="AO498" s="331">
        <f>IF(NFI_Expiration=1,IF($A498&lt;VLOOKUP(V$5,NFI,5,0),1,0)*Table_NFI[[#This Row],[Shelter Tool kit]],Table_NFI[Shelter Tool kit])</f>
        <v>0</v>
      </c>
      <c r="AP498" s="331">
        <f>IF(NFI_Expiration=1,IF($A498&lt;VLOOKUP(V$5,NFI,5,0),1,0)*Table_NFI[[#This Row],[Tent]],Table_NFI[Tent])</f>
        <v>0</v>
      </c>
      <c r="AQ498" s="473" t="str">
        <f>IFERROR(VLOOKUP(Table_NFI[[#This Row],[Camp Name]],CL,2,0),"")</f>
        <v>MMR001CMP113</v>
      </c>
      <c r="AR498" s="468">
        <f ca="1">IF(Table_NFI[[#This Row],[Pcode]]="","",IF(OFFSET(CampList[Opening Date],MATCH(Table_NFI[[#This Row],[Pcode]],CampList[CP_Pcode],0)-1,0,1,1)&gt;=NFI_Monitor_Date,1,0))</f>
        <v>0</v>
      </c>
      <c r="AS498" s="473" t="str">
        <f>IFERROR(VLOOKUP(Table_NFI[[#This Row],[Camp Name]],CL,3,0),"")</f>
        <v>Open</v>
      </c>
      <c r="AT498" s="294" t="str">
        <f ca="1">IF(Table_NFI[[#This Row],[Pcode]]="","",OFFSET(CampList[Priority],MATCH(Table_NFI[[#This Row],[Pcode]],CampList[CP_Pcode],0)-1,0,1,1))</f>
        <v>P1</v>
      </c>
      <c r="AU498" s="293">
        <f>IFERROR(Table_NFI[[#This Row],[Kitchen Set]]/VLOOKUP(Table_NFI[[#This Row],[Camp Name]],CL,4,0),"")</f>
        <v>0</v>
      </c>
      <c r="AV498" s="466" t="s">
        <v>1092</v>
      </c>
      <c r="AW498" s="469"/>
    </row>
    <row r="499" spans="1:49" s="470" customFormat="1" ht="14.45" customHeight="1" x14ac:dyDescent="0.25">
      <c r="A499" s="297">
        <f t="shared" si="7"/>
        <v>35.56666666666667</v>
      </c>
      <c r="B499" s="465">
        <v>41608</v>
      </c>
      <c r="C499" s="466" t="s">
        <v>1097</v>
      </c>
      <c r="D499" s="467" t="s">
        <v>944</v>
      </c>
      <c r="E499" s="466" t="s">
        <v>380</v>
      </c>
      <c r="F499" s="290" t="s">
        <v>151</v>
      </c>
      <c r="G499" s="290" t="s">
        <v>188</v>
      </c>
      <c r="H499" s="291"/>
      <c r="I499" s="291"/>
      <c r="J499" s="291"/>
      <c r="K499" s="291"/>
      <c r="L499" s="292"/>
      <c r="M499" s="292">
        <v>819</v>
      </c>
      <c r="N499" s="292"/>
      <c r="O499" s="292"/>
      <c r="P499" s="294"/>
      <c r="Q499" s="294"/>
      <c r="R499" s="294">
        <v>966</v>
      </c>
      <c r="S499" s="294">
        <v>484</v>
      </c>
      <c r="T499" s="294">
        <v>0</v>
      </c>
      <c r="U499" s="294"/>
      <c r="V499" s="431"/>
      <c r="W499" s="294"/>
      <c r="X499" s="294"/>
      <c r="Y499" s="294">
        <f>IF(NFI_Expiration=1,IF($A499&lt;VLOOKUP(H$5,NFI,5,0),1,0)*Table_NFI[[#This Row],[Hygiene Kit]],Table_NFI[Hygiene Kit])</f>
        <v>0</v>
      </c>
      <c r="Z499" s="294">
        <f>IF(NFI_Expiration=1,IF($A499&lt;VLOOKUP(I$5,NFI,5,0),1,0)*Table_NFI[[#This Row],[NFI Core Kit]],Table_NFI[NFI Core Kit])</f>
        <v>0</v>
      </c>
      <c r="AA499" s="294">
        <f>IF(NFI_Expiration=1,IF($A499&lt;VLOOKUP(J$5,NFI,5,0),1,0)*Table_NFI[[#This Row],[Sanitary Kit]],Table_NFI[Sanitary Kit])</f>
        <v>0</v>
      </c>
      <c r="AB499" s="294">
        <f>IF(NFI_Expiration=1,IF($A499&lt;VLOOKUP(K$5,NFI,5,0),1,0)*Table_NFI[[#This Row],[Mosquito net]],Table_NFI[Mosquito net])</f>
        <v>0</v>
      </c>
      <c r="AC499" s="294">
        <f>IF(NFI_Expiration=1,IF($A499&lt;VLOOKUP(L$5,NFI,5,0),1,0)*Table_NFI[[#This Row],[Tarpaulin]],Table_NFI[[#This Row],[Tarpaulin]])</f>
        <v>0</v>
      </c>
      <c r="AD499" s="294">
        <f>IF(NFI_Expiration=1,IF($A499&lt;VLOOKUP(M$5,NFI,5,0),1,0)*Table_NFI[[#This Row],[Blanket]],Table_NFI[[#This Row],[Blanket]])</f>
        <v>0</v>
      </c>
      <c r="AE499" s="294">
        <f>IF(NFI_Expiration=1,IF($A499&lt;VLOOKUP(N$5,NFI,5,0),1,0)*Table_NFI[[#This Row],[Kitchen Set]],Table_NFI[Kitchen Set])</f>
        <v>0</v>
      </c>
      <c r="AF499" s="294">
        <f>IF(NFI_Expiration=1,IF($A499&lt;VLOOKUP(O$5,NFI,5,0),1,0)*Table_NFI[[#This Row],[Clothes Kit]],Table_NFI[Clothes Kit])</f>
        <v>0</v>
      </c>
      <c r="AG499" s="294">
        <f>IF(NFI_Expiration=1,IF($A499&lt;VLOOKUP(P$5,NFI,5,0),1,0)*Table_NFI[[#This Row],[Plastic Bucket]],Table_NFI[Plastic Bucket])</f>
        <v>0</v>
      </c>
      <c r="AH499" s="294">
        <f>IF(NFI_Expiration=1,IF($A499&lt;VLOOKUP(Q$5,NFI,5,0),1,0)*Table_NFI[[#This Row],[Plastic Mat]],Table_NFI[Plastic Mat])*IF(Table_NFI[[#This Row],[Distribution Date]]&gt;"2014-04-01",1,2.5)</f>
        <v>0</v>
      </c>
      <c r="AI499" s="294">
        <f>IF(NFI_Expiration=1,IF($A499&lt;VLOOKUP(R$5,NFI,5,0),1,0)*Table_NFI[[#This Row],[Winter Clothes Adult]],Table_NFI[Winter Clothes Adult])</f>
        <v>0</v>
      </c>
      <c r="AJ499" s="294">
        <f>IF(NFI_Expiration=1,IF($A499&lt;VLOOKUP(S$5,NFI,5,0),1,0)*Table_NFI[[#This Row],[Winter Clothes Children]],Table_NFI[Winter Clothes Children])</f>
        <v>0</v>
      </c>
      <c r="AK499" s="294">
        <f>IF(NFI_Expiration=1,IF($A499&lt;VLOOKUP(T$5,NFI,5,0),1,0)*Table_NFI[[#This Row],[Winter Items Other]],Table_NFI[Winter Items Other])</f>
        <v>0</v>
      </c>
      <c r="AL499" s="294">
        <f>IF(NFI_Expiration=1,IF($A499&lt;VLOOKUP(M$5,NFI,5,0),1,0)*Table_NFI[[#This Row],[Winter Blanket]],Table_NFI[[#This Row],[Winter Blanket]])</f>
        <v>0</v>
      </c>
      <c r="AM499" s="294">
        <f>IF(Table_NFI[[#This Row],[Winter Clothes Adult]]+Table_NFI[[#This Row],[Winter Clothes Children]]+Table_NFI[[#This Row],[Winter Items Other]]+Table_NFI[[#This Row],[Winter Blanket]]&gt;0,1,0)</f>
        <v>1</v>
      </c>
      <c r="AN499" s="331">
        <f>IF(NFI_Expiration=1,IF($A499&lt;VLOOKUP(V$5,NFI,5,0),1,0)*Table_NFI[[#This Row],[Jerry Can]],Table_NFI[Jerry Can])</f>
        <v>0</v>
      </c>
      <c r="AO499" s="331">
        <f>IF(NFI_Expiration=1,IF($A499&lt;VLOOKUP(V$5,NFI,5,0),1,0)*Table_NFI[[#This Row],[Shelter Tool kit]],Table_NFI[Shelter Tool kit])</f>
        <v>0</v>
      </c>
      <c r="AP499" s="331">
        <f>IF(NFI_Expiration=1,IF($A499&lt;VLOOKUP(V$5,NFI,5,0),1,0)*Table_NFI[[#This Row],[Tent]],Table_NFI[Tent])</f>
        <v>0</v>
      </c>
      <c r="AQ499" s="473" t="str">
        <f>IFERROR(VLOOKUP(Table_NFI[[#This Row],[Camp Name]],CL,2,0),"")</f>
        <v>MMR001CMP129</v>
      </c>
      <c r="AR499" s="468">
        <f ca="1">IF(Table_NFI[[#This Row],[Pcode]]="","",IF(OFFSET(CampList[Opening Date],MATCH(Table_NFI[[#This Row],[Pcode]],CampList[CP_Pcode],0)-1,0,1,1)&gt;=NFI_Monitor_Date,1,0))</f>
        <v>0</v>
      </c>
      <c r="AS499" s="473" t="str">
        <f>IFERROR(VLOOKUP(Table_NFI[[#This Row],[Camp Name]],CL,3,0),"")</f>
        <v>Open</v>
      </c>
      <c r="AT499" s="294" t="str">
        <f ca="1">IF(Table_NFI[[#This Row],[Pcode]]="","",OFFSET(CampList[Priority],MATCH(Table_NFI[[#This Row],[Pcode]],CampList[CP_Pcode],0)-1,0,1,1))</f>
        <v>P2</v>
      </c>
      <c r="AU499" s="293">
        <f>IFERROR(Table_NFI[[#This Row],[Kitchen Set]]/VLOOKUP(Table_NFI[[#This Row],[Camp Name]],CL,4,0),"")</f>
        <v>0</v>
      </c>
      <c r="AV499" s="466" t="s">
        <v>1092</v>
      </c>
      <c r="AW499" s="469"/>
    </row>
    <row r="500" spans="1:49" s="470" customFormat="1" ht="14.45" customHeight="1" x14ac:dyDescent="0.25">
      <c r="A500" s="297">
        <f t="shared" si="7"/>
        <v>35.56666666666667</v>
      </c>
      <c r="B500" s="465">
        <v>41608</v>
      </c>
      <c r="C500" s="466" t="s">
        <v>905</v>
      </c>
      <c r="D500" s="466" t="s">
        <v>460</v>
      </c>
      <c r="E500" s="466" t="s">
        <v>380</v>
      </c>
      <c r="F500" s="290" t="s">
        <v>151</v>
      </c>
      <c r="G500" s="290" t="s">
        <v>188</v>
      </c>
      <c r="H500" s="291"/>
      <c r="I500" s="291"/>
      <c r="J500" s="291"/>
      <c r="K500" s="291"/>
      <c r="L500" s="292"/>
      <c r="M500" s="292"/>
      <c r="N500" s="292"/>
      <c r="O500" s="292"/>
      <c r="P500" s="294"/>
      <c r="Q500" s="294">
        <v>321</v>
      </c>
      <c r="R500" s="294"/>
      <c r="S500" s="294"/>
      <c r="T500" s="294"/>
      <c r="U500" s="294"/>
      <c r="V500" s="431"/>
      <c r="W500" s="294"/>
      <c r="X500" s="294"/>
      <c r="Y500" s="294">
        <f>IF(NFI_Expiration=1,IF($A500&lt;VLOOKUP(H$5,NFI,5,0),1,0)*Table_NFI[[#This Row],[Hygiene Kit]],Table_NFI[Hygiene Kit])</f>
        <v>0</v>
      </c>
      <c r="Z500" s="294">
        <f>IF(NFI_Expiration=1,IF($A500&lt;VLOOKUP(I$5,NFI,5,0),1,0)*Table_NFI[[#This Row],[NFI Core Kit]],Table_NFI[NFI Core Kit])</f>
        <v>0</v>
      </c>
      <c r="AA500" s="294">
        <f>IF(NFI_Expiration=1,IF($A500&lt;VLOOKUP(J$5,NFI,5,0),1,0)*Table_NFI[[#This Row],[Sanitary Kit]],Table_NFI[Sanitary Kit])</f>
        <v>0</v>
      </c>
      <c r="AB500" s="294">
        <f>IF(NFI_Expiration=1,IF($A500&lt;VLOOKUP(K$5,NFI,5,0),1,0)*Table_NFI[[#This Row],[Mosquito net]],Table_NFI[Mosquito net])</f>
        <v>0</v>
      </c>
      <c r="AC500" s="294">
        <f>IF(NFI_Expiration=1,IF($A500&lt;VLOOKUP(L$5,NFI,5,0),1,0)*Table_NFI[[#This Row],[Tarpaulin]],Table_NFI[[#This Row],[Tarpaulin]])</f>
        <v>0</v>
      </c>
      <c r="AD500" s="294">
        <f>IF(NFI_Expiration=1,IF($A500&lt;VLOOKUP(M$5,NFI,5,0),1,0)*Table_NFI[[#This Row],[Blanket]],Table_NFI[[#This Row],[Blanket]])</f>
        <v>0</v>
      </c>
      <c r="AE500" s="294">
        <f>IF(NFI_Expiration=1,IF($A500&lt;VLOOKUP(N$5,NFI,5,0),1,0)*Table_NFI[[#This Row],[Kitchen Set]],Table_NFI[Kitchen Set])</f>
        <v>0</v>
      </c>
      <c r="AF500" s="294">
        <f>IF(NFI_Expiration=1,IF($A500&lt;VLOOKUP(O$5,NFI,5,0),1,0)*Table_NFI[[#This Row],[Clothes Kit]],Table_NFI[Clothes Kit])</f>
        <v>0</v>
      </c>
      <c r="AG500" s="294">
        <f>IF(NFI_Expiration=1,IF($A500&lt;VLOOKUP(P$5,NFI,5,0),1,0)*Table_NFI[[#This Row],[Plastic Bucket]],Table_NFI[Plastic Bucket])</f>
        <v>0</v>
      </c>
      <c r="AH500" s="294">
        <f>IF(NFI_Expiration=1,IF($A500&lt;VLOOKUP(Q$5,NFI,5,0),1,0)*Table_NFI[[#This Row],[Plastic Mat]],Table_NFI[Plastic Mat])*IF(Table_NFI[[#This Row],[Distribution Date]]&gt;"2014-04-01",1,2.5)</f>
        <v>0</v>
      </c>
      <c r="AI500" s="294">
        <f>IF(NFI_Expiration=1,IF($A500&lt;VLOOKUP(R$5,NFI,5,0),1,0)*Table_NFI[[#This Row],[Winter Clothes Adult]],Table_NFI[Winter Clothes Adult])</f>
        <v>0</v>
      </c>
      <c r="AJ500" s="294">
        <f>IF(NFI_Expiration=1,IF($A500&lt;VLOOKUP(S$5,NFI,5,0),1,0)*Table_NFI[[#This Row],[Winter Clothes Children]],Table_NFI[Winter Clothes Children])</f>
        <v>0</v>
      </c>
      <c r="AK500" s="294">
        <f>IF(NFI_Expiration=1,IF($A500&lt;VLOOKUP(T$5,NFI,5,0),1,0)*Table_NFI[[#This Row],[Winter Items Other]],Table_NFI[Winter Items Other])</f>
        <v>0</v>
      </c>
      <c r="AL500" s="294">
        <f>IF(NFI_Expiration=1,IF($A500&lt;VLOOKUP(M$5,NFI,5,0),1,0)*Table_NFI[[#This Row],[Winter Blanket]],Table_NFI[[#This Row],[Winter Blanket]])</f>
        <v>0</v>
      </c>
      <c r="AM500" s="294">
        <f>IF(Table_NFI[[#This Row],[Winter Clothes Adult]]+Table_NFI[[#This Row],[Winter Clothes Children]]+Table_NFI[[#This Row],[Winter Items Other]]+Table_NFI[[#This Row],[Winter Blanket]]&gt;0,1,0)</f>
        <v>0</v>
      </c>
      <c r="AN500" s="331">
        <f>IF(NFI_Expiration=1,IF($A500&lt;VLOOKUP(V$5,NFI,5,0),1,0)*Table_NFI[[#This Row],[Jerry Can]],Table_NFI[Jerry Can])</f>
        <v>0</v>
      </c>
      <c r="AO500" s="331">
        <f>IF(NFI_Expiration=1,IF($A500&lt;VLOOKUP(V$5,NFI,5,0),1,0)*Table_NFI[[#This Row],[Shelter Tool kit]],Table_NFI[Shelter Tool kit])</f>
        <v>0</v>
      </c>
      <c r="AP500" s="331">
        <f>IF(NFI_Expiration=1,IF($A500&lt;VLOOKUP(V$5,NFI,5,0),1,0)*Table_NFI[[#This Row],[Tent]],Table_NFI[Tent])</f>
        <v>0</v>
      </c>
      <c r="AQ500" s="473" t="str">
        <f>IFERROR(VLOOKUP(Table_NFI[[#This Row],[Camp Name]],CL,2,0),"")</f>
        <v>MMR001CMP129</v>
      </c>
      <c r="AR500" s="468">
        <f ca="1">IF(Table_NFI[[#This Row],[Pcode]]="","",IF(OFFSET(CampList[Opening Date],MATCH(Table_NFI[[#This Row],[Pcode]],CampList[CP_Pcode],0)-1,0,1,1)&gt;=NFI_Monitor_Date,1,0))</f>
        <v>0</v>
      </c>
      <c r="AS500" s="473" t="str">
        <f>IFERROR(VLOOKUP(Table_NFI[[#This Row],[Camp Name]],CL,3,0),"")</f>
        <v>Open</v>
      </c>
      <c r="AT500" s="294" t="str">
        <f ca="1">IF(Table_NFI[[#This Row],[Pcode]]="","",OFFSET(CampList[Priority],MATCH(Table_NFI[[#This Row],[Pcode]],CampList[CP_Pcode],0)-1,0,1,1))</f>
        <v>P2</v>
      </c>
      <c r="AU500" s="293">
        <f>IFERROR(Table_NFI[[#This Row],[Kitchen Set]]/VLOOKUP(Table_NFI[[#This Row],[Camp Name]],CL,4,0),"")</f>
        <v>0</v>
      </c>
      <c r="AV500" s="466" t="s">
        <v>1092</v>
      </c>
      <c r="AW500" s="469"/>
    </row>
    <row r="501" spans="1:49" s="470" customFormat="1" ht="14.45" customHeight="1" x14ac:dyDescent="0.25">
      <c r="A501" s="297">
        <f t="shared" si="7"/>
        <v>35.56666666666667</v>
      </c>
      <c r="B501" s="465">
        <v>41608</v>
      </c>
      <c r="C501" s="467" t="s">
        <v>452</v>
      </c>
      <c r="D501" s="467" t="s">
        <v>452</v>
      </c>
      <c r="E501" s="466" t="s">
        <v>380</v>
      </c>
      <c r="F501" s="290" t="s">
        <v>151</v>
      </c>
      <c r="G501" s="290" t="s">
        <v>188</v>
      </c>
      <c r="H501" s="291"/>
      <c r="I501" s="291"/>
      <c r="J501" s="291"/>
      <c r="K501" s="291"/>
      <c r="L501" s="292"/>
      <c r="M501" s="292"/>
      <c r="N501" s="292"/>
      <c r="O501" s="292"/>
      <c r="P501" s="294"/>
      <c r="Q501" s="294"/>
      <c r="R501" s="294"/>
      <c r="S501" s="294"/>
      <c r="T501" s="294"/>
      <c r="U501" s="294"/>
      <c r="V501" s="431"/>
      <c r="W501" s="294"/>
      <c r="X501" s="294"/>
      <c r="Y501" s="294">
        <f>IF(NFI_Expiration=1,IF($A501&lt;VLOOKUP(H$5,NFI,5,0),1,0)*Table_NFI[[#This Row],[Hygiene Kit]],Table_NFI[Hygiene Kit])</f>
        <v>0</v>
      </c>
      <c r="Z501" s="294">
        <f>IF(NFI_Expiration=1,IF($A501&lt;VLOOKUP(I$5,NFI,5,0),1,0)*Table_NFI[[#This Row],[NFI Core Kit]],Table_NFI[NFI Core Kit])</f>
        <v>0</v>
      </c>
      <c r="AA501" s="294">
        <f>IF(NFI_Expiration=1,IF($A501&lt;VLOOKUP(J$5,NFI,5,0),1,0)*Table_NFI[[#This Row],[Sanitary Kit]],Table_NFI[Sanitary Kit])</f>
        <v>0</v>
      </c>
      <c r="AB501" s="294">
        <f>IF(NFI_Expiration=1,IF($A501&lt;VLOOKUP(K$5,NFI,5,0),1,0)*Table_NFI[[#This Row],[Mosquito net]],Table_NFI[Mosquito net])</f>
        <v>0</v>
      </c>
      <c r="AC501" s="294">
        <f>IF(NFI_Expiration=1,IF($A501&lt;VLOOKUP(L$5,NFI,5,0),1,0)*Table_NFI[[#This Row],[Tarpaulin]],Table_NFI[[#This Row],[Tarpaulin]])</f>
        <v>0</v>
      </c>
      <c r="AD501" s="294">
        <f>IF(NFI_Expiration=1,IF($A501&lt;VLOOKUP(M$5,NFI,5,0),1,0)*Table_NFI[[#This Row],[Blanket]],Table_NFI[[#This Row],[Blanket]])</f>
        <v>0</v>
      </c>
      <c r="AE501" s="294">
        <f>IF(NFI_Expiration=1,IF($A501&lt;VLOOKUP(N$5,NFI,5,0),1,0)*Table_NFI[[#This Row],[Kitchen Set]],Table_NFI[Kitchen Set])</f>
        <v>0</v>
      </c>
      <c r="AF501" s="294">
        <f>IF(NFI_Expiration=1,IF($A501&lt;VLOOKUP(O$5,NFI,5,0),1,0)*Table_NFI[[#This Row],[Clothes Kit]],Table_NFI[Clothes Kit])</f>
        <v>0</v>
      </c>
      <c r="AG501" s="294">
        <f>IF(NFI_Expiration=1,IF($A501&lt;VLOOKUP(P$5,NFI,5,0),1,0)*Table_NFI[[#This Row],[Plastic Bucket]],Table_NFI[Plastic Bucket])</f>
        <v>0</v>
      </c>
      <c r="AH501" s="294">
        <f>IF(NFI_Expiration=1,IF($A501&lt;VLOOKUP(Q$5,NFI,5,0),1,0)*Table_NFI[[#This Row],[Plastic Mat]],Table_NFI[Plastic Mat])*IF(Table_NFI[[#This Row],[Distribution Date]]&gt;"2014-04-01",1,2.5)</f>
        <v>0</v>
      </c>
      <c r="AI501" s="294">
        <f>IF(NFI_Expiration=1,IF($A501&lt;VLOOKUP(R$5,NFI,5,0),1,0)*Table_NFI[[#This Row],[Winter Clothes Adult]],Table_NFI[Winter Clothes Adult])</f>
        <v>0</v>
      </c>
      <c r="AJ501" s="294">
        <f>IF(NFI_Expiration=1,IF($A501&lt;VLOOKUP(S$5,NFI,5,0),1,0)*Table_NFI[[#This Row],[Winter Clothes Children]],Table_NFI[Winter Clothes Children])</f>
        <v>0</v>
      </c>
      <c r="AK501" s="294">
        <f>IF(NFI_Expiration=1,IF($A501&lt;VLOOKUP(T$5,NFI,5,0),1,0)*Table_NFI[[#This Row],[Winter Items Other]],Table_NFI[Winter Items Other])</f>
        <v>0</v>
      </c>
      <c r="AL501" s="294">
        <f>IF(NFI_Expiration=1,IF($A501&lt;VLOOKUP(M$5,NFI,5,0),1,0)*Table_NFI[[#This Row],[Winter Blanket]],Table_NFI[[#This Row],[Winter Blanket]])</f>
        <v>0</v>
      </c>
      <c r="AM501" s="294">
        <f>IF(Table_NFI[[#This Row],[Winter Clothes Adult]]+Table_NFI[[#This Row],[Winter Clothes Children]]+Table_NFI[[#This Row],[Winter Items Other]]+Table_NFI[[#This Row],[Winter Blanket]]&gt;0,1,0)</f>
        <v>0</v>
      </c>
      <c r="AN501" s="331">
        <f>IF(NFI_Expiration=1,IF($A501&lt;VLOOKUP(V$5,NFI,5,0),1,0)*Table_NFI[[#This Row],[Jerry Can]],Table_NFI[Jerry Can])</f>
        <v>0</v>
      </c>
      <c r="AO501" s="331">
        <f>IF(NFI_Expiration=1,IF($A501&lt;VLOOKUP(V$5,NFI,5,0),1,0)*Table_NFI[[#This Row],[Shelter Tool kit]],Table_NFI[Shelter Tool kit])</f>
        <v>0</v>
      </c>
      <c r="AP501" s="331">
        <f>IF(NFI_Expiration=1,IF($A501&lt;VLOOKUP(V$5,NFI,5,0),1,0)*Table_NFI[[#This Row],[Tent]],Table_NFI[Tent])</f>
        <v>0</v>
      </c>
      <c r="AQ501" s="473" t="str">
        <f>IFERROR(VLOOKUP(Table_NFI[[#This Row],[Camp Name]],CL,2,0),"")</f>
        <v>MMR001CMP129</v>
      </c>
      <c r="AR501" s="468">
        <f ca="1">IF(Table_NFI[[#This Row],[Pcode]]="","",IF(OFFSET(CampList[Opening Date],MATCH(Table_NFI[[#This Row],[Pcode]],CampList[CP_Pcode],0)-1,0,1,1)&gt;=NFI_Monitor_Date,1,0))</f>
        <v>0</v>
      </c>
      <c r="AS501" s="473" t="str">
        <f>IFERROR(VLOOKUP(Table_NFI[[#This Row],[Camp Name]],CL,3,0),"")</f>
        <v>Open</v>
      </c>
      <c r="AT501" s="294" t="str">
        <f ca="1">IF(Table_NFI[[#This Row],[Pcode]]="","",OFFSET(CampList[Priority],MATCH(Table_NFI[[#This Row],[Pcode]],CampList[CP_Pcode],0)-1,0,1,1))</f>
        <v>P2</v>
      </c>
      <c r="AU501" s="293">
        <f>IFERROR(Table_NFI[[#This Row],[Kitchen Set]]/VLOOKUP(Table_NFI[[#This Row],[Camp Name]],CL,4,0),"")</f>
        <v>0</v>
      </c>
      <c r="AV501" s="466" t="s">
        <v>1092</v>
      </c>
      <c r="AW501" s="469"/>
    </row>
    <row r="502" spans="1:49" s="470" customFormat="1" x14ac:dyDescent="0.25">
      <c r="A502" s="297">
        <f t="shared" si="7"/>
        <v>35.56666666666667</v>
      </c>
      <c r="B502" s="465">
        <v>41608</v>
      </c>
      <c r="C502" s="466" t="s">
        <v>905</v>
      </c>
      <c r="D502" s="466" t="s">
        <v>460</v>
      </c>
      <c r="E502" s="466" t="s">
        <v>380</v>
      </c>
      <c r="F502" s="290" t="s">
        <v>185</v>
      </c>
      <c r="G502" s="290" t="s">
        <v>192</v>
      </c>
      <c r="H502" s="291"/>
      <c r="I502" s="291"/>
      <c r="J502" s="291"/>
      <c r="K502" s="291"/>
      <c r="L502" s="292"/>
      <c r="M502" s="292"/>
      <c r="N502" s="292"/>
      <c r="O502" s="292"/>
      <c r="P502" s="294"/>
      <c r="Q502" s="294"/>
      <c r="R502" s="294"/>
      <c r="S502" s="294"/>
      <c r="T502" s="294"/>
      <c r="U502" s="294"/>
      <c r="V502" s="431"/>
      <c r="W502" s="294"/>
      <c r="X502" s="294"/>
      <c r="Y502" s="294">
        <f>IF(NFI_Expiration=1,IF($A502&lt;VLOOKUP(H$5,NFI,5,0),1,0)*Table_NFI[[#This Row],[Hygiene Kit]],Table_NFI[Hygiene Kit])</f>
        <v>0</v>
      </c>
      <c r="Z502" s="294">
        <f>IF(NFI_Expiration=1,IF($A502&lt;VLOOKUP(I$5,NFI,5,0),1,0)*Table_NFI[[#This Row],[NFI Core Kit]],Table_NFI[NFI Core Kit])</f>
        <v>0</v>
      </c>
      <c r="AA502" s="294">
        <f>IF(NFI_Expiration=1,IF($A502&lt;VLOOKUP(J$5,NFI,5,0),1,0)*Table_NFI[[#This Row],[Sanitary Kit]],Table_NFI[Sanitary Kit])</f>
        <v>0</v>
      </c>
      <c r="AB502" s="294">
        <f>IF(NFI_Expiration=1,IF($A502&lt;VLOOKUP(K$5,NFI,5,0),1,0)*Table_NFI[[#This Row],[Mosquito net]],Table_NFI[Mosquito net])</f>
        <v>0</v>
      </c>
      <c r="AC502" s="294">
        <f>IF(NFI_Expiration=1,IF($A502&lt;VLOOKUP(L$5,NFI,5,0),1,0)*Table_NFI[[#This Row],[Tarpaulin]],Table_NFI[[#This Row],[Tarpaulin]])</f>
        <v>0</v>
      </c>
      <c r="AD502" s="294">
        <f>IF(NFI_Expiration=1,IF($A502&lt;VLOOKUP(M$5,NFI,5,0),1,0)*Table_NFI[[#This Row],[Blanket]],Table_NFI[[#This Row],[Blanket]])</f>
        <v>0</v>
      </c>
      <c r="AE502" s="294">
        <f>IF(NFI_Expiration=1,IF($A502&lt;VLOOKUP(N$5,NFI,5,0),1,0)*Table_NFI[[#This Row],[Kitchen Set]],Table_NFI[Kitchen Set])</f>
        <v>0</v>
      </c>
      <c r="AF502" s="294">
        <f>IF(NFI_Expiration=1,IF($A502&lt;VLOOKUP(O$5,NFI,5,0),1,0)*Table_NFI[[#This Row],[Clothes Kit]],Table_NFI[Clothes Kit])</f>
        <v>0</v>
      </c>
      <c r="AG502" s="294">
        <f>IF(NFI_Expiration=1,IF($A502&lt;VLOOKUP(P$5,NFI,5,0),1,0)*Table_NFI[[#This Row],[Plastic Bucket]],Table_NFI[Plastic Bucket])</f>
        <v>0</v>
      </c>
      <c r="AH502" s="294">
        <f>IF(NFI_Expiration=1,IF($A502&lt;VLOOKUP(Q$5,NFI,5,0),1,0)*Table_NFI[[#This Row],[Plastic Mat]],Table_NFI[Plastic Mat])*IF(Table_NFI[[#This Row],[Distribution Date]]&gt;"2014-04-01",1,2.5)</f>
        <v>0</v>
      </c>
      <c r="AI502" s="294">
        <f>IF(NFI_Expiration=1,IF($A502&lt;VLOOKUP(R$5,NFI,5,0),1,0)*Table_NFI[[#This Row],[Winter Clothes Adult]],Table_NFI[Winter Clothes Adult])</f>
        <v>0</v>
      </c>
      <c r="AJ502" s="294">
        <f>IF(NFI_Expiration=1,IF($A502&lt;VLOOKUP(S$5,NFI,5,0),1,0)*Table_NFI[[#This Row],[Winter Clothes Children]],Table_NFI[Winter Clothes Children])</f>
        <v>0</v>
      </c>
      <c r="AK502" s="294">
        <f>IF(NFI_Expiration=1,IF($A502&lt;VLOOKUP(T$5,NFI,5,0),1,0)*Table_NFI[[#This Row],[Winter Items Other]],Table_NFI[Winter Items Other])</f>
        <v>0</v>
      </c>
      <c r="AL502" s="294">
        <f>IF(NFI_Expiration=1,IF($A502&lt;VLOOKUP(M$5,NFI,5,0),1,0)*Table_NFI[[#This Row],[Winter Blanket]],Table_NFI[[#This Row],[Winter Blanket]])</f>
        <v>0</v>
      </c>
      <c r="AM502" s="294">
        <f>IF(Table_NFI[[#This Row],[Winter Clothes Adult]]+Table_NFI[[#This Row],[Winter Clothes Children]]+Table_NFI[[#This Row],[Winter Items Other]]+Table_NFI[[#This Row],[Winter Blanket]]&gt;0,1,0)</f>
        <v>0</v>
      </c>
      <c r="AN502" s="331">
        <f>IF(NFI_Expiration=1,IF($A502&lt;VLOOKUP(V$5,NFI,5,0),1,0)*Table_NFI[[#This Row],[Jerry Can]],Table_NFI[Jerry Can])</f>
        <v>0</v>
      </c>
      <c r="AO502" s="331">
        <f>IF(NFI_Expiration=1,IF($A502&lt;VLOOKUP(V$5,NFI,5,0),1,0)*Table_NFI[[#This Row],[Shelter Tool kit]],Table_NFI[Shelter Tool kit])</f>
        <v>0</v>
      </c>
      <c r="AP502" s="331">
        <f>IF(NFI_Expiration=1,IF($A502&lt;VLOOKUP(V$5,NFI,5,0),1,0)*Table_NFI[[#This Row],[Tent]],Table_NFI[Tent])</f>
        <v>0</v>
      </c>
      <c r="AQ502" s="473" t="str">
        <f>IFERROR(VLOOKUP(Table_NFI[[#This Row],[Camp Name]],CL,2,0),"")</f>
        <v>MMR001CMP123</v>
      </c>
      <c r="AR502" s="468">
        <f ca="1">IF(Table_NFI[[#This Row],[Pcode]]="","",IF(OFFSET(CampList[Opening Date],MATCH(Table_NFI[[#This Row],[Pcode]],CampList[CP_Pcode],0)-1,0,1,1)&gt;=NFI_Monitor_Date,1,0))</f>
        <v>0</v>
      </c>
      <c r="AS502" s="473" t="str">
        <f>IFERROR(VLOOKUP(Table_NFI[[#This Row],[Camp Name]],CL,3,0),"")</f>
        <v>Open</v>
      </c>
      <c r="AT502" s="294" t="str">
        <f ca="1">IF(Table_NFI[[#This Row],[Pcode]]="","",OFFSET(CampList[Priority],MATCH(Table_NFI[[#This Row],[Pcode]],CampList[CP_Pcode],0)-1,0,1,1))</f>
        <v>P2</v>
      </c>
      <c r="AU502" s="293">
        <f>IFERROR(Table_NFI[[#This Row],[Kitchen Set]]/VLOOKUP(Table_NFI[[#This Row],[Camp Name]],CL,4,0),"")</f>
        <v>0</v>
      </c>
      <c r="AV502" s="466" t="s">
        <v>1092</v>
      </c>
      <c r="AW502" s="469"/>
    </row>
    <row r="503" spans="1:49" s="470" customFormat="1" x14ac:dyDescent="0.25">
      <c r="A503" s="297">
        <f t="shared" si="7"/>
        <v>35.56666666666667</v>
      </c>
      <c r="B503" s="465">
        <v>41608</v>
      </c>
      <c r="C503" s="466" t="s">
        <v>452</v>
      </c>
      <c r="D503" s="467" t="s">
        <v>452</v>
      </c>
      <c r="E503" s="466" t="s">
        <v>380</v>
      </c>
      <c r="F503" s="290" t="s">
        <v>185</v>
      </c>
      <c r="G503" s="290" t="s">
        <v>192</v>
      </c>
      <c r="H503" s="291"/>
      <c r="I503" s="291"/>
      <c r="J503" s="291"/>
      <c r="K503" s="291"/>
      <c r="L503" s="292"/>
      <c r="M503" s="292"/>
      <c r="N503" s="292"/>
      <c r="O503" s="292"/>
      <c r="P503" s="294"/>
      <c r="Q503" s="294"/>
      <c r="R503" s="294"/>
      <c r="S503" s="294"/>
      <c r="T503" s="294"/>
      <c r="U503" s="294"/>
      <c r="V503" s="431"/>
      <c r="W503" s="294"/>
      <c r="X503" s="294"/>
      <c r="Y503" s="294">
        <f>IF(NFI_Expiration=1,IF($A503&lt;VLOOKUP(H$5,NFI,5,0),1,0)*Table_NFI[[#This Row],[Hygiene Kit]],Table_NFI[Hygiene Kit])</f>
        <v>0</v>
      </c>
      <c r="Z503" s="294">
        <f>IF(NFI_Expiration=1,IF($A503&lt;VLOOKUP(I$5,NFI,5,0),1,0)*Table_NFI[[#This Row],[NFI Core Kit]],Table_NFI[NFI Core Kit])</f>
        <v>0</v>
      </c>
      <c r="AA503" s="294">
        <f>IF(NFI_Expiration=1,IF($A503&lt;VLOOKUP(J$5,NFI,5,0),1,0)*Table_NFI[[#This Row],[Sanitary Kit]],Table_NFI[Sanitary Kit])</f>
        <v>0</v>
      </c>
      <c r="AB503" s="294">
        <f>IF(NFI_Expiration=1,IF($A503&lt;VLOOKUP(K$5,NFI,5,0),1,0)*Table_NFI[[#This Row],[Mosquito net]],Table_NFI[Mosquito net])</f>
        <v>0</v>
      </c>
      <c r="AC503" s="294">
        <f>IF(NFI_Expiration=1,IF($A503&lt;VLOOKUP(L$5,NFI,5,0),1,0)*Table_NFI[[#This Row],[Tarpaulin]],Table_NFI[[#This Row],[Tarpaulin]])</f>
        <v>0</v>
      </c>
      <c r="AD503" s="294">
        <f>IF(NFI_Expiration=1,IF($A503&lt;VLOOKUP(M$5,NFI,5,0),1,0)*Table_NFI[[#This Row],[Blanket]],Table_NFI[[#This Row],[Blanket]])</f>
        <v>0</v>
      </c>
      <c r="AE503" s="294">
        <f>IF(NFI_Expiration=1,IF($A503&lt;VLOOKUP(N$5,NFI,5,0),1,0)*Table_NFI[[#This Row],[Kitchen Set]],Table_NFI[Kitchen Set])</f>
        <v>0</v>
      </c>
      <c r="AF503" s="294">
        <f>IF(NFI_Expiration=1,IF($A503&lt;VLOOKUP(O$5,NFI,5,0),1,0)*Table_NFI[[#This Row],[Clothes Kit]],Table_NFI[Clothes Kit])</f>
        <v>0</v>
      </c>
      <c r="AG503" s="294">
        <f>IF(NFI_Expiration=1,IF($A503&lt;VLOOKUP(P$5,NFI,5,0),1,0)*Table_NFI[[#This Row],[Plastic Bucket]],Table_NFI[Plastic Bucket])</f>
        <v>0</v>
      </c>
      <c r="AH503" s="294">
        <f>IF(NFI_Expiration=1,IF($A503&lt;VLOOKUP(Q$5,NFI,5,0),1,0)*Table_NFI[[#This Row],[Plastic Mat]],Table_NFI[Plastic Mat])*IF(Table_NFI[[#This Row],[Distribution Date]]&gt;"2014-04-01",1,2.5)</f>
        <v>0</v>
      </c>
      <c r="AI503" s="294">
        <f>IF(NFI_Expiration=1,IF($A503&lt;VLOOKUP(R$5,NFI,5,0),1,0)*Table_NFI[[#This Row],[Winter Clothes Adult]],Table_NFI[Winter Clothes Adult])</f>
        <v>0</v>
      </c>
      <c r="AJ503" s="294">
        <f>IF(NFI_Expiration=1,IF($A503&lt;VLOOKUP(S$5,NFI,5,0),1,0)*Table_NFI[[#This Row],[Winter Clothes Children]],Table_NFI[Winter Clothes Children])</f>
        <v>0</v>
      </c>
      <c r="AK503" s="294">
        <f>IF(NFI_Expiration=1,IF($A503&lt;VLOOKUP(T$5,NFI,5,0),1,0)*Table_NFI[[#This Row],[Winter Items Other]],Table_NFI[Winter Items Other])</f>
        <v>0</v>
      </c>
      <c r="AL503" s="294">
        <f>IF(NFI_Expiration=1,IF($A503&lt;VLOOKUP(M$5,NFI,5,0),1,0)*Table_NFI[[#This Row],[Winter Blanket]],Table_NFI[[#This Row],[Winter Blanket]])</f>
        <v>0</v>
      </c>
      <c r="AM503" s="294">
        <f>IF(Table_NFI[[#This Row],[Winter Clothes Adult]]+Table_NFI[[#This Row],[Winter Clothes Children]]+Table_NFI[[#This Row],[Winter Items Other]]+Table_NFI[[#This Row],[Winter Blanket]]&gt;0,1,0)</f>
        <v>0</v>
      </c>
      <c r="AN503" s="331">
        <f>IF(NFI_Expiration=1,IF($A503&lt;VLOOKUP(V$5,NFI,5,0),1,0)*Table_NFI[[#This Row],[Jerry Can]],Table_NFI[Jerry Can])</f>
        <v>0</v>
      </c>
      <c r="AO503" s="331">
        <f>IF(NFI_Expiration=1,IF($A503&lt;VLOOKUP(V$5,NFI,5,0),1,0)*Table_NFI[[#This Row],[Shelter Tool kit]],Table_NFI[Shelter Tool kit])</f>
        <v>0</v>
      </c>
      <c r="AP503" s="331">
        <f>IF(NFI_Expiration=1,IF($A503&lt;VLOOKUP(V$5,NFI,5,0),1,0)*Table_NFI[[#This Row],[Tent]],Table_NFI[Tent])</f>
        <v>0</v>
      </c>
      <c r="AQ503" s="473" t="str">
        <f>IFERROR(VLOOKUP(Table_NFI[[#This Row],[Camp Name]],CL,2,0),"")</f>
        <v>MMR001CMP123</v>
      </c>
      <c r="AR503" s="468">
        <f ca="1">IF(Table_NFI[[#This Row],[Pcode]]="","",IF(OFFSET(CampList[Opening Date],MATCH(Table_NFI[[#This Row],[Pcode]],CampList[CP_Pcode],0)-1,0,1,1)&gt;=NFI_Monitor_Date,1,0))</f>
        <v>0</v>
      </c>
      <c r="AS503" s="473" t="str">
        <f>IFERROR(VLOOKUP(Table_NFI[[#This Row],[Camp Name]],CL,3,0),"")</f>
        <v>Open</v>
      </c>
      <c r="AT503" s="294" t="str">
        <f ca="1">IF(Table_NFI[[#This Row],[Pcode]]="","",OFFSET(CampList[Priority],MATCH(Table_NFI[[#This Row],[Pcode]],CampList[CP_Pcode],0)-1,0,1,1))</f>
        <v>P2</v>
      </c>
      <c r="AU503" s="293">
        <f>IFERROR(Table_NFI[[#This Row],[Kitchen Set]]/VLOOKUP(Table_NFI[[#This Row],[Camp Name]],CL,4,0),"")</f>
        <v>0</v>
      </c>
      <c r="AV503" s="466" t="s">
        <v>1092</v>
      </c>
      <c r="AW503" s="469"/>
    </row>
    <row r="504" spans="1:49" s="470" customFormat="1" x14ac:dyDescent="0.25">
      <c r="A504" s="297">
        <f t="shared" si="7"/>
        <v>35.56666666666667</v>
      </c>
      <c r="B504" s="465">
        <v>41608</v>
      </c>
      <c r="C504" s="466" t="s">
        <v>905</v>
      </c>
      <c r="D504" s="466" t="s">
        <v>460</v>
      </c>
      <c r="E504" s="466" t="s">
        <v>380</v>
      </c>
      <c r="F504" s="466" t="s">
        <v>310</v>
      </c>
      <c r="G504" s="290" t="s">
        <v>313</v>
      </c>
      <c r="H504" s="291"/>
      <c r="I504" s="291"/>
      <c r="J504" s="291"/>
      <c r="K504" s="291"/>
      <c r="L504" s="292"/>
      <c r="M504" s="292"/>
      <c r="N504" s="292"/>
      <c r="O504" s="292"/>
      <c r="P504" s="294"/>
      <c r="Q504" s="294"/>
      <c r="R504" s="294"/>
      <c r="S504" s="294"/>
      <c r="T504" s="294"/>
      <c r="U504" s="294"/>
      <c r="V504" s="431"/>
      <c r="W504" s="294"/>
      <c r="X504" s="294"/>
      <c r="Y504" s="294">
        <f>IF(NFI_Expiration=1,IF($A504&lt;VLOOKUP(H$5,NFI,5,0),1,0)*Table_NFI[[#This Row],[Hygiene Kit]],Table_NFI[Hygiene Kit])</f>
        <v>0</v>
      </c>
      <c r="Z504" s="294">
        <f>IF(NFI_Expiration=1,IF($A504&lt;VLOOKUP(I$5,NFI,5,0),1,0)*Table_NFI[[#This Row],[NFI Core Kit]],Table_NFI[NFI Core Kit])</f>
        <v>0</v>
      </c>
      <c r="AA504" s="294">
        <f>IF(NFI_Expiration=1,IF($A504&lt;VLOOKUP(J$5,NFI,5,0),1,0)*Table_NFI[[#This Row],[Sanitary Kit]],Table_NFI[Sanitary Kit])</f>
        <v>0</v>
      </c>
      <c r="AB504" s="294">
        <f>IF(NFI_Expiration=1,IF($A504&lt;VLOOKUP(K$5,NFI,5,0),1,0)*Table_NFI[[#This Row],[Mosquito net]],Table_NFI[Mosquito net])</f>
        <v>0</v>
      </c>
      <c r="AC504" s="294">
        <f>IF(NFI_Expiration=1,IF($A504&lt;VLOOKUP(L$5,NFI,5,0),1,0)*Table_NFI[[#This Row],[Tarpaulin]],Table_NFI[[#This Row],[Tarpaulin]])</f>
        <v>0</v>
      </c>
      <c r="AD504" s="294">
        <f>IF(NFI_Expiration=1,IF($A504&lt;VLOOKUP(M$5,NFI,5,0),1,0)*Table_NFI[[#This Row],[Blanket]],Table_NFI[[#This Row],[Blanket]])</f>
        <v>0</v>
      </c>
      <c r="AE504" s="294">
        <f>IF(NFI_Expiration=1,IF($A504&lt;VLOOKUP(N$5,NFI,5,0),1,0)*Table_NFI[[#This Row],[Kitchen Set]],Table_NFI[Kitchen Set])</f>
        <v>0</v>
      </c>
      <c r="AF504" s="294">
        <f>IF(NFI_Expiration=1,IF($A504&lt;VLOOKUP(O$5,NFI,5,0),1,0)*Table_NFI[[#This Row],[Clothes Kit]],Table_NFI[Clothes Kit])</f>
        <v>0</v>
      </c>
      <c r="AG504" s="294">
        <f>IF(NFI_Expiration=1,IF($A504&lt;VLOOKUP(P$5,NFI,5,0),1,0)*Table_NFI[[#This Row],[Plastic Bucket]],Table_NFI[Plastic Bucket])</f>
        <v>0</v>
      </c>
      <c r="AH504" s="294">
        <f>IF(NFI_Expiration=1,IF($A504&lt;VLOOKUP(Q$5,NFI,5,0),1,0)*Table_NFI[[#This Row],[Plastic Mat]],Table_NFI[Plastic Mat])*IF(Table_NFI[[#This Row],[Distribution Date]]&gt;"2014-04-01",1,2.5)</f>
        <v>0</v>
      </c>
      <c r="AI504" s="294">
        <f>IF(NFI_Expiration=1,IF($A504&lt;VLOOKUP(R$5,NFI,5,0),1,0)*Table_NFI[[#This Row],[Winter Clothes Adult]],Table_NFI[Winter Clothes Adult])</f>
        <v>0</v>
      </c>
      <c r="AJ504" s="294">
        <f>IF(NFI_Expiration=1,IF($A504&lt;VLOOKUP(S$5,NFI,5,0),1,0)*Table_NFI[[#This Row],[Winter Clothes Children]],Table_NFI[Winter Clothes Children])</f>
        <v>0</v>
      </c>
      <c r="AK504" s="294">
        <f>IF(NFI_Expiration=1,IF($A504&lt;VLOOKUP(T$5,NFI,5,0),1,0)*Table_NFI[[#This Row],[Winter Items Other]],Table_NFI[Winter Items Other])</f>
        <v>0</v>
      </c>
      <c r="AL504" s="294">
        <f>IF(NFI_Expiration=1,IF($A504&lt;VLOOKUP(M$5,NFI,5,0),1,0)*Table_NFI[[#This Row],[Winter Blanket]],Table_NFI[[#This Row],[Winter Blanket]])</f>
        <v>0</v>
      </c>
      <c r="AM504" s="294">
        <f>IF(Table_NFI[[#This Row],[Winter Clothes Adult]]+Table_NFI[[#This Row],[Winter Clothes Children]]+Table_NFI[[#This Row],[Winter Items Other]]+Table_NFI[[#This Row],[Winter Blanket]]&gt;0,1,0)</f>
        <v>0</v>
      </c>
      <c r="AN504" s="331">
        <f>IF(NFI_Expiration=1,IF($A504&lt;VLOOKUP(V$5,NFI,5,0),1,0)*Table_NFI[[#This Row],[Jerry Can]],Table_NFI[Jerry Can])</f>
        <v>0</v>
      </c>
      <c r="AO504" s="331">
        <f>IF(NFI_Expiration=1,IF($A504&lt;VLOOKUP(V$5,NFI,5,0),1,0)*Table_NFI[[#This Row],[Shelter Tool kit]],Table_NFI[Shelter Tool kit])</f>
        <v>0</v>
      </c>
      <c r="AP504" s="331">
        <f>IF(NFI_Expiration=1,IF($A504&lt;VLOOKUP(V$5,NFI,5,0),1,0)*Table_NFI[[#This Row],[Tent]],Table_NFI[Tent])</f>
        <v>0</v>
      </c>
      <c r="AQ504" s="473" t="str">
        <f>IFERROR(VLOOKUP(Table_NFI[[#This Row],[Camp Name]],CL,2,0),"")</f>
        <v>MMR001CMP028</v>
      </c>
      <c r="AR504" s="468">
        <f ca="1">IF(Table_NFI[[#This Row],[Pcode]]="","",IF(OFFSET(CampList[Opening Date],MATCH(Table_NFI[[#This Row],[Pcode]],CampList[CP_Pcode],0)-1,0,1,1)&gt;=NFI_Monitor_Date,1,0))</f>
        <v>0</v>
      </c>
      <c r="AS504" s="473" t="str">
        <f>IFERROR(VLOOKUP(Table_NFI[[#This Row],[Camp Name]],CL,3,0),"")</f>
        <v>Open</v>
      </c>
      <c r="AT504" s="294" t="str">
        <f ca="1">IF(Table_NFI[[#This Row],[Pcode]]="","",OFFSET(CampList[Priority],MATCH(Table_NFI[[#This Row],[Pcode]],CampList[CP_Pcode],0)-1,0,1,1))</f>
        <v>P4</v>
      </c>
      <c r="AU504" s="293">
        <f>IFERROR(Table_NFI[[#This Row],[Kitchen Set]]/VLOOKUP(Table_NFI[[#This Row],[Camp Name]],CL,4,0),"")</f>
        <v>0</v>
      </c>
      <c r="AV504" s="466" t="s">
        <v>1092</v>
      </c>
      <c r="AW504" s="469"/>
    </row>
    <row r="505" spans="1:49" s="470" customFormat="1" ht="14.45" customHeight="1" x14ac:dyDescent="0.25">
      <c r="A505" s="297">
        <f t="shared" si="7"/>
        <v>35.56666666666667</v>
      </c>
      <c r="B505" s="465">
        <v>41608</v>
      </c>
      <c r="C505" s="466" t="s">
        <v>905</v>
      </c>
      <c r="D505" s="466" t="s">
        <v>460</v>
      </c>
      <c r="E505" s="466" t="s">
        <v>380</v>
      </c>
      <c r="F505" s="290" t="s">
        <v>310</v>
      </c>
      <c r="G505" s="290" t="s">
        <v>336</v>
      </c>
      <c r="H505" s="291"/>
      <c r="I505" s="291"/>
      <c r="J505" s="291"/>
      <c r="K505" s="291"/>
      <c r="L505" s="292"/>
      <c r="M505" s="292"/>
      <c r="N505" s="292"/>
      <c r="O505" s="292"/>
      <c r="P505" s="294"/>
      <c r="Q505" s="294"/>
      <c r="R505" s="294"/>
      <c r="S505" s="294"/>
      <c r="T505" s="294"/>
      <c r="U505" s="294"/>
      <c r="V505" s="431"/>
      <c r="W505" s="294"/>
      <c r="X505" s="294"/>
      <c r="Y505" s="294">
        <f>IF(NFI_Expiration=1,IF($A505&lt;VLOOKUP(H$5,NFI,5,0),1,0)*Table_NFI[[#This Row],[Hygiene Kit]],Table_NFI[Hygiene Kit])</f>
        <v>0</v>
      </c>
      <c r="Z505" s="294">
        <f>IF(NFI_Expiration=1,IF($A505&lt;VLOOKUP(I$5,NFI,5,0),1,0)*Table_NFI[[#This Row],[NFI Core Kit]],Table_NFI[NFI Core Kit])</f>
        <v>0</v>
      </c>
      <c r="AA505" s="294">
        <f>IF(NFI_Expiration=1,IF($A505&lt;VLOOKUP(J$5,NFI,5,0),1,0)*Table_NFI[[#This Row],[Sanitary Kit]],Table_NFI[Sanitary Kit])</f>
        <v>0</v>
      </c>
      <c r="AB505" s="294">
        <f>IF(NFI_Expiration=1,IF($A505&lt;VLOOKUP(K$5,NFI,5,0),1,0)*Table_NFI[[#This Row],[Mosquito net]],Table_NFI[Mosquito net])</f>
        <v>0</v>
      </c>
      <c r="AC505" s="294">
        <f>IF(NFI_Expiration=1,IF($A505&lt;VLOOKUP(L$5,NFI,5,0),1,0)*Table_NFI[[#This Row],[Tarpaulin]],Table_NFI[[#This Row],[Tarpaulin]])</f>
        <v>0</v>
      </c>
      <c r="AD505" s="294">
        <f>IF(NFI_Expiration=1,IF($A505&lt;VLOOKUP(M$5,NFI,5,0),1,0)*Table_NFI[[#This Row],[Blanket]],Table_NFI[[#This Row],[Blanket]])</f>
        <v>0</v>
      </c>
      <c r="AE505" s="294">
        <f>IF(NFI_Expiration=1,IF($A505&lt;VLOOKUP(N$5,NFI,5,0),1,0)*Table_NFI[[#This Row],[Kitchen Set]],Table_NFI[Kitchen Set])</f>
        <v>0</v>
      </c>
      <c r="AF505" s="294">
        <f>IF(NFI_Expiration=1,IF($A505&lt;VLOOKUP(O$5,NFI,5,0),1,0)*Table_NFI[[#This Row],[Clothes Kit]],Table_NFI[Clothes Kit])</f>
        <v>0</v>
      </c>
      <c r="AG505" s="294">
        <f>IF(NFI_Expiration=1,IF($A505&lt;VLOOKUP(P$5,NFI,5,0),1,0)*Table_NFI[[#This Row],[Plastic Bucket]],Table_NFI[Plastic Bucket])</f>
        <v>0</v>
      </c>
      <c r="AH505" s="294">
        <f>IF(NFI_Expiration=1,IF($A505&lt;VLOOKUP(Q$5,NFI,5,0),1,0)*Table_NFI[[#This Row],[Plastic Mat]],Table_NFI[Plastic Mat])*IF(Table_NFI[[#This Row],[Distribution Date]]&gt;"2014-04-01",1,2.5)</f>
        <v>0</v>
      </c>
      <c r="AI505" s="294">
        <f>IF(NFI_Expiration=1,IF($A505&lt;VLOOKUP(R$5,NFI,5,0),1,0)*Table_NFI[[#This Row],[Winter Clothes Adult]],Table_NFI[Winter Clothes Adult])</f>
        <v>0</v>
      </c>
      <c r="AJ505" s="294">
        <f>IF(NFI_Expiration=1,IF($A505&lt;VLOOKUP(S$5,NFI,5,0),1,0)*Table_NFI[[#This Row],[Winter Clothes Children]],Table_NFI[Winter Clothes Children])</f>
        <v>0</v>
      </c>
      <c r="AK505" s="294">
        <f>IF(NFI_Expiration=1,IF($A505&lt;VLOOKUP(T$5,NFI,5,0),1,0)*Table_NFI[[#This Row],[Winter Items Other]],Table_NFI[Winter Items Other])</f>
        <v>0</v>
      </c>
      <c r="AL505" s="294">
        <f>IF(NFI_Expiration=1,IF($A505&lt;VLOOKUP(M$5,NFI,5,0),1,0)*Table_NFI[[#This Row],[Winter Blanket]],Table_NFI[[#This Row],[Winter Blanket]])</f>
        <v>0</v>
      </c>
      <c r="AM505" s="294">
        <f>IF(Table_NFI[[#This Row],[Winter Clothes Adult]]+Table_NFI[[#This Row],[Winter Clothes Children]]+Table_NFI[[#This Row],[Winter Items Other]]+Table_NFI[[#This Row],[Winter Blanket]]&gt;0,1,0)</f>
        <v>0</v>
      </c>
      <c r="AN505" s="331">
        <f>IF(NFI_Expiration=1,IF($A505&lt;VLOOKUP(V$5,NFI,5,0),1,0)*Table_NFI[[#This Row],[Jerry Can]],Table_NFI[Jerry Can])</f>
        <v>0</v>
      </c>
      <c r="AO505" s="331">
        <f>IF(NFI_Expiration=1,IF($A505&lt;VLOOKUP(V$5,NFI,5,0),1,0)*Table_NFI[[#This Row],[Shelter Tool kit]],Table_NFI[Shelter Tool kit])</f>
        <v>0</v>
      </c>
      <c r="AP505" s="331">
        <f>IF(NFI_Expiration=1,IF($A505&lt;VLOOKUP(V$5,NFI,5,0),1,0)*Table_NFI[[#This Row],[Tent]],Table_NFI[Tent])</f>
        <v>0</v>
      </c>
      <c r="AQ505" s="473" t="str">
        <f>IFERROR(VLOOKUP(Table_NFI[[#This Row],[Camp Name]],CL,2,0),"")</f>
        <v>MMR001CMP115</v>
      </c>
      <c r="AR505" s="468">
        <f ca="1">IF(Table_NFI[[#This Row],[Pcode]]="","",IF(OFFSET(CampList[Opening Date],MATCH(Table_NFI[[#This Row],[Pcode]],CampList[CP_Pcode],0)-1,0,1,1)&gt;=NFI_Monitor_Date,1,0))</f>
        <v>0</v>
      </c>
      <c r="AS505" s="473" t="str">
        <f>IFERROR(VLOOKUP(Table_NFI[[#This Row],[Camp Name]],CL,3,0),"")</f>
        <v>Open</v>
      </c>
      <c r="AT505" s="294" t="str">
        <f ca="1">IF(Table_NFI[[#This Row],[Pcode]]="","",OFFSET(CampList[Priority],MATCH(Table_NFI[[#This Row],[Pcode]],CampList[CP_Pcode],0)-1,0,1,1))</f>
        <v>P1</v>
      </c>
      <c r="AU505" s="293">
        <f>IFERROR(Table_NFI[[#This Row],[Kitchen Set]]/VLOOKUP(Table_NFI[[#This Row],[Camp Name]],CL,4,0),"")</f>
        <v>0</v>
      </c>
      <c r="AV505" s="466" t="s">
        <v>1092</v>
      </c>
      <c r="AW505" s="469"/>
    </row>
    <row r="506" spans="1:49" s="470" customFormat="1" x14ac:dyDescent="0.25">
      <c r="A506" s="297">
        <f t="shared" si="7"/>
        <v>35.56666666666667</v>
      </c>
      <c r="B506" s="465">
        <v>41608</v>
      </c>
      <c r="C506" s="466" t="s">
        <v>905</v>
      </c>
      <c r="D506" s="466" t="s">
        <v>460</v>
      </c>
      <c r="E506" s="466" t="s">
        <v>380</v>
      </c>
      <c r="F506" s="290" t="s">
        <v>185</v>
      </c>
      <c r="G506" s="290" t="s">
        <v>194</v>
      </c>
      <c r="H506" s="291"/>
      <c r="I506" s="291"/>
      <c r="J506" s="291"/>
      <c r="K506" s="291"/>
      <c r="L506" s="292"/>
      <c r="M506" s="292"/>
      <c r="N506" s="292"/>
      <c r="O506" s="292"/>
      <c r="P506" s="294"/>
      <c r="Q506" s="294">
        <v>978</v>
      </c>
      <c r="R506" s="294"/>
      <c r="S506" s="294"/>
      <c r="T506" s="294"/>
      <c r="U506" s="294"/>
      <c r="V506" s="431"/>
      <c r="W506" s="294"/>
      <c r="X506" s="294"/>
      <c r="Y506" s="294">
        <f>IF(NFI_Expiration=1,IF($A506&lt;VLOOKUP(H$5,NFI,5,0),1,0)*Table_NFI[[#This Row],[Hygiene Kit]],Table_NFI[Hygiene Kit])</f>
        <v>0</v>
      </c>
      <c r="Z506" s="294">
        <f>IF(NFI_Expiration=1,IF($A506&lt;VLOOKUP(I$5,NFI,5,0),1,0)*Table_NFI[[#This Row],[NFI Core Kit]],Table_NFI[NFI Core Kit])</f>
        <v>0</v>
      </c>
      <c r="AA506" s="294">
        <f>IF(NFI_Expiration=1,IF($A506&lt;VLOOKUP(J$5,NFI,5,0),1,0)*Table_NFI[[#This Row],[Sanitary Kit]],Table_NFI[Sanitary Kit])</f>
        <v>0</v>
      </c>
      <c r="AB506" s="294">
        <f>IF(NFI_Expiration=1,IF($A506&lt;VLOOKUP(K$5,NFI,5,0),1,0)*Table_NFI[[#This Row],[Mosquito net]],Table_NFI[Mosquito net])</f>
        <v>0</v>
      </c>
      <c r="AC506" s="294">
        <f>IF(NFI_Expiration=1,IF($A506&lt;VLOOKUP(L$5,NFI,5,0),1,0)*Table_NFI[[#This Row],[Tarpaulin]],Table_NFI[[#This Row],[Tarpaulin]])</f>
        <v>0</v>
      </c>
      <c r="AD506" s="294">
        <f>IF(NFI_Expiration=1,IF($A506&lt;VLOOKUP(M$5,NFI,5,0),1,0)*Table_NFI[[#This Row],[Blanket]],Table_NFI[[#This Row],[Blanket]])</f>
        <v>0</v>
      </c>
      <c r="AE506" s="294">
        <f>IF(NFI_Expiration=1,IF($A506&lt;VLOOKUP(N$5,NFI,5,0),1,0)*Table_NFI[[#This Row],[Kitchen Set]],Table_NFI[Kitchen Set])</f>
        <v>0</v>
      </c>
      <c r="AF506" s="294">
        <f>IF(NFI_Expiration=1,IF($A506&lt;VLOOKUP(O$5,NFI,5,0),1,0)*Table_NFI[[#This Row],[Clothes Kit]],Table_NFI[Clothes Kit])</f>
        <v>0</v>
      </c>
      <c r="AG506" s="294">
        <f>IF(NFI_Expiration=1,IF($A506&lt;VLOOKUP(P$5,NFI,5,0),1,0)*Table_NFI[[#This Row],[Plastic Bucket]],Table_NFI[Plastic Bucket])</f>
        <v>0</v>
      </c>
      <c r="AH506" s="294">
        <f>IF(NFI_Expiration=1,IF($A506&lt;VLOOKUP(Q$5,NFI,5,0),1,0)*Table_NFI[[#This Row],[Plastic Mat]],Table_NFI[Plastic Mat])*IF(Table_NFI[[#This Row],[Distribution Date]]&gt;"2014-04-01",1,2.5)</f>
        <v>0</v>
      </c>
      <c r="AI506" s="294">
        <f>IF(NFI_Expiration=1,IF($A506&lt;VLOOKUP(R$5,NFI,5,0),1,0)*Table_NFI[[#This Row],[Winter Clothes Adult]],Table_NFI[Winter Clothes Adult])</f>
        <v>0</v>
      </c>
      <c r="AJ506" s="294">
        <f>IF(NFI_Expiration=1,IF($A506&lt;VLOOKUP(S$5,NFI,5,0),1,0)*Table_NFI[[#This Row],[Winter Clothes Children]],Table_NFI[Winter Clothes Children])</f>
        <v>0</v>
      </c>
      <c r="AK506" s="294">
        <f>IF(NFI_Expiration=1,IF($A506&lt;VLOOKUP(T$5,NFI,5,0),1,0)*Table_NFI[[#This Row],[Winter Items Other]],Table_NFI[Winter Items Other])</f>
        <v>0</v>
      </c>
      <c r="AL506" s="294">
        <f>IF(NFI_Expiration=1,IF($A506&lt;VLOOKUP(M$5,NFI,5,0),1,0)*Table_NFI[[#This Row],[Winter Blanket]],Table_NFI[[#This Row],[Winter Blanket]])</f>
        <v>0</v>
      </c>
      <c r="AM506" s="294">
        <f>IF(Table_NFI[[#This Row],[Winter Clothes Adult]]+Table_NFI[[#This Row],[Winter Clothes Children]]+Table_NFI[[#This Row],[Winter Items Other]]+Table_NFI[[#This Row],[Winter Blanket]]&gt;0,1,0)</f>
        <v>0</v>
      </c>
      <c r="AN506" s="331">
        <f>IF(NFI_Expiration=1,IF($A506&lt;VLOOKUP(V$5,NFI,5,0),1,0)*Table_NFI[[#This Row],[Jerry Can]],Table_NFI[Jerry Can])</f>
        <v>0</v>
      </c>
      <c r="AO506" s="331">
        <f>IF(NFI_Expiration=1,IF($A506&lt;VLOOKUP(V$5,NFI,5,0),1,0)*Table_NFI[[#This Row],[Shelter Tool kit]],Table_NFI[Shelter Tool kit])</f>
        <v>0</v>
      </c>
      <c r="AP506" s="331">
        <f>IF(NFI_Expiration=1,IF($A506&lt;VLOOKUP(V$5,NFI,5,0),1,0)*Table_NFI[[#This Row],[Tent]],Table_NFI[Tent])</f>
        <v>0</v>
      </c>
      <c r="AQ506" s="473" t="str">
        <f>IFERROR(VLOOKUP(Table_NFI[[#This Row],[Camp Name]],CL,2,0),"")</f>
        <v>MMR001CMP122</v>
      </c>
      <c r="AR506" s="468">
        <f ca="1">IF(Table_NFI[[#This Row],[Pcode]]="","",IF(OFFSET(CampList[Opening Date],MATCH(Table_NFI[[#This Row],[Pcode]],CampList[CP_Pcode],0)-1,0,1,1)&gt;=NFI_Monitor_Date,1,0))</f>
        <v>0</v>
      </c>
      <c r="AS506" s="473" t="str">
        <f>IFERROR(VLOOKUP(Table_NFI[[#This Row],[Camp Name]],CL,3,0),"")</f>
        <v>Open</v>
      </c>
      <c r="AT506" s="294" t="str">
        <f ca="1">IF(Table_NFI[[#This Row],[Pcode]]="","",OFFSET(CampList[Priority],MATCH(Table_NFI[[#This Row],[Pcode]],CampList[CP_Pcode],0)-1,0,1,1))</f>
        <v>P2</v>
      </c>
      <c r="AU506" s="293">
        <f>IFERROR(Table_NFI[[#This Row],[Kitchen Set]]/VLOOKUP(Table_NFI[[#This Row],[Camp Name]],CL,4,0),"")</f>
        <v>0</v>
      </c>
      <c r="AV506" s="466" t="s">
        <v>1092</v>
      </c>
      <c r="AW506" s="469"/>
    </row>
    <row r="507" spans="1:49" s="470" customFormat="1" x14ac:dyDescent="0.25">
      <c r="A507" s="297">
        <f t="shared" si="7"/>
        <v>35.56666666666667</v>
      </c>
      <c r="B507" s="465">
        <v>41608</v>
      </c>
      <c r="C507" s="466" t="s">
        <v>1097</v>
      </c>
      <c r="D507" s="467" t="s">
        <v>944</v>
      </c>
      <c r="E507" s="466" t="s">
        <v>380</v>
      </c>
      <c r="F507" s="290" t="s">
        <v>5</v>
      </c>
      <c r="G507" s="290" t="s">
        <v>14</v>
      </c>
      <c r="H507" s="291"/>
      <c r="I507" s="291"/>
      <c r="J507" s="291"/>
      <c r="K507" s="291"/>
      <c r="L507" s="292"/>
      <c r="M507" s="292">
        <v>105</v>
      </c>
      <c r="N507" s="292"/>
      <c r="O507" s="292"/>
      <c r="P507" s="294"/>
      <c r="Q507" s="294"/>
      <c r="R507" s="294">
        <v>154</v>
      </c>
      <c r="S507" s="294">
        <v>26</v>
      </c>
      <c r="T507" s="294">
        <v>0</v>
      </c>
      <c r="U507" s="294"/>
      <c r="V507" s="431"/>
      <c r="W507" s="294"/>
      <c r="X507" s="294"/>
      <c r="Y507" s="294">
        <f>IF(NFI_Expiration=1,IF($A507&lt;VLOOKUP(H$5,NFI,5,0),1,0)*Table_NFI[[#This Row],[Hygiene Kit]],Table_NFI[Hygiene Kit])</f>
        <v>0</v>
      </c>
      <c r="Z507" s="294">
        <f>IF(NFI_Expiration=1,IF($A507&lt;VLOOKUP(I$5,NFI,5,0),1,0)*Table_NFI[[#This Row],[NFI Core Kit]],Table_NFI[NFI Core Kit])</f>
        <v>0</v>
      </c>
      <c r="AA507" s="294">
        <f>IF(NFI_Expiration=1,IF($A507&lt;VLOOKUP(J$5,NFI,5,0),1,0)*Table_NFI[[#This Row],[Sanitary Kit]],Table_NFI[Sanitary Kit])</f>
        <v>0</v>
      </c>
      <c r="AB507" s="294">
        <f>IF(NFI_Expiration=1,IF($A507&lt;VLOOKUP(K$5,NFI,5,0),1,0)*Table_NFI[[#This Row],[Mosquito net]],Table_NFI[Mosquito net])</f>
        <v>0</v>
      </c>
      <c r="AC507" s="294">
        <f>IF(NFI_Expiration=1,IF($A507&lt;VLOOKUP(L$5,NFI,5,0),1,0)*Table_NFI[[#This Row],[Tarpaulin]],Table_NFI[[#This Row],[Tarpaulin]])</f>
        <v>0</v>
      </c>
      <c r="AD507" s="294">
        <f>IF(NFI_Expiration=1,IF($A507&lt;VLOOKUP(M$5,NFI,5,0),1,0)*Table_NFI[[#This Row],[Blanket]],Table_NFI[[#This Row],[Blanket]])</f>
        <v>0</v>
      </c>
      <c r="AE507" s="294">
        <f>IF(NFI_Expiration=1,IF($A507&lt;VLOOKUP(N$5,NFI,5,0),1,0)*Table_NFI[[#This Row],[Kitchen Set]],Table_NFI[Kitchen Set])</f>
        <v>0</v>
      </c>
      <c r="AF507" s="294">
        <f>IF(NFI_Expiration=1,IF($A507&lt;VLOOKUP(O$5,NFI,5,0),1,0)*Table_NFI[[#This Row],[Clothes Kit]],Table_NFI[Clothes Kit])</f>
        <v>0</v>
      </c>
      <c r="AG507" s="294">
        <f>IF(NFI_Expiration=1,IF($A507&lt;VLOOKUP(P$5,NFI,5,0),1,0)*Table_NFI[[#This Row],[Plastic Bucket]],Table_NFI[Plastic Bucket])</f>
        <v>0</v>
      </c>
      <c r="AH507" s="294">
        <f>IF(NFI_Expiration=1,IF($A507&lt;VLOOKUP(Q$5,NFI,5,0),1,0)*Table_NFI[[#This Row],[Plastic Mat]],Table_NFI[Plastic Mat])*IF(Table_NFI[[#This Row],[Distribution Date]]&gt;"2014-04-01",1,2.5)</f>
        <v>0</v>
      </c>
      <c r="AI507" s="294">
        <f>IF(NFI_Expiration=1,IF($A507&lt;VLOOKUP(R$5,NFI,5,0),1,0)*Table_NFI[[#This Row],[Winter Clothes Adult]],Table_NFI[Winter Clothes Adult])</f>
        <v>0</v>
      </c>
      <c r="AJ507" s="294">
        <f>IF(NFI_Expiration=1,IF($A507&lt;VLOOKUP(S$5,NFI,5,0),1,0)*Table_NFI[[#This Row],[Winter Clothes Children]],Table_NFI[Winter Clothes Children])</f>
        <v>0</v>
      </c>
      <c r="AK507" s="294">
        <f>IF(NFI_Expiration=1,IF($A507&lt;VLOOKUP(T$5,NFI,5,0),1,0)*Table_NFI[[#This Row],[Winter Items Other]],Table_NFI[Winter Items Other])</f>
        <v>0</v>
      </c>
      <c r="AL507" s="294">
        <f>IF(NFI_Expiration=1,IF($A507&lt;VLOOKUP(M$5,NFI,5,0),1,0)*Table_NFI[[#This Row],[Winter Blanket]],Table_NFI[[#This Row],[Winter Blanket]])</f>
        <v>0</v>
      </c>
      <c r="AM507" s="294">
        <f>IF(Table_NFI[[#This Row],[Winter Clothes Adult]]+Table_NFI[[#This Row],[Winter Clothes Children]]+Table_NFI[[#This Row],[Winter Items Other]]+Table_NFI[[#This Row],[Winter Blanket]]&gt;0,1,0)</f>
        <v>1</v>
      </c>
      <c r="AN507" s="331">
        <f>IF(NFI_Expiration=1,IF($A507&lt;VLOOKUP(V$5,NFI,5,0),1,0)*Table_NFI[[#This Row],[Jerry Can]],Table_NFI[Jerry Can])</f>
        <v>0</v>
      </c>
      <c r="AO507" s="331">
        <f>IF(NFI_Expiration=1,IF($A507&lt;VLOOKUP(V$5,NFI,5,0),1,0)*Table_NFI[[#This Row],[Shelter Tool kit]],Table_NFI[Shelter Tool kit])</f>
        <v>0</v>
      </c>
      <c r="AP507" s="331">
        <f>IF(NFI_Expiration=1,IF($A507&lt;VLOOKUP(V$5,NFI,5,0),1,0)*Table_NFI[[#This Row],[Tent]],Table_NFI[Tent])</f>
        <v>0</v>
      </c>
      <c r="AQ507" s="473" t="str">
        <f>IFERROR(VLOOKUP(Table_NFI[[#This Row],[Camp Name]],CL,2,0),"")</f>
        <v>MMR001CMP052</v>
      </c>
      <c r="AR507" s="468">
        <f ca="1">IF(Table_NFI[[#This Row],[Pcode]]="","",IF(OFFSET(CampList[Opening Date],MATCH(Table_NFI[[#This Row],[Pcode]],CampList[CP_Pcode],0)-1,0,1,1)&gt;=NFI_Monitor_Date,1,0))</f>
        <v>0</v>
      </c>
      <c r="AS507" s="473" t="str">
        <f>IFERROR(VLOOKUP(Table_NFI[[#This Row],[Camp Name]],CL,3,0),"")</f>
        <v>Open</v>
      </c>
      <c r="AT507" s="294" t="str">
        <f ca="1">IF(Table_NFI[[#This Row],[Pcode]]="","",OFFSET(CampList[Priority],MATCH(Table_NFI[[#This Row],[Pcode]],CampList[CP_Pcode],0)-1,0,1,1))</f>
        <v>P4</v>
      </c>
      <c r="AU507" s="293">
        <f>IFERROR(Table_NFI[[#This Row],[Kitchen Set]]/VLOOKUP(Table_NFI[[#This Row],[Camp Name]],CL,4,0),"")</f>
        <v>0</v>
      </c>
      <c r="AV507" s="466" t="s">
        <v>1092</v>
      </c>
      <c r="AW507" s="469"/>
    </row>
    <row r="508" spans="1:49" s="470" customFormat="1" ht="14.45" customHeight="1" x14ac:dyDescent="0.25">
      <c r="A508" s="297">
        <f t="shared" si="7"/>
        <v>35.56666666666667</v>
      </c>
      <c r="B508" s="465">
        <v>41608</v>
      </c>
      <c r="C508" s="466" t="s">
        <v>905</v>
      </c>
      <c r="D508" s="466"/>
      <c r="E508" s="466" t="s">
        <v>380</v>
      </c>
      <c r="F508" s="290" t="s">
        <v>5</v>
      </c>
      <c r="G508" s="290" t="s">
        <v>14</v>
      </c>
      <c r="H508" s="291"/>
      <c r="I508" s="291"/>
      <c r="J508" s="291"/>
      <c r="K508" s="291"/>
      <c r="L508" s="292"/>
      <c r="M508" s="292"/>
      <c r="N508" s="292"/>
      <c r="O508" s="292"/>
      <c r="P508" s="294"/>
      <c r="Q508" s="294">
        <v>138</v>
      </c>
      <c r="R508" s="294"/>
      <c r="S508" s="294"/>
      <c r="T508" s="294"/>
      <c r="U508" s="294"/>
      <c r="V508" s="431"/>
      <c r="W508" s="294"/>
      <c r="X508" s="294"/>
      <c r="Y508" s="294">
        <f>IF(NFI_Expiration=1,IF($A508&lt;VLOOKUP(H$5,NFI,5,0),1,0)*Table_NFI[[#This Row],[Hygiene Kit]],Table_NFI[Hygiene Kit])</f>
        <v>0</v>
      </c>
      <c r="Z508" s="294">
        <f>IF(NFI_Expiration=1,IF($A508&lt;VLOOKUP(I$5,NFI,5,0),1,0)*Table_NFI[[#This Row],[NFI Core Kit]],Table_NFI[NFI Core Kit])</f>
        <v>0</v>
      </c>
      <c r="AA508" s="294">
        <f>IF(NFI_Expiration=1,IF($A508&lt;VLOOKUP(J$5,NFI,5,0),1,0)*Table_NFI[[#This Row],[Sanitary Kit]],Table_NFI[Sanitary Kit])</f>
        <v>0</v>
      </c>
      <c r="AB508" s="294">
        <f>IF(NFI_Expiration=1,IF($A508&lt;VLOOKUP(K$5,NFI,5,0),1,0)*Table_NFI[[#This Row],[Mosquito net]],Table_NFI[Mosquito net])</f>
        <v>0</v>
      </c>
      <c r="AC508" s="294">
        <f>IF(NFI_Expiration=1,IF($A508&lt;VLOOKUP(L$5,NFI,5,0),1,0)*Table_NFI[[#This Row],[Tarpaulin]],Table_NFI[[#This Row],[Tarpaulin]])</f>
        <v>0</v>
      </c>
      <c r="AD508" s="294">
        <f>IF(NFI_Expiration=1,IF($A508&lt;VLOOKUP(M$5,NFI,5,0),1,0)*Table_NFI[[#This Row],[Blanket]],Table_NFI[[#This Row],[Blanket]])</f>
        <v>0</v>
      </c>
      <c r="AE508" s="294">
        <f>IF(NFI_Expiration=1,IF($A508&lt;VLOOKUP(N$5,NFI,5,0),1,0)*Table_NFI[[#This Row],[Kitchen Set]],Table_NFI[Kitchen Set])</f>
        <v>0</v>
      </c>
      <c r="AF508" s="294">
        <f>IF(NFI_Expiration=1,IF($A508&lt;VLOOKUP(O$5,NFI,5,0),1,0)*Table_NFI[[#This Row],[Clothes Kit]],Table_NFI[Clothes Kit])</f>
        <v>0</v>
      </c>
      <c r="AG508" s="294">
        <f>IF(NFI_Expiration=1,IF($A508&lt;VLOOKUP(P$5,NFI,5,0),1,0)*Table_NFI[[#This Row],[Plastic Bucket]],Table_NFI[Plastic Bucket])</f>
        <v>0</v>
      </c>
      <c r="AH508" s="294">
        <f>IF(NFI_Expiration=1,IF($A508&lt;VLOOKUP(Q$5,NFI,5,0),1,0)*Table_NFI[[#This Row],[Plastic Mat]],Table_NFI[Plastic Mat])*IF(Table_NFI[[#This Row],[Distribution Date]]&gt;"2014-04-01",1,2.5)</f>
        <v>0</v>
      </c>
      <c r="AI508" s="294">
        <f>IF(NFI_Expiration=1,IF($A508&lt;VLOOKUP(R$5,NFI,5,0),1,0)*Table_NFI[[#This Row],[Winter Clothes Adult]],Table_NFI[Winter Clothes Adult])</f>
        <v>0</v>
      </c>
      <c r="AJ508" s="294">
        <f>IF(NFI_Expiration=1,IF($A508&lt;VLOOKUP(S$5,NFI,5,0),1,0)*Table_NFI[[#This Row],[Winter Clothes Children]],Table_NFI[Winter Clothes Children])</f>
        <v>0</v>
      </c>
      <c r="AK508" s="294">
        <f>IF(NFI_Expiration=1,IF($A508&lt;VLOOKUP(T$5,NFI,5,0),1,0)*Table_NFI[[#This Row],[Winter Items Other]],Table_NFI[Winter Items Other])</f>
        <v>0</v>
      </c>
      <c r="AL508" s="294">
        <f>IF(NFI_Expiration=1,IF($A508&lt;VLOOKUP(M$5,NFI,5,0),1,0)*Table_NFI[[#This Row],[Winter Blanket]],Table_NFI[[#This Row],[Winter Blanket]])</f>
        <v>0</v>
      </c>
      <c r="AM508" s="294">
        <f>IF(Table_NFI[[#This Row],[Winter Clothes Adult]]+Table_NFI[[#This Row],[Winter Clothes Children]]+Table_NFI[[#This Row],[Winter Items Other]]+Table_NFI[[#This Row],[Winter Blanket]]&gt;0,1,0)</f>
        <v>0</v>
      </c>
      <c r="AN508" s="331">
        <f>IF(NFI_Expiration=1,IF($A508&lt;VLOOKUP(V$5,NFI,5,0),1,0)*Table_NFI[[#This Row],[Jerry Can]],Table_NFI[Jerry Can])</f>
        <v>0</v>
      </c>
      <c r="AO508" s="331">
        <f>IF(NFI_Expiration=1,IF($A508&lt;VLOOKUP(V$5,NFI,5,0),1,0)*Table_NFI[[#This Row],[Shelter Tool kit]],Table_NFI[Shelter Tool kit])</f>
        <v>0</v>
      </c>
      <c r="AP508" s="331">
        <f>IF(NFI_Expiration=1,IF($A508&lt;VLOOKUP(V$5,NFI,5,0),1,0)*Table_NFI[[#This Row],[Tent]],Table_NFI[Tent])</f>
        <v>0</v>
      </c>
      <c r="AQ508" s="473" t="str">
        <f>IFERROR(VLOOKUP(Table_NFI[[#This Row],[Camp Name]],CL,2,0),"")</f>
        <v>MMR001CMP052</v>
      </c>
      <c r="AR508" s="468">
        <f ca="1">IF(Table_NFI[[#This Row],[Pcode]]="","",IF(OFFSET(CampList[Opening Date],MATCH(Table_NFI[[#This Row],[Pcode]],CampList[CP_Pcode],0)-1,0,1,1)&gt;=NFI_Monitor_Date,1,0))</f>
        <v>0</v>
      </c>
      <c r="AS508" s="473" t="str">
        <f>IFERROR(VLOOKUP(Table_NFI[[#This Row],[Camp Name]],CL,3,0),"")</f>
        <v>Open</v>
      </c>
      <c r="AT508" s="294" t="str">
        <f ca="1">IF(Table_NFI[[#This Row],[Pcode]]="","",OFFSET(CampList[Priority],MATCH(Table_NFI[[#This Row],[Pcode]],CampList[CP_Pcode],0)-1,0,1,1))</f>
        <v>P4</v>
      </c>
      <c r="AU508" s="293">
        <f>IFERROR(Table_NFI[[#This Row],[Kitchen Set]]/VLOOKUP(Table_NFI[[#This Row],[Camp Name]],CL,4,0),"")</f>
        <v>0</v>
      </c>
      <c r="AV508" s="466" t="s">
        <v>1092</v>
      </c>
      <c r="AW508" s="469"/>
    </row>
    <row r="509" spans="1:49" s="470" customFormat="1" ht="14.45" customHeight="1" x14ac:dyDescent="0.25">
      <c r="A509" s="297">
        <f t="shared" si="7"/>
        <v>35.56666666666667</v>
      </c>
      <c r="B509" s="465">
        <v>41608</v>
      </c>
      <c r="C509" s="466" t="s">
        <v>905</v>
      </c>
      <c r="D509" s="466" t="s">
        <v>460</v>
      </c>
      <c r="E509" s="466" t="s">
        <v>380</v>
      </c>
      <c r="F509" s="290" t="s">
        <v>185</v>
      </c>
      <c r="G509" s="290" t="s">
        <v>196</v>
      </c>
      <c r="H509" s="291"/>
      <c r="I509" s="291"/>
      <c r="J509" s="291"/>
      <c r="K509" s="291"/>
      <c r="L509" s="292"/>
      <c r="M509" s="292"/>
      <c r="N509" s="292"/>
      <c r="O509" s="292"/>
      <c r="P509" s="294"/>
      <c r="Q509" s="294">
        <v>5268</v>
      </c>
      <c r="R509" s="294"/>
      <c r="S509" s="294"/>
      <c r="T509" s="294"/>
      <c r="U509" s="294"/>
      <c r="V509" s="431"/>
      <c r="W509" s="294"/>
      <c r="X509" s="294"/>
      <c r="Y509" s="294">
        <f>IF(NFI_Expiration=1,IF($A509&lt;VLOOKUP(H$5,NFI,5,0),1,0)*Table_NFI[[#This Row],[Hygiene Kit]],Table_NFI[Hygiene Kit])</f>
        <v>0</v>
      </c>
      <c r="Z509" s="294">
        <f>IF(NFI_Expiration=1,IF($A509&lt;VLOOKUP(I$5,NFI,5,0),1,0)*Table_NFI[[#This Row],[NFI Core Kit]],Table_NFI[NFI Core Kit])</f>
        <v>0</v>
      </c>
      <c r="AA509" s="294">
        <f>IF(NFI_Expiration=1,IF($A509&lt;VLOOKUP(J$5,NFI,5,0),1,0)*Table_NFI[[#This Row],[Sanitary Kit]],Table_NFI[Sanitary Kit])</f>
        <v>0</v>
      </c>
      <c r="AB509" s="294">
        <f>IF(NFI_Expiration=1,IF($A509&lt;VLOOKUP(K$5,NFI,5,0),1,0)*Table_NFI[[#This Row],[Mosquito net]],Table_NFI[Mosquito net])</f>
        <v>0</v>
      </c>
      <c r="AC509" s="294">
        <f>IF(NFI_Expiration=1,IF($A509&lt;VLOOKUP(L$5,NFI,5,0),1,0)*Table_NFI[[#This Row],[Tarpaulin]],Table_NFI[[#This Row],[Tarpaulin]])</f>
        <v>0</v>
      </c>
      <c r="AD509" s="294">
        <f>IF(NFI_Expiration=1,IF($A509&lt;VLOOKUP(M$5,NFI,5,0),1,0)*Table_NFI[[#This Row],[Blanket]],Table_NFI[[#This Row],[Blanket]])</f>
        <v>0</v>
      </c>
      <c r="AE509" s="294">
        <f>IF(NFI_Expiration=1,IF($A509&lt;VLOOKUP(N$5,NFI,5,0),1,0)*Table_NFI[[#This Row],[Kitchen Set]],Table_NFI[Kitchen Set])</f>
        <v>0</v>
      </c>
      <c r="AF509" s="294">
        <f>IF(NFI_Expiration=1,IF($A509&lt;VLOOKUP(O$5,NFI,5,0),1,0)*Table_NFI[[#This Row],[Clothes Kit]],Table_NFI[Clothes Kit])</f>
        <v>0</v>
      </c>
      <c r="AG509" s="294">
        <f>IF(NFI_Expiration=1,IF($A509&lt;VLOOKUP(P$5,NFI,5,0),1,0)*Table_NFI[[#This Row],[Plastic Bucket]],Table_NFI[Plastic Bucket])</f>
        <v>0</v>
      </c>
      <c r="AH509" s="294">
        <f>IF(NFI_Expiration=1,IF($A509&lt;VLOOKUP(Q$5,NFI,5,0),1,0)*Table_NFI[[#This Row],[Plastic Mat]],Table_NFI[Plastic Mat])*IF(Table_NFI[[#This Row],[Distribution Date]]&gt;"2014-04-01",1,2.5)</f>
        <v>0</v>
      </c>
      <c r="AI509" s="294">
        <f>IF(NFI_Expiration=1,IF($A509&lt;VLOOKUP(R$5,NFI,5,0),1,0)*Table_NFI[[#This Row],[Winter Clothes Adult]],Table_NFI[Winter Clothes Adult])</f>
        <v>0</v>
      </c>
      <c r="AJ509" s="294">
        <f>IF(NFI_Expiration=1,IF($A509&lt;VLOOKUP(S$5,NFI,5,0),1,0)*Table_NFI[[#This Row],[Winter Clothes Children]],Table_NFI[Winter Clothes Children])</f>
        <v>0</v>
      </c>
      <c r="AK509" s="294">
        <f>IF(NFI_Expiration=1,IF($A509&lt;VLOOKUP(T$5,NFI,5,0),1,0)*Table_NFI[[#This Row],[Winter Items Other]],Table_NFI[Winter Items Other])</f>
        <v>0</v>
      </c>
      <c r="AL509" s="294">
        <f>IF(NFI_Expiration=1,IF($A509&lt;VLOOKUP(M$5,NFI,5,0),1,0)*Table_NFI[[#This Row],[Winter Blanket]],Table_NFI[[#This Row],[Winter Blanket]])</f>
        <v>0</v>
      </c>
      <c r="AM509" s="294">
        <f>IF(Table_NFI[[#This Row],[Winter Clothes Adult]]+Table_NFI[[#This Row],[Winter Clothes Children]]+Table_NFI[[#This Row],[Winter Items Other]]+Table_NFI[[#This Row],[Winter Blanket]]&gt;0,1,0)</f>
        <v>0</v>
      </c>
      <c r="AN509" s="331">
        <f>IF(NFI_Expiration=1,IF($A509&lt;VLOOKUP(V$5,NFI,5,0),1,0)*Table_NFI[[#This Row],[Jerry Can]],Table_NFI[Jerry Can])</f>
        <v>0</v>
      </c>
      <c r="AO509" s="331">
        <f>IF(NFI_Expiration=1,IF($A509&lt;VLOOKUP(V$5,NFI,5,0),1,0)*Table_NFI[[#This Row],[Shelter Tool kit]],Table_NFI[Shelter Tool kit])</f>
        <v>0</v>
      </c>
      <c r="AP509" s="331">
        <f>IF(NFI_Expiration=1,IF($A509&lt;VLOOKUP(V$5,NFI,5,0),1,0)*Table_NFI[[#This Row],[Tent]],Table_NFI[Tent])</f>
        <v>0</v>
      </c>
      <c r="AQ509" s="473" t="str">
        <f>IFERROR(VLOOKUP(Table_NFI[[#This Row],[Camp Name]],CL,2,0),"")</f>
        <v>MMR001CMP121</v>
      </c>
      <c r="AR509" s="468">
        <f ca="1">IF(Table_NFI[[#This Row],[Pcode]]="","",IF(OFFSET(CampList[Opening Date],MATCH(Table_NFI[[#This Row],[Pcode]],CampList[CP_Pcode],0)-1,0,1,1)&gt;=NFI_Monitor_Date,1,0))</f>
        <v>0</v>
      </c>
      <c r="AS509" s="473" t="str">
        <f>IFERROR(VLOOKUP(Table_NFI[[#This Row],[Camp Name]],CL,3,0),"")</f>
        <v>Open</v>
      </c>
      <c r="AT509" s="294" t="str">
        <f ca="1">IF(Table_NFI[[#This Row],[Pcode]]="","",OFFSET(CampList[Priority],MATCH(Table_NFI[[#This Row],[Pcode]],CampList[CP_Pcode],0)-1,0,1,1))</f>
        <v>P2</v>
      </c>
      <c r="AU509" s="293">
        <f>IFERROR(Table_NFI[[#This Row],[Kitchen Set]]/VLOOKUP(Table_NFI[[#This Row],[Camp Name]],CL,4,0),"")</f>
        <v>0</v>
      </c>
      <c r="AV509" s="466" t="s">
        <v>1092</v>
      </c>
      <c r="AW509" s="469"/>
    </row>
    <row r="510" spans="1:49" s="470" customFormat="1" ht="14.45" customHeight="1" x14ac:dyDescent="0.25">
      <c r="A510" s="297">
        <f t="shared" si="7"/>
        <v>35.56666666666667</v>
      </c>
      <c r="B510" s="465">
        <v>41608</v>
      </c>
      <c r="C510" s="466" t="s">
        <v>1097</v>
      </c>
      <c r="D510" s="467" t="s">
        <v>944</v>
      </c>
      <c r="E510" s="466" t="s">
        <v>380</v>
      </c>
      <c r="F510" s="290" t="s">
        <v>151</v>
      </c>
      <c r="G510" s="290" t="s">
        <v>516</v>
      </c>
      <c r="H510" s="291"/>
      <c r="I510" s="291"/>
      <c r="J510" s="291"/>
      <c r="K510" s="291"/>
      <c r="L510" s="292"/>
      <c r="M510" s="292">
        <v>447</v>
      </c>
      <c r="N510" s="292"/>
      <c r="O510" s="292"/>
      <c r="P510" s="294"/>
      <c r="Q510" s="294"/>
      <c r="R510" s="294">
        <v>398</v>
      </c>
      <c r="S510" s="294">
        <v>390</v>
      </c>
      <c r="T510" s="294">
        <v>0</v>
      </c>
      <c r="U510" s="294"/>
      <c r="V510" s="431"/>
      <c r="W510" s="294"/>
      <c r="X510" s="294"/>
      <c r="Y510" s="294">
        <f>IF(NFI_Expiration=1,IF($A510&lt;VLOOKUP(H$5,NFI,5,0),1,0)*Table_NFI[[#This Row],[Hygiene Kit]],Table_NFI[Hygiene Kit])</f>
        <v>0</v>
      </c>
      <c r="Z510" s="294">
        <f>IF(NFI_Expiration=1,IF($A510&lt;VLOOKUP(I$5,NFI,5,0),1,0)*Table_NFI[[#This Row],[NFI Core Kit]],Table_NFI[NFI Core Kit])</f>
        <v>0</v>
      </c>
      <c r="AA510" s="294">
        <f>IF(NFI_Expiration=1,IF($A510&lt;VLOOKUP(J$5,NFI,5,0),1,0)*Table_NFI[[#This Row],[Sanitary Kit]],Table_NFI[Sanitary Kit])</f>
        <v>0</v>
      </c>
      <c r="AB510" s="294">
        <f>IF(NFI_Expiration=1,IF($A510&lt;VLOOKUP(K$5,NFI,5,0),1,0)*Table_NFI[[#This Row],[Mosquito net]],Table_NFI[Mosquito net])</f>
        <v>0</v>
      </c>
      <c r="AC510" s="294">
        <f>IF(NFI_Expiration=1,IF($A510&lt;VLOOKUP(L$5,NFI,5,0),1,0)*Table_NFI[[#This Row],[Tarpaulin]],Table_NFI[[#This Row],[Tarpaulin]])</f>
        <v>0</v>
      </c>
      <c r="AD510" s="294">
        <f>IF(NFI_Expiration=1,IF($A510&lt;VLOOKUP(M$5,NFI,5,0),1,0)*Table_NFI[[#This Row],[Blanket]],Table_NFI[[#This Row],[Blanket]])</f>
        <v>0</v>
      </c>
      <c r="AE510" s="294">
        <f>IF(NFI_Expiration=1,IF($A510&lt;VLOOKUP(N$5,NFI,5,0),1,0)*Table_NFI[[#This Row],[Kitchen Set]],Table_NFI[Kitchen Set])</f>
        <v>0</v>
      </c>
      <c r="AF510" s="294">
        <f>IF(NFI_Expiration=1,IF($A510&lt;VLOOKUP(O$5,NFI,5,0),1,0)*Table_NFI[[#This Row],[Clothes Kit]],Table_NFI[Clothes Kit])</f>
        <v>0</v>
      </c>
      <c r="AG510" s="294">
        <f>IF(NFI_Expiration=1,IF($A510&lt;VLOOKUP(P$5,NFI,5,0),1,0)*Table_NFI[[#This Row],[Plastic Bucket]],Table_NFI[Plastic Bucket])</f>
        <v>0</v>
      </c>
      <c r="AH510" s="294">
        <f>IF(NFI_Expiration=1,IF($A510&lt;VLOOKUP(Q$5,NFI,5,0),1,0)*Table_NFI[[#This Row],[Plastic Mat]],Table_NFI[Plastic Mat])*IF(Table_NFI[[#This Row],[Distribution Date]]&gt;"2014-04-01",1,2.5)</f>
        <v>0</v>
      </c>
      <c r="AI510" s="294">
        <f>IF(NFI_Expiration=1,IF($A510&lt;VLOOKUP(R$5,NFI,5,0),1,0)*Table_NFI[[#This Row],[Winter Clothes Adult]],Table_NFI[Winter Clothes Adult])</f>
        <v>0</v>
      </c>
      <c r="AJ510" s="294">
        <f>IF(NFI_Expiration=1,IF($A510&lt;VLOOKUP(S$5,NFI,5,0),1,0)*Table_NFI[[#This Row],[Winter Clothes Children]],Table_NFI[Winter Clothes Children])</f>
        <v>0</v>
      </c>
      <c r="AK510" s="294">
        <f>IF(NFI_Expiration=1,IF($A510&lt;VLOOKUP(T$5,NFI,5,0),1,0)*Table_NFI[[#This Row],[Winter Items Other]],Table_NFI[Winter Items Other])</f>
        <v>0</v>
      </c>
      <c r="AL510" s="294">
        <f>IF(NFI_Expiration=1,IF($A510&lt;VLOOKUP(M$5,NFI,5,0),1,0)*Table_NFI[[#This Row],[Winter Blanket]],Table_NFI[[#This Row],[Winter Blanket]])</f>
        <v>0</v>
      </c>
      <c r="AM510" s="294">
        <f>IF(Table_NFI[[#This Row],[Winter Clothes Adult]]+Table_NFI[[#This Row],[Winter Clothes Children]]+Table_NFI[[#This Row],[Winter Items Other]]+Table_NFI[[#This Row],[Winter Blanket]]&gt;0,1,0)</f>
        <v>1</v>
      </c>
      <c r="AN510" s="331">
        <f>IF(NFI_Expiration=1,IF($A510&lt;VLOOKUP(V$5,NFI,5,0),1,0)*Table_NFI[[#This Row],[Jerry Can]],Table_NFI[Jerry Can])</f>
        <v>0</v>
      </c>
      <c r="AO510" s="331">
        <f>IF(NFI_Expiration=1,IF($A510&lt;VLOOKUP(V$5,NFI,5,0),1,0)*Table_NFI[[#This Row],[Shelter Tool kit]],Table_NFI[Shelter Tool kit])</f>
        <v>0</v>
      </c>
      <c r="AP510" s="331">
        <f>IF(NFI_Expiration=1,IF($A510&lt;VLOOKUP(V$5,NFI,5,0),1,0)*Table_NFI[[#This Row],[Tent]],Table_NFI[Tent])</f>
        <v>0</v>
      </c>
      <c r="AQ510" s="473" t="str">
        <f>IFERROR(VLOOKUP(Table_NFI[[#This Row],[Camp Name]],CL,2,0),"")</f>
        <v>MMR001CMP202</v>
      </c>
      <c r="AR510" s="468">
        <f ca="1">IF(Table_NFI[[#This Row],[Pcode]]="","",IF(OFFSET(CampList[Opening Date],MATCH(Table_NFI[[#This Row],[Pcode]],CampList[CP_Pcode],0)-1,0,1,1)&gt;=NFI_Monitor_Date,1,0))</f>
        <v>0</v>
      </c>
      <c r="AS510" s="473" t="str">
        <f>IFERROR(VLOOKUP(Table_NFI[[#This Row],[Camp Name]],CL,3,0),"")</f>
        <v>Closed</v>
      </c>
      <c r="AT510" s="294" t="str">
        <f ca="1">IF(Table_NFI[[#This Row],[Pcode]]="","",OFFSET(CampList[Priority],MATCH(Table_NFI[[#This Row],[Pcode]],CampList[CP_Pcode],0)-1,0,1,1))</f>
        <v>P4</v>
      </c>
      <c r="AU510" s="293" t="str">
        <f>IFERROR(Table_NFI[[#This Row],[Kitchen Set]]/VLOOKUP(Table_NFI[[#This Row],[Camp Name]],CL,4,0),"")</f>
        <v/>
      </c>
      <c r="AV510" s="466" t="s">
        <v>1092</v>
      </c>
      <c r="AW510" s="469"/>
    </row>
    <row r="511" spans="1:49" s="470" customFormat="1" ht="14.45" customHeight="1" x14ac:dyDescent="0.25">
      <c r="A511" s="297">
        <f t="shared" si="7"/>
        <v>35.56666666666667</v>
      </c>
      <c r="B511" s="465">
        <v>41608</v>
      </c>
      <c r="C511" s="466" t="s">
        <v>905</v>
      </c>
      <c r="D511" s="466"/>
      <c r="E511" s="466" t="s">
        <v>380</v>
      </c>
      <c r="F511" s="290" t="s">
        <v>151</v>
      </c>
      <c r="G511" s="290" t="s">
        <v>516</v>
      </c>
      <c r="H511" s="291"/>
      <c r="I511" s="291"/>
      <c r="J511" s="291"/>
      <c r="K511" s="291"/>
      <c r="L511" s="292"/>
      <c r="M511" s="292"/>
      <c r="N511" s="292"/>
      <c r="O511" s="292"/>
      <c r="P511" s="294"/>
      <c r="Q511" s="294"/>
      <c r="R511" s="294"/>
      <c r="S511" s="294"/>
      <c r="T511" s="294"/>
      <c r="U511" s="294"/>
      <c r="V511" s="431"/>
      <c r="W511" s="294"/>
      <c r="X511" s="294"/>
      <c r="Y511" s="294">
        <f>IF(NFI_Expiration=1,IF($A511&lt;VLOOKUP(H$5,NFI,5,0),1,0)*Table_NFI[[#This Row],[Hygiene Kit]],Table_NFI[Hygiene Kit])</f>
        <v>0</v>
      </c>
      <c r="Z511" s="294">
        <f>IF(NFI_Expiration=1,IF($A511&lt;VLOOKUP(I$5,NFI,5,0),1,0)*Table_NFI[[#This Row],[NFI Core Kit]],Table_NFI[NFI Core Kit])</f>
        <v>0</v>
      </c>
      <c r="AA511" s="294">
        <f>IF(NFI_Expiration=1,IF($A511&lt;VLOOKUP(J$5,NFI,5,0),1,0)*Table_NFI[[#This Row],[Sanitary Kit]],Table_NFI[Sanitary Kit])</f>
        <v>0</v>
      </c>
      <c r="AB511" s="294">
        <f>IF(NFI_Expiration=1,IF($A511&lt;VLOOKUP(K$5,NFI,5,0),1,0)*Table_NFI[[#This Row],[Mosquito net]],Table_NFI[Mosquito net])</f>
        <v>0</v>
      </c>
      <c r="AC511" s="294">
        <f>IF(NFI_Expiration=1,IF($A511&lt;VLOOKUP(L$5,NFI,5,0),1,0)*Table_NFI[[#This Row],[Tarpaulin]],Table_NFI[[#This Row],[Tarpaulin]])</f>
        <v>0</v>
      </c>
      <c r="AD511" s="294">
        <f>IF(NFI_Expiration=1,IF($A511&lt;VLOOKUP(M$5,NFI,5,0),1,0)*Table_NFI[[#This Row],[Blanket]],Table_NFI[[#This Row],[Blanket]])</f>
        <v>0</v>
      </c>
      <c r="AE511" s="294">
        <f>IF(NFI_Expiration=1,IF($A511&lt;VLOOKUP(N$5,NFI,5,0),1,0)*Table_NFI[[#This Row],[Kitchen Set]],Table_NFI[Kitchen Set])</f>
        <v>0</v>
      </c>
      <c r="AF511" s="294">
        <f>IF(NFI_Expiration=1,IF($A511&lt;VLOOKUP(O$5,NFI,5,0),1,0)*Table_NFI[[#This Row],[Clothes Kit]],Table_NFI[Clothes Kit])</f>
        <v>0</v>
      </c>
      <c r="AG511" s="294">
        <f>IF(NFI_Expiration=1,IF($A511&lt;VLOOKUP(P$5,NFI,5,0),1,0)*Table_NFI[[#This Row],[Plastic Bucket]],Table_NFI[Plastic Bucket])</f>
        <v>0</v>
      </c>
      <c r="AH511" s="294">
        <f>IF(NFI_Expiration=1,IF($A511&lt;VLOOKUP(Q$5,NFI,5,0),1,0)*Table_NFI[[#This Row],[Plastic Mat]],Table_NFI[Plastic Mat])*IF(Table_NFI[[#This Row],[Distribution Date]]&gt;"2014-04-01",1,2.5)</f>
        <v>0</v>
      </c>
      <c r="AI511" s="294">
        <f>IF(NFI_Expiration=1,IF($A511&lt;VLOOKUP(R$5,NFI,5,0),1,0)*Table_NFI[[#This Row],[Winter Clothes Adult]],Table_NFI[Winter Clothes Adult])</f>
        <v>0</v>
      </c>
      <c r="AJ511" s="294">
        <f>IF(NFI_Expiration=1,IF($A511&lt;VLOOKUP(S$5,NFI,5,0),1,0)*Table_NFI[[#This Row],[Winter Clothes Children]],Table_NFI[Winter Clothes Children])</f>
        <v>0</v>
      </c>
      <c r="AK511" s="294">
        <f>IF(NFI_Expiration=1,IF($A511&lt;VLOOKUP(T$5,NFI,5,0),1,0)*Table_NFI[[#This Row],[Winter Items Other]],Table_NFI[Winter Items Other])</f>
        <v>0</v>
      </c>
      <c r="AL511" s="294">
        <f>IF(NFI_Expiration=1,IF($A511&lt;VLOOKUP(M$5,NFI,5,0),1,0)*Table_NFI[[#This Row],[Winter Blanket]],Table_NFI[[#This Row],[Winter Blanket]])</f>
        <v>0</v>
      </c>
      <c r="AM511" s="294">
        <f>IF(Table_NFI[[#This Row],[Winter Clothes Adult]]+Table_NFI[[#This Row],[Winter Clothes Children]]+Table_NFI[[#This Row],[Winter Items Other]]+Table_NFI[[#This Row],[Winter Blanket]]&gt;0,1,0)</f>
        <v>0</v>
      </c>
      <c r="AN511" s="331">
        <f>IF(NFI_Expiration=1,IF($A511&lt;VLOOKUP(V$5,NFI,5,0),1,0)*Table_NFI[[#This Row],[Jerry Can]],Table_NFI[Jerry Can])</f>
        <v>0</v>
      </c>
      <c r="AO511" s="331">
        <f>IF(NFI_Expiration=1,IF($A511&lt;VLOOKUP(V$5,NFI,5,0),1,0)*Table_NFI[[#This Row],[Shelter Tool kit]],Table_NFI[Shelter Tool kit])</f>
        <v>0</v>
      </c>
      <c r="AP511" s="331">
        <f>IF(NFI_Expiration=1,IF($A511&lt;VLOOKUP(V$5,NFI,5,0),1,0)*Table_NFI[[#This Row],[Tent]],Table_NFI[Tent])</f>
        <v>0</v>
      </c>
      <c r="AQ511" s="473" t="str">
        <f>IFERROR(VLOOKUP(Table_NFI[[#This Row],[Camp Name]],CL,2,0),"")</f>
        <v>MMR001CMP202</v>
      </c>
      <c r="AR511" s="468">
        <f ca="1">IF(Table_NFI[[#This Row],[Pcode]]="","",IF(OFFSET(CampList[Opening Date],MATCH(Table_NFI[[#This Row],[Pcode]],CampList[CP_Pcode],0)-1,0,1,1)&gt;=NFI_Monitor_Date,1,0))</f>
        <v>0</v>
      </c>
      <c r="AS511" s="473" t="str">
        <f>IFERROR(VLOOKUP(Table_NFI[[#This Row],[Camp Name]],CL,3,0),"")</f>
        <v>Closed</v>
      </c>
      <c r="AT511" s="294" t="str">
        <f ca="1">IF(Table_NFI[[#This Row],[Pcode]]="","",OFFSET(CampList[Priority],MATCH(Table_NFI[[#This Row],[Pcode]],CampList[CP_Pcode],0)-1,0,1,1))</f>
        <v>P4</v>
      </c>
      <c r="AU511" s="293" t="str">
        <f>IFERROR(Table_NFI[[#This Row],[Kitchen Set]]/VLOOKUP(Table_NFI[[#This Row],[Camp Name]],CL,4,0),"")</f>
        <v/>
      </c>
      <c r="AV511" s="466" t="s">
        <v>1092</v>
      </c>
      <c r="AW511" s="469"/>
    </row>
    <row r="512" spans="1:49" s="470" customFormat="1" ht="14.45" customHeight="1" x14ac:dyDescent="0.25">
      <c r="A512" s="297">
        <f t="shared" si="7"/>
        <v>35.56666666666667</v>
      </c>
      <c r="B512" s="465">
        <v>41608</v>
      </c>
      <c r="C512" s="466" t="s">
        <v>905</v>
      </c>
      <c r="D512" s="466" t="s">
        <v>460</v>
      </c>
      <c r="E512" s="466" t="s">
        <v>380</v>
      </c>
      <c r="F512" s="290" t="s">
        <v>310</v>
      </c>
      <c r="G512" s="290" t="s">
        <v>1248</v>
      </c>
      <c r="H512" s="291"/>
      <c r="I512" s="291"/>
      <c r="J512" s="291"/>
      <c r="K512" s="291"/>
      <c r="L512" s="292"/>
      <c r="M512" s="292"/>
      <c r="N512" s="292"/>
      <c r="O512" s="292"/>
      <c r="P512" s="294"/>
      <c r="Q512" s="294">
        <v>729</v>
      </c>
      <c r="R512" s="294"/>
      <c r="S512" s="294"/>
      <c r="T512" s="294"/>
      <c r="U512" s="294"/>
      <c r="V512" s="431"/>
      <c r="W512" s="294"/>
      <c r="X512" s="294"/>
      <c r="Y512" s="294">
        <f>IF(NFI_Expiration=1,IF($A512&lt;VLOOKUP(H$5,NFI,5,0),1,0)*Table_NFI[[#This Row],[Hygiene Kit]],Table_NFI[Hygiene Kit])</f>
        <v>0</v>
      </c>
      <c r="Z512" s="294">
        <f>IF(NFI_Expiration=1,IF($A512&lt;VLOOKUP(I$5,NFI,5,0),1,0)*Table_NFI[[#This Row],[NFI Core Kit]],Table_NFI[NFI Core Kit])</f>
        <v>0</v>
      </c>
      <c r="AA512" s="294">
        <f>IF(NFI_Expiration=1,IF($A512&lt;VLOOKUP(J$5,NFI,5,0),1,0)*Table_NFI[[#This Row],[Sanitary Kit]],Table_NFI[Sanitary Kit])</f>
        <v>0</v>
      </c>
      <c r="AB512" s="294">
        <f>IF(NFI_Expiration=1,IF($A512&lt;VLOOKUP(K$5,NFI,5,0),1,0)*Table_NFI[[#This Row],[Mosquito net]],Table_NFI[Mosquito net])</f>
        <v>0</v>
      </c>
      <c r="AC512" s="294">
        <f>IF(NFI_Expiration=1,IF($A512&lt;VLOOKUP(L$5,NFI,5,0),1,0)*Table_NFI[[#This Row],[Tarpaulin]],Table_NFI[[#This Row],[Tarpaulin]])</f>
        <v>0</v>
      </c>
      <c r="AD512" s="294">
        <f>IF(NFI_Expiration=1,IF($A512&lt;VLOOKUP(M$5,NFI,5,0),1,0)*Table_NFI[[#This Row],[Blanket]],Table_NFI[[#This Row],[Blanket]])</f>
        <v>0</v>
      </c>
      <c r="AE512" s="294">
        <f>IF(NFI_Expiration=1,IF($A512&lt;VLOOKUP(N$5,NFI,5,0),1,0)*Table_NFI[[#This Row],[Kitchen Set]],Table_NFI[Kitchen Set])</f>
        <v>0</v>
      </c>
      <c r="AF512" s="294">
        <f>IF(NFI_Expiration=1,IF($A512&lt;VLOOKUP(O$5,NFI,5,0),1,0)*Table_NFI[[#This Row],[Clothes Kit]],Table_NFI[Clothes Kit])</f>
        <v>0</v>
      </c>
      <c r="AG512" s="294">
        <f>IF(NFI_Expiration=1,IF($A512&lt;VLOOKUP(P$5,NFI,5,0),1,0)*Table_NFI[[#This Row],[Plastic Bucket]],Table_NFI[Plastic Bucket])</f>
        <v>0</v>
      </c>
      <c r="AH512" s="294">
        <f>IF(NFI_Expiration=1,IF($A512&lt;VLOOKUP(Q$5,NFI,5,0),1,0)*Table_NFI[[#This Row],[Plastic Mat]],Table_NFI[Plastic Mat])*IF(Table_NFI[[#This Row],[Distribution Date]]&gt;"2014-04-01",1,2.5)</f>
        <v>0</v>
      </c>
      <c r="AI512" s="294">
        <f>IF(NFI_Expiration=1,IF($A512&lt;VLOOKUP(R$5,NFI,5,0),1,0)*Table_NFI[[#This Row],[Winter Clothes Adult]],Table_NFI[Winter Clothes Adult])</f>
        <v>0</v>
      </c>
      <c r="AJ512" s="294">
        <f>IF(NFI_Expiration=1,IF($A512&lt;VLOOKUP(S$5,NFI,5,0),1,0)*Table_NFI[[#This Row],[Winter Clothes Children]],Table_NFI[Winter Clothes Children])</f>
        <v>0</v>
      </c>
      <c r="AK512" s="294">
        <f>IF(NFI_Expiration=1,IF($A512&lt;VLOOKUP(T$5,NFI,5,0),1,0)*Table_NFI[[#This Row],[Winter Items Other]],Table_NFI[Winter Items Other])</f>
        <v>0</v>
      </c>
      <c r="AL512" s="294">
        <f>IF(NFI_Expiration=1,IF($A512&lt;VLOOKUP(M$5,NFI,5,0),1,0)*Table_NFI[[#This Row],[Winter Blanket]],Table_NFI[[#This Row],[Winter Blanket]])</f>
        <v>0</v>
      </c>
      <c r="AM512" s="294">
        <f>IF(Table_NFI[[#This Row],[Winter Clothes Adult]]+Table_NFI[[#This Row],[Winter Clothes Children]]+Table_NFI[[#This Row],[Winter Items Other]]+Table_NFI[[#This Row],[Winter Blanket]]&gt;0,1,0)</f>
        <v>0</v>
      </c>
      <c r="AN512" s="331">
        <f>IF(NFI_Expiration=1,IF($A512&lt;VLOOKUP(V$5,NFI,5,0),1,0)*Table_NFI[[#This Row],[Jerry Can]],Table_NFI[Jerry Can])</f>
        <v>0</v>
      </c>
      <c r="AO512" s="331">
        <f>IF(NFI_Expiration=1,IF($A512&lt;VLOOKUP(V$5,NFI,5,0),1,0)*Table_NFI[[#This Row],[Shelter Tool kit]],Table_NFI[Shelter Tool kit])</f>
        <v>0</v>
      </c>
      <c r="AP512" s="331">
        <f>IF(NFI_Expiration=1,IF($A512&lt;VLOOKUP(V$5,NFI,5,0),1,0)*Table_NFI[[#This Row],[Tent]],Table_NFI[Tent])</f>
        <v>0</v>
      </c>
      <c r="AQ512" s="473" t="str">
        <f>IFERROR(VLOOKUP(Table_NFI[[#This Row],[Camp Name]],CL,2,0),"")</f>
        <v>MMR001CMP117</v>
      </c>
      <c r="AR512" s="468">
        <f ca="1">IF(Table_NFI[[#This Row],[Pcode]]="","",IF(OFFSET(CampList[Opening Date],MATCH(Table_NFI[[#This Row],[Pcode]],CampList[CP_Pcode],0)-1,0,1,1)&gt;=NFI_Monitor_Date,1,0))</f>
        <v>0</v>
      </c>
      <c r="AS512" s="473" t="str">
        <f>IFERROR(VLOOKUP(Table_NFI[[#This Row],[Camp Name]],CL,3,0),"")</f>
        <v>Closed</v>
      </c>
      <c r="AT512" s="294" t="str">
        <f ca="1">IF(Table_NFI[[#This Row],[Pcode]]="","",OFFSET(CampList[Priority],MATCH(Table_NFI[[#This Row],[Pcode]],CampList[CP_Pcode],0)-1,0,1,1))</f>
        <v>P2</v>
      </c>
      <c r="AU512" s="293" t="str">
        <f>IFERROR(Table_NFI[[#This Row],[Kitchen Set]]/VLOOKUP(Table_NFI[[#This Row],[Camp Name]],CL,4,0),"")</f>
        <v/>
      </c>
      <c r="AV512" s="466" t="s">
        <v>1092</v>
      </c>
      <c r="AW512" s="469"/>
    </row>
    <row r="513" spans="1:49" s="470" customFormat="1" x14ac:dyDescent="0.25">
      <c r="A513" s="297">
        <f t="shared" si="7"/>
        <v>35.56666666666667</v>
      </c>
      <c r="B513" s="465">
        <v>41608</v>
      </c>
      <c r="C513" s="466" t="s">
        <v>905</v>
      </c>
      <c r="D513" s="466" t="s">
        <v>1002</v>
      </c>
      <c r="E513" s="466" t="s">
        <v>380</v>
      </c>
      <c r="F513" s="290" t="s">
        <v>151</v>
      </c>
      <c r="G513" s="290" t="s">
        <v>198</v>
      </c>
      <c r="H513" s="291"/>
      <c r="I513" s="291"/>
      <c r="J513" s="291"/>
      <c r="K513" s="291"/>
      <c r="L513" s="292"/>
      <c r="M513" s="292"/>
      <c r="N513" s="292"/>
      <c r="O513" s="292"/>
      <c r="P513" s="294"/>
      <c r="Q513" s="294"/>
      <c r="R513" s="294"/>
      <c r="S513" s="294"/>
      <c r="T513" s="294"/>
      <c r="U513" s="294"/>
      <c r="V513" s="431"/>
      <c r="W513" s="294"/>
      <c r="X513" s="294"/>
      <c r="Y513" s="294">
        <f>IF(NFI_Expiration=1,IF($A513&lt;VLOOKUP(H$5,NFI,5,0),1,0)*Table_NFI[[#This Row],[Hygiene Kit]],Table_NFI[Hygiene Kit])</f>
        <v>0</v>
      </c>
      <c r="Z513" s="294">
        <f>IF(NFI_Expiration=1,IF($A513&lt;VLOOKUP(I$5,NFI,5,0),1,0)*Table_NFI[[#This Row],[NFI Core Kit]],Table_NFI[NFI Core Kit])</f>
        <v>0</v>
      </c>
      <c r="AA513" s="294">
        <f>IF(NFI_Expiration=1,IF($A513&lt;VLOOKUP(J$5,NFI,5,0),1,0)*Table_NFI[[#This Row],[Sanitary Kit]],Table_NFI[Sanitary Kit])</f>
        <v>0</v>
      </c>
      <c r="AB513" s="294">
        <f>IF(NFI_Expiration=1,IF($A513&lt;VLOOKUP(K$5,NFI,5,0),1,0)*Table_NFI[[#This Row],[Mosquito net]],Table_NFI[Mosquito net])</f>
        <v>0</v>
      </c>
      <c r="AC513" s="294">
        <f>IF(NFI_Expiration=1,IF($A513&lt;VLOOKUP(L$5,NFI,5,0),1,0)*Table_NFI[[#This Row],[Tarpaulin]],Table_NFI[[#This Row],[Tarpaulin]])</f>
        <v>0</v>
      </c>
      <c r="AD513" s="294">
        <f>IF(NFI_Expiration=1,IF($A513&lt;VLOOKUP(M$5,NFI,5,0),1,0)*Table_NFI[[#This Row],[Blanket]],Table_NFI[[#This Row],[Blanket]])</f>
        <v>0</v>
      </c>
      <c r="AE513" s="294">
        <f>IF(NFI_Expiration=1,IF($A513&lt;VLOOKUP(N$5,NFI,5,0),1,0)*Table_NFI[[#This Row],[Kitchen Set]],Table_NFI[Kitchen Set])</f>
        <v>0</v>
      </c>
      <c r="AF513" s="294">
        <f>IF(NFI_Expiration=1,IF($A513&lt;VLOOKUP(O$5,NFI,5,0),1,0)*Table_NFI[[#This Row],[Clothes Kit]],Table_NFI[Clothes Kit])</f>
        <v>0</v>
      </c>
      <c r="AG513" s="294">
        <f>IF(NFI_Expiration=1,IF($A513&lt;VLOOKUP(P$5,NFI,5,0),1,0)*Table_NFI[[#This Row],[Plastic Bucket]],Table_NFI[Plastic Bucket])</f>
        <v>0</v>
      </c>
      <c r="AH513" s="294">
        <f>IF(NFI_Expiration=1,IF($A513&lt;VLOOKUP(Q$5,NFI,5,0),1,0)*Table_NFI[[#This Row],[Plastic Mat]],Table_NFI[Plastic Mat])*IF(Table_NFI[[#This Row],[Distribution Date]]&gt;"2014-04-01",1,2.5)</f>
        <v>0</v>
      </c>
      <c r="AI513" s="294">
        <f>IF(NFI_Expiration=1,IF($A513&lt;VLOOKUP(R$5,NFI,5,0),1,0)*Table_NFI[[#This Row],[Winter Clothes Adult]],Table_NFI[Winter Clothes Adult])</f>
        <v>0</v>
      </c>
      <c r="AJ513" s="294">
        <f>IF(NFI_Expiration=1,IF($A513&lt;VLOOKUP(S$5,NFI,5,0),1,0)*Table_NFI[[#This Row],[Winter Clothes Children]],Table_NFI[Winter Clothes Children])</f>
        <v>0</v>
      </c>
      <c r="AK513" s="294">
        <f>IF(NFI_Expiration=1,IF($A513&lt;VLOOKUP(T$5,NFI,5,0),1,0)*Table_NFI[[#This Row],[Winter Items Other]],Table_NFI[Winter Items Other])</f>
        <v>0</v>
      </c>
      <c r="AL513" s="294">
        <f>IF(NFI_Expiration=1,IF($A513&lt;VLOOKUP(M$5,NFI,5,0),1,0)*Table_NFI[[#This Row],[Winter Blanket]],Table_NFI[[#This Row],[Winter Blanket]])</f>
        <v>0</v>
      </c>
      <c r="AM513" s="294">
        <f>IF(Table_NFI[[#This Row],[Winter Clothes Adult]]+Table_NFI[[#This Row],[Winter Clothes Children]]+Table_NFI[[#This Row],[Winter Items Other]]+Table_NFI[[#This Row],[Winter Blanket]]&gt;0,1,0)</f>
        <v>0</v>
      </c>
      <c r="AN513" s="331">
        <f>IF(NFI_Expiration=1,IF($A513&lt;VLOOKUP(V$5,NFI,5,0),1,0)*Table_NFI[[#This Row],[Jerry Can]],Table_NFI[Jerry Can])</f>
        <v>0</v>
      </c>
      <c r="AO513" s="331">
        <f>IF(NFI_Expiration=1,IF($A513&lt;VLOOKUP(V$5,NFI,5,0),1,0)*Table_NFI[[#This Row],[Shelter Tool kit]],Table_NFI[Shelter Tool kit])</f>
        <v>0</v>
      </c>
      <c r="AP513" s="331">
        <f>IF(NFI_Expiration=1,IF($A513&lt;VLOOKUP(V$5,NFI,5,0),1,0)*Table_NFI[[#This Row],[Tent]],Table_NFI[Tent])</f>
        <v>0</v>
      </c>
      <c r="AQ513" s="473" t="str">
        <f>IFERROR(VLOOKUP(Table_NFI[[#This Row],[Camp Name]],CL,2,0),"")</f>
        <v>MMR001CMP128</v>
      </c>
      <c r="AR513" s="468">
        <f ca="1">IF(Table_NFI[[#This Row],[Pcode]]="","",IF(OFFSET(CampList[Opening Date],MATCH(Table_NFI[[#This Row],[Pcode]],CampList[CP_Pcode],0)-1,0,1,1)&gt;=NFI_Monitor_Date,1,0))</f>
        <v>0</v>
      </c>
      <c r="AS513" s="473" t="str">
        <f>IFERROR(VLOOKUP(Table_NFI[[#This Row],[Camp Name]],CL,3,0),"")</f>
        <v>Open</v>
      </c>
      <c r="AT513" s="294" t="str">
        <f ca="1">IF(Table_NFI[[#This Row],[Pcode]]="","",OFFSET(CampList[Priority],MATCH(Table_NFI[[#This Row],[Pcode]],CampList[CP_Pcode],0)-1,0,1,1))</f>
        <v>P2</v>
      </c>
      <c r="AU513" s="293">
        <f>IFERROR(Table_NFI[[#This Row],[Kitchen Set]]/VLOOKUP(Table_NFI[[#This Row],[Camp Name]],CL,4,0),"")</f>
        <v>0</v>
      </c>
      <c r="AV513" s="466" t="s">
        <v>1092</v>
      </c>
      <c r="AW513" s="469"/>
    </row>
    <row r="514" spans="1:49" s="470" customFormat="1" x14ac:dyDescent="0.25">
      <c r="A514" s="297">
        <f t="shared" si="7"/>
        <v>35.56666666666667</v>
      </c>
      <c r="B514" s="465">
        <v>41608</v>
      </c>
      <c r="C514" s="466" t="s">
        <v>452</v>
      </c>
      <c r="D514" s="467" t="s">
        <v>452</v>
      </c>
      <c r="E514" s="466" t="s">
        <v>380</v>
      </c>
      <c r="F514" s="290" t="s">
        <v>151</v>
      </c>
      <c r="G514" s="290" t="s">
        <v>198</v>
      </c>
      <c r="H514" s="291"/>
      <c r="I514" s="291"/>
      <c r="J514" s="291"/>
      <c r="K514" s="291"/>
      <c r="L514" s="292"/>
      <c r="M514" s="292"/>
      <c r="N514" s="292"/>
      <c r="O514" s="292"/>
      <c r="P514" s="294"/>
      <c r="Q514" s="294"/>
      <c r="R514" s="294"/>
      <c r="S514" s="294"/>
      <c r="T514" s="294"/>
      <c r="U514" s="294"/>
      <c r="V514" s="431"/>
      <c r="W514" s="294"/>
      <c r="X514" s="294"/>
      <c r="Y514" s="294">
        <f>IF(NFI_Expiration=1,IF($A514&lt;VLOOKUP(H$5,NFI,5,0),1,0)*Table_NFI[[#This Row],[Hygiene Kit]],Table_NFI[Hygiene Kit])</f>
        <v>0</v>
      </c>
      <c r="Z514" s="294">
        <f>IF(NFI_Expiration=1,IF($A514&lt;VLOOKUP(I$5,NFI,5,0),1,0)*Table_NFI[[#This Row],[NFI Core Kit]],Table_NFI[NFI Core Kit])</f>
        <v>0</v>
      </c>
      <c r="AA514" s="294">
        <f>IF(NFI_Expiration=1,IF($A514&lt;VLOOKUP(J$5,NFI,5,0),1,0)*Table_NFI[[#This Row],[Sanitary Kit]],Table_NFI[Sanitary Kit])</f>
        <v>0</v>
      </c>
      <c r="AB514" s="294">
        <f>IF(NFI_Expiration=1,IF($A514&lt;VLOOKUP(K$5,NFI,5,0),1,0)*Table_NFI[[#This Row],[Mosquito net]],Table_NFI[Mosquito net])</f>
        <v>0</v>
      </c>
      <c r="AC514" s="294">
        <f>IF(NFI_Expiration=1,IF($A514&lt;VLOOKUP(L$5,NFI,5,0),1,0)*Table_NFI[[#This Row],[Tarpaulin]],Table_NFI[[#This Row],[Tarpaulin]])</f>
        <v>0</v>
      </c>
      <c r="AD514" s="294">
        <f>IF(NFI_Expiration=1,IF($A514&lt;VLOOKUP(M$5,NFI,5,0),1,0)*Table_NFI[[#This Row],[Blanket]],Table_NFI[[#This Row],[Blanket]])</f>
        <v>0</v>
      </c>
      <c r="AE514" s="294">
        <f>IF(NFI_Expiration=1,IF($A514&lt;VLOOKUP(N$5,NFI,5,0),1,0)*Table_NFI[[#This Row],[Kitchen Set]],Table_NFI[Kitchen Set])</f>
        <v>0</v>
      </c>
      <c r="AF514" s="294">
        <f>IF(NFI_Expiration=1,IF($A514&lt;VLOOKUP(O$5,NFI,5,0),1,0)*Table_NFI[[#This Row],[Clothes Kit]],Table_NFI[Clothes Kit])</f>
        <v>0</v>
      </c>
      <c r="AG514" s="294">
        <f>IF(NFI_Expiration=1,IF($A514&lt;VLOOKUP(P$5,NFI,5,0),1,0)*Table_NFI[[#This Row],[Plastic Bucket]],Table_NFI[Plastic Bucket])</f>
        <v>0</v>
      </c>
      <c r="AH514" s="294">
        <f>IF(NFI_Expiration=1,IF($A514&lt;VLOOKUP(Q$5,NFI,5,0),1,0)*Table_NFI[[#This Row],[Plastic Mat]],Table_NFI[Plastic Mat])*IF(Table_NFI[[#This Row],[Distribution Date]]&gt;"2014-04-01",1,2.5)</f>
        <v>0</v>
      </c>
      <c r="AI514" s="294">
        <f>IF(NFI_Expiration=1,IF($A514&lt;VLOOKUP(R$5,NFI,5,0),1,0)*Table_NFI[[#This Row],[Winter Clothes Adult]],Table_NFI[Winter Clothes Adult])</f>
        <v>0</v>
      </c>
      <c r="AJ514" s="294">
        <f>IF(NFI_Expiration=1,IF($A514&lt;VLOOKUP(S$5,NFI,5,0),1,0)*Table_NFI[[#This Row],[Winter Clothes Children]],Table_NFI[Winter Clothes Children])</f>
        <v>0</v>
      </c>
      <c r="AK514" s="294">
        <f>IF(NFI_Expiration=1,IF($A514&lt;VLOOKUP(T$5,NFI,5,0),1,0)*Table_NFI[[#This Row],[Winter Items Other]],Table_NFI[Winter Items Other])</f>
        <v>0</v>
      </c>
      <c r="AL514" s="294">
        <f>IF(NFI_Expiration=1,IF($A514&lt;VLOOKUP(M$5,NFI,5,0),1,0)*Table_NFI[[#This Row],[Winter Blanket]],Table_NFI[[#This Row],[Winter Blanket]])</f>
        <v>0</v>
      </c>
      <c r="AM514" s="294">
        <f>IF(Table_NFI[[#This Row],[Winter Clothes Adult]]+Table_NFI[[#This Row],[Winter Clothes Children]]+Table_NFI[[#This Row],[Winter Items Other]]+Table_NFI[[#This Row],[Winter Blanket]]&gt;0,1,0)</f>
        <v>0</v>
      </c>
      <c r="AN514" s="331">
        <f>IF(NFI_Expiration=1,IF($A514&lt;VLOOKUP(V$5,NFI,5,0),1,0)*Table_NFI[[#This Row],[Jerry Can]],Table_NFI[Jerry Can])</f>
        <v>0</v>
      </c>
      <c r="AO514" s="331">
        <f>IF(NFI_Expiration=1,IF($A514&lt;VLOOKUP(V$5,NFI,5,0),1,0)*Table_NFI[[#This Row],[Shelter Tool kit]],Table_NFI[Shelter Tool kit])</f>
        <v>0</v>
      </c>
      <c r="AP514" s="331">
        <f>IF(NFI_Expiration=1,IF($A514&lt;VLOOKUP(V$5,NFI,5,0),1,0)*Table_NFI[[#This Row],[Tent]],Table_NFI[Tent])</f>
        <v>0</v>
      </c>
      <c r="AQ514" s="473" t="str">
        <f>IFERROR(VLOOKUP(Table_NFI[[#This Row],[Camp Name]],CL,2,0),"")</f>
        <v>MMR001CMP128</v>
      </c>
      <c r="AR514" s="468">
        <f ca="1">IF(Table_NFI[[#This Row],[Pcode]]="","",IF(OFFSET(CampList[Opening Date],MATCH(Table_NFI[[#This Row],[Pcode]],CampList[CP_Pcode],0)-1,0,1,1)&gt;=NFI_Monitor_Date,1,0))</f>
        <v>0</v>
      </c>
      <c r="AS514" s="473" t="str">
        <f>IFERROR(VLOOKUP(Table_NFI[[#This Row],[Camp Name]],CL,3,0),"")</f>
        <v>Open</v>
      </c>
      <c r="AT514" s="294" t="str">
        <f ca="1">IF(Table_NFI[[#This Row],[Pcode]]="","",OFFSET(CampList[Priority],MATCH(Table_NFI[[#This Row],[Pcode]],CampList[CP_Pcode],0)-1,0,1,1))</f>
        <v>P2</v>
      </c>
      <c r="AU514" s="293">
        <f>IFERROR(Table_NFI[[#This Row],[Kitchen Set]]/VLOOKUP(Table_NFI[[#This Row],[Camp Name]],CL,4,0),"")</f>
        <v>0</v>
      </c>
      <c r="AV514" s="466" t="s">
        <v>1092</v>
      </c>
      <c r="AW514" s="469"/>
    </row>
    <row r="515" spans="1:49" s="470" customFormat="1" ht="14.45" customHeight="1" x14ac:dyDescent="0.25">
      <c r="A515" s="297">
        <f t="shared" si="7"/>
        <v>35.56666666666667</v>
      </c>
      <c r="B515" s="465">
        <v>41608</v>
      </c>
      <c r="C515" s="466" t="s">
        <v>905</v>
      </c>
      <c r="D515" s="466" t="s">
        <v>460</v>
      </c>
      <c r="E515" s="466" t="s">
        <v>380</v>
      </c>
      <c r="F515" s="290" t="s">
        <v>27</v>
      </c>
      <c r="G515" s="290" t="s">
        <v>365</v>
      </c>
      <c r="H515" s="291"/>
      <c r="I515" s="291"/>
      <c r="J515" s="291"/>
      <c r="K515" s="291"/>
      <c r="L515" s="292"/>
      <c r="M515" s="292"/>
      <c r="N515" s="292"/>
      <c r="O515" s="292"/>
      <c r="P515" s="294"/>
      <c r="Q515" s="294"/>
      <c r="R515" s="294"/>
      <c r="S515" s="294"/>
      <c r="T515" s="294"/>
      <c r="U515" s="294"/>
      <c r="V515" s="431"/>
      <c r="W515" s="294"/>
      <c r="X515" s="294"/>
      <c r="Y515" s="294">
        <f>IF(NFI_Expiration=1,IF($A515&lt;VLOOKUP(H$5,NFI,5,0),1,0)*Table_NFI[[#This Row],[Hygiene Kit]],Table_NFI[Hygiene Kit])</f>
        <v>0</v>
      </c>
      <c r="Z515" s="294">
        <f>IF(NFI_Expiration=1,IF($A515&lt;VLOOKUP(I$5,NFI,5,0),1,0)*Table_NFI[[#This Row],[NFI Core Kit]],Table_NFI[NFI Core Kit])</f>
        <v>0</v>
      </c>
      <c r="AA515" s="294">
        <f>IF(NFI_Expiration=1,IF($A515&lt;VLOOKUP(J$5,NFI,5,0),1,0)*Table_NFI[[#This Row],[Sanitary Kit]],Table_NFI[Sanitary Kit])</f>
        <v>0</v>
      </c>
      <c r="AB515" s="294">
        <f>IF(NFI_Expiration=1,IF($A515&lt;VLOOKUP(K$5,NFI,5,0),1,0)*Table_NFI[[#This Row],[Mosquito net]],Table_NFI[Mosquito net])</f>
        <v>0</v>
      </c>
      <c r="AC515" s="294">
        <f>IF(NFI_Expiration=1,IF($A515&lt;VLOOKUP(L$5,NFI,5,0),1,0)*Table_NFI[[#This Row],[Tarpaulin]],Table_NFI[[#This Row],[Tarpaulin]])</f>
        <v>0</v>
      </c>
      <c r="AD515" s="294">
        <f>IF(NFI_Expiration=1,IF($A515&lt;VLOOKUP(M$5,NFI,5,0),1,0)*Table_NFI[[#This Row],[Blanket]],Table_NFI[[#This Row],[Blanket]])</f>
        <v>0</v>
      </c>
      <c r="AE515" s="294">
        <f>IF(NFI_Expiration=1,IF($A515&lt;VLOOKUP(N$5,NFI,5,0),1,0)*Table_NFI[[#This Row],[Kitchen Set]],Table_NFI[Kitchen Set])</f>
        <v>0</v>
      </c>
      <c r="AF515" s="294">
        <f>IF(NFI_Expiration=1,IF($A515&lt;VLOOKUP(O$5,NFI,5,0),1,0)*Table_NFI[[#This Row],[Clothes Kit]],Table_NFI[Clothes Kit])</f>
        <v>0</v>
      </c>
      <c r="AG515" s="294">
        <f>IF(NFI_Expiration=1,IF($A515&lt;VLOOKUP(P$5,NFI,5,0),1,0)*Table_NFI[[#This Row],[Plastic Bucket]],Table_NFI[Plastic Bucket])</f>
        <v>0</v>
      </c>
      <c r="AH515" s="294">
        <f>IF(NFI_Expiration=1,IF($A515&lt;VLOOKUP(Q$5,NFI,5,0),1,0)*Table_NFI[[#This Row],[Plastic Mat]],Table_NFI[Plastic Mat])*IF(Table_NFI[[#This Row],[Distribution Date]]&gt;"2014-04-01",1,2.5)</f>
        <v>0</v>
      </c>
      <c r="AI515" s="294">
        <f>IF(NFI_Expiration=1,IF($A515&lt;VLOOKUP(R$5,NFI,5,0),1,0)*Table_NFI[[#This Row],[Winter Clothes Adult]],Table_NFI[Winter Clothes Adult])</f>
        <v>0</v>
      </c>
      <c r="AJ515" s="294">
        <f>IF(NFI_Expiration=1,IF($A515&lt;VLOOKUP(S$5,NFI,5,0),1,0)*Table_NFI[[#This Row],[Winter Clothes Children]],Table_NFI[Winter Clothes Children])</f>
        <v>0</v>
      </c>
      <c r="AK515" s="294">
        <f>IF(NFI_Expiration=1,IF($A515&lt;VLOOKUP(T$5,NFI,5,0),1,0)*Table_NFI[[#This Row],[Winter Items Other]],Table_NFI[Winter Items Other])</f>
        <v>0</v>
      </c>
      <c r="AL515" s="294">
        <f>IF(NFI_Expiration=1,IF($A515&lt;VLOOKUP(M$5,NFI,5,0),1,0)*Table_NFI[[#This Row],[Winter Blanket]],Table_NFI[[#This Row],[Winter Blanket]])</f>
        <v>0</v>
      </c>
      <c r="AM515" s="294">
        <f>IF(Table_NFI[[#This Row],[Winter Clothes Adult]]+Table_NFI[[#This Row],[Winter Clothes Children]]+Table_NFI[[#This Row],[Winter Items Other]]+Table_NFI[[#This Row],[Winter Blanket]]&gt;0,1,0)</f>
        <v>0</v>
      </c>
      <c r="AN515" s="331">
        <f>IF(NFI_Expiration=1,IF($A515&lt;VLOOKUP(V$5,NFI,5,0),1,0)*Table_NFI[[#This Row],[Jerry Can]],Table_NFI[Jerry Can])</f>
        <v>0</v>
      </c>
      <c r="AO515" s="331">
        <f>IF(NFI_Expiration=1,IF($A515&lt;VLOOKUP(V$5,NFI,5,0),1,0)*Table_NFI[[#This Row],[Shelter Tool kit]],Table_NFI[Shelter Tool kit])</f>
        <v>0</v>
      </c>
      <c r="AP515" s="331">
        <f>IF(NFI_Expiration=1,IF($A515&lt;VLOOKUP(V$5,NFI,5,0),1,0)*Table_NFI[[#This Row],[Tent]],Table_NFI[Tent])</f>
        <v>0</v>
      </c>
      <c r="AQ515" s="473" t="str">
        <f>IFERROR(VLOOKUP(Table_NFI[[#This Row],[Camp Name]],CL,2,0),"")</f>
        <v>MMR001CMP195</v>
      </c>
      <c r="AR515" s="468">
        <f ca="1">IF(Table_NFI[[#This Row],[Pcode]]="","",IF(OFFSET(CampList[Opening Date],MATCH(Table_NFI[[#This Row],[Pcode]],CampList[CP_Pcode],0)-1,0,1,1)&gt;=NFI_Monitor_Date,1,0))</f>
        <v>0</v>
      </c>
      <c r="AS515" s="473" t="str">
        <f>IFERROR(VLOOKUP(Table_NFI[[#This Row],[Camp Name]],CL,3,0),"")</f>
        <v>Open</v>
      </c>
      <c r="AT515" s="294" t="str">
        <f ca="1">IF(Table_NFI[[#This Row],[Pcode]]="","",OFFSET(CampList[Priority],MATCH(Table_NFI[[#This Row],[Pcode]],CampList[CP_Pcode],0)-1,0,1,1))</f>
        <v>P1</v>
      </c>
      <c r="AU515" s="293">
        <f>IFERROR(Table_NFI[[#This Row],[Kitchen Set]]/VLOOKUP(Table_NFI[[#This Row],[Camp Name]],CL,4,0),"")</f>
        <v>0</v>
      </c>
      <c r="AV515" s="466" t="s">
        <v>1092</v>
      </c>
      <c r="AW515" s="469"/>
    </row>
    <row r="516" spans="1:49" s="470" customFormat="1" x14ac:dyDescent="0.25">
      <c r="A516" s="297">
        <f t="shared" si="7"/>
        <v>35.56666666666667</v>
      </c>
      <c r="B516" s="465">
        <v>41608</v>
      </c>
      <c r="C516" s="466" t="s">
        <v>1097</v>
      </c>
      <c r="D516" s="467" t="s">
        <v>944</v>
      </c>
      <c r="E516" s="466" t="s">
        <v>380</v>
      </c>
      <c r="F516" s="290" t="s">
        <v>5</v>
      </c>
      <c r="G516" s="290" t="s">
        <v>18</v>
      </c>
      <c r="H516" s="291"/>
      <c r="I516" s="291"/>
      <c r="J516" s="291"/>
      <c r="K516" s="291"/>
      <c r="L516" s="292"/>
      <c r="M516" s="292">
        <v>206</v>
      </c>
      <c r="N516" s="292"/>
      <c r="O516" s="292"/>
      <c r="P516" s="294"/>
      <c r="Q516" s="294"/>
      <c r="R516" s="294">
        <v>242</v>
      </c>
      <c r="S516" s="294">
        <v>156</v>
      </c>
      <c r="T516" s="294">
        <v>0</v>
      </c>
      <c r="U516" s="294"/>
      <c r="V516" s="431"/>
      <c r="W516" s="294"/>
      <c r="X516" s="294"/>
      <c r="Y516" s="294">
        <f>IF(NFI_Expiration=1,IF($A516&lt;VLOOKUP(H$5,NFI,5,0),1,0)*Table_NFI[[#This Row],[Hygiene Kit]],Table_NFI[Hygiene Kit])</f>
        <v>0</v>
      </c>
      <c r="Z516" s="294">
        <f>IF(NFI_Expiration=1,IF($A516&lt;VLOOKUP(I$5,NFI,5,0),1,0)*Table_NFI[[#This Row],[NFI Core Kit]],Table_NFI[NFI Core Kit])</f>
        <v>0</v>
      </c>
      <c r="AA516" s="294">
        <f>IF(NFI_Expiration=1,IF($A516&lt;VLOOKUP(J$5,NFI,5,0),1,0)*Table_NFI[[#This Row],[Sanitary Kit]],Table_NFI[Sanitary Kit])</f>
        <v>0</v>
      </c>
      <c r="AB516" s="294">
        <f>IF(NFI_Expiration=1,IF($A516&lt;VLOOKUP(K$5,NFI,5,0),1,0)*Table_NFI[[#This Row],[Mosquito net]],Table_NFI[Mosquito net])</f>
        <v>0</v>
      </c>
      <c r="AC516" s="294">
        <f>IF(NFI_Expiration=1,IF($A516&lt;VLOOKUP(L$5,NFI,5,0),1,0)*Table_NFI[[#This Row],[Tarpaulin]],Table_NFI[[#This Row],[Tarpaulin]])</f>
        <v>0</v>
      </c>
      <c r="AD516" s="294">
        <f>IF(NFI_Expiration=1,IF($A516&lt;VLOOKUP(M$5,NFI,5,0),1,0)*Table_NFI[[#This Row],[Blanket]],Table_NFI[[#This Row],[Blanket]])</f>
        <v>0</v>
      </c>
      <c r="AE516" s="294">
        <f>IF(NFI_Expiration=1,IF($A516&lt;VLOOKUP(N$5,NFI,5,0),1,0)*Table_NFI[[#This Row],[Kitchen Set]],Table_NFI[Kitchen Set])</f>
        <v>0</v>
      </c>
      <c r="AF516" s="294">
        <f>IF(NFI_Expiration=1,IF($A516&lt;VLOOKUP(O$5,NFI,5,0),1,0)*Table_NFI[[#This Row],[Clothes Kit]],Table_NFI[Clothes Kit])</f>
        <v>0</v>
      </c>
      <c r="AG516" s="294">
        <f>IF(NFI_Expiration=1,IF($A516&lt;VLOOKUP(P$5,NFI,5,0),1,0)*Table_NFI[[#This Row],[Plastic Bucket]],Table_NFI[Plastic Bucket])</f>
        <v>0</v>
      </c>
      <c r="AH516" s="294">
        <f>IF(NFI_Expiration=1,IF($A516&lt;VLOOKUP(Q$5,NFI,5,0),1,0)*Table_NFI[[#This Row],[Plastic Mat]],Table_NFI[Plastic Mat])*IF(Table_NFI[[#This Row],[Distribution Date]]&gt;"2014-04-01",1,2.5)</f>
        <v>0</v>
      </c>
      <c r="AI516" s="294">
        <f>IF(NFI_Expiration=1,IF($A516&lt;VLOOKUP(R$5,NFI,5,0),1,0)*Table_NFI[[#This Row],[Winter Clothes Adult]],Table_NFI[Winter Clothes Adult])</f>
        <v>0</v>
      </c>
      <c r="AJ516" s="294">
        <f>IF(NFI_Expiration=1,IF($A516&lt;VLOOKUP(S$5,NFI,5,0),1,0)*Table_NFI[[#This Row],[Winter Clothes Children]],Table_NFI[Winter Clothes Children])</f>
        <v>0</v>
      </c>
      <c r="AK516" s="294">
        <f>IF(NFI_Expiration=1,IF($A516&lt;VLOOKUP(T$5,NFI,5,0),1,0)*Table_NFI[[#This Row],[Winter Items Other]],Table_NFI[Winter Items Other])</f>
        <v>0</v>
      </c>
      <c r="AL516" s="294">
        <f>IF(NFI_Expiration=1,IF($A516&lt;VLOOKUP(M$5,NFI,5,0),1,0)*Table_NFI[[#This Row],[Winter Blanket]],Table_NFI[[#This Row],[Winter Blanket]])</f>
        <v>0</v>
      </c>
      <c r="AM516" s="294">
        <f>IF(Table_NFI[[#This Row],[Winter Clothes Adult]]+Table_NFI[[#This Row],[Winter Clothes Children]]+Table_NFI[[#This Row],[Winter Items Other]]+Table_NFI[[#This Row],[Winter Blanket]]&gt;0,1,0)</f>
        <v>1</v>
      </c>
      <c r="AN516" s="331">
        <f>IF(NFI_Expiration=1,IF($A516&lt;VLOOKUP(V$5,NFI,5,0),1,0)*Table_NFI[[#This Row],[Jerry Can]],Table_NFI[Jerry Can])</f>
        <v>0</v>
      </c>
      <c r="AO516" s="331">
        <f>IF(NFI_Expiration=1,IF($A516&lt;VLOOKUP(V$5,NFI,5,0),1,0)*Table_NFI[[#This Row],[Shelter Tool kit]],Table_NFI[Shelter Tool kit])</f>
        <v>0</v>
      </c>
      <c r="AP516" s="331">
        <f>IF(NFI_Expiration=1,IF($A516&lt;VLOOKUP(V$5,NFI,5,0),1,0)*Table_NFI[[#This Row],[Tent]],Table_NFI[Tent])</f>
        <v>0</v>
      </c>
      <c r="AQ516" s="473" t="str">
        <f>IFERROR(VLOOKUP(Table_NFI[[#This Row],[Camp Name]],CL,2,0),"")</f>
        <v>MMR001CMP049</v>
      </c>
      <c r="AR516" s="468">
        <f ca="1">IF(Table_NFI[[#This Row],[Pcode]]="","",IF(OFFSET(CampList[Opening Date],MATCH(Table_NFI[[#This Row],[Pcode]],CampList[CP_Pcode],0)-1,0,1,1)&gt;=NFI_Monitor_Date,1,0))</f>
        <v>0</v>
      </c>
      <c r="AS516" s="473" t="str">
        <f>IFERROR(VLOOKUP(Table_NFI[[#This Row],[Camp Name]],CL,3,0),"")</f>
        <v>Open</v>
      </c>
      <c r="AT516" s="294" t="str">
        <f ca="1">IF(Table_NFI[[#This Row],[Pcode]]="","",OFFSET(CampList[Priority],MATCH(Table_NFI[[#This Row],[Pcode]],CampList[CP_Pcode],0)-1,0,1,1))</f>
        <v>P4</v>
      </c>
      <c r="AU516" s="293">
        <f>IFERROR(Table_NFI[[#This Row],[Kitchen Set]]/VLOOKUP(Table_NFI[[#This Row],[Camp Name]],CL,4,0),"")</f>
        <v>0</v>
      </c>
      <c r="AV516" s="466" t="s">
        <v>1092</v>
      </c>
      <c r="AW516" s="469"/>
    </row>
    <row r="517" spans="1:49" s="470" customFormat="1" x14ac:dyDescent="0.25">
      <c r="A517" s="297">
        <f t="shared" si="7"/>
        <v>35.56666666666667</v>
      </c>
      <c r="B517" s="465">
        <v>41608</v>
      </c>
      <c r="C517" s="466" t="s">
        <v>905</v>
      </c>
      <c r="D517" s="466"/>
      <c r="E517" s="466" t="s">
        <v>380</v>
      </c>
      <c r="F517" s="290" t="s">
        <v>5</v>
      </c>
      <c r="G517" s="290" t="s">
        <v>18</v>
      </c>
      <c r="H517" s="291"/>
      <c r="I517" s="291"/>
      <c r="J517" s="291"/>
      <c r="K517" s="291"/>
      <c r="L517" s="292"/>
      <c r="M517" s="292"/>
      <c r="N517" s="292"/>
      <c r="O517" s="292"/>
      <c r="P517" s="294"/>
      <c r="Q517" s="294">
        <v>120</v>
      </c>
      <c r="R517" s="294"/>
      <c r="S517" s="294"/>
      <c r="T517" s="294"/>
      <c r="U517" s="294"/>
      <c r="V517" s="431"/>
      <c r="W517" s="294"/>
      <c r="X517" s="294"/>
      <c r="Y517" s="294">
        <f>IF(NFI_Expiration=1,IF($A517&lt;VLOOKUP(H$5,NFI,5,0),1,0)*Table_NFI[[#This Row],[Hygiene Kit]],Table_NFI[Hygiene Kit])</f>
        <v>0</v>
      </c>
      <c r="Z517" s="294">
        <f>IF(NFI_Expiration=1,IF($A517&lt;VLOOKUP(I$5,NFI,5,0),1,0)*Table_NFI[[#This Row],[NFI Core Kit]],Table_NFI[NFI Core Kit])</f>
        <v>0</v>
      </c>
      <c r="AA517" s="294">
        <f>IF(NFI_Expiration=1,IF($A517&lt;VLOOKUP(J$5,NFI,5,0),1,0)*Table_NFI[[#This Row],[Sanitary Kit]],Table_NFI[Sanitary Kit])</f>
        <v>0</v>
      </c>
      <c r="AB517" s="294">
        <f>IF(NFI_Expiration=1,IF($A517&lt;VLOOKUP(K$5,NFI,5,0),1,0)*Table_NFI[[#This Row],[Mosquito net]],Table_NFI[Mosquito net])</f>
        <v>0</v>
      </c>
      <c r="AC517" s="294">
        <f>IF(NFI_Expiration=1,IF($A517&lt;VLOOKUP(L$5,NFI,5,0),1,0)*Table_NFI[[#This Row],[Tarpaulin]],Table_NFI[[#This Row],[Tarpaulin]])</f>
        <v>0</v>
      </c>
      <c r="AD517" s="294">
        <f>IF(NFI_Expiration=1,IF($A517&lt;VLOOKUP(M$5,NFI,5,0),1,0)*Table_NFI[[#This Row],[Blanket]],Table_NFI[[#This Row],[Blanket]])</f>
        <v>0</v>
      </c>
      <c r="AE517" s="294">
        <f>IF(NFI_Expiration=1,IF($A517&lt;VLOOKUP(N$5,NFI,5,0),1,0)*Table_NFI[[#This Row],[Kitchen Set]],Table_NFI[Kitchen Set])</f>
        <v>0</v>
      </c>
      <c r="AF517" s="294">
        <f>IF(NFI_Expiration=1,IF($A517&lt;VLOOKUP(O$5,NFI,5,0),1,0)*Table_NFI[[#This Row],[Clothes Kit]],Table_NFI[Clothes Kit])</f>
        <v>0</v>
      </c>
      <c r="AG517" s="294">
        <f>IF(NFI_Expiration=1,IF($A517&lt;VLOOKUP(P$5,NFI,5,0),1,0)*Table_NFI[[#This Row],[Plastic Bucket]],Table_NFI[Plastic Bucket])</f>
        <v>0</v>
      </c>
      <c r="AH517" s="294">
        <f>IF(NFI_Expiration=1,IF($A517&lt;VLOOKUP(Q$5,NFI,5,0),1,0)*Table_NFI[[#This Row],[Plastic Mat]],Table_NFI[Plastic Mat])*IF(Table_NFI[[#This Row],[Distribution Date]]&gt;"2014-04-01",1,2.5)</f>
        <v>0</v>
      </c>
      <c r="AI517" s="294">
        <f>IF(NFI_Expiration=1,IF($A517&lt;VLOOKUP(R$5,NFI,5,0),1,0)*Table_NFI[[#This Row],[Winter Clothes Adult]],Table_NFI[Winter Clothes Adult])</f>
        <v>0</v>
      </c>
      <c r="AJ517" s="294">
        <f>IF(NFI_Expiration=1,IF($A517&lt;VLOOKUP(S$5,NFI,5,0),1,0)*Table_NFI[[#This Row],[Winter Clothes Children]],Table_NFI[Winter Clothes Children])</f>
        <v>0</v>
      </c>
      <c r="AK517" s="294">
        <f>IF(NFI_Expiration=1,IF($A517&lt;VLOOKUP(T$5,NFI,5,0),1,0)*Table_NFI[[#This Row],[Winter Items Other]],Table_NFI[Winter Items Other])</f>
        <v>0</v>
      </c>
      <c r="AL517" s="294">
        <f>IF(NFI_Expiration=1,IF($A517&lt;VLOOKUP(M$5,NFI,5,0),1,0)*Table_NFI[[#This Row],[Winter Blanket]],Table_NFI[[#This Row],[Winter Blanket]])</f>
        <v>0</v>
      </c>
      <c r="AM517" s="294">
        <f>IF(Table_NFI[[#This Row],[Winter Clothes Adult]]+Table_NFI[[#This Row],[Winter Clothes Children]]+Table_NFI[[#This Row],[Winter Items Other]]+Table_NFI[[#This Row],[Winter Blanket]]&gt;0,1,0)</f>
        <v>0</v>
      </c>
      <c r="AN517" s="331">
        <f>IF(NFI_Expiration=1,IF($A517&lt;VLOOKUP(V$5,NFI,5,0),1,0)*Table_NFI[[#This Row],[Jerry Can]],Table_NFI[Jerry Can])</f>
        <v>0</v>
      </c>
      <c r="AO517" s="331">
        <f>IF(NFI_Expiration=1,IF($A517&lt;VLOOKUP(V$5,NFI,5,0),1,0)*Table_NFI[[#This Row],[Shelter Tool kit]],Table_NFI[Shelter Tool kit])</f>
        <v>0</v>
      </c>
      <c r="AP517" s="331">
        <f>IF(NFI_Expiration=1,IF($A517&lt;VLOOKUP(V$5,NFI,5,0),1,0)*Table_NFI[[#This Row],[Tent]],Table_NFI[Tent])</f>
        <v>0</v>
      </c>
      <c r="AQ517" s="473" t="str">
        <f>IFERROR(VLOOKUP(Table_NFI[[#This Row],[Camp Name]],CL,2,0),"")</f>
        <v>MMR001CMP049</v>
      </c>
      <c r="AR517" s="468">
        <f ca="1">IF(Table_NFI[[#This Row],[Pcode]]="","",IF(OFFSET(CampList[Opening Date],MATCH(Table_NFI[[#This Row],[Pcode]],CampList[CP_Pcode],0)-1,0,1,1)&gt;=NFI_Monitor_Date,1,0))</f>
        <v>0</v>
      </c>
      <c r="AS517" s="473" t="str">
        <f>IFERROR(VLOOKUP(Table_NFI[[#This Row],[Camp Name]],CL,3,0),"")</f>
        <v>Open</v>
      </c>
      <c r="AT517" s="294" t="str">
        <f ca="1">IF(Table_NFI[[#This Row],[Pcode]]="","",OFFSET(CampList[Priority],MATCH(Table_NFI[[#This Row],[Pcode]],CampList[CP_Pcode],0)-1,0,1,1))</f>
        <v>P4</v>
      </c>
      <c r="AU517" s="293">
        <f>IFERROR(Table_NFI[[#This Row],[Kitchen Set]]/VLOOKUP(Table_NFI[[#This Row],[Camp Name]],CL,4,0),"")</f>
        <v>0</v>
      </c>
      <c r="AV517" s="466" t="s">
        <v>1092</v>
      </c>
      <c r="AW517" s="469"/>
    </row>
    <row r="518" spans="1:49" s="470" customFormat="1" ht="14.45" customHeight="1" x14ac:dyDescent="0.25">
      <c r="A518" s="297">
        <f t="shared" ref="A518:A581" si="8">IF(ISBLANK(B518),"",(Report_Date-B518)/30)</f>
        <v>35.56666666666667</v>
      </c>
      <c r="B518" s="465">
        <v>41608</v>
      </c>
      <c r="C518" s="466" t="s">
        <v>905</v>
      </c>
      <c r="D518" s="466"/>
      <c r="E518" s="466" t="s">
        <v>380</v>
      </c>
      <c r="F518" s="290" t="s">
        <v>185</v>
      </c>
      <c r="G518" s="290" t="s">
        <v>186</v>
      </c>
      <c r="H518" s="291"/>
      <c r="I518" s="291"/>
      <c r="J518" s="291"/>
      <c r="K518" s="291"/>
      <c r="L518" s="292"/>
      <c r="M518" s="292"/>
      <c r="N518" s="292"/>
      <c r="O518" s="292"/>
      <c r="P518" s="294"/>
      <c r="Q518" s="294">
        <v>105</v>
      </c>
      <c r="R518" s="294"/>
      <c r="S518" s="294"/>
      <c r="T518" s="294"/>
      <c r="U518" s="294"/>
      <c r="V518" s="431"/>
      <c r="W518" s="294"/>
      <c r="X518" s="294"/>
      <c r="Y518" s="294">
        <f>IF(NFI_Expiration=1,IF($A518&lt;VLOOKUP(H$5,NFI,5,0),1,0)*Table_NFI[[#This Row],[Hygiene Kit]],Table_NFI[Hygiene Kit])</f>
        <v>0</v>
      </c>
      <c r="Z518" s="294">
        <f>IF(NFI_Expiration=1,IF($A518&lt;VLOOKUP(I$5,NFI,5,0),1,0)*Table_NFI[[#This Row],[NFI Core Kit]],Table_NFI[NFI Core Kit])</f>
        <v>0</v>
      </c>
      <c r="AA518" s="294">
        <f>IF(NFI_Expiration=1,IF($A518&lt;VLOOKUP(J$5,NFI,5,0),1,0)*Table_NFI[[#This Row],[Sanitary Kit]],Table_NFI[Sanitary Kit])</f>
        <v>0</v>
      </c>
      <c r="AB518" s="294">
        <f>IF(NFI_Expiration=1,IF($A518&lt;VLOOKUP(K$5,NFI,5,0),1,0)*Table_NFI[[#This Row],[Mosquito net]],Table_NFI[Mosquito net])</f>
        <v>0</v>
      </c>
      <c r="AC518" s="294">
        <f>IF(NFI_Expiration=1,IF($A518&lt;VLOOKUP(L$5,NFI,5,0),1,0)*Table_NFI[[#This Row],[Tarpaulin]],Table_NFI[[#This Row],[Tarpaulin]])</f>
        <v>0</v>
      </c>
      <c r="AD518" s="294">
        <f>IF(NFI_Expiration=1,IF($A518&lt;VLOOKUP(M$5,NFI,5,0),1,0)*Table_NFI[[#This Row],[Blanket]],Table_NFI[[#This Row],[Blanket]])</f>
        <v>0</v>
      </c>
      <c r="AE518" s="294">
        <f>IF(NFI_Expiration=1,IF($A518&lt;VLOOKUP(N$5,NFI,5,0),1,0)*Table_NFI[[#This Row],[Kitchen Set]],Table_NFI[Kitchen Set])</f>
        <v>0</v>
      </c>
      <c r="AF518" s="294">
        <f>IF(NFI_Expiration=1,IF($A518&lt;VLOOKUP(O$5,NFI,5,0),1,0)*Table_NFI[[#This Row],[Clothes Kit]],Table_NFI[Clothes Kit])</f>
        <v>0</v>
      </c>
      <c r="AG518" s="294">
        <f>IF(NFI_Expiration=1,IF($A518&lt;VLOOKUP(P$5,NFI,5,0),1,0)*Table_NFI[[#This Row],[Plastic Bucket]],Table_NFI[Plastic Bucket])</f>
        <v>0</v>
      </c>
      <c r="AH518" s="294">
        <f>IF(NFI_Expiration=1,IF($A518&lt;VLOOKUP(Q$5,NFI,5,0),1,0)*Table_NFI[[#This Row],[Plastic Mat]],Table_NFI[Plastic Mat])*IF(Table_NFI[[#This Row],[Distribution Date]]&gt;"2014-04-01",1,2.5)</f>
        <v>0</v>
      </c>
      <c r="AI518" s="294">
        <f>IF(NFI_Expiration=1,IF($A518&lt;VLOOKUP(R$5,NFI,5,0),1,0)*Table_NFI[[#This Row],[Winter Clothes Adult]],Table_NFI[Winter Clothes Adult])</f>
        <v>0</v>
      </c>
      <c r="AJ518" s="294">
        <f>IF(NFI_Expiration=1,IF($A518&lt;VLOOKUP(S$5,NFI,5,0),1,0)*Table_NFI[[#This Row],[Winter Clothes Children]],Table_NFI[Winter Clothes Children])</f>
        <v>0</v>
      </c>
      <c r="AK518" s="294">
        <f>IF(NFI_Expiration=1,IF($A518&lt;VLOOKUP(T$5,NFI,5,0),1,0)*Table_NFI[[#This Row],[Winter Items Other]],Table_NFI[Winter Items Other])</f>
        <v>0</v>
      </c>
      <c r="AL518" s="294">
        <f>IF(NFI_Expiration=1,IF($A518&lt;VLOOKUP(M$5,NFI,5,0),1,0)*Table_NFI[[#This Row],[Winter Blanket]],Table_NFI[[#This Row],[Winter Blanket]])</f>
        <v>0</v>
      </c>
      <c r="AM518" s="294">
        <f>IF(Table_NFI[[#This Row],[Winter Clothes Adult]]+Table_NFI[[#This Row],[Winter Clothes Children]]+Table_NFI[[#This Row],[Winter Items Other]]+Table_NFI[[#This Row],[Winter Blanket]]&gt;0,1,0)</f>
        <v>0</v>
      </c>
      <c r="AN518" s="331">
        <f>IF(NFI_Expiration=1,IF($A518&lt;VLOOKUP(V$5,NFI,5,0),1,0)*Table_NFI[[#This Row],[Jerry Can]],Table_NFI[Jerry Can])</f>
        <v>0</v>
      </c>
      <c r="AO518" s="331">
        <f>IF(NFI_Expiration=1,IF($A518&lt;VLOOKUP(V$5,NFI,5,0),1,0)*Table_NFI[[#This Row],[Shelter Tool kit]],Table_NFI[Shelter Tool kit])</f>
        <v>0</v>
      </c>
      <c r="AP518" s="331">
        <f>IF(NFI_Expiration=1,IF($A518&lt;VLOOKUP(V$5,NFI,5,0),1,0)*Table_NFI[[#This Row],[Tent]],Table_NFI[Tent])</f>
        <v>0</v>
      </c>
      <c r="AQ518" s="473" t="str">
        <f>IFERROR(VLOOKUP(Table_NFI[[#This Row],[Camp Name]],CL,2,0),"")</f>
        <v>MMR001CMP071</v>
      </c>
      <c r="AR518" s="468">
        <f ca="1">IF(Table_NFI[[#This Row],[Pcode]]="","",IF(OFFSET(CampList[Opening Date],MATCH(Table_NFI[[#This Row],[Pcode]],CampList[CP_Pcode],0)-1,0,1,1)&gt;=NFI_Monitor_Date,1,0))</f>
        <v>0</v>
      </c>
      <c r="AS518" s="473" t="str">
        <f>IFERROR(VLOOKUP(Table_NFI[[#This Row],[Camp Name]],CL,3,0),"")</f>
        <v>Open</v>
      </c>
      <c r="AT518" s="294" t="str">
        <f ca="1">IF(Table_NFI[[#This Row],[Pcode]]="","",OFFSET(CampList[Priority],MATCH(Table_NFI[[#This Row],[Pcode]],CampList[CP_Pcode],0)-1,0,1,1))</f>
        <v>P3</v>
      </c>
      <c r="AU518" s="293">
        <f>IFERROR(Table_NFI[[#This Row],[Kitchen Set]]/VLOOKUP(Table_NFI[[#This Row],[Camp Name]],CL,4,0),"")</f>
        <v>0</v>
      </c>
      <c r="AV518" s="466" t="s">
        <v>1092</v>
      </c>
      <c r="AW518" s="469"/>
    </row>
    <row r="519" spans="1:49" s="470" customFormat="1" ht="14.45" customHeight="1" x14ac:dyDescent="0.25">
      <c r="A519" s="297">
        <f t="shared" si="8"/>
        <v>35.56666666666667</v>
      </c>
      <c r="B519" s="465">
        <v>41608</v>
      </c>
      <c r="C519" s="466" t="s">
        <v>905</v>
      </c>
      <c r="D519" s="466"/>
      <c r="E519" s="466" t="s">
        <v>380</v>
      </c>
      <c r="F519" s="290" t="s">
        <v>185</v>
      </c>
      <c r="G519" s="290" t="s">
        <v>223</v>
      </c>
      <c r="H519" s="291"/>
      <c r="I519" s="291"/>
      <c r="J519" s="291"/>
      <c r="K519" s="291"/>
      <c r="L519" s="292"/>
      <c r="M519" s="292"/>
      <c r="N519" s="292"/>
      <c r="O519" s="292"/>
      <c r="P519" s="294"/>
      <c r="Q519" s="294">
        <v>246</v>
      </c>
      <c r="R519" s="294"/>
      <c r="S519" s="294"/>
      <c r="T519" s="294"/>
      <c r="U519" s="294"/>
      <c r="V519" s="431"/>
      <c r="W519" s="294"/>
      <c r="X519" s="294"/>
      <c r="Y519" s="294">
        <f>IF(NFI_Expiration=1,IF($A519&lt;VLOOKUP(H$5,NFI,5,0),1,0)*Table_NFI[[#This Row],[Hygiene Kit]],Table_NFI[Hygiene Kit])</f>
        <v>0</v>
      </c>
      <c r="Z519" s="294">
        <f>IF(NFI_Expiration=1,IF($A519&lt;VLOOKUP(I$5,NFI,5,0),1,0)*Table_NFI[[#This Row],[NFI Core Kit]],Table_NFI[NFI Core Kit])</f>
        <v>0</v>
      </c>
      <c r="AA519" s="294">
        <f>IF(NFI_Expiration=1,IF($A519&lt;VLOOKUP(J$5,NFI,5,0),1,0)*Table_NFI[[#This Row],[Sanitary Kit]],Table_NFI[Sanitary Kit])</f>
        <v>0</v>
      </c>
      <c r="AB519" s="294">
        <f>IF(NFI_Expiration=1,IF($A519&lt;VLOOKUP(K$5,NFI,5,0),1,0)*Table_NFI[[#This Row],[Mosquito net]],Table_NFI[Mosquito net])</f>
        <v>0</v>
      </c>
      <c r="AC519" s="294">
        <f>IF(NFI_Expiration=1,IF($A519&lt;VLOOKUP(L$5,NFI,5,0),1,0)*Table_NFI[[#This Row],[Tarpaulin]],Table_NFI[[#This Row],[Tarpaulin]])</f>
        <v>0</v>
      </c>
      <c r="AD519" s="294">
        <f>IF(NFI_Expiration=1,IF($A519&lt;VLOOKUP(M$5,NFI,5,0),1,0)*Table_NFI[[#This Row],[Blanket]],Table_NFI[[#This Row],[Blanket]])</f>
        <v>0</v>
      </c>
      <c r="AE519" s="294">
        <f>IF(NFI_Expiration=1,IF($A519&lt;VLOOKUP(N$5,NFI,5,0),1,0)*Table_NFI[[#This Row],[Kitchen Set]],Table_NFI[Kitchen Set])</f>
        <v>0</v>
      </c>
      <c r="AF519" s="294">
        <f>IF(NFI_Expiration=1,IF($A519&lt;VLOOKUP(O$5,NFI,5,0),1,0)*Table_NFI[[#This Row],[Clothes Kit]],Table_NFI[Clothes Kit])</f>
        <v>0</v>
      </c>
      <c r="AG519" s="294">
        <f>IF(NFI_Expiration=1,IF($A519&lt;VLOOKUP(P$5,NFI,5,0),1,0)*Table_NFI[[#This Row],[Plastic Bucket]],Table_NFI[Plastic Bucket])</f>
        <v>0</v>
      </c>
      <c r="AH519" s="294">
        <f>IF(NFI_Expiration=1,IF($A519&lt;VLOOKUP(Q$5,NFI,5,0),1,0)*Table_NFI[[#This Row],[Plastic Mat]],Table_NFI[Plastic Mat])*IF(Table_NFI[[#This Row],[Distribution Date]]&gt;"2014-04-01",1,2.5)</f>
        <v>0</v>
      </c>
      <c r="AI519" s="294">
        <f>IF(NFI_Expiration=1,IF($A519&lt;VLOOKUP(R$5,NFI,5,0),1,0)*Table_NFI[[#This Row],[Winter Clothes Adult]],Table_NFI[Winter Clothes Adult])</f>
        <v>0</v>
      </c>
      <c r="AJ519" s="294">
        <f>IF(NFI_Expiration=1,IF($A519&lt;VLOOKUP(S$5,NFI,5,0),1,0)*Table_NFI[[#This Row],[Winter Clothes Children]],Table_NFI[Winter Clothes Children])</f>
        <v>0</v>
      </c>
      <c r="AK519" s="294">
        <f>IF(NFI_Expiration=1,IF($A519&lt;VLOOKUP(T$5,NFI,5,0),1,0)*Table_NFI[[#This Row],[Winter Items Other]],Table_NFI[Winter Items Other])</f>
        <v>0</v>
      </c>
      <c r="AL519" s="294">
        <f>IF(NFI_Expiration=1,IF($A519&lt;VLOOKUP(M$5,NFI,5,0),1,0)*Table_NFI[[#This Row],[Winter Blanket]],Table_NFI[[#This Row],[Winter Blanket]])</f>
        <v>0</v>
      </c>
      <c r="AM519" s="294">
        <f>IF(Table_NFI[[#This Row],[Winter Clothes Adult]]+Table_NFI[[#This Row],[Winter Clothes Children]]+Table_NFI[[#This Row],[Winter Items Other]]+Table_NFI[[#This Row],[Winter Blanket]]&gt;0,1,0)</f>
        <v>0</v>
      </c>
      <c r="AN519" s="331">
        <f>IF(NFI_Expiration=1,IF($A519&lt;VLOOKUP(V$5,NFI,5,0),1,0)*Table_NFI[[#This Row],[Jerry Can]],Table_NFI[Jerry Can])</f>
        <v>0</v>
      </c>
      <c r="AO519" s="331">
        <f>IF(NFI_Expiration=1,IF($A519&lt;VLOOKUP(V$5,NFI,5,0),1,0)*Table_NFI[[#This Row],[Shelter Tool kit]],Table_NFI[Shelter Tool kit])</f>
        <v>0</v>
      </c>
      <c r="AP519" s="331">
        <f>IF(NFI_Expiration=1,IF($A519&lt;VLOOKUP(V$5,NFI,5,0),1,0)*Table_NFI[[#This Row],[Tent]],Table_NFI[Tent])</f>
        <v>0</v>
      </c>
      <c r="AQ519" s="473" t="str">
        <f>IFERROR(VLOOKUP(Table_NFI[[#This Row],[Camp Name]],CL,2,0),"")</f>
        <v>MMR001CMP069</v>
      </c>
      <c r="AR519" s="468">
        <f ca="1">IF(Table_NFI[[#This Row],[Pcode]]="","",IF(OFFSET(CampList[Opening Date],MATCH(Table_NFI[[#This Row],[Pcode]],CampList[CP_Pcode],0)-1,0,1,1)&gt;=NFI_Monitor_Date,1,0))</f>
        <v>0</v>
      </c>
      <c r="AS519" s="473" t="str">
        <f>IFERROR(VLOOKUP(Table_NFI[[#This Row],[Camp Name]],CL,3,0),"")</f>
        <v>Open</v>
      </c>
      <c r="AT519" s="294" t="str">
        <f ca="1">IF(Table_NFI[[#This Row],[Pcode]]="","",OFFSET(CampList[Priority],MATCH(Table_NFI[[#This Row],[Pcode]],CampList[CP_Pcode],0)-1,0,1,1))</f>
        <v>P3</v>
      </c>
      <c r="AU519" s="293">
        <f>IFERROR(Table_NFI[[#This Row],[Kitchen Set]]/VLOOKUP(Table_NFI[[#This Row],[Camp Name]],CL,4,0),"")</f>
        <v>0</v>
      </c>
      <c r="AV519" s="466" t="s">
        <v>1092</v>
      </c>
      <c r="AW519" s="469"/>
    </row>
    <row r="520" spans="1:49" s="470" customFormat="1" ht="14.45" customHeight="1" x14ac:dyDescent="0.25">
      <c r="A520" s="297">
        <f t="shared" si="8"/>
        <v>35.56666666666667</v>
      </c>
      <c r="B520" s="465">
        <v>41608</v>
      </c>
      <c r="C520" s="466" t="s">
        <v>905</v>
      </c>
      <c r="D520" s="466"/>
      <c r="E520" s="466" t="s">
        <v>380</v>
      </c>
      <c r="F520" s="290" t="s">
        <v>185</v>
      </c>
      <c r="G520" s="290" t="s">
        <v>190</v>
      </c>
      <c r="H520" s="291"/>
      <c r="I520" s="291"/>
      <c r="J520" s="291"/>
      <c r="K520" s="291"/>
      <c r="L520" s="292"/>
      <c r="M520" s="292"/>
      <c r="N520" s="292"/>
      <c r="O520" s="292"/>
      <c r="P520" s="294"/>
      <c r="Q520" s="294">
        <v>369</v>
      </c>
      <c r="R520" s="294"/>
      <c r="S520" s="294"/>
      <c r="T520" s="294"/>
      <c r="U520" s="294"/>
      <c r="V520" s="431"/>
      <c r="W520" s="294"/>
      <c r="X520" s="294"/>
      <c r="Y520" s="294">
        <f>IF(NFI_Expiration=1,IF($A520&lt;VLOOKUP(H$5,NFI,5,0),1,0)*Table_NFI[[#This Row],[Hygiene Kit]],Table_NFI[Hygiene Kit])</f>
        <v>0</v>
      </c>
      <c r="Z520" s="294">
        <f>IF(NFI_Expiration=1,IF($A520&lt;VLOOKUP(I$5,NFI,5,0),1,0)*Table_NFI[[#This Row],[NFI Core Kit]],Table_NFI[NFI Core Kit])</f>
        <v>0</v>
      </c>
      <c r="AA520" s="294">
        <f>IF(NFI_Expiration=1,IF($A520&lt;VLOOKUP(J$5,NFI,5,0),1,0)*Table_NFI[[#This Row],[Sanitary Kit]],Table_NFI[Sanitary Kit])</f>
        <v>0</v>
      </c>
      <c r="AB520" s="294">
        <f>IF(NFI_Expiration=1,IF($A520&lt;VLOOKUP(K$5,NFI,5,0),1,0)*Table_NFI[[#This Row],[Mosquito net]],Table_NFI[Mosquito net])</f>
        <v>0</v>
      </c>
      <c r="AC520" s="294">
        <f>IF(NFI_Expiration=1,IF($A520&lt;VLOOKUP(L$5,NFI,5,0),1,0)*Table_NFI[[#This Row],[Tarpaulin]],Table_NFI[[#This Row],[Tarpaulin]])</f>
        <v>0</v>
      </c>
      <c r="AD520" s="294">
        <f>IF(NFI_Expiration=1,IF($A520&lt;VLOOKUP(M$5,NFI,5,0),1,0)*Table_NFI[[#This Row],[Blanket]],Table_NFI[[#This Row],[Blanket]])</f>
        <v>0</v>
      </c>
      <c r="AE520" s="294">
        <f>IF(NFI_Expiration=1,IF($A520&lt;VLOOKUP(N$5,NFI,5,0),1,0)*Table_NFI[[#This Row],[Kitchen Set]],Table_NFI[Kitchen Set])</f>
        <v>0</v>
      </c>
      <c r="AF520" s="294">
        <f>IF(NFI_Expiration=1,IF($A520&lt;VLOOKUP(O$5,NFI,5,0),1,0)*Table_NFI[[#This Row],[Clothes Kit]],Table_NFI[Clothes Kit])</f>
        <v>0</v>
      </c>
      <c r="AG520" s="294">
        <f>IF(NFI_Expiration=1,IF($A520&lt;VLOOKUP(P$5,NFI,5,0),1,0)*Table_NFI[[#This Row],[Plastic Bucket]],Table_NFI[Plastic Bucket])</f>
        <v>0</v>
      </c>
      <c r="AH520" s="294">
        <f>IF(NFI_Expiration=1,IF($A520&lt;VLOOKUP(Q$5,NFI,5,0),1,0)*Table_NFI[[#This Row],[Plastic Mat]],Table_NFI[Plastic Mat])*IF(Table_NFI[[#This Row],[Distribution Date]]&gt;"2014-04-01",1,2.5)</f>
        <v>0</v>
      </c>
      <c r="AI520" s="294">
        <f>IF(NFI_Expiration=1,IF($A520&lt;VLOOKUP(R$5,NFI,5,0),1,0)*Table_NFI[[#This Row],[Winter Clothes Adult]],Table_NFI[Winter Clothes Adult])</f>
        <v>0</v>
      </c>
      <c r="AJ520" s="294">
        <f>IF(NFI_Expiration=1,IF($A520&lt;VLOOKUP(S$5,NFI,5,0),1,0)*Table_NFI[[#This Row],[Winter Clothes Children]],Table_NFI[Winter Clothes Children])</f>
        <v>0</v>
      </c>
      <c r="AK520" s="294">
        <f>IF(NFI_Expiration=1,IF($A520&lt;VLOOKUP(T$5,NFI,5,0),1,0)*Table_NFI[[#This Row],[Winter Items Other]],Table_NFI[Winter Items Other])</f>
        <v>0</v>
      </c>
      <c r="AL520" s="294">
        <f>IF(NFI_Expiration=1,IF($A520&lt;VLOOKUP(M$5,NFI,5,0),1,0)*Table_NFI[[#This Row],[Winter Blanket]],Table_NFI[[#This Row],[Winter Blanket]])</f>
        <v>0</v>
      </c>
      <c r="AM520" s="294">
        <f>IF(Table_NFI[[#This Row],[Winter Clothes Adult]]+Table_NFI[[#This Row],[Winter Clothes Children]]+Table_NFI[[#This Row],[Winter Items Other]]+Table_NFI[[#This Row],[Winter Blanket]]&gt;0,1,0)</f>
        <v>0</v>
      </c>
      <c r="AN520" s="331">
        <f>IF(NFI_Expiration=1,IF($A520&lt;VLOOKUP(V$5,NFI,5,0),1,0)*Table_NFI[[#This Row],[Jerry Can]],Table_NFI[Jerry Can])</f>
        <v>0</v>
      </c>
      <c r="AO520" s="331">
        <f>IF(NFI_Expiration=1,IF($A520&lt;VLOOKUP(V$5,NFI,5,0),1,0)*Table_NFI[[#This Row],[Shelter Tool kit]],Table_NFI[Shelter Tool kit])</f>
        <v>0</v>
      </c>
      <c r="AP520" s="331">
        <f>IF(NFI_Expiration=1,IF($A520&lt;VLOOKUP(V$5,NFI,5,0),1,0)*Table_NFI[[#This Row],[Tent]],Table_NFI[Tent])</f>
        <v>0</v>
      </c>
      <c r="AQ520" s="473" t="str">
        <f>IFERROR(VLOOKUP(Table_NFI[[#This Row],[Camp Name]],CL,2,0),"")</f>
        <v>MMR001CMP070</v>
      </c>
      <c r="AR520" s="468">
        <f ca="1">IF(Table_NFI[[#This Row],[Pcode]]="","",IF(OFFSET(CampList[Opening Date],MATCH(Table_NFI[[#This Row],[Pcode]],CampList[CP_Pcode],0)-1,0,1,1)&gt;=NFI_Monitor_Date,1,0))</f>
        <v>0</v>
      </c>
      <c r="AS520" s="473" t="str">
        <f>IFERROR(VLOOKUP(Table_NFI[[#This Row],[Camp Name]],CL,3,0),"")</f>
        <v>Open</v>
      </c>
      <c r="AT520" s="294" t="str">
        <f ca="1">IF(Table_NFI[[#This Row],[Pcode]]="","",OFFSET(CampList[Priority],MATCH(Table_NFI[[#This Row],[Pcode]],CampList[CP_Pcode],0)-1,0,1,1))</f>
        <v>P3</v>
      </c>
      <c r="AU520" s="293">
        <f>IFERROR(Table_NFI[[#This Row],[Kitchen Set]]/VLOOKUP(Table_NFI[[#This Row],[Camp Name]],CL,4,0),"")</f>
        <v>0</v>
      </c>
      <c r="AV520" s="466" t="s">
        <v>1092</v>
      </c>
      <c r="AW520" s="469"/>
    </row>
    <row r="521" spans="1:49" s="470" customFormat="1" ht="14.45" customHeight="1" x14ac:dyDescent="0.25">
      <c r="A521" s="297">
        <f t="shared" si="8"/>
        <v>35.56666666666667</v>
      </c>
      <c r="B521" s="465">
        <v>41608</v>
      </c>
      <c r="C521" s="466" t="s">
        <v>905</v>
      </c>
      <c r="D521" s="466" t="s">
        <v>1002</v>
      </c>
      <c r="E521" s="466" t="s">
        <v>380</v>
      </c>
      <c r="F521" s="290" t="s">
        <v>151</v>
      </c>
      <c r="G521" s="290" t="s">
        <v>158</v>
      </c>
      <c r="H521" s="291"/>
      <c r="I521" s="291"/>
      <c r="J521" s="291"/>
      <c r="K521" s="291"/>
      <c r="L521" s="292"/>
      <c r="M521" s="292"/>
      <c r="N521" s="292"/>
      <c r="O521" s="292"/>
      <c r="P521" s="294"/>
      <c r="Q521" s="294"/>
      <c r="R521" s="294"/>
      <c r="S521" s="294"/>
      <c r="T521" s="294"/>
      <c r="U521" s="294"/>
      <c r="V521" s="431"/>
      <c r="W521" s="294"/>
      <c r="X521" s="294"/>
      <c r="Y521" s="294">
        <f>IF(NFI_Expiration=1,IF($A521&lt;VLOOKUP(H$5,NFI,5,0),1,0)*Table_NFI[[#This Row],[Hygiene Kit]],Table_NFI[Hygiene Kit])</f>
        <v>0</v>
      </c>
      <c r="Z521" s="294">
        <f>IF(NFI_Expiration=1,IF($A521&lt;VLOOKUP(I$5,NFI,5,0),1,0)*Table_NFI[[#This Row],[NFI Core Kit]],Table_NFI[NFI Core Kit])</f>
        <v>0</v>
      </c>
      <c r="AA521" s="294">
        <f>IF(NFI_Expiration=1,IF($A521&lt;VLOOKUP(J$5,NFI,5,0),1,0)*Table_NFI[[#This Row],[Sanitary Kit]],Table_NFI[Sanitary Kit])</f>
        <v>0</v>
      </c>
      <c r="AB521" s="294">
        <f>IF(NFI_Expiration=1,IF($A521&lt;VLOOKUP(K$5,NFI,5,0),1,0)*Table_NFI[[#This Row],[Mosquito net]],Table_NFI[Mosquito net])</f>
        <v>0</v>
      </c>
      <c r="AC521" s="294">
        <f>IF(NFI_Expiration=1,IF($A521&lt;VLOOKUP(L$5,NFI,5,0),1,0)*Table_NFI[[#This Row],[Tarpaulin]],Table_NFI[[#This Row],[Tarpaulin]])</f>
        <v>0</v>
      </c>
      <c r="AD521" s="294">
        <f>IF(NFI_Expiration=1,IF($A521&lt;VLOOKUP(M$5,NFI,5,0),1,0)*Table_NFI[[#This Row],[Blanket]],Table_NFI[[#This Row],[Blanket]])</f>
        <v>0</v>
      </c>
      <c r="AE521" s="294">
        <f>IF(NFI_Expiration=1,IF($A521&lt;VLOOKUP(N$5,NFI,5,0),1,0)*Table_NFI[[#This Row],[Kitchen Set]],Table_NFI[Kitchen Set])</f>
        <v>0</v>
      </c>
      <c r="AF521" s="294">
        <f>IF(NFI_Expiration=1,IF($A521&lt;VLOOKUP(O$5,NFI,5,0),1,0)*Table_NFI[[#This Row],[Clothes Kit]],Table_NFI[Clothes Kit])</f>
        <v>0</v>
      </c>
      <c r="AG521" s="294">
        <f>IF(NFI_Expiration=1,IF($A521&lt;VLOOKUP(P$5,NFI,5,0),1,0)*Table_NFI[[#This Row],[Plastic Bucket]],Table_NFI[Plastic Bucket])</f>
        <v>0</v>
      </c>
      <c r="AH521" s="294">
        <f>IF(NFI_Expiration=1,IF($A521&lt;VLOOKUP(Q$5,NFI,5,0),1,0)*Table_NFI[[#This Row],[Plastic Mat]],Table_NFI[Plastic Mat])*IF(Table_NFI[[#This Row],[Distribution Date]]&gt;"2014-04-01",1,2.5)</f>
        <v>0</v>
      </c>
      <c r="AI521" s="294">
        <f>IF(NFI_Expiration=1,IF($A521&lt;VLOOKUP(R$5,NFI,5,0),1,0)*Table_NFI[[#This Row],[Winter Clothes Adult]],Table_NFI[Winter Clothes Adult])</f>
        <v>0</v>
      </c>
      <c r="AJ521" s="294">
        <f>IF(NFI_Expiration=1,IF($A521&lt;VLOOKUP(S$5,NFI,5,0),1,0)*Table_NFI[[#This Row],[Winter Clothes Children]],Table_NFI[Winter Clothes Children])</f>
        <v>0</v>
      </c>
      <c r="AK521" s="294">
        <f>IF(NFI_Expiration=1,IF($A521&lt;VLOOKUP(T$5,NFI,5,0),1,0)*Table_NFI[[#This Row],[Winter Items Other]],Table_NFI[Winter Items Other])</f>
        <v>0</v>
      </c>
      <c r="AL521" s="294">
        <f>IF(NFI_Expiration=1,IF($A521&lt;VLOOKUP(M$5,NFI,5,0),1,0)*Table_NFI[[#This Row],[Winter Blanket]],Table_NFI[[#This Row],[Winter Blanket]])</f>
        <v>0</v>
      </c>
      <c r="AM521" s="294">
        <f>IF(Table_NFI[[#This Row],[Winter Clothes Adult]]+Table_NFI[[#This Row],[Winter Clothes Children]]+Table_NFI[[#This Row],[Winter Items Other]]+Table_NFI[[#This Row],[Winter Blanket]]&gt;0,1,0)</f>
        <v>0</v>
      </c>
      <c r="AN521" s="331">
        <f>IF(NFI_Expiration=1,IF($A521&lt;VLOOKUP(V$5,NFI,5,0),1,0)*Table_NFI[[#This Row],[Jerry Can]],Table_NFI[Jerry Can])</f>
        <v>0</v>
      </c>
      <c r="AO521" s="331">
        <f>IF(NFI_Expiration=1,IF($A521&lt;VLOOKUP(V$5,NFI,5,0),1,0)*Table_NFI[[#This Row],[Shelter Tool kit]],Table_NFI[Shelter Tool kit])</f>
        <v>0</v>
      </c>
      <c r="AP521" s="331">
        <f>IF(NFI_Expiration=1,IF($A521&lt;VLOOKUP(V$5,NFI,5,0),1,0)*Table_NFI[[#This Row],[Tent]],Table_NFI[Tent])</f>
        <v>0</v>
      </c>
      <c r="AQ521" s="473" t="str">
        <f>IFERROR(VLOOKUP(Table_NFI[[#This Row],[Camp Name]],CL,2,0),"")</f>
        <v>MMR001CMP135</v>
      </c>
      <c r="AR521" s="468">
        <f ca="1">IF(Table_NFI[[#This Row],[Pcode]]="","",IF(OFFSET(CampList[Opening Date],MATCH(Table_NFI[[#This Row],[Pcode]],CampList[CP_Pcode],0)-1,0,1,1)&gt;=NFI_Monitor_Date,1,0))</f>
        <v>0</v>
      </c>
      <c r="AS521" s="473" t="str">
        <f>IFERROR(VLOOKUP(Table_NFI[[#This Row],[Camp Name]],CL,3,0),"")</f>
        <v>Closed</v>
      </c>
      <c r="AT521" s="294" t="str">
        <f ca="1">IF(Table_NFI[[#This Row],[Pcode]]="","",OFFSET(CampList[Priority],MATCH(Table_NFI[[#This Row],[Pcode]],CampList[CP_Pcode],0)-1,0,1,1))</f>
        <v>P2</v>
      </c>
      <c r="AU521" s="293" t="str">
        <f>IFERROR(Table_NFI[[#This Row],[Kitchen Set]]/VLOOKUP(Table_NFI[[#This Row],[Camp Name]],CL,4,0),"")</f>
        <v/>
      </c>
      <c r="AV521" s="466" t="s">
        <v>1092</v>
      </c>
      <c r="AW521" s="469"/>
    </row>
    <row r="522" spans="1:49" s="470" customFormat="1" ht="14.45" customHeight="1" x14ac:dyDescent="0.25">
      <c r="A522" s="297">
        <f t="shared" si="8"/>
        <v>35.56666666666667</v>
      </c>
      <c r="B522" s="465">
        <v>41608</v>
      </c>
      <c r="C522" s="466" t="s">
        <v>905</v>
      </c>
      <c r="D522" s="466" t="s">
        <v>460</v>
      </c>
      <c r="E522" s="466" t="s">
        <v>380</v>
      </c>
      <c r="F522" s="290" t="s">
        <v>310</v>
      </c>
      <c r="G522" s="290" t="s">
        <v>320</v>
      </c>
      <c r="H522" s="291"/>
      <c r="I522" s="291"/>
      <c r="J522" s="291"/>
      <c r="K522" s="291"/>
      <c r="L522" s="292"/>
      <c r="M522" s="292"/>
      <c r="N522" s="292"/>
      <c r="O522" s="292"/>
      <c r="P522" s="294"/>
      <c r="Q522" s="294"/>
      <c r="R522" s="294"/>
      <c r="S522" s="294"/>
      <c r="T522" s="294"/>
      <c r="U522" s="294"/>
      <c r="V522" s="431"/>
      <c r="W522" s="294"/>
      <c r="X522" s="294"/>
      <c r="Y522" s="294">
        <f>IF(NFI_Expiration=1,IF($A522&lt;VLOOKUP(H$5,NFI,5,0),1,0)*Table_NFI[[#This Row],[Hygiene Kit]],Table_NFI[Hygiene Kit])</f>
        <v>0</v>
      </c>
      <c r="Z522" s="294">
        <f>IF(NFI_Expiration=1,IF($A522&lt;VLOOKUP(I$5,NFI,5,0),1,0)*Table_NFI[[#This Row],[NFI Core Kit]],Table_NFI[NFI Core Kit])</f>
        <v>0</v>
      </c>
      <c r="AA522" s="294">
        <f>IF(NFI_Expiration=1,IF($A522&lt;VLOOKUP(J$5,NFI,5,0),1,0)*Table_NFI[[#This Row],[Sanitary Kit]],Table_NFI[Sanitary Kit])</f>
        <v>0</v>
      </c>
      <c r="AB522" s="294">
        <f>IF(NFI_Expiration=1,IF($A522&lt;VLOOKUP(K$5,NFI,5,0),1,0)*Table_NFI[[#This Row],[Mosquito net]],Table_NFI[Mosquito net])</f>
        <v>0</v>
      </c>
      <c r="AC522" s="294">
        <f>IF(NFI_Expiration=1,IF($A522&lt;VLOOKUP(L$5,NFI,5,0),1,0)*Table_NFI[[#This Row],[Tarpaulin]],Table_NFI[[#This Row],[Tarpaulin]])</f>
        <v>0</v>
      </c>
      <c r="AD522" s="294">
        <f>IF(NFI_Expiration=1,IF($A522&lt;VLOOKUP(M$5,NFI,5,0),1,0)*Table_NFI[[#This Row],[Blanket]],Table_NFI[[#This Row],[Blanket]])</f>
        <v>0</v>
      </c>
      <c r="AE522" s="294">
        <f>IF(NFI_Expiration=1,IF($A522&lt;VLOOKUP(N$5,NFI,5,0),1,0)*Table_NFI[[#This Row],[Kitchen Set]],Table_NFI[Kitchen Set])</f>
        <v>0</v>
      </c>
      <c r="AF522" s="294">
        <f>IF(NFI_Expiration=1,IF($A522&lt;VLOOKUP(O$5,NFI,5,0),1,0)*Table_NFI[[#This Row],[Clothes Kit]],Table_NFI[Clothes Kit])</f>
        <v>0</v>
      </c>
      <c r="AG522" s="294">
        <f>IF(NFI_Expiration=1,IF($A522&lt;VLOOKUP(P$5,NFI,5,0),1,0)*Table_NFI[[#This Row],[Plastic Bucket]],Table_NFI[Plastic Bucket])</f>
        <v>0</v>
      </c>
      <c r="AH522" s="294">
        <f>IF(NFI_Expiration=1,IF($A522&lt;VLOOKUP(Q$5,NFI,5,0),1,0)*Table_NFI[[#This Row],[Plastic Mat]],Table_NFI[Plastic Mat])*IF(Table_NFI[[#This Row],[Distribution Date]]&gt;"2014-04-01",1,2.5)</f>
        <v>0</v>
      </c>
      <c r="AI522" s="294">
        <f>IF(NFI_Expiration=1,IF($A522&lt;VLOOKUP(R$5,NFI,5,0),1,0)*Table_NFI[[#This Row],[Winter Clothes Adult]],Table_NFI[Winter Clothes Adult])</f>
        <v>0</v>
      </c>
      <c r="AJ522" s="294">
        <f>IF(NFI_Expiration=1,IF($A522&lt;VLOOKUP(S$5,NFI,5,0),1,0)*Table_NFI[[#This Row],[Winter Clothes Children]],Table_NFI[Winter Clothes Children])</f>
        <v>0</v>
      </c>
      <c r="AK522" s="294">
        <f>IF(NFI_Expiration=1,IF($A522&lt;VLOOKUP(T$5,NFI,5,0),1,0)*Table_NFI[[#This Row],[Winter Items Other]],Table_NFI[Winter Items Other])</f>
        <v>0</v>
      </c>
      <c r="AL522" s="294">
        <f>IF(NFI_Expiration=1,IF($A522&lt;VLOOKUP(M$5,NFI,5,0),1,0)*Table_NFI[[#This Row],[Winter Blanket]],Table_NFI[[#This Row],[Winter Blanket]])</f>
        <v>0</v>
      </c>
      <c r="AM522" s="294">
        <f>IF(Table_NFI[[#This Row],[Winter Clothes Adult]]+Table_NFI[[#This Row],[Winter Clothes Children]]+Table_NFI[[#This Row],[Winter Items Other]]+Table_NFI[[#This Row],[Winter Blanket]]&gt;0,1,0)</f>
        <v>0</v>
      </c>
      <c r="AN522" s="331">
        <f>IF(NFI_Expiration=1,IF($A522&lt;VLOOKUP(V$5,NFI,5,0),1,0)*Table_NFI[[#This Row],[Jerry Can]],Table_NFI[Jerry Can])</f>
        <v>0</v>
      </c>
      <c r="AO522" s="331">
        <f>IF(NFI_Expiration=1,IF($A522&lt;VLOOKUP(V$5,NFI,5,0),1,0)*Table_NFI[[#This Row],[Shelter Tool kit]],Table_NFI[Shelter Tool kit])</f>
        <v>0</v>
      </c>
      <c r="AP522" s="331">
        <f>IF(NFI_Expiration=1,IF($A522&lt;VLOOKUP(V$5,NFI,5,0),1,0)*Table_NFI[[#This Row],[Tent]],Table_NFI[Tent])</f>
        <v>0</v>
      </c>
      <c r="AQ522" s="473" t="str">
        <f>IFERROR(VLOOKUP(Table_NFI[[#This Row],[Camp Name]],CL,2,0),"")</f>
        <v>MMR001CMP027</v>
      </c>
      <c r="AR522" s="468">
        <f ca="1">IF(Table_NFI[[#This Row],[Pcode]]="","",IF(OFFSET(CampList[Opening Date],MATCH(Table_NFI[[#This Row],[Pcode]],CampList[CP_Pcode],0)-1,0,1,1)&gt;=NFI_Monitor_Date,1,0))</f>
        <v>0</v>
      </c>
      <c r="AS522" s="473" t="str">
        <f>IFERROR(VLOOKUP(Table_NFI[[#This Row],[Camp Name]],CL,3,0),"")</f>
        <v>Open</v>
      </c>
      <c r="AT522" s="294" t="str">
        <f ca="1">IF(Table_NFI[[#This Row],[Pcode]]="","",OFFSET(CampList[Priority],MATCH(Table_NFI[[#This Row],[Pcode]],CampList[CP_Pcode],0)-1,0,1,1))</f>
        <v>P4</v>
      </c>
      <c r="AU522" s="293">
        <f>IFERROR(Table_NFI[[#This Row],[Kitchen Set]]/VLOOKUP(Table_NFI[[#This Row],[Camp Name]],CL,4,0),"")</f>
        <v>0</v>
      </c>
      <c r="AV522" s="466" t="s">
        <v>1092</v>
      </c>
      <c r="AW522" s="469"/>
    </row>
    <row r="523" spans="1:49" s="470" customFormat="1" ht="14.45" customHeight="1" x14ac:dyDescent="0.25">
      <c r="A523" s="297">
        <f t="shared" si="8"/>
        <v>35.56666666666667</v>
      </c>
      <c r="B523" s="465">
        <v>41608</v>
      </c>
      <c r="C523" s="466" t="s">
        <v>905</v>
      </c>
      <c r="D523" s="466" t="s">
        <v>460</v>
      </c>
      <c r="E523" s="466" t="s">
        <v>380</v>
      </c>
      <c r="F523" s="290" t="s">
        <v>310</v>
      </c>
      <c r="G523" s="290" t="s">
        <v>322</v>
      </c>
      <c r="H523" s="291"/>
      <c r="I523" s="291"/>
      <c r="J523" s="291"/>
      <c r="K523" s="291"/>
      <c r="L523" s="292"/>
      <c r="M523" s="292"/>
      <c r="N523" s="292"/>
      <c r="O523" s="292"/>
      <c r="P523" s="294"/>
      <c r="Q523" s="294"/>
      <c r="R523" s="294"/>
      <c r="S523" s="294"/>
      <c r="T523" s="294"/>
      <c r="U523" s="294"/>
      <c r="V523" s="431"/>
      <c r="W523" s="294"/>
      <c r="X523" s="294"/>
      <c r="Y523" s="294">
        <f>IF(NFI_Expiration=1,IF($A523&lt;VLOOKUP(H$5,NFI,5,0),1,0)*Table_NFI[[#This Row],[Hygiene Kit]],Table_NFI[Hygiene Kit])</f>
        <v>0</v>
      </c>
      <c r="Z523" s="294">
        <f>IF(NFI_Expiration=1,IF($A523&lt;VLOOKUP(I$5,NFI,5,0),1,0)*Table_NFI[[#This Row],[NFI Core Kit]],Table_NFI[NFI Core Kit])</f>
        <v>0</v>
      </c>
      <c r="AA523" s="294">
        <f>IF(NFI_Expiration=1,IF($A523&lt;VLOOKUP(J$5,NFI,5,0),1,0)*Table_NFI[[#This Row],[Sanitary Kit]],Table_NFI[Sanitary Kit])</f>
        <v>0</v>
      </c>
      <c r="AB523" s="294">
        <f>IF(NFI_Expiration=1,IF($A523&lt;VLOOKUP(K$5,NFI,5,0),1,0)*Table_NFI[[#This Row],[Mosquito net]],Table_NFI[Mosquito net])</f>
        <v>0</v>
      </c>
      <c r="AC523" s="294">
        <f>IF(NFI_Expiration=1,IF($A523&lt;VLOOKUP(L$5,NFI,5,0),1,0)*Table_NFI[[#This Row],[Tarpaulin]],Table_NFI[[#This Row],[Tarpaulin]])</f>
        <v>0</v>
      </c>
      <c r="AD523" s="294">
        <f>IF(NFI_Expiration=1,IF($A523&lt;VLOOKUP(M$5,NFI,5,0),1,0)*Table_NFI[[#This Row],[Blanket]],Table_NFI[[#This Row],[Blanket]])</f>
        <v>0</v>
      </c>
      <c r="AE523" s="294">
        <f>IF(NFI_Expiration=1,IF($A523&lt;VLOOKUP(N$5,NFI,5,0),1,0)*Table_NFI[[#This Row],[Kitchen Set]],Table_NFI[Kitchen Set])</f>
        <v>0</v>
      </c>
      <c r="AF523" s="294">
        <f>IF(NFI_Expiration=1,IF($A523&lt;VLOOKUP(O$5,NFI,5,0),1,0)*Table_NFI[[#This Row],[Clothes Kit]],Table_NFI[Clothes Kit])</f>
        <v>0</v>
      </c>
      <c r="AG523" s="294">
        <f>IF(NFI_Expiration=1,IF($A523&lt;VLOOKUP(P$5,NFI,5,0),1,0)*Table_NFI[[#This Row],[Plastic Bucket]],Table_NFI[Plastic Bucket])</f>
        <v>0</v>
      </c>
      <c r="AH523" s="294">
        <f>IF(NFI_Expiration=1,IF($A523&lt;VLOOKUP(Q$5,NFI,5,0),1,0)*Table_NFI[[#This Row],[Plastic Mat]],Table_NFI[Plastic Mat])*IF(Table_NFI[[#This Row],[Distribution Date]]&gt;"2014-04-01",1,2.5)</f>
        <v>0</v>
      </c>
      <c r="AI523" s="294">
        <f>IF(NFI_Expiration=1,IF($A523&lt;VLOOKUP(R$5,NFI,5,0),1,0)*Table_NFI[[#This Row],[Winter Clothes Adult]],Table_NFI[Winter Clothes Adult])</f>
        <v>0</v>
      </c>
      <c r="AJ523" s="294">
        <f>IF(NFI_Expiration=1,IF($A523&lt;VLOOKUP(S$5,NFI,5,0),1,0)*Table_NFI[[#This Row],[Winter Clothes Children]],Table_NFI[Winter Clothes Children])</f>
        <v>0</v>
      </c>
      <c r="AK523" s="294">
        <f>IF(NFI_Expiration=1,IF($A523&lt;VLOOKUP(T$5,NFI,5,0),1,0)*Table_NFI[[#This Row],[Winter Items Other]],Table_NFI[Winter Items Other])</f>
        <v>0</v>
      </c>
      <c r="AL523" s="294">
        <f>IF(NFI_Expiration=1,IF($A523&lt;VLOOKUP(M$5,NFI,5,0),1,0)*Table_NFI[[#This Row],[Winter Blanket]],Table_NFI[[#This Row],[Winter Blanket]])</f>
        <v>0</v>
      </c>
      <c r="AM523" s="294">
        <f>IF(Table_NFI[[#This Row],[Winter Clothes Adult]]+Table_NFI[[#This Row],[Winter Clothes Children]]+Table_NFI[[#This Row],[Winter Items Other]]+Table_NFI[[#This Row],[Winter Blanket]]&gt;0,1,0)</f>
        <v>0</v>
      </c>
      <c r="AN523" s="331">
        <f>IF(NFI_Expiration=1,IF($A523&lt;VLOOKUP(V$5,NFI,5,0),1,0)*Table_NFI[[#This Row],[Jerry Can]],Table_NFI[Jerry Can])</f>
        <v>0</v>
      </c>
      <c r="AO523" s="331">
        <f>IF(NFI_Expiration=1,IF($A523&lt;VLOOKUP(V$5,NFI,5,0),1,0)*Table_NFI[[#This Row],[Shelter Tool kit]],Table_NFI[Shelter Tool kit])</f>
        <v>0</v>
      </c>
      <c r="AP523" s="331">
        <f>IF(NFI_Expiration=1,IF($A523&lt;VLOOKUP(V$5,NFI,5,0),1,0)*Table_NFI[[#This Row],[Tent]],Table_NFI[Tent])</f>
        <v>0</v>
      </c>
      <c r="AQ523" s="473" t="str">
        <f>IFERROR(VLOOKUP(Table_NFI[[#This Row],[Camp Name]],CL,2,0),"")</f>
        <v>MMR001CMP119</v>
      </c>
      <c r="AR523" s="468">
        <f ca="1">IF(Table_NFI[[#This Row],[Pcode]]="","",IF(OFFSET(CampList[Opening Date],MATCH(Table_NFI[[#This Row],[Pcode]],CampList[CP_Pcode],0)-1,0,1,1)&gt;=NFI_Monitor_Date,1,0))</f>
        <v>0</v>
      </c>
      <c r="AS523" s="473" t="str">
        <f>IFERROR(VLOOKUP(Table_NFI[[#This Row],[Camp Name]],CL,3,0),"")</f>
        <v>Open</v>
      </c>
      <c r="AT523" s="294" t="str">
        <f ca="1">IF(Table_NFI[[#This Row],[Pcode]]="","",OFFSET(CampList[Priority],MATCH(Table_NFI[[#This Row],[Pcode]],CampList[CP_Pcode],0)-1,0,1,1))</f>
        <v>P2</v>
      </c>
      <c r="AU523" s="293">
        <f>IFERROR(Table_NFI[[#This Row],[Kitchen Set]]/VLOOKUP(Table_NFI[[#This Row],[Camp Name]],CL,4,0),"")</f>
        <v>0</v>
      </c>
      <c r="AV523" s="466" t="s">
        <v>1092</v>
      </c>
      <c r="AW523" s="469"/>
    </row>
    <row r="524" spans="1:49" s="470" customFormat="1" ht="14.45" customHeight="1" x14ac:dyDescent="0.25">
      <c r="A524" s="297">
        <f t="shared" si="8"/>
        <v>35.56666666666667</v>
      </c>
      <c r="B524" s="465">
        <v>41608</v>
      </c>
      <c r="C524" s="466" t="s">
        <v>905</v>
      </c>
      <c r="D524" s="467" t="s">
        <v>460</v>
      </c>
      <c r="E524" s="466" t="s">
        <v>380</v>
      </c>
      <c r="F524" s="466" t="s">
        <v>310</v>
      </c>
      <c r="G524" s="290" t="s">
        <v>328</v>
      </c>
      <c r="H524" s="291"/>
      <c r="I524" s="291"/>
      <c r="J524" s="291"/>
      <c r="K524" s="291"/>
      <c r="L524" s="292"/>
      <c r="M524" s="292"/>
      <c r="N524" s="292"/>
      <c r="O524" s="292"/>
      <c r="P524" s="294"/>
      <c r="Q524" s="294"/>
      <c r="R524" s="294"/>
      <c r="S524" s="294"/>
      <c r="T524" s="294"/>
      <c r="U524" s="294"/>
      <c r="V524" s="431"/>
      <c r="W524" s="294"/>
      <c r="X524" s="294"/>
      <c r="Y524" s="294">
        <f>IF(NFI_Expiration=1,IF($A524&lt;VLOOKUP(H$5,NFI,5,0),1,0)*Table_NFI[[#This Row],[Hygiene Kit]],Table_NFI[Hygiene Kit])</f>
        <v>0</v>
      </c>
      <c r="Z524" s="294">
        <f>IF(NFI_Expiration=1,IF($A524&lt;VLOOKUP(I$5,NFI,5,0),1,0)*Table_NFI[[#This Row],[NFI Core Kit]],Table_NFI[NFI Core Kit])</f>
        <v>0</v>
      </c>
      <c r="AA524" s="294">
        <f>IF(NFI_Expiration=1,IF($A524&lt;VLOOKUP(J$5,NFI,5,0),1,0)*Table_NFI[[#This Row],[Sanitary Kit]],Table_NFI[Sanitary Kit])</f>
        <v>0</v>
      </c>
      <c r="AB524" s="294">
        <f>IF(NFI_Expiration=1,IF($A524&lt;VLOOKUP(K$5,NFI,5,0),1,0)*Table_NFI[[#This Row],[Mosquito net]],Table_NFI[Mosquito net])</f>
        <v>0</v>
      </c>
      <c r="AC524" s="294">
        <f>IF(NFI_Expiration=1,IF($A524&lt;VLOOKUP(L$5,NFI,5,0),1,0)*Table_NFI[[#This Row],[Tarpaulin]],Table_NFI[[#This Row],[Tarpaulin]])</f>
        <v>0</v>
      </c>
      <c r="AD524" s="294">
        <f>IF(NFI_Expiration=1,IF($A524&lt;VLOOKUP(M$5,NFI,5,0),1,0)*Table_NFI[[#This Row],[Blanket]],Table_NFI[[#This Row],[Blanket]])</f>
        <v>0</v>
      </c>
      <c r="AE524" s="294">
        <f>IF(NFI_Expiration=1,IF($A524&lt;VLOOKUP(N$5,NFI,5,0),1,0)*Table_NFI[[#This Row],[Kitchen Set]],Table_NFI[Kitchen Set])</f>
        <v>0</v>
      </c>
      <c r="AF524" s="294">
        <f>IF(NFI_Expiration=1,IF($A524&lt;VLOOKUP(O$5,NFI,5,0),1,0)*Table_NFI[[#This Row],[Clothes Kit]],Table_NFI[Clothes Kit])</f>
        <v>0</v>
      </c>
      <c r="AG524" s="294">
        <f>IF(NFI_Expiration=1,IF($A524&lt;VLOOKUP(P$5,NFI,5,0),1,0)*Table_NFI[[#This Row],[Plastic Bucket]],Table_NFI[Plastic Bucket])</f>
        <v>0</v>
      </c>
      <c r="AH524" s="294">
        <f>IF(NFI_Expiration=1,IF($A524&lt;VLOOKUP(Q$5,NFI,5,0),1,0)*Table_NFI[[#This Row],[Plastic Mat]],Table_NFI[Plastic Mat])*IF(Table_NFI[[#This Row],[Distribution Date]]&gt;"2014-04-01",1,2.5)</f>
        <v>0</v>
      </c>
      <c r="AI524" s="294">
        <f>IF(NFI_Expiration=1,IF($A524&lt;VLOOKUP(R$5,NFI,5,0),1,0)*Table_NFI[[#This Row],[Winter Clothes Adult]],Table_NFI[Winter Clothes Adult])</f>
        <v>0</v>
      </c>
      <c r="AJ524" s="294">
        <f>IF(NFI_Expiration=1,IF($A524&lt;VLOOKUP(S$5,NFI,5,0),1,0)*Table_NFI[[#This Row],[Winter Clothes Children]],Table_NFI[Winter Clothes Children])</f>
        <v>0</v>
      </c>
      <c r="AK524" s="294">
        <f>IF(NFI_Expiration=1,IF($A524&lt;VLOOKUP(T$5,NFI,5,0),1,0)*Table_NFI[[#This Row],[Winter Items Other]],Table_NFI[Winter Items Other])</f>
        <v>0</v>
      </c>
      <c r="AL524" s="294">
        <f>IF(NFI_Expiration=1,IF($A524&lt;VLOOKUP(M$5,NFI,5,0),1,0)*Table_NFI[[#This Row],[Winter Blanket]],Table_NFI[[#This Row],[Winter Blanket]])</f>
        <v>0</v>
      </c>
      <c r="AM524" s="294">
        <f>IF(Table_NFI[[#This Row],[Winter Clothes Adult]]+Table_NFI[[#This Row],[Winter Clothes Children]]+Table_NFI[[#This Row],[Winter Items Other]]+Table_NFI[[#This Row],[Winter Blanket]]&gt;0,1,0)</f>
        <v>0</v>
      </c>
      <c r="AN524" s="331">
        <f>IF(NFI_Expiration=1,IF($A524&lt;VLOOKUP(V$5,NFI,5,0),1,0)*Table_NFI[[#This Row],[Jerry Can]],Table_NFI[Jerry Can])</f>
        <v>0</v>
      </c>
      <c r="AO524" s="331">
        <f>IF(NFI_Expiration=1,IF($A524&lt;VLOOKUP(V$5,NFI,5,0),1,0)*Table_NFI[[#This Row],[Shelter Tool kit]],Table_NFI[Shelter Tool kit])</f>
        <v>0</v>
      </c>
      <c r="AP524" s="331">
        <f>IF(NFI_Expiration=1,IF($A524&lt;VLOOKUP(V$5,NFI,5,0),1,0)*Table_NFI[[#This Row],[Tent]],Table_NFI[Tent])</f>
        <v>0</v>
      </c>
      <c r="AQ524" s="473" t="str">
        <f>IFERROR(VLOOKUP(Table_NFI[[#This Row],[Camp Name]],CL,2,0),"")</f>
        <v>MMR001CMP031</v>
      </c>
      <c r="AR524" s="468">
        <f ca="1">IF(Table_NFI[[#This Row],[Pcode]]="","",IF(OFFSET(CampList[Opening Date],MATCH(Table_NFI[[#This Row],[Pcode]],CampList[CP_Pcode],0)-1,0,1,1)&gt;=NFI_Monitor_Date,1,0))</f>
        <v>0</v>
      </c>
      <c r="AS524" s="473" t="str">
        <f>IFERROR(VLOOKUP(Table_NFI[[#This Row],[Camp Name]],CL,3,0),"")</f>
        <v>Open</v>
      </c>
      <c r="AT524" s="294" t="str">
        <f ca="1">IF(Table_NFI[[#This Row],[Pcode]]="","",OFFSET(CampList[Priority],MATCH(Table_NFI[[#This Row],[Pcode]],CampList[CP_Pcode],0)-1,0,1,1))</f>
        <v>P4</v>
      </c>
      <c r="AU524" s="293">
        <f>IFERROR(Table_NFI[[#This Row],[Kitchen Set]]/VLOOKUP(Table_NFI[[#This Row],[Camp Name]],CL,4,0),"")</f>
        <v>0</v>
      </c>
      <c r="AV524" s="466" t="s">
        <v>1092</v>
      </c>
      <c r="AW524" s="469"/>
    </row>
    <row r="525" spans="1:49" s="470" customFormat="1" ht="14.45" customHeight="1" x14ac:dyDescent="0.25">
      <c r="A525" s="297">
        <f t="shared" si="8"/>
        <v>35.56666666666667</v>
      </c>
      <c r="B525" s="465">
        <v>41608</v>
      </c>
      <c r="C525" s="466" t="s">
        <v>905</v>
      </c>
      <c r="D525" s="467" t="s">
        <v>460</v>
      </c>
      <c r="E525" s="466" t="s">
        <v>380</v>
      </c>
      <c r="F525" s="290" t="s">
        <v>310</v>
      </c>
      <c r="G525" s="290" t="s">
        <v>324</v>
      </c>
      <c r="H525" s="291"/>
      <c r="I525" s="291"/>
      <c r="J525" s="291"/>
      <c r="K525" s="291"/>
      <c r="L525" s="292"/>
      <c r="M525" s="292"/>
      <c r="N525" s="292"/>
      <c r="O525" s="292"/>
      <c r="P525" s="294"/>
      <c r="Q525" s="294"/>
      <c r="R525" s="294"/>
      <c r="S525" s="294"/>
      <c r="T525" s="294"/>
      <c r="U525" s="294"/>
      <c r="V525" s="431"/>
      <c r="W525" s="294"/>
      <c r="X525" s="294"/>
      <c r="Y525" s="294">
        <f>IF(NFI_Expiration=1,IF($A525&lt;VLOOKUP(H$5,NFI,5,0),1,0)*Table_NFI[[#This Row],[Hygiene Kit]],Table_NFI[Hygiene Kit])</f>
        <v>0</v>
      </c>
      <c r="Z525" s="294">
        <f>IF(NFI_Expiration=1,IF($A525&lt;VLOOKUP(I$5,NFI,5,0),1,0)*Table_NFI[[#This Row],[NFI Core Kit]],Table_NFI[NFI Core Kit])</f>
        <v>0</v>
      </c>
      <c r="AA525" s="294">
        <f>IF(NFI_Expiration=1,IF($A525&lt;VLOOKUP(J$5,NFI,5,0),1,0)*Table_NFI[[#This Row],[Sanitary Kit]],Table_NFI[Sanitary Kit])</f>
        <v>0</v>
      </c>
      <c r="AB525" s="294">
        <f>IF(NFI_Expiration=1,IF($A525&lt;VLOOKUP(K$5,NFI,5,0),1,0)*Table_NFI[[#This Row],[Mosquito net]],Table_NFI[Mosquito net])</f>
        <v>0</v>
      </c>
      <c r="AC525" s="294">
        <f>IF(NFI_Expiration=1,IF($A525&lt;VLOOKUP(L$5,NFI,5,0),1,0)*Table_NFI[[#This Row],[Tarpaulin]],Table_NFI[[#This Row],[Tarpaulin]])</f>
        <v>0</v>
      </c>
      <c r="AD525" s="294">
        <f>IF(NFI_Expiration=1,IF($A525&lt;VLOOKUP(M$5,NFI,5,0),1,0)*Table_NFI[[#This Row],[Blanket]],Table_NFI[[#This Row],[Blanket]])</f>
        <v>0</v>
      </c>
      <c r="AE525" s="294">
        <f>IF(NFI_Expiration=1,IF($A525&lt;VLOOKUP(N$5,NFI,5,0),1,0)*Table_NFI[[#This Row],[Kitchen Set]],Table_NFI[Kitchen Set])</f>
        <v>0</v>
      </c>
      <c r="AF525" s="294">
        <f>IF(NFI_Expiration=1,IF($A525&lt;VLOOKUP(O$5,NFI,5,0),1,0)*Table_NFI[[#This Row],[Clothes Kit]],Table_NFI[Clothes Kit])</f>
        <v>0</v>
      </c>
      <c r="AG525" s="294">
        <f>IF(NFI_Expiration=1,IF($A525&lt;VLOOKUP(P$5,NFI,5,0),1,0)*Table_NFI[[#This Row],[Plastic Bucket]],Table_NFI[Plastic Bucket])</f>
        <v>0</v>
      </c>
      <c r="AH525" s="294">
        <f>IF(NFI_Expiration=1,IF($A525&lt;VLOOKUP(Q$5,NFI,5,0),1,0)*Table_NFI[[#This Row],[Plastic Mat]],Table_NFI[Plastic Mat])*IF(Table_NFI[[#This Row],[Distribution Date]]&gt;"2014-04-01",1,2.5)</f>
        <v>0</v>
      </c>
      <c r="AI525" s="294">
        <f>IF(NFI_Expiration=1,IF($A525&lt;VLOOKUP(R$5,NFI,5,0),1,0)*Table_NFI[[#This Row],[Winter Clothes Adult]],Table_NFI[Winter Clothes Adult])</f>
        <v>0</v>
      </c>
      <c r="AJ525" s="294">
        <f>IF(NFI_Expiration=1,IF($A525&lt;VLOOKUP(S$5,NFI,5,0),1,0)*Table_NFI[[#This Row],[Winter Clothes Children]],Table_NFI[Winter Clothes Children])</f>
        <v>0</v>
      </c>
      <c r="AK525" s="294">
        <f>IF(NFI_Expiration=1,IF($A525&lt;VLOOKUP(T$5,NFI,5,0),1,0)*Table_NFI[[#This Row],[Winter Items Other]],Table_NFI[Winter Items Other])</f>
        <v>0</v>
      </c>
      <c r="AL525" s="294">
        <f>IF(NFI_Expiration=1,IF($A525&lt;VLOOKUP(M$5,NFI,5,0),1,0)*Table_NFI[[#This Row],[Winter Blanket]],Table_NFI[[#This Row],[Winter Blanket]])</f>
        <v>0</v>
      </c>
      <c r="AM525" s="294">
        <f>IF(Table_NFI[[#This Row],[Winter Clothes Adult]]+Table_NFI[[#This Row],[Winter Clothes Children]]+Table_NFI[[#This Row],[Winter Items Other]]+Table_NFI[[#This Row],[Winter Blanket]]&gt;0,1,0)</f>
        <v>0</v>
      </c>
      <c r="AN525" s="331">
        <f>IF(NFI_Expiration=1,IF($A525&lt;VLOOKUP(V$5,NFI,5,0),1,0)*Table_NFI[[#This Row],[Jerry Can]],Table_NFI[Jerry Can])</f>
        <v>0</v>
      </c>
      <c r="AO525" s="331">
        <f>IF(NFI_Expiration=1,IF($A525&lt;VLOOKUP(V$5,NFI,5,0),1,0)*Table_NFI[[#This Row],[Shelter Tool kit]],Table_NFI[Shelter Tool kit])</f>
        <v>0</v>
      </c>
      <c r="AP525" s="331">
        <f>IF(NFI_Expiration=1,IF($A525&lt;VLOOKUP(V$5,NFI,5,0),1,0)*Table_NFI[[#This Row],[Tent]],Table_NFI[Tent])</f>
        <v>0</v>
      </c>
      <c r="AQ525" s="473" t="str">
        <f>IFERROR(VLOOKUP(Table_NFI[[#This Row],[Camp Name]],CL,2,0),"")</f>
        <v>MMR001CMP040</v>
      </c>
      <c r="AR525" s="468">
        <f ca="1">IF(Table_NFI[[#This Row],[Pcode]]="","",IF(OFFSET(CampList[Opening Date],MATCH(Table_NFI[[#This Row],[Pcode]],CampList[CP_Pcode],0)-1,0,1,1)&gt;=NFI_Monitor_Date,1,0))</f>
        <v>0</v>
      </c>
      <c r="AS525" s="473" t="str">
        <f>IFERROR(VLOOKUP(Table_NFI[[#This Row],[Camp Name]],CL,3,0),"")</f>
        <v>Open</v>
      </c>
      <c r="AT525" s="294" t="str">
        <f ca="1">IF(Table_NFI[[#This Row],[Pcode]]="","",OFFSET(CampList[Priority],MATCH(Table_NFI[[#This Row],[Pcode]],CampList[CP_Pcode],0)-1,0,1,1))</f>
        <v>P4</v>
      </c>
      <c r="AU525" s="293">
        <f>IFERROR(Table_NFI[[#This Row],[Kitchen Set]]/VLOOKUP(Table_NFI[[#This Row],[Camp Name]],CL,4,0),"")</f>
        <v>0</v>
      </c>
      <c r="AV525" s="466" t="s">
        <v>1092</v>
      </c>
      <c r="AW525" s="469"/>
    </row>
    <row r="526" spans="1:49" s="470" customFormat="1" ht="14.45" customHeight="1" x14ac:dyDescent="0.25">
      <c r="A526" s="297">
        <f t="shared" si="8"/>
        <v>35.56666666666667</v>
      </c>
      <c r="B526" s="465">
        <v>41608</v>
      </c>
      <c r="C526" s="466" t="s">
        <v>905</v>
      </c>
      <c r="D526" s="467" t="s">
        <v>460</v>
      </c>
      <c r="E526" s="466" t="s">
        <v>380</v>
      </c>
      <c r="F526" s="290" t="s">
        <v>310</v>
      </c>
      <c r="G526" s="290" t="s">
        <v>326</v>
      </c>
      <c r="H526" s="291"/>
      <c r="I526" s="291"/>
      <c r="J526" s="291"/>
      <c r="K526" s="291"/>
      <c r="L526" s="292"/>
      <c r="M526" s="292"/>
      <c r="N526" s="292"/>
      <c r="O526" s="292"/>
      <c r="P526" s="294"/>
      <c r="Q526" s="294"/>
      <c r="R526" s="294"/>
      <c r="S526" s="294"/>
      <c r="T526" s="294"/>
      <c r="U526" s="294"/>
      <c r="V526" s="431"/>
      <c r="W526" s="294"/>
      <c r="X526" s="294"/>
      <c r="Y526" s="294">
        <f>IF(NFI_Expiration=1,IF($A526&lt;VLOOKUP(H$5,NFI,5,0),1,0)*Table_NFI[[#This Row],[Hygiene Kit]],Table_NFI[Hygiene Kit])</f>
        <v>0</v>
      </c>
      <c r="Z526" s="294">
        <f>IF(NFI_Expiration=1,IF($A526&lt;VLOOKUP(I$5,NFI,5,0),1,0)*Table_NFI[[#This Row],[NFI Core Kit]],Table_NFI[NFI Core Kit])</f>
        <v>0</v>
      </c>
      <c r="AA526" s="294">
        <f>IF(NFI_Expiration=1,IF($A526&lt;VLOOKUP(J$5,NFI,5,0),1,0)*Table_NFI[[#This Row],[Sanitary Kit]],Table_NFI[Sanitary Kit])</f>
        <v>0</v>
      </c>
      <c r="AB526" s="294">
        <f>IF(NFI_Expiration=1,IF($A526&lt;VLOOKUP(K$5,NFI,5,0),1,0)*Table_NFI[[#This Row],[Mosquito net]],Table_NFI[Mosquito net])</f>
        <v>0</v>
      </c>
      <c r="AC526" s="294">
        <f>IF(NFI_Expiration=1,IF($A526&lt;VLOOKUP(L$5,NFI,5,0),1,0)*Table_NFI[[#This Row],[Tarpaulin]],Table_NFI[[#This Row],[Tarpaulin]])</f>
        <v>0</v>
      </c>
      <c r="AD526" s="294">
        <f>IF(NFI_Expiration=1,IF($A526&lt;VLOOKUP(M$5,NFI,5,0),1,0)*Table_NFI[[#This Row],[Blanket]],Table_NFI[[#This Row],[Blanket]])</f>
        <v>0</v>
      </c>
      <c r="AE526" s="294">
        <f>IF(NFI_Expiration=1,IF($A526&lt;VLOOKUP(N$5,NFI,5,0),1,0)*Table_NFI[[#This Row],[Kitchen Set]],Table_NFI[Kitchen Set])</f>
        <v>0</v>
      </c>
      <c r="AF526" s="294">
        <f>IF(NFI_Expiration=1,IF($A526&lt;VLOOKUP(O$5,NFI,5,0),1,0)*Table_NFI[[#This Row],[Clothes Kit]],Table_NFI[Clothes Kit])</f>
        <v>0</v>
      </c>
      <c r="AG526" s="294">
        <f>IF(NFI_Expiration=1,IF($A526&lt;VLOOKUP(P$5,NFI,5,0),1,0)*Table_NFI[[#This Row],[Plastic Bucket]],Table_NFI[Plastic Bucket])</f>
        <v>0</v>
      </c>
      <c r="AH526" s="294">
        <f>IF(NFI_Expiration=1,IF($A526&lt;VLOOKUP(Q$5,NFI,5,0),1,0)*Table_NFI[[#This Row],[Plastic Mat]],Table_NFI[Plastic Mat])*IF(Table_NFI[[#This Row],[Distribution Date]]&gt;"2014-04-01",1,2.5)</f>
        <v>0</v>
      </c>
      <c r="AI526" s="294">
        <f>IF(NFI_Expiration=1,IF($A526&lt;VLOOKUP(R$5,NFI,5,0),1,0)*Table_NFI[[#This Row],[Winter Clothes Adult]],Table_NFI[Winter Clothes Adult])</f>
        <v>0</v>
      </c>
      <c r="AJ526" s="294">
        <f>IF(NFI_Expiration=1,IF($A526&lt;VLOOKUP(S$5,NFI,5,0),1,0)*Table_NFI[[#This Row],[Winter Clothes Children]],Table_NFI[Winter Clothes Children])</f>
        <v>0</v>
      </c>
      <c r="AK526" s="294">
        <f>IF(NFI_Expiration=1,IF($A526&lt;VLOOKUP(T$5,NFI,5,0),1,0)*Table_NFI[[#This Row],[Winter Items Other]],Table_NFI[Winter Items Other])</f>
        <v>0</v>
      </c>
      <c r="AL526" s="294">
        <f>IF(NFI_Expiration=1,IF($A526&lt;VLOOKUP(M$5,NFI,5,0),1,0)*Table_NFI[[#This Row],[Winter Blanket]],Table_NFI[[#This Row],[Winter Blanket]])</f>
        <v>0</v>
      </c>
      <c r="AM526" s="294">
        <f>IF(Table_NFI[[#This Row],[Winter Clothes Adult]]+Table_NFI[[#This Row],[Winter Clothes Children]]+Table_NFI[[#This Row],[Winter Items Other]]+Table_NFI[[#This Row],[Winter Blanket]]&gt;0,1,0)</f>
        <v>0</v>
      </c>
      <c r="AN526" s="331">
        <f>IF(NFI_Expiration=1,IF($A526&lt;VLOOKUP(V$5,NFI,5,0),1,0)*Table_NFI[[#This Row],[Jerry Can]],Table_NFI[Jerry Can])</f>
        <v>0</v>
      </c>
      <c r="AO526" s="331">
        <f>IF(NFI_Expiration=1,IF($A526&lt;VLOOKUP(V$5,NFI,5,0),1,0)*Table_NFI[[#This Row],[Shelter Tool kit]],Table_NFI[Shelter Tool kit])</f>
        <v>0</v>
      </c>
      <c r="AP526" s="331">
        <f>IF(NFI_Expiration=1,IF($A526&lt;VLOOKUP(V$5,NFI,5,0),1,0)*Table_NFI[[#This Row],[Tent]],Table_NFI[Tent])</f>
        <v>0</v>
      </c>
      <c r="AQ526" s="473" t="str">
        <f>IFERROR(VLOOKUP(Table_NFI[[#This Row],[Camp Name]],CL,2,0),"")</f>
        <v>MMR001CMP039</v>
      </c>
      <c r="AR526" s="468">
        <f ca="1">IF(Table_NFI[[#This Row],[Pcode]]="","",IF(OFFSET(CampList[Opening Date],MATCH(Table_NFI[[#This Row],[Pcode]],CampList[CP_Pcode],0)-1,0,1,1)&gt;=NFI_Monitor_Date,1,0))</f>
        <v>0</v>
      </c>
      <c r="AS526" s="473" t="str">
        <f>IFERROR(VLOOKUP(Table_NFI[[#This Row],[Camp Name]],CL,3,0),"")</f>
        <v>Open</v>
      </c>
      <c r="AT526" s="294" t="str">
        <f ca="1">IF(Table_NFI[[#This Row],[Pcode]]="","",OFFSET(CampList[Priority],MATCH(Table_NFI[[#This Row],[Pcode]],CampList[CP_Pcode],0)-1,0,1,1))</f>
        <v>P4</v>
      </c>
      <c r="AU526" s="293">
        <f>IFERROR(Table_NFI[[#This Row],[Kitchen Set]]/VLOOKUP(Table_NFI[[#This Row],[Camp Name]],CL,4,0),"")</f>
        <v>0</v>
      </c>
      <c r="AV526" s="466" t="s">
        <v>1092</v>
      </c>
      <c r="AW526" s="469"/>
    </row>
    <row r="527" spans="1:49" s="470" customFormat="1" ht="14.45" customHeight="1" x14ac:dyDescent="0.25">
      <c r="A527" s="297">
        <f t="shared" si="8"/>
        <v>35.56666666666667</v>
      </c>
      <c r="B527" s="465">
        <v>41608</v>
      </c>
      <c r="C527" s="466" t="s">
        <v>905</v>
      </c>
      <c r="D527" s="466"/>
      <c r="E527" s="466" t="s">
        <v>380</v>
      </c>
      <c r="F527" s="290" t="s">
        <v>185</v>
      </c>
      <c r="G527" s="290" t="s">
        <v>202</v>
      </c>
      <c r="H527" s="291"/>
      <c r="I527" s="291"/>
      <c r="J527" s="291"/>
      <c r="K527" s="291"/>
      <c r="L527" s="292"/>
      <c r="M527" s="292"/>
      <c r="N527" s="292"/>
      <c r="O527" s="292"/>
      <c r="P527" s="294"/>
      <c r="Q527" s="294">
        <v>141</v>
      </c>
      <c r="R527" s="294"/>
      <c r="S527" s="294"/>
      <c r="T527" s="294"/>
      <c r="U527" s="294"/>
      <c r="V527" s="431"/>
      <c r="W527" s="294"/>
      <c r="X527" s="294"/>
      <c r="Y527" s="294">
        <f>IF(NFI_Expiration=1,IF($A527&lt;VLOOKUP(H$5,NFI,5,0),1,0)*Table_NFI[[#This Row],[Hygiene Kit]],Table_NFI[Hygiene Kit])</f>
        <v>0</v>
      </c>
      <c r="Z527" s="294">
        <f>IF(NFI_Expiration=1,IF($A527&lt;VLOOKUP(I$5,NFI,5,0),1,0)*Table_NFI[[#This Row],[NFI Core Kit]],Table_NFI[NFI Core Kit])</f>
        <v>0</v>
      </c>
      <c r="AA527" s="294">
        <f>IF(NFI_Expiration=1,IF($A527&lt;VLOOKUP(J$5,NFI,5,0),1,0)*Table_NFI[[#This Row],[Sanitary Kit]],Table_NFI[Sanitary Kit])</f>
        <v>0</v>
      </c>
      <c r="AB527" s="294">
        <f>IF(NFI_Expiration=1,IF($A527&lt;VLOOKUP(K$5,NFI,5,0),1,0)*Table_NFI[[#This Row],[Mosquito net]],Table_NFI[Mosquito net])</f>
        <v>0</v>
      </c>
      <c r="AC527" s="294">
        <f>IF(NFI_Expiration=1,IF($A527&lt;VLOOKUP(L$5,NFI,5,0),1,0)*Table_NFI[[#This Row],[Tarpaulin]],Table_NFI[[#This Row],[Tarpaulin]])</f>
        <v>0</v>
      </c>
      <c r="AD527" s="294">
        <f>IF(NFI_Expiration=1,IF($A527&lt;VLOOKUP(M$5,NFI,5,0),1,0)*Table_NFI[[#This Row],[Blanket]],Table_NFI[[#This Row],[Blanket]])</f>
        <v>0</v>
      </c>
      <c r="AE527" s="294">
        <f>IF(NFI_Expiration=1,IF($A527&lt;VLOOKUP(N$5,NFI,5,0),1,0)*Table_NFI[[#This Row],[Kitchen Set]],Table_NFI[Kitchen Set])</f>
        <v>0</v>
      </c>
      <c r="AF527" s="294">
        <f>IF(NFI_Expiration=1,IF($A527&lt;VLOOKUP(O$5,NFI,5,0),1,0)*Table_NFI[[#This Row],[Clothes Kit]],Table_NFI[Clothes Kit])</f>
        <v>0</v>
      </c>
      <c r="AG527" s="294">
        <f>IF(NFI_Expiration=1,IF($A527&lt;VLOOKUP(P$5,NFI,5,0),1,0)*Table_NFI[[#This Row],[Plastic Bucket]],Table_NFI[Plastic Bucket])</f>
        <v>0</v>
      </c>
      <c r="AH527" s="294">
        <f>IF(NFI_Expiration=1,IF($A527&lt;VLOOKUP(Q$5,NFI,5,0),1,0)*Table_NFI[[#This Row],[Plastic Mat]],Table_NFI[Plastic Mat])*IF(Table_NFI[[#This Row],[Distribution Date]]&gt;"2014-04-01",1,2.5)</f>
        <v>0</v>
      </c>
      <c r="AI527" s="294">
        <f>IF(NFI_Expiration=1,IF($A527&lt;VLOOKUP(R$5,NFI,5,0),1,0)*Table_NFI[[#This Row],[Winter Clothes Adult]],Table_NFI[Winter Clothes Adult])</f>
        <v>0</v>
      </c>
      <c r="AJ527" s="294">
        <f>IF(NFI_Expiration=1,IF($A527&lt;VLOOKUP(S$5,NFI,5,0),1,0)*Table_NFI[[#This Row],[Winter Clothes Children]],Table_NFI[Winter Clothes Children])</f>
        <v>0</v>
      </c>
      <c r="AK527" s="294">
        <f>IF(NFI_Expiration=1,IF($A527&lt;VLOOKUP(T$5,NFI,5,0),1,0)*Table_NFI[[#This Row],[Winter Items Other]],Table_NFI[Winter Items Other])</f>
        <v>0</v>
      </c>
      <c r="AL527" s="294">
        <f>IF(NFI_Expiration=1,IF($A527&lt;VLOOKUP(M$5,NFI,5,0),1,0)*Table_NFI[[#This Row],[Winter Blanket]],Table_NFI[[#This Row],[Winter Blanket]])</f>
        <v>0</v>
      </c>
      <c r="AM527" s="294">
        <f>IF(Table_NFI[[#This Row],[Winter Clothes Adult]]+Table_NFI[[#This Row],[Winter Clothes Children]]+Table_NFI[[#This Row],[Winter Items Other]]+Table_NFI[[#This Row],[Winter Blanket]]&gt;0,1,0)</f>
        <v>0</v>
      </c>
      <c r="AN527" s="331">
        <f>IF(NFI_Expiration=1,IF($A527&lt;VLOOKUP(V$5,NFI,5,0),1,0)*Table_NFI[[#This Row],[Jerry Can]],Table_NFI[Jerry Can])</f>
        <v>0</v>
      </c>
      <c r="AO527" s="331">
        <f>IF(NFI_Expiration=1,IF($A527&lt;VLOOKUP(V$5,NFI,5,0),1,0)*Table_NFI[[#This Row],[Shelter Tool kit]],Table_NFI[Shelter Tool kit])</f>
        <v>0</v>
      </c>
      <c r="AP527" s="331">
        <f>IF(NFI_Expiration=1,IF($A527&lt;VLOOKUP(V$5,NFI,5,0),1,0)*Table_NFI[[#This Row],[Tent]],Table_NFI[Tent])</f>
        <v>0</v>
      </c>
      <c r="AQ527" s="473" t="str">
        <f>IFERROR(VLOOKUP(Table_NFI[[#This Row],[Camp Name]],CL,2,0),"")</f>
        <v>MMR001CMP062</v>
      </c>
      <c r="AR527" s="468">
        <f ca="1">IF(Table_NFI[[#This Row],[Pcode]]="","",IF(OFFSET(CampList[Opening Date],MATCH(Table_NFI[[#This Row],[Pcode]],CampList[CP_Pcode],0)-1,0,1,1)&gt;=NFI_Monitor_Date,1,0))</f>
        <v>0</v>
      </c>
      <c r="AS527" s="473" t="str">
        <f>IFERROR(VLOOKUP(Table_NFI[[#This Row],[Camp Name]],CL,3,0),"")</f>
        <v>Open</v>
      </c>
      <c r="AT527" s="294" t="str">
        <f ca="1">IF(Table_NFI[[#This Row],[Pcode]]="","",OFFSET(CampList[Priority],MATCH(Table_NFI[[#This Row],[Pcode]],CampList[CP_Pcode],0)-1,0,1,1))</f>
        <v>P4</v>
      </c>
      <c r="AU527" s="293">
        <f>IFERROR(Table_NFI[[#This Row],[Kitchen Set]]/VLOOKUP(Table_NFI[[#This Row],[Camp Name]],CL,4,0),"")</f>
        <v>0</v>
      </c>
      <c r="AV527" s="466" t="s">
        <v>1092</v>
      </c>
      <c r="AW527" s="469"/>
    </row>
    <row r="528" spans="1:49" s="470" customFormat="1" x14ac:dyDescent="0.25">
      <c r="A528" s="297">
        <f t="shared" si="8"/>
        <v>35.56666666666667</v>
      </c>
      <c r="B528" s="465">
        <v>41608</v>
      </c>
      <c r="C528" s="466" t="s">
        <v>1097</v>
      </c>
      <c r="D528" s="467" t="s">
        <v>944</v>
      </c>
      <c r="E528" s="466" t="s">
        <v>380</v>
      </c>
      <c r="F528" s="466" t="s">
        <v>151</v>
      </c>
      <c r="G528" s="290" t="s">
        <v>160</v>
      </c>
      <c r="H528" s="291"/>
      <c r="I528" s="291"/>
      <c r="J528" s="291"/>
      <c r="K528" s="291"/>
      <c r="L528" s="292"/>
      <c r="M528" s="292">
        <v>347</v>
      </c>
      <c r="N528" s="292"/>
      <c r="O528" s="292"/>
      <c r="P528" s="294"/>
      <c r="Q528" s="294"/>
      <c r="R528" s="294">
        <v>386</v>
      </c>
      <c r="S528" s="294">
        <v>234</v>
      </c>
      <c r="T528" s="294">
        <v>0</v>
      </c>
      <c r="U528" s="294"/>
      <c r="V528" s="431"/>
      <c r="W528" s="294"/>
      <c r="X528" s="294"/>
      <c r="Y528" s="294">
        <f>IF(NFI_Expiration=1,IF($A528&lt;VLOOKUP(H$5,NFI,5,0),1,0)*Table_NFI[[#This Row],[Hygiene Kit]],Table_NFI[Hygiene Kit])</f>
        <v>0</v>
      </c>
      <c r="Z528" s="294">
        <f>IF(NFI_Expiration=1,IF($A528&lt;VLOOKUP(I$5,NFI,5,0),1,0)*Table_NFI[[#This Row],[NFI Core Kit]],Table_NFI[NFI Core Kit])</f>
        <v>0</v>
      </c>
      <c r="AA528" s="294">
        <f>IF(NFI_Expiration=1,IF($A528&lt;VLOOKUP(J$5,NFI,5,0),1,0)*Table_NFI[[#This Row],[Sanitary Kit]],Table_NFI[Sanitary Kit])</f>
        <v>0</v>
      </c>
      <c r="AB528" s="294">
        <f>IF(NFI_Expiration=1,IF($A528&lt;VLOOKUP(K$5,NFI,5,0),1,0)*Table_NFI[[#This Row],[Mosquito net]],Table_NFI[Mosquito net])</f>
        <v>0</v>
      </c>
      <c r="AC528" s="294">
        <f>IF(NFI_Expiration=1,IF($A528&lt;VLOOKUP(L$5,NFI,5,0),1,0)*Table_NFI[[#This Row],[Tarpaulin]],Table_NFI[[#This Row],[Tarpaulin]])</f>
        <v>0</v>
      </c>
      <c r="AD528" s="294">
        <f>IF(NFI_Expiration=1,IF($A528&lt;VLOOKUP(M$5,NFI,5,0),1,0)*Table_NFI[[#This Row],[Blanket]],Table_NFI[[#This Row],[Blanket]])</f>
        <v>0</v>
      </c>
      <c r="AE528" s="294">
        <f>IF(NFI_Expiration=1,IF($A528&lt;VLOOKUP(N$5,NFI,5,0),1,0)*Table_NFI[[#This Row],[Kitchen Set]],Table_NFI[Kitchen Set])</f>
        <v>0</v>
      </c>
      <c r="AF528" s="294">
        <f>IF(NFI_Expiration=1,IF($A528&lt;VLOOKUP(O$5,NFI,5,0),1,0)*Table_NFI[[#This Row],[Clothes Kit]],Table_NFI[Clothes Kit])</f>
        <v>0</v>
      </c>
      <c r="AG528" s="294">
        <f>IF(NFI_Expiration=1,IF($A528&lt;VLOOKUP(P$5,NFI,5,0),1,0)*Table_NFI[[#This Row],[Plastic Bucket]],Table_NFI[Plastic Bucket])</f>
        <v>0</v>
      </c>
      <c r="AH528" s="294">
        <f>IF(NFI_Expiration=1,IF($A528&lt;VLOOKUP(Q$5,NFI,5,0),1,0)*Table_NFI[[#This Row],[Plastic Mat]],Table_NFI[Plastic Mat])*IF(Table_NFI[[#This Row],[Distribution Date]]&gt;"2014-04-01",1,2.5)</f>
        <v>0</v>
      </c>
      <c r="AI528" s="294">
        <f>IF(NFI_Expiration=1,IF($A528&lt;VLOOKUP(R$5,NFI,5,0),1,0)*Table_NFI[[#This Row],[Winter Clothes Adult]],Table_NFI[Winter Clothes Adult])</f>
        <v>0</v>
      </c>
      <c r="AJ528" s="294">
        <f>IF(NFI_Expiration=1,IF($A528&lt;VLOOKUP(S$5,NFI,5,0),1,0)*Table_NFI[[#This Row],[Winter Clothes Children]],Table_NFI[Winter Clothes Children])</f>
        <v>0</v>
      </c>
      <c r="AK528" s="294">
        <f>IF(NFI_Expiration=1,IF($A528&lt;VLOOKUP(T$5,NFI,5,0),1,0)*Table_NFI[[#This Row],[Winter Items Other]],Table_NFI[Winter Items Other])</f>
        <v>0</v>
      </c>
      <c r="AL528" s="294">
        <f>IF(NFI_Expiration=1,IF($A528&lt;VLOOKUP(M$5,NFI,5,0),1,0)*Table_NFI[[#This Row],[Winter Blanket]],Table_NFI[[#This Row],[Winter Blanket]])</f>
        <v>0</v>
      </c>
      <c r="AM528" s="294">
        <f>IF(Table_NFI[[#This Row],[Winter Clothes Adult]]+Table_NFI[[#This Row],[Winter Clothes Children]]+Table_NFI[[#This Row],[Winter Items Other]]+Table_NFI[[#This Row],[Winter Blanket]]&gt;0,1,0)</f>
        <v>1</v>
      </c>
      <c r="AN528" s="331">
        <f>IF(NFI_Expiration=1,IF($A528&lt;VLOOKUP(V$5,NFI,5,0),1,0)*Table_NFI[[#This Row],[Jerry Can]],Table_NFI[Jerry Can])</f>
        <v>0</v>
      </c>
      <c r="AO528" s="331">
        <f>IF(NFI_Expiration=1,IF($A528&lt;VLOOKUP(V$5,NFI,5,0),1,0)*Table_NFI[[#This Row],[Shelter Tool kit]],Table_NFI[Shelter Tool kit])</f>
        <v>0</v>
      </c>
      <c r="AP528" s="331">
        <f>IF(NFI_Expiration=1,IF($A528&lt;VLOOKUP(V$5,NFI,5,0),1,0)*Table_NFI[[#This Row],[Tent]],Table_NFI[Tent])</f>
        <v>0</v>
      </c>
      <c r="AQ528" s="473" t="str">
        <f>IFERROR(VLOOKUP(Table_NFI[[#This Row],[Camp Name]],CL,2,0),"")</f>
        <v>MMR001CMP133</v>
      </c>
      <c r="AR528" s="468">
        <f ca="1">IF(Table_NFI[[#This Row],[Pcode]]="","",IF(OFFSET(CampList[Opening Date],MATCH(Table_NFI[[#This Row],[Pcode]],CampList[CP_Pcode],0)-1,0,1,1)&gt;=NFI_Monitor_Date,1,0))</f>
        <v>0</v>
      </c>
      <c r="AS528" s="473" t="str">
        <f>IFERROR(VLOOKUP(Table_NFI[[#This Row],[Camp Name]],CL,3,0),"")</f>
        <v>Open</v>
      </c>
      <c r="AT528" s="294" t="str">
        <f ca="1">IF(Table_NFI[[#This Row],[Pcode]]="","",OFFSET(CampList[Priority],MATCH(Table_NFI[[#This Row],[Pcode]],CampList[CP_Pcode],0)-1,0,1,1))</f>
        <v>P4</v>
      </c>
      <c r="AU528" s="293">
        <f>IFERROR(Table_NFI[[#This Row],[Kitchen Set]]/VLOOKUP(Table_NFI[[#This Row],[Camp Name]],CL,4,0),"")</f>
        <v>0</v>
      </c>
      <c r="AV528" s="466" t="s">
        <v>1092</v>
      </c>
      <c r="AW528" s="469"/>
    </row>
    <row r="529" spans="1:49" s="470" customFormat="1" x14ac:dyDescent="0.25">
      <c r="A529" s="297">
        <f t="shared" si="8"/>
        <v>35.56666666666667</v>
      </c>
      <c r="B529" s="465">
        <v>41608</v>
      </c>
      <c r="C529" s="466" t="s">
        <v>905</v>
      </c>
      <c r="D529" s="466"/>
      <c r="E529" s="466" t="s">
        <v>380</v>
      </c>
      <c r="F529" s="290" t="s">
        <v>151</v>
      </c>
      <c r="G529" s="290" t="s">
        <v>160</v>
      </c>
      <c r="H529" s="291"/>
      <c r="I529" s="291"/>
      <c r="J529" s="291"/>
      <c r="K529" s="291"/>
      <c r="L529" s="292"/>
      <c r="M529" s="292"/>
      <c r="N529" s="292"/>
      <c r="O529" s="292"/>
      <c r="P529" s="294"/>
      <c r="Q529" s="294">
        <v>444</v>
      </c>
      <c r="R529" s="294"/>
      <c r="S529" s="294"/>
      <c r="T529" s="294"/>
      <c r="U529" s="294"/>
      <c r="V529" s="431"/>
      <c r="W529" s="294"/>
      <c r="X529" s="294"/>
      <c r="Y529" s="294">
        <f>IF(NFI_Expiration=1,IF($A529&lt;VLOOKUP(H$5,NFI,5,0),1,0)*Table_NFI[[#This Row],[Hygiene Kit]],Table_NFI[Hygiene Kit])</f>
        <v>0</v>
      </c>
      <c r="Z529" s="294">
        <f>IF(NFI_Expiration=1,IF($A529&lt;VLOOKUP(I$5,NFI,5,0),1,0)*Table_NFI[[#This Row],[NFI Core Kit]],Table_NFI[NFI Core Kit])</f>
        <v>0</v>
      </c>
      <c r="AA529" s="294">
        <f>IF(NFI_Expiration=1,IF($A529&lt;VLOOKUP(J$5,NFI,5,0),1,0)*Table_NFI[[#This Row],[Sanitary Kit]],Table_NFI[Sanitary Kit])</f>
        <v>0</v>
      </c>
      <c r="AB529" s="294">
        <f>IF(NFI_Expiration=1,IF($A529&lt;VLOOKUP(K$5,NFI,5,0),1,0)*Table_NFI[[#This Row],[Mosquito net]],Table_NFI[Mosquito net])</f>
        <v>0</v>
      </c>
      <c r="AC529" s="294">
        <f>IF(NFI_Expiration=1,IF($A529&lt;VLOOKUP(L$5,NFI,5,0),1,0)*Table_NFI[[#This Row],[Tarpaulin]],Table_NFI[[#This Row],[Tarpaulin]])</f>
        <v>0</v>
      </c>
      <c r="AD529" s="294">
        <f>IF(NFI_Expiration=1,IF($A529&lt;VLOOKUP(M$5,NFI,5,0),1,0)*Table_NFI[[#This Row],[Blanket]],Table_NFI[[#This Row],[Blanket]])</f>
        <v>0</v>
      </c>
      <c r="AE529" s="294">
        <f>IF(NFI_Expiration=1,IF($A529&lt;VLOOKUP(N$5,NFI,5,0),1,0)*Table_NFI[[#This Row],[Kitchen Set]],Table_NFI[Kitchen Set])</f>
        <v>0</v>
      </c>
      <c r="AF529" s="294">
        <f>IF(NFI_Expiration=1,IF($A529&lt;VLOOKUP(O$5,NFI,5,0),1,0)*Table_NFI[[#This Row],[Clothes Kit]],Table_NFI[Clothes Kit])</f>
        <v>0</v>
      </c>
      <c r="AG529" s="294">
        <f>IF(NFI_Expiration=1,IF($A529&lt;VLOOKUP(P$5,NFI,5,0),1,0)*Table_NFI[[#This Row],[Plastic Bucket]],Table_NFI[Plastic Bucket])</f>
        <v>0</v>
      </c>
      <c r="AH529" s="294">
        <f>IF(NFI_Expiration=1,IF($A529&lt;VLOOKUP(Q$5,NFI,5,0),1,0)*Table_NFI[[#This Row],[Plastic Mat]],Table_NFI[Plastic Mat])*IF(Table_NFI[[#This Row],[Distribution Date]]&gt;"2014-04-01",1,2.5)</f>
        <v>0</v>
      </c>
      <c r="AI529" s="294">
        <f>IF(NFI_Expiration=1,IF($A529&lt;VLOOKUP(R$5,NFI,5,0),1,0)*Table_NFI[[#This Row],[Winter Clothes Adult]],Table_NFI[Winter Clothes Adult])</f>
        <v>0</v>
      </c>
      <c r="AJ529" s="294">
        <f>IF(NFI_Expiration=1,IF($A529&lt;VLOOKUP(S$5,NFI,5,0),1,0)*Table_NFI[[#This Row],[Winter Clothes Children]],Table_NFI[Winter Clothes Children])</f>
        <v>0</v>
      </c>
      <c r="AK529" s="294">
        <f>IF(NFI_Expiration=1,IF($A529&lt;VLOOKUP(T$5,NFI,5,0),1,0)*Table_NFI[[#This Row],[Winter Items Other]],Table_NFI[Winter Items Other])</f>
        <v>0</v>
      </c>
      <c r="AL529" s="294">
        <f>IF(NFI_Expiration=1,IF($A529&lt;VLOOKUP(M$5,NFI,5,0),1,0)*Table_NFI[[#This Row],[Winter Blanket]],Table_NFI[[#This Row],[Winter Blanket]])</f>
        <v>0</v>
      </c>
      <c r="AM529" s="294">
        <f>IF(Table_NFI[[#This Row],[Winter Clothes Adult]]+Table_NFI[[#This Row],[Winter Clothes Children]]+Table_NFI[[#This Row],[Winter Items Other]]+Table_NFI[[#This Row],[Winter Blanket]]&gt;0,1,0)</f>
        <v>0</v>
      </c>
      <c r="AN529" s="331">
        <f>IF(NFI_Expiration=1,IF($A529&lt;VLOOKUP(V$5,NFI,5,0),1,0)*Table_NFI[[#This Row],[Jerry Can]],Table_NFI[Jerry Can])</f>
        <v>0</v>
      </c>
      <c r="AO529" s="331">
        <f>IF(NFI_Expiration=1,IF($A529&lt;VLOOKUP(V$5,NFI,5,0),1,0)*Table_NFI[[#This Row],[Shelter Tool kit]],Table_NFI[Shelter Tool kit])</f>
        <v>0</v>
      </c>
      <c r="AP529" s="331">
        <f>IF(NFI_Expiration=1,IF($A529&lt;VLOOKUP(V$5,NFI,5,0),1,0)*Table_NFI[[#This Row],[Tent]],Table_NFI[Tent])</f>
        <v>0</v>
      </c>
      <c r="AQ529" s="473" t="str">
        <f>IFERROR(VLOOKUP(Table_NFI[[#This Row],[Camp Name]],CL,2,0),"")</f>
        <v>MMR001CMP133</v>
      </c>
      <c r="AR529" s="468">
        <f ca="1">IF(Table_NFI[[#This Row],[Pcode]]="","",IF(OFFSET(CampList[Opening Date],MATCH(Table_NFI[[#This Row],[Pcode]],CampList[CP_Pcode],0)-1,0,1,1)&gt;=NFI_Monitor_Date,1,0))</f>
        <v>0</v>
      </c>
      <c r="AS529" s="473" t="str">
        <f>IFERROR(VLOOKUP(Table_NFI[[#This Row],[Camp Name]],CL,3,0),"")</f>
        <v>Open</v>
      </c>
      <c r="AT529" s="294" t="str">
        <f ca="1">IF(Table_NFI[[#This Row],[Pcode]]="","",OFFSET(CampList[Priority],MATCH(Table_NFI[[#This Row],[Pcode]],CampList[CP_Pcode],0)-1,0,1,1))</f>
        <v>P4</v>
      </c>
      <c r="AU529" s="293">
        <f>IFERROR(Table_NFI[[#This Row],[Kitchen Set]]/VLOOKUP(Table_NFI[[#This Row],[Camp Name]],CL,4,0),"")</f>
        <v>0</v>
      </c>
      <c r="AV529" s="466" t="s">
        <v>1092</v>
      </c>
      <c r="AW529" s="469"/>
    </row>
    <row r="530" spans="1:49" s="470" customFormat="1" ht="14.45" customHeight="1" x14ac:dyDescent="0.25">
      <c r="A530" s="297">
        <f t="shared" si="8"/>
        <v>35.56666666666667</v>
      </c>
      <c r="B530" s="465">
        <v>41608</v>
      </c>
      <c r="C530" s="466" t="s">
        <v>1097</v>
      </c>
      <c r="D530" s="467" t="s">
        <v>944</v>
      </c>
      <c r="E530" s="466" t="s">
        <v>380</v>
      </c>
      <c r="F530" s="466" t="s">
        <v>151</v>
      </c>
      <c r="G530" s="290" t="s">
        <v>154</v>
      </c>
      <c r="H530" s="291"/>
      <c r="I530" s="291"/>
      <c r="J530" s="291"/>
      <c r="K530" s="291"/>
      <c r="L530" s="292"/>
      <c r="M530" s="292">
        <v>770</v>
      </c>
      <c r="N530" s="292"/>
      <c r="O530" s="292"/>
      <c r="P530" s="294"/>
      <c r="Q530" s="294"/>
      <c r="R530" s="294">
        <v>889</v>
      </c>
      <c r="S530" s="294">
        <v>492</v>
      </c>
      <c r="T530" s="294">
        <v>0</v>
      </c>
      <c r="U530" s="294"/>
      <c r="V530" s="431"/>
      <c r="W530" s="294"/>
      <c r="X530" s="294"/>
      <c r="Y530" s="294">
        <f>IF(NFI_Expiration=1,IF($A530&lt;VLOOKUP(H$5,NFI,5,0),1,0)*Table_NFI[[#This Row],[Hygiene Kit]],Table_NFI[Hygiene Kit])</f>
        <v>0</v>
      </c>
      <c r="Z530" s="294">
        <f>IF(NFI_Expiration=1,IF($A530&lt;VLOOKUP(I$5,NFI,5,0),1,0)*Table_NFI[[#This Row],[NFI Core Kit]],Table_NFI[NFI Core Kit])</f>
        <v>0</v>
      </c>
      <c r="AA530" s="294">
        <f>IF(NFI_Expiration=1,IF($A530&lt;VLOOKUP(J$5,NFI,5,0),1,0)*Table_NFI[[#This Row],[Sanitary Kit]],Table_NFI[Sanitary Kit])</f>
        <v>0</v>
      </c>
      <c r="AB530" s="294">
        <f>IF(NFI_Expiration=1,IF($A530&lt;VLOOKUP(K$5,NFI,5,0),1,0)*Table_NFI[[#This Row],[Mosquito net]],Table_NFI[Mosquito net])</f>
        <v>0</v>
      </c>
      <c r="AC530" s="294">
        <f>IF(NFI_Expiration=1,IF($A530&lt;VLOOKUP(L$5,NFI,5,0),1,0)*Table_NFI[[#This Row],[Tarpaulin]],Table_NFI[[#This Row],[Tarpaulin]])</f>
        <v>0</v>
      </c>
      <c r="AD530" s="294">
        <f>IF(NFI_Expiration=1,IF($A530&lt;VLOOKUP(M$5,NFI,5,0),1,0)*Table_NFI[[#This Row],[Blanket]],Table_NFI[[#This Row],[Blanket]])</f>
        <v>0</v>
      </c>
      <c r="AE530" s="294">
        <f>IF(NFI_Expiration=1,IF($A530&lt;VLOOKUP(N$5,NFI,5,0),1,0)*Table_NFI[[#This Row],[Kitchen Set]],Table_NFI[Kitchen Set])</f>
        <v>0</v>
      </c>
      <c r="AF530" s="294">
        <f>IF(NFI_Expiration=1,IF($A530&lt;VLOOKUP(O$5,NFI,5,0),1,0)*Table_NFI[[#This Row],[Clothes Kit]],Table_NFI[Clothes Kit])</f>
        <v>0</v>
      </c>
      <c r="AG530" s="294">
        <f>IF(NFI_Expiration=1,IF($A530&lt;VLOOKUP(P$5,NFI,5,0),1,0)*Table_NFI[[#This Row],[Plastic Bucket]],Table_NFI[Plastic Bucket])</f>
        <v>0</v>
      </c>
      <c r="AH530" s="294">
        <f>IF(NFI_Expiration=1,IF($A530&lt;VLOOKUP(Q$5,NFI,5,0),1,0)*Table_NFI[[#This Row],[Plastic Mat]],Table_NFI[Plastic Mat])*IF(Table_NFI[[#This Row],[Distribution Date]]&gt;"2014-04-01",1,2.5)</f>
        <v>0</v>
      </c>
      <c r="AI530" s="294">
        <f>IF(NFI_Expiration=1,IF($A530&lt;VLOOKUP(R$5,NFI,5,0),1,0)*Table_NFI[[#This Row],[Winter Clothes Adult]],Table_NFI[Winter Clothes Adult])</f>
        <v>0</v>
      </c>
      <c r="AJ530" s="294">
        <f>IF(NFI_Expiration=1,IF($A530&lt;VLOOKUP(S$5,NFI,5,0),1,0)*Table_NFI[[#This Row],[Winter Clothes Children]],Table_NFI[Winter Clothes Children])</f>
        <v>0</v>
      </c>
      <c r="AK530" s="294">
        <f>IF(NFI_Expiration=1,IF($A530&lt;VLOOKUP(T$5,NFI,5,0),1,0)*Table_NFI[[#This Row],[Winter Items Other]],Table_NFI[Winter Items Other])</f>
        <v>0</v>
      </c>
      <c r="AL530" s="294">
        <f>IF(NFI_Expiration=1,IF($A530&lt;VLOOKUP(M$5,NFI,5,0),1,0)*Table_NFI[[#This Row],[Winter Blanket]],Table_NFI[[#This Row],[Winter Blanket]])</f>
        <v>0</v>
      </c>
      <c r="AM530" s="294">
        <f>IF(Table_NFI[[#This Row],[Winter Clothes Adult]]+Table_NFI[[#This Row],[Winter Clothes Children]]+Table_NFI[[#This Row],[Winter Items Other]]+Table_NFI[[#This Row],[Winter Blanket]]&gt;0,1,0)</f>
        <v>1</v>
      </c>
      <c r="AN530" s="331">
        <f>IF(NFI_Expiration=1,IF($A530&lt;VLOOKUP(V$5,NFI,5,0),1,0)*Table_NFI[[#This Row],[Jerry Can]],Table_NFI[Jerry Can])</f>
        <v>0</v>
      </c>
      <c r="AO530" s="331">
        <f>IF(NFI_Expiration=1,IF($A530&lt;VLOOKUP(V$5,NFI,5,0),1,0)*Table_NFI[[#This Row],[Shelter Tool kit]],Table_NFI[Shelter Tool kit])</f>
        <v>0</v>
      </c>
      <c r="AP530" s="331">
        <f>IF(NFI_Expiration=1,IF($A530&lt;VLOOKUP(V$5,NFI,5,0),1,0)*Table_NFI[[#This Row],[Tent]],Table_NFI[Tent])</f>
        <v>0</v>
      </c>
      <c r="AQ530" s="473" t="str">
        <f>IFERROR(VLOOKUP(Table_NFI[[#This Row],[Camp Name]],CL,2,0),"")</f>
        <v>MMR001CMP132</v>
      </c>
      <c r="AR530" s="468">
        <f ca="1">IF(Table_NFI[[#This Row],[Pcode]]="","",IF(OFFSET(CampList[Opening Date],MATCH(Table_NFI[[#This Row],[Pcode]],CampList[CP_Pcode],0)-1,0,1,1)&gt;=NFI_Monitor_Date,1,0))</f>
        <v>0</v>
      </c>
      <c r="AS530" s="473" t="str">
        <f>IFERROR(VLOOKUP(Table_NFI[[#This Row],[Camp Name]],CL,3,0),"")</f>
        <v>Open</v>
      </c>
      <c r="AT530" s="294" t="str">
        <f ca="1">IF(Table_NFI[[#This Row],[Pcode]]="","",OFFSET(CampList[Priority],MATCH(Table_NFI[[#This Row],[Pcode]],CampList[CP_Pcode],0)-1,0,1,1))</f>
        <v>P4</v>
      </c>
      <c r="AU530" s="293">
        <f>IFERROR(Table_NFI[[#This Row],[Kitchen Set]]/VLOOKUP(Table_NFI[[#This Row],[Camp Name]],CL,4,0),"")</f>
        <v>0</v>
      </c>
      <c r="AV530" s="466" t="s">
        <v>1092</v>
      </c>
      <c r="AW530" s="469"/>
    </row>
    <row r="531" spans="1:49" s="470" customFormat="1" ht="14.45" customHeight="1" x14ac:dyDescent="0.25">
      <c r="A531" s="297">
        <f t="shared" si="8"/>
        <v>35.56666666666667</v>
      </c>
      <c r="B531" s="465">
        <v>41608</v>
      </c>
      <c r="C531" s="466" t="s">
        <v>905</v>
      </c>
      <c r="D531" s="466"/>
      <c r="E531" s="466" t="s">
        <v>380</v>
      </c>
      <c r="F531" s="290" t="s">
        <v>151</v>
      </c>
      <c r="G531" s="290" t="s">
        <v>154</v>
      </c>
      <c r="H531" s="291"/>
      <c r="I531" s="291"/>
      <c r="J531" s="291"/>
      <c r="K531" s="291"/>
      <c r="L531" s="292"/>
      <c r="M531" s="292"/>
      <c r="N531" s="292"/>
      <c r="O531" s="292"/>
      <c r="P531" s="294"/>
      <c r="Q531" s="294">
        <v>1080</v>
      </c>
      <c r="R531" s="294"/>
      <c r="S531" s="294"/>
      <c r="T531" s="294"/>
      <c r="U531" s="294"/>
      <c r="V531" s="431"/>
      <c r="W531" s="294"/>
      <c r="X531" s="294"/>
      <c r="Y531" s="294">
        <f>IF(NFI_Expiration=1,IF($A531&lt;VLOOKUP(H$5,NFI,5,0),1,0)*Table_NFI[[#This Row],[Hygiene Kit]],Table_NFI[Hygiene Kit])</f>
        <v>0</v>
      </c>
      <c r="Z531" s="294">
        <f>IF(NFI_Expiration=1,IF($A531&lt;VLOOKUP(I$5,NFI,5,0),1,0)*Table_NFI[[#This Row],[NFI Core Kit]],Table_NFI[NFI Core Kit])</f>
        <v>0</v>
      </c>
      <c r="AA531" s="294">
        <f>IF(NFI_Expiration=1,IF($A531&lt;VLOOKUP(J$5,NFI,5,0),1,0)*Table_NFI[[#This Row],[Sanitary Kit]],Table_NFI[Sanitary Kit])</f>
        <v>0</v>
      </c>
      <c r="AB531" s="294">
        <f>IF(NFI_Expiration=1,IF($A531&lt;VLOOKUP(K$5,NFI,5,0),1,0)*Table_NFI[[#This Row],[Mosquito net]],Table_NFI[Mosquito net])</f>
        <v>0</v>
      </c>
      <c r="AC531" s="294">
        <f>IF(NFI_Expiration=1,IF($A531&lt;VLOOKUP(L$5,NFI,5,0),1,0)*Table_NFI[[#This Row],[Tarpaulin]],Table_NFI[[#This Row],[Tarpaulin]])</f>
        <v>0</v>
      </c>
      <c r="AD531" s="294">
        <f>IF(NFI_Expiration=1,IF($A531&lt;VLOOKUP(M$5,NFI,5,0),1,0)*Table_NFI[[#This Row],[Blanket]],Table_NFI[[#This Row],[Blanket]])</f>
        <v>0</v>
      </c>
      <c r="AE531" s="294">
        <f>IF(NFI_Expiration=1,IF($A531&lt;VLOOKUP(N$5,NFI,5,0),1,0)*Table_NFI[[#This Row],[Kitchen Set]],Table_NFI[Kitchen Set])</f>
        <v>0</v>
      </c>
      <c r="AF531" s="294">
        <f>IF(NFI_Expiration=1,IF($A531&lt;VLOOKUP(O$5,NFI,5,0),1,0)*Table_NFI[[#This Row],[Clothes Kit]],Table_NFI[Clothes Kit])</f>
        <v>0</v>
      </c>
      <c r="AG531" s="294">
        <f>IF(NFI_Expiration=1,IF($A531&lt;VLOOKUP(P$5,NFI,5,0),1,0)*Table_NFI[[#This Row],[Plastic Bucket]],Table_NFI[Plastic Bucket])</f>
        <v>0</v>
      </c>
      <c r="AH531" s="294">
        <f>IF(NFI_Expiration=1,IF($A531&lt;VLOOKUP(Q$5,NFI,5,0),1,0)*Table_NFI[[#This Row],[Plastic Mat]],Table_NFI[Plastic Mat])*IF(Table_NFI[[#This Row],[Distribution Date]]&gt;"2014-04-01",1,2.5)</f>
        <v>0</v>
      </c>
      <c r="AI531" s="294">
        <f>IF(NFI_Expiration=1,IF($A531&lt;VLOOKUP(R$5,NFI,5,0),1,0)*Table_NFI[[#This Row],[Winter Clothes Adult]],Table_NFI[Winter Clothes Adult])</f>
        <v>0</v>
      </c>
      <c r="AJ531" s="294">
        <f>IF(NFI_Expiration=1,IF($A531&lt;VLOOKUP(S$5,NFI,5,0),1,0)*Table_NFI[[#This Row],[Winter Clothes Children]],Table_NFI[Winter Clothes Children])</f>
        <v>0</v>
      </c>
      <c r="AK531" s="294">
        <f>IF(NFI_Expiration=1,IF($A531&lt;VLOOKUP(T$5,NFI,5,0),1,0)*Table_NFI[[#This Row],[Winter Items Other]],Table_NFI[Winter Items Other])</f>
        <v>0</v>
      </c>
      <c r="AL531" s="294">
        <f>IF(NFI_Expiration=1,IF($A531&lt;VLOOKUP(M$5,NFI,5,0),1,0)*Table_NFI[[#This Row],[Winter Blanket]],Table_NFI[[#This Row],[Winter Blanket]])</f>
        <v>0</v>
      </c>
      <c r="AM531" s="294">
        <f>IF(Table_NFI[[#This Row],[Winter Clothes Adult]]+Table_NFI[[#This Row],[Winter Clothes Children]]+Table_NFI[[#This Row],[Winter Items Other]]+Table_NFI[[#This Row],[Winter Blanket]]&gt;0,1,0)</f>
        <v>0</v>
      </c>
      <c r="AN531" s="331">
        <f>IF(NFI_Expiration=1,IF($A531&lt;VLOOKUP(V$5,NFI,5,0),1,0)*Table_NFI[[#This Row],[Jerry Can]],Table_NFI[Jerry Can])</f>
        <v>0</v>
      </c>
      <c r="AO531" s="331">
        <f>IF(NFI_Expiration=1,IF($A531&lt;VLOOKUP(V$5,NFI,5,0),1,0)*Table_NFI[[#This Row],[Shelter Tool kit]],Table_NFI[Shelter Tool kit])</f>
        <v>0</v>
      </c>
      <c r="AP531" s="331">
        <f>IF(NFI_Expiration=1,IF($A531&lt;VLOOKUP(V$5,NFI,5,0),1,0)*Table_NFI[[#This Row],[Tent]],Table_NFI[Tent])</f>
        <v>0</v>
      </c>
      <c r="AQ531" s="473" t="str">
        <f>IFERROR(VLOOKUP(Table_NFI[[#This Row],[Camp Name]],CL,2,0),"")</f>
        <v>MMR001CMP132</v>
      </c>
      <c r="AR531" s="468">
        <f ca="1">IF(Table_NFI[[#This Row],[Pcode]]="","",IF(OFFSET(CampList[Opening Date],MATCH(Table_NFI[[#This Row],[Pcode]],CampList[CP_Pcode],0)-1,0,1,1)&gt;=NFI_Monitor_Date,1,0))</f>
        <v>0</v>
      </c>
      <c r="AS531" s="473" t="str">
        <f>IFERROR(VLOOKUP(Table_NFI[[#This Row],[Camp Name]],CL,3,0),"")</f>
        <v>Open</v>
      </c>
      <c r="AT531" s="294" t="str">
        <f ca="1">IF(Table_NFI[[#This Row],[Pcode]]="","",OFFSET(CampList[Priority],MATCH(Table_NFI[[#This Row],[Pcode]],CampList[CP_Pcode],0)-1,0,1,1))</f>
        <v>P4</v>
      </c>
      <c r="AU531" s="293">
        <f>IFERROR(Table_NFI[[#This Row],[Kitchen Set]]/VLOOKUP(Table_NFI[[#This Row],[Camp Name]],CL,4,0),"")</f>
        <v>0</v>
      </c>
      <c r="AV531" s="466" t="s">
        <v>1092</v>
      </c>
      <c r="AW531" s="469"/>
    </row>
    <row r="532" spans="1:49" s="470" customFormat="1" ht="14.45" customHeight="1" x14ac:dyDescent="0.25">
      <c r="A532" s="297">
        <f t="shared" si="8"/>
        <v>35.56666666666667</v>
      </c>
      <c r="B532" s="465">
        <v>41608</v>
      </c>
      <c r="C532" s="466" t="s">
        <v>905</v>
      </c>
      <c r="D532" s="466"/>
      <c r="E532" s="466" t="s">
        <v>380</v>
      </c>
      <c r="F532" s="290" t="s">
        <v>151</v>
      </c>
      <c r="G532" s="290" t="s">
        <v>152</v>
      </c>
      <c r="H532" s="291"/>
      <c r="I532" s="291"/>
      <c r="J532" s="291"/>
      <c r="K532" s="291"/>
      <c r="L532" s="292"/>
      <c r="M532" s="292"/>
      <c r="N532" s="292"/>
      <c r="O532" s="292"/>
      <c r="P532" s="294"/>
      <c r="Q532" s="294">
        <v>225</v>
      </c>
      <c r="R532" s="294"/>
      <c r="S532" s="294"/>
      <c r="T532" s="294"/>
      <c r="U532" s="294"/>
      <c r="V532" s="431"/>
      <c r="W532" s="294"/>
      <c r="X532" s="294"/>
      <c r="Y532" s="294">
        <f>IF(NFI_Expiration=1,IF($A532&lt;VLOOKUP(H$5,NFI,5,0),1,0)*Table_NFI[[#This Row],[Hygiene Kit]],Table_NFI[Hygiene Kit])</f>
        <v>0</v>
      </c>
      <c r="Z532" s="294">
        <f>IF(NFI_Expiration=1,IF($A532&lt;VLOOKUP(I$5,NFI,5,0),1,0)*Table_NFI[[#This Row],[NFI Core Kit]],Table_NFI[NFI Core Kit])</f>
        <v>0</v>
      </c>
      <c r="AA532" s="294">
        <f>IF(NFI_Expiration=1,IF($A532&lt;VLOOKUP(J$5,NFI,5,0),1,0)*Table_NFI[[#This Row],[Sanitary Kit]],Table_NFI[Sanitary Kit])</f>
        <v>0</v>
      </c>
      <c r="AB532" s="294">
        <f>IF(NFI_Expiration=1,IF($A532&lt;VLOOKUP(K$5,NFI,5,0),1,0)*Table_NFI[[#This Row],[Mosquito net]],Table_NFI[Mosquito net])</f>
        <v>0</v>
      </c>
      <c r="AC532" s="294">
        <f>IF(NFI_Expiration=1,IF($A532&lt;VLOOKUP(L$5,NFI,5,0),1,0)*Table_NFI[[#This Row],[Tarpaulin]],Table_NFI[[#This Row],[Tarpaulin]])</f>
        <v>0</v>
      </c>
      <c r="AD532" s="294">
        <f>IF(NFI_Expiration=1,IF($A532&lt;VLOOKUP(M$5,NFI,5,0),1,0)*Table_NFI[[#This Row],[Blanket]],Table_NFI[[#This Row],[Blanket]])</f>
        <v>0</v>
      </c>
      <c r="AE532" s="294">
        <f>IF(NFI_Expiration=1,IF($A532&lt;VLOOKUP(N$5,NFI,5,0),1,0)*Table_NFI[[#This Row],[Kitchen Set]],Table_NFI[Kitchen Set])</f>
        <v>0</v>
      </c>
      <c r="AF532" s="294">
        <f>IF(NFI_Expiration=1,IF($A532&lt;VLOOKUP(O$5,NFI,5,0),1,0)*Table_NFI[[#This Row],[Clothes Kit]],Table_NFI[Clothes Kit])</f>
        <v>0</v>
      </c>
      <c r="AG532" s="294">
        <f>IF(NFI_Expiration=1,IF($A532&lt;VLOOKUP(P$5,NFI,5,0),1,0)*Table_NFI[[#This Row],[Plastic Bucket]],Table_NFI[Plastic Bucket])</f>
        <v>0</v>
      </c>
      <c r="AH532" s="294">
        <f>IF(NFI_Expiration=1,IF($A532&lt;VLOOKUP(Q$5,NFI,5,0),1,0)*Table_NFI[[#This Row],[Plastic Mat]],Table_NFI[Plastic Mat])*IF(Table_NFI[[#This Row],[Distribution Date]]&gt;"2014-04-01",1,2.5)</f>
        <v>0</v>
      </c>
      <c r="AI532" s="294">
        <f>IF(NFI_Expiration=1,IF($A532&lt;VLOOKUP(R$5,NFI,5,0),1,0)*Table_NFI[[#This Row],[Winter Clothes Adult]],Table_NFI[Winter Clothes Adult])</f>
        <v>0</v>
      </c>
      <c r="AJ532" s="294">
        <f>IF(NFI_Expiration=1,IF($A532&lt;VLOOKUP(S$5,NFI,5,0),1,0)*Table_NFI[[#This Row],[Winter Clothes Children]],Table_NFI[Winter Clothes Children])</f>
        <v>0</v>
      </c>
      <c r="AK532" s="294">
        <f>IF(NFI_Expiration=1,IF($A532&lt;VLOOKUP(T$5,NFI,5,0),1,0)*Table_NFI[[#This Row],[Winter Items Other]],Table_NFI[Winter Items Other])</f>
        <v>0</v>
      </c>
      <c r="AL532" s="294">
        <f>IF(NFI_Expiration=1,IF($A532&lt;VLOOKUP(M$5,NFI,5,0),1,0)*Table_NFI[[#This Row],[Winter Blanket]],Table_NFI[[#This Row],[Winter Blanket]])</f>
        <v>0</v>
      </c>
      <c r="AM532" s="294">
        <f>IF(Table_NFI[[#This Row],[Winter Clothes Adult]]+Table_NFI[[#This Row],[Winter Clothes Children]]+Table_NFI[[#This Row],[Winter Items Other]]+Table_NFI[[#This Row],[Winter Blanket]]&gt;0,1,0)</f>
        <v>0</v>
      </c>
      <c r="AN532" s="331">
        <f>IF(NFI_Expiration=1,IF($A532&lt;VLOOKUP(V$5,NFI,5,0),1,0)*Table_NFI[[#This Row],[Jerry Can]],Table_NFI[Jerry Can])</f>
        <v>0</v>
      </c>
      <c r="AO532" s="331">
        <f>IF(NFI_Expiration=1,IF($A532&lt;VLOOKUP(V$5,NFI,5,0),1,0)*Table_NFI[[#This Row],[Shelter Tool kit]],Table_NFI[Shelter Tool kit])</f>
        <v>0</v>
      </c>
      <c r="AP532" s="331">
        <f>IF(NFI_Expiration=1,IF($A532&lt;VLOOKUP(V$5,NFI,5,0),1,0)*Table_NFI[[#This Row],[Tent]],Table_NFI[Tent])</f>
        <v>0</v>
      </c>
      <c r="AQ532" s="473" t="str">
        <f>IFERROR(VLOOKUP(Table_NFI[[#This Row],[Camp Name]],CL,2,0),"")</f>
        <v>MMR001CMP066</v>
      </c>
      <c r="AR532" s="468">
        <f ca="1">IF(Table_NFI[[#This Row],[Pcode]]="","",IF(OFFSET(CampList[Opening Date],MATCH(Table_NFI[[#This Row],[Pcode]],CampList[CP_Pcode],0)-1,0,1,1)&gt;=NFI_Monitor_Date,1,0))</f>
        <v>0</v>
      </c>
      <c r="AS532" s="473" t="str">
        <f>IFERROR(VLOOKUP(Table_NFI[[#This Row],[Camp Name]],CL,3,0),"")</f>
        <v>Open</v>
      </c>
      <c r="AT532" s="294" t="str">
        <f ca="1">IF(Table_NFI[[#This Row],[Pcode]]="","",OFFSET(CampList[Priority],MATCH(Table_NFI[[#This Row],[Pcode]],CampList[CP_Pcode],0)-1,0,1,1))</f>
        <v>P4</v>
      </c>
      <c r="AU532" s="293">
        <f>IFERROR(Table_NFI[[#This Row],[Kitchen Set]]/VLOOKUP(Table_NFI[[#This Row],[Camp Name]],CL,4,0),"")</f>
        <v>0</v>
      </c>
      <c r="AV532" s="466" t="s">
        <v>1092</v>
      </c>
      <c r="AW532" s="469"/>
    </row>
    <row r="533" spans="1:49" s="470" customFormat="1" ht="14.45" customHeight="1" x14ac:dyDescent="0.25">
      <c r="A533" s="297">
        <f t="shared" si="8"/>
        <v>35.56666666666667</v>
      </c>
      <c r="B533" s="465">
        <v>41608</v>
      </c>
      <c r="C533" s="466" t="s">
        <v>1097</v>
      </c>
      <c r="D533" s="467" t="s">
        <v>944</v>
      </c>
      <c r="E533" s="466" t="s">
        <v>553</v>
      </c>
      <c r="F533" s="290" t="s">
        <v>146</v>
      </c>
      <c r="G533" s="290" t="s">
        <v>368</v>
      </c>
      <c r="H533" s="291"/>
      <c r="I533" s="291"/>
      <c r="J533" s="291"/>
      <c r="K533" s="291"/>
      <c r="L533" s="292"/>
      <c r="M533" s="292">
        <v>258</v>
      </c>
      <c r="N533" s="292"/>
      <c r="O533" s="292"/>
      <c r="P533" s="294"/>
      <c r="Q533" s="294"/>
      <c r="R533" s="294">
        <v>349</v>
      </c>
      <c r="S533" s="294">
        <v>175</v>
      </c>
      <c r="T533" s="294">
        <v>0</v>
      </c>
      <c r="U533" s="294"/>
      <c r="V533" s="431"/>
      <c r="W533" s="294"/>
      <c r="X533" s="294"/>
      <c r="Y533" s="294">
        <f>IF(NFI_Expiration=1,IF($A533&lt;VLOOKUP(H$5,NFI,5,0),1,0)*Table_NFI[[#This Row],[Hygiene Kit]],Table_NFI[Hygiene Kit])</f>
        <v>0</v>
      </c>
      <c r="Z533" s="294">
        <f>IF(NFI_Expiration=1,IF($A533&lt;VLOOKUP(I$5,NFI,5,0),1,0)*Table_NFI[[#This Row],[NFI Core Kit]],Table_NFI[NFI Core Kit])</f>
        <v>0</v>
      </c>
      <c r="AA533" s="294">
        <f>IF(NFI_Expiration=1,IF($A533&lt;VLOOKUP(J$5,NFI,5,0),1,0)*Table_NFI[[#This Row],[Sanitary Kit]],Table_NFI[Sanitary Kit])</f>
        <v>0</v>
      </c>
      <c r="AB533" s="294">
        <f>IF(NFI_Expiration=1,IF($A533&lt;VLOOKUP(K$5,NFI,5,0),1,0)*Table_NFI[[#This Row],[Mosquito net]],Table_NFI[Mosquito net])</f>
        <v>0</v>
      </c>
      <c r="AC533" s="294">
        <f>IF(NFI_Expiration=1,IF($A533&lt;VLOOKUP(L$5,NFI,5,0),1,0)*Table_NFI[[#This Row],[Tarpaulin]],Table_NFI[[#This Row],[Tarpaulin]])</f>
        <v>0</v>
      </c>
      <c r="AD533" s="294">
        <f>IF(NFI_Expiration=1,IF($A533&lt;VLOOKUP(M$5,NFI,5,0),1,0)*Table_NFI[[#This Row],[Blanket]],Table_NFI[[#This Row],[Blanket]])</f>
        <v>0</v>
      </c>
      <c r="AE533" s="294">
        <f>IF(NFI_Expiration=1,IF($A533&lt;VLOOKUP(N$5,NFI,5,0),1,0)*Table_NFI[[#This Row],[Kitchen Set]],Table_NFI[Kitchen Set])</f>
        <v>0</v>
      </c>
      <c r="AF533" s="294">
        <f>IF(NFI_Expiration=1,IF($A533&lt;VLOOKUP(O$5,NFI,5,0),1,0)*Table_NFI[[#This Row],[Clothes Kit]],Table_NFI[Clothes Kit])</f>
        <v>0</v>
      </c>
      <c r="AG533" s="294">
        <f>IF(NFI_Expiration=1,IF($A533&lt;VLOOKUP(P$5,NFI,5,0),1,0)*Table_NFI[[#This Row],[Plastic Bucket]],Table_NFI[Plastic Bucket])</f>
        <v>0</v>
      </c>
      <c r="AH533" s="294">
        <f>IF(NFI_Expiration=1,IF($A533&lt;VLOOKUP(Q$5,NFI,5,0),1,0)*Table_NFI[[#This Row],[Plastic Mat]],Table_NFI[Plastic Mat])*IF(Table_NFI[[#This Row],[Distribution Date]]&gt;"2014-04-01",1,2.5)</f>
        <v>0</v>
      </c>
      <c r="AI533" s="294">
        <f>IF(NFI_Expiration=1,IF($A533&lt;VLOOKUP(R$5,NFI,5,0),1,0)*Table_NFI[[#This Row],[Winter Clothes Adult]],Table_NFI[Winter Clothes Adult])</f>
        <v>0</v>
      </c>
      <c r="AJ533" s="294">
        <f>IF(NFI_Expiration=1,IF($A533&lt;VLOOKUP(S$5,NFI,5,0),1,0)*Table_NFI[[#This Row],[Winter Clothes Children]],Table_NFI[Winter Clothes Children])</f>
        <v>0</v>
      </c>
      <c r="AK533" s="294">
        <f>IF(NFI_Expiration=1,IF($A533&lt;VLOOKUP(T$5,NFI,5,0),1,0)*Table_NFI[[#This Row],[Winter Items Other]],Table_NFI[Winter Items Other])</f>
        <v>0</v>
      </c>
      <c r="AL533" s="294">
        <f>IF(NFI_Expiration=1,IF($A533&lt;VLOOKUP(M$5,NFI,5,0),1,0)*Table_NFI[[#This Row],[Winter Blanket]],Table_NFI[[#This Row],[Winter Blanket]])</f>
        <v>0</v>
      </c>
      <c r="AM533" s="294">
        <f>IF(Table_NFI[[#This Row],[Winter Clothes Adult]]+Table_NFI[[#This Row],[Winter Clothes Children]]+Table_NFI[[#This Row],[Winter Items Other]]+Table_NFI[[#This Row],[Winter Blanket]]&gt;0,1,0)</f>
        <v>1</v>
      </c>
      <c r="AN533" s="331">
        <f>IF(NFI_Expiration=1,IF($A533&lt;VLOOKUP(V$5,NFI,5,0),1,0)*Table_NFI[[#This Row],[Jerry Can]],Table_NFI[Jerry Can])</f>
        <v>0</v>
      </c>
      <c r="AO533" s="331">
        <f>IF(NFI_Expiration=1,IF($A533&lt;VLOOKUP(V$5,NFI,5,0),1,0)*Table_NFI[[#This Row],[Shelter Tool kit]],Table_NFI[Shelter Tool kit])</f>
        <v>0</v>
      </c>
      <c r="AP533" s="331">
        <f>IF(NFI_Expiration=1,IF($A533&lt;VLOOKUP(V$5,NFI,5,0),1,0)*Table_NFI[[#This Row],[Tent]],Table_NFI[Tent])</f>
        <v>0</v>
      </c>
      <c r="AQ533" s="473" t="str">
        <f>IFERROR(VLOOKUP(Table_NFI[[#This Row],[Camp Name]],CL,2,0),"")</f>
        <v>MMR015CMP018</v>
      </c>
      <c r="AR533" s="468">
        <f ca="1">IF(Table_NFI[[#This Row],[Pcode]]="","",IF(OFFSET(CampList[Opening Date],MATCH(Table_NFI[[#This Row],[Pcode]],CampList[CP_Pcode],0)-1,0,1,1)&gt;=NFI_Monitor_Date,1,0))</f>
        <v>0</v>
      </c>
      <c r="AS533" s="473" t="str">
        <f>IFERROR(VLOOKUP(Table_NFI[[#This Row],[Camp Name]],CL,3,0),"")</f>
        <v>Open</v>
      </c>
      <c r="AT533" s="294" t="str">
        <f ca="1">IF(Table_NFI[[#This Row],[Pcode]]="","",OFFSET(CampList[Priority],MATCH(Table_NFI[[#This Row],[Pcode]],CampList[CP_Pcode],0)-1,0,1,1))</f>
        <v>P3</v>
      </c>
      <c r="AU533" s="293">
        <f>IFERROR(Table_NFI[[#This Row],[Kitchen Set]]/VLOOKUP(Table_NFI[[#This Row],[Camp Name]],CL,4,0),"")</f>
        <v>0</v>
      </c>
      <c r="AV533" s="466" t="s">
        <v>1092</v>
      </c>
      <c r="AW533" s="469"/>
    </row>
    <row r="534" spans="1:49" s="470" customFormat="1" ht="14.45" customHeight="1" x14ac:dyDescent="0.25">
      <c r="A534" s="297">
        <f t="shared" si="8"/>
        <v>35.56666666666667</v>
      </c>
      <c r="B534" s="465">
        <v>41608</v>
      </c>
      <c r="C534" s="466" t="s">
        <v>905</v>
      </c>
      <c r="D534" s="466"/>
      <c r="E534" s="466" t="s">
        <v>380</v>
      </c>
      <c r="F534" s="290" t="s">
        <v>185</v>
      </c>
      <c r="G534" s="290" t="s">
        <v>209</v>
      </c>
      <c r="H534" s="291"/>
      <c r="I534" s="291"/>
      <c r="J534" s="291"/>
      <c r="K534" s="291"/>
      <c r="L534" s="292"/>
      <c r="M534" s="292"/>
      <c r="N534" s="292"/>
      <c r="O534" s="292"/>
      <c r="P534" s="294"/>
      <c r="Q534" s="294">
        <v>906</v>
      </c>
      <c r="R534" s="294"/>
      <c r="S534" s="294"/>
      <c r="T534" s="294"/>
      <c r="U534" s="294"/>
      <c r="V534" s="431"/>
      <c r="W534" s="294"/>
      <c r="X534" s="294"/>
      <c r="Y534" s="294">
        <f>IF(NFI_Expiration=1,IF($A534&lt;VLOOKUP(H$5,NFI,5,0),1,0)*Table_NFI[[#This Row],[Hygiene Kit]],Table_NFI[Hygiene Kit])</f>
        <v>0</v>
      </c>
      <c r="Z534" s="294">
        <f>IF(NFI_Expiration=1,IF($A534&lt;VLOOKUP(I$5,NFI,5,0),1,0)*Table_NFI[[#This Row],[NFI Core Kit]],Table_NFI[NFI Core Kit])</f>
        <v>0</v>
      </c>
      <c r="AA534" s="294">
        <f>IF(NFI_Expiration=1,IF($A534&lt;VLOOKUP(J$5,NFI,5,0),1,0)*Table_NFI[[#This Row],[Sanitary Kit]],Table_NFI[Sanitary Kit])</f>
        <v>0</v>
      </c>
      <c r="AB534" s="294">
        <f>IF(NFI_Expiration=1,IF($A534&lt;VLOOKUP(K$5,NFI,5,0),1,0)*Table_NFI[[#This Row],[Mosquito net]],Table_NFI[Mosquito net])</f>
        <v>0</v>
      </c>
      <c r="AC534" s="294">
        <f>IF(NFI_Expiration=1,IF($A534&lt;VLOOKUP(L$5,NFI,5,0),1,0)*Table_NFI[[#This Row],[Tarpaulin]],Table_NFI[[#This Row],[Tarpaulin]])</f>
        <v>0</v>
      </c>
      <c r="AD534" s="294">
        <f>IF(NFI_Expiration=1,IF($A534&lt;VLOOKUP(M$5,NFI,5,0),1,0)*Table_NFI[[#This Row],[Blanket]],Table_NFI[[#This Row],[Blanket]])</f>
        <v>0</v>
      </c>
      <c r="AE534" s="294">
        <f>IF(NFI_Expiration=1,IF($A534&lt;VLOOKUP(N$5,NFI,5,0),1,0)*Table_NFI[[#This Row],[Kitchen Set]],Table_NFI[Kitchen Set])</f>
        <v>0</v>
      </c>
      <c r="AF534" s="294">
        <f>IF(NFI_Expiration=1,IF($A534&lt;VLOOKUP(O$5,NFI,5,0),1,0)*Table_NFI[[#This Row],[Clothes Kit]],Table_NFI[Clothes Kit])</f>
        <v>0</v>
      </c>
      <c r="AG534" s="294">
        <f>IF(NFI_Expiration=1,IF($A534&lt;VLOOKUP(P$5,NFI,5,0),1,0)*Table_NFI[[#This Row],[Plastic Bucket]],Table_NFI[Plastic Bucket])</f>
        <v>0</v>
      </c>
      <c r="AH534" s="294">
        <f>IF(NFI_Expiration=1,IF($A534&lt;VLOOKUP(Q$5,NFI,5,0),1,0)*Table_NFI[[#This Row],[Plastic Mat]],Table_NFI[Plastic Mat])*IF(Table_NFI[[#This Row],[Distribution Date]]&gt;"2014-04-01",1,2.5)</f>
        <v>0</v>
      </c>
      <c r="AI534" s="294">
        <f>IF(NFI_Expiration=1,IF($A534&lt;VLOOKUP(R$5,NFI,5,0),1,0)*Table_NFI[[#This Row],[Winter Clothes Adult]],Table_NFI[Winter Clothes Adult])</f>
        <v>0</v>
      </c>
      <c r="AJ534" s="294">
        <f>IF(NFI_Expiration=1,IF($A534&lt;VLOOKUP(S$5,NFI,5,0),1,0)*Table_NFI[[#This Row],[Winter Clothes Children]],Table_NFI[Winter Clothes Children])</f>
        <v>0</v>
      </c>
      <c r="AK534" s="294">
        <f>IF(NFI_Expiration=1,IF($A534&lt;VLOOKUP(T$5,NFI,5,0),1,0)*Table_NFI[[#This Row],[Winter Items Other]],Table_NFI[Winter Items Other])</f>
        <v>0</v>
      </c>
      <c r="AL534" s="294">
        <f>IF(NFI_Expiration=1,IF($A534&lt;VLOOKUP(M$5,NFI,5,0),1,0)*Table_NFI[[#This Row],[Winter Blanket]],Table_NFI[[#This Row],[Winter Blanket]])</f>
        <v>0</v>
      </c>
      <c r="AM534" s="294">
        <f>IF(Table_NFI[[#This Row],[Winter Clothes Adult]]+Table_NFI[[#This Row],[Winter Clothes Children]]+Table_NFI[[#This Row],[Winter Items Other]]+Table_NFI[[#This Row],[Winter Blanket]]&gt;0,1,0)</f>
        <v>0</v>
      </c>
      <c r="AN534" s="331">
        <f>IF(NFI_Expiration=1,IF($A534&lt;VLOOKUP(V$5,NFI,5,0),1,0)*Table_NFI[[#This Row],[Jerry Can]],Table_NFI[Jerry Can])</f>
        <v>0</v>
      </c>
      <c r="AO534" s="331">
        <f>IF(NFI_Expiration=1,IF($A534&lt;VLOOKUP(V$5,NFI,5,0),1,0)*Table_NFI[[#This Row],[Shelter Tool kit]],Table_NFI[Shelter Tool kit])</f>
        <v>0</v>
      </c>
      <c r="AP534" s="331">
        <f>IF(NFI_Expiration=1,IF($A534&lt;VLOOKUP(V$5,NFI,5,0),1,0)*Table_NFI[[#This Row],[Tent]],Table_NFI[Tent])</f>
        <v>0</v>
      </c>
      <c r="AQ534" s="473" t="str">
        <f>IFERROR(VLOOKUP(Table_NFI[[#This Row],[Camp Name]],CL,2,0),"")</f>
        <v>MMR001CMP056</v>
      </c>
      <c r="AR534" s="468">
        <f ca="1">IF(Table_NFI[[#This Row],[Pcode]]="","",IF(OFFSET(CampList[Opening Date],MATCH(Table_NFI[[#This Row],[Pcode]],CampList[CP_Pcode],0)-1,0,1,1)&gt;=NFI_Monitor_Date,1,0))</f>
        <v>0</v>
      </c>
      <c r="AS534" s="473" t="str">
        <f>IFERROR(VLOOKUP(Table_NFI[[#This Row],[Camp Name]],CL,3,0),"")</f>
        <v>Open</v>
      </c>
      <c r="AT534" s="294" t="str">
        <f ca="1">IF(Table_NFI[[#This Row],[Pcode]]="","",OFFSET(CampList[Priority],MATCH(Table_NFI[[#This Row],[Pcode]],CampList[CP_Pcode],0)-1,0,1,1))</f>
        <v>P4</v>
      </c>
      <c r="AU534" s="293">
        <f>IFERROR(Table_NFI[[#This Row],[Kitchen Set]]/VLOOKUP(Table_NFI[[#This Row],[Camp Name]],CL,4,0),"")</f>
        <v>0</v>
      </c>
      <c r="AV534" s="466" t="s">
        <v>1092</v>
      </c>
      <c r="AW534" s="469"/>
    </row>
    <row r="535" spans="1:49" s="470" customFormat="1" x14ac:dyDescent="0.25">
      <c r="A535" s="297">
        <f t="shared" si="8"/>
        <v>35.56666666666667</v>
      </c>
      <c r="B535" s="465">
        <v>41608</v>
      </c>
      <c r="C535" s="466" t="s">
        <v>905</v>
      </c>
      <c r="D535" s="466"/>
      <c r="E535" s="466" t="s">
        <v>380</v>
      </c>
      <c r="F535" s="290" t="s">
        <v>185</v>
      </c>
      <c r="G535" s="290" t="s">
        <v>211</v>
      </c>
      <c r="H535" s="291"/>
      <c r="I535" s="291"/>
      <c r="J535" s="291"/>
      <c r="K535" s="291"/>
      <c r="L535" s="292"/>
      <c r="M535" s="292"/>
      <c r="N535" s="292"/>
      <c r="O535" s="292"/>
      <c r="P535" s="294"/>
      <c r="Q535" s="294">
        <v>543</v>
      </c>
      <c r="R535" s="294"/>
      <c r="S535" s="294"/>
      <c r="T535" s="294"/>
      <c r="U535" s="294"/>
      <c r="V535" s="431"/>
      <c r="W535" s="331"/>
      <c r="X535" s="331"/>
      <c r="Y535" s="294">
        <f>IF(NFI_Expiration=1,IF($A535&lt;VLOOKUP(H$5,NFI,5,0),1,0)*Table_NFI[[#This Row],[Hygiene Kit]],Table_NFI[Hygiene Kit])</f>
        <v>0</v>
      </c>
      <c r="Z535" s="294">
        <f>IF(NFI_Expiration=1,IF($A535&lt;VLOOKUP(I$5,NFI,5,0),1,0)*Table_NFI[[#This Row],[NFI Core Kit]],Table_NFI[NFI Core Kit])</f>
        <v>0</v>
      </c>
      <c r="AA535" s="294">
        <f>IF(NFI_Expiration=1,IF($A535&lt;VLOOKUP(J$5,NFI,5,0),1,0)*Table_NFI[[#This Row],[Sanitary Kit]],Table_NFI[Sanitary Kit])</f>
        <v>0</v>
      </c>
      <c r="AB535" s="294">
        <f>IF(NFI_Expiration=1,IF($A535&lt;VLOOKUP(K$5,NFI,5,0),1,0)*Table_NFI[[#This Row],[Mosquito net]],Table_NFI[Mosquito net])</f>
        <v>0</v>
      </c>
      <c r="AC535" s="294">
        <f>IF(NFI_Expiration=1,IF($A535&lt;VLOOKUP(L$5,NFI,5,0),1,0)*Table_NFI[[#This Row],[Tarpaulin]],Table_NFI[[#This Row],[Tarpaulin]])</f>
        <v>0</v>
      </c>
      <c r="AD535" s="294">
        <f>IF(NFI_Expiration=1,IF($A535&lt;VLOOKUP(M$5,NFI,5,0),1,0)*Table_NFI[[#This Row],[Blanket]],Table_NFI[[#This Row],[Blanket]])</f>
        <v>0</v>
      </c>
      <c r="AE535" s="294">
        <f>IF(NFI_Expiration=1,IF($A535&lt;VLOOKUP(N$5,NFI,5,0),1,0)*Table_NFI[[#This Row],[Kitchen Set]],Table_NFI[Kitchen Set])</f>
        <v>0</v>
      </c>
      <c r="AF535" s="294">
        <f>IF(NFI_Expiration=1,IF($A535&lt;VLOOKUP(O$5,NFI,5,0),1,0)*Table_NFI[[#This Row],[Clothes Kit]],Table_NFI[Clothes Kit])</f>
        <v>0</v>
      </c>
      <c r="AG535" s="294">
        <f>IF(NFI_Expiration=1,IF($A535&lt;VLOOKUP(P$5,NFI,5,0),1,0)*Table_NFI[[#This Row],[Plastic Bucket]],Table_NFI[Plastic Bucket])</f>
        <v>0</v>
      </c>
      <c r="AH535" s="294">
        <f>IF(NFI_Expiration=1,IF($A535&lt;VLOOKUP(Q$5,NFI,5,0),1,0)*Table_NFI[[#This Row],[Plastic Mat]],Table_NFI[Plastic Mat])*IF(Table_NFI[[#This Row],[Distribution Date]]&gt;"2014-04-01",1,2.5)</f>
        <v>0</v>
      </c>
      <c r="AI535" s="294">
        <f>IF(NFI_Expiration=1,IF($A535&lt;VLOOKUP(R$5,NFI,5,0),1,0)*Table_NFI[[#This Row],[Winter Clothes Adult]],Table_NFI[Winter Clothes Adult])</f>
        <v>0</v>
      </c>
      <c r="AJ535" s="294">
        <f>IF(NFI_Expiration=1,IF($A535&lt;VLOOKUP(S$5,NFI,5,0),1,0)*Table_NFI[[#This Row],[Winter Clothes Children]],Table_NFI[Winter Clothes Children])</f>
        <v>0</v>
      </c>
      <c r="AK535" s="294">
        <f>IF(NFI_Expiration=1,IF($A535&lt;VLOOKUP(T$5,NFI,5,0),1,0)*Table_NFI[[#This Row],[Winter Items Other]],Table_NFI[Winter Items Other])</f>
        <v>0</v>
      </c>
      <c r="AL535" s="294">
        <f>IF(NFI_Expiration=1,IF($A535&lt;VLOOKUP(M$5,NFI,5,0),1,0)*Table_NFI[[#This Row],[Winter Blanket]],Table_NFI[[#This Row],[Winter Blanket]])</f>
        <v>0</v>
      </c>
      <c r="AM535" s="294">
        <f>IF(Table_NFI[[#This Row],[Winter Clothes Adult]]+Table_NFI[[#This Row],[Winter Clothes Children]]+Table_NFI[[#This Row],[Winter Items Other]]+Table_NFI[[#This Row],[Winter Blanket]]&gt;0,1,0)</f>
        <v>0</v>
      </c>
      <c r="AN535" s="331">
        <f>IF(NFI_Expiration=1,IF($A535&lt;VLOOKUP(V$5,NFI,5,0),1,0)*Table_NFI[[#This Row],[Jerry Can]],Table_NFI[Jerry Can])</f>
        <v>0</v>
      </c>
      <c r="AO535" s="331">
        <f>IF(NFI_Expiration=1,IF($A535&lt;VLOOKUP(V$5,NFI,5,0),1,0)*Table_NFI[[#This Row],[Shelter Tool kit]],Table_NFI[Shelter Tool kit])</f>
        <v>0</v>
      </c>
      <c r="AP535" s="331">
        <f>IF(NFI_Expiration=1,IF($A535&lt;VLOOKUP(V$5,NFI,5,0),1,0)*Table_NFI[[#This Row],[Tent]],Table_NFI[Tent])</f>
        <v>0</v>
      </c>
      <c r="AQ535" s="473" t="str">
        <f>IFERROR(VLOOKUP(Table_NFI[[#This Row],[Camp Name]],CL,2,0),"")</f>
        <v>MMR001CMP057</v>
      </c>
      <c r="AR535" s="468">
        <f ca="1">IF(Table_NFI[[#This Row],[Pcode]]="","",IF(OFFSET(CampList[Opening Date],MATCH(Table_NFI[[#This Row],[Pcode]],CampList[CP_Pcode],0)-1,0,1,1)&gt;=NFI_Monitor_Date,1,0))</f>
        <v>0</v>
      </c>
      <c r="AS535" s="473" t="str">
        <f>IFERROR(VLOOKUP(Table_NFI[[#This Row],[Camp Name]],CL,3,0),"")</f>
        <v>Closed</v>
      </c>
      <c r="AT535" s="294" t="str">
        <f ca="1">IF(Table_NFI[[#This Row],[Pcode]]="","",OFFSET(CampList[Priority],MATCH(Table_NFI[[#This Row],[Pcode]],CampList[CP_Pcode],0)-1,0,1,1))</f>
        <v>P4</v>
      </c>
      <c r="AU535" s="293" t="str">
        <f>IFERROR(Table_NFI[[#This Row],[Kitchen Set]]/VLOOKUP(Table_NFI[[#This Row],[Camp Name]],CL,4,0),"")</f>
        <v/>
      </c>
      <c r="AV535" s="466" t="s">
        <v>1092</v>
      </c>
      <c r="AW535" s="469"/>
    </row>
    <row r="536" spans="1:49" s="470" customFormat="1" x14ac:dyDescent="0.25">
      <c r="A536" s="297">
        <f t="shared" si="8"/>
        <v>35.56666666666667</v>
      </c>
      <c r="B536" s="465">
        <v>41608</v>
      </c>
      <c r="C536" s="466" t="s">
        <v>905</v>
      </c>
      <c r="D536" s="466" t="s">
        <v>460</v>
      </c>
      <c r="E536" s="466" t="s">
        <v>380</v>
      </c>
      <c r="F536" s="290" t="s">
        <v>151</v>
      </c>
      <c r="G536" s="290" t="s">
        <v>164</v>
      </c>
      <c r="H536" s="291"/>
      <c r="I536" s="291"/>
      <c r="J536" s="291"/>
      <c r="K536" s="291"/>
      <c r="L536" s="292"/>
      <c r="M536" s="292"/>
      <c r="N536" s="292"/>
      <c r="O536" s="292"/>
      <c r="P536" s="294"/>
      <c r="Q536" s="294"/>
      <c r="R536" s="294"/>
      <c r="S536" s="294"/>
      <c r="T536" s="294"/>
      <c r="U536" s="294"/>
      <c r="V536" s="431"/>
      <c r="W536" s="294"/>
      <c r="X536" s="294"/>
      <c r="Y536" s="294">
        <f>IF(NFI_Expiration=1,IF($A536&lt;VLOOKUP(H$5,NFI,5,0),1,0)*Table_NFI[[#This Row],[Hygiene Kit]],Table_NFI[Hygiene Kit])</f>
        <v>0</v>
      </c>
      <c r="Z536" s="294">
        <f>IF(NFI_Expiration=1,IF($A536&lt;VLOOKUP(I$5,NFI,5,0),1,0)*Table_NFI[[#This Row],[NFI Core Kit]],Table_NFI[NFI Core Kit])</f>
        <v>0</v>
      </c>
      <c r="AA536" s="294">
        <f>IF(NFI_Expiration=1,IF($A536&lt;VLOOKUP(J$5,NFI,5,0),1,0)*Table_NFI[[#This Row],[Sanitary Kit]],Table_NFI[Sanitary Kit])</f>
        <v>0</v>
      </c>
      <c r="AB536" s="294">
        <f>IF(NFI_Expiration=1,IF($A536&lt;VLOOKUP(K$5,NFI,5,0),1,0)*Table_NFI[[#This Row],[Mosquito net]],Table_NFI[Mosquito net])</f>
        <v>0</v>
      </c>
      <c r="AC536" s="294">
        <f>IF(NFI_Expiration=1,IF($A536&lt;VLOOKUP(L$5,NFI,5,0),1,0)*Table_NFI[[#This Row],[Tarpaulin]],Table_NFI[[#This Row],[Tarpaulin]])</f>
        <v>0</v>
      </c>
      <c r="AD536" s="294">
        <f>IF(NFI_Expiration=1,IF($A536&lt;VLOOKUP(M$5,NFI,5,0),1,0)*Table_NFI[[#This Row],[Blanket]],Table_NFI[[#This Row],[Blanket]])</f>
        <v>0</v>
      </c>
      <c r="AE536" s="294">
        <f>IF(NFI_Expiration=1,IF($A536&lt;VLOOKUP(N$5,NFI,5,0),1,0)*Table_NFI[[#This Row],[Kitchen Set]],Table_NFI[Kitchen Set])</f>
        <v>0</v>
      </c>
      <c r="AF536" s="294">
        <f>IF(NFI_Expiration=1,IF($A536&lt;VLOOKUP(O$5,NFI,5,0),1,0)*Table_NFI[[#This Row],[Clothes Kit]],Table_NFI[Clothes Kit])</f>
        <v>0</v>
      </c>
      <c r="AG536" s="294">
        <f>IF(NFI_Expiration=1,IF($A536&lt;VLOOKUP(P$5,NFI,5,0),1,0)*Table_NFI[[#This Row],[Plastic Bucket]],Table_NFI[Plastic Bucket])</f>
        <v>0</v>
      </c>
      <c r="AH536" s="294">
        <f>IF(NFI_Expiration=1,IF($A536&lt;VLOOKUP(Q$5,NFI,5,0),1,0)*Table_NFI[[#This Row],[Plastic Mat]],Table_NFI[Plastic Mat])*IF(Table_NFI[[#This Row],[Distribution Date]]&gt;"2014-04-01",1,2.5)</f>
        <v>0</v>
      </c>
      <c r="AI536" s="294">
        <f>IF(NFI_Expiration=1,IF($A536&lt;VLOOKUP(R$5,NFI,5,0),1,0)*Table_NFI[[#This Row],[Winter Clothes Adult]],Table_NFI[Winter Clothes Adult])</f>
        <v>0</v>
      </c>
      <c r="AJ536" s="294">
        <f>IF(NFI_Expiration=1,IF($A536&lt;VLOOKUP(S$5,NFI,5,0),1,0)*Table_NFI[[#This Row],[Winter Clothes Children]],Table_NFI[Winter Clothes Children])</f>
        <v>0</v>
      </c>
      <c r="AK536" s="294">
        <f>IF(NFI_Expiration=1,IF($A536&lt;VLOOKUP(T$5,NFI,5,0),1,0)*Table_NFI[[#This Row],[Winter Items Other]],Table_NFI[Winter Items Other])</f>
        <v>0</v>
      </c>
      <c r="AL536" s="294">
        <f>IF(NFI_Expiration=1,IF($A536&lt;VLOOKUP(M$5,NFI,5,0),1,0)*Table_NFI[[#This Row],[Winter Blanket]],Table_NFI[[#This Row],[Winter Blanket]])</f>
        <v>0</v>
      </c>
      <c r="AM536" s="294">
        <f>IF(Table_NFI[[#This Row],[Winter Clothes Adult]]+Table_NFI[[#This Row],[Winter Clothes Children]]+Table_NFI[[#This Row],[Winter Items Other]]+Table_NFI[[#This Row],[Winter Blanket]]&gt;0,1,0)</f>
        <v>0</v>
      </c>
      <c r="AN536" s="331">
        <f>IF(NFI_Expiration=1,IF($A536&lt;VLOOKUP(V$5,NFI,5,0),1,0)*Table_NFI[[#This Row],[Jerry Can]],Table_NFI[Jerry Can])</f>
        <v>0</v>
      </c>
      <c r="AO536" s="331">
        <f>IF(NFI_Expiration=1,IF($A536&lt;VLOOKUP(V$5,NFI,5,0),1,0)*Table_NFI[[#This Row],[Shelter Tool kit]],Table_NFI[Shelter Tool kit])</f>
        <v>0</v>
      </c>
      <c r="AP536" s="331">
        <f>IF(NFI_Expiration=1,IF($A536&lt;VLOOKUP(V$5,NFI,5,0),1,0)*Table_NFI[[#This Row],[Tent]],Table_NFI[Tent])</f>
        <v>0</v>
      </c>
      <c r="AQ536" s="473" t="str">
        <f>IFERROR(VLOOKUP(Table_NFI[[#This Row],[Camp Name]],CL,2,0),"")</f>
        <v>MMR001CMP137</v>
      </c>
      <c r="AR536" s="468">
        <f ca="1">IF(Table_NFI[[#This Row],[Pcode]]="","",IF(OFFSET(CampList[Opening Date],MATCH(Table_NFI[[#This Row],[Pcode]],CampList[CP_Pcode],0)-1,0,1,1)&gt;=NFI_Monitor_Date,1,0))</f>
        <v>0</v>
      </c>
      <c r="AS536" s="473" t="str">
        <f>IFERROR(VLOOKUP(Table_NFI[[#This Row],[Camp Name]],CL,3,0),"")</f>
        <v>Closed</v>
      </c>
      <c r="AT536" s="294" t="str">
        <f ca="1">IF(Table_NFI[[#This Row],[Pcode]]="","",OFFSET(CampList[Priority],MATCH(Table_NFI[[#This Row],[Pcode]],CampList[CP_Pcode],0)-1,0,1,1))</f>
        <v/>
      </c>
      <c r="AU536" s="293" t="str">
        <f>IFERROR(Table_NFI[[#This Row],[Kitchen Set]]/VLOOKUP(Table_NFI[[#This Row],[Camp Name]],CL,4,0),"")</f>
        <v/>
      </c>
      <c r="AV536" s="466" t="s">
        <v>1092</v>
      </c>
      <c r="AW536" s="469"/>
    </row>
    <row r="537" spans="1:49" s="470" customFormat="1" ht="14.45" customHeight="1" x14ac:dyDescent="0.25">
      <c r="A537" s="297">
        <f t="shared" si="8"/>
        <v>35.56666666666667</v>
      </c>
      <c r="B537" s="465">
        <v>41608</v>
      </c>
      <c r="C537" s="466" t="s">
        <v>905</v>
      </c>
      <c r="D537" s="466"/>
      <c r="E537" s="466" t="s">
        <v>380</v>
      </c>
      <c r="F537" s="290" t="s">
        <v>5</v>
      </c>
      <c r="G537" s="290" t="s">
        <v>20</v>
      </c>
      <c r="H537" s="291"/>
      <c r="I537" s="291"/>
      <c r="J537" s="291"/>
      <c r="K537" s="291"/>
      <c r="L537" s="292"/>
      <c r="M537" s="292"/>
      <c r="N537" s="292"/>
      <c r="O537" s="292"/>
      <c r="P537" s="294"/>
      <c r="Q537" s="294">
        <v>57</v>
      </c>
      <c r="R537" s="294"/>
      <c r="S537" s="294"/>
      <c r="T537" s="294"/>
      <c r="U537" s="294"/>
      <c r="V537" s="431"/>
      <c r="W537" s="294"/>
      <c r="X537" s="294"/>
      <c r="Y537" s="294">
        <f>IF(NFI_Expiration=1,IF($A537&lt;VLOOKUP(H$5,NFI,5,0),1,0)*Table_NFI[[#This Row],[Hygiene Kit]],Table_NFI[Hygiene Kit])</f>
        <v>0</v>
      </c>
      <c r="Z537" s="294">
        <f>IF(NFI_Expiration=1,IF($A537&lt;VLOOKUP(I$5,NFI,5,0),1,0)*Table_NFI[[#This Row],[NFI Core Kit]],Table_NFI[NFI Core Kit])</f>
        <v>0</v>
      </c>
      <c r="AA537" s="294">
        <f>IF(NFI_Expiration=1,IF($A537&lt;VLOOKUP(J$5,NFI,5,0),1,0)*Table_NFI[[#This Row],[Sanitary Kit]],Table_NFI[Sanitary Kit])</f>
        <v>0</v>
      </c>
      <c r="AB537" s="294">
        <f>IF(NFI_Expiration=1,IF($A537&lt;VLOOKUP(K$5,NFI,5,0),1,0)*Table_NFI[[#This Row],[Mosquito net]],Table_NFI[Mosquito net])</f>
        <v>0</v>
      </c>
      <c r="AC537" s="294">
        <f>IF(NFI_Expiration=1,IF($A537&lt;VLOOKUP(L$5,NFI,5,0),1,0)*Table_NFI[[#This Row],[Tarpaulin]],Table_NFI[[#This Row],[Tarpaulin]])</f>
        <v>0</v>
      </c>
      <c r="AD537" s="294">
        <f>IF(NFI_Expiration=1,IF($A537&lt;VLOOKUP(M$5,NFI,5,0),1,0)*Table_NFI[[#This Row],[Blanket]],Table_NFI[[#This Row],[Blanket]])</f>
        <v>0</v>
      </c>
      <c r="AE537" s="294">
        <f>IF(NFI_Expiration=1,IF($A537&lt;VLOOKUP(N$5,NFI,5,0),1,0)*Table_NFI[[#This Row],[Kitchen Set]],Table_NFI[Kitchen Set])</f>
        <v>0</v>
      </c>
      <c r="AF537" s="294">
        <f>IF(NFI_Expiration=1,IF($A537&lt;VLOOKUP(O$5,NFI,5,0),1,0)*Table_NFI[[#This Row],[Clothes Kit]],Table_NFI[Clothes Kit])</f>
        <v>0</v>
      </c>
      <c r="AG537" s="294">
        <f>IF(NFI_Expiration=1,IF($A537&lt;VLOOKUP(P$5,NFI,5,0),1,0)*Table_NFI[[#This Row],[Plastic Bucket]],Table_NFI[Plastic Bucket])</f>
        <v>0</v>
      </c>
      <c r="AH537" s="294">
        <f>IF(NFI_Expiration=1,IF($A537&lt;VLOOKUP(Q$5,NFI,5,0),1,0)*Table_NFI[[#This Row],[Plastic Mat]],Table_NFI[Plastic Mat])*IF(Table_NFI[[#This Row],[Distribution Date]]&gt;"2014-04-01",1,2.5)</f>
        <v>0</v>
      </c>
      <c r="AI537" s="294">
        <f>IF(NFI_Expiration=1,IF($A537&lt;VLOOKUP(R$5,NFI,5,0),1,0)*Table_NFI[[#This Row],[Winter Clothes Adult]],Table_NFI[Winter Clothes Adult])</f>
        <v>0</v>
      </c>
      <c r="AJ537" s="294">
        <f>IF(NFI_Expiration=1,IF($A537&lt;VLOOKUP(S$5,NFI,5,0),1,0)*Table_NFI[[#This Row],[Winter Clothes Children]],Table_NFI[Winter Clothes Children])</f>
        <v>0</v>
      </c>
      <c r="AK537" s="294">
        <f>IF(NFI_Expiration=1,IF($A537&lt;VLOOKUP(T$5,NFI,5,0),1,0)*Table_NFI[[#This Row],[Winter Items Other]],Table_NFI[Winter Items Other])</f>
        <v>0</v>
      </c>
      <c r="AL537" s="294">
        <f>IF(NFI_Expiration=1,IF($A537&lt;VLOOKUP(M$5,NFI,5,0),1,0)*Table_NFI[[#This Row],[Winter Blanket]],Table_NFI[[#This Row],[Winter Blanket]])</f>
        <v>0</v>
      </c>
      <c r="AM537" s="294">
        <f>IF(Table_NFI[[#This Row],[Winter Clothes Adult]]+Table_NFI[[#This Row],[Winter Clothes Children]]+Table_NFI[[#This Row],[Winter Items Other]]+Table_NFI[[#This Row],[Winter Blanket]]&gt;0,1,0)</f>
        <v>0</v>
      </c>
      <c r="AN537" s="331">
        <f>IF(NFI_Expiration=1,IF($A537&lt;VLOOKUP(V$5,NFI,5,0),1,0)*Table_NFI[[#This Row],[Jerry Can]],Table_NFI[Jerry Can])</f>
        <v>0</v>
      </c>
      <c r="AO537" s="331">
        <f>IF(NFI_Expiration=1,IF($A537&lt;VLOOKUP(V$5,NFI,5,0),1,0)*Table_NFI[[#This Row],[Shelter Tool kit]],Table_NFI[Shelter Tool kit])</f>
        <v>0</v>
      </c>
      <c r="AP537" s="331">
        <f>IF(NFI_Expiration=1,IF($A537&lt;VLOOKUP(V$5,NFI,5,0),1,0)*Table_NFI[[#This Row],[Tent]],Table_NFI[Tent])</f>
        <v>0</v>
      </c>
      <c r="AQ537" s="473" t="str">
        <f>IFERROR(VLOOKUP(Table_NFI[[#This Row],[Camp Name]],CL,2,0),"")</f>
        <v>MMR001CMP054</v>
      </c>
      <c r="AR537" s="468">
        <f ca="1">IF(Table_NFI[[#This Row],[Pcode]]="","",IF(OFFSET(CampList[Opening Date],MATCH(Table_NFI[[#This Row],[Pcode]],CampList[CP_Pcode],0)-1,0,1,1)&gt;=NFI_Monitor_Date,1,0))</f>
        <v>0</v>
      </c>
      <c r="AS537" s="473" t="str">
        <f>IFERROR(VLOOKUP(Table_NFI[[#This Row],[Camp Name]],CL,3,0),"")</f>
        <v>Open</v>
      </c>
      <c r="AT537" s="294" t="str">
        <f ca="1">IF(Table_NFI[[#This Row],[Pcode]]="","",OFFSET(CampList[Priority],MATCH(Table_NFI[[#This Row],[Pcode]],CampList[CP_Pcode],0)-1,0,1,1))</f>
        <v>P4</v>
      </c>
      <c r="AU537" s="293">
        <f>IFERROR(Table_NFI[[#This Row],[Kitchen Set]]/VLOOKUP(Table_NFI[[#This Row],[Camp Name]],CL,4,0),"")</f>
        <v>0</v>
      </c>
      <c r="AV537" s="466" t="s">
        <v>1092</v>
      </c>
      <c r="AW537" s="469"/>
    </row>
    <row r="538" spans="1:49" s="470" customFormat="1" ht="14.45" customHeight="1" x14ac:dyDescent="0.25">
      <c r="A538" s="297">
        <f t="shared" si="8"/>
        <v>35.56666666666667</v>
      </c>
      <c r="B538" s="465">
        <v>41608</v>
      </c>
      <c r="C538" s="466" t="s">
        <v>1097</v>
      </c>
      <c r="D538" s="467" t="s">
        <v>944</v>
      </c>
      <c r="E538" s="466" t="s">
        <v>553</v>
      </c>
      <c r="F538" s="290" t="s">
        <v>779</v>
      </c>
      <c r="G538" s="290" t="s">
        <v>594</v>
      </c>
      <c r="H538" s="291"/>
      <c r="I538" s="291"/>
      <c r="J538" s="291"/>
      <c r="K538" s="291"/>
      <c r="L538" s="292"/>
      <c r="M538" s="292">
        <v>201</v>
      </c>
      <c r="N538" s="292"/>
      <c r="O538" s="292"/>
      <c r="P538" s="294"/>
      <c r="Q538" s="294"/>
      <c r="R538" s="294">
        <v>266</v>
      </c>
      <c r="S538" s="294">
        <v>126</v>
      </c>
      <c r="T538" s="294">
        <v>0</v>
      </c>
      <c r="U538" s="294"/>
      <c r="V538" s="431"/>
      <c r="W538" s="294"/>
      <c r="X538" s="294"/>
      <c r="Y538" s="294">
        <f>IF(NFI_Expiration=1,IF($A538&lt;VLOOKUP(H$5,NFI,5,0),1,0)*Table_NFI[[#This Row],[Hygiene Kit]],Table_NFI[Hygiene Kit])</f>
        <v>0</v>
      </c>
      <c r="Z538" s="294">
        <f>IF(NFI_Expiration=1,IF($A538&lt;VLOOKUP(I$5,NFI,5,0),1,0)*Table_NFI[[#This Row],[NFI Core Kit]],Table_NFI[NFI Core Kit])</f>
        <v>0</v>
      </c>
      <c r="AA538" s="294">
        <f>IF(NFI_Expiration=1,IF($A538&lt;VLOOKUP(J$5,NFI,5,0),1,0)*Table_NFI[[#This Row],[Sanitary Kit]],Table_NFI[Sanitary Kit])</f>
        <v>0</v>
      </c>
      <c r="AB538" s="294">
        <f>IF(NFI_Expiration=1,IF($A538&lt;VLOOKUP(K$5,NFI,5,0),1,0)*Table_NFI[[#This Row],[Mosquito net]],Table_NFI[Mosquito net])</f>
        <v>0</v>
      </c>
      <c r="AC538" s="294">
        <f>IF(NFI_Expiration=1,IF($A538&lt;VLOOKUP(L$5,NFI,5,0),1,0)*Table_NFI[[#This Row],[Tarpaulin]],Table_NFI[[#This Row],[Tarpaulin]])</f>
        <v>0</v>
      </c>
      <c r="AD538" s="294">
        <f>IF(NFI_Expiration=1,IF($A538&lt;VLOOKUP(M$5,NFI,5,0),1,0)*Table_NFI[[#This Row],[Blanket]],Table_NFI[[#This Row],[Blanket]])</f>
        <v>0</v>
      </c>
      <c r="AE538" s="294">
        <f>IF(NFI_Expiration=1,IF($A538&lt;VLOOKUP(N$5,NFI,5,0),1,0)*Table_NFI[[#This Row],[Kitchen Set]],Table_NFI[Kitchen Set])</f>
        <v>0</v>
      </c>
      <c r="AF538" s="294">
        <f>IF(NFI_Expiration=1,IF($A538&lt;VLOOKUP(O$5,NFI,5,0),1,0)*Table_NFI[[#This Row],[Clothes Kit]],Table_NFI[Clothes Kit])</f>
        <v>0</v>
      </c>
      <c r="AG538" s="294">
        <f>IF(NFI_Expiration=1,IF($A538&lt;VLOOKUP(P$5,NFI,5,0),1,0)*Table_NFI[[#This Row],[Plastic Bucket]],Table_NFI[Plastic Bucket])</f>
        <v>0</v>
      </c>
      <c r="AH538" s="294">
        <f>IF(NFI_Expiration=1,IF($A538&lt;VLOOKUP(Q$5,NFI,5,0),1,0)*Table_NFI[[#This Row],[Plastic Mat]],Table_NFI[Plastic Mat])*IF(Table_NFI[[#This Row],[Distribution Date]]&gt;"2014-04-01",1,2.5)</f>
        <v>0</v>
      </c>
      <c r="AI538" s="294">
        <f>IF(NFI_Expiration=1,IF($A538&lt;VLOOKUP(R$5,NFI,5,0),1,0)*Table_NFI[[#This Row],[Winter Clothes Adult]],Table_NFI[Winter Clothes Adult])</f>
        <v>0</v>
      </c>
      <c r="AJ538" s="294">
        <f>IF(NFI_Expiration=1,IF($A538&lt;VLOOKUP(S$5,NFI,5,0),1,0)*Table_NFI[[#This Row],[Winter Clothes Children]],Table_NFI[Winter Clothes Children])</f>
        <v>0</v>
      </c>
      <c r="AK538" s="294">
        <f>IF(NFI_Expiration=1,IF($A538&lt;VLOOKUP(T$5,NFI,5,0),1,0)*Table_NFI[[#This Row],[Winter Items Other]],Table_NFI[Winter Items Other])</f>
        <v>0</v>
      </c>
      <c r="AL538" s="294">
        <f>IF(NFI_Expiration=1,IF($A538&lt;VLOOKUP(M$5,NFI,5,0),1,0)*Table_NFI[[#This Row],[Winter Blanket]],Table_NFI[[#This Row],[Winter Blanket]])</f>
        <v>0</v>
      </c>
      <c r="AM538" s="294">
        <f>IF(Table_NFI[[#This Row],[Winter Clothes Adult]]+Table_NFI[[#This Row],[Winter Clothes Children]]+Table_NFI[[#This Row],[Winter Items Other]]+Table_NFI[[#This Row],[Winter Blanket]]&gt;0,1,0)</f>
        <v>1</v>
      </c>
      <c r="AN538" s="331">
        <f>IF(NFI_Expiration=1,IF($A538&lt;VLOOKUP(V$5,NFI,5,0),1,0)*Table_NFI[[#This Row],[Jerry Can]],Table_NFI[Jerry Can])</f>
        <v>0</v>
      </c>
      <c r="AO538" s="331">
        <f>IF(NFI_Expiration=1,IF($A538&lt;VLOOKUP(V$5,NFI,5,0),1,0)*Table_NFI[[#This Row],[Shelter Tool kit]],Table_NFI[Shelter Tool kit])</f>
        <v>0</v>
      </c>
      <c r="AP538" s="331">
        <f>IF(NFI_Expiration=1,IF($A538&lt;VLOOKUP(V$5,NFI,5,0),1,0)*Table_NFI[[#This Row],[Tent]],Table_NFI[Tent])</f>
        <v>0</v>
      </c>
      <c r="AQ538" s="473" t="str">
        <f>IFERROR(VLOOKUP(Table_NFI[[#This Row],[Camp Name]],CL,2,0),"")</f>
        <v>MMR015CMP207</v>
      </c>
      <c r="AR538" s="468">
        <f ca="1">IF(Table_NFI[[#This Row],[Pcode]]="","",IF(OFFSET(CampList[Opening Date],MATCH(Table_NFI[[#This Row],[Pcode]],CampList[CP_Pcode],0)-1,0,1,1)&gt;=NFI_Monitor_Date,1,0))</f>
        <v>0</v>
      </c>
      <c r="AS538" s="473" t="str">
        <f>IFERROR(VLOOKUP(Table_NFI[[#This Row],[Camp Name]],CL,3,0),"")</f>
        <v>Open</v>
      </c>
      <c r="AT538" s="294" t="str">
        <f ca="1">IF(Table_NFI[[#This Row],[Pcode]]="","",OFFSET(CampList[Priority],MATCH(Table_NFI[[#This Row],[Pcode]],CampList[CP_Pcode],0)-1,0,1,1))</f>
        <v>P4</v>
      </c>
      <c r="AU538" s="293">
        <f>IFERROR(Table_NFI[[#This Row],[Kitchen Set]]/VLOOKUP(Table_NFI[[#This Row],[Camp Name]],CL,4,0),"")</f>
        <v>0</v>
      </c>
      <c r="AV538" s="466" t="s">
        <v>1092</v>
      </c>
      <c r="AW538" s="469"/>
    </row>
    <row r="539" spans="1:49" s="470" customFormat="1" ht="14.45" customHeight="1" x14ac:dyDescent="0.25">
      <c r="A539" s="297">
        <f t="shared" si="8"/>
        <v>35.56666666666667</v>
      </c>
      <c r="B539" s="465">
        <v>41608</v>
      </c>
      <c r="C539" s="466" t="s">
        <v>905</v>
      </c>
      <c r="D539" s="466" t="s">
        <v>1002</v>
      </c>
      <c r="E539" s="466" t="s">
        <v>380</v>
      </c>
      <c r="F539" s="290" t="s">
        <v>185</v>
      </c>
      <c r="G539" s="290" t="s">
        <v>215</v>
      </c>
      <c r="H539" s="291"/>
      <c r="I539" s="291"/>
      <c r="J539" s="291"/>
      <c r="K539" s="291"/>
      <c r="L539" s="292"/>
      <c r="M539" s="292"/>
      <c r="N539" s="292"/>
      <c r="O539" s="292"/>
      <c r="P539" s="294"/>
      <c r="Q539" s="294"/>
      <c r="R539" s="294"/>
      <c r="S539" s="294"/>
      <c r="T539" s="294"/>
      <c r="U539" s="294"/>
      <c r="V539" s="431"/>
      <c r="W539" s="294"/>
      <c r="X539" s="294"/>
      <c r="Y539" s="294">
        <f>IF(NFI_Expiration=1,IF($A539&lt;VLOOKUP(H$5,NFI,5,0),1,0)*Table_NFI[[#This Row],[Hygiene Kit]],Table_NFI[Hygiene Kit])</f>
        <v>0</v>
      </c>
      <c r="Z539" s="294">
        <f>IF(NFI_Expiration=1,IF($A539&lt;VLOOKUP(I$5,NFI,5,0),1,0)*Table_NFI[[#This Row],[NFI Core Kit]],Table_NFI[NFI Core Kit])</f>
        <v>0</v>
      </c>
      <c r="AA539" s="294">
        <f>IF(NFI_Expiration=1,IF($A539&lt;VLOOKUP(J$5,NFI,5,0),1,0)*Table_NFI[[#This Row],[Sanitary Kit]],Table_NFI[Sanitary Kit])</f>
        <v>0</v>
      </c>
      <c r="AB539" s="294">
        <f>IF(NFI_Expiration=1,IF($A539&lt;VLOOKUP(K$5,NFI,5,0),1,0)*Table_NFI[[#This Row],[Mosquito net]],Table_NFI[Mosquito net])</f>
        <v>0</v>
      </c>
      <c r="AC539" s="294">
        <f>IF(NFI_Expiration=1,IF($A539&lt;VLOOKUP(L$5,NFI,5,0),1,0)*Table_NFI[[#This Row],[Tarpaulin]],Table_NFI[[#This Row],[Tarpaulin]])</f>
        <v>0</v>
      </c>
      <c r="AD539" s="294">
        <f>IF(NFI_Expiration=1,IF($A539&lt;VLOOKUP(M$5,NFI,5,0),1,0)*Table_NFI[[#This Row],[Blanket]],Table_NFI[[#This Row],[Blanket]])</f>
        <v>0</v>
      </c>
      <c r="AE539" s="294">
        <f>IF(NFI_Expiration=1,IF($A539&lt;VLOOKUP(N$5,NFI,5,0),1,0)*Table_NFI[[#This Row],[Kitchen Set]],Table_NFI[Kitchen Set])</f>
        <v>0</v>
      </c>
      <c r="AF539" s="294">
        <f>IF(NFI_Expiration=1,IF($A539&lt;VLOOKUP(O$5,NFI,5,0),1,0)*Table_NFI[[#This Row],[Clothes Kit]],Table_NFI[Clothes Kit])</f>
        <v>0</v>
      </c>
      <c r="AG539" s="294">
        <f>IF(NFI_Expiration=1,IF($A539&lt;VLOOKUP(P$5,NFI,5,0),1,0)*Table_NFI[[#This Row],[Plastic Bucket]],Table_NFI[Plastic Bucket])</f>
        <v>0</v>
      </c>
      <c r="AH539" s="294">
        <f>IF(NFI_Expiration=1,IF($A539&lt;VLOOKUP(Q$5,NFI,5,0),1,0)*Table_NFI[[#This Row],[Plastic Mat]],Table_NFI[Plastic Mat])*IF(Table_NFI[[#This Row],[Distribution Date]]&gt;"2014-04-01",1,2.5)</f>
        <v>0</v>
      </c>
      <c r="AI539" s="294">
        <f>IF(NFI_Expiration=1,IF($A539&lt;VLOOKUP(R$5,NFI,5,0),1,0)*Table_NFI[[#This Row],[Winter Clothes Adult]],Table_NFI[Winter Clothes Adult])</f>
        <v>0</v>
      </c>
      <c r="AJ539" s="294">
        <f>IF(NFI_Expiration=1,IF($A539&lt;VLOOKUP(S$5,NFI,5,0),1,0)*Table_NFI[[#This Row],[Winter Clothes Children]],Table_NFI[Winter Clothes Children])</f>
        <v>0</v>
      </c>
      <c r="AK539" s="294">
        <f>IF(NFI_Expiration=1,IF($A539&lt;VLOOKUP(T$5,NFI,5,0),1,0)*Table_NFI[[#This Row],[Winter Items Other]],Table_NFI[Winter Items Other])</f>
        <v>0</v>
      </c>
      <c r="AL539" s="294">
        <f>IF(NFI_Expiration=1,IF($A539&lt;VLOOKUP(M$5,NFI,5,0),1,0)*Table_NFI[[#This Row],[Winter Blanket]],Table_NFI[[#This Row],[Winter Blanket]])</f>
        <v>0</v>
      </c>
      <c r="AM539" s="294">
        <f>IF(Table_NFI[[#This Row],[Winter Clothes Adult]]+Table_NFI[[#This Row],[Winter Clothes Children]]+Table_NFI[[#This Row],[Winter Items Other]]+Table_NFI[[#This Row],[Winter Blanket]]&gt;0,1,0)</f>
        <v>0</v>
      </c>
      <c r="AN539" s="331">
        <f>IF(NFI_Expiration=1,IF($A539&lt;VLOOKUP(V$5,NFI,5,0),1,0)*Table_NFI[[#This Row],[Jerry Can]],Table_NFI[Jerry Can])</f>
        <v>0</v>
      </c>
      <c r="AO539" s="331">
        <f>IF(NFI_Expiration=1,IF($A539&lt;VLOOKUP(V$5,NFI,5,0),1,0)*Table_NFI[[#This Row],[Shelter Tool kit]],Table_NFI[Shelter Tool kit])</f>
        <v>0</v>
      </c>
      <c r="AP539" s="331">
        <f>IF(NFI_Expiration=1,IF($A539&lt;VLOOKUP(V$5,NFI,5,0),1,0)*Table_NFI[[#This Row],[Tent]],Table_NFI[Tent])</f>
        <v>0</v>
      </c>
      <c r="AQ539" s="473" t="str">
        <f>IFERROR(VLOOKUP(Table_NFI[[#This Row],[Camp Name]],CL,2,0),"")</f>
        <v>MMR001CMP131</v>
      </c>
      <c r="AR539" s="468">
        <f ca="1">IF(Table_NFI[[#This Row],[Pcode]]="","",IF(OFFSET(CampList[Opening Date],MATCH(Table_NFI[[#This Row],[Pcode]],CampList[CP_Pcode],0)-1,0,1,1)&gt;=NFI_Monitor_Date,1,0))</f>
        <v>0</v>
      </c>
      <c r="AS539" s="473" t="str">
        <f>IFERROR(VLOOKUP(Table_NFI[[#This Row],[Camp Name]],CL,3,0),"")</f>
        <v>Open</v>
      </c>
      <c r="AT539" s="294" t="str">
        <f ca="1">IF(Table_NFI[[#This Row],[Pcode]]="","",OFFSET(CampList[Priority],MATCH(Table_NFI[[#This Row],[Pcode]],CampList[CP_Pcode],0)-1,0,1,1))</f>
        <v>P1</v>
      </c>
      <c r="AU539" s="293">
        <f>IFERROR(Table_NFI[[#This Row],[Kitchen Set]]/VLOOKUP(Table_NFI[[#This Row],[Camp Name]],CL,4,0),"")</f>
        <v>0</v>
      </c>
      <c r="AV539" s="466" t="s">
        <v>1092</v>
      </c>
      <c r="AW539" s="469"/>
    </row>
    <row r="540" spans="1:49" s="470" customFormat="1" ht="14.45" customHeight="1" x14ac:dyDescent="0.25">
      <c r="A540" s="297">
        <f t="shared" si="8"/>
        <v>35.56666666666667</v>
      </c>
      <c r="B540" s="465">
        <v>41608</v>
      </c>
      <c r="C540" s="466" t="s">
        <v>905</v>
      </c>
      <c r="D540" s="466"/>
      <c r="E540" s="466" t="s">
        <v>380</v>
      </c>
      <c r="F540" s="290" t="s">
        <v>185</v>
      </c>
      <c r="G540" s="290" t="s">
        <v>217</v>
      </c>
      <c r="H540" s="291"/>
      <c r="I540" s="291"/>
      <c r="J540" s="291"/>
      <c r="K540" s="291"/>
      <c r="L540" s="292"/>
      <c r="M540" s="292"/>
      <c r="N540" s="292"/>
      <c r="O540" s="292"/>
      <c r="P540" s="294"/>
      <c r="Q540" s="294">
        <v>60</v>
      </c>
      <c r="R540" s="294"/>
      <c r="S540" s="294"/>
      <c r="T540" s="294"/>
      <c r="U540" s="294"/>
      <c r="V540" s="431"/>
      <c r="W540" s="294"/>
      <c r="X540" s="294"/>
      <c r="Y540" s="294">
        <f>IF(NFI_Expiration=1,IF($A540&lt;VLOOKUP(H$5,NFI,5,0),1,0)*Table_NFI[[#This Row],[Hygiene Kit]],Table_NFI[Hygiene Kit])</f>
        <v>0</v>
      </c>
      <c r="Z540" s="294">
        <f>IF(NFI_Expiration=1,IF($A540&lt;VLOOKUP(I$5,NFI,5,0),1,0)*Table_NFI[[#This Row],[NFI Core Kit]],Table_NFI[NFI Core Kit])</f>
        <v>0</v>
      </c>
      <c r="AA540" s="294">
        <f>IF(NFI_Expiration=1,IF($A540&lt;VLOOKUP(J$5,NFI,5,0),1,0)*Table_NFI[[#This Row],[Sanitary Kit]],Table_NFI[Sanitary Kit])</f>
        <v>0</v>
      </c>
      <c r="AB540" s="294">
        <f>IF(NFI_Expiration=1,IF($A540&lt;VLOOKUP(K$5,NFI,5,0),1,0)*Table_NFI[[#This Row],[Mosquito net]],Table_NFI[Mosquito net])</f>
        <v>0</v>
      </c>
      <c r="AC540" s="294">
        <f>IF(NFI_Expiration=1,IF($A540&lt;VLOOKUP(L$5,NFI,5,0),1,0)*Table_NFI[[#This Row],[Tarpaulin]],Table_NFI[[#This Row],[Tarpaulin]])</f>
        <v>0</v>
      </c>
      <c r="AD540" s="294">
        <f>IF(NFI_Expiration=1,IF($A540&lt;VLOOKUP(M$5,NFI,5,0),1,0)*Table_NFI[[#This Row],[Blanket]],Table_NFI[[#This Row],[Blanket]])</f>
        <v>0</v>
      </c>
      <c r="AE540" s="294">
        <f>IF(NFI_Expiration=1,IF($A540&lt;VLOOKUP(N$5,NFI,5,0),1,0)*Table_NFI[[#This Row],[Kitchen Set]],Table_NFI[Kitchen Set])</f>
        <v>0</v>
      </c>
      <c r="AF540" s="294">
        <f>IF(NFI_Expiration=1,IF($A540&lt;VLOOKUP(O$5,NFI,5,0),1,0)*Table_NFI[[#This Row],[Clothes Kit]],Table_NFI[Clothes Kit])</f>
        <v>0</v>
      </c>
      <c r="AG540" s="294">
        <f>IF(NFI_Expiration=1,IF($A540&lt;VLOOKUP(P$5,NFI,5,0),1,0)*Table_NFI[[#This Row],[Plastic Bucket]],Table_NFI[Plastic Bucket])</f>
        <v>0</v>
      </c>
      <c r="AH540" s="294">
        <f>IF(NFI_Expiration=1,IF($A540&lt;VLOOKUP(Q$5,NFI,5,0),1,0)*Table_NFI[[#This Row],[Plastic Mat]],Table_NFI[Plastic Mat])*IF(Table_NFI[[#This Row],[Distribution Date]]&gt;"2014-04-01",1,2.5)</f>
        <v>0</v>
      </c>
      <c r="AI540" s="294">
        <f>IF(NFI_Expiration=1,IF($A540&lt;VLOOKUP(R$5,NFI,5,0),1,0)*Table_NFI[[#This Row],[Winter Clothes Adult]],Table_NFI[Winter Clothes Adult])</f>
        <v>0</v>
      </c>
      <c r="AJ540" s="294">
        <f>IF(NFI_Expiration=1,IF($A540&lt;VLOOKUP(S$5,NFI,5,0),1,0)*Table_NFI[[#This Row],[Winter Clothes Children]],Table_NFI[Winter Clothes Children])</f>
        <v>0</v>
      </c>
      <c r="AK540" s="294">
        <f>IF(NFI_Expiration=1,IF($A540&lt;VLOOKUP(T$5,NFI,5,0),1,0)*Table_NFI[[#This Row],[Winter Items Other]],Table_NFI[Winter Items Other])</f>
        <v>0</v>
      </c>
      <c r="AL540" s="294">
        <f>IF(NFI_Expiration=1,IF($A540&lt;VLOOKUP(M$5,NFI,5,0),1,0)*Table_NFI[[#This Row],[Winter Blanket]],Table_NFI[[#This Row],[Winter Blanket]])</f>
        <v>0</v>
      </c>
      <c r="AM540" s="294">
        <f>IF(Table_NFI[[#This Row],[Winter Clothes Adult]]+Table_NFI[[#This Row],[Winter Clothes Children]]+Table_NFI[[#This Row],[Winter Items Other]]+Table_NFI[[#This Row],[Winter Blanket]]&gt;0,1,0)</f>
        <v>0</v>
      </c>
      <c r="AN540" s="331">
        <f>IF(NFI_Expiration=1,IF($A540&lt;VLOOKUP(V$5,NFI,5,0),1,0)*Table_NFI[[#This Row],[Jerry Can]],Table_NFI[Jerry Can])</f>
        <v>0</v>
      </c>
      <c r="AO540" s="331">
        <f>IF(NFI_Expiration=1,IF($A540&lt;VLOOKUP(V$5,NFI,5,0),1,0)*Table_NFI[[#This Row],[Shelter Tool kit]],Table_NFI[Shelter Tool kit])</f>
        <v>0</v>
      </c>
      <c r="AP540" s="331">
        <f>IF(NFI_Expiration=1,IF($A540&lt;VLOOKUP(V$5,NFI,5,0),1,0)*Table_NFI[[#This Row],[Tent]],Table_NFI[Tent])</f>
        <v>0</v>
      </c>
      <c r="AQ540" s="473" t="str">
        <f>IFERROR(VLOOKUP(Table_NFI[[#This Row],[Camp Name]],CL,2,0),"")</f>
        <v>MMR001CMP059</v>
      </c>
      <c r="AR540" s="468">
        <f ca="1">IF(Table_NFI[[#This Row],[Pcode]]="","",IF(OFFSET(CampList[Opening Date],MATCH(Table_NFI[[#This Row],[Pcode]],CampList[CP_Pcode],0)-1,0,1,1)&gt;=NFI_Monitor_Date,1,0))</f>
        <v>0</v>
      </c>
      <c r="AS540" s="473" t="str">
        <f>IFERROR(VLOOKUP(Table_NFI[[#This Row],[Camp Name]],CL,3,0),"")</f>
        <v>Closed</v>
      </c>
      <c r="AT540" s="294" t="str">
        <f ca="1">IF(Table_NFI[[#This Row],[Pcode]]="","",OFFSET(CampList[Priority],MATCH(Table_NFI[[#This Row],[Pcode]],CampList[CP_Pcode],0)-1,0,1,1))</f>
        <v>P4</v>
      </c>
      <c r="AU540" s="293" t="str">
        <f>IFERROR(Table_NFI[[#This Row],[Kitchen Set]]/VLOOKUP(Table_NFI[[#This Row],[Camp Name]],CL,4,0),"")</f>
        <v/>
      </c>
      <c r="AV540" s="466" t="s">
        <v>1092</v>
      </c>
      <c r="AW540" s="469"/>
    </row>
    <row r="541" spans="1:49" s="470" customFormat="1" ht="14.45" customHeight="1" x14ac:dyDescent="0.25">
      <c r="A541" s="297">
        <f t="shared" si="8"/>
        <v>35.56666666666667</v>
      </c>
      <c r="B541" s="465">
        <v>41608</v>
      </c>
      <c r="C541" s="466" t="s">
        <v>905</v>
      </c>
      <c r="D541" s="466"/>
      <c r="E541" s="466" t="s">
        <v>380</v>
      </c>
      <c r="F541" s="290" t="s">
        <v>185</v>
      </c>
      <c r="G541" s="290" t="s">
        <v>229</v>
      </c>
      <c r="H541" s="291"/>
      <c r="I541" s="291"/>
      <c r="J541" s="291"/>
      <c r="K541" s="291"/>
      <c r="L541" s="292"/>
      <c r="M541" s="292"/>
      <c r="N541" s="292"/>
      <c r="O541" s="292"/>
      <c r="P541" s="294"/>
      <c r="Q541" s="294">
        <v>135</v>
      </c>
      <c r="R541" s="294"/>
      <c r="S541" s="294"/>
      <c r="T541" s="294"/>
      <c r="U541" s="294"/>
      <c r="V541" s="431"/>
      <c r="W541" s="294"/>
      <c r="X541" s="294"/>
      <c r="Y541" s="294">
        <f>IF(NFI_Expiration=1,IF($A541&lt;VLOOKUP(H$5,NFI,5,0),1,0)*Table_NFI[[#This Row],[Hygiene Kit]],Table_NFI[Hygiene Kit])</f>
        <v>0</v>
      </c>
      <c r="Z541" s="294">
        <f>IF(NFI_Expiration=1,IF($A541&lt;VLOOKUP(I$5,NFI,5,0),1,0)*Table_NFI[[#This Row],[NFI Core Kit]],Table_NFI[NFI Core Kit])</f>
        <v>0</v>
      </c>
      <c r="AA541" s="294">
        <f>IF(NFI_Expiration=1,IF($A541&lt;VLOOKUP(J$5,NFI,5,0),1,0)*Table_NFI[[#This Row],[Sanitary Kit]],Table_NFI[Sanitary Kit])</f>
        <v>0</v>
      </c>
      <c r="AB541" s="294">
        <f>IF(NFI_Expiration=1,IF($A541&lt;VLOOKUP(K$5,NFI,5,0),1,0)*Table_NFI[[#This Row],[Mosquito net]],Table_NFI[Mosquito net])</f>
        <v>0</v>
      </c>
      <c r="AC541" s="294">
        <f>IF(NFI_Expiration=1,IF($A541&lt;VLOOKUP(L$5,NFI,5,0),1,0)*Table_NFI[[#This Row],[Tarpaulin]],Table_NFI[[#This Row],[Tarpaulin]])</f>
        <v>0</v>
      </c>
      <c r="AD541" s="294">
        <f>IF(NFI_Expiration=1,IF($A541&lt;VLOOKUP(M$5,NFI,5,0),1,0)*Table_NFI[[#This Row],[Blanket]],Table_NFI[[#This Row],[Blanket]])</f>
        <v>0</v>
      </c>
      <c r="AE541" s="294">
        <f>IF(NFI_Expiration=1,IF($A541&lt;VLOOKUP(N$5,NFI,5,0),1,0)*Table_NFI[[#This Row],[Kitchen Set]],Table_NFI[Kitchen Set])</f>
        <v>0</v>
      </c>
      <c r="AF541" s="294">
        <f>IF(NFI_Expiration=1,IF($A541&lt;VLOOKUP(O$5,NFI,5,0),1,0)*Table_NFI[[#This Row],[Clothes Kit]],Table_NFI[Clothes Kit])</f>
        <v>0</v>
      </c>
      <c r="AG541" s="294">
        <f>IF(NFI_Expiration=1,IF($A541&lt;VLOOKUP(P$5,NFI,5,0),1,0)*Table_NFI[[#This Row],[Plastic Bucket]],Table_NFI[Plastic Bucket])</f>
        <v>0</v>
      </c>
      <c r="AH541" s="294">
        <f>IF(NFI_Expiration=1,IF($A541&lt;VLOOKUP(Q$5,NFI,5,0),1,0)*Table_NFI[[#This Row],[Plastic Mat]],Table_NFI[Plastic Mat])*IF(Table_NFI[[#This Row],[Distribution Date]]&gt;"2014-04-01",1,2.5)</f>
        <v>0</v>
      </c>
      <c r="AI541" s="294">
        <f>IF(NFI_Expiration=1,IF($A541&lt;VLOOKUP(R$5,NFI,5,0),1,0)*Table_NFI[[#This Row],[Winter Clothes Adult]],Table_NFI[Winter Clothes Adult])</f>
        <v>0</v>
      </c>
      <c r="AJ541" s="294">
        <f>IF(NFI_Expiration=1,IF($A541&lt;VLOOKUP(S$5,NFI,5,0),1,0)*Table_NFI[[#This Row],[Winter Clothes Children]],Table_NFI[Winter Clothes Children])</f>
        <v>0</v>
      </c>
      <c r="AK541" s="294">
        <f>IF(NFI_Expiration=1,IF($A541&lt;VLOOKUP(T$5,NFI,5,0),1,0)*Table_NFI[[#This Row],[Winter Items Other]],Table_NFI[Winter Items Other])</f>
        <v>0</v>
      </c>
      <c r="AL541" s="294">
        <f>IF(NFI_Expiration=1,IF($A541&lt;VLOOKUP(M$5,NFI,5,0),1,0)*Table_NFI[[#This Row],[Winter Blanket]],Table_NFI[[#This Row],[Winter Blanket]])</f>
        <v>0</v>
      </c>
      <c r="AM541" s="294">
        <f>IF(Table_NFI[[#This Row],[Winter Clothes Adult]]+Table_NFI[[#This Row],[Winter Clothes Children]]+Table_NFI[[#This Row],[Winter Items Other]]+Table_NFI[[#This Row],[Winter Blanket]]&gt;0,1,0)</f>
        <v>0</v>
      </c>
      <c r="AN541" s="331">
        <f>IF(NFI_Expiration=1,IF($A541&lt;VLOOKUP(V$5,NFI,5,0),1,0)*Table_NFI[[#This Row],[Jerry Can]],Table_NFI[Jerry Can])</f>
        <v>0</v>
      </c>
      <c r="AO541" s="331">
        <f>IF(NFI_Expiration=1,IF($A541&lt;VLOOKUP(V$5,NFI,5,0),1,0)*Table_NFI[[#This Row],[Shelter Tool kit]],Table_NFI[Shelter Tool kit])</f>
        <v>0</v>
      </c>
      <c r="AP541" s="331">
        <f>IF(NFI_Expiration=1,IF($A541&lt;VLOOKUP(V$5,NFI,5,0),1,0)*Table_NFI[[#This Row],[Tent]],Table_NFI[Tent])</f>
        <v>0</v>
      </c>
      <c r="AQ541" s="473" t="str">
        <f>IFERROR(VLOOKUP(Table_NFI[[#This Row],[Camp Name]],CL,2,0),"")</f>
        <v>MMR001CMP072</v>
      </c>
      <c r="AR541" s="468">
        <f ca="1">IF(Table_NFI[[#This Row],[Pcode]]="","",IF(OFFSET(CampList[Opening Date],MATCH(Table_NFI[[#This Row],[Pcode]],CampList[CP_Pcode],0)-1,0,1,1)&gt;=NFI_Monitor_Date,1,0))</f>
        <v>0</v>
      </c>
      <c r="AS541" s="473" t="str">
        <f>IFERROR(VLOOKUP(Table_NFI[[#This Row],[Camp Name]],CL,3,0),"")</f>
        <v>Open</v>
      </c>
      <c r="AT541" s="294" t="str">
        <f ca="1">IF(Table_NFI[[#This Row],[Pcode]]="","",OFFSET(CampList[Priority],MATCH(Table_NFI[[#This Row],[Pcode]],CampList[CP_Pcode],0)-1,0,1,1))</f>
        <v>P3</v>
      </c>
      <c r="AU541" s="293">
        <f>IFERROR(Table_NFI[[#This Row],[Kitchen Set]]/VLOOKUP(Table_NFI[[#This Row],[Camp Name]],CL,4,0),"")</f>
        <v>0</v>
      </c>
      <c r="AV541" s="466" t="s">
        <v>1092</v>
      </c>
      <c r="AW541" s="469"/>
    </row>
    <row r="542" spans="1:49" s="470" customFormat="1" ht="14.45" customHeight="1" x14ac:dyDescent="0.25">
      <c r="A542" s="297">
        <f t="shared" si="8"/>
        <v>35.56666666666667</v>
      </c>
      <c r="B542" s="465">
        <v>41608</v>
      </c>
      <c r="C542" s="466" t="s">
        <v>905</v>
      </c>
      <c r="D542" s="466" t="s">
        <v>1002</v>
      </c>
      <c r="E542" s="466" t="s">
        <v>380</v>
      </c>
      <c r="F542" s="290" t="s">
        <v>185</v>
      </c>
      <c r="G542" s="290" t="s">
        <v>219</v>
      </c>
      <c r="H542" s="291"/>
      <c r="I542" s="291"/>
      <c r="J542" s="291"/>
      <c r="K542" s="291"/>
      <c r="L542" s="292"/>
      <c r="M542" s="292"/>
      <c r="N542" s="292"/>
      <c r="O542" s="292"/>
      <c r="P542" s="294"/>
      <c r="Q542" s="294"/>
      <c r="R542" s="294"/>
      <c r="S542" s="294"/>
      <c r="T542" s="294"/>
      <c r="U542" s="294"/>
      <c r="V542" s="431"/>
      <c r="W542" s="294"/>
      <c r="X542" s="294"/>
      <c r="Y542" s="294">
        <f>IF(NFI_Expiration=1,IF($A542&lt;VLOOKUP(H$5,NFI,5,0),1,0)*Table_NFI[[#This Row],[Hygiene Kit]],Table_NFI[Hygiene Kit])</f>
        <v>0</v>
      </c>
      <c r="Z542" s="294">
        <f>IF(NFI_Expiration=1,IF($A542&lt;VLOOKUP(I$5,NFI,5,0),1,0)*Table_NFI[[#This Row],[NFI Core Kit]],Table_NFI[NFI Core Kit])</f>
        <v>0</v>
      </c>
      <c r="AA542" s="294">
        <f>IF(NFI_Expiration=1,IF($A542&lt;VLOOKUP(J$5,NFI,5,0),1,0)*Table_NFI[[#This Row],[Sanitary Kit]],Table_NFI[Sanitary Kit])</f>
        <v>0</v>
      </c>
      <c r="AB542" s="294">
        <f>IF(NFI_Expiration=1,IF($A542&lt;VLOOKUP(K$5,NFI,5,0),1,0)*Table_NFI[[#This Row],[Mosquito net]],Table_NFI[Mosquito net])</f>
        <v>0</v>
      </c>
      <c r="AC542" s="294">
        <f>IF(NFI_Expiration=1,IF($A542&lt;VLOOKUP(L$5,NFI,5,0),1,0)*Table_NFI[[#This Row],[Tarpaulin]],Table_NFI[[#This Row],[Tarpaulin]])</f>
        <v>0</v>
      </c>
      <c r="AD542" s="294">
        <f>IF(NFI_Expiration=1,IF($A542&lt;VLOOKUP(M$5,NFI,5,0),1,0)*Table_NFI[[#This Row],[Blanket]],Table_NFI[[#This Row],[Blanket]])</f>
        <v>0</v>
      </c>
      <c r="AE542" s="294">
        <f>IF(NFI_Expiration=1,IF($A542&lt;VLOOKUP(N$5,NFI,5,0),1,0)*Table_NFI[[#This Row],[Kitchen Set]],Table_NFI[Kitchen Set])</f>
        <v>0</v>
      </c>
      <c r="AF542" s="294">
        <f>IF(NFI_Expiration=1,IF($A542&lt;VLOOKUP(O$5,NFI,5,0),1,0)*Table_NFI[[#This Row],[Clothes Kit]],Table_NFI[Clothes Kit])</f>
        <v>0</v>
      </c>
      <c r="AG542" s="294">
        <f>IF(NFI_Expiration=1,IF($A542&lt;VLOOKUP(P$5,NFI,5,0),1,0)*Table_NFI[[#This Row],[Plastic Bucket]],Table_NFI[Plastic Bucket])</f>
        <v>0</v>
      </c>
      <c r="AH542" s="294">
        <f>IF(NFI_Expiration=1,IF($A542&lt;VLOOKUP(Q$5,NFI,5,0),1,0)*Table_NFI[[#This Row],[Plastic Mat]],Table_NFI[Plastic Mat])*IF(Table_NFI[[#This Row],[Distribution Date]]&gt;"2014-04-01",1,2.5)</f>
        <v>0</v>
      </c>
      <c r="AI542" s="294">
        <f>IF(NFI_Expiration=1,IF($A542&lt;VLOOKUP(R$5,NFI,5,0),1,0)*Table_NFI[[#This Row],[Winter Clothes Adult]],Table_NFI[Winter Clothes Adult])</f>
        <v>0</v>
      </c>
      <c r="AJ542" s="294">
        <f>IF(NFI_Expiration=1,IF($A542&lt;VLOOKUP(S$5,NFI,5,0),1,0)*Table_NFI[[#This Row],[Winter Clothes Children]],Table_NFI[Winter Clothes Children])</f>
        <v>0</v>
      </c>
      <c r="AK542" s="294">
        <f>IF(NFI_Expiration=1,IF($A542&lt;VLOOKUP(T$5,NFI,5,0),1,0)*Table_NFI[[#This Row],[Winter Items Other]],Table_NFI[Winter Items Other])</f>
        <v>0</v>
      </c>
      <c r="AL542" s="294">
        <f>IF(NFI_Expiration=1,IF($A542&lt;VLOOKUP(M$5,NFI,5,0),1,0)*Table_NFI[[#This Row],[Winter Blanket]],Table_NFI[[#This Row],[Winter Blanket]])</f>
        <v>0</v>
      </c>
      <c r="AM542" s="294">
        <f>IF(Table_NFI[[#This Row],[Winter Clothes Adult]]+Table_NFI[[#This Row],[Winter Clothes Children]]+Table_NFI[[#This Row],[Winter Items Other]]+Table_NFI[[#This Row],[Winter Blanket]]&gt;0,1,0)</f>
        <v>0</v>
      </c>
      <c r="AN542" s="331">
        <f>IF(NFI_Expiration=1,IF($A542&lt;VLOOKUP(V$5,NFI,5,0),1,0)*Table_NFI[[#This Row],[Jerry Can]],Table_NFI[Jerry Can])</f>
        <v>0</v>
      </c>
      <c r="AO542" s="331">
        <f>IF(NFI_Expiration=1,IF($A542&lt;VLOOKUP(V$5,NFI,5,0),1,0)*Table_NFI[[#This Row],[Shelter Tool kit]],Table_NFI[Shelter Tool kit])</f>
        <v>0</v>
      </c>
      <c r="AP542" s="331">
        <f>IF(NFI_Expiration=1,IF($A542&lt;VLOOKUP(V$5,NFI,5,0),1,0)*Table_NFI[[#This Row],[Tent]],Table_NFI[Tent])</f>
        <v>0</v>
      </c>
      <c r="AQ542" s="473" t="str">
        <f>IFERROR(VLOOKUP(Table_NFI[[#This Row],[Camp Name]],CL,2,0),"")</f>
        <v>MMR001CMP126</v>
      </c>
      <c r="AR542" s="468">
        <f ca="1">IF(Table_NFI[[#This Row],[Pcode]]="","",IF(OFFSET(CampList[Opening Date],MATCH(Table_NFI[[#This Row],[Pcode]],CampList[CP_Pcode],0)-1,0,1,1)&gt;=NFI_Monitor_Date,1,0))</f>
        <v>0</v>
      </c>
      <c r="AS542" s="473" t="str">
        <f>IFERROR(VLOOKUP(Table_NFI[[#This Row],[Camp Name]],CL,3,0),"")</f>
        <v>Open</v>
      </c>
      <c r="AT542" s="294" t="str">
        <f ca="1">IF(Table_NFI[[#This Row],[Pcode]]="","",OFFSET(CampList[Priority],MATCH(Table_NFI[[#This Row],[Pcode]],CampList[CP_Pcode],0)-1,0,1,1))</f>
        <v>P2</v>
      </c>
      <c r="AU542" s="293">
        <f>IFERROR(Table_NFI[[#This Row],[Kitchen Set]]/VLOOKUP(Table_NFI[[#This Row],[Camp Name]],CL,4,0),"")</f>
        <v>0</v>
      </c>
      <c r="AV542" s="466" t="s">
        <v>1092</v>
      </c>
      <c r="AW542" s="469"/>
    </row>
    <row r="543" spans="1:49" s="470" customFormat="1" ht="14.45" customHeight="1" x14ac:dyDescent="0.25">
      <c r="A543" s="297">
        <f t="shared" si="8"/>
        <v>35.56666666666667</v>
      </c>
      <c r="B543" s="465">
        <v>41608</v>
      </c>
      <c r="C543" s="466" t="s">
        <v>452</v>
      </c>
      <c r="D543" s="467" t="s">
        <v>452</v>
      </c>
      <c r="E543" s="466" t="s">
        <v>380</v>
      </c>
      <c r="F543" s="290" t="s">
        <v>185</v>
      </c>
      <c r="G543" s="290" t="s">
        <v>219</v>
      </c>
      <c r="H543" s="291"/>
      <c r="I543" s="291"/>
      <c r="J543" s="291"/>
      <c r="K543" s="291"/>
      <c r="L543" s="292"/>
      <c r="M543" s="292"/>
      <c r="N543" s="292"/>
      <c r="O543" s="292"/>
      <c r="P543" s="294"/>
      <c r="Q543" s="294"/>
      <c r="R543" s="294"/>
      <c r="S543" s="294"/>
      <c r="T543" s="294"/>
      <c r="U543" s="294"/>
      <c r="V543" s="431"/>
      <c r="W543" s="294"/>
      <c r="X543" s="294"/>
      <c r="Y543" s="294">
        <f>IF(NFI_Expiration=1,IF($A543&lt;VLOOKUP(H$5,NFI,5,0),1,0)*Table_NFI[[#This Row],[Hygiene Kit]],Table_NFI[Hygiene Kit])</f>
        <v>0</v>
      </c>
      <c r="Z543" s="294">
        <f>IF(NFI_Expiration=1,IF($A543&lt;VLOOKUP(I$5,NFI,5,0),1,0)*Table_NFI[[#This Row],[NFI Core Kit]],Table_NFI[NFI Core Kit])</f>
        <v>0</v>
      </c>
      <c r="AA543" s="294">
        <f>IF(NFI_Expiration=1,IF($A543&lt;VLOOKUP(J$5,NFI,5,0),1,0)*Table_NFI[[#This Row],[Sanitary Kit]],Table_NFI[Sanitary Kit])</f>
        <v>0</v>
      </c>
      <c r="AB543" s="294">
        <f>IF(NFI_Expiration=1,IF($A543&lt;VLOOKUP(K$5,NFI,5,0),1,0)*Table_NFI[[#This Row],[Mosquito net]],Table_NFI[Mosquito net])</f>
        <v>0</v>
      </c>
      <c r="AC543" s="294">
        <f>IF(NFI_Expiration=1,IF($A543&lt;VLOOKUP(L$5,NFI,5,0),1,0)*Table_NFI[[#This Row],[Tarpaulin]],Table_NFI[[#This Row],[Tarpaulin]])</f>
        <v>0</v>
      </c>
      <c r="AD543" s="294">
        <f>IF(NFI_Expiration=1,IF($A543&lt;VLOOKUP(M$5,NFI,5,0),1,0)*Table_NFI[[#This Row],[Blanket]],Table_NFI[[#This Row],[Blanket]])</f>
        <v>0</v>
      </c>
      <c r="AE543" s="294">
        <f>IF(NFI_Expiration=1,IF($A543&lt;VLOOKUP(N$5,NFI,5,0),1,0)*Table_NFI[[#This Row],[Kitchen Set]],Table_NFI[Kitchen Set])</f>
        <v>0</v>
      </c>
      <c r="AF543" s="294">
        <f>IF(NFI_Expiration=1,IF($A543&lt;VLOOKUP(O$5,NFI,5,0),1,0)*Table_NFI[[#This Row],[Clothes Kit]],Table_NFI[Clothes Kit])</f>
        <v>0</v>
      </c>
      <c r="AG543" s="294">
        <f>IF(NFI_Expiration=1,IF($A543&lt;VLOOKUP(P$5,NFI,5,0),1,0)*Table_NFI[[#This Row],[Plastic Bucket]],Table_NFI[Plastic Bucket])</f>
        <v>0</v>
      </c>
      <c r="AH543" s="294">
        <f>IF(NFI_Expiration=1,IF($A543&lt;VLOOKUP(Q$5,NFI,5,0),1,0)*Table_NFI[[#This Row],[Plastic Mat]],Table_NFI[Plastic Mat])*IF(Table_NFI[[#This Row],[Distribution Date]]&gt;"2014-04-01",1,2.5)</f>
        <v>0</v>
      </c>
      <c r="AI543" s="294">
        <f>IF(NFI_Expiration=1,IF($A543&lt;VLOOKUP(R$5,NFI,5,0),1,0)*Table_NFI[[#This Row],[Winter Clothes Adult]],Table_NFI[Winter Clothes Adult])</f>
        <v>0</v>
      </c>
      <c r="AJ543" s="294">
        <f>IF(NFI_Expiration=1,IF($A543&lt;VLOOKUP(S$5,NFI,5,0),1,0)*Table_NFI[[#This Row],[Winter Clothes Children]],Table_NFI[Winter Clothes Children])</f>
        <v>0</v>
      </c>
      <c r="AK543" s="294">
        <f>IF(NFI_Expiration=1,IF($A543&lt;VLOOKUP(T$5,NFI,5,0),1,0)*Table_NFI[[#This Row],[Winter Items Other]],Table_NFI[Winter Items Other])</f>
        <v>0</v>
      </c>
      <c r="AL543" s="294">
        <f>IF(NFI_Expiration=1,IF($A543&lt;VLOOKUP(M$5,NFI,5,0),1,0)*Table_NFI[[#This Row],[Winter Blanket]],Table_NFI[[#This Row],[Winter Blanket]])</f>
        <v>0</v>
      </c>
      <c r="AM543" s="294">
        <f>IF(Table_NFI[[#This Row],[Winter Clothes Adult]]+Table_NFI[[#This Row],[Winter Clothes Children]]+Table_NFI[[#This Row],[Winter Items Other]]+Table_NFI[[#This Row],[Winter Blanket]]&gt;0,1,0)</f>
        <v>0</v>
      </c>
      <c r="AN543" s="331">
        <f>IF(NFI_Expiration=1,IF($A543&lt;VLOOKUP(V$5,NFI,5,0),1,0)*Table_NFI[[#This Row],[Jerry Can]],Table_NFI[Jerry Can])</f>
        <v>0</v>
      </c>
      <c r="AO543" s="331">
        <f>IF(NFI_Expiration=1,IF($A543&lt;VLOOKUP(V$5,NFI,5,0),1,0)*Table_NFI[[#This Row],[Shelter Tool kit]],Table_NFI[Shelter Tool kit])</f>
        <v>0</v>
      </c>
      <c r="AP543" s="331">
        <f>IF(NFI_Expiration=1,IF($A543&lt;VLOOKUP(V$5,NFI,5,0),1,0)*Table_NFI[[#This Row],[Tent]],Table_NFI[Tent])</f>
        <v>0</v>
      </c>
      <c r="AQ543" s="473" t="str">
        <f>IFERROR(VLOOKUP(Table_NFI[[#This Row],[Camp Name]],CL,2,0),"")</f>
        <v>MMR001CMP126</v>
      </c>
      <c r="AR543" s="468">
        <f ca="1">IF(Table_NFI[[#This Row],[Pcode]]="","",IF(OFFSET(CampList[Opening Date],MATCH(Table_NFI[[#This Row],[Pcode]],CampList[CP_Pcode],0)-1,0,1,1)&gt;=NFI_Monitor_Date,1,0))</f>
        <v>0</v>
      </c>
      <c r="AS543" s="473" t="str">
        <f>IFERROR(VLOOKUP(Table_NFI[[#This Row],[Camp Name]],CL,3,0),"")</f>
        <v>Open</v>
      </c>
      <c r="AT543" s="294" t="str">
        <f ca="1">IF(Table_NFI[[#This Row],[Pcode]]="","",OFFSET(CampList[Priority],MATCH(Table_NFI[[#This Row],[Pcode]],CampList[CP_Pcode],0)-1,0,1,1))</f>
        <v>P2</v>
      </c>
      <c r="AU543" s="293">
        <f>IFERROR(Table_NFI[[#This Row],[Kitchen Set]]/VLOOKUP(Table_NFI[[#This Row],[Camp Name]],CL,4,0),"")</f>
        <v>0</v>
      </c>
      <c r="AV543" s="466" t="s">
        <v>1092</v>
      </c>
      <c r="AW543" s="469"/>
    </row>
    <row r="544" spans="1:49" s="470" customFormat="1" ht="14.45" customHeight="1" x14ac:dyDescent="0.25">
      <c r="A544" s="297">
        <f t="shared" si="8"/>
        <v>35.56666666666667</v>
      </c>
      <c r="B544" s="465">
        <v>41608</v>
      </c>
      <c r="C544" s="466" t="s">
        <v>905</v>
      </c>
      <c r="D544" s="467" t="s">
        <v>460</v>
      </c>
      <c r="E544" s="466" t="s">
        <v>380</v>
      </c>
      <c r="F544" s="290" t="s">
        <v>310</v>
      </c>
      <c r="G544" s="290" t="s">
        <v>1243</v>
      </c>
      <c r="H544" s="291"/>
      <c r="I544" s="291"/>
      <c r="J544" s="291"/>
      <c r="K544" s="291"/>
      <c r="L544" s="292"/>
      <c r="M544" s="292"/>
      <c r="N544" s="292"/>
      <c r="O544" s="292"/>
      <c r="P544" s="294"/>
      <c r="Q544" s="294"/>
      <c r="R544" s="294"/>
      <c r="S544" s="294"/>
      <c r="T544" s="294"/>
      <c r="U544" s="294"/>
      <c r="V544" s="431"/>
      <c r="W544" s="294"/>
      <c r="X544" s="294"/>
      <c r="Y544" s="294">
        <f>IF(NFI_Expiration=1,IF($A544&lt;VLOOKUP(H$5,NFI,5,0),1,0)*Table_NFI[[#This Row],[Hygiene Kit]],Table_NFI[Hygiene Kit])</f>
        <v>0</v>
      </c>
      <c r="Z544" s="294">
        <f>IF(NFI_Expiration=1,IF($A544&lt;VLOOKUP(I$5,NFI,5,0),1,0)*Table_NFI[[#This Row],[NFI Core Kit]],Table_NFI[NFI Core Kit])</f>
        <v>0</v>
      </c>
      <c r="AA544" s="294">
        <f>IF(NFI_Expiration=1,IF($A544&lt;VLOOKUP(J$5,NFI,5,0),1,0)*Table_NFI[[#This Row],[Sanitary Kit]],Table_NFI[Sanitary Kit])</f>
        <v>0</v>
      </c>
      <c r="AB544" s="294">
        <f>IF(NFI_Expiration=1,IF($A544&lt;VLOOKUP(K$5,NFI,5,0),1,0)*Table_NFI[[#This Row],[Mosquito net]],Table_NFI[Mosquito net])</f>
        <v>0</v>
      </c>
      <c r="AC544" s="294">
        <f>IF(NFI_Expiration=1,IF($A544&lt;VLOOKUP(L$5,NFI,5,0),1,0)*Table_NFI[[#This Row],[Tarpaulin]],Table_NFI[[#This Row],[Tarpaulin]])</f>
        <v>0</v>
      </c>
      <c r="AD544" s="294">
        <f>IF(NFI_Expiration=1,IF($A544&lt;VLOOKUP(M$5,NFI,5,0),1,0)*Table_NFI[[#This Row],[Blanket]],Table_NFI[[#This Row],[Blanket]])</f>
        <v>0</v>
      </c>
      <c r="AE544" s="294">
        <f>IF(NFI_Expiration=1,IF($A544&lt;VLOOKUP(N$5,NFI,5,0),1,0)*Table_NFI[[#This Row],[Kitchen Set]],Table_NFI[Kitchen Set])</f>
        <v>0</v>
      </c>
      <c r="AF544" s="294">
        <f>IF(NFI_Expiration=1,IF($A544&lt;VLOOKUP(O$5,NFI,5,0),1,0)*Table_NFI[[#This Row],[Clothes Kit]],Table_NFI[Clothes Kit])</f>
        <v>0</v>
      </c>
      <c r="AG544" s="294">
        <f>IF(NFI_Expiration=1,IF($A544&lt;VLOOKUP(P$5,NFI,5,0),1,0)*Table_NFI[[#This Row],[Plastic Bucket]],Table_NFI[Plastic Bucket])</f>
        <v>0</v>
      </c>
      <c r="AH544" s="294">
        <f>IF(NFI_Expiration=1,IF($A544&lt;VLOOKUP(Q$5,NFI,5,0),1,0)*Table_NFI[[#This Row],[Plastic Mat]],Table_NFI[Plastic Mat])*IF(Table_NFI[[#This Row],[Distribution Date]]&gt;"2014-04-01",1,2.5)</f>
        <v>0</v>
      </c>
      <c r="AI544" s="294">
        <f>IF(NFI_Expiration=1,IF($A544&lt;VLOOKUP(R$5,NFI,5,0),1,0)*Table_NFI[[#This Row],[Winter Clothes Adult]],Table_NFI[Winter Clothes Adult])</f>
        <v>0</v>
      </c>
      <c r="AJ544" s="294">
        <f>IF(NFI_Expiration=1,IF($A544&lt;VLOOKUP(S$5,NFI,5,0),1,0)*Table_NFI[[#This Row],[Winter Clothes Children]],Table_NFI[Winter Clothes Children])</f>
        <v>0</v>
      </c>
      <c r="AK544" s="294">
        <f>IF(NFI_Expiration=1,IF($A544&lt;VLOOKUP(T$5,NFI,5,0),1,0)*Table_NFI[[#This Row],[Winter Items Other]],Table_NFI[Winter Items Other])</f>
        <v>0</v>
      </c>
      <c r="AL544" s="294">
        <f>IF(NFI_Expiration=1,IF($A544&lt;VLOOKUP(M$5,NFI,5,0),1,0)*Table_NFI[[#This Row],[Winter Blanket]],Table_NFI[[#This Row],[Winter Blanket]])</f>
        <v>0</v>
      </c>
      <c r="AM544" s="294">
        <f>IF(Table_NFI[[#This Row],[Winter Clothes Adult]]+Table_NFI[[#This Row],[Winter Clothes Children]]+Table_NFI[[#This Row],[Winter Items Other]]+Table_NFI[[#This Row],[Winter Blanket]]&gt;0,1,0)</f>
        <v>0</v>
      </c>
      <c r="AN544" s="331">
        <f>IF(NFI_Expiration=1,IF($A544&lt;VLOOKUP(V$5,NFI,5,0),1,0)*Table_NFI[[#This Row],[Jerry Can]],Table_NFI[Jerry Can])</f>
        <v>0</v>
      </c>
      <c r="AO544" s="331">
        <f>IF(NFI_Expiration=1,IF($A544&lt;VLOOKUP(V$5,NFI,5,0),1,0)*Table_NFI[[#This Row],[Shelter Tool kit]],Table_NFI[Shelter Tool kit])</f>
        <v>0</v>
      </c>
      <c r="AP544" s="331">
        <f>IF(NFI_Expiration=1,IF($A544&lt;VLOOKUP(V$5,NFI,5,0),1,0)*Table_NFI[[#This Row],[Tent]],Table_NFI[Tent])</f>
        <v>0</v>
      </c>
      <c r="AQ544" s="473" t="str">
        <f>IFERROR(VLOOKUP(Table_NFI[[#This Row],[Camp Name]],CL,2,0),"")</f>
        <v>MMR001CMP120</v>
      </c>
      <c r="AR544" s="468">
        <f ca="1">IF(Table_NFI[[#This Row],[Pcode]]="","",IF(OFFSET(CampList[Opening Date],MATCH(Table_NFI[[#This Row],[Pcode]],CampList[CP_Pcode],0)-1,0,1,1)&gt;=NFI_Monitor_Date,1,0))</f>
        <v>0</v>
      </c>
      <c r="AS544" s="473" t="str">
        <f>IFERROR(VLOOKUP(Table_NFI[[#This Row],[Camp Name]],CL,3,0),"")</f>
        <v>Open</v>
      </c>
      <c r="AT544" s="294" t="str">
        <f ca="1">IF(Table_NFI[[#This Row],[Pcode]]="","",OFFSET(CampList[Priority],MATCH(Table_NFI[[#This Row],[Pcode]],CampList[CP_Pcode],0)-1,0,1,1))</f>
        <v>P1</v>
      </c>
      <c r="AU544" s="293">
        <f>IFERROR(Table_NFI[[#This Row],[Kitchen Set]]/VLOOKUP(Table_NFI[[#This Row],[Camp Name]],CL,4,0),"")</f>
        <v>0</v>
      </c>
      <c r="AV544" s="466" t="s">
        <v>1092</v>
      </c>
      <c r="AW544" s="469"/>
    </row>
    <row r="545" spans="1:49" s="470" customFormat="1" ht="14.45" customHeight="1" x14ac:dyDescent="0.25">
      <c r="A545" s="297">
        <f t="shared" si="8"/>
        <v>35.56666666666667</v>
      </c>
      <c r="B545" s="465">
        <v>41608</v>
      </c>
      <c r="C545" s="466" t="s">
        <v>1097</v>
      </c>
      <c r="D545" s="467" t="s">
        <v>944</v>
      </c>
      <c r="E545" s="466" t="s">
        <v>380</v>
      </c>
      <c r="F545" s="290" t="s">
        <v>5</v>
      </c>
      <c r="G545" s="290" t="s">
        <v>366</v>
      </c>
      <c r="H545" s="291"/>
      <c r="I545" s="291"/>
      <c r="J545" s="291"/>
      <c r="K545" s="291"/>
      <c r="L545" s="292"/>
      <c r="M545" s="292">
        <v>320</v>
      </c>
      <c r="N545" s="292"/>
      <c r="O545" s="292"/>
      <c r="P545" s="294"/>
      <c r="Q545" s="294"/>
      <c r="R545" s="294">
        <v>234</v>
      </c>
      <c r="S545" s="294">
        <v>336</v>
      </c>
      <c r="T545" s="294">
        <v>0</v>
      </c>
      <c r="U545" s="294"/>
      <c r="V545" s="431"/>
      <c r="W545" s="294"/>
      <c r="X545" s="294"/>
      <c r="Y545" s="294">
        <f>IF(NFI_Expiration=1,IF($A545&lt;VLOOKUP(H$5,NFI,5,0),1,0)*Table_NFI[[#This Row],[Hygiene Kit]],Table_NFI[Hygiene Kit])</f>
        <v>0</v>
      </c>
      <c r="Z545" s="294">
        <f>IF(NFI_Expiration=1,IF($A545&lt;VLOOKUP(I$5,NFI,5,0),1,0)*Table_NFI[[#This Row],[NFI Core Kit]],Table_NFI[NFI Core Kit])</f>
        <v>0</v>
      </c>
      <c r="AA545" s="294">
        <f>IF(NFI_Expiration=1,IF($A545&lt;VLOOKUP(J$5,NFI,5,0),1,0)*Table_NFI[[#This Row],[Sanitary Kit]],Table_NFI[Sanitary Kit])</f>
        <v>0</v>
      </c>
      <c r="AB545" s="294">
        <f>IF(NFI_Expiration=1,IF($A545&lt;VLOOKUP(K$5,NFI,5,0),1,0)*Table_NFI[[#This Row],[Mosquito net]],Table_NFI[Mosquito net])</f>
        <v>0</v>
      </c>
      <c r="AC545" s="294">
        <f>IF(NFI_Expiration=1,IF($A545&lt;VLOOKUP(L$5,NFI,5,0),1,0)*Table_NFI[[#This Row],[Tarpaulin]],Table_NFI[[#This Row],[Tarpaulin]])</f>
        <v>0</v>
      </c>
      <c r="AD545" s="294">
        <f>IF(NFI_Expiration=1,IF($A545&lt;VLOOKUP(M$5,NFI,5,0),1,0)*Table_NFI[[#This Row],[Blanket]],Table_NFI[[#This Row],[Blanket]])</f>
        <v>0</v>
      </c>
      <c r="AE545" s="294">
        <f>IF(NFI_Expiration=1,IF($A545&lt;VLOOKUP(N$5,NFI,5,0),1,0)*Table_NFI[[#This Row],[Kitchen Set]],Table_NFI[Kitchen Set])</f>
        <v>0</v>
      </c>
      <c r="AF545" s="294">
        <f>IF(NFI_Expiration=1,IF($A545&lt;VLOOKUP(O$5,NFI,5,0),1,0)*Table_NFI[[#This Row],[Clothes Kit]],Table_NFI[Clothes Kit])</f>
        <v>0</v>
      </c>
      <c r="AG545" s="294">
        <f>IF(NFI_Expiration=1,IF($A545&lt;VLOOKUP(P$5,NFI,5,0),1,0)*Table_NFI[[#This Row],[Plastic Bucket]],Table_NFI[Plastic Bucket])</f>
        <v>0</v>
      </c>
      <c r="AH545" s="294">
        <f>IF(NFI_Expiration=1,IF($A545&lt;VLOOKUP(Q$5,NFI,5,0),1,0)*Table_NFI[[#This Row],[Plastic Mat]],Table_NFI[Plastic Mat])*IF(Table_NFI[[#This Row],[Distribution Date]]&gt;"2014-04-01",1,2.5)</f>
        <v>0</v>
      </c>
      <c r="AI545" s="294">
        <f>IF(NFI_Expiration=1,IF($A545&lt;VLOOKUP(R$5,NFI,5,0),1,0)*Table_NFI[[#This Row],[Winter Clothes Adult]],Table_NFI[Winter Clothes Adult])</f>
        <v>0</v>
      </c>
      <c r="AJ545" s="294">
        <f>IF(NFI_Expiration=1,IF($A545&lt;VLOOKUP(S$5,NFI,5,0),1,0)*Table_NFI[[#This Row],[Winter Clothes Children]],Table_NFI[Winter Clothes Children])</f>
        <v>0</v>
      </c>
      <c r="AK545" s="294">
        <f>IF(NFI_Expiration=1,IF($A545&lt;VLOOKUP(T$5,NFI,5,0),1,0)*Table_NFI[[#This Row],[Winter Items Other]],Table_NFI[Winter Items Other])</f>
        <v>0</v>
      </c>
      <c r="AL545" s="294">
        <f>IF(NFI_Expiration=1,IF($A545&lt;VLOOKUP(M$5,NFI,5,0),1,0)*Table_NFI[[#This Row],[Winter Blanket]],Table_NFI[[#This Row],[Winter Blanket]])</f>
        <v>0</v>
      </c>
      <c r="AM545" s="294">
        <f>IF(Table_NFI[[#This Row],[Winter Clothes Adult]]+Table_NFI[[#This Row],[Winter Clothes Children]]+Table_NFI[[#This Row],[Winter Items Other]]+Table_NFI[[#This Row],[Winter Blanket]]&gt;0,1,0)</f>
        <v>1</v>
      </c>
      <c r="AN545" s="331">
        <f>IF(NFI_Expiration=1,IF($A545&lt;VLOOKUP(V$5,NFI,5,0),1,0)*Table_NFI[[#This Row],[Jerry Can]],Table_NFI[Jerry Can])</f>
        <v>0</v>
      </c>
      <c r="AO545" s="331">
        <f>IF(NFI_Expiration=1,IF($A545&lt;VLOOKUP(V$5,NFI,5,0),1,0)*Table_NFI[[#This Row],[Shelter Tool kit]],Table_NFI[Shelter Tool kit])</f>
        <v>0</v>
      </c>
      <c r="AP545" s="331">
        <f>IF(NFI_Expiration=1,IF($A545&lt;VLOOKUP(V$5,NFI,5,0),1,0)*Table_NFI[[#This Row],[Tent]],Table_NFI[Tent])</f>
        <v>0</v>
      </c>
      <c r="AQ545" s="473" t="str">
        <f>IFERROR(VLOOKUP(Table_NFI[[#This Row],[Camp Name]],CL,2,0),"")</f>
        <v>MMR001CMP193</v>
      </c>
      <c r="AR545" s="468">
        <f ca="1">IF(Table_NFI[[#This Row],[Pcode]]="","",IF(OFFSET(CampList[Opening Date],MATCH(Table_NFI[[#This Row],[Pcode]],CampList[CP_Pcode],0)-1,0,1,1)&gt;=NFI_Monitor_Date,1,0))</f>
        <v>0</v>
      </c>
      <c r="AS545" s="473" t="str">
        <f>IFERROR(VLOOKUP(Table_NFI[[#This Row],[Camp Name]],CL,3,0),"")</f>
        <v>Open</v>
      </c>
      <c r="AT545" s="294" t="str">
        <f ca="1">IF(Table_NFI[[#This Row],[Pcode]]="","",OFFSET(CampList[Priority],MATCH(Table_NFI[[#This Row],[Pcode]],CampList[CP_Pcode],0)-1,0,1,1))</f>
        <v>P4</v>
      </c>
      <c r="AU545" s="293">
        <f>IFERROR(Table_NFI[[#This Row],[Kitchen Set]]/VLOOKUP(Table_NFI[[#This Row],[Camp Name]],CL,4,0),"")</f>
        <v>0</v>
      </c>
      <c r="AV545" s="466" t="s">
        <v>1092</v>
      </c>
      <c r="AW545" s="469"/>
    </row>
    <row r="546" spans="1:49" s="470" customFormat="1" ht="14.45" customHeight="1" x14ac:dyDescent="0.25">
      <c r="A546" s="297">
        <f t="shared" si="8"/>
        <v>35.56666666666667</v>
      </c>
      <c r="B546" s="465">
        <v>41608</v>
      </c>
      <c r="C546" s="466" t="s">
        <v>905</v>
      </c>
      <c r="D546" s="466"/>
      <c r="E546" s="466" t="s">
        <v>380</v>
      </c>
      <c r="F546" s="290" t="s">
        <v>5</v>
      </c>
      <c r="G546" s="290" t="s">
        <v>366</v>
      </c>
      <c r="H546" s="291"/>
      <c r="I546" s="291"/>
      <c r="J546" s="291"/>
      <c r="K546" s="291"/>
      <c r="L546" s="292"/>
      <c r="M546" s="292"/>
      <c r="N546" s="292"/>
      <c r="O546" s="292"/>
      <c r="P546" s="294"/>
      <c r="Q546" s="294"/>
      <c r="R546" s="294"/>
      <c r="S546" s="294"/>
      <c r="T546" s="294"/>
      <c r="U546" s="294"/>
      <c r="V546" s="431"/>
      <c r="W546" s="294"/>
      <c r="X546" s="294"/>
      <c r="Y546" s="294">
        <f>IF(NFI_Expiration=1,IF($A546&lt;VLOOKUP(H$5,NFI,5,0),1,0)*Table_NFI[[#This Row],[Hygiene Kit]],Table_NFI[Hygiene Kit])</f>
        <v>0</v>
      </c>
      <c r="Z546" s="294">
        <f>IF(NFI_Expiration=1,IF($A546&lt;VLOOKUP(I$5,NFI,5,0),1,0)*Table_NFI[[#This Row],[NFI Core Kit]],Table_NFI[NFI Core Kit])</f>
        <v>0</v>
      </c>
      <c r="AA546" s="294">
        <f>IF(NFI_Expiration=1,IF($A546&lt;VLOOKUP(J$5,NFI,5,0),1,0)*Table_NFI[[#This Row],[Sanitary Kit]],Table_NFI[Sanitary Kit])</f>
        <v>0</v>
      </c>
      <c r="AB546" s="294">
        <f>IF(NFI_Expiration=1,IF($A546&lt;VLOOKUP(K$5,NFI,5,0),1,0)*Table_NFI[[#This Row],[Mosquito net]],Table_NFI[Mosquito net])</f>
        <v>0</v>
      </c>
      <c r="AC546" s="294">
        <f>IF(NFI_Expiration=1,IF($A546&lt;VLOOKUP(L$5,NFI,5,0),1,0)*Table_NFI[[#This Row],[Tarpaulin]],Table_NFI[[#This Row],[Tarpaulin]])</f>
        <v>0</v>
      </c>
      <c r="AD546" s="294">
        <f>IF(NFI_Expiration=1,IF($A546&lt;VLOOKUP(M$5,NFI,5,0),1,0)*Table_NFI[[#This Row],[Blanket]],Table_NFI[[#This Row],[Blanket]])</f>
        <v>0</v>
      </c>
      <c r="AE546" s="294">
        <f>IF(NFI_Expiration=1,IF($A546&lt;VLOOKUP(N$5,NFI,5,0),1,0)*Table_NFI[[#This Row],[Kitchen Set]],Table_NFI[Kitchen Set])</f>
        <v>0</v>
      </c>
      <c r="AF546" s="294">
        <f>IF(NFI_Expiration=1,IF($A546&lt;VLOOKUP(O$5,NFI,5,0),1,0)*Table_NFI[[#This Row],[Clothes Kit]],Table_NFI[Clothes Kit])</f>
        <v>0</v>
      </c>
      <c r="AG546" s="294">
        <f>IF(NFI_Expiration=1,IF($A546&lt;VLOOKUP(P$5,NFI,5,0),1,0)*Table_NFI[[#This Row],[Plastic Bucket]],Table_NFI[Plastic Bucket])</f>
        <v>0</v>
      </c>
      <c r="AH546" s="294">
        <f>IF(NFI_Expiration=1,IF($A546&lt;VLOOKUP(Q$5,NFI,5,0),1,0)*Table_NFI[[#This Row],[Plastic Mat]],Table_NFI[Plastic Mat])*IF(Table_NFI[[#This Row],[Distribution Date]]&gt;"2014-04-01",1,2.5)</f>
        <v>0</v>
      </c>
      <c r="AI546" s="294">
        <f>IF(NFI_Expiration=1,IF($A546&lt;VLOOKUP(R$5,NFI,5,0),1,0)*Table_NFI[[#This Row],[Winter Clothes Adult]],Table_NFI[Winter Clothes Adult])</f>
        <v>0</v>
      </c>
      <c r="AJ546" s="294">
        <f>IF(NFI_Expiration=1,IF($A546&lt;VLOOKUP(S$5,NFI,5,0),1,0)*Table_NFI[[#This Row],[Winter Clothes Children]],Table_NFI[Winter Clothes Children])</f>
        <v>0</v>
      </c>
      <c r="AK546" s="294">
        <f>IF(NFI_Expiration=1,IF($A546&lt;VLOOKUP(T$5,NFI,5,0),1,0)*Table_NFI[[#This Row],[Winter Items Other]],Table_NFI[Winter Items Other])</f>
        <v>0</v>
      </c>
      <c r="AL546" s="294">
        <f>IF(NFI_Expiration=1,IF($A546&lt;VLOOKUP(M$5,NFI,5,0),1,0)*Table_NFI[[#This Row],[Winter Blanket]],Table_NFI[[#This Row],[Winter Blanket]])</f>
        <v>0</v>
      </c>
      <c r="AM546" s="294">
        <f>IF(Table_NFI[[#This Row],[Winter Clothes Adult]]+Table_NFI[[#This Row],[Winter Clothes Children]]+Table_NFI[[#This Row],[Winter Items Other]]+Table_NFI[[#This Row],[Winter Blanket]]&gt;0,1,0)</f>
        <v>0</v>
      </c>
      <c r="AN546" s="331">
        <f>IF(NFI_Expiration=1,IF($A546&lt;VLOOKUP(V$5,NFI,5,0),1,0)*Table_NFI[[#This Row],[Jerry Can]],Table_NFI[Jerry Can])</f>
        <v>0</v>
      </c>
      <c r="AO546" s="331">
        <f>IF(NFI_Expiration=1,IF($A546&lt;VLOOKUP(V$5,NFI,5,0),1,0)*Table_NFI[[#This Row],[Shelter Tool kit]],Table_NFI[Shelter Tool kit])</f>
        <v>0</v>
      </c>
      <c r="AP546" s="331">
        <f>IF(NFI_Expiration=1,IF($A546&lt;VLOOKUP(V$5,NFI,5,0),1,0)*Table_NFI[[#This Row],[Tent]],Table_NFI[Tent])</f>
        <v>0</v>
      </c>
      <c r="AQ546" s="473" t="str">
        <f>IFERROR(VLOOKUP(Table_NFI[[#This Row],[Camp Name]],CL,2,0),"")</f>
        <v>MMR001CMP193</v>
      </c>
      <c r="AR546" s="468">
        <f ca="1">IF(Table_NFI[[#This Row],[Pcode]]="","",IF(OFFSET(CampList[Opening Date],MATCH(Table_NFI[[#This Row],[Pcode]],CampList[CP_Pcode],0)-1,0,1,1)&gt;=NFI_Monitor_Date,1,0))</f>
        <v>0</v>
      </c>
      <c r="AS546" s="473" t="str">
        <f>IFERROR(VLOOKUP(Table_NFI[[#This Row],[Camp Name]],CL,3,0),"")</f>
        <v>Open</v>
      </c>
      <c r="AT546" s="294" t="str">
        <f ca="1">IF(Table_NFI[[#This Row],[Pcode]]="","",OFFSET(CampList[Priority],MATCH(Table_NFI[[#This Row],[Pcode]],CampList[CP_Pcode],0)-1,0,1,1))</f>
        <v>P4</v>
      </c>
      <c r="AU546" s="293">
        <f>IFERROR(Table_NFI[[#This Row],[Kitchen Set]]/VLOOKUP(Table_NFI[[#This Row],[Camp Name]],CL,4,0),"")</f>
        <v>0</v>
      </c>
      <c r="AV546" s="466" t="s">
        <v>1092</v>
      </c>
      <c r="AW546" s="469"/>
    </row>
    <row r="547" spans="1:49" s="470" customFormat="1" ht="14.45" customHeight="1" x14ac:dyDescent="0.25">
      <c r="A547" s="297">
        <f t="shared" si="8"/>
        <v>35.56666666666667</v>
      </c>
      <c r="B547" s="465">
        <v>41608</v>
      </c>
      <c r="C547" s="466" t="s">
        <v>905</v>
      </c>
      <c r="D547" s="467" t="s">
        <v>460</v>
      </c>
      <c r="E547" s="466" t="s">
        <v>380</v>
      </c>
      <c r="F547" s="290" t="s">
        <v>310</v>
      </c>
      <c r="G547" s="290" t="s">
        <v>355</v>
      </c>
      <c r="H547" s="291"/>
      <c r="I547" s="291"/>
      <c r="J547" s="291"/>
      <c r="K547" s="291"/>
      <c r="L547" s="292"/>
      <c r="M547" s="292"/>
      <c r="N547" s="292"/>
      <c r="O547" s="292"/>
      <c r="P547" s="294"/>
      <c r="Q547" s="294"/>
      <c r="R547" s="294"/>
      <c r="S547" s="294"/>
      <c r="T547" s="294"/>
      <c r="U547" s="294"/>
      <c r="V547" s="431"/>
      <c r="W547" s="294"/>
      <c r="X547" s="294"/>
      <c r="Y547" s="294">
        <f>IF(NFI_Expiration=1,IF($A547&lt;VLOOKUP(H$5,NFI,5,0),1,0)*Table_NFI[[#This Row],[Hygiene Kit]],Table_NFI[Hygiene Kit])</f>
        <v>0</v>
      </c>
      <c r="Z547" s="294">
        <f>IF(NFI_Expiration=1,IF($A547&lt;VLOOKUP(I$5,NFI,5,0),1,0)*Table_NFI[[#This Row],[NFI Core Kit]],Table_NFI[NFI Core Kit])</f>
        <v>0</v>
      </c>
      <c r="AA547" s="294">
        <f>IF(NFI_Expiration=1,IF($A547&lt;VLOOKUP(J$5,NFI,5,0),1,0)*Table_NFI[[#This Row],[Sanitary Kit]],Table_NFI[Sanitary Kit])</f>
        <v>0</v>
      </c>
      <c r="AB547" s="294">
        <f>IF(NFI_Expiration=1,IF($A547&lt;VLOOKUP(K$5,NFI,5,0),1,0)*Table_NFI[[#This Row],[Mosquito net]],Table_NFI[Mosquito net])</f>
        <v>0</v>
      </c>
      <c r="AC547" s="294">
        <f>IF(NFI_Expiration=1,IF($A547&lt;VLOOKUP(L$5,NFI,5,0),1,0)*Table_NFI[[#This Row],[Tarpaulin]],Table_NFI[[#This Row],[Tarpaulin]])</f>
        <v>0</v>
      </c>
      <c r="AD547" s="294">
        <f>IF(NFI_Expiration=1,IF($A547&lt;VLOOKUP(M$5,NFI,5,0),1,0)*Table_NFI[[#This Row],[Blanket]],Table_NFI[[#This Row],[Blanket]])</f>
        <v>0</v>
      </c>
      <c r="AE547" s="294">
        <f>IF(NFI_Expiration=1,IF($A547&lt;VLOOKUP(N$5,NFI,5,0),1,0)*Table_NFI[[#This Row],[Kitchen Set]],Table_NFI[Kitchen Set])</f>
        <v>0</v>
      </c>
      <c r="AF547" s="294">
        <f>IF(NFI_Expiration=1,IF($A547&lt;VLOOKUP(O$5,NFI,5,0),1,0)*Table_NFI[[#This Row],[Clothes Kit]],Table_NFI[Clothes Kit])</f>
        <v>0</v>
      </c>
      <c r="AG547" s="294">
        <f>IF(NFI_Expiration=1,IF($A547&lt;VLOOKUP(P$5,NFI,5,0),1,0)*Table_NFI[[#This Row],[Plastic Bucket]],Table_NFI[Plastic Bucket])</f>
        <v>0</v>
      </c>
      <c r="AH547" s="294">
        <f>IF(NFI_Expiration=1,IF($A547&lt;VLOOKUP(Q$5,NFI,5,0),1,0)*Table_NFI[[#This Row],[Plastic Mat]],Table_NFI[Plastic Mat])*IF(Table_NFI[[#This Row],[Distribution Date]]&gt;"2014-04-01",1,2.5)</f>
        <v>0</v>
      </c>
      <c r="AI547" s="294">
        <f>IF(NFI_Expiration=1,IF($A547&lt;VLOOKUP(R$5,NFI,5,0),1,0)*Table_NFI[[#This Row],[Winter Clothes Adult]],Table_NFI[Winter Clothes Adult])</f>
        <v>0</v>
      </c>
      <c r="AJ547" s="294">
        <f>IF(NFI_Expiration=1,IF($A547&lt;VLOOKUP(S$5,NFI,5,0),1,0)*Table_NFI[[#This Row],[Winter Clothes Children]],Table_NFI[Winter Clothes Children])</f>
        <v>0</v>
      </c>
      <c r="AK547" s="294">
        <f>IF(NFI_Expiration=1,IF($A547&lt;VLOOKUP(T$5,NFI,5,0),1,0)*Table_NFI[[#This Row],[Winter Items Other]],Table_NFI[Winter Items Other])</f>
        <v>0</v>
      </c>
      <c r="AL547" s="294">
        <f>IF(NFI_Expiration=1,IF($A547&lt;VLOOKUP(M$5,NFI,5,0),1,0)*Table_NFI[[#This Row],[Winter Blanket]],Table_NFI[[#This Row],[Winter Blanket]])</f>
        <v>0</v>
      </c>
      <c r="AM547" s="294">
        <f>IF(Table_NFI[[#This Row],[Winter Clothes Adult]]+Table_NFI[[#This Row],[Winter Clothes Children]]+Table_NFI[[#This Row],[Winter Items Other]]+Table_NFI[[#This Row],[Winter Blanket]]&gt;0,1,0)</f>
        <v>0</v>
      </c>
      <c r="AN547" s="331">
        <f>IF(NFI_Expiration=1,IF($A547&lt;VLOOKUP(V$5,NFI,5,0),1,0)*Table_NFI[[#This Row],[Jerry Can]],Table_NFI[Jerry Can])</f>
        <v>0</v>
      </c>
      <c r="AO547" s="331">
        <f>IF(NFI_Expiration=1,IF($A547&lt;VLOOKUP(V$5,NFI,5,0),1,0)*Table_NFI[[#This Row],[Shelter Tool kit]],Table_NFI[Shelter Tool kit])</f>
        <v>0</v>
      </c>
      <c r="AP547" s="331">
        <f>IF(NFI_Expiration=1,IF($A547&lt;VLOOKUP(V$5,NFI,5,0),1,0)*Table_NFI[[#This Row],[Tent]],Table_NFI[Tent])</f>
        <v>0</v>
      </c>
      <c r="AQ547" s="473" t="str">
        <f>IFERROR(VLOOKUP(Table_NFI[[#This Row],[Camp Name]],CL,2,0),"")</f>
        <v>MMR001CMP160</v>
      </c>
      <c r="AR547" s="468">
        <f ca="1">IF(Table_NFI[[#This Row],[Pcode]]="","",IF(OFFSET(CampList[Opening Date],MATCH(Table_NFI[[#This Row],[Pcode]],CampList[CP_Pcode],0)-1,0,1,1)&gt;=NFI_Monitor_Date,1,0))</f>
        <v>0</v>
      </c>
      <c r="AS547" s="473" t="str">
        <f>IFERROR(VLOOKUP(Table_NFI[[#This Row],[Camp Name]],CL,3,0),"")</f>
        <v>Open</v>
      </c>
      <c r="AT547" s="294" t="str">
        <f ca="1">IF(Table_NFI[[#This Row],[Pcode]]="","",OFFSET(CampList[Priority],MATCH(Table_NFI[[#This Row],[Pcode]],CampList[CP_Pcode],0)-1,0,1,1))</f>
        <v>P1</v>
      </c>
      <c r="AU547" s="293">
        <f>IFERROR(Table_NFI[[#This Row],[Kitchen Set]]/VLOOKUP(Table_NFI[[#This Row],[Camp Name]],CL,4,0),"")</f>
        <v>0</v>
      </c>
      <c r="AV547" s="466" t="s">
        <v>1092</v>
      </c>
      <c r="AW547" s="469"/>
    </row>
    <row r="548" spans="1:49" s="470" customFormat="1" ht="14.45" customHeight="1" x14ac:dyDescent="0.25">
      <c r="A548" s="297">
        <f t="shared" si="8"/>
        <v>35.56666666666667</v>
      </c>
      <c r="B548" s="465">
        <v>41608</v>
      </c>
      <c r="C548" s="466" t="s">
        <v>905</v>
      </c>
      <c r="D548" s="467" t="s">
        <v>460</v>
      </c>
      <c r="E548" s="466" t="s">
        <v>380</v>
      </c>
      <c r="F548" s="290" t="s">
        <v>310</v>
      </c>
      <c r="G548" s="290" t="s">
        <v>342</v>
      </c>
      <c r="H548" s="291"/>
      <c r="I548" s="291"/>
      <c r="J548" s="291"/>
      <c r="K548" s="291"/>
      <c r="L548" s="292"/>
      <c r="M548" s="292"/>
      <c r="N548" s="292"/>
      <c r="O548" s="292"/>
      <c r="P548" s="294"/>
      <c r="Q548" s="294"/>
      <c r="R548" s="294"/>
      <c r="S548" s="294"/>
      <c r="T548" s="294"/>
      <c r="U548" s="294"/>
      <c r="V548" s="431"/>
      <c r="W548" s="294"/>
      <c r="X548" s="294"/>
      <c r="Y548" s="294">
        <f>IF(NFI_Expiration=1,IF($A548&lt;VLOOKUP(H$5,NFI,5,0),1,0)*Table_NFI[[#This Row],[Hygiene Kit]],Table_NFI[Hygiene Kit])</f>
        <v>0</v>
      </c>
      <c r="Z548" s="294">
        <f>IF(NFI_Expiration=1,IF($A548&lt;VLOOKUP(I$5,NFI,5,0),1,0)*Table_NFI[[#This Row],[NFI Core Kit]],Table_NFI[NFI Core Kit])</f>
        <v>0</v>
      </c>
      <c r="AA548" s="294">
        <f>IF(NFI_Expiration=1,IF($A548&lt;VLOOKUP(J$5,NFI,5,0),1,0)*Table_NFI[[#This Row],[Sanitary Kit]],Table_NFI[Sanitary Kit])</f>
        <v>0</v>
      </c>
      <c r="AB548" s="294">
        <f>IF(NFI_Expiration=1,IF($A548&lt;VLOOKUP(K$5,NFI,5,0),1,0)*Table_NFI[[#This Row],[Mosquito net]],Table_NFI[Mosquito net])</f>
        <v>0</v>
      </c>
      <c r="AC548" s="294">
        <f>IF(NFI_Expiration=1,IF($A548&lt;VLOOKUP(L$5,NFI,5,0),1,0)*Table_NFI[[#This Row],[Tarpaulin]],Table_NFI[[#This Row],[Tarpaulin]])</f>
        <v>0</v>
      </c>
      <c r="AD548" s="294">
        <f>IF(NFI_Expiration=1,IF($A548&lt;VLOOKUP(M$5,NFI,5,0),1,0)*Table_NFI[[#This Row],[Blanket]],Table_NFI[[#This Row],[Blanket]])</f>
        <v>0</v>
      </c>
      <c r="AE548" s="294">
        <f>IF(NFI_Expiration=1,IF($A548&lt;VLOOKUP(N$5,NFI,5,0),1,0)*Table_NFI[[#This Row],[Kitchen Set]],Table_NFI[Kitchen Set])</f>
        <v>0</v>
      </c>
      <c r="AF548" s="294">
        <f>IF(NFI_Expiration=1,IF($A548&lt;VLOOKUP(O$5,NFI,5,0),1,0)*Table_NFI[[#This Row],[Clothes Kit]],Table_NFI[Clothes Kit])</f>
        <v>0</v>
      </c>
      <c r="AG548" s="294">
        <f>IF(NFI_Expiration=1,IF($A548&lt;VLOOKUP(P$5,NFI,5,0),1,0)*Table_NFI[[#This Row],[Plastic Bucket]],Table_NFI[Plastic Bucket])</f>
        <v>0</v>
      </c>
      <c r="AH548" s="294">
        <f>IF(NFI_Expiration=1,IF($A548&lt;VLOOKUP(Q$5,NFI,5,0),1,0)*Table_NFI[[#This Row],[Plastic Mat]],Table_NFI[Plastic Mat])*IF(Table_NFI[[#This Row],[Distribution Date]]&gt;"2014-04-01",1,2.5)</f>
        <v>0</v>
      </c>
      <c r="AI548" s="294">
        <f>IF(NFI_Expiration=1,IF($A548&lt;VLOOKUP(R$5,NFI,5,0),1,0)*Table_NFI[[#This Row],[Winter Clothes Adult]],Table_NFI[Winter Clothes Adult])</f>
        <v>0</v>
      </c>
      <c r="AJ548" s="294">
        <f>IF(NFI_Expiration=1,IF($A548&lt;VLOOKUP(S$5,NFI,5,0),1,0)*Table_NFI[[#This Row],[Winter Clothes Children]],Table_NFI[Winter Clothes Children])</f>
        <v>0</v>
      </c>
      <c r="AK548" s="294">
        <f>IF(NFI_Expiration=1,IF($A548&lt;VLOOKUP(T$5,NFI,5,0),1,0)*Table_NFI[[#This Row],[Winter Items Other]],Table_NFI[Winter Items Other])</f>
        <v>0</v>
      </c>
      <c r="AL548" s="294">
        <f>IF(NFI_Expiration=1,IF($A548&lt;VLOOKUP(M$5,NFI,5,0),1,0)*Table_NFI[[#This Row],[Winter Blanket]],Table_NFI[[#This Row],[Winter Blanket]])</f>
        <v>0</v>
      </c>
      <c r="AM548" s="294">
        <f>IF(Table_NFI[[#This Row],[Winter Clothes Adult]]+Table_NFI[[#This Row],[Winter Clothes Children]]+Table_NFI[[#This Row],[Winter Items Other]]+Table_NFI[[#This Row],[Winter Blanket]]&gt;0,1,0)</f>
        <v>0</v>
      </c>
      <c r="AN548" s="331">
        <f>IF(NFI_Expiration=1,IF($A548&lt;VLOOKUP(V$5,NFI,5,0),1,0)*Table_NFI[[#This Row],[Jerry Can]],Table_NFI[Jerry Can])</f>
        <v>0</v>
      </c>
      <c r="AO548" s="331">
        <f>IF(NFI_Expiration=1,IF($A548&lt;VLOOKUP(V$5,NFI,5,0),1,0)*Table_NFI[[#This Row],[Shelter Tool kit]],Table_NFI[Shelter Tool kit])</f>
        <v>0</v>
      </c>
      <c r="AP548" s="331">
        <f>IF(NFI_Expiration=1,IF($A548&lt;VLOOKUP(V$5,NFI,5,0),1,0)*Table_NFI[[#This Row],[Tent]],Table_NFI[Tent])</f>
        <v>0</v>
      </c>
      <c r="AQ548" s="473" t="str">
        <f>IFERROR(VLOOKUP(Table_NFI[[#This Row],[Camp Name]],CL,2,0),"")</f>
        <v>MMR001CMP025</v>
      </c>
      <c r="AR548" s="468">
        <f ca="1">IF(Table_NFI[[#This Row],[Pcode]]="","",IF(OFFSET(CampList[Opening Date],MATCH(Table_NFI[[#This Row],[Pcode]],CampList[CP_Pcode],0)-1,0,1,1)&gt;=NFI_Monitor_Date,1,0))</f>
        <v>0</v>
      </c>
      <c r="AS548" s="473" t="str">
        <f>IFERROR(VLOOKUP(Table_NFI[[#This Row],[Camp Name]],CL,3,0),"")</f>
        <v>Open</v>
      </c>
      <c r="AT548" s="294" t="str">
        <f ca="1">IF(Table_NFI[[#This Row],[Pcode]]="","",OFFSET(CampList[Priority],MATCH(Table_NFI[[#This Row],[Pcode]],CampList[CP_Pcode],0)-1,0,1,1))</f>
        <v>P4</v>
      </c>
      <c r="AU548" s="293">
        <f>IFERROR(Table_NFI[[#This Row],[Kitchen Set]]/VLOOKUP(Table_NFI[[#This Row],[Camp Name]],CL,4,0),"")</f>
        <v>0</v>
      </c>
      <c r="AV548" s="466" t="s">
        <v>1092</v>
      </c>
      <c r="AW548" s="469"/>
    </row>
    <row r="549" spans="1:49" s="470" customFormat="1" ht="14.45" customHeight="1" x14ac:dyDescent="0.25">
      <c r="A549" s="297">
        <f t="shared" si="8"/>
        <v>35.56666666666667</v>
      </c>
      <c r="B549" s="465">
        <v>41608</v>
      </c>
      <c r="C549" s="466" t="s">
        <v>905</v>
      </c>
      <c r="D549" s="467" t="s">
        <v>460</v>
      </c>
      <c r="E549" s="466" t="s">
        <v>380</v>
      </c>
      <c r="F549" s="290" t="s">
        <v>310</v>
      </c>
      <c r="G549" s="290" t="s">
        <v>338</v>
      </c>
      <c r="H549" s="291"/>
      <c r="I549" s="291"/>
      <c r="J549" s="291"/>
      <c r="K549" s="291"/>
      <c r="L549" s="292"/>
      <c r="M549" s="292"/>
      <c r="N549" s="292"/>
      <c r="O549" s="292"/>
      <c r="P549" s="294"/>
      <c r="Q549" s="294"/>
      <c r="R549" s="294"/>
      <c r="S549" s="294"/>
      <c r="T549" s="294"/>
      <c r="U549" s="294"/>
      <c r="V549" s="431"/>
      <c r="W549" s="294"/>
      <c r="X549" s="294"/>
      <c r="Y549" s="294">
        <f>IF(NFI_Expiration=1,IF($A549&lt;VLOOKUP(H$5,NFI,5,0),1,0)*Table_NFI[[#This Row],[Hygiene Kit]],Table_NFI[Hygiene Kit])</f>
        <v>0</v>
      </c>
      <c r="Z549" s="294">
        <f>IF(NFI_Expiration=1,IF($A549&lt;VLOOKUP(I$5,NFI,5,0),1,0)*Table_NFI[[#This Row],[NFI Core Kit]],Table_NFI[NFI Core Kit])</f>
        <v>0</v>
      </c>
      <c r="AA549" s="294">
        <f>IF(NFI_Expiration=1,IF($A549&lt;VLOOKUP(J$5,NFI,5,0),1,0)*Table_NFI[[#This Row],[Sanitary Kit]],Table_NFI[Sanitary Kit])</f>
        <v>0</v>
      </c>
      <c r="AB549" s="294">
        <f>IF(NFI_Expiration=1,IF($A549&lt;VLOOKUP(K$5,NFI,5,0),1,0)*Table_NFI[[#This Row],[Mosquito net]],Table_NFI[Mosquito net])</f>
        <v>0</v>
      </c>
      <c r="AC549" s="294">
        <f>IF(NFI_Expiration=1,IF($A549&lt;VLOOKUP(L$5,NFI,5,0),1,0)*Table_NFI[[#This Row],[Tarpaulin]],Table_NFI[[#This Row],[Tarpaulin]])</f>
        <v>0</v>
      </c>
      <c r="AD549" s="294">
        <f>IF(NFI_Expiration=1,IF($A549&lt;VLOOKUP(M$5,NFI,5,0),1,0)*Table_NFI[[#This Row],[Blanket]],Table_NFI[[#This Row],[Blanket]])</f>
        <v>0</v>
      </c>
      <c r="AE549" s="294">
        <f>IF(NFI_Expiration=1,IF($A549&lt;VLOOKUP(N$5,NFI,5,0),1,0)*Table_NFI[[#This Row],[Kitchen Set]],Table_NFI[Kitchen Set])</f>
        <v>0</v>
      </c>
      <c r="AF549" s="294">
        <f>IF(NFI_Expiration=1,IF($A549&lt;VLOOKUP(O$5,NFI,5,0),1,0)*Table_NFI[[#This Row],[Clothes Kit]],Table_NFI[Clothes Kit])</f>
        <v>0</v>
      </c>
      <c r="AG549" s="294">
        <f>IF(NFI_Expiration=1,IF($A549&lt;VLOOKUP(P$5,NFI,5,0),1,0)*Table_NFI[[#This Row],[Plastic Bucket]],Table_NFI[Plastic Bucket])</f>
        <v>0</v>
      </c>
      <c r="AH549" s="294">
        <f>IF(NFI_Expiration=1,IF($A549&lt;VLOOKUP(Q$5,NFI,5,0),1,0)*Table_NFI[[#This Row],[Plastic Mat]],Table_NFI[Plastic Mat])*IF(Table_NFI[[#This Row],[Distribution Date]]&gt;"2014-04-01",1,2.5)</f>
        <v>0</v>
      </c>
      <c r="AI549" s="294">
        <f>IF(NFI_Expiration=1,IF($A549&lt;VLOOKUP(R$5,NFI,5,0),1,0)*Table_NFI[[#This Row],[Winter Clothes Adult]],Table_NFI[Winter Clothes Adult])</f>
        <v>0</v>
      </c>
      <c r="AJ549" s="294">
        <f>IF(NFI_Expiration=1,IF($A549&lt;VLOOKUP(S$5,NFI,5,0),1,0)*Table_NFI[[#This Row],[Winter Clothes Children]],Table_NFI[Winter Clothes Children])</f>
        <v>0</v>
      </c>
      <c r="AK549" s="294">
        <f>IF(NFI_Expiration=1,IF($A549&lt;VLOOKUP(T$5,NFI,5,0),1,0)*Table_NFI[[#This Row],[Winter Items Other]],Table_NFI[Winter Items Other])</f>
        <v>0</v>
      </c>
      <c r="AL549" s="294">
        <f>IF(NFI_Expiration=1,IF($A549&lt;VLOOKUP(M$5,NFI,5,0),1,0)*Table_NFI[[#This Row],[Winter Blanket]],Table_NFI[[#This Row],[Winter Blanket]])</f>
        <v>0</v>
      </c>
      <c r="AM549" s="294">
        <f>IF(Table_NFI[[#This Row],[Winter Clothes Adult]]+Table_NFI[[#This Row],[Winter Clothes Children]]+Table_NFI[[#This Row],[Winter Items Other]]+Table_NFI[[#This Row],[Winter Blanket]]&gt;0,1,0)</f>
        <v>0</v>
      </c>
      <c r="AN549" s="331">
        <f>IF(NFI_Expiration=1,IF($A549&lt;VLOOKUP(V$5,NFI,5,0),1,0)*Table_NFI[[#This Row],[Jerry Can]],Table_NFI[Jerry Can])</f>
        <v>0</v>
      </c>
      <c r="AO549" s="331">
        <f>IF(NFI_Expiration=1,IF($A549&lt;VLOOKUP(V$5,NFI,5,0),1,0)*Table_NFI[[#This Row],[Shelter Tool kit]],Table_NFI[Shelter Tool kit])</f>
        <v>0</v>
      </c>
      <c r="AP549" s="331">
        <f>IF(NFI_Expiration=1,IF($A549&lt;VLOOKUP(V$5,NFI,5,0),1,0)*Table_NFI[[#This Row],[Tent]],Table_NFI[Tent])</f>
        <v>0</v>
      </c>
      <c r="AQ549" s="473" t="str">
        <f>IFERROR(VLOOKUP(Table_NFI[[#This Row],[Camp Name]],CL,2,0),"")</f>
        <v>MMR001CMP030</v>
      </c>
      <c r="AR549" s="468">
        <f ca="1">IF(Table_NFI[[#This Row],[Pcode]]="","",IF(OFFSET(CampList[Opening Date],MATCH(Table_NFI[[#This Row],[Pcode]],CampList[CP_Pcode],0)-1,0,1,1)&gt;=NFI_Monitor_Date,1,0))</f>
        <v>0</v>
      </c>
      <c r="AS549" s="473" t="str">
        <f>IFERROR(VLOOKUP(Table_NFI[[#This Row],[Camp Name]],CL,3,0),"")</f>
        <v>Open</v>
      </c>
      <c r="AT549" s="294" t="str">
        <f ca="1">IF(Table_NFI[[#This Row],[Pcode]]="","",OFFSET(CampList[Priority],MATCH(Table_NFI[[#This Row],[Pcode]],CampList[CP_Pcode],0)-1,0,1,1))</f>
        <v>P4</v>
      </c>
      <c r="AU549" s="293">
        <f>IFERROR(Table_NFI[[#This Row],[Kitchen Set]]/VLOOKUP(Table_NFI[[#This Row],[Camp Name]],CL,4,0),"")</f>
        <v>0</v>
      </c>
      <c r="AV549" s="466" t="s">
        <v>1092</v>
      </c>
      <c r="AW549" s="469"/>
    </row>
    <row r="550" spans="1:49" s="470" customFormat="1" ht="14.45" customHeight="1" x14ac:dyDescent="0.25">
      <c r="A550" s="297">
        <f t="shared" si="8"/>
        <v>35.56666666666667</v>
      </c>
      <c r="B550" s="465">
        <v>41608</v>
      </c>
      <c r="C550" s="466" t="s">
        <v>905</v>
      </c>
      <c r="D550" s="466" t="s">
        <v>460</v>
      </c>
      <c r="E550" s="466" t="s">
        <v>380</v>
      </c>
      <c r="F550" s="290" t="s">
        <v>310</v>
      </c>
      <c r="G550" s="290" t="s">
        <v>351</v>
      </c>
      <c r="H550" s="291"/>
      <c r="I550" s="291"/>
      <c r="J550" s="291"/>
      <c r="K550" s="291"/>
      <c r="L550" s="292"/>
      <c r="M550" s="292"/>
      <c r="N550" s="292"/>
      <c r="O550" s="292"/>
      <c r="P550" s="294"/>
      <c r="Q550" s="294"/>
      <c r="R550" s="294"/>
      <c r="S550" s="294"/>
      <c r="T550" s="294"/>
      <c r="U550" s="294"/>
      <c r="V550" s="431"/>
      <c r="W550" s="294"/>
      <c r="X550" s="294"/>
      <c r="Y550" s="294">
        <f>IF(NFI_Expiration=1,IF($A550&lt;VLOOKUP(H$5,NFI,5,0),1,0)*Table_NFI[[#This Row],[Hygiene Kit]],Table_NFI[Hygiene Kit])</f>
        <v>0</v>
      </c>
      <c r="Z550" s="294">
        <f>IF(NFI_Expiration=1,IF($A550&lt;VLOOKUP(I$5,NFI,5,0),1,0)*Table_NFI[[#This Row],[NFI Core Kit]],Table_NFI[NFI Core Kit])</f>
        <v>0</v>
      </c>
      <c r="AA550" s="294">
        <f>IF(NFI_Expiration=1,IF($A550&lt;VLOOKUP(J$5,NFI,5,0),1,0)*Table_NFI[[#This Row],[Sanitary Kit]],Table_NFI[Sanitary Kit])</f>
        <v>0</v>
      </c>
      <c r="AB550" s="294">
        <f>IF(NFI_Expiration=1,IF($A550&lt;VLOOKUP(K$5,NFI,5,0),1,0)*Table_NFI[[#This Row],[Mosquito net]],Table_NFI[Mosquito net])</f>
        <v>0</v>
      </c>
      <c r="AC550" s="294">
        <f>IF(NFI_Expiration=1,IF($A550&lt;VLOOKUP(L$5,NFI,5,0),1,0)*Table_NFI[[#This Row],[Tarpaulin]],Table_NFI[[#This Row],[Tarpaulin]])</f>
        <v>0</v>
      </c>
      <c r="AD550" s="294">
        <f>IF(NFI_Expiration=1,IF($A550&lt;VLOOKUP(M$5,NFI,5,0),1,0)*Table_NFI[[#This Row],[Blanket]],Table_NFI[[#This Row],[Blanket]])</f>
        <v>0</v>
      </c>
      <c r="AE550" s="294">
        <f>IF(NFI_Expiration=1,IF($A550&lt;VLOOKUP(N$5,NFI,5,0),1,0)*Table_NFI[[#This Row],[Kitchen Set]],Table_NFI[Kitchen Set])</f>
        <v>0</v>
      </c>
      <c r="AF550" s="294">
        <f>IF(NFI_Expiration=1,IF($A550&lt;VLOOKUP(O$5,NFI,5,0),1,0)*Table_NFI[[#This Row],[Clothes Kit]],Table_NFI[Clothes Kit])</f>
        <v>0</v>
      </c>
      <c r="AG550" s="294">
        <f>IF(NFI_Expiration=1,IF($A550&lt;VLOOKUP(P$5,NFI,5,0),1,0)*Table_NFI[[#This Row],[Plastic Bucket]],Table_NFI[Plastic Bucket])</f>
        <v>0</v>
      </c>
      <c r="AH550" s="294">
        <f>IF(NFI_Expiration=1,IF($A550&lt;VLOOKUP(Q$5,NFI,5,0),1,0)*Table_NFI[[#This Row],[Plastic Mat]],Table_NFI[Plastic Mat])*IF(Table_NFI[[#This Row],[Distribution Date]]&gt;"2014-04-01",1,2.5)</f>
        <v>0</v>
      </c>
      <c r="AI550" s="294">
        <f>IF(NFI_Expiration=1,IF($A550&lt;VLOOKUP(R$5,NFI,5,0),1,0)*Table_NFI[[#This Row],[Winter Clothes Adult]],Table_NFI[Winter Clothes Adult])</f>
        <v>0</v>
      </c>
      <c r="AJ550" s="294">
        <f>IF(NFI_Expiration=1,IF($A550&lt;VLOOKUP(S$5,NFI,5,0),1,0)*Table_NFI[[#This Row],[Winter Clothes Children]],Table_NFI[Winter Clothes Children])</f>
        <v>0</v>
      </c>
      <c r="AK550" s="294">
        <f>IF(NFI_Expiration=1,IF($A550&lt;VLOOKUP(T$5,NFI,5,0),1,0)*Table_NFI[[#This Row],[Winter Items Other]],Table_NFI[Winter Items Other])</f>
        <v>0</v>
      </c>
      <c r="AL550" s="294">
        <f>IF(NFI_Expiration=1,IF($A550&lt;VLOOKUP(M$5,NFI,5,0),1,0)*Table_NFI[[#This Row],[Winter Blanket]],Table_NFI[[#This Row],[Winter Blanket]])</f>
        <v>0</v>
      </c>
      <c r="AM550" s="294">
        <f>IF(Table_NFI[[#This Row],[Winter Clothes Adult]]+Table_NFI[[#This Row],[Winter Clothes Children]]+Table_NFI[[#This Row],[Winter Items Other]]+Table_NFI[[#This Row],[Winter Blanket]]&gt;0,1,0)</f>
        <v>0</v>
      </c>
      <c r="AN550" s="331">
        <f>IF(NFI_Expiration=1,IF($A550&lt;VLOOKUP(V$5,NFI,5,0),1,0)*Table_NFI[[#This Row],[Jerry Can]],Table_NFI[Jerry Can])</f>
        <v>0</v>
      </c>
      <c r="AO550" s="331">
        <f>IF(NFI_Expiration=1,IF($A550&lt;VLOOKUP(V$5,NFI,5,0),1,0)*Table_NFI[[#This Row],[Shelter Tool kit]],Table_NFI[Shelter Tool kit])</f>
        <v>0</v>
      </c>
      <c r="AP550" s="331">
        <f>IF(NFI_Expiration=1,IF($A550&lt;VLOOKUP(V$5,NFI,5,0),1,0)*Table_NFI[[#This Row],[Tent]],Table_NFI[Tent])</f>
        <v>0</v>
      </c>
      <c r="AQ550" s="473" t="str">
        <f>IFERROR(VLOOKUP(Table_NFI[[#This Row],[Camp Name]],CL,2,0),"")</f>
        <v>MMR001CMP026</v>
      </c>
      <c r="AR550" s="468">
        <f ca="1">IF(Table_NFI[[#This Row],[Pcode]]="","",IF(OFFSET(CampList[Opening Date],MATCH(Table_NFI[[#This Row],[Pcode]],CampList[CP_Pcode],0)-1,0,1,1)&gt;=NFI_Monitor_Date,1,0))</f>
        <v>0</v>
      </c>
      <c r="AS550" s="473" t="str">
        <f>IFERROR(VLOOKUP(Table_NFI[[#This Row],[Camp Name]],CL,3,0),"")</f>
        <v>Open</v>
      </c>
      <c r="AT550" s="294" t="str">
        <f ca="1">IF(Table_NFI[[#This Row],[Pcode]]="","",OFFSET(CampList[Priority],MATCH(Table_NFI[[#This Row],[Pcode]],CampList[CP_Pcode],0)-1,0,1,1))</f>
        <v>P4</v>
      </c>
      <c r="AU550" s="293">
        <f>IFERROR(Table_NFI[[#This Row],[Kitchen Set]]/VLOOKUP(Table_NFI[[#This Row],[Camp Name]],CL,4,0),"")</f>
        <v>0</v>
      </c>
      <c r="AV550" s="466" t="s">
        <v>1092</v>
      </c>
      <c r="AW550" s="469"/>
    </row>
    <row r="551" spans="1:49" s="470" customFormat="1" ht="14.45" customHeight="1" x14ac:dyDescent="0.25">
      <c r="A551" s="297">
        <f t="shared" si="8"/>
        <v>35.56666666666667</v>
      </c>
      <c r="B551" s="465">
        <v>41608</v>
      </c>
      <c r="C551" s="466" t="s">
        <v>905</v>
      </c>
      <c r="D551" s="466"/>
      <c r="E551" s="466" t="s">
        <v>380</v>
      </c>
      <c r="F551" s="290" t="s">
        <v>5</v>
      </c>
      <c r="G551" s="290" t="s">
        <v>22</v>
      </c>
      <c r="H551" s="291"/>
      <c r="I551" s="291"/>
      <c r="J551" s="291"/>
      <c r="K551" s="291"/>
      <c r="L551" s="292"/>
      <c r="M551" s="292"/>
      <c r="N551" s="292"/>
      <c r="O551" s="292"/>
      <c r="P551" s="294"/>
      <c r="Q551" s="294">
        <v>1164</v>
      </c>
      <c r="R551" s="294"/>
      <c r="S551" s="294"/>
      <c r="T551" s="294"/>
      <c r="U551" s="294"/>
      <c r="V551" s="431"/>
      <c r="W551" s="294"/>
      <c r="X551" s="294"/>
      <c r="Y551" s="294">
        <f>IF(NFI_Expiration=1,IF($A551&lt;VLOOKUP(H$5,NFI,5,0),1,0)*Table_NFI[[#This Row],[Hygiene Kit]],Table_NFI[Hygiene Kit])</f>
        <v>0</v>
      </c>
      <c r="Z551" s="294">
        <f>IF(NFI_Expiration=1,IF($A551&lt;VLOOKUP(I$5,NFI,5,0),1,0)*Table_NFI[[#This Row],[NFI Core Kit]],Table_NFI[NFI Core Kit])</f>
        <v>0</v>
      </c>
      <c r="AA551" s="294">
        <f>IF(NFI_Expiration=1,IF($A551&lt;VLOOKUP(J$5,NFI,5,0),1,0)*Table_NFI[[#This Row],[Sanitary Kit]],Table_NFI[Sanitary Kit])</f>
        <v>0</v>
      </c>
      <c r="AB551" s="294">
        <f>IF(NFI_Expiration=1,IF($A551&lt;VLOOKUP(K$5,NFI,5,0),1,0)*Table_NFI[[#This Row],[Mosquito net]],Table_NFI[Mosquito net])</f>
        <v>0</v>
      </c>
      <c r="AC551" s="294">
        <f>IF(NFI_Expiration=1,IF($A551&lt;VLOOKUP(L$5,NFI,5,0),1,0)*Table_NFI[[#This Row],[Tarpaulin]],Table_NFI[[#This Row],[Tarpaulin]])</f>
        <v>0</v>
      </c>
      <c r="AD551" s="294">
        <f>IF(NFI_Expiration=1,IF($A551&lt;VLOOKUP(M$5,NFI,5,0),1,0)*Table_NFI[[#This Row],[Blanket]],Table_NFI[[#This Row],[Blanket]])</f>
        <v>0</v>
      </c>
      <c r="AE551" s="294">
        <f>IF(NFI_Expiration=1,IF($A551&lt;VLOOKUP(N$5,NFI,5,0),1,0)*Table_NFI[[#This Row],[Kitchen Set]],Table_NFI[Kitchen Set])</f>
        <v>0</v>
      </c>
      <c r="AF551" s="294">
        <f>IF(NFI_Expiration=1,IF($A551&lt;VLOOKUP(O$5,NFI,5,0),1,0)*Table_NFI[[#This Row],[Clothes Kit]],Table_NFI[Clothes Kit])</f>
        <v>0</v>
      </c>
      <c r="AG551" s="294">
        <f>IF(NFI_Expiration=1,IF($A551&lt;VLOOKUP(P$5,NFI,5,0),1,0)*Table_NFI[[#This Row],[Plastic Bucket]],Table_NFI[Plastic Bucket])</f>
        <v>0</v>
      </c>
      <c r="AH551" s="294">
        <f>IF(NFI_Expiration=1,IF($A551&lt;VLOOKUP(Q$5,NFI,5,0),1,0)*Table_NFI[[#This Row],[Plastic Mat]],Table_NFI[Plastic Mat])*IF(Table_NFI[[#This Row],[Distribution Date]]&gt;"2014-04-01",1,2.5)</f>
        <v>0</v>
      </c>
      <c r="AI551" s="294">
        <f>IF(NFI_Expiration=1,IF($A551&lt;VLOOKUP(R$5,NFI,5,0),1,0)*Table_NFI[[#This Row],[Winter Clothes Adult]],Table_NFI[Winter Clothes Adult])</f>
        <v>0</v>
      </c>
      <c r="AJ551" s="294">
        <f>IF(NFI_Expiration=1,IF($A551&lt;VLOOKUP(S$5,NFI,5,0),1,0)*Table_NFI[[#This Row],[Winter Clothes Children]],Table_NFI[Winter Clothes Children])</f>
        <v>0</v>
      </c>
      <c r="AK551" s="294">
        <f>IF(NFI_Expiration=1,IF($A551&lt;VLOOKUP(T$5,NFI,5,0),1,0)*Table_NFI[[#This Row],[Winter Items Other]],Table_NFI[Winter Items Other])</f>
        <v>0</v>
      </c>
      <c r="AL551" s="294">
        <f>IF(NFI_Expiration=1,IF($A551&lt;VLOOKUP(M$5,NFI,5,0),1,0)*Table_NFI[[#This Row],[Winter Blanket]],Table_NFI[[#This Row],[Winter Blanket]])</f>
        <v>0</v>
      </c>
      <c r="AM551" s="294">
        <f>IF(Table_NFI[[#This Row],[Winter Clothes Adult]]+Table_NFI[[#This Row],[Winter Clothes Children]]+Table_NFI[[#This Row],[Winter Items Other]]+Table_NFI[[#This Row],[Winter Blanket]]&gt;0,1,0)</f>
        <v>0</v>
      </c>
      <c r="AN551" s="331">
        <f>IF(NFI_Expiration=1,IF($A551&lt;VLOOKUP(V$5,NFI,5,0),1,0)*Table_NFI[[#This Row],[Jerry Can]],Table_NFI[Jerry Can])</f>
        <v>0</v>
      </c>
      <c r="AO551" s="331">
        <f>IF(NFI_Expiration=1,IF($A551&lt;VLOOKUP(V$5,NFI,5,0),1,0)*Table_NFI[[#This Row],[Shelter Tool kit]],Table_NFI[Shelter Tool kit])</f>
        <v>0</v>
      </c>
      <c r="AP551" s="331">
        <f>IF(NFI_Expiration=1,IF($A551&lt;VLOOKUP(V$5,NFI,5,0),1,0)*Table_NFI[[#This Row],[Tent]],Table_NFI[Tent])</f>
        <v>0</v>
      </c>
      <c r="AQ551" s="473" t="str">
        <f>IFERROR(VLOOKUP(Table_NFI[[#This Row],[Camp Name]],CL,2,0),"")</f>
        <v>MMR001CMP047</v>
      </c>
      <c r="AR551" s="468">
        <f ca="1">IF(Table_NFI[[#This Row],[Pcode]]="","",IF(OFFSET(CampList[Opening Date],MATCH(Table_NFI[[#This Row],[Pcode]],CampList[CP_Pcode],0)-1,0,1,1)&gt;=NFI_Monitor_Date,1,0))</f>
        <v>0</v>
      </c>
      <c r="AS551" s="473" t="str">
        <f>IFERROR(VLOOKUP(Table_NFI[[#This Row],[Camp Name]],CL,3,0),"")</f>
        <v>Open</v>
      </c>
      <c r="AT551" s="294" t="str">
        <f ca="1">IF(Table_NFI[[#This Row],[Pcode]]="","",OFFSET(CampList[Priority],MATCH(Table_NFI[[#This Row],[Pcode]],CampList[CP_Pcode],0)-1,0,1,1))</f>
        <v>P4</v>
      </c>
      <c r="AU551" s="293">
        <f>IFERROR(Table_NFI[[#This Row],[Kitchen Set]]/VLOOKUP(Table_NFI[[#This Row],[Camp Name]],CL,4,0),"")</f>
        <v>0</v>
      </c>
      <c r="AV551" s="466" t="s">
        <v>1092</v>
      </c>
      <c r="AW551" s="469"/>
    </row>
    <row r="552" spans="1:49" s="470" customFormat="1" ht="14.45" customHeight="1" x14ac:dyDescent="0.25">
      <c r="A552" s="297">
        <f t="shared" si="8"/>
        <v>35.56666666666667</v>
      </c>
      <c r="B552" s="465">
        <v>41608</v>
      </c>
      <c r="C552" s="466" t="s">
        <v>452</v>
      </c>
      <c r="D552" s="467" t="s">
        <v>452</v>
      </c>
      <c r="E552" s="466" t="s">
        <v>380</v>
      </c>
      <c r="F552" s="466" t="s">
        <v>5</v>
      </c>
      <c r="G552" s="290" t="s">
        <v>22</v>
      </c>
      <c r="H552" s="291"/>
      <c r="I552" s="291"/>
      <c r="J552" s="291"/>
      <c r="K552" s="291">
        <v>75</v>
      </c>
      <c r="L552" s="292">
        <v>36</v>
      </c>
      <c r="M552" s="292">
        <v>75</v>
      </c>
      <c r="N552" s="292">
        <v>36</v>
      </c>
      <c r="O552" s="292">
        <v>36</v>
      </c>
      <c r="P552" s="294"/>
      <c r="Q552" s="294"/>
      <c r="R552" s="294"/>
      <c r="S552" s="294"/>
      <c r="T552" s="294"/>
      <c r="U552" s="294"/>
      <c r="V552" s="431"/>
      <c r="W552" s="294"/>
      <c r="X552" s="294"/>
      <c r="Y552" s="294">
        <f>IF(NFI_Expiration=1,IF($A552&lt;VLOOKUP(H$5,NFI,5,0),1,0)*Table_NFI[[#This Row],[Hygiene Kit]],Table_NFI[Hygiene Kit])</f>
        <v>0</v>
      </c>
      <c r="Z552" s="294">
        <f>IF(NFI_Expiration=1,IF($A552&lt;VLOOKUP(I$5,NFI,5,0),1,0)*Table_NFI[[#This Row],[NFI Core Kit]],Table_NFI[NFI Core Kit])</f>
        <v>0</v>
      </c>
      <c r="AA552" s="294">
        <f>IF(NFI_Expiration=1,IF($A552&lt;VLOOKUP(J$5,NFI,5,0),1,0)*Table_NFI[[#This Row],[Sanitary Kit]],Table_NFI[Sanitary Kit])</f>
        <v>0</v>
      </c>
      <c r="AB552" s="294">
        <f>IF(NFI_Expiration=1,IF($A552&lt;VLOOKUP(K$5,NFI,5,0),1,0)*Table_NFI[[#This Row],[Mosquito net]],Table_NFI[Mosquito net])</f>
        <v>0</v>
      </c>
      <c r="AC552" s="294">
        <f>IF(NFI_Expiration=1,IF($A552&lt;VLOOKUP(L$5,NFI,5,0),1,0)*Table_NFI[[#This Row],[Tarpaulin]],Table_NFI[[#This Row],[Tarpaulin]])</f>
        <v>0</v>
      </c>
      <c r="AD552" s="294">
        <f>IF(NFI_Expiration=1,IF($A552&lt;VLOOKUP(M$5,NFI,5,0),1,0)*Table_NFI[[#This Row],[Blanket]],Table_NFI[[#This Row],[Blanket]])</f>
        <v>0</v>
      </c>
      <c r="AE552" s="294">
        <f>IF(NFI_Expiration=1,IF($A552&lt;VLOOKUP(N$5,NFI,5,0),1,0)*Table_NFI[[#This Row],[Kitchen Set]],Table_NFI[Kitchen Set])</f>
        <v>0</v>
      </c>
      <c r="AF552" s="294">
        <f>IF(NFI_Expiration=1,IF($A552&lt;VLOOKUP(O$5,NFI,5,0),1,0)*Table_NFI[[#This Row],[Clothes Kit]],Table_NFI[Clothes Kit])</f>
        <v>0</v>
      </c>
      <c r="AG552" s="294">
        <f>IF(NFI_Expiration=1,IF($A552&lt;VLOOKUP(P$5,NFI,5,0),1,0)*Table_NFI[[#This Row],[Plastic Bucket]],Table_NFI[Plastic Bucket])</f>
        <v>0</v>
      </c>
      <c r="AH552" s="294">
        <f>IF(NFI_Expiration=1,IF($A552&lt;VLOOKUP(Q$5,NFI,5,0),1,0)*Table_NFI[[#This Row],[Plastic Mat]],Table_NFI[Plastic Mat])*IF(Table_NFI[[#This Row],[Distribution Date]]&gt;"2014-04-01",1,2.5)</f>
        <v>0</v>
      </c>
      <c r="AI552" s="294">
        <f>IF(NFI_Expiration=1,IF($A552&lt;VLOOKUP(R$5,NFI,5,0),1,0)*Table_NFI[[#This Row],[Winter Clothes Adult]],Table_NFI[Winter Clothes Adult])</f>
        <v>0</v>
      </c>
      <c r="AJ552" s="294">
        <f>IF(NFI_Expiration=1,IF($A552&lt;VLOOKUP(S$5,NFI,5,0),1,0)*Table_NFI[[#This Row],[Winter Clothes Children]],Table_NFI[Winter Clothes Children])</f>
        <v>0</v>
      </c>
      <c r="AK552" s="294">
        <f>IF(NFI_Expiration=1,IF($A552&lt;VLOOKUP(T$5,NFI,5,0),1,0)*Table_NFI[[#This Row],[Winter Items Other]],Table_NFI[Winter Items Other])</f>
        <v>0</v>
      </c>
      <c r="AL552" s="294">
        <f>IF(NFI_Expiration=1,IF($A552&lt;VLOOKUP(M$5,NFI,5,0),1,0)*Table_NFI[[#This Row],[Winter Blanket]],Table_NFI[[#This Row],[Winter Blanket]])</f>
        <v>0</v>
      </c>
      <c r="AM552" s="294">
        <f>IF(Table_NFI[[#This Row],[Winter Clothes Adult]]+Table_NFI[[#This Row],[Winter Clothes Children]]+Table_NFI[[#This Row],[Winter Items Other]]+Table_NFI[[#This Row],[Winter Blanket]]&gt;0,1,0)</f>
        <v>0</v>
      </c>
      <c r="AN552" s="331">
        <f>IF(NFI_Expiration=1,IF($A552&lt;VLOOKUP(V$5,NFI,5,0),1,0)*Table_NFI[[#This Row],[Jerry Can]],Table_NFI[Jerry Can])</f>
        <v>0</v>
      </c>
      <c r="AO552" s="331">
        <f>IF(NFI_Expiration=1,IF($A552&lt;VLOOKUP(V$5,NFI,5,0),1,0)*Table_NFI[[#This Row],[Shelter Tool kit]],Table_NFI[Shelter Tool kit])</f>
        <v>0</v>
      </c>
      <c r="AP552" s="331">
        <f>IF(NFI_Expiration=1,IF($A552&lt;VLOOKUP(V$5,NFI,5,0),1,0)*Table_NFI[[#This Row],[Tent]],Table_NFI[Tent])</f>
        <v>0</v>
      </c>
      <c r="AQ552" s="473" t="str">
        <f>IFERROR(VLOOKUP(Table_NFI[[#This Row],[Camp Name]],CL,2,0),"")</f>
        <v>MMR001CMP047</v>
      </c>
      <c r="AR552" s="468">
        <f ca="1">IF(Table_NFI[[#This Row],[Pcode]]="","",IF(OFFSET(CampList[Opening Date],MATCH(Table_NFI[[#This Row],[Pcode]],CampList[CP_Pcode],0)-1,0,1,1)&gt;=NFI_Monitor_Date,1,0))</f>
        <v>0</v>
      </c>
      <c r="AS552" s="473" t="str">
        <f>IFERROR(VLOOKUP(Table_NFI[[#This Row],[Camp Name]],CL,3,0),"")</f>
        <v>Open</v>
      </c>
      <c r="AT552" s="294" t="str">
        <f ca="1">IF(Table_NFI[[#This Row],[Pcode]]="","",OFFSET(CampList[Priority],MATCH(Table_NFI[[#This Row],[Pcode]],CampList[CP_Pcode],0)-1,0,1,1))</f>
        <v>P4</v>
      </c>
      <c r="AU552" s="293">
        <f>IFERROR(Table_NFI[[#This Row],[Kitchen Set]]/VLOOKUP(Table_NFI[[#This Row],[Camp Name]],CL,4,0),"")</f>
        <v>5.7507987220447282E-2</v>
      </c>
      <c r="AV552" s="466" t="s">
        <v>1092</v>
      </c>
      <c r="AW552" s="469"/>
    </row>
    <row r="553" spans="1:49" s="470" customFormat="1" ht="14.45" customHeight="1" x14ac:dyDescent="0.25">
      <c r="A553" s="297">
        <f t="shared" si="8"/>
        <v>35.56666666666667</v>
      </c>
      <c r="B553" s="465">
        <v>41608</v>
      </c>
      <c r="C553" s="466" t="s">
        <v>905</v>
      </c>
      <c r="D553" s="466"/>
      <c r="E553" s="466" t="s">
        <v>380</v>
      </c>
      <c r="F553" s="290" t="s">
        <v>185</v>
      </c>
      <c r="G553" s="290" t="s">
        <v>225</v>
      </c>
      <c r="H553" s="291"/>
      <c r="I553" s="291"/>
      <c r="J553" s="291"/>
      <c r="K553" s="291"/>
      <c r="L553" s="292"/>
      <c r="M553" s="292"/>
      <c r="N553" s="292"/>
      <c r="O553" s="292"/>
      <c r="P553" s="294"/>
      <c r="Q553" s="294">
        <v>99</v>
      </c>
      <c r="R553" s="294"/>
      <c r="S553" s="294"/>
      <c r="T553" s="294"/>
      <c r="U553" s="294"/>
      <c r="V553" s="431"/>
      <c r="W553" s="294"/>
      <c r="X553" s="294"/>
      <c r="Y553" s="294">
        <f>IF(NFI_Expiration=1,IF($A553&lt;VLOOKUP(H$5,NFI,5,0),1,0)*Table_NFI[[#This Row],[Hygiene Kit]],Table_NFI[Hygiene Kit])</f>
        <v>0</v>
      </c>
      <c r="Z553" s="294">
        <f>IF(NFI_Expiration=1,IF($A553&lt;VLOOKUP(I$5,NFI,5,0),1,0)*Table_NFI[[#This Row],[NFI Core Kit]],Table_NFI[NFI Core Kit])</f>
        <v>0</v>
      </c>
      <c r="AA553" s="294">
        <f>IF(NFI_Expiration=1,IF($A553&lt;VLOOKUP(J$5,NFI,5,0),1,0)*Table_NFI[[#This Row],[Sanitary Kit]],Table_NFI[Sanitary Kit])</f>
        <v>0</v>
      </c>
      <c r="AB553" s="294">
        <f>IF(NFI_Expiration=1,IF($A553&lt;VLOOKUP(K$5,NFI,5,0),1,0)*Table_NFI[[#This Row],[Mosquito net]],Table_NFI[Mosquito net])</f>
        <v>0</v>
      </c>
      <c r="AC553" s="294">
        <f>IF(NFI_Expiration=1,IF($A553&lt;VLOOKUP(L$5,NFI,5,0),1,0)*Table_NFI[[#This Row],[Tarpaulin]],Table_NFI[[#This Row],[Tarpaulin]])</f>
        <v>0</v>
      </c>
      <c r="AD553" s="294">
        <f>IF(NFI_Expiration=1,IF($A553&lt;VLOOKUP(M$5,NFI,5,0),1,0)*Table_NFI[[#This Row],[Blanket]],Table_NFI[[#This Row],[Blanket]])</f>
        <v>0</v>
      </c>
      <c r="AE553" s="294">
        <f>IF(NFI_Expiration=1,IF($A553&lt;VLOOKUP(N$5,NFI,5,0),1,0)*Table_NFI[[#This Row],[Kitchen Set]],Table_NFI[Kitchen Set])</f>
        <v>0</v>
      </c>
      <c r="AF553" s="294">
        <f>IF(NFI_Expiration=1,IF($A553&lt;VLOOKUP(O$5,NFI,5,0),1,0)*Table_NFI[[#This Row],[Clothes Kit]],Table_NFI[Clothes Kit])</f>
        <v>0</v>
      </c>
      <c r="AG553" s="294">
        <f>IF(NFI_Expiration=1,IF($A553&lt;VLOOKUP(P$5,NFI,5,0),1,0)*Table_NFI[[#This Row],[Plastic Bucket]],Table_NFI[Plastic Bucket])</f>
        <v>0</v>
      </c>
      <c r="AH553" s="294">
        <f>IF(NFI_Expiration=1,IF($A553&lt;VLOOKUP(Q$5,NFI,5,0),1,0)*Table_NFI[[#This Row],[Plastic Mat]],Table_NFI[Plastic Mat])*IF(Table_NFI[[#This Row],[Distribution Date]]&gt;"2014-04-01",1,2.5)</f>
        <v>0</v>
      </c>
      <c r="AI553" s="294">
        <f>IF(NFI_Expiration=1,IF($A553&lt;VLOOKUP(R$5,NFI,5,0),1,0)*Table_NFI[[#This Row],[Winter Clothes Adult]],Table_NFI[Winter Clothes Adult])</f>
        <v>0</v>
      </c>
      <c r="AJ553" s="294">
        <f>IF(NFI_Expiration=1,IF($A553&lt;VLOOKUP(S$5,NFI,5,0),1,0)*Table_NFI[[#This Row],[Winter Clothes Children]],Table_NFI[Winter Clothes Children])</f>
        <v>0</v>
      </c>
      <c r="AK553" s="294">
        <f>IF(NFI_Expiration=1,IF($A553&lt;VLOOKUP(T$5,NFI,5,0),1,0)*Table_NFI[[#This Row],[Winter Items Other]],Table_NFI[Winter Items Other])</f>
        <v>0</v>
      </c>
      <c r="AL553" s="294">
        <f>IF(NFI_Expiration=1,IF($A553&lt;VLOOKUP(M$5,NFI,5,0),1,0)*Table_NFI[[#This Row],[Winter Blanket]],Table_NFI[[#This Row],[Winter Blanket]])</f>
        <v>0</v>
      </c>
      <c r="AM553" s="294">
        <f>IF(Table_NFI[[#This Row],[Winter Clothes Adult]]+Table_NFI[[#This Row],[Winter Clothes Children]]+Table_NFI[[#This Row],[Winter Items Other]]+Table_NFI[[#This Row],[Winter Blanket]]&gt;0,1,0)</f>
        <v>0</v>
      </c>
      <c r="AN553" s="331">
        <f>IF(NFI_Expiration=1,IF($A553&lt;VLOOKUP(V$5,NFI,5,0),1,0)*Table_NFI[[#This Row],[Jerry Can]],Table_NFI[Jerry Can])</f>
        <v>0</v>
      </c>
      <c r="AO553" s="331">
        <f>IF(NFI_Expiration=1,IF($A553&lt;VLOOKUP(V$5,NFI,5,0),1,0)*Table_NFI[[#This Row],[Shelter Tool kit]],Table_NFI[Shelter Tool kit])</f>
        <v>0</v>
      </c>
      <c r="AP553" s="331">
        <f>IF(NFI_Expiration=1,IF($A553&lt;VLOOKUP(V$5,NFI,5,0),1,0)*Table_NFI[[#This Row],[Tent]],Table_NFI[Tent])</f>
        <v>0</v>
      </c>
      <c r="AQ553" s="473" t="str">
        <f>IFERROR(VLOOKUP(Table_NFI[[#This Row],[Camp Name]],CL,2,0),"")</f>
        <v>MMR001CMP073</v>
      </c>
      <c r="AR553" s="468">
        <f ca="1">IF(Table_NFI[[#This Row],[Pcode]]="","",IF(OFFSET(CampList[Opening Date],MATCH(Table_NFI[[#This Row],[Pcode]],CampList[CP_Pcode],0)-1,0,1,1)&gt;=NFI_Monitor_Date,1,0))</f>
        <v>0</v>
      </c>
      <c r="AS553" s="473" t="str">
        <f>IFERROR(VLOOKUP(Table_NFI[[#This Row],[Camp Name]],CL,3,0),"")</f>
        <v>Open</v>
      </c>
      <c r="AT553" s="294" t="str">
        <f ca="1">IF(Table_NFI[[#This Row],[Pcode]]="","",OFFSET(CampList[Priority],MATCH(Table_NFI[[#This Row],[Pcode]],CampList[CP_Pcode],0)-1,0,1,1))</f>
        <v>P3</v>
      </c>
      <c r="AU553" s="293">
        <f>IFERROR(Table_NFI[[#This Row],[Kitchen Set]]/VLOOKUP(Table_NFI[[#This Row],[Camp Name]],CL,4,0),"")</f>
        <v>0</v>
      </c>
      <c r="AV553" s="466" t="s">
        <v>1092</v>
      </c>
      <c r="AW553" s="469"/>
    </row>
    <row r="554" spans="1:49" s="470" customFormat="1" ht="14.45" customHeight="1" x14ac:dyDescent="0.25">
      <c r="A554" s="297">
        <f t="shared" si="8"/>
        <v>35.56666666666667</v>
      </c>
      <c r="B554" s="465">
        <v>41608</v>
      </c>
      <c r="C554" s="466" t="s">
        <v>905</v>
      </c>
      <c r="D554" s="466" t="s">
        <v>460</v>
      </c>
      <c r="E554" s="466" t="s">
        <v>380</v>
      </c>
      <c r="F554" s="290" t="s">
        <v>310</v>
      </c>
      <c r="G554" s="290" t="s">
        <v>347</v>
      </c>
      <c r="H554" s="291"/>
      <c r="I554" s="291"/>
      <c r="J554" s="291"/>
      <c r="K554" s="291"/>
      <c r="L554" s="292"/>
      <c r="M554" s="292"/>
      <c r="N554" s="292"/>
      <c r="O554" s="292"/>
      <c r="P554" s="294"/>
      <c r="Q554" s="294"/>
      <c r="R554" s="294"/>
      <c r="S554" s="294"/>
      <c r="T554" s="294"/>
      <c r="U554" s="294"/>
      <c r="V554" s="431"/>
      <c r="W554" s="294"/>
      <c r="X554" s="294"/>
      <c r="Y554" s="294">
        <f>IF(NFI_Expiration=1,IF($A554&lt;VLOOKUP(H$5,NFI,5,0),1,0)*Table_NFI[[#This Row],[Hygiene Kit]],Table_NFI[Hygiene Kit])</f>
        <v>0</v>
      </c>
      <c r="Z554" s="294">
        <f>IF(NFI_Expiration=1,IF($A554&lt;VLOOKUP(I$5,NFI,5,0),1,0)*Table_NFI[[#This Row],[NFI Core Kit]],Table_NFI[NFI Core Kit])</f>
        <v>0</v>
      </c>
      <c r="AA554" s="294">
        <f>IF(NFI_Expiration=1,IF($A554&lt;VLOOKUP(J$5,NFI,5,0),1,0)*Table_NFI[[#This Row],[Sanitary Kit]],Table_NFI[Sanitary Kit])</f>
        <v>0</v>
      </c>
      <c r="AB554" s="294">
        <f>IF(NFI_Expiration=1,IF($A554&lt;VLOOKUP(K$5,NFI,5,0),1,0)*Table_NFI[[#This Row],[Mosquito net]],Table_NFI[Mosquito net])</f>
        <v>0</v>
      </c>
      <c r="AC554" s="294">
        <f>IF(NFI_Expiration=1,IF($A554&lt;VLOOKUP(L$5,NFI,5,0),1,0)*Table_NFI[[#This Row],[Tarpaulin]],Table_NFI[[#This Row],[Tarpaulin]])</f>
        <v>0</v>
      </c>
      <c r="AD554" s="294">
        <f>IF(NFI_Expiration=1,IF($A554&lt;VLOOKUP(M$5,NFI,5,0),1,0)*Table_NFI[[#This Row],[Blanket]],Table_NFI[[#This Row],[Blanket]])</f>
        <v>0</v>
      </c>
      <c r="AE554" s="294">
        <f>IF(NFI_Expiration=1,IF($A554&lt;VLOOKUP(N$5,NFI,5,0),1,0)*Table_NFI[[#This Row],[Kitchen Set]],Table_NFI[Kitchen Set])</f>
        <v>0</v>
      </c>
      <c r="AF554" s="294">
        <f>IF(NFI_Expiration=1,IF($A554&lt;VLOOKUP(O$5,NFI,5,0),1,0)*Table_NFI[[#This Row],[Clothes Kit]],Table_NFI[Clothes Kit])</f>
        <v>0</v>
      </c>
      <c r="AG554" s="294">
        <f>IF(NFI_Expiration=1,IF($A554&lt;VLOOKUP(P$5,NFI,5,0),1,0)*Table_NFI[[#This Row],[Plastic Bucket]],Table_NFI[Plastic Bucket])</f>
        <v>0</v>
      </c>
      <c r="AH554" s="294">
        <f>IF(NFI_Expiration=1,IF($A554&lt;VLOOKUP(Q$5,NFI,5,0),1,0)*Table_NFI[[#This Row],[Plastic Mat]],Table_NFI[Plastic Mat])*IF(Table_NFI[[#This Row],[Distribution Date]]&gt;"2014-04-01",1,2.5)</f>
        <v>0</v>
      </c>
      <c r="AI554" s="294">
        <f>IF(NFI_Expiration=1,IF($A554&lt;VLOOKUP(R$5,NFI,5,0),1,0)*Table_NFI[[#This Row],[Winter Clothes Adult]],Table_NFI[Winter Clothes Adult])</f>
        <v>0</v>
      </c>
      <c r="AJ554" s="294">
        <f>IF(NFI_Expiration=1,IF($A554&lt;VLOOKUP(S$5,NFI,5,0),1,0)*Table_NFI[[#This Row],[Winter Clothes Children]],Table_NFI[Winter Clothes Children])</f>
        <v>0</v>
      </c>
      <c r="AK554" s="294">
        <f>IF(NFI_Expiration=1,IF($A554&lt;VLOOKUP(T$5,NFI,5,0),1,0)*Table_NFI[[#This Row],[Winter Items Other]],Table_NFI[Winter Items Other])</f>
        <v>0</v>
      </c>
      <c r="AL554" s="294">
        <f>IF(NFI_Expiration=1,IF($A554&lt;VLOOKUP(M$5,NFI,5,0),1,0)*Table_NFI[[#This Row],[Winter Blanket]],Table_NFI[[#This Row],[Winter Blanket]])</f>
        <v>0</v>
      </c>
      <c r="AM554" s="294">
        <f>IF(Table_NFI[[#This Row],[Winter Clothes Adult]]+Table_NFI[[#This Row],[Winter Clothes Children]]+Table_NFI[[#This Row],[Winter Items Other]]+Table_NFI[[#This Row],[Winter Blanket]]&gt;0,1,0)</f>
        <v>0</v>
      </c>
      <c r="AN554" s="331">
        <f>IF(NFI_Expiration=1,IF($A554&lt;VLOOKUP(V$5,NFI,5,0),1,0)*Table_NFI[[#This Row],[Jerry Can]],Table_NFI[Jerry Can])</f>
        <v>0</v>
      </c>
      <c r="AO554" s="331">
        <f>IF(NFI_Expiration=1,IF($A554&lt;VLOOKUP(V$5,NFI,5,0),1,0)*Table_NFI[[#This Row],[Shelter Tool kit]],Table_NFI[Shelter Tool kit])</f>
        <v>0</v>
      </c>
      <c r="AP554" s="331">
        <f>IF(NFI_Expiration=1,IF($A554&lt;VLOOKUP(V$5,NFI,5,0),1,0)*Table_NFI[[#This Row],[Tent]],Table_NFI[Tent])</f>
        <v>0</v>
      </c>
      <c r="AQ554" s="473" t="str">
        <f>IFERROR(VLOOKUP(Table_NFI[[#This Row],[Camp Name]],CL,2,0),"")</f>
        <v>MMR001CMP041</v>
      </c>
      <c r="AR554" s="468">
        <f ca="1">IF(Table_NFI[[#This Row],[Pcode]]="","",IF(OFFSET(CampList[Opening Date],MATCH(Table_NFI[[#This Row],[Pcode]],CampList[CP_Pcode],0)-1,0,1,1)&gt;=NFI_Monitor_Date,1,0))</f>
        <v>0</v>
      </c>
      <c r="AS554" s="473" t="str">
        <f>IFERROR(VLOOKUP(Table_NFI[[#This Row],[Camp Name]],CL,3,0),"")</f>
        <v>Open</v>
      </c>
      <c r="AT554" s="294" t="str">
        <f ca="1">IF(Table_NFI[[#This Row],[Pcode]]="","",OFFSET(CampList[Priority],MATCH(Table_NFI[[#This Row],[Pcode]],CampList[CP_Pcode],0)-1,0,1,1))</f>
        <v>P1</v>
      </c>
      <c r="AU554" s="293">
        <f>IFERROR(Table_NFI[[#This Row],[Kitchen Set]]/VLOOKUP(Table_NFI[[#This Row],[Camp Name]],CL,4,0),"")</f>
        <v>0</v>
      </c>
      <c r="AV554" s="466" t="s">
        <v>1092</v>
      </c>
      <c r="AW554" s="469"/>
    </row>
    <row r="555" spans="1:49" s="470" customFormat="1" ht="14.45" customHeight="1" x14ac:dyDescent="0.25">
      <c r="A555" s="297">
        <f t="shared" si="8"/>
        <v>35.56666666666667</v>
      </c>
      <c r="B555" s="465">
        <v>41608</v>
      </c>
      <c r="C555" s="466" t="s">
        <v>1097</v>
      </c>
      <c r="D555" s="467" t="s">
        <v>944</v>
      </c>
      <c r="E555" s="466" t="s">
        <v>380</v>
      </c>
      <c r="F555" s="290" t="s">
        <v>302</v>
      </c>
      <c r="G555" s="290" t="s">
        <v>306</v>
      </c>
      <c r="H555" s="291"/>
      <c r="I555" s="291"/>
      <c r="J555" s="291"/>
      <c r="K555" s="291"/>
      <c r="L555" s="292"/>
      <c r="M555" s="292">
        <v>197</v>
      </c>
      <c r="N555" s="292"/>
      <c r="O555" s="292"/>
      <c r="P555" s="294"/>
      <c r="Q555" s="294"/>
      <c r="R555" s="294">
        <v>226</v>
      </c>
      <c r="S555" s="294">
        <v>68</v>
      </c>
      <c r="T555" s="294">
        <v>0</v>
      </c>
      <c r="U555" s="294"/>
      <c r="V555" s="431"/>
      <c r="W555" s="294"/>
      <c r="X555" s="294"/>
      <c r="Y555" s="294">
        <f>IF(NFI_Expiration=1,IF($A555&lt;VLOOKUP(H$5,NFI,5,0),1,0)*Table_NFI[[#This Row],[Hygiene Kit]],Table_NFI[Hygiene Kit])</f>
        <v>0</v>
      </c>
      <c r="Z555" s="294">
        <f>IF(NFI_Expiration=1,IF($A555&lt;VLOOKUP(I$5,NFI,5,0),1,0)*Table_NFI[[#This Row],[NFI Core Kit]],Table_NFI[NFI Core Kit])</f>
        <v>0</v>
      </c>
      <c r="AA555" s="294">
        <f>IF(NFI_Expiration=1,IF($A555&lt;VLOOKUP(J$5,NFI,5,0),1,0)*Table_NFI[[#This Row],[Sanitary Kit]],Table_NFI[Sanitary Kit])</f>
        <v>0</v>
      </c>
      <c r="AB555" s="294">
        <f>IF(NFI_Expiration=1,IF($A555&lt;VLOOKUP(K$5,NFI,5,0),1,0)*Table_NFI[[#This Row],[Mosquito net]],Table_NFI[Mosquito net])</f>
        <v>0</v>
      </c>
      <c r="AC555" s="294">
        <f>IF(NFI_Expiration=1,IF($A555&lt;VLOOKUP(L$5,NFI,5,0),1,0)*Table_NFI[[#This Row],[Tarpaulin]],Table_NFI[[#This Row],[Tarpaulin]])</f>
        <v>0</v>
      </c>
      <c r="AD555" s="294">
        <f>IF(NFI_Expiration=1,IF($A555&lt;VLOOKUP(M$5,NFI,5,0),1,0)*Table_NFI[[#This Row],[Blanket]],Table_NFI[[#This Row],[Blanket]])</f>
        <v>0</v>
      </c>
      <c r="AE555" s="294">
        <f>IF(NFI_Expiration=1,IF($A555&lt;VLOOKUP(N$5,NFI,5,0),1,0)*Table_NFI[[#This Row],[Kitchen Set]],Table_NFI[Kitchen Set])</f>
        <v>0</v>
      </c>
      <c r="AF555" s="294">
        <f>IF(NFI_Expiration=1,IF($A555&lt;VLOOKUP(O$5,NFI,5,0),1,0)*Table_NFI[[#This Row],[Clothes Kit]],Table_NFI[Clothes Kit])</f>
        <v>0</v>
      </c>
      <c r="AG555" s="294">
        <f>IF(NFI_Expiration=1,IF($A555&lt;VLOOKUP(P$5,NFI,5,0),1,0)*Table_NFI[[#This Row],[Plastic Bucket]],Table_NFI[Plastic Bucket])</f>
        <v>0</v>
      </c>
      <c r="AH555" s="294">
        <f>IF(NFI_Expiration=1,IF($A555&lt;VLOOKUP(Q$5,NFI,5,0),1,0)*Table_NFI[[#This Row],[Plastic Mat]],Table_NFI[Plastic Mat])*IF(Table_NFI[[#This Row],[Distribution Date]]&gt;"2014-04-01",1,2.5)</f>
        <v>0</v>
      </c>
      <c r="AI555" s="294">
        <f>IF(NFI_Expiration=1,IF($A555&lt;VLOOKUP(R$5,NFI,5,0),1,0)*Table_NFI[[#This Row],[Winter Clothes Adult]],Table_NFI[Winter Clothes Adult])</f>
        <v>0</v>
      </c>
      <c r="AJ555" s="294">
        <f>IF(NFI_Expiration=1,IF($A555&lt;VLOOKUP(S$5,NFI,5,0),1,0)*Table_NFI[[#This Row],[Winter Clothes Children]],Table_NFI[Winter Clothes Children])</f>
        <v>0</v>
      </c>
      <c r="AK555" s="294">
        <f>IF(NFI_Expiration=1,IF($A555&lt;VLOOKUP(T$5,NFI,5,0),1,0)*Table_NFI[[#This Row],[Winter Items Other]],Table_NFI[Winter Items Other])</f>
        <v>0</v>
      </c>
      <c r="AL555" s="294">
        <f>IF(NFI_Expiration=1,IF($A555&lt;VLOOKUP(M$5,NFI,5,0),1,0)*Table_NFI[[#This Row],[Winter Blanket]],Table_NFI[[#This Row],[Winter Blanket]])</f>
        <v>0</v>
      </c>
      <c r="AM555" s="294">
        <f>IF(Table_NFI[[#This Row],[Winter Clothes Adult]]+Table_NFI[[#This Row],[Winter Clothes Children]]+Table_NFI[[#This Row],[Winter Items Other]]+Table_NFI[[#This Row],[Winter Blanket]]&gt;0,1,0)</f>
        <v>1</v>
      </c>
      <c r="AN555" s="331">
        <f>IF(NFI_Expiration=1,IF($A555&lt;VLOOKUP(V$5,NFI,5,0),1,0)*Table_NFI[[#This Row],[Jerry Can]],Table_NFI[Jerry Can])</f>
        <v>0</v>
      </c>
      <c r="AO555" s="331">
        <f>IF(NFI_Expiration=1,IF($A555&lt;VLOOKUP(V$5,NFI,5,0),1,0)*Table_NFI[[#This Row],[Shelter Tool kit]],Table_NFI[Shelter Tool kit])</f>
        <v>0</v>
      </c>
      <c r="AP555" s="331">
        <f>IF(NFI_Expiration=1,IF($A555&lt;VLOOKUP(V$5,NFI,5,0),1,0)*Table_NFI[[#This Row],[Tent]],Table_NFI[Tent])</f>
        <v>0</v>
      </c>
      <c r="AQ555" s="473" t="str">
        <f>IFERROR(VLOOKUP(Table_NFI[[#This Row],[Camp Name]],CL,2,0),"")</f>
        <v>MMR001CMP067</v>
      </c>
      <c r="AR555" s="468">
        <f ca="1">IF(Table_NFI[[#This Row],[Pcode]]="","",IF(OFFSET(CampList[Opening Date],MATCH(Table_NFI[[#This Row],[Pcode]],CampList[CP_Pcode],0)-1,0,1,1)&gt;=NFI_Monitor_Date,1,0))</f>
        <v>0</v>
      </c>
      <c r="AS555" s="473" t="str">
        <f>IFERROR(VLOOKUP(Table_NFI[[#This Row],[Camp Name]],CL,3,0),"")</f>
        <v>Open</v>
      </c>
      <c r="AT555" s="294" t="str">
        <f ca="1">IF(Table_NFI[[#This Row],[Pcode]]="","",OFFSET(CampList[Priority],MATCH(Table_NFI[[#This Row],[Pcode]],CampList[CP_Pcode],0)-1,0,1,1))</f>
        <v>P4</v>
      </c>
      <c r="AU555" s="293">
        <f>IFERROR(Table_NFI[[#This Row],[Kitchen Set]]/VLOOKUP(Table_NFI[[#This Row],[Camp Name]],CL,4,0),"")</f>
        <v>0</v>
      </c>
      <c r="AV555" s="466" t="s">
        <v>1092</v>
      </c>
      <c r="AW555" s="469"/>
    </row>
    <row r="556" spans="1:49" s="470" customFormat="1" ht="14.45" customHeight="1" x14ac:dyDescent="0.25">
      <c r="A556" s="297">
        <f t="shared" si="8"/>
        <v>35.56666666666667</v>
      </c>
      <c r="B556" s="465">
        <v>41608</v>
      </c>
      <c r="C556" s="466" t="s">
        <v>905</v>
      </c>
      <c r="D556" s="466"/>
      <c r="E556" s="466" t="s">
        <v>380</v>
      </c>
      <c r="F556" s="290" t="s">
        <v>302</v>
      </c>
      <c r="G556" s="290" t="s">
        <v>306</v>
      </c>
      <c r="H556" s="291"/>
      <c r="I556" s="291"/>
      <c r="J556" s="291"/>
      <c r="K556" s="291"/>
      <c r="L556" s="292"/>
      <c r="M556" s="292"/>
      <c r="N556" s="292"/>
      <c r="O556" s="292"/>
      <c r="P556" s="294"/>
      <c r="Q556" s="294">
        <v>204</v>
      </c>
      <c r="R556" s="294"/>
      <c r="S556" s="294"/>
      <c r="T556" s="294"/>
      <c r="U556" s="294"/>
      <c r="V556" s="431"/>
      <c r="W556" s="294"/>
      <c r="X556" s="294"/>
      <c r="Y556" s="294">
        <f>IF(NFI_Expiration=1,IF($A556&lt;VLOOKUP(H$5,NFI,5,0),1,0)*Table_NFI[[#This Row],[Hygiene Kit]],Table_NFI[Hygiene Kit])</f>
        <v>0</v>
      </c>
      <c r="Z556" s="294">
        <f>IF(NFI_Expiration=1,IF($A556&lt;VLOOKUP(I$5,NFI,5,0),1,0)*Table_NFI[[#This Row],[NFI Core Kit]],Table_NFI[NFI Core Kit])</f>
        <v>0</v>
      </c>
      <c r="AA556" s="294">
        <f>IF(NFI_Expiration=1,IF($A556&lt;VLOOKUP(J$5,NFI,5,0),1,0)*Table_NFI[[#This Row],[Sanitary Kit]],Table_NFI[Sanitary Kit])</f>
        <v>0</v>
      </c>
      <c r="AB556" s="294">
        <f>IF(NFI_Expiration=1,IF($A556&lt;VLOOKUP(K$5,NFI,5,0),1,0)*Table_NFI[[#This Row],[Mosquito net]],Table_NFI[Mosquito net])</f>
        <v>0</v>
      </c>
      <c r="AC556" s="294">
        <f>IF(NFI_Expiration=1,IF($A556&lt;VLOOKUP(L$5,NFI,5,0),1,0)*Table_NFI[[#This Row],[Tarpaulin]],Table_NFI[[#This Row],[Tarpaulin]])</f>
        <v>0</v>
      </c>
      <c r="AD556" s="294">
        <f>IF(NFI_Expiration=1,IF($A556&lt;VLOOKUP(M$5,NFI,5,0),1,0)*Table_NFI[[#This Row],[Blanket]],Table_NFI[[#This Row],[Blanket]])</f>
        <v>0</v>
      </c>
      <c r="AE556" s="294">
        <f>IF(NFI_Expiration=1,IF($A556&lt;VLOOKUP(N$5,NFI,5,0),1,0)*Table_NFI[[#This Row],[Kitchen Set]],Table_NFI[Kitchen Set])</f>
        <v>0</v>
      </c>
      <c r="AF556" s="294">
        <f>IF(NFI_Expiration=1,IF($A556&lt;VLOOKUP(O$5,NFI,5,0),1,0)*Table_NFI[[#This Row],[Clothes Kit]],Table_NFI[Clothes Kit])</f>
        <v>0</v>
      </c>
      <c r="AG556" s="294">
        <f>IF(NFI_Expiration=1,IF($A556&lt;VLOOKUP(P$5,NFI,5,0),1,0)*Table_NFI[[#This Row],[Plastic Bucket]],Table_NFI[Plastic Bucket])</f>
        <v>0</v>
      </c>
      <c r="AH556" s="294">
        <f>IF(NFI_Expiration=1,IF($A556&lt;VLOOKUP(Q$5,NFI,5,0),1,0)*Table_NFI[[#This Row],[Plastic Mat]],Table_NFI[Plastic Mat])*IF(Table_NFI[[#This Row],[Distribution Date]]&gt;"2014-04-01",1,2.5)</f>
        <v>0</v>
      </c>
      <c r="AI556" s="294">
        <f>IF(NFI_Expiration=1,IF($A556&lt;VLOOKUP(R$5,NFI,5,0),1,0)*Table_NFI[[#This Row],[Winter Clothes Adult]],Table_NFI[Winter Clothes Adult])</f>
        <v>0</v>
      </c>
      <c r="AJ556" s="294">
        <f>IF(NFI_Expiration=1,IF($A556&lt;VLOOKUP(S$5,NFI,5,0),1,0)*Table_NFI[[#This Row],[Winter Clothes Children]],Table_NFI[Winter Clothes Children])</f>
        <v>0</v>
      </c>
      <c r="AK556" s="294">
        <f>IF(NFI_Expiration=1,IF($A556&lt;VLOOKUP(T$5,NFI,5,0),1,0)*Table_NFI[[#This Row],[Winter Items Other]],Table_NFI[Winter Items Other])</f>
        <v>0</v>
      </c>
      <c r="AL556" s="294">
        <f>IF(NFI_Expiration=1,IF($A556&lt;VLOOKUP(M$5,NFI,5,0),1,0)*Table_NFI[[#This Row],[Winter Blanket]],Table_NFI[[#This Row],[Winter Blanket]])</f>
        <v>0</v>
      </c>
      <c r="AM556" s="294">
        <f>IF(Table_NFI[[#This Row],[Winter Clothes Adult]]+Table_NFI[[#This Row],[Winter Clothes Children]]+Table_NFI[[#This Row],[Winter Items Other]]+Table_NFI[[#This Row],[Winter Blanket]]&gt;0,1,0)</f>
        <v>0</v>
      </c>
      <c r="AN556" s="331">
        <f>IF(NFI_Expiration=1,IF($A556&lt;VLOOKUP(V$5,NFI,5,0),1,0)*Table_NFI[[#This Row],[Jerry Can]],Table_NFI[Jerry Can])</f>
        <v>0</v>
      </c>
      <c r="AO556" s="331">
        <f>IF(NFI_Expiration=1,IF($A556&lt;VLOOKUP(V$5,NFI,5,0),1,0)*Table_NFI[[#This Row],[Shelter Tool kit]],Table_NFI[Shelter Tool kit])</f>
        <v>0</v>
      </c>
      <c r="AP556" s="331">
        <f>IF(NFI_Expiration=1,IF($A556&lt;VLOOKUP(V$5,NFI,5,0),1,0)*Table_NFI[[#This Row],[Tent]],Table_NFI[Tent])</f>
        <v>0</v>
      </c>
      <c r="AQ556" s="473" t="str">
        <f>IFERROR(VLOOKUP(Table_NFI[[#This Row],[Camp Name]],CL,2,0),"")</f>
        <v>MMR001CMP067</v>
      </c>
      <c r="AR556" s="468">
        <f ca="1">IF(Table_NFI[[#This Row],[Pcode]]="","",IF(OFFSET(CampList[Opening Date],MATCH(Table_NFI[[#This Row],[Pcode]],CampList[CP_Pcode],0)-1,0,1,1)&gt;=NFI_Monitor_Date,1,0))</f>
        <v>0</v>
      </c>
      <c r="AS556" s="473" t="str">
        <f>IFERROR(VLOOKUP(Table_NFI[[#This Row],[Camp Name]],CL,3,0),"")</f>
        <v>Open</v>
      </c>
      <c r="AT556" s="294" t="str">
        <f ca="1">IF(Table_NFI[[#This Row],[Pcode]]="","",OFFSET(CampList[Priority],MATCH(Table_NFI[[#This Row],[Pcode]],CampList[CP_Pcode],0)-1,0,1,1))</f>
        <v>P4</v>
      </c>
      <c r="AU556" s="293">
        <f>IFERROR(Table_NFI[[#This Row],[Kitchen Set]]/VLOOKUP(Table_NFI[[#This Row],[Camp Name]],CL,4,0),"")</f>
        <v>0</v>
      </c>
      <c r="AV556" s="466" t="s">
        <v>1092</v>
      </c>
      <c r="AW556" s="469"/>
    </row>
    <row r="557" spans="1:49" s="470" customFormat="1" ht="14.45" customHeight="1" x14ac:dyDescent="0.25">
      <c r="A557" s="297">
        <f t="shared" si="8"/>
        <v>35.56666666666667</v>
      </c>
      <c r="B557" s="465">
        <v>41608</v>
      </c>
      <c r="C557" s="466" t="s">
        <v>1097</v>
      </c>
      <c r="D557" s="467" t="s">
        <v>944</v>
      </c>
      <c r="E557" s="466" t="s">
        <v>380</v>
      </c>
      <c r="F557" s="290" t="s">
        <v>302</v>
      </c>
      <c r="G557" s="290" t="s">
        <v>308</v>
      </c>
      <c r="H557" s="291"/>
      <c r="I557" s="291"/>
      <c r="J557" s="291"/>
      <c r="K557" s="291"/>
      <c r="L557" s="292"/>
      <c r="M557" s="292">
        <v>142</v>
      </c>
      <c r="N557" s="292"/>
      <c r="O557" s="292"/>
      <c r="P557" s="294"/>
      <c r="Q557" s="294"/>
      <c r="R557" s="294">
        <v>182</v>
      </c>
      <c r="S557" s="294">
        <v>60</v>
      </c>
      <c r="T557" s="294">
        <v>0</v>
      </c>
      <c r="U557" s="294"/>
      <c r="V557" s="431"/>
      <c r="W557" s="294"/>
      <c r="X557" s="294"/>
      <c r="Y557" s="294">
        <f>IF(NFI_Expiration=1,IF($A557&lt;VLOOKUP(H$5,NFI,5,0),1,0)*Table_NFI[[#This Row],[Hygiene Kit]],Table_NFI[Hygiene Kit])</f>
        <v>0</v>
      </c>
      <c r="Z557" s="294">
        <f>IF(NFI_Expiration=1,IF($A557&lt;VLOOKUP(I$5,NFI,5,0),1,0)*Table_NFI[[#This Row],[NFI Core Kit]],Table_NFI[NFI Core Kit])</f>
        <v>0</v>
      </c>
      <c r="AA557" s="294">
        <f>IF(NFI_Expiration=1,IF($A557&lt;VLOOKUP(J$5,NFI,5,0),1,0)*Table_NFI[[#This Row],[Sanitary Kit]],Table_NFI[Sanitary Kit])</f>
        <v>0</v>
      </c>
      <c r="AB557" s="294">
        <f>IF(NFI_Expiration=1,IF($A557&lt;VLOOKUP(K$5,NFI,5,0),1,0)*Table_NFI[[#This Row],[Mosquito net]],Table_NFI[Mosquito net])</f>
        <v>0</v>
      </c>
      <c r="AC557" s="294">
        <f>IF(NFI_Expiration=1,IF($A557&lt;VLOOKUP(L$5,NFI,5,0),1,0)*Table_NFI[[#This Row],[Tarpaulin]],Table_NFI[[#This Row],[Tarpaulin]])</f>
        <v>0</v>
      </c>
      <c r="AD557" s="294">
        <f>IF(NFI_Expiration=1,IF($A557&lt;VLOOKUP(M$5,NFI,5,0),1,0)*Table_NFI[[#This Row],[Blanket]],Table_NFI[[#This Row],[Blanket]])</f>
        <v>0</v>
      </c>
      <c r="AE557" s="294">
        <f>IF(NFI_Expiration=1,IF($A557&lt;VLOOKUP(N$5,NFI,5,0),1,0)*Table_NFI[[#This Row],[Kitchen Set]],Table_NFI[Kitchen Set])</f>
        <v>0</v>
      </c>
      <c r="AF557" s="294">
        <f>IF(NFI_Expiration=1,IF($A557&lt;VLOOKUP(O$5,NFI,5,0),1,0)*Table_NFI[[#This Row],[Clothes Kit]],Table_NFI[Clothes Kit])</f>
        <v>0</v>
      </c>
      <c r="AG557" s="294">
        <f>IF(NFI_Expiration=1,IF($A557&lt;VLOOKUP(P$5,NFI,5,0),1,0)*Table_NFI[[#This Row],[Plastic Bucket]],Table_NFI[Plastic Bucket])</f>
        <v>0</v>
      </c>
      <c r="AH557" s="294">
        <f>IF(NFI_Expiration=1,IF($A557&lt;VLOOKUP(Q$5,NFI,5,0),1,0)*Table_NFI[[#This Row],[Plastic Mat]],Table_NFI[Plastic Mat])*IF(Table_NFI[[#This Row],[Distribution Date]]&gt;"2014-04-01",1,2.5)</f>
        <v>0</v>
      </c>
      <c r="AI557" s="294">
        <f>IF(NFI_Expiration=1,IF($A557&lt;VLOOKUP(R$5,NFI,5,0),1,0)*Table_NFI[[#This Row],[Winter Clothes Adult]],Table_NFI[Winter Clothes Adult])</f>
        <v>0</v>
      </c>
      <c r="AJ557" s="294">
        <f>IF(NFI_Expiration=1,IF($A557&lt;VLOOKUP(S$5,NFI,5,0),1,0)*Table_NFI[[#This Row],[Winter Clothes Children]],Table_NFI[Winter Clothes Children])</f>
        <v>0</v>
      </c>
      <c r="AK557" s="294">
        <f>IF(NFI_Expiration=1,IF($A557&lt;VLOOKUP(T$5,NFI,5,0),1,0)*Table_NFI[[#This Row],[Winter Items Other]],Table_NFI[Winter Items Other])</f>
        <v>0</v>
      </c>
      <c r="AL557" s="294">
        <f>IF(NFI_Expiration=1,IF($A557&lt;VLOOKUP(M$5,NFI,5,0),1,0)*Table_NFI[[#This Row],[Winter Blanket]],Table_NFI[[#This Row],[Winter Blanket]])</f>
        <v>0</v>
      </c>
      <c r="AM557" s="294">
        <f>IF(Table_NFI[[#This Row],[Winter Clothes Adult]]+Table_NFI[[#This Row],[Winter Clothes Children]]+Table_NFI[[#This Row],[Winter Items Other]]+Table_NFI[[#This Row],[Winter Blanket]]&gt;0,1,0)</f>
        <v>1</v>
      </c>
      <c r="AN557" s="331">
        <f>IF(NFI_Expiration=1,IF($A557&lt;VLOOKUP(V$5,NFI,5,0),1,0)*Table_NFI[[#This Row],[Jerry Can]],Table_NFI[Jerry Can])</f>
        <v>0</v>
      </c>
      <c r="AO557" s="331">
        <f>IF(NFI_Expiration=1,IF($A557&lt;VLOOKUP(V$5,NFI,5,0),1,0)*Table_NFI[[#This Row],[Shelter Tool kit]],Table_NFI[Shelter Tool kit])</f>
        <v>0</v>
      </c>
      <c r="AP557" s="331">
        <f>IF(NFI_Expiration=1,IF($A557&lt;VLOOKUP(V$5,NFI,5,0),1,0)*Table_NFI[[#This Row],[Tent]],Table_NFI[Tent])</f>
        <v>0</v>
      </c>
      <c r="AQ557" s="473" t="str">
        <f>IFERROR(VLOOKUP(Table_NFI[[#This Row],[Camp Name]],CL,2,0),"")</f>
        <v>MMR001CMP068</v>
      </c>
      <c r="AR557" s="468">
        <f ca="1">IF(Table_NFI[[#This Row],[Pcode]]="","",IF(OFFSET(CampList[Opening Date],MATCH(Table_NFI[[#This Row],[Pcode]],CampList[CP_Pcode],0)-1,0,1,1)&gt;=NFI_Monitor_Date,1,0))</f>
        <v>0</v>
      </c>
      <c r="AS557" s="473" t="str">
        <f>IFERROR(VLOOKUP(Table_NFI[[#This Row],[Camp Name]],CL,3,0),"")</f>
        <v>Open</v>
      </c>
      <c r="AT557" s="294" t="str">
        <f ca="1">IF(Table_NFI[[#This Row],[Pcode]]="","",OFFSET(CampList[Priority],MATCH(Table_NFI[[#This Row],[Pcode]],CampList[CP_Pcode],0)-1,0,1,1))</f>
        <v>P4</v>
      </c>
      <c r="AU557" s="293">
        <f>IFERROR(Table_NFI[[#This Row],[Kitchen Set]]/VLOOKUP(Table_NFI[[#This Row],[Camp Name]],CL,4,0),"")</f>
        <v>0</v>
      </c>
      <c r="AV557" s="466" t="s">
        <v>1092</v>
      </c>
      <c r="AW557" s="469"/>
    </row>
    <row r="558" spans="1:49" s="470" customFormat="1" ht="14.45" customHeight="1" x14ac:dyDescent="0.25">
      <c r="A558" s="297">
        <f t="shared" si="8"/>
        <v>35.56666666666667</v>
      </c>
      <c r="B558" s="465">
        <v>41608</v>
      </c>
      <c r="C558" s="466" t="s">
        <v>905</v>
      </c>
      <c r="D558" s="466"/>
      <c r="E558" s="466" t="s">
        <v>380</v>
      </c>
      <c r="F558" s="290" t="s">
        <v>302</v>
      </c>
      <c r="G558" s="290" t="s">
        <v>308</v>
      </c>
      <c r="H558" s="291"/>
      <c r="I558" s="291"/>
      <c r="J558" s="291"/>
      <c r="K558" s="291"/>
      <c r="L558" s="292"/>
      <c r="M558" s="292"/>
      <c r="N558" s="292"/>
      <c r="O558" s="292"/>
      <c r="P558" s="294"/>
      <c r="Q558" s="294">
        <v>126</v>
      </c>
      <c r="R558" s="294"/>
      <c r="S558" s="294"/>
      <c r="T558" s="294"/>
      <c r="U558" s="294"/>
      <c r="V558" s="431"/>
      <c r="W558" s="294"/>
      <c r="X558" s="294"/>
      <c r="Y558" s="294">
        <f>IF(NFI_Expiration=1,IF($A558&lt;VLOOKUP(H$5,NFI,5,0),1,0)*Table_NFI[[#This Row],[Hygiene Kit]],Table_NFI[Hygiene Kit])</f>
        <v>0</v>
      </c>
      <c r="Z558" s="294">
        <f>IF(NFI_Expiration=1,IF($A558&lt;VLOOKUP(I$5,NFI,5,0),1,0)*Table_NFI[[#This Row],[NFI Core Kit]],Table_NFI[NFI Core Kit])</f>
        <v>0</v>
      </c>
      <c r="AA558" s="294">
        <f>IF(NFI_Expiration=1,IF($A558&lt;VLOOKUP(J$5,NFI,5,0),1,0)*Table_NFI[[#This Row],[Sanitary Kit]],Table_NFI[Sanitary Kit])</f>
        <v>0</v>
      </c>
      <c r="AB558" s="294">
        <f>IF(NFI_Expiration=1,IF($A558&lt;VLOOKUP(K$5,NFI,5,0),1,0)*Table_NFI[[#This Row],[Mosquito net]],Table_NFI[Mosquito net])</f>
        <v>0</v>
      </c>
      <c r="AC558" s="294">
        <f>IF(NFI_Expiration=1,IF($A558&lt;VLOOKUP(L$5,NFI,5,0),1,0)*Table_NFI[[#This Row],[Tarpaulin]],Table_NFI[[#This Row],[Tarpaulin]])</f>
        <v>0</v>
      </c>
      <c r="AD558" s="294">
        <f>IF(NFI_Expiration=1,IF($A558&lt;VLOOKUP(M$5,NFI,5,0),1,0)*Table_NFI[[#This Row],[Blanket]],Table_NFI[[#This Row],[Blanket]])</f>
        <v>0</v>
      </c>
      <c r="AE558" s="294">
        <f>IF(NFI_Expiration=1,IF($A558&lt;VLOOKUP(N$5,NFI,5,0),1,0)*Table_NFI[[#This Row],[Kitchen Set]],Table_NFI[Kitchen Set])</f>
        <v>0</v>
      </c>
      <c r="AF558" s="294">
        <f>IF(NFI_Expiration=1,IF($A558&lt;VLOOKUP(O$5,NFI,5,0),1,0)*Table_NFI[[#This Row],[Clothes Kit]],Table_NFI[Clothes Kit])</f>
        <v>0</v>
      </c>
      <c r="AG558" s="294">
        <f>IF(NFI_Expiration=1,IF($A558&lt;VLOOKUP(P$5,NFI,5,0),1,0)*Table_NFI[[#This Row],[Plastic Bucket]],Table_NFI[Plastic Bucket])</f>
        <v>0</v>
      </c>
      <c r="AH558" s="294">
        <f>IF(NFI_Expiration=1,IF($A558&lt;VLOOKUP(Q$5,NFI,5,0),1,0)*Table_NFI[[#This Row],[Plastic Mat]],Table_NFI[Plastic Mat])*IF(Table_NFI[[#This Row],[Distribution Date]]&gt;"2014-04-01",1,2.5)</f>
        <v>0</v>
      </c>
      <c r="AI558" s="294">
        <f>IF(NFI_Expiration=1,IF($A558&lt;VLOOKUP(R$5,NFI,5,0),1,0)*Table_NFI[[#This Row],[Winter Clothes Adult]],Table_NFI[Winter Clothes Adult])</f>
        <v>0</v>
      </c>
      <c r="AJ558" s="294">
        <f>IF(NFI_Expiration=1,IF($A558&lt;VLOOKUP(S$5,NFI,5,0),1,0)*Table_NFI[[#This Row],[Winter Clothes Children]],Table_NFI[Winter Clothes Children])</f>
        <v>0</v>
      </c>
      <c r="AK558" s="294">
        <f>IF(NFI_Expiration=1,IF($A558&lt;VLOOKUP(T$5,NFI,5,0),1,0)*Table_NFI[[#This Row],[Winter Items Other]],Table_NFI[Winter Items Other])</f>
        <v>0</v>
      </c>
      <c r="AL558" s="294">
        <f>IF(NFI_Expiration=1,IF($A558&lt;VLOOKUP(M$5,NFI,5,0),1,0)*Table_NFI[[#This Row],[Winter Blanket]],Table_NFI[[#This Row],[Winter Blanket]])</f>
        <v>0</v>
      </c>
      <c r="AM558" s="294">
        <f>IF(Table_NFI[[#This Row],[Winter Clothes Adult]]+Table_NFI[[#This Row],[Winter Clothes Children]]+Table_NFI[[#This Row],[Winter Items Other]]+Table_NFI[[#This Row],[Winter Blanket]]&gt;0,1,0)</f>
        <v>0</v>
      </c>
      <c r="AN558" s="331">
        <f>IF(NFI_Expiration=1,IF($A558&lt;VLOOKUP(V$5,NFI,5,0),1,0)*Table_NFI[[#This Row],[Jerry Can]],Table_NFI[Jerry Can])</f>
        <v>0</v>
      </c>
      <c r="AO558" s="331">
        <f>IF(NFI_Expiration=1,IF($A558&lt;VLOOKUP(V$5,NFI,5,0),1,0)*Table_NFI[[#This Row],[Shelter Tool kit]],Table_NFI[Shelter Tool kit])</f>
        <v>0</v>
      </c>
      <c r="AP558" s="331">
        <f>IF(NFI_Expiration=1,IF($A558&lt;VLOOKUP(V$5,NFI,5,0),1,0)*Table_NFI[[#This Row],[Tent]],Table_NFI[Tent])</f>
        <v>0</v>
      </c>
      <c r="AQ558" s="473" t="str">
        <f>IFERROR(VLOOKUP(Table_NFI[[#This Row],[Camp Name]],CL,2,0),"")</f>
        <v>MMR001CMP068</v>
      </c>
      <c r="AR558" s="468">
        <f ca="1">IF(Table_NFI[[#This Row],[Pcode]]="","",IF(OFFSET(CampList[Opening Date],MATCH(Table_NFI[[#This Row],[Pcode]],CampList[CP_Pcode],0)-1,0,1,1)&gt;=NFI_Monitor_Date,1,0))</f>
        <v>0</v>
      </c>
      <c r="AS558" s="473" t="str">
        <f>IFERROR(VLOOKUP(Table_NFI[[#This Row],[Camp Name]],CL,3,0),"")</f>
        <v>Open</v>
      </c>
      <c r="AT558" s="294" t="str">
        <f ca="1">IF(Table_NFI[[#This Row],[Pcode]]="","",OFFSET(CampList[Priority],MATCH(Table_NFI[[#This Row],[Pcode]],CampList[CP_Pcode],0)-1,0,1,1))</f>
        <v>P4</v>
      </c>
      <c r="AU558" s="293">
        <f>IFERROR(Table_NFI[[#This Row],[Kitchen Set]]/VLOOKUP(Table_NFI[[#This Row],[Camp Name]],CL,4,0),"")</f>
        <v>0</v>
      </c>
      <c r="AV558" s="466" t="s">
        <v>1092</v>
      </c>
      <c r="AW558" s="469"/>
    </row>
    <row r="559" spans="1:49" s="470" customFormat="1" ht="14.45" customHeight="1" x14ac:dyDescent="0.25">
      <c r="A559" s="297">
        <f t="shared" si="8"/>
        <v>35.56666666666667</v>
      </c>
      <c r="B559" s="465">
        <v>41608</v>
      </c>
      <c r="C559" s="466" t="s">
        <v>1097</v>
      </c>
      <c r="D559" s="467" t="s">
        <v>944</v>
      </c>
      <c r="E559" s="466" t="s">
        <v>380</v>
      </c>
      <c r="F559" s="290" t="s">
        <v>5</v>
      </c>
      <c r="G559" s="290" t="s">
        <v>24</v>
      </c>
      <c r="H559" s="291"/>
      <c r="I559" s="291"/>
      <c r="J559" s="291"/>
      <c r="K559" s="291"/>
      <c r="L559" s="292"/>
      <c r="M559" s="292">
        <v>135</v>
      </c>
      <c r="N559" s="292"/>
      <c r="O559" s="292"/>
      <c r="P559" s="294"/>
      <c r="Q559" s="294"/>
      <c r="R559" s="294">
        <v>68</v>
      </c>
      <c r="S559" s="294">
        <v>61</v>
      </c>
      <c r="T559" s="294">
        <v>0</v>
      </c>
      <c r="U559" s="294"/>
      <c r="V559" s="431"/>
      <c r="W559" s="294"/>
      <c r="X559" s="294"/>
      <c r="Y559" s="294">
        <f>IF(NFI_Expiration=1,IF($A559&lt;VLOOKUP(H$5,NFI,5,0),1,0)*Table_NFI[[#This Row],[Hygiene Kit]],Table_NFI[Hygiene Kit])</f>
        <v>0</v>
      </c>
      <c r="Z559" s="294">
        <f>IF(NFI_Expiration=1,IF($A559&lt;VLOOKUP(I$5,NFI,5,0),1,0)*Table_NFI[[#This Row],[NFI Core Kit]],Table_NFI[NFI Core Kit])</f>
        <v>0</v>
      </c>
      <c r="AA559" s="294">
        <f>IF(NFI_Expiration=1,IF($A559&lt;VLOOKUP(J$5,NFI,5,0),1,0)*Table_NFI[[#This Row],[Sanitary Kit]],Table_NFI[Sanitary Kit])</f>
        <v>0</v>
      </c>
      <c r="AB559" s="294">
        <f>IF(NFI_Expiration=1,IF($A559&lt;VLOOKUP(K$5,NFI,5,0),1,0)*Table_NFI[[#This Row],[Mosquito net]],Table_NFI[Mosquito net])</f>
        <v>0</v>
      </c>
      <c r="AC559" s="294">
        <f>IF(NFI_Expiration=1,IF($A559&lt;VLOOKUP(L$5,NFI,5,0),1,0)*Table_NFI[[#This Row],[Tarpaulin]],Table_NFI[[#This Row],[Tarpaulin]])</f>
        <v>0</v>
      </c>
      <c r="AD559" s="294">
        <f>IF(NFI_Expiration=1,IF($A559&lt;VLOOKUP(M$5,NFI,5,0),1,0)*Table_NFI[[#This Row],[Blanket]],Table_NFI[[#This Row],[Blanket]])</f>
        <v>0</v>
      </c>
      <c r="AE559" s="294">
        <f>IF(NFI_Expiration=1,IF($A559&lt;VLOOKUP(N$5,NFI,5,0),1,0)*Table_NFI[[#This Row],[Kitchen Set]],Table_NFI[Kitchen Set])</f>
        <v>0</v>
      </c>
      <c r="AF559" s="294">
        <f>IF(NFI_Expiration=1,IF($A559&lt;VLOOKUP(O$5,NFI,5,0),1,0)*Table_NFI[[#This Row],[Clothes Kit]],Table_NFI[Clothes Kit])</f>
        <v>0</v>
      </c>
      <c r="AG559" s="294">
        <f>IF(NFI_Expiration=1,IF($A559&lt;VLOOKUP(P$5,NFI,5,0),1,0)*Table_NFI[[#This Row],[Plastic Bucket]],Table_NFI[Plastic Bucket])</f>
        <v>0</v>
      </c>
      <c r="AH559" s="294">
        <f>IF(NFI_Expiration=1,IF($A559&lt;VLOOKUP(Q$5,NFI,5,0),1,0)*Table_NFI[[#This Row],[Plastic Mat]],Table_NFI[Plastic Mat])*IF(Table_NFI[[#This Row],[Distribution Date]]&gt;"2014-04-01",1,2.5)</f>
        <v>0</v>
      </c>
      <c r="AI559" s="294">
        <f>IF(NFI_Expiration=1,IF($A559&lt;VLOOKUP(R$5,NFI,5,0),1,0)*Table_NFI[[#This Row],[Winter Clothes Adult]],Table_NFI[Winter Clothes Adult])</f>
        <v>0</v>
      </c>
      <c r="AJ559" s="294">
        <f>IF(NFI_Expiration=1,IF($A559&lt;VLOOKUP(S$5,NFI,5,0),1,0)*Table_NFI[[#This Row],[Winter Clothes Children]],Table_NFI[Winter Clothes Children])</f>
        <v>0</v>
      </c>
      <c r="AK559" s="294">
        <f>IF(NFI_Expiration=1,IF($A559&lt;VLOOKUP(T$5,NFI,5,0),1,0)*Table_NFI[[#This Row],[Winter Items Other]],Table_NFI[Winter Items Other])</f>
        <v>0</v>
      </c>
      <c r="AL559" s="294">
        <f>IF(NFI_Expiration=1,IF($A559&lt;VLOOKUP(M$5,NFI,5,0),1,0)*Table_NFI[[#This Row],[Winter Blanket]],Table_NFI[[#This Row],[Winter Blanket]])</f>
        <v>0</v>
      </c>
      <c r="AM559" s="294">
        <f>IF(Table_NFI[[#This Row],[Winter Clothes Adult]]+Table_NFI[[#This Row],[Winter Clothes Children]]+Table_NFI[[#This Row],[Winter Items Other]]+Table_NFI[[#This Row],[Winter Blanket]]&gt;0,1,0)</f>
        <v>1</v>
      </c>
      <c r="AN559" s="331">
        <f>IF(NFI_Expiration=1,IF($A559&lt;VLOOKUP(V$5,NFI,5,0),1,0)*Table_NFI[[#This Row],[Jerry Can]],Table_NFI[Jerry Can])</f>
        <v>0</v>
      </c>
      <c r="AO559" s="331">
        <f>IF(NFI_Expiration=1,IF($A559&lt;VLOOKUP(V$5,NFI,5,0),1,0)*Table_NFI[[#This Row],[Shelter Tool kit]],Table_NFI[Shelter Tool kit])</f>
        <v>0</v>
      </c>
      <c r="AP559" s="331">
        <f>IF(NFI_Expiration=1,IF($A559&lt;VLOOKUP(V$5,NFI,5,0),1,0)*Table_NFI[[#This Row],[Tent]],Table_NFI[Tent])</f>
        <v>0</v>
      </c>
      <c r="AQ559" s="473" t="str">
        <f>IFERROR(VLOOKUP(Table_NFI[[#This Row],[Camp Name]],CL,2,0),"")</f>
        <v>MMR001CMP055</v>
      </c>
      <c r="AR559" s="468">
        <f ca="1">IF(Table_NFI[[#This Row],[Pcode]]="","",IF(OFFSET(CampList[Opening Date],MATCH(Table_NFI[[#This Row],[Pcode]],CampList[CP_Pcode],0)-1,0,1,1)&gt;=NFI_Monitor_Date,1,0))</f>
        <v>0</v>
      </c>
      <c r="AS559" s="473" t="str">
        <f>IFERROR(VLOOKUP(Table_NFI[[#This Row],[Camp Name]],CL,3,0),"")</f>
        <v>Open</v>
      </c>
      <c r="AT559" s="294" t="str">
        <f ca="1">IF(Table_NFI[[#This Row],[Pcode]]="","",OFFSET(CampList[Priority],MATCH(Table_NFI[[#This Row],[Pcode]],CampList[CP_Pcode],0)-1,0,1,1))</f>
        <v>P4</v>
      </c>
      <c r="AU559" s="293">
        <f>IFERROR(Table_NFI[[#This Row],[Kitchen Set]]/VLOOKUP(Table_NFI[[#This Row],[Camp Name]],CL,4,0),"")</f>
        <v>0</v>
      </c>
      <c r="AV559" s="466" t="s">
        <v>1092</v>
      </c>
      <c r="AW559" s="469"/>
    </row>
    <row r="560" spans="1:49" s="470" customFormat="1" ht="14.45" customHeight="1" x14ac:dyDescent="0.25">
      <c r="A560" s="297">
        <f t="shared" si="8"/>
        <v>35.56666666666667</v>
      </c>
      <c r="B560" s="465">
        <v>41608</v>
      </c>
      <c r="C560" s="466" t="s">
        <v>905</v>
      </c>
      <c r="D560" s="466"/>
      <c r="E560" s="466" t="s">
        <v>380</v>
      </c>
      <c r="F560" s="290" t="s">
        <v>5</v>
      </c>
      <c r="G560" s="290" t="s">
        <v>24</v>
      </c>
      <c r="H560" s="291"/>
      <c r="I560" s="291"/>
      <c r="J560" s="291"/>
      <c r="K560" s="291"/>
      <c r="L560" s="292"/>
      <c r="M560" s="292"/>
      <c r="N560" s="292"/>
      <c r="O560" s="292"/>
      <c r="P560" s="294"/>
      <c r="Q560" s="294"/>
      <c r="R560" s="294"/>
      <c r="S560" s="294"/>
      <c r="T560" s="294"/>
      <c r="U560" s="294"/>
      <c r="V560" s="431"/>
      <c r="W560" s="294"/>
      <c r="X560" s="294"/>
      <c r="Y560" s="294">
        <f>IF(NFI_Expiration=1,IF($A560&lt;VLOOKUP(H$5,NFI,5,0),1,0)*Table_NFI[[#This Row],[Hygiene Kit]],Table_NFI[Hygiene Kit])</f>
        <v>0</v>
      </c>
      <c r="Z560" s="294">
        <f>IF(NFI_Expiration=1,IF($A560&lt;VLOOKUP(I$5,NFI,5,0),1,0)*Table_NFI[[#This Row],[NFI Core Kit]],Table_NFI[NFI Core Kit])</f>
        <v>0</v>
      </c>
      <c r="AA560" s="294">
        <f>IF(NFI_Expiration=1,IF($A560&lt;VLOOKUP(J$5,NFI,5,0),1,0)*Table_NFI[[#This Row],[Sanitary Kit]],Table_NFI[Sanitary Kit])</f>
        <v>0</v>
      </c>
      <c r="AB560" s="294">
        <f>IF(NFI_Expiration=1,IF($A560&lt;VLOOKUP(K$5,NFI,5,0),1,0)*Table_NFI[[#This Row],[Mosquito net]],Table_NFI[Mosquito net])</f>
        <v>0</v>
      </c>
      <c r="AC560" s="294">
        <f>IF(NFI_Expiration=1,IF($A560&lt;VLOOKUP(L$5,NFI,5,0),1,0)*Table_NFI[[#This Row],[Tarpaulin]],Table_NFI[[#This Row],[Tarpaulin]])</f>
        <v>0</v>
      </c>
      <c r="AD560" s="294">
        <f>IF(NFI_Expiration=1,IF($A560&lt;VLOOKUP(M$5,NFI,5,0),1,0)*Table_NFI[[#This Row],[Blanket]],Table_NFI[[#This Row],[Blanket]])</f>
        <v>0</v>
      </c>
      <c r="AE560" s="294">
        <f>IF(NFI_Expiration=1,IF($A560&lt;VLOOKUP(N$5,NFI,5,0),1,0)*Table_NFI[[#This Row],[Kitchen Set]],Table_NFI[Kitchen Set])</f>
        <v>0</v>
      </c>
      <c r="AF560" s="294">
        <f>IF(NFI_Expiration=1,IF($A560&lt;VLOOKUP(O$5,NFI,5,0),1,0)*Table_NFI[[#This Row],[Clothes Kit]],Table_NFI[Clothes Kit])</f>
        <v>0</v>
      </c>
      <c r="AG560" s="294">
        <f>IF(NFI_Expiration=1,IF($A560&lt;VLOOKUP(P$5,NFI,5,0),1,0)*Table_NFI[[#This Row],[Plastic Bucket]],Table_NFI[Plastic Bucket])</f>
        <v>0</v>
      </c>
      <c r="AH560" s="294">
        <f>IF(NFI_Expiration=1,IF($A560&lt;VLOOKUP(Q$5,NFI,5,0),1,0)*Table_NFI[[#This Row],[Plastic Mat]],Table_NFI[Plastic Mat])*IF(Table_NFI[[#This Row],[Distribution Date]]&gt;"2014-04-01",1,2.5)</f>
        <v>0</v>
      </c>
      <c r="AI560" s="294">
        <f>IF(NFI_Expiration=1,IF($A560&lt;VLOOKUP(R$5,NFI,5,0),1,0)*Table_NFI[[#This Row],[Winter Clothes Adult]],Table_NFI[Winter Clothes Adult])</f>
        <v>0</v>
      </c>
      <c r="AJ560" s="294">
        <f>IF(NFI_Expiration=1,IF($A560&lt;VLOOKUP(S$5,NFI,5,0),1,0)*Table_NFI[[#This Row],[Winter Clothes Children]],Table_NFI[Winter Clothes Children])</f>
        <v>0</v>
      </c>
      <c r="AK560" s="294">
        <f>IF(NFI_Expiration=1,IF($A560&lt;VLOOKUP(T$5,NFI,5,0),1,0)*Table_NFI[[#This Row],[Winter Items Other]],Table_NFI[Winter Items Other])</f>
        <v>0</v>
      </c>
      <c r="AL560" s="294">
        <f>IF(NFI_Expiration=1,IF($A560&lt;VLOOKUP(M$5,NFI,5,0),1,0)*Table_NFI[[#This Row],[Winter Blanket]],Table_NFI[[#This Row],[Winter Blanket]])</f>
        <v>0</v>
      </c>
      <c r="AM560" s="294">
        <f>IF(Table_NFI[[#This Row],[Winter Clothes Adult]]+Table_NFI[[#This Row],[Winter Clothes Children]]+Table_NFI[[#This Row],[Winter Items Other]]+Table_NFI[[#This Row],[Winter Blanket]]&gt;0,1,0)</f>
        <v>0</v>
      </c>
      <c r="AN560" s="331">
        <f>IF(NFI_Expiration=1,IF($A560&lt;VLOOKUP(V$5,NFI,5,0),1,0)*Table_NFI[[#This Row],[Jerry Can]],Table_NFI[Jerry Can])</f>
        <v>0</v>
      </c>
      <c r="AO560" s="331">
        <f>IF(NFI_Expiration=1,IF($A560&lt;VLOOKUP(V$5,NFI,5,0),1,0)*Table_NFI[[#This Row],[Shelter Tool kit]],Table_NFI[Shelter Tool kit])</f>
        <v>0</v>
      </c>
      <c r="AP560" s="331">
        <f>IF(NFI_Expiration=1,IF($A560&lt;VLOOKUP(V$5,NFI,5,0),1,0)*Table_NFI[[#This Row],[Tent]],Table_NFI[Tent])</f>
        <v>0</v>
      </c>
      <c r="AQ560" s="473" t="str">
        <f>IFERROR(VLOOKUP(Table_NFI[[#This Row],[Camp Name]],CL,2,0),"")</f>
        <v>MMR001CMP055</v>
      </c>
      <c r="AR560" s="468">
        <f ca="1">IF(Table_NFI[[#This Row],[Pcode]]="","",IF(OFFSET(CampList[Opening Date],MATCH(Table_NFI[[#This Row],[Pcode]],CampList[CP_Pcode],0)-1,0,1,1)&gt;=NFI_Monitor_Date,1,0))</f>
        <v>0</v>
      </c>
      <c r="AS560" s="473" t="str">
        <f>IFERROR(VLOOKUP(Table_NFI[[#This Row],[Camp Name]],CL,3,0),"")</f>
        <v>Open</v>
      </c>
      <c r="AT560" s="294" t="str">
        <f ca="1">IF(Table_NFI[[#This Row],[Pcode]]="","",OFFSET(CampList[Priority],MATCH(Table_NFI[[#This Row],[Pcode]],CampList[CP_Pcode],0)-1,0,1,1))</f>
        <v>P4</v>
      </c>
      <c r="AU560" s="293">
        <f>IFERROR(Table_NFI[[#This Row],[Kitchen Set]]/VLOOKUP(Table_NFI[[#This Row],[Camp Name]],CL,4,0),"")</f>
        <v>0</v>
      </c>
      <c r="AV560" s="466" t="s">
        <v>1092</v>
      </c>
      <c r="AW560" s="469"/>
    </row>
    <row r="561" spans="1:49" s="470" customFormat="1" ht="27.6" customHeight="1" x14ac:dyDescent="0.25">
      <c r="A561" s="297">
        <f t="shared" si="8"/>
        <v>35.56666666666667</v>
      </c>
      <c r="B561" s="465">
        <v>41608</v>
      </c>
      <c r="C561" s="466" t="s">
        <v>905</v>
      </c>
      <c r="D561" s="466" t="s">
        <v>460</v>
      </c>
      <c r="E561" s="466" t="s">
        <v>380</v>
      </c>
      <c r="F561" s="290" t="s">
        <v>310</v>
      </c>
      <c r="G561" s="290" t="s">
        <v>349</v>
      </c>
      <c r="H561" s="291"/>
      <c r="I561" s="291"/>
      <c r="J561" s="291"/>
      <c r="K561" s="291"/>
      <c r="L561" s="292"/>
      <c r="M561" s="292"/>
      <c r="N561" s="292"/>
      <c r="O561" s="292"/>
      <c r="P561" s="294"/>
      <c r="Q561" s="294"/>
      <c r="R561" s="294"/>
      <c r="S561" s="294"/>
      <c r="T561" s="294"/>
      <c r="U561" s="294"/>
      <c r="V561" s="431"/>
      <c r="W561" s="294"/>
      <c r="X561" s="294"/>
      <c r="Y561" s="294">
        <f>IF(NFI_Expiration=1,IF($A561&lt;VLOOKUP(H$5,NFI,5,0),1,0)*Table_NFI[[#This Row],[Hygiene Kit]],Table_NFI[Hygiene Kit])</f>
        <v>0</v>
      </c>
      <c r="Z561" s="294">
        <f>IF(NFI_Expiration=1,IF($A561&lt;VLOOKUP(I$5,NFI,5,0),1,0)*Table_NFI[[#This Row],[NFI Core Kit]],Table_NFI[NFI Core Kit])</f>
        <v>0</v>
      </c>
      <c r="AA561" s="294">
        <f>IF(NFI_Expiration=1,IF($A561&lt;VLOOKUP(J$5,NFI,5,0),1,0)*Table_NFI[[#This Row],[Sanitary Kit]],Table_NFI[Sanitary Kit])</f>
        <v>0</v>
      </c>
      <c r="AB561" s="294">
        <f>IF(NFI_Expiration=1,IF($A561&lt;VLOOKUP(K$5,NFI,5,0),1,0)*Table_NFI[[#This Row],[Mosquito net]],Table_NFI[Mosquito net])</f>
        <v>0</v>
      </c>
      <c r="AC561" s="294">
        <f>IF(NFI_Expiration=1,IF($A561&lt;VLOOKUP(L$5,NFI,5,0),1,0)*Table_NFI[[#This Row],[Tarpaulin]],Table_NFI[[#This Row],[Tarpaulin]])</f>
        <v>0</v>
      </c>
      <c r="AD561" s="294">
        <f>IF(NFI_Expiration=1,IF($A561&lt;VLOOKUP(M$5,NFI,5,0),1,0)*Table_NFI[[#This Row],[Blanket]],Table_NFI[[#This Row],[Blanket]])</f>
        <v>0</v>
      </c>
      <c r="AE561" s="294">
        <f>IF(NFI_Expiration=1,IF($A561&lt;VLOOKUP(N$5,NFI,5,0),1,0)*Table_NFI[[#This Row],[Kitchen Set]],Table_NFI[Kitchen Set])</f>
        <v>0</v>
      </c>
      <c r="AF561" s="294">
        <f>IF(NFI_Expiration=1,IF($A561&lt;VLOOKUP(O$5,NFI,5,0),1,0)*Table_NFI[[#This Row],[Clothes Kit]],Table_NFI[Clothes Kit])</f>
        <v>0</v>
      </c>
      <c r="AG561" s="294">
        <f>IF(NFI_Expiration=1,IF($A561&lt;VLOOKUP(P$5,NFI,5,0),1,0)*Table_NFI[[#This Row],[Plastic Bucket]],Table_NFI[Plastic Bucket])</f>
        <v>0</v>
      </c>
      <c r="AH561" s="294">
        <f>IF(NFI_Expiration=1,IF($A561&lt;VLOOKUP(Q$5,NFI,5,0),1,0)*Table_NFI[[#This Row],[Plastic Mat]],Table_NFI[Plastic Mat])*IF(Table_NFI[[#This Row],[Distribution Date]]&gt;"2014-04-01",1,2.5)</f>
        <v>0</v>
      </c>
      <c r="AI561" s="294">
        <f>IF(NFI_Expiration=1,IF($A561&lt;VLOOKUP(R$5,NFI,5,0),1,0)*Table_NFI[[#This Row],[Winter Clothes Adult]],Table_NFI[Winter Clothes Adult])</f>
        <v>0</v>
      </c>
      <c r="AJ561" s="294">
        <f>IF(NFI_Expiration=1,IF($A561&lt;VLOOKUP(S$5,NFI,5,0),1,0)*Table_NFI[[#This Row],[Winter Clothes Children]],Table_NFI[Winter Clothes Children])</f>
        <v>0</v>
      </c>
      <c r="AK561" s="294">
        <f>IF(NFI_Expiration=1,IF($A561&lt;VLOOKUP(T$5,NFI,5,0),1,0)*Table_NFI[[#This Row],[Winter Items Other]],Table_NFI[Winter Items Other])</f>
        <v>0</v>
      </c>
      <c r="AL561" s="294">
        <f>IF(NFI_Expiration=1,IF($A561&lt;VLOOKUP(M$5,NFI,5,0),1,0)*Table_NFI[[#This Row],[Winter Blanket]],Table_NFI[[#This Row],[Winter Blanket]])</f>
        <v>0</v>
      </c>
      <c r="AM561" s="294">
        <f>IF(Table_NFI[[#This Row],[Winter Clothes Adult]]+Table_NFI[[#This Row],[Winter Clothes Children]]+Table_NFI[[#This Row],[Winter Items Other]]+Table_NFI[[#This Row],[Winter Blanket]]&gt;0,1,0)</f>
        <v>0</v>
      </c>
      <c r="AN561" s="331">
        <f>IF(NFI_Expiration=1,IF($A561&lt;VLOOKUP(V$5,NFI,5,0),1,0)*Table_NFI[[#This Row],[Jerry Can]],Table_NFI[Jerry Can])</f>
        <v>0</v>
      </c>
      <c r="AO561" s="331">
        <f>IF(NFI_Expiration=1,IF($A561&lt;VLOOKUP(V$5,NFI,5,0),1,0)*Table_NFI[[#This Row],[Shelter Tool kit]],Table_NFI[Shelter Tool kit])</f>
        <v>0</v>
      </c>
      <c r="AP561" s="331">
        <f>IF(NFI_Expiration=1,IF($A561&lt;VLOOKUP(V$5,NFI,5,0),1,0)*Table_NFI[[#This Row],[Tent]],Table_NFI[Tent])</f>
        <v>0</v>
      </c>
      <c r="AQ561" s="473" t="str">
        <f>IFERROR(VLOOKUP(Table_NFI[[#This Row],[Camp Name]],CL,2,0),"")</f>
        <v>MMR001CMP037</v>
      </c>
      <c r="AR561" s="468">
        <f ca="1">IF(Table_NFI[[#This Row],[Pcode]]="","",IF(OFFSET(CampList[Opening Date],MATCH(Table_NFI[[#This Row],[Pcode]],CampList[CP_Pcode],0)-1,0,1,1)&gt;=NFI_Monitor_Date,1,0))</f>
        <v>0</v>
      </c>
      <c r="AS561" s="473" t="str">
        <f>IFERROR(VLOOKUP(Table_NFI[[#This Row],[Camp Name]],CL,3,0),"")</f>
        <v>Open</v>
      </c>
      <c r="AT561" s="294" t="str">
        <f ca="1">IF(Table_NFI[[#This Row],[Pcode]]="","",OFFSET(CampList[Priority],MATCH(Table_NFI[[#This Row],[Pcode]],CampList[CP_Pcode],0)-1,0,1,1))</f>
        <v>P4</v>
      </c>
      <c r="AU561" s="293">
        <f>IFERROR(Table_NFI[[#This Row],[Kitchen Set]]/VLOOKUP(Table_NFI[[#This Row],[Camp Name]],CL,4,0),"")</f>
        <v>0</v>
      </c>
      <c r="AV561" s="466" t="s">
        <v>1092</v>
      </c>
      <c r="AW561" s="469"/>
    </row>
    <row r="562" spans="1:49" s="470" customFormat="1" ht="14.45" customHeight="1" x14ac:dyDescent="0.25">
      <c r="A562" s="297">
        <f t="shared" si="8"/>
        <v>35.56666666666667</v>
      </c>
      <c r="B562" s="465">
        <v>41608</v>
      </c>
      <c r="C562" s="466" t="s">
        <v>905</v>
      </c>
      <c r="D562" s="466" t="s">
        <v>460</v>
      </c>
      <c r="E562" s="466" t="s">
        <v>380</v>
      </c>
      <c r="F562" s="290" t="s">
        <v>310</v>
      </c>
      <c r="G562" s="290" t="s">
        <v>316</v>
      </c>
      <c r="H562" s="291"/>
      <c r="I562" s="291"/>
      <c r="J562" s="291"/>
      <c r="K562" s="291"/>
      <c r="L562" s="292"/>
      <c r="M562" s="292"/>
      <c r="N562" s="292"/>
      <c r="O562" s="292"/>
      <c r="P562" s="294"/>
      <c r="Q562" s="294"/>
      <c r="R562" s="294"/>
      <c r="S562" s="294"/>
      <c r="T562" s="294"/>
      <c r="U562" s="294"/>
      <c r="V562" s="431"/>
      <c r="W562" s="294"/>
      <c r="X562" s="294"/>
      <c r="Y562" s="294">
        <f>IF(NFI_Expiration=1,IF($A562&lt;VLOOKUP(H$5,NFI,5,0),1,0)*Table_NFI[[#This Row],[Hygiene Kit]],Table_NFI[Hygiene Kit])</f>
        <v>0</v>
      </c>
      <c r="Z562" s="294">
        <f>IF(NFI_Expiration=1,IF($A562&lt;VLOOKUP(I$5,NFI,5,0),1,0)*Table_NFI[[#This Row],[NFI Core Kit]],Table_NFI[NFI Core Kit])</f>
        <v>0</v>
      </c>
      <c r="AA562" s="294">
        <f>IF(NFI_Expiration=1,IF($A562&lt;VLOOKUP(J$5,NFI,5,0),1,0)*Table_NFI[[#This Row],[Sanitary Kit]],Table_NFI[Sanitary Kit])</f>
        <v>0</v>
      </c>
      <c r="AB562" s="294">
        <f>IF(NFI_Expiration=1,IF($A562&lt;VLOOKUP(K$5,NFI,5,0),1,0)*Table_NFI[[#This Row],[Mosquito net]],Table_NFI[Mosquito net])</f>
        <v>0</v>
      </c>
      <c r="AC562" s="294">
        <f>IF(NFI_Expiration=1,IF($A562&lt;VLOOKUP(L$5,NFI,5,0),1,0)*Table_NFI[[#This Row],[Tarpaulin]],Table_NFI[[#This Row],[Tarpaulin]])</f>
        <v>0</v>
      </c>
      <c r="AD562" s="294">
        <f>IF(NFI_Expiration=1,IF($A562&lt;VLOOKUP(M$5,NFI,5,0),1,0)*Table_NFI[[#This Row],[Blanket]],Table_NFI[[#This Row],[Blanket]])</f>
        <v>0</v>
      </c>
      <c r="AE562" s="294">
        <f>IF(NFI_Expiration=1,IF($A562&lt;VLOOKUP(N$5,NFI,5,0),1,0)*Table_NFI[[#This Row],[Kitchen Set]],Table_NFI[Kitchen Set])</f>
        <v>0</v>
      </c>
      <c r="AF562" s="294">
        <f>IF(NFI_Expiration=1,IF($A562&lt;VLOOKUP(O$5,NFI,5,0),1,0)*Table_NFI[[#This Row],[Clothes Kit]],Table_NFI[Clothes Kit])</f>
        <v>0</v>
      </c>
      <c r="AG562" s="294">
        <f>IF(NFI_Expiration=1,IF($A562&lt;VLOOKUP(P$5,NFI,5,0),1,0)*Table_NFI[[#This Row],[Plastic Bucket]],Table_NFI[Plastic Bucket])</f>
        <v>0</v>
      </c>
      <c r="AH562" s="294">
        <f>IF(NFI_Expiration=1,IF($A562&lt;VLOOKUP(Q$5,NFI,5,0),1,0)*Table_NFI[[#This Row],[Plastic Mat]],Table_NFI[Plastic Mat])*IF(Table_NFI[[#This Row],[Distribution Date]]&gt;"2014-04-01",1,2.5)</f>
        <v>0</v>
      </c>
      <c r="AI562" s="294">
        <f>IF(NFI_Expiration=1,IF($A562&lt;VLOOKUP(R$5,NFI,5,0),1,0)*Table_NFI[[#This Row],[Winter Clothes Adult]],Table_NFI[Winter Clothes Adult])</f>
        <v>0</v>
      </c>
      <c r="AJ562" s="294">
        <f>IF(NFI_Expiration=1,IF($A562&lt;VLOOKUP(S$5,NFI,5,0),1,0)*Table_NFI[[#This Row],[Winter Clothes Children]],Table_NFI[Winter Clothes Children])</f>
        <v>0</v>
      </c>
      <c r="AK562" s="294">
        <f>IF(NFI_Expiration=1,IF($A562&lt;VLOOKUP(T$5,NFI,5,0),1,0)*Table_NFI[[#This Row],[Winter Items Other]],Table_NFI[Winter Items Other])</f>
        <v>0</v>
      </c>
      <c r="AL562" s="294">
        <f>IF(NFI_Expiration=1,IF($A562&lt;VLOOKUP(M$5,NFI,5,0),1,0)*Table_NFI[[#This Row],[Winter Blanket]],Table_NFI[[#This Row],[Winter Blanket]])</f>
        <v>0</v>
      </c>
      <c r="AM562" s="294">
        <f>IF(Table_NFI[[#This Row],[Winter Clothes Adult]]+Table_NFI[[#This Row],[Winter Clothes Children]]+Table_NFI[[#This Row],[Winter Items Other]]+Table_NFI[[#This Row],[Winter Blanket]]&gt;0,1,0)</f>
        <v>0</v>
      </c>
      <c r="AN562" s="331">
        <f>IF(NFI_Expiration=1,IF($A562&lt;VLOOKUP(V$5,NFI,5,0),1,0)*Table_NFI[[#This Row],[Jerry Can]],Table_NFI[Jerry Can])</f>
        <v>0</v>
      </c>
      <c r="AO562" s="331">
        <f>IF(NFI_Expiration=1,IF($A562&lt;VLOOKUP(V$5,NFI,5,0),1,0)*Table_NFI[[#This Row],[Shelter Tool kit]],Table_NFI[Shelter Tool kit])</f>
        <v>0</v>
      </c>
      <c r="AP562" s="331">
        <f>IF(NFI_Expiration=1,IF($A562&lt;VLOOKUP(V$5,NFI,5,0),1,0)*Table_NFI[[#This Row],[Tent]],Table_NFI[Tent])</f>
        <v>0</v>
      </c>
      <c r="AQ562" s="473" t="str">
        <f>IFERROR(VLOOKUP(Table_NFI[[#This Row],[Camp Name]],CL,2,0),"")</f>
        <v>MMR001CMP038</v>
      </c>
      <c r="AR562" s="468">
        <f ca="1">IF(Table_NFI[[#This Row],[Pcode]]="","",IF(OFFSET(CampList[Opening Date],MATCH(Table_NFI[[#This Row],[Pcode]],CampList[CP_Pcode],0)-1,0,1,1)&gt;=NFI_Monitor_Date,1,0))</f>
        <v>0</v>
      </c>
      <c r="AS562" s="473" t="str">
        <f>IFERROR(VLOOKUP(Table_NFI[[#This Row],[Camp Name]],CL,3,0),"")</f>
        <v>Open</v>
      </c>
      <c r="AT562" s="294" t="str">
        <f ca="1">IF(Table_NFI[[#This Row],[Pcode]]="","",OFFSET(CampList[Priority],MATCH(Table_NFI[[#This Row],[Pcode]],CampList[CP_Pcode],0)-1,0,1,1))</f>
        <v>P4</v>
      </c>
      <c r="AU562" s="293">
        <f>IFERROR(Table_NFI[[#This Row],[Kitchen Set]]/VLOOKUP(Table_NFI[[#This Row],[Camp Name]],CL,4,0),"")</f>
        <v>0</v>
      </c>
      <c r="AV562" s="466" t="s">
        <v>1092</v>
      </c>
      <c r="AW562" s="469"/>
    </row>
    <row r="563" spans="1:49" s="470" customFormat="1" ht="14.45" customHeight="1" x14ac:dyDescent="0.25">
      <c r="A563" s="297">
        <f t="shared" si="8"/>
        <v>35.56666666666667</v>
      </c>
      <c r="B563" s="465">
        <v>41608</v>
      </c>
      <c r="C563" s="466" t="s">
        <v>905</v>
      </c>
      <c r="D563" s="466" t="s">
        <v>460</v>
      </c>
      <c r="E563" s="466" t="s">
        <v>380</v>
      </c>
      <c r="F563" s="290" t="s">
        <v>310</v>
      </c>
      <c r="G563" s="290" t="s">
        <v>353</v>
      </c>
      <c r="H563" s="291"/>
      <c r="I563" s="291"/>
      <c r="J563" s="291"/>
      <c r="K563" s="291"/>
      <c r="L563" s="292"/>
      <c r="M563" s="292"/>
      <c r="N563" s="292"/>
      <c r="O563" s="292"/>
      <c r="P563" s="294"/>
      <c r="Q563" s="294">
        <v>1851</v>
      </c>
      <c r="R563" s="294"/>
      <c r="S563" s="294"/>
      <c r="T563" s="294"/>
      <c r="U563" s="294"/>
      <c r="V563" s="431"/>
      <c r="W563" s="294"/>
      <c r="X563" s="294"/>
      <c r="Y563" s="294">
        <f>IF(NFI_Expiration=1,IF($A563&lt;VLOOKUP(H$5,NFI,5,0),1,0)*Table_NFI[[#This Row],[Hygiene Kit]],Table_NFI[Hygiene Kit])</f>
        <v>0</v>
      </c>
      <c r="Z563" s="294">
        <f>IF(NFI_Expiration=1,IF($A563&lt;VLOOKUP(I$5,NFI,5,0),1,0)*Table_NFI[[#This Row],[NFI Core Kit]],Table_NFI[NFI Core Kit])</f>
        <v>0</v>
      </c>
      <c r="AA563" s="294">
        <f>IF(NFI_Expiration=1,IF($A563&lt;VLOOKUP(J$5,NFI,5,0),1,0)*Table_NFI[[#This Row],[Sanitary Kit]],Table_NFI[Sanitary Kit])</f>
        <v>0</v>
      </c>
      <c r="AB563" s="294">
        <f>IF(NFI_Expiration=1,IF($A563&lt;VLOOKUP(K$5,NFI,5,0),1,0)*Table_NFI[[#This Row],[Mosquito net]],Table_NFI[Mosquito net])</f>
        <v>0</v>
      </c>
      <c r="AC563" s="294">
        <f>IF(NFI_Expiration=1,IF($A563&lt;VLOOKUP(L$5,NFI,5,0),1,0)*Table_NFI[[#This Row],[Tarpaulin]],Table_NFI[[#This Row],[Tarpaulin]])</f>
        <v>0</v>
      </c>
      <c r="AD563" s="294">
        <f>IF(NFI_Expiration=1,IF($A563&lt;VLOOKUP(M$5,NFI,5,0),1,0)*Table_NFI[[#This Row],[Blanket]],Table_NFI[[#This Row],[Blanket]])</f>
        <v>0</v>
      </c>
      <c r="AE563" s="294">
        <f>IF(NFI_Expiration=1,IF($A563&lt;VLOOKUP(N$5,NFI,5,0),1,0)*Table_NFI[[#This Row],[Kitchen Set]],Table_NFI[Kitchen Set])</f>
        <v>0</v>
      </c>
      <c r="AF563" s="294">
        <f>IF(NFI_Expiration=1,IF($A563&lt;VLOOKUP(O$5,NFI,5,0),1,0)*Table_NFI[[#This Row],[Clothes Kit]],Table_NFI[Clothes Kit])</f>
        <v>0</v>
      </c>
      <c r="AG563" s="294">
        <f>IF(NFI_Expiration=1,IF($A563&lt;VLOOKUP(P$5,NFI,5,0),1,0)*Table_NFI[[#This Row],[Plastic Bucket]],Table_NFI[Plastic Bucket])</f>
        <v>0</v>
      </c>
      <c r="AH563" s="294">
        <f>IF(NFI_Expiration=1,IF($A563&lt;VLOOKUP(Q$5,NFI,5,0),1,0)*Table_NFI[[#This Row],[Plastic Mat]],Table_NFI[Plastic Mat])*IF(Table_NFI[[#This Row],[Distribution Date]]&gt;"2014-04-01",1,2.5)</f>
        <v>0</v>
      </c>
      <c r="AI563" s="294">
        <f>IF(NFI_Expiration=1,IF($A563&lt;VLOOKUP(R$5,NFI,5,0),1,0)*Table_NFI[[#This Row],[Winter Clothes Adult]],Table_NFI[Winter Clothes Adult])</f>
        <v>0</v>
      </c>
      <c r="AJ563" s="294">
        <f>IF(NFI_Expiration=1,IF($A563&lt;VLOOKUP(S$5,NFI,5,0),1,0)*Table_NFI[[#This Row],[Winter Clothes Children]],Table_NFI[Winter Clothes Children])</f>
        <v>0</v>
      </c>
      <c r="AK563" s="294">
        <f>IF(NFI_Expiration=1,IF($A563&lt;VLOOKUP(T$5,NFI,5,0),1,0)*Table_NFI[[#This Row],[Winter Items Other]],Table_NFI[Winter Items Other])</f>
        <v>0</v>
      </c>
      <c r="AL563" s="294">
        <f>IF(NFI_Expiration=1,IF($A563&lt;VLOOKUP(M$5,NFI,5,0),1,0)*Table_NFI[[#This Row],[Winter Blanket]],Table_NFI[[#This Row],[Winter Blanket]])</f>
        <v>0</v>
      </c>
      <c r="AM563" s="294">
        <f>IF(Table_NFI[[#This Row],[Winter Clothes Adult]]+Table_NFI[[#This Row],[Winter Clothes Children]]+Table_NFI[[#This Row],[Winter Items Other]]+Table_NFI[[#This Row],[Winter Blanket]]&gt;0,1,0)</f>
        <v>0</v>
      </c>
      <c r="AN563" s="331">
        <f>IF(NFI_Expiration=1,IF($A563&lt;VLOOKUP(V$5,NFI,5,0),1,0)*Table_NFI[[#This Row],[Jerry Can]],Table_NFI[Jerry Can])</f>
        <v>0</v>
      </c>
      <c r="AO563" s="331">
        <f>IF(NFI_Expiration=1,IF($A563&lt;VLOOKUP(V$5,NFI,5,0),1,0)*Table_NFI[[#This Row],[Shelter Tool kit]],Table_NFI[Shelter Tool kit])</f>
        <v>0</v>
      </c>
      <c r="AP563" s="331">
        <f>IF(NFI_Expiration=1,IF($A563&lt;VLOOKUP(V$5,NFI,5,0),1,0)*Table_NFI[[#This Row],[Tent]],Table_NFI[Tent])</f>
        <v>0</v>
      </c>
      <c r="AQ563" s="473" t="str">
        <f>IFERROR(VLOOKUP(Table_NFI[[#This Row],[Camp Name]],CL,2,0),"")</f>
        <v>MMR001CMP116</v>
      </c>
      <c r="AR563" s="468">
        <f ca="1">IF(Table_NFI[[#This Row],[Pcode]]="","",IF(OFFSET(CampList[Opening Date],MATCH(Table_NFI[[#This Row],[Pcode]],CampList[CP_Pcode],0)-1,0,1,1)&gt;=NFI_Monitor_Date,1,0))</f>
        <v>0</v>
      </c>
      <c r="AS563" s="473" t="str">
        <f>IFERROR(VLOOKUP(Table_NFI[[#This Row],[Camp Name]],CL,3,0),"")</f>
        <v>Open</v>
      </c>
      <c r="AT563" s="294" t="str">
        <f ca="1">IF(Table_NFI[[#This Row],[Pcode]]="","",OFFSET(CampList[Priority],MATCH(Table_NFI[[#This Row],[Pcode]],CampList[CP_Pcode],0)-1,0,1,1))</f>
        <v>P4</v>
      </c>
      <c r="AU563" s="293">
        <f>IFERROR(Table_NFI[[#This Row],[Kitchen Set]]/VLOOKUP(Table_NFI[[#This Row],[Camp Name]],CL,4,0),"")</f>
        <v>0</v>
      </c>
      <c r="AV563" s="466" t="s">
        <v>1092</v>
      </c>
      <c r="AW563" s="469"/>
    </row>
    <row r="564" spans="1:49" s="470" customFormat="1" ht="14.45" customHeight="1" x14ac:dyDescent="0.25">
      <c r="A564" s="297">
        <f t="shared" si="8"/>
        <v>35.56666666666667</v>
      </c>
      <c r="B564" s="465">
        <v>41608</v>
      </c>
      <c r="C564" s="466" t="s">
        <v>1097</v>
      </c>
      <c r="D564" s="467" t="s">
        <v>944</v>
      </c>
      <c r="E564" s="466" t="s">
        <v>380</v>
      </c>
      <c r="F564" s="290" t="s">
        <v>5</v>
      </c>
      <c r="G564" s="290" t="s">
        <v>26</v>
      </c>
      <c r="H564" s="291"/>
      <c r="I564" s="291"/>
      <c r="J564" s="291"/>
      <c r="K564" s="291"/>
      <c r="L564" s="292"/>
      <c r="M564" s="292">
        <v>64</v>
      </c>
      <c r="N564" s="292"/>
      <c r="O564" s="292"/>
      <c r="P564" s="294"/>
      <c r="Q564" s="294"/>
      <c r="R564" s="294">
        <v>58</v>
      </c>
      <c r="S564" s="294">
        <v>52</v>
      </c>
      <c r="T564" s="294">
        <v>0</v>
      </c>
      <c r="U564" s="294"/>
      <c r="V564" s="431"/>
      <c r="W564" s="294"/>
      <c r="X564" s="294"/>
      <c r="Y564" s="294">
        <f>IF(NFI_Expiration=1,IF($A564&lt;VLOOKUP(H$5,NFI,5,0),1,0)*Table_NFI[[#This Row],[Hygiene Kit]],Table_NFI[Hygiene Kit])</f>
        <v>0</v>
      </c>
      <c r="Z564" s="294">
        <f>IF(NFI_Expiration=1,IF($A564&lt;VLOOKUP(I$5,NFI,5,0),1,0)*Table_NFI[[#This Row],[NFI Core Kit]],Table_NFI[NFI Core Kit])</f>
        <v>0</v>
      </c>
      <c r="AA564" s="294">
        <f>IF(NFI_Expiration=1,IF($A564&lt;VLOOKUP(J$5,NFI,5,0),1,0)*Table_NFI[[#This Row],[Sanitary Kit]],Table_NFI[Sanitary Kit])</f>
        <v>0</v>
      </c>
      <c r="AB564" s="294">
        <f>IF(NFI_Expiration=1,IF($A564&lt;VLOOKUP(K$5,NFI,5,0),1,0)*Table_NFI[[#This Row],[Mosquito net]],Table_NFI[Mosquito net])</f>
        <v>0</v>
      </c>
      <c r="AC564" s="294">
        <f>IF(NFI_Expiration=1,IF($A564&lt;VLOOKUP(L$5,NFI,5,0),1,0)*Table_NFI[[#This Row],[Tarpaulin]],Table_NFI[[#This Row],[Tarpaulin]])</f>
        <v>0</v>
      </c>
      <c r="AD564" s="294">
        <f>IF(NFI_Expiration=1,IF($A564&lt;VLOOKUP(M$5,NFI,5,0),1,0)*Table_NFI[[#This Row],[Blanket]],Table_NFI[[#This Row],[Blanket]])</f>
        <v>0</v>
      </c>
      <c r="AE564" s="294">
        <f>IF(NFI_Expiration=1,IF($A564&lt;VLOOKUP(N$5,NFI,5,0),1,0)*Table_NFI[[#This Row],[Kitchen Set]],Table_NFI[Kitchen Set])</f>
        <v>0</v>
      </c>
      <c r="AF564" s="294">
        <f>IF(NFI_Expiration=1,IF($A564&lt;VLOOKUP(O$5,NFI,5,0),1,0)*Table_NFI[[#This Row],[Clothes Kit]],Table_NFI[Clothes Kit])</f>
        <v>0</v>
      </c>
      <c r="AG564" s="294">
        <f>IF(NFI_Expiration=1,IF($A564&lt;VLOOKUP(P$5,NFI,5,0),1,0)*Table_NFI[[#This Row],[Plastic Bucket]],Table_NFI[Plastic Bucket])</f>
        <v>0</v>
      </c>
      <c r="AH564" s="294">
        <f>IF(NFI_Expiration=1,IF($A564&lt;VLOOKUP(Q$5,NFI,5,0),1,0)*Table_NFI[[#This Row],[Plastic Mat]],Table_NFI[Plastic Mat])*IF(Table_NFI[[#This Row],[Distribution Date]]&gt;"2014-04-01",1,2.5)</f>
        <v>0</v>
      </c>
      <c r="AI564" s="294">
        <f>IF(NFI_Expiration=1,IF($A564&lt;VLOOKUP(R$5,NFI,5,0),1,0)*Table_NFI[[#This Row],[Winter Clothes Adult]],Table_NFI[Winter Clothes Adult])</f>
        <v>0</v>
      </c>
      <c r="AJ564" s="294">
        <f>IF(NFI_Expiration=1,IF($A564&lt;VLOOKUP(S$5,NFI,5,0),1,0)*Table_NFI[[#This Row],[Winter Clothes Children]],Table_NFI[Winter Clothes Children])</f>
        <v>0</v>
      </c>
      <c r="AK564" s="294">
        <f>IF(NFI_Expiration=1,IF($A564&lt;VLOOKUP(T$5,NFI,5,0),1,0)*Table_NFI[[#This Row],[Winter Items Other]],Table_NFI[Winter Items Other])</f>
        <v>0</v>
      </c>
      <c r="AL564" s="294">
        <f>IF(NFI_Expiration=1,IF($A564&lt;VLOOKUP(M$5,NFI,5,0),1,0)*Table_NFI[[#This Row],[Winter Blanket]],Table_NFI[[#This Row],[Winter Blanket]])</f>
        <v>0</v>
      </c>
      <c r="AM564" s="294">
        <f>IF(Table_NFI[[#This Row],[Winter Clothes Adult]]+Table_NFI[[#This Row],[Winter Clothes Children]]+Table_NFI[[#This Row],[Winter Items Other]]+Table_NFI[[#This Row],[Winter Blanket]]&gt;0,1,0)</f>
        <v>1</v>
      </c>
      <c r="AN564" s="331">
        <f>IF(NFI_Expiration=1,IF($A564&lt;VLOOKUP(V$5,NFI,5,0),1,0)*Table_NFI[[#This Row],[Jerry Can]],Table_NFI[Jerry Can])</f>
        <v>0</v>
      </c>
      <c r="AO564" s="331">
        <f>IF(NFI_Expiration=1,IF($A564&lt;VLOOKUP(V$5,NFI,5,0),1,0)*Table_NFI[[#This Row],[Shelter Tool kit]],Table_NFI[Shelter Tool kit])</f>
        <v>0</v>
      </c>
      <c r="AP564" s="331">
        <f>IF(NFI_Expiration=1,IF($A564&lt;VLOOKUP(V$5,NFI,5,0),1,0)*Table_NFI[[#This Row],[Tent]],Table_NFI[Tent])</f>
        <v>0</v>
      </c>
      <c r="AQ564" s="473" t="str">
        <f>IFERROR(VLOOKUP(Table_NFI[[#This Row],[Camp Name]],CL,2,0),"")</f>
        <v>MMR001CMP053</v>
      </c>
      <c r="AR564" s="468">
        <f ca="1">IF(Table_NFI[[#This Row],[Pcode]]="","",IF(OFFSET(CampList[Opening Date],MATCH(Table_NFI[[#This Row],[Pcode]],CampList[CP_Pcode],0)-1,0,1,1)&gt;=NFI_Monitor_Date,1,0))</f>
        <v>0</v>
      </c>
      <c r="AS564" s="473" t="str">
        <f>IFERROR(VLOOKUP(Table_NFI[[#This Row],[Camp Name]],CL,3,0),"")</f>
        <v>Open</v>
      </c>
      <c r="AT564" s="294" t="str">
        <f ca="1">IF(Table_NFI[[#This Row],[Pcode]]="","",OFFSET(CampList[Priority],MATCH(Table_NFI[[#This Row],[Pcode]],CampList[CP_Pcode],0)-1,0,1,1))</f>
        <v>P4</v>
      </c>
      <c r="AU564" s="293">
        <f>IFERROR(Table_NFI[[#This Row],[Kitchen Set]]/VLOOKUP(Table_NFI[[#This Row],[Camp Name]],CL,4,0),"")</f>
        <v>0</v>
      </c>
      <c r="AV564" s="466" t="s">
        <v>1092</v>
      </c>
      <c r="AW564" s="469"/>
    </row>
    <row r="565" spans="1:49" s="470" customFormat="1" ht="14.45" customHeight="1" x14ac:dyDescent="0.25">
      <c r="A565" s="297">
        <f t="shared" si="8"/>
        <v>35.56666666666667</v>
      </c>
      <c r="B565" s="465">
        <v>41608</v>
      </c>
      <c r="C565" s="466" t="s">
        <v>905</v>
      </c>
      <c r="D565" s="466"/>
      <c r="E565" s="466" t="s">
        <v>380</v>
      </c>
      <c r="F565" s="290" t="s">
        <v>5</v>
      </c>
      <c r="G565" s="290" t="s">
        <v>26</v>
      </c>
      <c r="H565" s="291"/>
      <c r="I565" s="291"/>
      <c r="J565" s="291"/>
      <c r="K565" s="291"/>
      <c r="L565" s="292"/>
      <c r="M565" s="292"/>
      <c r="N565" s="292"/>
      <c r="O565" s="292"/>
      <c r="P565" s="294"/>
      <c r="Q565" s="294">
        <v>99</v>
      </c>
      <c r="R565" s="294"/>
      <c r="S565" s="294"/>
      <c r="T565" s="294"/>
      <c r="U565" s="294"/>
      <c r="V565" s="431"/>
      <c r="W565" s="294"/>
      <c r="X565" s="294"/>
      <c r="Y565" s="294">
        <f>IF(NFI_Expiration=1,IF($A565&lt;VLOOKUP(H$5,NFI,5,0),1,0)*Table_NFI[[#This Row],[Hygiene Kit]],Table_NFI[Hygiene Kit])</f>
        <v>0</v>
      </c>
      <c r="Z565" s="294">
        <f>IF(NFI_Expiration=1,IF($A565&lt;VLOOKUP(I$5,NFI,5,0),1,0)*Table_NFI[[#This Row],[NFI Core Kit]],Table_NFI[NFI Core Kit])</f>
        <v>0</v>
      </c>
      <c r="AA565" s="294">
        <f>IF(NFI_Expiration=1,IF($A565&lt;VLOOKUP(J$5,NFI,5,0),1,0)*Table_NFI[[#This Row],[Sanitary Kit]],Table_NFI[Sanitary Kit])</f>
        <v>0</v>
      </c>
      <c r="AB565" s="294">
        <f>IF(NFI_Expiration=1,IF($A565&lt;VLOOKUP(K$5,NFI,5,0),1,0)*Table_NFI[[#This Row],[Mosquito net]],Table_NFI[Mosquito net])</f>
        <v>0</v>
      </c>
      <c r="AC565" s="294">
        <f>IF(NFI_Expiration=1,IF($A565&lt;VLOOKUP(L$5,NFI,5,0),1,0)*Table_NFI[[#This Row],[Tarpaulin]],Table_NFI[[#This Row],[Tarpaulin]])</f>
        <v>0</v>
      </c>
      <c r="AD565" s="294">
        <f>IF(NFI_Expiration=1,IF($A565&lt;VLOOKUP(M$5,NFI,5,0),1,0)*Table_NFI[[#This Row],[Blanket]],Table_NFI[[#This Row],[Blanket]])</f>
        <v>0</v>
      </c>
      <c r="AE565" s="294">
        <f>IF(NFI_Expiration=1,IF($A565&lt;VLOOKUP(N$5,NFI,5,0),1,0)*Table_NFI[[#This Row],[Kitchen Set]],Table_NFI[Kitchen Set])</f>
        <v>0</v>
      </c>
      <c r="AF565" s="294">
        <f>IF(NFI_Expiration=1,IF($A565&lt;VLOOKUP(O$5,NFI,5,0),1,0)*Table_NFI[[#This Row],[Clothes Kit]],Table_NFI[Clothes Kit])</f>
        <v>0</v>
      </c>
      <c r="AG565" s="294">
        <f>IF(NFI_Expiration=1,IF($A565&lt;VLOOKUP(P$5,NFI,5,0),1,0)*Table_NFI[[#This Row],[Plastic Bucket]],Table_NFI[Plastic Bucket])</f>
        <v>0</v>
      </c>
      <c r="AH565" s="294">
        <f>IF(NFI_Expiration=1,IF($A565&lt;VLOOKUP(Q$5,NFI,5,0),1,0)*Table_NFI[[#This Row],[Plastic Mat]],Table_NFI[Plastic Mat])*IF(Table_NFI[[#This Row],[Distribution Date]]&gt;"2014-04-01",1,2.5)</f>
        <v>0</v>
      </c>
      <c r="AI565" s="294">
        <f>IF(NFI_Expiration=1,IF($A565&lt;VLOOKUP(R$5,NFI,5,0),1,0)*Table_NFI[[#This Row],[Winter Clothes Adult]],Table_NFI[Winter Clothes Adult])</f>
        <v>0</v>
      </c>
      <c r="AJ565" s="294">
        <f>IF(NFI_Expiration=1,IF($A565&lt;VLOOKUP(S$5,NFI,5,0),1,0)*Table_NFI[[#This Row],[Winter Clothes Children]],Table_NFI[Winter Clothes Children])</f>
        <v>0</v>
      </c>
      <c r="AK565" s="294">
        <f>IF(NFI_Expiration=1,IF($A565&lt;VLOOKUP(T$5,NFI,5,0),1,0)*Table_NFI[[#This Row],[Winter Items Other]],Table_NFI[Winter Items Other])</f>
        <v>0</v>
      </c>
      <c r="AL565" s="294">
        <f>IF(NFI_Expiration=1,IF($A565&lt;VLOOKUP(M$5,NFI,5,0),1,0)*Table_NFI[[#This Row],[Winter Blanket]],Table_NFI[[#This Row],[Winter Blanket]])</f>
        <v>0</v>
      </c>
      <c r="AM565" s="294">
        <f>IF(Table_NFI[[#This Row],[Winter Clothes Adult]]+Table_NFI[[#This Row],[Winter Clothes Children]]+Table_NFI[[#This Row],[Winter Items Other]]+Table_NFI[[#This Row],[Winter Blanket]]&gt;0,1,0)</f>
        <v>0</v>
      </c>
      <c r="AN565" s="331">
        <f>IF(NFI_Expiration=1,IF($A565&lt;VLOOKUP(V$5,NFI,5,0),1,0)*Table_NFI[[#This Row],[Jerry Can]],Table_NFI[Jerry Can])</f>
        <v>0</v>
      </c>
      <c r="AO565" s="331">
        <f>IF(NFI_Expiration=1,IF($A565&lt;VLOOKUP(V$5,NFI,5,0),1,0)*Table_NFI[[#This Row],[Shelter Tool kit]],Table_NFI[Shelter Tool kit])</f>
        <v>0</v>
      </c>
      <c r="AP565" s="331">
        <f>IF(NFI_Expiration=1,IF($A565&lt;VLOOKUP(V$5,NFI,5,0),1,0)*Table_NFI[[#This Row],[Tent]],Table_NFI[Tent])</f>
        <v>0</v>
      </c>
      <c r="AQ565" s="473" t="str">
        <f>IFERROR(VLOOKUP(Table_NFI[[#This Row],[Camp Name]],CL,2,0),"")</f>
        <v>MMR001CMP053</v>
      </c>
      <c r="AR565" s="468">
        <f ca="1">IF(Table_NFI[[#This Row],[Pcode]]="","",IF(OFFSET(CampList[Opening Date],MATCH(Table_NFI[[#This Row],[Pcode]],CampList[CP_Pcode],0)-1,0,1,1)&gt;=NFI_Monitor_Date,1,0))</f>
        <v>0</v>
      </c>
      <c r="AS565" s="473" t="str">
        <f>IFERROR(VLOOKUP(Table_NFI[[#This Row],[Camp Name]],CL,3,0),"")</f>
        <v>Open</v>
      </c>
      <c r="AT565" s="294" t="str">
        <f ca="1">IF(Table_NFI[[#This Row],[Pcode]]="","",OFFSET(CampList[Priority],MATCH(Table_NFI[[#This Row],[Pcode]],CampList[CP_Pcode],0)-1,0,1,1))</f>
        <v>P4</v>
      </c>
      <c r="AU565" s="293">
        <f>IFERROR(Table_NFI[[#This Row],[Kitchen Set]]/VLOOKUP(Table_NFI[[#This Row],[Camp Name]],CL,4,0),"")</f>
        <v>0</v>
      </c>
      <c r="AV565" s="466" t="s">
        <v>1092</v>
      </c>
      <c r="AW565" s="469"/>
    </row>
    <row r="566" spans="1:49" s="470" customFormat="1" ht="14.45" customHeight="1" x14ac:dyDescent="0.25">
      <c r="A566" s="297">
        <f t="shared" si="8"/>
        <v>35.56666666666667</v>
      </c>
      <c r="B566" s="465">
        <v>41608</v>
      </c>
      <c r="C566" s="466" t="s">
        <v>905</v>
      </c>
      <c r="D566" s="466" t="s">
        <v>460</v>
      </c>
      <c r="E566" s="466" t="s">
        <v>380</v>
      </c>
      <c r="F566" s="290" t="s">
        <v>310</v>
      </c>
      <c r="G566" s="290" t="s">
        <v>1245</v>
      </c>
      <c r="H566" s="291"/>
      <c r="I566" s="291"/>
      <c r="J566" s="291"/>
      <c r="K566" s="291"/>
      <c r="L566" s="292"/>
      <c r="M566" s="292"/>
      <c r="N566" s="292"/>
      <c r="O566" s="292"/>
      <c r="P566" s="294"/>
      <c r="Q566" s="294"/>
      <c r="R566" s="294"/>
      <c r="S566" s="294"/>
      <c r="T566" s="294"/>
      <c r="U566" s="294"/>
      <c r="V566" s="431"/>
      <c r="W566" s="294"/>
      <c r="X566" s="294"/>
      <c r="Y566" s="294">
        <f>IF(NFI_Expiration=1,IF($A566&lt;VLOOKUP(H$5,NFI,5,0),1,0)*Table_NFI[[#This Row],[Hygiene Kit]],Table_NFI[Hygiene Kit])</f>
        <v>0</v>
      </c>
      <c r="Z566" s="294">
        <f>IF(NFI_Expiration=1,IF($A566&lt;VLOOKUP(I$5,NFI,5,0),1,0)*Table_NFI[[#This Row],[NFI Core Kit]],Table_NFI[NFI Core Kit])</f>
        <v>0</v>
      </c>
      <c r="AA566" s="294">
        <f>IF(NFI_Expiration=1,IF($A566&lt;VLOOKUP(J$5,NFI,5,0),1,0)*Table_NFI[[#This Row],[Sanitary Kit]],Table_NFI[Sanitary Kit])</f>
        <v>0</v>
      </c>
      <c r="AB566" s="294">
        <f>IF(NFI_Expiration=1,IF($A566&lt;VLOOKUP(K$5,NFI,5,0),1,0)*Table_NFI[[#This Row],[Mosquito net]],Table_NFI[Mosquito net])</f>
        <v>0</v>
      </c>
      <c r="AC566" s="294">
        <f>IF(NFI_Expiration=1,IF($A566&lt;VLOOKUP(L$5,NFI,5,0),1,0)*Table_NFI[[#This Row],[Tarpaulin]],Table_NFI[[#This Row],[Tarpaulin]])</f>
        <v>0</v>
      </c>
      <c r="AD566" s="294">
        <f>IF(NFI_Expiration=1,IF($A566&lt;VLOOKUP(M$5,NFI,5,0),1,0)*Table_NFI[[#This Row],[Blanket]],Table_NFI[[#This Row],[Blanket]])</f>
        <v>0</v>
      </c>
      <c r="AE566" s="294">
        <f>IF(NFI_Expiration=1,IF($A566&lt;VLOOKUP(N$5,NFI,5,0),1,0)*Table_NFI[[#This Row],[Kitchen Set]],Table_NFI[Kitchen Set])</f>
        <v>0</v>
      </c>
      <c r="AF566" s="294">
        <f>IF(NFI_Expiration=1,IF($A566&lt;VLOOKUP(O$5,NFI,5,0),1,0)*Table_NFI[[#This Row],[Clothes Kit]],Table_NFI[Clothes Kit])</f>
        <v>0</v>
      </c>
      <c r="AG566" s="294">
        <f>IF(NFI_Expiration=1,IF($A566&lt;VLOOKUP(P$5,NFI,5,0),1,0)*Table_NFI[[#This Row],[Plastic Bucket]],Table_NFI[Plastic Bucket])</f>
        <v>0</v>
      </c>
      <c r="AH566" s="294">
        <f>IF(NFI_Expiration=1,IF($A566&lt;VLOOKUP(Q$5,NFI,5,0),1,0)*Table_NFI[[#This Row],[Plastic Mat]],Table_NFI[Plastic Mat])*IF(Table_NFI[[#This Row],[Distribution Date]]&gt;"2014-04-01",1,2.5)</f>
        <v>0</v>
      </c>
      <c r="AI566" s="294">
        <f>IF(NFI_Expiration=1,IF($A566&lt;VLOOKUP(R$5,NFI,5,0),1,0)*Table_NFI[[#This Row],[Winter Clothes Adult]],Table_NFI[Winter Clothes Adult])</f>
        <v>0</v>
      </c>
      <c r="AJ566" s="294">
        <f>IF(NFI_Expiration=1,IF($A566&lt;VLOOKUP(S$5,NFI,5,0),1,0)*Table_NFI[[#This Row],[Winter Clothes Children]],Table_NFI[Winter Clothes Children])</f>
        <v>0</v>
      </c>
      <c r="AK566" s="294">
        <f>IF(NFI_Expiration=1,IF($A566&lt;VLOOKUP(T$5,NFI,5,0),1,0)*Table_NFI[[#This Row],[Winter Items Other]],Table_NFI[Winter Items Other])</f>
        <v>0</v>
      </c>
      <c r="AL566" s="294">
        <f>IF(NFI_Expiration=1,IF($A566&lt;VLOOKUP(M$5,NFI,5,0),1,0)*Table_NFI[[#This Row],[Winter Blanket]],Table_NFI[[#This Row],[Winter Blanket]])</f>
        <v>0</v>
      </c>
      <c r="AM566" s="294">
        <f>IF(Table_NFI[[#This Row],[Winter Clothes Adult]]+Table_NFI[[#This Row],[Winter Clothes Children]]+Table_NFI[[#This Row],[Winter Items Other]]+Table_NFI[[#This Row],[Winter Blanket]]&gt;0,1,0)</f>
        <v>0</v>
      </c>
      <c r="AN566" s="331">
        <f>IF(NFI_Expiration=1,IF($A566&lt;VLOOKUP(V$5,NFI,5,0),1,0)*Table_NFI[[#This Row],[Jerry Can]],Table_NFI[Jerry Can])</f>
        <v>0</v>
      </c>
      <c r="AO566" s="331">
        <f>IF(NFI_Expiration=1,IF($A566&lt;VLOOKUP(V$5,NFI,5,0),1,0)*Table_NFI[[#This Row],[Shelter Tool kit]],Table_NFI[Shelter Tool kit])</f>
        <v>0</v>
      </c>
      <c r="AP566" s="331">
        <f>IF(NFI_Expiration=1,IF($A566&lt;VLOOKUP(V$5,NFI,5,0),1,0)*Table_NFI[[#This Row],[Tent]],Table_NFI[Tent])</f>
        <v>0</v>
      </c>
      <c r="AQ566" s="473" t="str">
        <f>IFERROR(VLOOKUP(Table_NFI[[#This Row],[Camp Name]],CL,2,0),"")</f>
        <v>MMR001CMP111</v>
      </c>
      <c r="AR566" s="468">
        <f ca="1">IF(Table_NFI[[#This Row],[Pcode]]="","",IF(OFFSET(CampList[Opening Date],MATCH(Table_NFI[[#This Row],[Pcode]],CampList[CP_Pcode],0)-1,0,1,1)&gt;=NFI_Monitor_Date,1,0))</f>
        <v>0</v>
      </c>
      <c r="AS566" s="473" t="str">
        <f>IFERROR(VLOOKUP(Table_NFI[[#This Row],[Camp Name]],CL,3,0),"")</f>
        <v>Open</v>
      </c>
      <c r="AT566" s="294" t="str">
        <f ca="1">IF(Table_NFI[[#This Row],[Pcode]]="","",OFFSET(CampList[Priority],MATCH(Table_NFI[[#This Row],[Pcode]],CampList[CP_Pcode],0)-1,0,1,1))</f>
        <v>P2</v>
      </c>
      <c r="AU566" s="293">
        <f>IFERROR(Table_NFI[[#This Row],[Kitchen Set]]/VLOOKUP(Table_NFI[[#This Row],[Camp Name]],CL,4,0),"")</f>
        <v>0</v>
      </c>
      <c r="AV566" s="466" t="s">
        <v>1092</v>
      </c>
      <c r="AW566" s="469"/>
    </row>
    <row r="567" spans="1:49" s="470" customFormat="1" ht="14.45" customHeight="1" x14ac:dyDescent="0.25">
      <c r="A567" s="297">
        <f t="shared" si="8"/>
        <v>35.6</v>
      </c>
      <c r="B567" s="465">
        <v>41607</v>
      </c>
      <c r="C567" s="466" t="s">
        <v>905</v>
      </c>
      <c r="D567" s="466" t="s">
        <v>460</v>
      </c>
      <c r="E567" s="466" t="s">
        <v>380</v>
      </c>
      <c r="F567" s="466" t="s">
        <v>310</v>
      </c>
      <c r="G567" s="466" t="s">
        <v>336</v>
      </c>
      <c r="H567" s="291"/>
      <c r="I567" s="291"/>
      <c r="J567" s="291"/>
      <c r="K567" s="291"/>
      <c r="L567" s="292"/>
      <c r="M567" s="292"/>
      <c r="N567" s="292"/>
      <c r="O567" s="292"/>
      <c r="P567" s="294"/>
      <c r="Q567" s="294"/>
      <c r="R567" s="294">
        <v>177</v>
      </c>
      <c r="S567" s="294">
        <v>354</v>
      </c>
      <c r="T567" s="294">
        <v>1062</v>
      </c>
      <c r="U567" s="294">
        <v>531</v>
      </c>
      <c r="V567" s="431"/>
      <c r="W567" s="294"/>
      <c r="X567" s="294"/>
      <c r="Y567" s="294">
        <f>IF(NFI_Expiration=1,IF($A567&lt;VLOOKUP(H$5,NFI,5,0),1,0)*Table_NFI[[#This Row],[Hygiene Kit]],Table_NFI[Hygiene Kit])</f>
        <v>0</v>
      </c>
      <c r="Z567" s="294">
        <f>IF(NFI_Expiration=1,IF($A567&lt;VLOOKUP(I$5,NFI,5,0),1,0)*Table_NFI[[#This Row],[NFI Core Kit]],Table_NFI[NFI Core Kit])</f>
        <v>0</v>
      </c>
      <c r="AA567" s="294">
        <f>IF(NFI_Expiration=1,IF($A567&lt;VLOOKUP(J$5,NFI,5,0),1,0)*Table_NFI[[#This Row],[Sanitary Kit]],Table_NFI[Sanitary Kit])</f>
        <v>0</v>
      </c>
      <c r="AB567" s="294">
        <f>IF(NFI_Expiration=1,IF($A567&lt;VLOOKUP(K$5,NFI,5,0),1,0)*Table_NFI[[#This Row],[Mosquito net]],Table_NFI[Mosquito net])</f>
        <v>0</v>
      </c>
      <c r="AC567" s="294">
        <f>IF(NFI_Expiration=1,IF($A567&lt;VLOOKUP(L$5,NFI,5,0),1,0)*Table_NFI[[#This Row],[Tarpaulin]],Table_NFI[[#This Row],[Tarpaulin]])</f>
        <v>0</v>
      </c>
      <c r="AD567" s="294">
        <f>IF(NFI_Expiration=1,IF($A567&lt;VLOOKUP(M$5,NFI,5,0),1,0)*Table_NFI[[#This Row],[Blanket]],Table_NFI[[#This Row],[Blanket]])</f>
        <v>0</v>
      </c>
      <c r="AE567" s="294">
        <f>IF(NFI_Expiration=1,IF($A567&lt;VLOOKUP(N$5,NFI,5,0),1,0)*Table_NFI[[#This Row],[Kitchen Set]],Table_NFI[Kitchen Set])</f>
        <v>0</v>
      </c>
      <c r="AF567" s="294">
        <f>IF(NFI_Expiration=1,IF($A567&lt;VLOOKUP(O$5,NFI,5,0),1,0)*Table_NFI[[#This Row],[Clothes Kit]],Table_NFI[Clothes Kit])</f>
        <v>0</v>
      </c>
      <c r="AG567" s="294">
        <f>IF(NFI_Expiration=1,IF($A567&lt;VLOOKUP(P$5,NFI,5,0),1,0)*Table_NFI[[#This Row],[Plastic Bucket]],Table_NFI[Plastic Bucket])</f>
        <v>0</v>
      </c>
      <c r="AH567" s="294">
        <f>IF(NFI_Expiration=1,IF($A567&lt;VLOOKUP(Q$5,NFI,5,0),1,0)*Table_NFI[[#This Row],[Plastic Mat]],Table_NFI[Plastic Mat])*IF(Table_NFI[[#This Row],[Distribution Date]]&gt;"2014-04-01",1,2.5)</f>
        <v>0</v>
      </c>
      <c r="AI567" s="294">
        <f>IF(NFI_Expiration=1,IF($A567&lt;VLOOKUP(R$5,NFI,5,0),1,0)*Table_NFI[[#This Row],[Winter Clothes Adult]],Table_NFI[Winter Clothes Adult])</f>
        <v>0</v>
      </c>
      <c r="AJ567" s="294">
        <f>IF(NFI_Expiration=1,IF($A567&lt;VLOOKUP(S$5,NFI,5,0),1,0)*Table_NFI[[#This Row],[Winter Clothes Children]],Table_NFI[Winter Clothes Children])</f>
        <v>0</v>
      </c>
      <c r="AK567" s="294">
        <f>IF(NFI_Expiration=1,IF($A567&lt;VLOOKUP(T$5,NFI,5,0),1,0)*Table_NFI[[#This Row],[Winter Items Other]],Table_NFI[Winter Items Other])</f>
        <v>0</v>
      </c>
      <c r="AL567" s="294">
        <f>IF(NFI_Expiration=1,IF($A567&lt;VLOOKUP(M$5,NFI,5,0),1,0)*Table_NFI[[#This Row],[Winter Blanket]],Table_NFI[[#This Row],[Winter Blanket]])</f>
        <v>0</v>
      </c>
      <c r="AM567" s="294">
        <f>IF(Table_NFI[[#This Row],[Winter Clothes Adult]]+Table_NFI[[#This Row],[Winter Clothes Children]]+Table_NFI[[#This Row],[Winter Items Other]]+Table_NFI[[#This Row],[Winter Blanket]]&gt;0,1,0)</f>
        <v>1</v>
      </c>
      <c r="AN567" s="331">
        <f>IF(NFI_Expiration=1,IF($A567&lt;VLOOKUP(V$5,NFI,5,0),1,0)*Table_NFI[[#This Row],[Jerry Can]],Table_NFI[Jerry Can])</f>
        <v>0</v>
      </c>
      <c r="AO567" s="331">
        <f>IF(NFI_Expiration=1,IF($A567&lt;VLOOKUP(V$5,NFI,5,0),1,0)*Table_NFI[[#This Row],[Shelter Tool kit]],Table_NFI[Shelter Tool kit])</f>
        <v>0</v>
      </c>
      <c r="AP567" s="331">
        <f>IF(NFI_Expiration=1,IF($A567&lt;VLOOKUP(V$5,NFI,5,0),1,0)*Table_NFI[[#This Row],[Tent]],Table_NFI[Tent])</f>
        <v>0</v>
      </c>
      <c r="AQ567" s="473" t="str">
        <f>IFERROR(VLOOKUP(Table_NFI[[#This Row],[Camp Name]],CL,2,0),"")</f>
        <v>MMR001CMP115</v>
      </c>
      <c r="AR567" s="468">
        <f ca="1">IF(Table_NFI[[#This Row],[Pcode]]="","",IF(OFFSET(CampList[Opening Date],MATCH(Table_NFI[[#This Row],[Pcode]],CampList[CP_Pcode],0)-1,0,1,1)&gt;=NFI_Monitor_Date,1,0))</f>
        <v>0</v>
      </c>
      <c r="AS567" s="473" t="str">
        <f>IFERROR(VLOOKUP(Table_NFI[[#This Row],[Camp Name]],CL,3,0),"")</f>
        <v>Open</v>
      </c>
      <c r="AT567" s="294" t="str">
        <f ca="1">IF(Table_NFI[[#This Row],[Pcode]]="","",OFFSET(CampList[Priority],MATCH(Table_NFI[[#This Row],[Pcode]],CampList[CP_Pcode],0)-1,0,1,1))</f>
        <v>P1</v>
      </c>
      <c r="AU567" s="293">
        <f>IFERROR(Table_NFI[[#This Row],[Kitchen Set]]/VLOOKUP(Table_NFI[[#This Row],[Camp Name]],CL,4,0),"")</f>
        <v>0</v>
      </c>
      <c r="AV567" s="466"/>
      <c r="AW567" s="469"/>
    </row>
    <row r="568" spans="1:49" s="470" customFormat="1" ht="14.45" customHeight="1" x14ac:dyDescent="0.25">
      <c r="A568" s="297">
        <f t="shared" si="8"/>
        <v>35.633333333333333</v>
      </c>
      <c r="B568" s="465">
        <v>41606</v>
      </c>
      <c r="C568" s="467" t="s">
        <v>452</v>
      </c>
      <c r="D568" s="467" t="s">
        <v>452</v>
      </c>
      <c r="E568" s="466" t="s">
        <v>380</v>
      </c>
      <c r="F568" s="290" t="s">
        <v>151</v>
      </c>
      <c r="G568" s="290" t="s">
        <v>152</v>
      </c>
      <c r="H568" s="291"/>
      <c r="I568" s="291"/>
      <c r="J568" s="291"/>
      <c r="K568" s="291">
        <v>20</v>
      </c>
      <c r="L568" s="292">
        <v>7</v>
      </c>
      <c r="M568" s="292">
        <v>22</v>
      </c>
      <c r="N568" s="292">
        <v>7</v>
      </c>
      <c r="O568" s="292">
        <v>7</v>
      </c>
      <c r="P568" s="294"/>
      <c r="Q568" s="294"/>
      <c r="R568" s="294"/>
      <c r="S568" s="294"/>
      <c r="T568" s="294"/>
      <c r="U568" s="294"/>
      <c r="V568" s="431"/>
      <c r="W568" s="294"/>
      <c r="X568" s="294"/>
      <c r="Y568" s="294">
        <f>IF(NFI_Expiration=1,IF($A568&lt;VLOOKUP(H$5,NFI,5,0),1,0)*Table_NFI[[#This Row],[Hygiene Kit]],Table_NFI[Hygiene Kit])</f>
        <v>0</v>
      </c>
      <c r="Z568" s="294">
        <f>IF(NFI_Expiration=1,IF($A568&lt;VLOOKUP(I$5,NFI,5,0),1,0)*Table_NFI[[#This Row],[NFI Core Kit]],Table_NFI[NFI Core Kit])</f>
        <v>0</v>
      </c>
      <c r="AA568" s="294">
        <f>IF(NFI_Expiration=1,IF($A568&lt;VLOOKUP(J$5,NFI,5,0),1,0)*Table_NFI[[#This Row],[Sanitary Kit]],Table_NFI[Sanitary Kit])</f>
        <v>0</v>
      </c>
      <c r="AB568" s="294">
        <f>IF(NFI_Expiration=1,IF($A568&lt;VLOOKUP(K$5,NFI,5,0),1,0)*Table_NFI[[#This Row],[Mosquito net]],Table_NFI[Mosquito net])</f>
        <v>0</v>
      </c>
      <c r="AC568" s="294">
        <f>IF(NFI_Expiration=1,IF($A568&lt;VLOOKUP(L$5,NFI,5,0),1,0)*Table_NFI[[#This Row],[Tarpaulin]],Table_NFI[[#This Row],[Tarpaulin]])</f>
        <v>0</v>
      </c>
      <c r="AD568" s="294">
        <f>IF(NFI_Expiration=1,IF($A568&lt;VLOOKUP(M$5,NFI,5,0),1,0)*Table_NFI[[#This Row],[Blanket]],Table_NFI[[#This Row],[Blanket]])</f>
        <v>0</v>
      </c>
      <c r="AE568" s="294">
        <f>IF(NFI_Expiration=1,IF($A568&lt;VLOOKUP(N$5,NFI,5,0),1,0)*Table_NFI[[#This Row],[Kitchen Set]],Table_NFI[Kitchen Set])</f>
        <v>0</v>
      </c>
      <c r="AF568" s="294">
        <f>IF(NFI_Expiration=1,IF($A568&lt;VLOOKUP(O$5,NFI,5,0),1,0)*Table_NFI[[#This Row],[Clothes Kit]],Table_NFI[Clothes Kit])</f>
        <v>0</v>
      </c>
      <c r="AG568" s="294">
        <f>IF(NFI_Expiration=1,IF($A568&lt;VLOOKUP(P$5,NFI,5,0),1,0)*Table_NFI[[#This Row],[Plastic Bucket]],Table_NFI[Plastic Bucket])</f>
        <v>0</v>
      </c>
      <c r="AH568" s="294">
        <f>IF(NFI_Expiration=1,IF($A568&lt;VLOOKUP(Q$5,NFI,5,0),1,0)*Table_NFI[[#This Row],[Plastic Mat]],Table_NFI[Plastic Mat])*IF(Table_NFI[[#This Row],[Distribution Date]]&gt;"2014-04-01",1,2.5)</f>
        <v>0</v>
      </c>
      <c r="AI568" s="294">
        <f>IF(NFI_Expiration=1,IF($A568&lt;VLOOKUP(R$5,NFI,5,0),1,0)*Table_NFI[[#This Row],[Winter Clothes Adult]],Table_NFI[Winter Clothes Adult])</f>
        <v>0</v>
      </c>
      <c r="AJ568" s="294">
        <f>IF(NFI_Expiration=1,IF($A568&lt;VLOOKUP(S$5,NFI,5,0),1,0)*Table_NFI[[#This Row],[Winter Clothes Children]],Table_NFI[Winter Clothes Children])</f>
        <v>0</v>
      </c>
      <c r="AK568" s="294">
        <f>IF(NFI_Expiration=1,IF($A568&lt;VLOOKUP(T$5,NFI,5,0),1,0)*Table_NFI[[#This Row],[Winter Items Other]],Table_NFI[Winter Items Other])</f>
        <v>0</v>
      </c>
      <c r="AL568" s="294">
        <f>IF(NFI_Expiration=1,IF($A568&lt;VLOOKUP(M$5,NFI,5,0),1,0)*Table_NFI[[#This Row],[Winter Blanket]],Table_NFI[[#This Row],[Winter Blanket]])</f>
        <v>0</v>
      </c>
      <c r="AM568" s="294">
        <f>IF(Table_NFI[[#This Row],[Winter Clothes Adult]]+Table_NFI[[#This Row],[Winter Clothes Children]]+Table_NFI[[#This Row],[Winter Items Other]]+Table_NFI[[#This Row],[Winter Blanket]]&gt;0,1,0)</f>
        <v>0</v>
      </c>
      <c r="AN568" s="331">
        <f>IF(NFI_Expiration=1,IF($A568&lt;VLOOKUP(V$5,NFI,5,0),1,0)*Table_NFI[[#This Row],[Jerry Can]],Table_NFI[Jerry Can])</f>
        <v>0</v>
      </c>
      <c r="AO568" s="331">
        <f>IF(NFI_Expiration=1,IF($A568&lt;VLOOKUP(V$5,NFI,5,0),1,0)*Table_NFI[[#This Row],[Shelter Tool kit]],Table_NFI[Shelter Tool kit])</f>
        <v>0</v>
      </c>
      <c r="AP568" s="331">
        <f>IF(NFI_Expiration=1,IF($A568&lt;VLOOKUP(V$5,NFI,5,0),1,0)*Table_NFI[[#This Row],[Tent]],Table_NFI[Tent])</f>
        <v>0</v>
      </c>
      <c r="AQ568" s="473" t="str">
        <f>IFERROR(VLOOKUP(Table_NFI[[#This Row],[Camp Name]],CL,2,0),"")</f>
        <v>MMR001CMP066</v>
      </c>
      <c r="AR568" s="468">
        <f ca="1">IF(Table_NFI[[#This Row],[Pcode]]="","",IF(OFFSET(CampList[Opening Date],MATCH(Table_NFI[[#This Row],[Pcode]],CampList[CP_Pcode],0)-1,0,1,1)&gt;=NFI_Monitor_Date,1,0))</f>
        <v>0</v>
      </c>
      <c r="AS568" s="473" t="str">
        <f>IFERROR(VLOOKUP(Table_NFI[[#This Row],[Camp Name]],CL,3,0),"")</f>
        <v>Open</v>
      </c>
      <c r="AT568" s="294" t="str">
        <f ca="1">IF(Table_NFI[[#This Row],[Pcode]]="","",OFFSET(CampList[Priority],MATCH(Table_NFI[[#This Row],[Pcode]],CampList[CP_Pcode],0)-1,0,1,1))</f>
        <v>P4</v>
      </c>
      <c r="AU568" s="293">
        <f>IFERROR(Table_NFI[[#This Row],[Kitchen Set]]/VLOOKUP(Table_NFI[[#This Row],[Camp Name]],CL,4,0),"")</f>
        <v>3.553299492385787E-2</v>
      </c>
      <c r="AV568" s="466" t="s">
        <v>1092</v>
      </c>
      <c r="AW568" s="469"/>
    </row>
    <row r="569" spans="1:49" s="470" customFormat="1" ht="14.45" customHeight="1" x14ac:dyDescent="0.25">
      <c r="A569" s="297">
        <f t="shared" si="8"/>
        <v>35.633333333333333</v>
      </c>
      <c r="B569" s="465">
        <v>41606</v>
      </c>
      <c r="C569" s="466" t="s">
        <v>905</v>
      </c>
      <c r="D569" s="466" t="s">
        <v>460</v>
      </c>
      <c r="E569" s="466" t="s">
        <v>380</v>
      </c>
      <c r="F569" s="466" t="s">
        <v>310</v>
      </c>
      <c r="G569" s="466" t="s">
        <v>1245</v>
      </c>
      <c r="H569" s="291"/>
      <c r="I569" s="291"/>
      <c r="J569" s="291"/>
      <c r="K569" s="291"/>
      <c r="L569" s="292"/>
      <c r="M569" s="292"/>
      <c r="N569" s="292"/>
      <c r="O569" s="292"/>
      <c r="P569" s="294"/>
      <c r="Q569" s="294"/>
      <c r="R569" s="294">
        <v>636</v>
      </c>
      <c r="S569" s="294">
        <v>1272</v>
      </c>
      <c r="T569" s="294">
        <v>3816</v>
      </c>
      <c r="U569" s="294">
        <v>1908</v>
      </c>
      <c r="V569" s="431"/>
      <c r="W569" s="294"/>
      <c r="X569" s="294"/>
      <c r="Y569" s="294">
        <f>IF(NFI_Expiration=1,IF($A569&lt;VLOOKUP(H$5,NFI,5,0),1,0)*Table_NFI[[#This Row],[Hygiene Kit]],Table_NFI[Hygiene Kit])</f>
        <v>0</v>
      </c>
      <c r="Z569" s="294">
        <f>IF(NFI_Expiration=1,IF($A569&lt;VLOOKUP(I$5,NFI,5,0),1,0)*Table_NFI[[#This Row],[NFI Core Kit]],Table_NFI[NFI Core Kit])</f>
        <v>0</v>
      </c>
      <c r="AA569" s="294">
        <f>IF(NFI_Expiration=1,IF($A569&lt;VLOOKUP(J$5,NFI,5,0),1,0)*Table_NFI[[#This Row],[Sanitary Kit]],Table_NFI[Sanitary Kit])</f>
        <v>0</v>
      </c>
      <c r="AB569" s="294">
        <f>IF(NFI_Expiration=1,IF($A569&lt;VLOOKUP(K$5,NFI,5,0),1,0)*Table_NFI[[#This Row],[Mosquito net]],Table_NFI[Mosquito net])</f>
        <v>0</v>
      </c>
      <c r="AC569" s="294">
        <f>IF(NFI_Expiration=1,IF($A569&lt;VLOOKUP(L$5,NFI,5,0),1,0)*Table_NFI[[#This Row],[Tarpaulin]],Table_NFI[[#This Row],[Tarpaulin]])</f>
        <v>0</v>
      </c>
      <c r="AD569" s="294">
        <f>IF(NFI_Expiration=1,IF($A569&lt;VLOOKUP(M$5,NFI,5,0),1,0)*Table_NFI[[#This Row],[Blanket]],Table_NFI[[#This Row],[Blanket]])</f>
        <v>0</v>
      </c>
      <c r="AE569" s="294">
        <f>IF(NFI_Expiration=1,IF($A569&lt;VLOOKUP(N$5,NFI,5,0),1,0)*Table_NFI[[#This Row],[Kitchen Set]],Table_NFI[Kitchen Set])</f>
        <v>0</v>
      </c>
      <c r="AF569" s="294">
        <f>IF(NFI_Expiration=1,IF($A569&lt;VLOOKUP(O$5,NFI,5,0),1,0)*Table_NFI[[#This Row],[Clothes Kit]],Table_NFI[Clothes Kit])</f>
        <v>0</v>
      </c>
      <c r="AG569" s="294">
        <f>IF(NFI_Expiration=1,IF($A569&lt;VLOOKUP(P$5,NFI,5,0),1,0)*Table_NFI[[#This Row],[Plastic Bucket]],Table_NFI[Plastic Bucket])</f>
        <v>0</v>
      </c>
      <c r="AH569" s="294">
        <f>IF(NFI_Expiration=1,IF($A569&lt;VLOOKUP(Q$5,NFI,5,0),1,0)*Table_NFI[[#This Row],[Plastic Mat]],Table_NFI[Plastic Mat])*IF(Table_NFI[[#This Row],[Distribution Date]]&gt;"2014-04-01",1,2.5)</f>
        <v>0</v>
      </c>
      <c r="AI569" s="294">
        <f>IF(NFI_Expiration=1,IF($A569&lt;VLOOKUP(R$5,NFI,5,0),1,0)*Table_NFI[[#This Row],[Winter Clothes Adult]],Table_NFI[Winter Clothes Adult])</f>
        <v>0</v>
      </c>
      <c r="AJ569" s="294">
        <f>IF(NFI_Expiration=1,IF($A569&lt;VLOOKUP(S$5,NFI,5,0),1,0)*Table_NFI[[#This Row],[Winter Clothes Children]],Table_NFI[Winter Clothes Children])</f>
        <v>0</v>
      </c>
      <c r="AK569" s="294">
        <f>IF(NFI_Expiration=1,IF($A569&lt;VLOOKUP(T$5,NFI,5,0),1,0)*Table_NFI[[#This Row],[Winter Items Other]],Table_NFI[Winter Items Other])</f>
        <v>0</v>
      </c>
      <c r="AL569" s="294">
        <f>IF(NFI_Expiration=1,IF($A569&lt;VLOOKUP(M$5,NFI,5,0),1,0)*Table_NFI[[#This Row],[Winter Blanket]],Table_NFI[[#This Row],[Winter Blanket]])</f>
        <v>0</v>
      </c>
      <c r="AM569" s="294">
        <f>IF(Table_NFI[[#This Row],[Winter Clothes Adult]]+Table_NFI[[#This Row],[Winter Clothes Children]]+Table_NFI[[#This Row],[Winter Items Other]]+Table_NFI[[#This Row],[Winter Blanket]]&gt;0,1,0)</f>
        <v>1</v>
      </c>
      <c r="AN569" s="331">
        <f>IF(NFI_Expiration=1,IF($A569&lt;VLOOKUP(V$5,NFI,5,0),1,0)*Table_NFI[[#This Row],[Jerry Can]],Table_NFI[Jerry Can])</f>
        <v>0</v>
      </c>
      <c r="AO569" s="331">
        <f>IF(NFI_Expiration=1,IF($A569&lt;VLOOKUP(V$5,NFI,5,0),1,0)*Table_NFI[[#This Row],[Shelter Tool kit]],Table_NFI[Shelter Tool kit])</f>
        <v>0</v>
      </c>
      <c r="AP569" s="331">
        <f>IF(NFI_Expiration=1,IF($A569&lt;VLOOKUP(V$5,NFI,5,0),1,0)*Table_NFI[[#This Row],[Tent]],Table_NFI[Tent])</f>
        <v>0</v>
      </c>
      <c r="AQ569" s="473" t="str">
        <f>IFERROR(VLOOKUP(Table_NFI[[#This Row],[Camp Name]],CL,2,0),"")</f>
        <v>MMR001CMP111</v>
      </c>
      <c r="AR569" s="468">
        <f ca="1">IF(Table_NFI[[#This Row],[Pcode]]="","",IF(OFFSET(CampList[Opening Date],MATCH(Table_NFI[[#This Row],[Pcode]],CampList[CP_Pcode],0)-1,0,1,1)&gt;=NFI_Monitor_Date,1,0))</f>
        <v>0</v>
      </c>
      <c r="AS569" s="473" t="str">
        <f>IFERROR(VLOOKUP(Table_NFI[[#This Row],[Camp Name]],CL,3,0),"")</f>
        <v>Open</v>
      </c>
      <c r="AT569" s="294" t="str">
        <f ca="1">IF(Table_NFI[[#This Row],[Pcode]]="","",OFFSET(CampList[Priority],MATCH(Table_NFI[[#This Row],[Pcode]],CampList[CP_Pcode],0)-1,0,1,1))</f>
        <v>P2</v>
      </c>
      <c r="AU569" s="293">
        <f>IFERROR(Table_NFI[[#This Row],[Kitchen Set]]/VLOOKUP(Table_NFI[[#This Row],[Camp Name]],CL,4,0),"")</f>
        <v>0</v>
      </c>
      <c r="AV569" s="466"/>
      <c r="AW569" s="469"/>
    </row>
    <row r="570" spans="1:49" s="470" customFormat="1" ht="14.45" customHeight="1" x14ac:dyDescent="0.25">
      <c r="A570" s="297">
        <f t="shared" si="8"/>
        <v>35.700000000000003</v>
      </c>
      <c r="B570" s="465">
        <v>41604</v>
      </c>
      <c r="C570" s="467" t="s">
        <v>452</v>
      </c>
      <c r="D570" s="467" t="s">
        <v>452</v>
      </c>
      <c r="E570" s="466" t="s">
        <v>380</v>
      </c>
      <c r="F570" s="466" t="s">
        <v>5</v>
      </c>
      <c r="G570" s="290" t="s">
        <v>512</v>
      </c>
      <c r="H570" s="291"/>
      <c r="I570" s="291"/>
      <c r="J570" s="291"/>
      <c r="K570" s="291">
        <v>11</v>
      </c>
      <c r="L570" s="292">
        <v>5</v>
      </c>
      <c r="M570" s="292">
        <v>11</v>
      </c>
      <c r="N570" s="292">
        <v>5</v>
      </c>
      <c r="O570" s="292">
        <v>5</v>
      </c>
      <c r="P570" s="294"/>
      <c r="Q570" s="294"/>
      <c r="R570" s="294"/>
      <c r="S570" s="294"/>
      <c r="T570" s="294"/>
      <c r="U570" s="294"/>
      <c r="V570" s="431"/>
      <c r="W570" s="294"/>
      <c r="X570" s="294"/>
      <c r="Y570" s="294">
        <f>IF(NFI_Expiration=1,IF($A570&lt;VLOOKUP(H$5,NFI,5,0),1,0)*Table_NFI[[#This Row],[Hygiene Kit]],Table_NFI[Hygiene Kit])</f>
        <v>0</v>
      </c>
      <c r="Z570" s="294">
        <f>IF(NFI_Expiration=1,IF($A570&lt;VLOOKUP(I$5,NFI,5,0),1,0)*Table_NFI[[#This Row],[NFI Core Kit]],Table_NFI[NFI Core Kit])</f>
        <v>0</v>
      </c>
      <c r="AA570" s="294">
        <f>IF(NFI_Expiration=1,IF($A570&lt;VLOOKUP(J$5,NFI,5,0),1,0)*Table_NFI[[#This Row],[Sanitary Kit]],Table_NFI[Sanitary Kit])</f>
        <v>0</v>
      </c>
      <c r="AB570" s="294">
        <f>IF(NFI_Expiration=1,IF($A570&lt;VLOOKUP(K$5,NFI,5,0),1,0)*Table_NFI[[#This Row],[Mosquito net]],Table_NFI[Mosquito net])</f>
        <v>0</v>
      </c>
      <c r="AC570" s="294">
        <f>IF(NFI_Expiration=1,IF($A570&lt;VLOOKUP(L$5,NFI,5,0),1,0)*Table_NFI[[#This Row],[Tarpaulin]],Table_NFI[[#This Row],[Tarpaulin]])</f>
        <v>0</v>
      </c>
      <c r="AD570" s="294">
        <f>IF(NFI_Expiration=1,IF($A570&lt;VLOOKUP(M$5,NFI,5,0),1,0)*Table_NFI[[#This Row],[Blanket]],Table_NFI[[#This Row],[Blanket]])</f>
        <v>0</v>
      </c>
      <c r="AE570" s="294">
        <f>IF(NFI_Expiration=1,IF($A570&lt;VLOOKUP(N$5,NFI,5,0),1,0)*Table_NFI[[#This Row],[Kitchen Set]],Table_NFI[Kitchen Set])</f>
        <v>0</v>
      </c>
      <c r="AF570" s="294">
        <f>IF(NFI_Expiration=1,IF($A570&lt;VLOOKUP(O$5,NFI,5,0),1,0)*Table_NFI[[#This Row],[Clothes Kit]],Table_NFI[Clothes Kit])</f>
        <v>0</v>
      </c>
      <c r="AG570" s="294">
        <f>IF(NFI_Expiration=1,IF($A570&lt;VLOOKUP(P$5,NFI,5,0),1,0)*Table_NFI[[#This Row],[Plastic Bucket]],Table_NFI[Plastic Bucket])</f>
        <v>0</v>
      </c>
      <c r="AH570" s="294">
        <f>IF(NFI_Expiration=1,IF($A570&lt;VLOOKUP(Q$5,NFI,5,0),1,0)*Table_NFI[[#This Row],[Plastic Mat]],Table_NFI[Plastic Mat])*IF(Table_NFI[[#This Row],[Distribution Date]]&gt;"2014-04-01",1,2.5)</f>
        <v>0</v>
      </c>
      <c r="AI570" s="294">
        <f>IF(NFI_Expiration=1,IF($A570&lt;VLOOKUP(R$5,NFI,5,0),1,0)*Table_NFI[[#This Row],[Winter Clothes Adult]],Table_NFI[Winter Clothes Adult])</f>
        <v>0</v>
      </c>
      <c r="AJ570" s="294">
        <f>IF(NFI_Expiration=1,IF($A570&lt;VLOOKUP(S$5,NFI,5,0),1,0)*Table_NFI[[#This Row],[Winter Clothes Children]],Table_NFI[Winter Clothes Children])</f>
        <v>0</v>
      </c>
      <c r="AK570" s="294">
        <f>IF(NFI_Expiration=1,IF($A570&lt;VLOOKUP(T$5,NFI,5,0),1,0)*Table_NFI[[#This Row],[Winter Items Other]],Table_NFI[Winter Items Other])</f>
        <v>0</v>
      </c>
      <c r="AL570" s="294">
        <f>IF(NFI_Expiration=1,IF($A570&lt;VLOOKUP(M$5,NFI,5,0),1,0)*Table_NFI[[#This Row],[Winter Blanket]],Table_NFI[[#This Row],[Winter Blanket]])</f>
        <v>0</v>
      </c>
      <c r="AM570" s="294">
        <f>IF(Table_NFI[[#This Row],[Winter Clothes Adult]]+Table_NFI[[#This Row],[Winter Clothes Children]]+Table_NFI[[#This Row],[Winter Items Other]]+Table_NFI[[#This Row],[Winter Blanket]]&gt;0,1,0)</f>
        <v>0</v>
      </c>
      <c r="AN570" s="331">
        <f>IF(NFI_Expiration=1,IF($A570&lt;VLOOKUP(V$5,NFI,5,0),1,0)*Table_NFI[[#This Row],[Jerry Can]],Table_NFI[Jerry Can])</f>
        <v>0</v>
      </c>
      <c r="AO570" s="331">
        <f>IF(NFI_Expiration=1,IF($A570&lt;VLOOKUP(V$5,NFI,5,0),1,0)*Table_NFI[[#This Row],[Shelter Tool kit]],Table_NFI[Shelter Tool kit])</f>
        <v>0</v>
      </c>
      <c r="AP570" s="331">
        <f>IF(NFI_Expiration=1,IF($A570&lt;VLOOKUP(V$5,NFI,5,0),1,0)*Table_NFI[[#This Row],[Tent]],Table_NFI[Tent])</f>
        <v>0</v>
      </c>
      <c r="AQ570" s="473" t="str">
        <f>IFERROR(VLOOKUP(Table_NFI[[#This Row],[Camp Name]],CL,2,0),"")</f>
        <v>MMR001CMP194</v>
      </c>
      <c r="AR570" s="468">
        <f ca="1">IF(Table_NFI[[#This Row],[Pcode]]="","",IF(OFFSET(CampList[Opening Date],MATCH(Table_NFI[[#This Row],[Pcode]],CampList[CP_Pcode],0)-1,0,1,1)&gt;=NFI_Monitor_Date,1,0))</f>
        <v>0</v>
      </c>
      <c r="AS570" s="473" t="str">
        <f>IFERROR(VLOOKUP(Table_NFI[[#This Row],[Camp Name]],CL,3,0),"")</f>
        <v>Open</v>
      </c>
      <c r="AT570" s="294" t="str">
        <f ca="1">IF(Table_NFI[[#This Row],[Pcode]]="","",OFFSET(CampList[Priority],MATCH(Table_NFI[[#This Row],[Pcode]],CampList[CP_Pcode],0)-1,0,1,1))</f>
        <v>P4</v>
      </c>
      <c r="AU570" s="293">
        <f>IFERROR(Table_NFI[[#This Row],[Kitchen Set]]/VLOOKUP(Table_NFI[[#This Row],[Camp Name]],CL,4,0),"")</f>
        <v>0.41666666666666669</v>
      </c>
      <c r="AV570" s="466" t="s">
        <v>1092</v>
      </c>
      <c r="AW570" s="469"/>
    </row>
    <row r="571" spans="1:49" s="470" customFormat="1" ht="14.45" customHeight="1" x14ac:dyDescent="0.25">
      <c r="A571" s="297">
        <f t="shared" si="8"/>
        <v>35.700000000000003</v>
      </c>
      <c r="B571" s="465">
        <v>41604</v>
      </c>
      <c r="C571" s="467" t="s">
        <v>452</v>
      </c>
      <c r="D571" s="467" t="s">
        <v>452</v>
      </c>
      <c r="E571" s="466" t="s">
        <v>380</v>
      </c>
      <c r="F571" s="466" t="s">
        <v>5</v>
      </c>
      <c r="G571" s="290" t="s">
        <v>12</v>
      </c>
      <c r="H571" s="291"/>
      <c r="I571" s="291"/>
      <c r="J571" s="291"/>
      <c r="K571" s="291">
        <v>25</v>
      </c>
      <c r="L571" s="292">
        <v>13</v>
      </c>
      <c r="M571" s="292">
        <v>25</v>
      </c>
      <c r="N571" s="292">
        <v>13</v>
      </c>
      <c r="O571" s="292">
        <v>13</v>
      </c>
      <c r="P571" s="294"/>
      <c r="Q571" s="294"/>
      <c r="R571" s="294"/>
      <c r="S571" s="294"/>
      <c r="T571" s="294"/>
      <c r="U571" s="294"/>
      <c r="V571" s="431"/>
      <c r="W571" s="294"/>
      <c r="X571" s="294"/>
      <c r="Y571" s="294">
        <f>IF(NFI_Expiration=1,IF($A571&lt;VLOOKUP(H$5,NFI,5,0),1,0)*Table_NFI[[#This Row],[Hygiene Kit]],Table_NFI[Hygiene Kit])</f>
        <v>0</v>
      </c>
      <c r="Z571" s="294">
        <f>IF(NFI_Expiration=1,IF($A571&lt;VLOOKUP(I$5,NFI,5,0),1,0)*Table_NFI[[#This Row],[NFI Core Kit]],Table_NFI[NFI Core Kit])</f>
        <v>0</v>
      </c>
      <c r="AA571" s="294">
        <f>IF(NFI_Expiration=1,IF($A571&lt;VLOOKUP(J$5,NFI,5,0),1,0)*Table_NFI[[#This Row],[Sanitary Kit]],Table_NFI[Sanitary Kit])</f>
        <v>0</v>
      </c>
      <c r="AB571" s="294">
        <f>IF(NFI_Expiration=1,IF($A571&lt;VLOOKUP(K$5,NFI,5,0),1,0)*Table_NFI[[#This Row],[Mosquito net]],Table_NFI[Mosquito net])</f>
        <v>0</v>
      </c>
      <c r="AC571" s="294">
        <f>IF(NFI_Expiration=1,IF($A571&lt;VLOOKUP(L$5,NFI,5,0),1,0)*Table_NFI[[#This Row],[Tarpaulin]],Table_NFI[[#This Row],[Tarpaulin]])</f>
        <v>0</v>
      </c>
      <c r="AD571" s="294">
        <f>IF(NFI_Expiration=1,IF($A571&lt;VLOOKUP(M$5,NFI,5,0),1,0)*Table_NFI[[#This Row],[Blanket]],Table_NFI[[#This Row],[Blanket]])</f>
        <v>0</v>
      </c>
      <c r="AE571" s="294">
        <f>IF(NFI_Expiration=1,IF($A571&lt;VLOOKUP(N$5,NFI,5,0),1,0)*Table_NFI[[#This Row],[Kitchen Set]],Table_NFI[Kitchen Set])</f>
        <v>0</v>
      </c>
      <c r="AF571" s="294">
        <f>IF(NFI_Expiration=1,IF($A571&lt;VLOOKUP(O$5,NFI,5,0),1,0)*Table_NFI[[#This Row],[Clothes Kit]],Table_NFI[Clothes Kit])</f>
        <v>0</v>
      </c>
      <c r="AG571" s="294">
        <f>IF(NFI_Expiration=1,IF($A571&lt;VLOOKUP(P$5,NFI,5,0),1,0)*Table_NFI[[#This Row],[Plastic Bucket]],Table_NFI[Plastic Bucket])</f>
        <v>0</v>
      </c>
      <c r="AH571" s="294">
        <f>IF(NFI_Expiration=1,IF($A571&lt;VLOOKUP(Q$5,NFI,5,0),1,0)*Table_NFI[[#This Row],[Plastic Mat]],Table_NFI[Plastic Mat])*IF(Table_NFI[[#This Row],[Distribution Date]]&gt;"2014-04-01",1,2.5)</f>
        <v>0</v>
      </c>
      <c r="AI571" s="294">
        <f>IF(NFI_Expiration=1,IF($A571&lt;VLOOKUP(R$5,NFI,5,0),1,0)*Table_NFI[[#This Row],[Winter Clothes Adult]],Table_NFI[Winter Clothes Adult])</f>
        <v>0</v>
      </c>
      <c r="AJ571" s="294">
        <f>IF(NFI_Expiration=1,IF($A571&lt;VLOOKUP(S$5,NFI,5,0),1,0)*Table_NFI[[#This Row],[Winter Clothes Children]],Table_NFI[Winter Clothes Children])</f>
        <v>0</v>
      </c>
      <c r="AK571" s="294">
        <f>IF(NFI_Expiration=1,IF($A571&lt;VLOOKUP(T$5,NFI,5,0),1,0)*Table_NFI[[#This Row],[Winter Items Other]],Table_NFI[Winter Items Other])</f>
        <v>0</v>
      </c>
      <c r="AL571" s="294">
        <f>IF(NFI_Expiration=1,IF($A571&lt;VLOOKUP(M$5,NFI,5,0),1,0)*Table_NFI[[#This Row],[Winter Blanket]],Table_NFI[[#This Row],[Winter Blanket]])</f>
        <v>0</v>
      </c>
      <c r="AM571" s="294">
        <f>IF(Table_NFI[[#This Row],[Winter Clothes Adult]]+Table_NFI[[#This Row],[Winter Clothes Children]]+Table_NFI[[#This Row],[Winter Items Other]]+Table_NFI[[#This Row],[Winter Blanket]]&gt;0,1,0)</f>
        <v>0</v>
      </c>
      <c r="AN571" s="331">
        <f>IF(NFI_Expiration=1,IF($A571&lt;VLOOKUP(V$5,NFI,5,0),1,0)*Table_NFI[[#This Row],[Jerry Can]],Table_NFI[Jerry Can])</f>
        <v>0</v>
      </c>
      <c r="AO571" s="331">
        <f>IF(NFI_Expiration=1,IF($A571&lt;VLOOKUP(V$5,NFI,5,0),1,0)*Table_NFI[[#This Row],[Shelter Tool kit]],Table_NFI[Shelter Tool kit])</f>
        <v>0</v>
      </c>
      <c r="AP571" s="331">
        <f>IF(NFI_Expiration=1,IF($A571&lt;VLOOKUP(V$5,NFI,5,0),1,0)*Table_NFI[[#This Row],[Tent]],Table_NFI[Tent])</f>
        <v>0</v>
      </c>
      <c r="AQ571" s="473" t="str">
        <f>IFERROR(VLOOKUP(Table_NFI[[#This Row],[Camp Name]],CL,2,0),"")</f>
        <v>MMR001CMP163</v>
      </c>
      <c r="AR571" s="468">
        <f ca="1">IF(Table_NFI[[#This Row],[Pcode]]="","",IF(OFFSET(CampList[Opening Date],MATCH(Table_NFI[[#This Row],[Pcode]],CampList[CP_Pcode],0)-1,0,1,1)&gt;=NFI_Monitor_Date,1,0))</f>
        <v>0</v>
      </c>
      <c r="AS571" s="473" t="str">
        <f>IFERROR(VLOOKUP(Table_NFI[[#This Row],[Camp Name]],CL,3,0),"")</f>
        <v>Open</v>
      </c>
      <c r="AT571" s="294" t="str">
        <f ca="1">IF(Table_NFI[[#This Row],[Pcode]]="","",OFFSET(CampList[Priority],MATCH(Table_NFI[[#This Row],[Pcode]],CampList[CP_Pcode],0)-1,0,1,1))</f>
        <v>P4</v>
      </c>
      <c r="AU571" s="293">
        <f>IFERROR(Table_NFI[[#This Row],[Kitchen Set]]/VLOOKUP(Table_NFI[[#This Row],[Camp Name]],CL,4,0),"")</f>
        <v>6.1611374407582936E-2</v>
      </c>
      <c r="AV571" s="466" t="s">
        <v>1092</v>
      </c>
      <c r="AW571" s="469"/>
    </row>
    <row r="572" spans="1:49" s="470" customFormat="1" ht="14.45" customHeight="1" x14ac:dyDescent="0.25">
      <c r="A572" s="297">
        <f t="shared" si="8"/>
        <v>35.700000000000003</v>
      </c>
      <c r="B572" s="465">
        <v>41604</v>
      </c>
      <c r="C572" s="466" t="s">
        <v>905</v>
      </c>
      <c r="D572" s="466" t="s">
        <v>905</v>
      </c>
      <c r="E572" s="466" t="s">
        <v>380</v>
      </c>
      <c r="F572" s="466" t="s">
        <v>151</v>
      </c>
      <c r="G572" s="466" t="s">
        <v>516</v>
      </c>
      <c r="H572" s="291"/>
      <c r="I572" s="291"/>
      <c r="J572" s="291"/>
      <c r="K572" s="291"/>
      <c r="L572" s="292"/>
      <c r="M572" s="292"/>
      <c r="N572" s="292"/>
      <c r="O572" s="292"/>
      <c r="P572" s="294"/>
      <c r="Q572" s="294"/>
      <c r="R572" s="294">
        <v>80</v>
      </c>
      <c r="S572" s="294">
        <v>160</v>
      </c>
      <c r="T572" s="294">
        <v>480</v>
      </c>
      <c r="U572" s="294">
        <v>240</v>
      </c>
      <c r="V572" s="431"/>
      <c r="W572" s="294"/>
      <c r="X572" s="294"/>
      <c r="Y572" s="294">
        <f>IF(NFI_Expiration=1,IF($A572&lt;VLOOKUP(H$5,NFI,5,0),1,0)*Table_NFI[[#This Row],[Hygiene Kit]],Table_NFI[Hygiene Kit])</f>
        <v>0</v>
      </c>
      <c r="Z572" s="294">
        <f>IF(NFI_Expiration=1,IF($A572&lt;VLOOKUP(I$5,NFI,5,0),1,0)*Table_NFI[[#This Row],[NFI Core Kit]],Table_NFI[NFI Core Kit])</f>
        <v>0</v>
      </c>
      <c r="AA572" s="294">
        <f>IF(NFI_Expiration=1,IF($A572&lt;VLOOKUP(J$5,NFI,5,0),1,0)*Table_NFI[[#This Row],[Sanitary Kit]],Table_NFI[Sanitary Kit])</f>
        <v>0</v>
      </c>
      <c r="AB572" s="294">
        <f>IF(NFI_Expiration=1,IF($A572&lt;VLOOKUP(K$5,NFI,5,0),1,0)*Table_NFI[[#This Row],[Mosquito net]],Table_NFI[Mosquito net])</f>
        <v>0</v>
      </c>
      <c r="AC572" s="294">
        <f>IF(NFI_Expiration=1,IF($A572&lt;VLOOKUP(L$5,NFI,5,0),1,0)*Table_NFI[[#This Row],[Tarpaulin]],Table_NFI[[#This Row],[Tarpaulin]])</f>
        <v>0</v>
      </c>
      <c r="AD572" s="294">
        <f>IF(NFI_Expiration=1,IF($A572&lt;VLOOKUP(M$5,NFI,5,0),1,0)*Table_NFI[[#This Row],[Blanket]],Table_NFI[[#This Row],[Blanket]])</f>
        <v>0</v>
      </c>
      <c r="AE572" s="294">
        <f>IF(NFI_Expiration=1,IF($A572&lt;VLOOKUP(N$5,NFI,5,0),1,0)*Table_NFI[[#This Row],[Kitchen Set]],Table_NFI[Kitchen Set])</f>
        <v>0</v>
      </c>
      <c r="AF572" s="294">
        <f>IF(NFI_Expiration=1,IF($A572&lt;VLOOKUP(O$5,NFI,5,0),1,0)*Table_NFI[[#This Row],[Clothes Kit]],Table_NFI[Clothes Kit])</f>
        <v>0</v>
      </c>
      <c r="AG572" s="294">
        <f>IF(NFI_Expiration=1,IF($A572&lt;VLOOKUP(P$5,NFI,5,0),1,0)*Table_NFI[[#This Row],[Plastic Bucket]],Table_NFI[Plastic Bucket])</f>
        <v>0</v>
      </c>
      <c r="AH572" s="294">
        <f>IF(NFI_Expiration=1,IF($A572&lt;VLOOKUP(Q$5,NFI,5,0),1,0)*Table_NFI[[#This Row],[Plastic Mat]],Table_NFI[Plastic Mat])*IF(Table_NFI[[#This Row],[Distribution Date]]&gt;"2014-04-01",1,2.5)</f>
        <v>0</v>
      </c>
      <c r="AI572" s="294">
        <f>IF(NFI_Expiration=1,IF($A572&lt;VLOOKUP(R$5,NFI,5,0),1,0)*Table_NFI[[#This Row],[Winter Clothes Adult]],Table_NFI[Winter Clothes Adult])</f>
        <v>0</v>
      </c>
      <c r="AJ572" s="294">
        <f>IF(NFI_Expiration=1,IF($A572&lt;VLOOKUP(S$5,NFI,5,0),1,0)*Table_NFI[[#This Row],[Winter Clothes Children]],Table_NFI[Winter Clothes Children])</f>
        <v>0</v>
      </c>
      <c r="AK572" s="294">
        <f>IF(NFI_Expiration=1,IF($A572&lt;VLOOKUP(T$5,NFI,5,0),1,0)*Table_NFI[[#This Row],[Winter Items Other]],Table_NFI[Winter Items Other])</f>
        <v>0</v>
      </c>
      <c r="AL572" s="294">
        <f>IF(NFI_Expiration=1,IF($A572&lt;VLOOKUP(M$5,NFI,5,0),1,0)*Table_NFI[[#This Row],[Winter Blanket]],Table_NFI[[#This Row],[Winter Blanket]])</f>
        <v>0</v>
      </c>
      <c r="AM572" s="294">
        <f>IF(Table_NFI[[#This Row],[Winter Clothes Adult]]+Table_NFI[[#This Row],[Winter Clothes Children]]+Table_NFI[[#This Row],[Winter Items Other]]+Table_NFI[[#This Row],[Winter Blanket]]&gt;0,1,0)</f>
        <v>1</v>
      </c>
      <c r="AN572" s="331">
        <f>IF(NFI_Expiration=1,IF($A572&lt;VLOOKUP(V$5,NFI,5,0),1,0)*Table_NFI[[#This Row],[Jerry Can]],Table_NFI[Jerry Can])</f>
        <v>0</v>
      </c>
      <c r="AO572" s="331">
        <f>IF(NFI_Expiration=1,IF($A572&lt;VLOOKUP(V$5,NFI,5,0),1,0)*Table_NFI[[#This Row],[Shelter Tool kit]],Table_NFI[Shelter Tool kit])</f>
        <v>0</v>
      </c>
      <c r="AP572" s="331">
        <f>IF(NFI_Expiration=1,IF($A572&lt;VLOOKUP(V$5,NFI,5,0),1,0)*Table_NFI[[#This Row],[Tent]],Table_NFI[Tent])</f>
        <v>0</v>
      </c>
      <c r="AQ572" s="473" t="str">
        <f>IFERROR(VLOOKUP(Table_NFI[[#This Row],[Camp Name]],CL,2,0),"")</f>
        <v>MMR001CMP202</v>
      </c>
      <c r="AR572" s="468">
        <f ca="1">IF(Table_NFI[[#This Row],[Pcode]]="","",IF(OFFSET(CampList[Opening Date],MATCH(Table_NFI[[#This Row],[Pcode]],CampList[CP_Pcode],0)-1,0,1,1)&gt;=NFI_Monitor_Date,1,0))</f>
        <v>0</v>
      </c>
      <c r="AS572" s="473" t="str">
        <f>IFERROR(VLOOKUP(Table_NFI[[#This Row],[Camp Name]],CL,3,0),"")</f>
        <v>Closed</v>
      </c>
      <c r="AT572" s="294" t="str">
        <f ca="1">IF(Table_NFI[[#This Row],[Pcode]]="","",OFFSET(CampList[Priority],MATCH(Table_NFI[[#This Row],[Pcode]],CampList[CP_Pcode],0)-1,0,1,1))</f>
        <v>P4</v>
      </c>
      <c r="AU572" s="293" t="str">
        <f>IFERROR(Table_NFI[[#This Row],[Kitchen Set]]/VLOOKUP(Table_NFI[[#This Row],[Camp Name]],CL,4,0),"")</f>
        <v/>
      </c>
      <c r="AV572" s="466"/>
      <c r="AW572" s="469"/>
    </row>
    <row r="573" spans="1:49" s="470" customFormat="1" ht="14.45" customHeight="1" x14ac:dyDescent="0.25">
      <c r="A573" s="297">
        <f t="shared" si="8"/>
        <v>35.700000000000003</v>
      </c>
      <c r="B573" s="465">
        <v>41604</v>
      </c>
      <c r="C573" s="467" t="s">
        <v>452</v>
      </c>
      <c r="D573" s="467" t="s">
        <v>452</v>
      </c>
      <c r="E573" s="466" t="s">
        <v>380</v>
      </c>
      <c r="F573" s="466" t="s">
        <v>5</v>
      </c>
      <c r="G573" s="290" t="s">
        <v>18</v>
      </c>
      <c r="H573" s="291"/>
      <c r="I573" s="291"/>
      <c r="J573" s="291"/>
      <c r="K573" s="291">
        <v>31</v>
      </c>
      <c r="L573" s="292">
        <v>13</v>
      </c>
      <c r="M573" s="292">
        <v>31</v>
      </c>
      <c r="N573" s="292">
        <v>13</v>
      </c>
      <c r="O573" s="292">
        <v>13</v>
      </c>
      <c r="P573" s="294"/>
      <c r="Q573" s="294"/>
      <c r="R573" s="294"/>
      <c r="S573" s="294"/>
      <c r="T573" s="294"/>
      <c r="U573" s="294"/>
      <c r="V573" s="431"/>
      <c r="W573" s="294"/>
      <c r="X573" s="294"/>
      <c r="Y573" s="294">
        <f>IF(NFI_Expiration=1,IF($A573&lt;VLOOKUP(H$5,NFI,5,0),1,0)*Table_NFI[[#This Row],[Hygiene Kit]],Table_NFI[Hygiene Kit])</f>
        <v>0</v>
      </c>
      <c r="Z573" s="294">
        <f>IF(NFI_Expiration=1,IF($A573&lt;VLOOKUP(I$5,NFI,5,0),1,0)*Table_NFI[[#This Row],[NFI Core Kit]],Table_NFI[NFI Core Kit])</f>
        <v>0</v>
      </c>
      <c r="AA573" s="294">
        <f>IF(NFI_Expiration=1,IF($A573&lt;VLOOKUP(J$5,NFI,5,0),1,0)*Table_NFI[[#This Row],[Sanitary Kit]],Table_NFI[Sanitary Kit])</f>
        <v>0</v>
      </c>
      <c r="AB573" s="294">
        <f>IF(NFI_Expiration=1,IF($A573&lt;VLOOKUP(K$5,NFI,5,0),1,0)*Table_NFI[[#This Row],[Mosquito net]],Table_NFI[Mosquito net])</f>
        <v>0</v>
      </c>
      <c r="AC573" s="294">
        <f>IF(NFI_Expiration=1,IF($A573&lt;VLOOKUP(L$5,NFI,5,0),1,0)*Table_NFI[[#This Row],[Tarpaulin]],Table_NFI[[#This Row],[Tarpaulin]])</f>
        <v>0</v>
      </c>
      <c r="AD573" s="294">
        <f>IF(NFI_Expiration=1,IF($A573&lt;VLOOKUP(M$5,NFI,5,0),1,0)*Table_NFI[[#This Row],[Blanket]],Table_NFI[[#This Row],[Blanket]])</f>
        <v>0</v>
      </c>
      <c r="AE573" s="294">
        <f>IF(NFI_Expiration=1,IF($A573&lt;VLOOKUP(N$5,NFI,5,0),1,0)*Table_NFI[[#This Row],[Kitchen Set]],Table_NFI[Kitchen Set])</f>
        <v>0</v>
      </c>
      <c r="AF573" s="294">
        <f>IF(NFI_Expiration=1,IF($A573&lt;VLOOKUP(O$5,NFI,5,0),1,0)*Table_NFI[[#This Row],[Clothes Kit]],Table_NFI[Clothes Kit])</f>
        <v>0</v>
      </c>
      <c r="AG573" s="294">
        <f>IF(NFI_Expiration=1,IF($A573&lt;VLOOKUP(P$5,NFI,5,0),1,0)*Table_NFI[[#This Row],[Plastic Bucket]],Table_NFI[Plastic Bucket])</f>
        <v>0</v>
      </c>
      <c r="AH573" s="294">
        <f>IF(NFI_Expiration=1,IF($A573&lt;VLOOKUP(Q$5,NFI,5,0),1,0)*Table_NFI[[#This Row],[Plastic Mat]],Table_NFI[Plastic Mat])*IF(Table_NFI[[#This Row],[Distribution Date]]&gt;"2014-04-01",1,2.5)</f>
        <v>0</v>
      </c>
      <c r="AI573" s="294">
        <f>IF(NFI_Expiration=1,IF($A573&lt;VLOOKUP(R$5,NFI,5,0),1,0)*Table_NFI[[#This Row],[Winter Clothes Adult]],Table_NFI[Winter Clothes Adult])</f>
        <v>0</v>
      </c>
      <c r="AJ573" s="294">
        <f>IF(NFI_Expiration=1,IF($A573&lt;VLOOKUP(S$5,NFI,5,0),1,0)*Table_NFI[[#This Row],[Winter Clothes Children]],Table_NFI[Winter Clothes Children])</f>
        <v>0</v>
      </c>
      <c r="AK573" s="294">
        <f>IF(NFI_Expiration=1,IF($A573&lt;VLOOKUP(T$5,NFI,5,0),1,0)*Table_NFI[[#This Row],[Winter Items Other]],Table_NFI[Winter Items Other])</f>
        <v>0</v>
      </c>
      <c r="AL573" s="294">
        <f>IF(NFI_Expiration=1,IF($A573&lt;VLOOKUP(M$5,NFI,5,0),1,0)*Table_NFI[[#This Row],[Winter Blanket]],Table_NFI[[#This Row],[Winter Blanket]])</f>
        <v>0</v>
      </c>
      <c r="AM573" s="294">
        <f>IF(Table_NFI[[#This Row],[Winter Clothes Adult]]+Table_NFI[[#This Row],[Winter Clothes Children]]+Table_NFI[[#This Row],[Winter Items Other]]+Table_NFI[[#This Row],[Winter Blanket]]&gt;0,1,0)</f>
        <v>0</v>
      </c>
      <c r="AN573" s="331">
        <f>IF(NFI_Expiration=1,IF($A573&lt;VLOOKUP(V$5,NFI,5,0),1,0)*Table_NFI[[#This Row],[Jerry Can]],Table_NFI[Jerry Can])</f>
        <v>0</v>
      </c>
      <c r="AO573" s="331">
        <f>IF(NFI_Expiration=1,IF($A573&lt;VLOOKUP(V$5,NFI,5,0),1,0)*Table_NFI[[#This Row],[Shelter Tool kit]],Table_NFI[Shelter Tool kit])</f>
        <v>0</v>
      </c>
      <c r="AP573" s="331">
        <f>IF(NFI_Expiration=1,IF($A573&lt;VLOOKUP(V$5,NFI,5,0),1,0)*Table_NFI[[#This Row],[Tent]],Table_NFI[Tent])</f>
        <v>0</v>
      </c>
      <c r="AQ573" s="473" t="str">
        <f>IFERROR(VLOOKUP(Table_NFI[[#This Row],[Camp Name]],CL,2,0),"")</f>
        <v>MMR001CMP049</v>
      </c>
      <c r="AR573" s="468">
        <f ca="1">IF(Table_NFI[[#This Row],[Pcode]]="","",IF(OFFSET(CampList[Opening Date],MATCH(Table_NFI[[#This Row],[Pcode]],CampList[CP_Pcode],0)-1,0,1,1)&gt;=NFI_Monitor_Date,1,0))</f>
        <v>0</v>
      </c>
      <c r="AS573" s="473" t="str">
        <f>IFERROR(VLOOKUP(Table_NFI[[#This Row],[Camp Name]],CL,3,0),"")</f>
        <v>Open</v>
      </c>
      <c r="AT573" s="294" t="str">
        <f ca="1">IF(Table_NFI[[#This Row],[Pcode]]="","",OFFSET(CampList[Priority],MATCH(Table_NFI[[#This Row],[Pcode]],CampList[CP_Pcode],0)-1,0,1,1))</f>
        <v>P4</v>
      </c>
      <c r="AU573" s="293">
        <f>IFERROR(Table_NFI[[#This Row],[Kitchen Set]]/VLOOKUP(Table_NFI[[#This Row],[Camp Name]],CL,4,0),"")</f>
        <v>0.11206896551724138</v>
      </c>
      <c r="AV573" s="466" t="s">
        <v>1092</v>
      </c>
      <c r="AW573" s="469"/>
    </row>
    <row r="574" spans="1:49" s="470" customFormat="1" ht="14.45" customHeight="1" x14ac:dyDescent="0.25">
      <c r="A574" s="297">
        <f t="shared" si="8"/>
        <v>35.700000000000003</v>
      </c>
      <c r="B574" s="465">
        <v>41604</v>
      </c>
      <c r="C574" s="467" t="s">
        <v>452</v>
      </c>
      <c r="D574" s="467" t="s">
        <v>452</v>
      </c>
      <c r="E574" s="466" t="s">
        <v>380</v>
      </c>
      <c r="F574" s="290" t="s">
        <v>5</v>
      </c>
      <c r="G574" s="290" t="s">
        <v>8</v>
      </c>
      <c r="H574" s="291"/>
      <c r="I574" s="291"/>
      <c r="J574" s="291"/>
      <c r="K574" s="291">
        <v>22</v>
      </c>
      <c r="L574" s="292">
        <v>11</v>
      </c>
      <c r="M574" s="292">
        <v>22</v>
      </c>
      <c r="N574" s="292">
        <v>11</v>
      </c>
      <c r="O574" s="292">
        <v>11</v>
      </c>
      <c r="P574" s="294"/>
      <c r="Q574" s="294"/>
      <c r="R574" s="294"/>
      <c r="S574" s="294"/>
      <c r="T574" s="294"/>
      <c r="U574" s="294"/>
      <c r="V574" s="431"/>
      <c r="W574" s="294"/>
      <c r="X574" s="294"/>
      <c r="Y574" s="294">
        <f>IF(NFI_Expiration=1,IF($A574&lt;VLOOKUP(H$5,NFI,5,0),1,0)*Table_NFI[[#This Row],[Hygiene Kit]],Table_NFI[Hygiene Kit])</f>
        <v>0</v>
      </c>
      <c r="Z574" s="294">
        <f>IF(NFI_Expiration=1,IF($A574&lt;VLOOKUP(I$5,NFI,5,0),1,0)*Table_NFI[[#This Row],[NFI Core Kit]],Table_NFI[NFI Core Kit])</f>
        <v>0</v>
      </c>
      <c r="AA574" s="294">
        <f>IF(NFI_Expiration=1,IF($A574&lt;VLOOKUP(J$5,NFI,5,0),1,0)*Table_NFI[[#This Row],[Sanitary Kit]],Table_NFI[Sanitary Kit])</f>
        <v>0</v>
      </c>
      <c r="AB574" s="294">
        <f>IF(NFI_Expiration=1,IF($A574&lt;VLOOKUP(K$5,NFI,5,0),1,0)*Table_NFI[[#This Row],[Mosquito net]],Table_NFI[Mosquito net])</f>
        <v>0</v>
      </c>
      <c r="AC574" s="294">
        <f>IF(NFI_Expiration=1,IF($A574&lt;VLOOKUP(L$5,NFI,5,0),1,0)*Table_NFI[[#This Row],[Tarpaulin]],Table_NFI[[#This Row],[Tarpaulin]])</f>
        <v>0</v>
      </c>
      <c r="AD574" s="294">
        <f>IF(NFI_Expiration=1,IF($A574&lt;VLOOKUP(M$5,NFI,5,0),1,0)*Table_NFI[[#This Row],[Blanket]],Table_NFI[[#This Row],[Blanket]])</f>
        <v>0</v>
      </c>
      <c r="AE574" s="294">
        <f>IF(NFI_Expiration=1,IF($A574&lt;VLOOKUP(N$5,NFI,5,0),1,0)*Table_NFI[[#This Row],[Kitchen Set]],Table_NFI[Kitchen Set])</f>
        <v>0</v>
      </c>
      <c r="AF574" s="294">
        <f>IF(NFI_Expiration=1,IF($A574&lt;VLOOKUP(O$5,NFI,5,0),1,0)*Table_NFI[[#This Row],[Clothes Kit]],Table_NFI[Clothes Kit])</f>
        <v>0</v>
      </c>
      <c r="AG574" s="294">
        <f>IF(NFI_Expiration=1,IF($A574&lt;VLOOKUP(P$5,NFI,5,0),1,0)*Table_NFI[[#This Row],[Plastic Bucket]],Table_NFI[Plastic Bucket])</f>
        <v>0</v>
      </c>
      <c r="AH574" s="294">
        <f>IF(NFI_Expiration=1,IF($A574&lt;VLOOKUP(Q$5,NFI,5,0),1,0)*Table_NFI[[#This Row],[Plastic Mat]],Table_NFI[Plastic Mat])*IF(Table_NFI[[#This Row],[Distribution Date]]&gt;"2014-04-01",1,2.5)</f>
        <v>0</v>
      </c>
      <c r="AI574" s="294">
        <f>IF(NFI_Expiration=1,IF($A574&lt;VLOOKUP(R$5,NFI,5,0),1,0)*Table_NFI[[#This Row],[Winter Clothes Adult]],Table_NFI[Winter Clothes Adult])</f>
        <v>0</v>
      </c>
      <c r="AJ574" s="294">
        <f>IF(NFI_Expiration=1,IF($A574&lt;VLOOKUP(S$5,NFI,5,0),1,0)*Table_NFI[[#This Row],[Winter Clothes Children]],Table_NFI[Winter Clothes Children])</f>
        <v>0</v>
      </c>
      <c r="AK574" s="294">
        <f>IF(NFI_Expiration=1,IF($A574&lt;VLOOKUP(T$5,NFI,5,0),1,0)*Table_NFI[[#This Row],[Winter Items Other]],Table_NFI[Winter Items Other])</f>
        <v>0</v>
      </c>
      <c r="AL574" s="294">
        <f>IF(NFI_Expiration=1,IF($A574&lt;VLOOKUP(M$5,NFI,5,0),1,0)*Table_NFI[[#This Row],[Winter Blanket]],Table_NFI[[#This Row],[Winter Blanket]])</f>
        <v>0</v>
      </c>
      <c r="AM574" s="294">
        <f>IF(Table_NFI[[#This Row],[Winter Clothes Adult]]+Table_NFI[[#This Row],[Winter Clothes Children]]+Table_NFI[[#This Row],[Winter Items Other]]+Table_NFI[[#This Row],[Winter Blanket]]&gt;0,1,0)</f>
        <v>0</v>
      </c>
      <c r="AN574" s="331">
        <f>IF(NFI_Expiration=1,IF($A574&lt;VLOOKUP(V$5,NFI,5,0),1,0)*Table_NFI[[#This Row],[Jerry Can]],Table_NFI[Jerry Can])</f>
        <v>0</v>
      </c>
      <c r="AO574" s="331">
        <f>IF(NFI_Expiration=1,IF($A574&lt;VLOOKUP(V$5,NFI,5,0),1,0)*Table_NFI[[#This Row],[Shelter Tool kit]],Table_NFI[Shelter Tool kit])</f>
        <v>0</v>
      </c>
      <c r="AP574" s="331">
        <f>IF(NFI_Expiration=1,IF($A574&lt;VLOOKUP(V$5,NFI,5,0),1,0)*Table_NFI[[#This Row],[Tent]],Table_NFI[Tent])</f>
        <v>0</v>
      </c>
      <c r="AQ574" s="473" t="str">
        <f>IFERROR(VLOOKUP(Table_NFI[[#This Row],[Camp Name]],CL,2,0),"")</f>
        <v>MMR001CMP051</v>
      </c>
      <c r="AR574" s="468">
        <f ca="1">IF(Table_NFI[[#This Row],[Pcode]]="","",IF(OFFSET(CampList[Opening Date],MATCH(Table_NFI[[#This Row],[Pcode]],CampList[CP_Pcode],0)-1,0,1,1)&gt;=NFI_Monitor_Date,1,0))</f>
        <v>0</v>
      </c>
      <c r="AS574" s="473" t="str">
        <f>IFERROR(VLOOKUP(Table_NFI[[#This Row],[Camp Name]],CL,3,0),"")</f>
        <v>Open</v>
      </c>
      <c r="AT574" s="294" t="str">
        <f ca="1">IF(Table_NFI[[#This Row],[Pcode]]="","",OFFSET(CampList[Priority],MATCH(Table_NFI[[#This Row],[Pcode]],CampList[CP_Pcode],0)-1,0,1,1))</f>
        <v>P4</v>
      </c>
      <c r="AU574" s="293">
        <f>IFERROR(Table_NFI[[#This Row],[Kitchen Set]]/VLOOKUP(Table_NFI[[#This Row],[Camp Name]],CL,4,0),"")</f>
        <v>0.7857142857142857</v>
      </c>
      <c r="AV574" s="466" t="s">
        <v>1092</v>
      </c>
      <c r="AW574" s="469"/>
    </row>
    <row r="575" spans="1:49" s="470" customFormat="1" ht="14.45" customHeight="1" x14ac:dyDescent="0.25">
      <c r="A575" s="297">
        <f t="shared" si="8"/>
        <v>35.700000000000003</v>
      </c>
      <c r="B575" s="465">
        <v>41604</v>
      </c>
      <c r="C575" s="466" t="s">
        <v>905</v>
      </c>
      <c r="D575" s="466" t="s">
        <v>460</v>
      </c>
      <c r="E575" s="466" t="s">
        <v>380</v>
      </c>
      <c r="F575" s="466" t="s">
        <v>310</v>
      </c>
      <c r="G575" s="466" t="s">
        <v>1243</v>
      </c>
      <c r="H575" s="291"/>
      <c r="I575" s="291"/>
      <c r="J575" s="291"/>
      <c r="K575" s="291"/>
      <c r="L575" s="292"/>
      <c r="M575" s="292"/>
      <c r="N575" s="292"/>
      <c r="O575" s="292"/>
      <c r="P575" s="294"/>
      <c r="Q575" s="294"/>
      <c r="R575" s="294">
        <v>98</v>
      </c>
      <c r="S575" s="294">
        <v>196</v>
      </c>
      <c r="T575" s="294">
        <v>588</v>
      </c>
      <c r="U575" s="294">
        <v>294</v>
      </c>
      <c r="V575" s="431"/>
      <c r="W575" s="294"/>
      <c r="X575" s="294"/>
      <c r="Y575" s="294">
        <f>IF(NFI_Expiration=1,IF($A575&lt;VLOOKUP(H$5,NFI,5,0),1,0)*Table_NFI[[#This Row],[Hygiene Kit]],Table_NFI[Hygiene Kit])</f>
        <v>0</v>
      </c>
      <c r="Z575" s="294">
        <f>IF(NFI_Expiration=1,IF($A575&lt;VLOOKUP(I$5,NFI,5,0),1,0)*Table_NFI[[#This Row],[NFI Core Kit]],Table_NFI[NFI Core Kit])</f>
        <v>0</v>
      </c>
      <c r="AA575" s="294">
        <f>IF(NFI_Expiration=1,IF($A575&lt;VLOOKUP(J$5,NFI,5,0),1,0)*Table_NFI[[#This Row],[Sanitary Kit]],Table_NFI[Sanitary Kit])</f>
        <v>0</v>
      </c>
      <c r="AB575" s="294">
        <f>IF(NFI_Expiration=1,IF($A575&lt;VLOOKUP(K$5,NFI,5,0),1,0)*Table_NFI[[#This Row],[Mosquito net]],Table_NFI[Mosquito net])</f>
        <v>0</v>
      </c>
      <c r="AC575" s="294">
        <f>IF(NFI_Expiration=1,IF($A575&lt;VLOOKUP(L$5,NFI,5,0),1,0)*Table_NFI[[#This Row],[Tarpaulin]],Table_NFI[[#This Row],[Tarpaulin]])</f>
        <v>0</v>
      </c>
      <c r="AD575" s="294">
        <f>IF(NFI_Expiration=1,IF($A575&lt;VLOOKUP(M$5,NFI,5,0),1,0)*Table_NFI[[#This Row],[Blanket]],Table_NFI[[#This Row],[Blanket]])</f>
        <v>0</v>
      </c>
      <c r="AE575" s="294">
        <f>IF(NFI_Expiration=1,IF($A575&lt;VLOOKUP(N$5,NFI,5,0),1,0)*Table_NFI[[#This Row],[Kitchen Set]],Table_NFI[Kitchen Set])</f>
        <v>0</v>
      </c>
      <c r="AF575" s="294">
        <f>IF(NFI_Expiration=1,IF($A575&lt;VLOOKUP(O$5,NFI,5,0),1,0)*Table_NFI[[#This Row],[Clothes Kit]],Table_NFI[Clothes Kit])</f>
        <v>0</v>
      </c>
      <c r="AG575" s="294">
        <f>IF(NFI_Expiration=1,IF($A575&lt;VLOOKUP(P$5,NFI,5,0),1,0)*Table_NFI[[#This Row],[Plastic Bucket]],Table_NFI[Plastic Bucket])</f>
        <v>0</v>
      </c>
      <c r="AH575" s="294">
        <f>IF(NFI_Expiration=1,IF($A575&lt;VLOOKUP(Q$5,NFI,5,0),1,0)*Table_NFI[[#This Row],[Plastic Mat]],Table_NFI[Plastic Mat])*IF(Table_NFI[[#This Row],[Distribution Date]]&gt;"2014-04-01",1,2.5)</f>
        <v>0</v>
      </c>
      <c r="AI575" s="294">
        <f>IF(NFI_Expiration=1,IF($A575&lt;VLOOKUP(R$5,NFI,5,0),1,0)*Table_NFI[[#This Row],[Winter Clothes Adult]],Table_NFI[Winter Clothes Adult])</f>
        <v>0</v>
      </c>
      <c r="AJ575" s="294">
        <f>IF(NFI_Expiration=1,IF($A575&lt;VLOOKUP(S$5,NFI,5,0),1,0)*Table_NFI[[#This Row],[Winter Clothes Children]],Table_NFI[Winter Clothes Children])</f>
        <v>0</v>
      </c>
      <c r="AK575" s="294">
        <f>IF(NFI_Expiration=1,IF($A575&lt;VLOOKUP(T$5,NFI,5,0),1,0)*Table_NFI[[#This Row],[Winter Items Other]],Table_NFI[Winter Items Other])</f>
        <v>0</v>
      </c>
      <c r="AL575" s="294">
        <f>IF(NFI_Expiration=1,IF($A575&lt;VLOOKUP(M$5,NFI,5,0),1,0)*Table_NFI[[#This Row],[Winter Blanket]],Table_NFI[[#This Row],[Winter Blanket]])</f>
        <v>0</v>
      </c>
      <c r="AM575" s="294">
        <f>IF(Table_NFI[[#This Row],[Winter Clothes Adult]]+Table_NFI[[#This Row],[Winter Clothes Children]]+Table_NFI[[#This Row],[Winter Items Other]]+Table_NFI[[#This Row],[Winter Blanket]]&gt;0,1,0)</f>
        <v>1</v>
      </c>
      <c r="AN575" s="331">
        <f>IF(NFI_Expiration=1,IF($A575&lt;VLOOKUP(V$5,NFI,5,0),1,0)*Table_NFI[[#This Row],[Jerry Can]],Table_NFI[Jerry Can])</f>
        <v>0</v>
      </c>
      <c r="AO575" s="331">
        <f>IF(NFI_Expiration=1,IF($A575&lt;VLOOKUP(V$5,NFI,5,0),1,0)*Table_NFI[[#This Row],[Shelter Tool kit]],Table_NFI[Shelter Tool kit])</f>
        <v>0</v>
      </c>
      <c r="AP575" s="331">
        <f>IF(NFI_Expiration=1,IF($A575&lt;VLOOKUP(V$5,NFI,5,0),1,0)*Table_NFI[[#This Row],[Tent]],Table_NFI[Tent])</f>
        <v>0</v>
      </c>
      <c r="AQ575" s="473" t="str">
        <f>IFERROR(VLOOKUP(Table_NFI[[#This Row],[Camp Name]],CL,2,0),"")</f>
        <v>MMR001CMP120</v>
      </c>
      <c r="AR575" s="468">
        <f ca="1">IF(Table_NFI[[#This Row],[Pcode]]="","",IF(OFFSET(CampList[Opening Date],MATCH(Table_NFI[[#This Row],[Pcode]],CampList[CP_Pcode],0)-1,0,1,1)&gt;=NFI_Monitor_Date,1,0))</f>
        <v>0</v>
      </c>
      <c r="AS575" s="473" t="str">
        <f>IFERROR(VLOOKUP(Table_NFI[[#This Row],[Camp Name]],CL,3,0),"")</f>
        <v>Open</v>
      </c>
      <c r="AT575" s="294" t="str">
        <f ca="1">IF(Table_NFI[[#This Row],[Pcode]]="","",OFFSET(CampList[Priority],MATCH(Table_NFI[[#This Row],[Pcode]],CampList[CP_Pcode],0)-1,0,1,1))</f>
        <v>P1</v>
      </c>
      <c r="AU575" s="293">
        <f>IFERROR(Table_NFI[[#This Row],[Kitchen Set]]/VLOOKUP(Table_NFI[[#This Row],[Camp Name]],CL,4,0),"")</f>
        <v>0</v>
      </c>
      <c r="AV575" s="466"/>
      <c r="AW575" s="469"/>
    </row>
    <row r="576" spans="1:49" s="470" customFormat="1" ht="14.45" customHeight="1" x14ac:dyDescent="0.25">
      <c r="A576" s="297">
        <f t="shared" si="8"/>
        <v>35.733333333333334</v>
      </c>
      <c r="B576" s="465">
        <v>41603</v>
      </c>
      <c r="C576" s="466" t="s">
        <v>905</v>
      </c>
      <c r="D576" s="466" t="s">
        <v>905</v>
      </c>
      <c r="E576" s="466" t="s">
        <v>380</v>
      </c>
      <c r="F576" s="466" t="s">
        <v>151</v>
      </c>
      <c r="G576" s="466" t="s">
        <v>160</v>
      </c>
      <c r="H576" s="291"/>
      <c r="I576" s="291"/>
      <c r="J576" s="291"/>
      <c r="K576" s="291"/>
      <c r="L576" s="292"/>
      <c r="M576" s="292"/>
      <c r="N576" s="292"/>
      <c r="O576" s="292"/>
      <c r="P576" s="294"/>
      <c r="Q576" s="294"/>
      <c r="R576" s="294"/>
      <c r="S576" s="294"/>
      <c r="T576" s="294"/>
      <c r="U576" s="294"/>
      <c r="V576" s="431"/>
      <c r="W576" s="294"/>
      <c r="X576" s="294"/>
      <c r="Y576" s="294">
        <f>IF(NFI_Expiration=1,IF($A576&lt;VLOOKUP(H$5,NFI,5,0),1,0)*Table_NFI[[#This Row],[Hygiene Kit]],Table_NFI[Hygiene Kit])</f>
        <v>0</v>
      </c>
      <c r="Z576" s="294">
        <f>IF(NFI_Expiration=1,IF($A576&lt;VLOOKUP(I$5,NFI,5,0),1,0)*Table_NFI[[#This Row],[NFI Core Kit]],Table_NFI[NFI Core Kit])</f>
        <v>0</v>
      </c>
      <c r="AA576" s="294">
        <f>IF(NFI_Expiration=1,IF($A576&lt;VLOOKUP(J$5,NFI,5,0),1,0)*Table_NFI[[#This Row],[Sanitary Kit]],Table_NFI[Sanitary Kit])</f>
        <v>0</v>
      </c>
      <c r="AB576" s="294">
        <f>IF(NFI_Expiration=1,IF($A576&lt;VLOOKUP(K$5,NFI,5,0),1,0)*Table_NFI[[#This Row],[Mosquito net]],Table_NFI[Mosquito net])</f>
        <v>0</v>
      </c>
      <c r="AC576" s="294">
        <f>IF(NFI_Expiration=1,IF($A576&lt;VLOOKUP(L$5,NFI,5,0),1,0)*Table_NFI[[#This Row],[Tarpaulin]],Table_NFI[[#This Row],[Tarpaulin]])</f>
        <v>0</v>
      </c>
      <c r="AD576" s="294">
        <f>IF(NFI_Expiration=1,IF($A576&lt;VLOOKUP(M$5,NFI,5,0),1,0)*Table_NFI[[#This Row],[Blanket]],Table_NFI[[#This Row],[Blanket]])</f>
        <v>0</v>
      </c>
      <c r="AE576" s="294">
        <f>IF(NFI_Expiration=1,IF($A576&lt;VLOOKUP(N$5,NFI,5,0),1,0)*Table_NFI[[#This Row],[Kitchen Set]],Table_NFI[Kitchen Set])</f>
        <v>0</v>
      </c>
      <c r="AF576" s="294">
        <f>IF(NFI_Expiration=1,IF($A576&lt;VLOOKUP(O$5,NFI,5,0),1,0)*Table_NFI[[#This Row],[Clothes Kit]],Table_NFI[Clothes Kit])</f>
        <v>0</v>
      </c>
      <c r="AG576" s="294">
        <f>IF(NFI_Expiration=1,IF($A576&lt;VLOOKUP(P$5,NFI,5,0),1,0)*Table_NFI[[#This Row],[Plastic Bucket]],Table_NFI[Plastic Bucket])</f>
        <v>0</v>
      </c>
      <c r="AH576" s="294">
        <f>IF(NFI_Expiration=1,IF($A576&lt;VLOOKUP(Q$5,NFI,5,0),1,0)*Table_NFI[[#This Row],[Plastic Mat]],Table_NFI[Plastic Mat])*IF(Table_NFI[[#This Row],[Distribution Date]]&gt;"2014-04-01",1,2.5)</f>
        <v>0</v>
      </c>
      <c r="AI576" s="294">
        <f>IF(NFI_Expiration=1,IF($A576&lt;VLOOKUP(R$5,NFI,5,0),1,0)*Table_NFI[[#This Row],[Winter Clothes Adult]],Table_NFI[Winter Clothes Adult])</f>
        <v>0</v>
      </c>
      <c r="AJ576" s="294">
        <f>IF(NFI_Expiration=1,IF($A576&lt;VLOOKUP(S$5,NFI,5,0),1,0)*Table_NFI[[#This Row],[Winter Clothes Children]],Table_NFI[Winter Clothes Children])</f>
        <v>0</v>
      </c>
      <c r="AK576" s="294">
        <f>IF(NFI_Expiration=1,IF($A576&lt;VLOOKUP(T$5,NFI,5,0),1,0)*Table_NFI[[#This Row],[Winter Items Other]],Table_NFI[Winter Items Other])</f>
        <v>0</v>
      </c>
      <c r="AL576" s="294">
        <f>IF(NFI_Expiration=1,IF($A576&lt;VLOOKUP(M$5,NFI,5,0),1,0)*Table_NFI[[#This Row],[Winter Blanket]],Table_NFI[[#This Row],[Winter Blanket]])</f>
        <v>0</v>
      </c>
      <c r="AM576" s="294">
        <f>IF(Table_NFI[[#This Row],[Winter Clothes Adult]]+Table_NFI[[#This Row],[Winter Clothes Children]]+Table_NFI[[#This Row],[Winter Items Other]]+Table_NFI[[#This Row],[Winter Blanket]]&gt;0,1,0)</f>
        <v>0</v>
      </c>
      <c r="AN576" s="331">
        <f>IF(NFI_Expiration=1,IF($A576&lt;VLOOKUP(V$5,NFI,5,0),1,0)*Table_NFI[[#This Row],[Jerry Can]],Table_NFI[Jerry Can])</f>
        <v>0</v>
      </c>
      <c r="AO576" s="331">
        <f>IF(NFI_Expiration=1,IF($A576&lt;VLOOKUP(V$5,NFI,5,0),1,0)*Table_NFI[[#This Row],[Shelter Tool kit]],Table_NFI[Shelter Tool kit])</f>
        <v>0</v>
      </c>
      <c r="AP576" s="331">
        <f>IF(NFI_Expiration=1,IF($A576&lt;VLOOKUP(V$5,NFI,5,0),1,0)*Table_NFI[[#This Row],[Tent]],Table_NFI[Tent])</f>
        <v>0</v>
      </c>
      <c r="AQ576" s="473" t="str">
        <f>IFERROR(VLOOKUP(Table_NFI[[#This Row],[Camp Name]],CL,2,0),"")</f>
        <v>MMR001CMP133</v>
      </c>
      <c r="AR576" s="468">
        <f ca="1">IF(Table_NFI[[#This Row],[Pcode]]="","",IF(OFFSET(CampList[Opening Date],MATCH(Table_NFI[[#This Row],[Pcode]],CampList[CP_Pcode],0)-1,0,1,1)&gt;=NFI_Monitor_Date,1,0))</f>
        <v>0</v>
      </c>
      <c r="AS576" s="473" t="str">
        <f>IFERROR(VLOOKUP(Table_NFI[[#This Row],[Camp Name]],CL,3,0),"")</f>
        <v>Open</v>
      </c>
      <c r="AT576" s="294" t="str">
        <f ca="1">IF(Table_NFI[[#This Row],[Pcode]]="","",OFFSET(CampList[Priority],MATCH(Table_NFI[[#This Row],[Pcode]],CampList[CP_Pcode],0)-1,0,1,1))</f>
        <v>P4</v>
      </c>
      <c r="AU576" s="293">
        <f>IFERROR(Table_NFI[[#This Row],[Kitchen Set]]/VLOOKUP(Table_NFI[[#This Row],[Camp Name]],CL,4,0),"")</f>
        <v>0</v>
      </c>
      <c r="AV576" s="466"/>
      <c r="AW576" s="469"/>
    </row>
    <row r="577" spans="1:49" s="470" customFormat="1" ht="14.45" customHeight="1" x14ac:dyDescent="0.25">
      <c r="A577" s="297">
        <f t="shared" si="8"/>
        <v>35.733333333333334</v>
      </c>
      <c r="B577" s="465">
        <v>41603</v>
      </c>
      <c r="C577" s="466" t="s">
        <v>905</v>
      </c>
      <c r="D577" s="466" t="s">
        <v>905</v>
      </c>
      <c r="E577" s="466" t="s">
        <v>380</v>
      </c>
      <c r="F577" s="466" t="s">
        <v>151</v>
      </c>
      <c r="G577" s="466" t="s">
        <v>160</v>
      </c>
      <c r="H577" s="291"/>
      <c r="I577" s="291"/>
      <c r="J577" s="291"/>
      <c r="K577" s="291"/>
      <c r="L577" s="292"/>
      <c r="M577" s="292"/>
      <c r="N577" s="292"/>
      <c r="O577" s="292"/>
      <c r="P577" s="294"/>
      <c r="Q577" s="294"/>
      <c r="R577" s="294">
        <v>19</v>
      </c>
      <c r="S577" s="294">
        <v>38</v>
      </c>
      <c r="T577" s="294">
        <v>114</v>
      </c>
      <c r="U577" s="294">
        <v>57</v>
      </c>
      <c r="V577" s="431"/>
      <c r="W577" s="294"/>
      <c r="X577" s="294"/>
      <c r="Y577" s="294">
        <f>IF(NFI_Expiration=1,IF($A577&lt;VLOOKUP(H$5,NFI,5,0),1,0)*Table_NFI[[#This Row],[Hygiene Kit]],Table_NFI[Hygiene Kit])</f>
        <v>0</v>
      </c>
      <c r="Z577" s="294">
        <f>IF(NFI_Expiration=1,IF($A577&lt;VLOOKUP(I$5,NFI,5,0),1,0)*Table_NFI[[#This Row],[NFI Core Kit]],Table_NFI[NFI Core Kit])</f>
        <v>0</v>
      </c>
      <c r="AA577" s="294">
        <f>IF(NFI_Expiration=1,IF($A577&lt;VLOOKUP(J$5,NFI,5,0),1,0)*Table_NFI[[#This Row],[Sanitary Kit]],Table_NFI[Sanitary Kit])</f>
        <v>0</v>
      </c>
      <c r="AB577" s="294">
        <f>IF(NFI_Expiration=1,IF($A577&lt;VLOOKUP(K$5,NFI,5,0),1,0)*Table_NFI[[#This Row],[Mosquito net]],Table_NFI[Mosquito net])</f>
        <v>0</v>
      </c>
      <c r="AC577" s="294">
        <f>IF(NFI_Expiration=1,IF($A577&lt;VLOOKUP(L$5,NFI,5,0),1,0)*Table_NFI[[#This Row],[Tarpaulin]],Table_NFI[[#This Row],[Tarpaulin]])</f>
        <v>0</v>
      </c>
      <c r="AD577" s="294">
        <f>IF(NFI_Expiration=1,IF($A577&lt;VLOOKUP(M$5,NFI,5,0),1,0)*Table_NFI[[#This Row],[Blanket]],Table_NFI[[#This Row],[Blanket]])</f>
        <v>0</v>
      </c>
      <c r="AE577" s="294">
        <f>IF(NFI_Expiration=1,IF($A577&lt;VLOOKUP(N$5,NFI,5,0),1,0)*Table_NFI[[#This Row],[Kitchen Set]],Table_NFI[Kitchen Set])</f>
        <v>0</v>
      </c>
      <c r="AF577" s="294">
        <f>IF(NFI_Expiration=1,IF($A577&lt;VLOOKUP(O$5,NFI,5,0),1,0)*Table_NFI[[#This Row],[Clothes Kit]],Table_NFI[Clothes Kit])</f>
        <v>0</v>
      </c>
      <c r="AG577" s="294">
        <f>IF(NFI_Expiration=1,IF($A577&lt;VLOOKUP(P$5,NFI,5,0),1,0)*Table_NFI[[#This Row],[Plastic Bucket]],Table_NFI[Plastic Bucket])</f>
        <v>0</v>
      </c>
      <c r="AH577" s="294">
        <f>IF(NFI_Expiration=1,IF($A577&lt;VLOOKUP(Q$5,NFI,5,0),1,0)*Table_NFI[[#This Row],[Plastic Mat]],Table_NFI[Plastic Mat])*IF(Table_NFI[[#This Row],[Distribution Date]]&gt;"2014-04-01",1,2.5)</f>
        <v>0</v>
      </c>
      <c r="AI577" s="294">
        <f>IF(NFI_Expiration=1,IF($A577&lt;VLOOKUP(R$5,NFI,5,0),1,0)*Table_NFI[[#This Row],[Winter Clothes Adult]],Table_NFI[Winter Clothes Adult])</f>
        <v>0</v>
      </c>
      <c r="AJ577" s="294">
        <f>IF(NFI_Expiration=1,IF($A577&lt;VLOOKUP(S$5,NFI,5,0),1,0)*Table_NFI[[#This Row],[Winter Clothes Children]],Table_NFI[Winter Clothes Children])</f>
        <v>0</v>
      </c>
      <c r="AK577" s="294">
        <f>IF(NFI_Expiration=1,IF($A577&lt;VLOOKUP(T$5,NFI,5,0),1,0)*Table_NFI[[#This Row],[Winter Items Other]],Table_NFI[Winter Items Other])</f>
        <v>0</v>
      </c>
      <c r="AL577" s="294">
        <f>IF(NFI_Expiration=1,IF($A577&lt;VLOOKUP(M$5,NFI,5,0),1,0)*Table_NFI[[#This Row],[Winter Blanket]],Table_NFI[[#This Row],[Winter Blanket]])</f>
        <v>0</v>
      </c>
      <c r="AM577" s="294">
        <f>IF(Table_NFI[[#This Row],[Winter Clothes Adult]]+Table_NFI[[#This Row],[Winter Clothes Children]]+Table_NFI[[#This Row],[Winter Items Other]]+Table_NFI[[#This Row],[Winter Blanket]]&gt;0,1,0)</f>
        <v>1</v>
      </c>
      <c r="AN577" s="331">
        <f>IF(NFI_Expiration=1,IF($A577&lt;VLOOKUP(V$5,NFI,5,0),1,0)*Table_NFI[[#This Row],[Jerry Can]],Table_NFI[Jerry Can])</f>
        <v>0</v>
      </c>
      <c r="AO577" s="331">
        <f>IF(NFI_Expiration=1,IF($A577&lt;VLOOKUP(V$5,NFI,5,0),1,0)*Table_NFI[[#This Row],[Shelter Tool kit]],Table_NFI[Shelter Tool kit])</f>
        <v>0</v>
      </c>
      <c r="AP577" s="331">
        <f>IF(NFI_Expiration=1,IF($A577&lt;VLOOKUP(V$5,NFI,5,0),1,0)*Table_NFI[[#This Row],[Tent]],Table_NFI[Tent])</f>
        <v>0</v>
      </c>
      <c r="AQ577" s="473" t="str">
        <f>IFERROR(VLOOKUP(Table_NFI[[#This Row],[Camp Name]],CL,2,0),"")</f>
        <v>MMR001CMP133</v>
      </c>
      <c r="AR577" s="468">
        <f ca="1">IF(Table_NFI[[#This Row],[Pcode]]="","",IF(OFFSET(CampList[Opening Date],MATCH(Table_NFI[[#This Row],[Pcode]],CampList[CP_Pcode],0)-1,0,1,1)&gt;=NFI_Monitor_Date,1,0))</f>
        <v>0</v>
      </c>
      <c r="AS577" s="473" t="str">
        <f>IFERROR(VLOOKUP(Table_NFI[[#This Row],[Camp Name]],CL,3,0),"")</f>
        <v>Open</v>
      </c>
      <c r="AT577" s="294" t="str">
        <f ca="1">IF(Table_NFI[[#This Row],[Pcode]]="","",OFFSET(CampList[Priority],MATCH(Table_NFI[[#This Row],[Pcode]],CampList[CP_Pcode],0)-1,0,1,1))</f>
        <v>P4</v>
      </c>
      <c r="AU577" s="293">
        <f>IFERROR(Table_NFI[[#This Row],[Kitchen Set]]/VLOOKUP(Table_NFI[[#This Row],[Camp Name]],CL,4,0),"")</f>
        <v>0</v>
      </c>
      <c r="AV577" s="466"/>
      <c r="AW577" s="469"/>
    </row>
    <row r="578" spans="1:49" s="470" customFormat="1" ht="14.45" customHeight="1" x14ac:dyDescent="0.25">
      <c r="A578" s="297">
        <f t="shared" si="8"/>
        <v>35.733333333333334</v>
      </c>
      <c r="B578" s="465">
        <v>41603</v>
      </c>
      <c r="C578" s="466" t="s">
        <v>905</v>
      </c>
      <c r="D578" s="466" t="s">
        <v>905</v>
      </c>
      <c r="E578" s="466" t="s">
        <v>380</v>
      </c>
      <c r="F578" s="466" t="s">
        <v>151</v>
      </c>
      <c r="G578" s="466" t="s">
        <v>154</v>
      </c>
      <c r="H578" s="291"/>
      <c r="I578" s="291"/>
      <c r="J578" s="291"/>
      <c r="K578" s="291"/>
      <c r="L578" s="292"/>
      <c r="M578" s="292"/>
      <c r="N578" s="292"/>
      <c r="O578" s="292"/>
      <c r="P578" s="294"/>
      <c r="Q578" s="294"/>
      <c r="R578" s="294">
        <v>60</v>
      </c>
      <c r="S578" s="294">
        <v>120</v>
      </c>
      <c r="T578" s="294">
        <v>360</v>
      </c>
      <c r="U578" s="294">
        <v>180</v>
      </c>
      <c r="V578" s="431"/>
      <c r="W578" s="294"/>
      <c r="X578" s="294"/>
      <c r="Y578" s="294">
        <f>IF(NFI_Expiration=1,IF($A578&lt;VLOOKUP(H$5,NFI,5,0),1,0)*Table_NFI[[#This Row],[Hygiene Kit]],Table_NFI[Hygiene Kit])</f>
        <v>0</v>
      </c>
      <c r="Z578" s="294">
        <f>IF(NFI_Expiration=1,IF($A578&lt;VLOOKUP(I$5,NFI,5,0),1,0)*Table_NFI[[#This Row],[NFI Core Kit]],Table_NFI[NFI Core Kit])</f>
        <v>0</v>
      </c>
      <c r="AA578" s="294">
        <f>IF(NFI_Expiration=1,IF($A578&lt;VLOOKUP(J$5,NFI,5,0),1,0)*Table_NFI[[#This Row],[Sanitary Kit]],Table_NFI[Sanitary Kit])</f>
        <v>0</v>
      </c>
      <c r="AB578" s="294">
        <f>IF(NFI_Expiration=1,IF($A578&lt;VLOOKUP(K$5,NFI,5,0),1,0)*Table_NFI[[#This Row],[Mosquito net]],Table_NFI[Mosquito net])</f>
        <v>0</v>
      </c>
      <c r="AC578" s="294">
        <f>IF(NFI_Expiration=1,IF($A578&lt;VLOOKUP(L$5,NFI,5,0),1,0)*Table_NFI[[#This Row],[Tarpaulin]],Table_NFI[[#This Row],[Tarpaulin]])</f>
        <v>0</v>
      </c>
      <c r="AD578" s="294">
        <f>IF(NFI_Expiration=1,IF($A578&lt;VLOOKUP(M$5,NFI,5,0),1,0)*Table_NFI[[#This Row],[Blanket]],Table_NFI[[#This Row],[Blanket]])</f>
        <v>0</v>
      </c>
      <c r="AE578" s="294">
        <f>IF(NFI_Expiration=1,IF($A578&lt;VLOOKUP(N$5,NFI,5,0),1,0)*Table_NFI[[#This Row],[Kitchen Set]],Table_NFI[Kitchen Set])</f>
        <v>0</v>
      </c>
      <c r="AF578" s="294">
        <f>IF(NFI_Expiration=1,IF($A578&lt;VLOOKUP(O$5,NFI,5,0),1,0)*Table_NFI[[#This Row],[Clothes Kit]],Table_NFI[Clothes Kit])</f>
        <v>0</v>
      </c>
      <c r="AG578" s="294">
        <f>IF(NFI_Expiration=1,IF($A578&lt;VLOOKUP(P$5,NFI,5,0),1,0)*Table_NFI[[#This Row],[Plastic Bucket]],Table_NFI[Plastic Bucket])</f>
        <v>0</v>
      </c>
      <c r="AH578" s="294">
        <f>IF(NFI_Expiration=1,IF($A578&lt;VLOOKUP(Q$5,NFI,5,0),1,0)*Table_NFI[[#This Row],[Plastic Mat]],Table_NFI[Plastic Mat])*IF(Table_NFI[[#This Row],[Distribution Date]]&gt;"2014-04-01",1,2.5)</f>
        <v>0</v>
      </c>
      <c r="AI578" s="294">
        <f>IF(NFI_Expiration=1,IF($A578&lt;VLOOKUP(R$5,NFI,5,0),1,0)*Table_NFI[[#This Row],[Winter Clothes Adult]],Table_NFI[Winter Clothes Adult])</f>
        <v>0</v>
      </c>
      <c r="AJ578" s="294">
        <f>IF(NFI_Expiration=1,IF($A578&lt;VLOOKUP(S$5,NFI,5,0),1,0)*Table_NFI[[#This Row],[Winter Clothes Children]],Table_NFI[Winter Clothes Children])</f>
        <v>0</v>
      </c>
      <c r="AK578" s="294">
        <f>IF(NFI_Expiration=1,IF($A578&lt;VLOOKUP(T$5,NFI,5,0),1,0)*Table_NFI[[#This Row],[Winter Items Other]],Table_NFI[Winter Items Other])</f>
        <v>0</v>
      </c>
      <c r="AL578" s="294">
        <f>IF(NFI_Expiration=1,IF($A578&lt;VLOOKUP(M$5,NFI,5,0),1,0)*Table_NFI[[#This Row],[Winter Blanket]],Table_NFI[[#This Row],[Winter Blanket]])</f>
        <v>0</v>
      </c>
      <c r="AM578" s="294">
        <f>IF(Table_NFI[[#This Row],[Winter Clothes Adult]]+Table_NFI[[#This Row],[Winter Clothes Children]]+Table_NFI[[#This Row],[Winter Items Other]]+Table_NFI[[#This Row],[Winter Blanket]]&gt;0,1,0)</f>
        <v>1</v>
      </c>
      <c r="AN578" s="331">
        <f>IF(NFI_Expiration=1,IF($A578&lt;VLOOKUP(V$5,NFI,5,0),1,0)*Table_NFI[[#This Row],[Jerry Can]],Table_NFI[Jerry Can])</f>
        <v>0</v>
      </c>
      <c r="AO578" s="331">
        <f>IF(NFI_Expiration=1,IF($A578&lt;VLOOKUP(V$5,NFI,5,0),1,0)*Table_NFI[[#This Row],[Shelter Tool kit]],Table_NFI[Shelter Tool kit])</f>
        <v>0</v>
      </c>
      <c r="AP578" s="331">
        <f>IF(NFI_Expiration=1,IF($A578&lt;VLOOKUP(V$5,NFI,5,0),1,0)*Table_NFI[[#This Row],[Tent]],Table_NFI[Tent])</f>
        <v>0</v>
      </c>
      <c r="AQ578" s="473" t="str">
        <f>IFERROR(VLOOKUP(Table_NFI[[#This Row],[Camp Name]],CL,2,0),"")</f>
        <v>MMR001CMP132</v>
      </c>
      <c r="AR578" s="468">
        <f ca="1">IF(Table_NFI[[#This Row],[Pcode]]="","",IF(OFFSET(CampList[Opening Date],MATCH(Table_NFI[[#This Row],[Pcode]],CampList[CP_Pcode],0)-1,0,1,1)&gt;=NFI_Monitor_Date,1,0))</f>
        <v>0</v>
      </c>
      <c r="AS578" s="473" t="str">
        <f>IFERROR(VLOOKUP(Table_NFI[[#This Row],[Camp Name]],CL,3,0),"")</f>
        <v>Open</v>
      </c>
      <c r="AT578" s="294" t="str">
        <f ca="1">IF(Table_NFI[[#This Row],[Pcode]]="","",OFFSET(CampList[Priority],MATCH(Table_NFI[[#This Row],[Pcode]],CampList[CP_Pcode],0)-1,0,1,1))</f>
        <v>P4</v>
      </c>
      <c r="AU578" s="293">
        <f>IFERROR(Table_NFI[[#This Row],[Kitchen Set]]/VLOOKUP(Table_NFI[[#This Row],[Camp Name]],CL,4,0),"")</f>
        <v>0</v>
      </c>
      <c r="AV578" s="466"/>
      <c r="AW578" s="469"/>
    </row>
    <row r="579" spans="1:49" s="470" customFormat="1" ht="14.45" customHeight="1" x14ac:dyDescent="0.25">
      <c r="A579" s="297">
        <f t="shared" si="8"/>
        <v>35.766666666666666</v>
      </c>
      <c r="B579" s="465">
        <v>41602</v>
      </c>
      <c r="C579" s="466" t="s">
        <v>905</v>
      </c>
      <c r="D579" s="466" t="s">
        <v>905</v>
      </c>
      <c r="E579" s="466" t="s">
        <v>380</v>
      </c>
      <c r="F579" s="466" t="s">
        <v>151</v>
      </c>
      <c r="G579" s="466" t="s">
        <v>882</v>
      </c>
      <c r="H579" s="291"/>
      <c r="I579" s="291"/>
      <c r="J579" s="291"/>
      <c r="K579" s="291"/>
      <c r="L579" s="292"/>
      <c r="M579" s="292"/>
      <c r="N579" s="292"/>
      <c r="O579" s="292"/>
      <c r="P579" s="294"/>
      <c r="Q579" s="294"/>
      <c r="R579" s="294">
        <v>24</v>
      </c>
      <c r="S579" s="294">
        <v>48</v>
      </c>
      <c r="T579" s="294">
        <v>144</v>
      </c>
      <c r="U579" s="294">
        <v>72</v>
      </c>
      <c r="V579" s="431"/>
      <c r="W579" s="294"/>
      <c r="X579" s="294"/>
      <c r="Y579" s="294">
        <f>IF(NFI_Expiration=1,IF($A579&lt;VLOOKUP(H$5,NFI,5,0),1,0)*Table_NFI[[#This Row],[Hygiene Kit]],Table_NFI[Hygiene Kit])</f>
        <v>0</v>
      </c>
      <c r="Z579" s="294">
        <f>IF(NFI_Expiration=1,IF($A579&lt;VLOOKUP(I$5,NFI,5,0),1,0)*Table_NFI[[#This Row],[NFI Core Kit]],Table_NFI[NFI Core Kit])</f>
        <v>0</v>
      </c>
      <c r="AA579" s="294">
        <f>IF(NFI_Expiration=1,IF($A579&lt;VLOOKUP(J$5,NFI,5,0),1,0)*Table_NFI[[#This Row],[Sanitary Kit]],Table_NFI[Sanitary Kit])</f>
        <v>0</v>
      </c>
      <c r="AB579" s="294">
        <f>IF(NFI_Expiration=1,IF($A579&lt;VLOOKUP(K$5,NFI,5,0),1,0)*Table_NFI[[#This Row],[Mosquito net]],Table_NFI[Mosquito net])</f>
        <v>0</v>
      </c>
      <c r="AC579" s="294">
        <f>IF(NFI_Expiration=1,IF($A579&lt;VLOOKUP(L$5,NFI,5,0),1,0)*Table_NFI[[#This Row],[Tarpaulin]],Table_NFI[[#This Row],[Tarpaulin]])</f>
        <v>0</v>
      </c>
      <c r="AD579" s="294">
        <f>IF(NFI_Expiration=1,IF($A579&lt;VLOOKUP(M$5,NFI,5,0),1,0)*Table_NFI[[#This Row],[Blanket]],Table_NFI[[#This Row],[Blanket]])</f>
        <v>0</v>
      </c>
      <c r="AE579" s="294">
        <f>IF(NFI_Expiration=1,IF($A579&lt;VLOOKUP(N$5,NFI,5,0),1,0)*Table_NFI[[#This Row],[Kitchen Set]],Table_NFI[Kitchen Set])</f>
        <v>0</v>
      </c>
      <c r="AF579" s="294">
        <f>IF(NFI_Expiration=1,IF($A579&lt;VLOOKUP(O$5,NFI,5,0),1,0)*Table_NFI[[#This Row],[Clothes Kit]],Table_NFI[Clothes Kit])</f>
        <v>0</v>
      </c>
      <c r="AG579" s="294">
        <f>IF(NFI_Expiration=1,IF($A579&lt;VLOOKUP(P$5,NFI,5,0),1,0)*Table_NFI[[#This Row],[Plastic Bucket]],Table_NFI[Plastic Bucket])</f>
        <v>0</v>
      </c>
      <c r="AH579" s="294">
        <f>IF(NFI_Expiration=1,IF($A579&lt;VLOOKUP(Q$5,NFI,5,0),1,0)*Table_NFI[[#This Row],[Plastic Mat]],Table_NFI[Plastic Mat])*IF(Table_NFI[[#This Row],[Distribution Date]]&gt;"2014-04-01",1,2.5)</f>
        <v>0</v>
      </c>
      <c r="AI579" s="294">
        <f>IF(NFI_Expiration=1,IF($A579&lt;VLOOKUP(R$5,NFI,5,0),1,0)*Table_NFI[[#This Row],[Winter Clothes Adult]],Table_NFI[Winter Clothes Adult])</f>
        <v>0</v>
      </c>
      <c r="AJ579" s="294">
        <f>IF(NFI_Expiration=1,IF($A579&lt;VLOOKUP(S$5,NFI,5,0),1,0)*Table_NFI[[#This Row],[Winter Clothes Children]],Table_NFI[Winter Clothes Children])</f>
        <v>0</v>
      </c>
      <c r="AK579" s="294">
        <f>IF(NFI_Expiration=1,IF($A579&lt;VLOOKUP(T$5,NFI,5,0),1,0)*Table_NFI[[#This Row],[Winter Items Other]],Table_NFI[Winter Items Other])</f>
        <v>0</v>
      </c>
      <c r="AL579" s="294">
        <f>IF(NFI_Expiration=1,IF($A579&lt;VLOOKUP(M$5,NFI,5,0),1,0)*Table_NFI[[#This Row],[Winter Blanket]],Table_NFI[[#This Row],[Winter Blanket]])</f>
        <v>0</v>
      </c>
      <c r="AM579" s="294">
        <f>IF(Table_NFI[[#This Row],[Winter Clothes Adult]]+Table_NFI[[#This Row],[Winter Clothes Children]]+Table_NFI[[#This Row],[Winter Items Other]]+Table_NFI[[#This Row],[Winter Blanket]]&gt;0,1,0)</f>
        <v>1</v>
      </c>
      <c r="AN579" s="331">
        <f>IF(NFI_Expiration=1,IF($A579&lt;VLOOKUP(V$5,NFI,5,0),1,0)*Table_NFI[[#This Row],[Jerry Can]],Table_NFI[Jerry Can])</f>
        <v>0</v>
      </c>
      <c r="AO579" s="331">
        <f>IF(NFI_Expiration=1,IF($A579&lt;VLOOKUP(V$5,NFI,5,0),1,0)*Table_NFI[[#This Row],[Shelter Tool kit]],Table_NFI[Shelter Tool kit])</f>
        <v>0</v>
      </c>
      <c r="AP579" s="331">
        <f>IF(NFI_Expiration=1,IF($A579&lt;VLOOKUP(V$5,NFI,5,0),1,0)*Table_NFI[[#This Row],[Tent]],Table_NFI[Tent])</f>
        <v>0</v>
      </c>
      <c r="AQ579" s="473" t="str">
        <f>IFERROR(VLOOKUP(Table_NFI[[#This Row],[Camp Name]],CL,2,0),"")</f>
        <v>MMR001CMP215</v>
      </c>
      <c r="AR579" s="468">
        <f ca="1">IF(Table_NFI[[#This Row],[Pcode]]="","",IF(OFFSET(CampList[Opening Date],MATCH(Table_NFI[[#This Row],[Pcode]],CampList[CP_Pcode],0)-1,0,1,1)&gt;=NFI_Monitor_Date,1,0))</f>
        <v>0</v>
      </c>
      <c r="AS579" s="473" t="str">
        <f>IFERROR(VLOOKUP(Table_NFI[[#This Row],[Camp Name]],CL,3,0),"")</f>
        <v>Closed</v>
      </c>
      <c r="AT579" s="294" t="str">
        <f ca="1">IF(Table_NFI[[#This Row],[Pcode]]="","",OFFSET(CampList[Priority],MATCH(Table_NFI[[#This Row],[Pcode]],CampList[CP_Pcode],0)-1,0,1,1))</f>
        <v/>
      </c>
      <c r="AU579" s="293" t="str">
        <f>IFERROR(Table_NFI[[#This Row],[Kitchen Set]]/VLOOKUP(Table_NFI[[#This Row],[Camp Name]],CL,4,0),"")</f>
        <v/>
      </c>
      <c r="AV579" s="466"/>
      <c r="AW579" s="469"/>
    </row>
    <row r="580" spans="1:49" s="470" customFormat="1" ht="14.45" customHeight="1" x14ac:dyDescent="0.25">
      <c r="A580" s="297">
        <f t="shared" si="8"/>
        <v>35.766666666666666</v>
      </c>
      <c r="B580" s="465">
        <v>41602</v>
      </c>
      <c r="C580" s="466" t="s">
        <v>905</v>
      </c>
      <c r="D580" s="466" t="s">
        <v>905</v>
      </c>
      <c r="E580" s="466" t="s">
        <v>380</v>
      </c>
      <c r="F580" s="466" t="s">
        <v>151</v>
      </c>
      <c r="G580" s="466" t="s">
        <v>878</v>
      </c>
      <c r="H580" s="291"/>
      <c r="I580" s="291"/>
      <c r="J580" s="291"/>
      <c r="K580" s="291"/>
      <c r="L580" s="292"/>
      <c r="M580" s="292"/>
      <c r="N580" s="292"/>
      <c r="O580" s="292"/>
      <c r="P580" s="294"/>
      <c r="Q580" s="294"/>
      <c r="R580" s="294">
        <v>135</v>
      </c>
      <c r="S580" s="294">
        <v>270</v>
      </c>
      <c r="T580" s="294">
        <v>810</v>
      </c>
      <c r="U580" s="294">
        <v>405</v>
      </c>
      <c r="V580" s="431"/>
      <c r="W580" s="294"/>
      <c r="X580" s="294"/>
      <c r="Y580" s="294">
        <f>IF(NFI_Expiration=1,IF($A580&lt;VLOOKUP(H$5,NFI,5,0),1,0)*Table_NFI[[#This Row],[Hygiene Kit]],Table_NFI[Hygiene Kit])</f>
        <v>0</v>
      </c>
      <c r="Z580" s="294">
        <f>IF(NFI_Expiration=1,IF($A580&lt;VLOOKUP(I$5,NFI,5,0),1,0)*Table_NFI[[#This Row],[NFI Core Kit]],Table_NFI[NFI Core Kit])</f>
        <v>0</v>
      </c>
      <c r="AA580" s="294">
        <f>IF(NFI_Expiration=1,IF($A580&lt;VLOOKUP(J$5,NFI,5,0),1,0)*Table_NFI[[#This Row],[Sanitary Kit]],Table_NFI[Sanitary Kit])</f>
        <v>0</v>
      </c>
      <c r="AB580" s="294">
        <f>IF(NFI_Expiration=1,IF($A580&lt;VLOOKUP(K$5,NFI,5,0),1,0)*Table_NFI[[#This Row],[Mosquito net]],Table_NFI[Mosquito net])</f>
        <v>0</v>
      </c>
      <c r="AC580" s="294">
        <f>IF(NFI_Expiration=1,IF($A580&lt;VLOOKUP(L$5,NFI,5,0),1,0)*Table_NFI[[#This Row],[Tarpaulin]],Table_NFI[[#This Row],[Tarpaulin]])</f>
        <v>0</v>
      </c>
      <c r="AD580" s="294">
        <f>IF(NFI_Expiration=1,IF($A580&lt;VLOOKUP(M$5,NFI,5,0),1,0)*Table_NFI[[#This Row],[Blanket]],Table_NFI[[#This Row],[Blanket]])</f>
        <v>0</v>
      </c>
      <c r="AE580" s="294">
        <f>IF(NFI_Expiration=1,IF($A580&lt;VLOOKUP(N$5,NFI,5,0),1,0)*Table_NFI[[#This Row],[Kitchen Set]],Table_NFI[Kitchen Set])</f>
        <v>0</v>
      </c>
      <c r="AF580" s="294">
        <f>IF(NFI_Expiration=1,IF($A580&lt;VLOOKUP(O$5,NFI,5,0),1,0)*Table_NFI[[#This Row],[Clothes Kit]],Table_NFI[Clothes Kit])</f>
        <v>0</v>
      </c>
      <c r="AG580" s="294">
        <f>IF(NFI_Expiration=1,IF($A580&lt;VLOOKUP(P$5,NFI,5,0),1,0)*Table_NFI[[#This Row],[Plastic Bucket]],Table_NFI[Plastic Bucket])</f>
        <v>0</v>
      </c>
      <c r="AH580" s="294">
        <f>IF(NFI_Expiration=1,IF($A580&lt;VLOOKUP(Q$5,NFI,5,0),1,0)*Table_NFI[[#This Row],[Plastic Mat]],Table_NFI[Plastic Mat])*IF(Table_NFI[[#This Row],[Distribution Date]]&gt;"2014-04-01",1,2.5)</f>
        <v>0</v>
      </c>
      <c r="AI580" s="294">
        <f>IF(NFI_Expiration=1,IF($A580&lt;VLOOKUP(R$5,NFI,5,0),1,0)*Table_NFI[[#This Row],[Winter Clothes Adult]],Table_NFI[Winter Clothes Adult])</f>
        <v>0</v>
      </c>
      <c r="AJ580" s="294">
        <f>IF(NFI_Expiration=1,IF($A580&lt;VLOOKUP(S$5,NFI,5,0),1,0)*Table_NFI[[#This Row],[Winter Clothes Children]],Table_NFI[Winter Clothes Children])</f>
        <v>0</v>
      </c>
      <c r="AK580" s="294">
        <f>IF(NFI_Expiration=1,IF($A580&lt;VLOOKUP(T$5,NFI,5,0),1,0)*Table_NFI[[#This Row],[Winter Items Other]],Table_NFI[Winter Items Other])</f>
        <v>0</v>
      </c>
      <c r="AL580" s="294">
        <f>IF(NFI_Expiration=1,IF($A580&lt;VLOOKUP(M$5,NFI,5,0),1,0)*Table_NFI[[#This Row],[Winter Blanket]],Table_NFI[[#This Row],[Winter Blanket]])</f>
        <v>0</v>
      </c>
      <c r="AM580" s="294">
        <f>IF(Table_NFI[[#This Row],[Winter Clothes Adult]]+Table_NFI[[#This Row],[Winter Clothes Children]]+Table_NFI[[#This Row],[Winter Items Other]]+Table_NFI[[#This Row],[Winter Blanket]]&gt;0,1,0)</f>
        <v>1</v>
      </c>
      <c r="AN580" s="331">
        <f>IF(NFI_Expiration=1,IF($A580&lt;VLOOKUP(V$5,NFI,5,0),1,0)*Table_NFI[[#This Row],[Jerry Can]],Table_NFI[Jerry Can])</f>
        <v>0</v>
      </c>
      <c r="AO580" s="331">
        <f>IF(NFI_Expiration=1,IF($A580&lt;VLOOKUP(V$5,NFI,5,0),1,0)*Table_NFI[[#This Row],[Shelter Tool kit]],Table_NFI[Shelter Tool kit])</f>
        <v>0</v>
      </c>
      <c r="AP580" s="331">
        <f>IF(NFI_Expiration=1,IF($A580&lt;VLOOKUP(V$5,NFI,5,0),1,0)*Table_NFI[[#This Row],[Tent]],Table_NFI[Tent])</f>
        <v>0</v>
      </c>
      <c r="AQ580" s="473" t="str">
        <f>IFERROR(VLOOKUP(Table_NFI[[#This Row],[Camp Name]],CL,2,0),"")</f>
        <v>MMR001CMP214</v>
      </c>
      <c r="AR580" s="468">
        <f ca="1">IF(Table_NFI[[#This Row],[Pcode]]="","",IF(OFFSET(CampList[Opening Date],MATCH(Table_NFI[[#This Row],[Pcode]],CampList[CP_Pcode],0)-1,0,1,1)&gt;=NFI_Monitor_Date,1,0))</f>
        <v>0</v>
      </c>
      <c r="AS580" s="473" t="str">
        <f>IFERROR(VLOOKUP(Table_NFI[[#This Row],[Camp Name]],CL,3,0),"")</f>
        <v>Closed</v>
      </c>
      <c r="AT580" s="294" t="str">
        <f ca="1">IF(Table_NFI[[#This Row],[Pcode]]="","",OFFSET(CampList[Priority],MATCH(Table_NFI[[#This Row],[Pcode]],CampList[CP_Pcode],0)-1,0,1,1))</f>
        <v/>
      </c>
      <c r="AU580" s="293" t="str">
        <f>IFERROR(Table_NFI[[#This Row],[Kitchen Set]]/VLOOKUP(Table_NFI[[#This Row],[Camp Name]],CL,4,0),"")</f>
        <v/>
      </c>
      <c r="AV580" s="466"/>
      <c r="AW580" s="469"/>
    </row>
    <row r="581" spans="1:49" s="470" customFormat="1" ht="14.45" customHeight="1" x14ac:dyDescent="0.25">
      <c r="A581" s="297">
        <f t="shared" si="8"/>
        <v>35.766666666666666</v>
      </c>
      <c r="B581" s="465">
        <v>41602</v>
      </c>
      <c r="C581" s="466" t="s">
        <v>905</v>
      </c>
      <c r="D581" s="466" t="s">
        <v>905</v>
      </c>
      <c r="E581" s="466" t="s">
        <v>380</v>
      </c>
      <c r="F581" s="466" t="s">
        <v>302</v>
      </c>
      <c r="G581" s="466" t="s">
        <v>304</v>
      </c>
      <c r="H581" s="291"/>
      <c r="I581" s="291"/>
      <c r="J581" s="291"/>
      <c r="K581" s="291"/>
      <c r="L581" s="292"/>
      <c r="M581" s="292"/>
      <c r="N581" s="292"/>
      <c r="O581" s="292"/>
      <c r="P581" s="294"/>
      <c r="Q581" s="294"/>
      <c r="R581" s="294">
        <v>45</v>
      </c>
      <c r="S581" s="294">
        <v>90</v>
      </c>
      <c r="T581" s="294">
        <v>270</v>
      </c>
      <c r="U581" s="294">
        <v>135</v>
      </c>
      <c r="V581" s="431"/>
      <c r="W581" s="294"/>
      <c r="X581" s="294"/>
      <c r="Y581" s="294">
        <f>IF(NFI_Expiration=1,IF($A581&lt;VLOOKUP(H$5,NFI,5,0),1,0)*Table_NFI[[#This Row],[Hygiene Kit]],Table_NFI[Hygiene Kit])</f>
        <v>0</v>
      </c>
      <c r="Z581" s="294">
        <f>IF(NFI_Expiration=1,IF($A581&lt;VLOOKUP(I$5,NFI,5,0),1,0)*Table_NFI[[#This Row],[NFI Core Kit]],Table_NFI[NFI Core Kit])</f>
        <v>0</v>
      </c>
      <c r="AA581" s="294">
        <f>IF(NFI_Expiration=1,IF($A581&lt;VLOOKUP(J$5,NFI,5,0),1,0)*Table_NFI[[#This Row],[Sanitary Kit]],Table_NFI[Sanitary Kit])</f>
        <v>0</v>
      </c>
      <c r="AB581" s="294">
        <f>IF(NFI_Expiration=1,IF($A581&lt;VLOOKUP(K$5,NFI,5,0),1,0)*Table_NFI[[#This Row],[Mosquito net]],Table_NFI[Mosquito net])</f>
        <v>0</v>
      </c>
      <c r="AC581" s="294">
        <f>IF(NFI_Expiration=1,IF($A581&lt;VLOOKUP(L$5,NFI,5,0),1,0)*Table_NFI[[#This Row],[Tarpaulin]],Table_NFI[[#This Row],[Tarpaulin]])</f>
        <v>0</v>
      </c>
      <c r="AD581" s="294">
        <f>IF(NFI_Expiration=1,IF($A581&lt;VLOOKUP(M$5,NFI,5,0),1,0)*Table_NFI[[#This Row],[Blanket]],Table_NFI[[#This Row],[Blanket]])</f>
        <v>0</v>
      </c>
      <c r="AE581" s="294">
        <f>IF(NFI_Expiration=1,IF($A581&lt;VLOOKUP(N$5,NFI,5,0),1,0)*Table_NFI[[#This Row],[Kitchen Set]],Table_NFI[Kitchen Set])</f>
        <v>0</v>
      </c>
      <c r="AF581" s="294">
        <f>IF(NFI_Expiration=1,IF($A581&lt;VLOOKUP(O$5,NFI,5,0),1,0)*Table_NFI[[#This Row],[Clothes Kit]],Table_NFI[Clothes Kit])</f>
        <v>0</v>
      </c>
      <c r="AG581" s="294">
        <f>IF(NFI_Expiration=1,IF($A581&lt;VLOOKUP(P$5,NFI,5,0),1,0)*Table_NFI[[#This Row],[Plastic Bucket]],Table_NFI[Plastic Bucket])</f>
        <v>0</v>
      </c>
      <c r="AH581" s="294">
        <f>IF(NFI_Expiration=1,IF($A581&lt;VLOOKUP(Q$5,NFI,5,0),1,0)*Table_NFI[[#This Row],[Plastic Mat]],Table_NFI[Plastic Mat])*IF(Table_NFI[[#This Row],[Distribution Date]]&gt;"2014-04-01",1,2.5)</f>
        <v>0</v>
      </c>
      <c r="AI581" s="294">
        <f>IF(NFI_Expiration=1,IF($A581&lt;VLOOKUP(R$5,NFI,5,0),1,0)*Table_NFI[[#This Row],[Winter Clothes Adult]],Table_NFI[Winter Clothes Adult])</f>
        <v>0</v>
      </c>
      <c r="AJ581" s="294">
        <f>IF(NFI_Expiration=1,IF($A581&lt;VLOOKUP(S$5,NFI,5,0),1,0)*Table_NFI[[#This Row],[Winter Clothes Children]],Table_NFI[Winter Clothes Children])</f>
        <v>0</v>
      </c>
      <c r="AK581" s="294">
        <f>IF(NFI_Expiration=1,IF($A581&lt;VLOOKUP(T$5,NFI,5,0),1,0)*Table_NFI[[#This Row],[Winter Items Other]],Table_NFI[Winter Items Other])</f>
        <v>0</v>
      </c>
      <c r="AL581" s="294">
        <f>IF(NFI_Expiration=1,IF($A581&lt;VLOOKUP(M$5,NFI,5,0),1,0)*Table_NFI[[#This Row],[Winter Blanket]],Table_NFI[[#This Row],[Winter Blanket]])</f>
        <v>0</v>
      </c>
      <c r="AM581" s="294">
        <f>IF(Table_NFI[[#This Row],[Winter Clothes Adult]]+Table_NFI[[#This Row],[Winter Clothes Children]]+Table_NFI[[#This Row],[Winter Items Other]]+Table_NFI[[#This Row],[Winter Blanket]]&gt;0,1,0)</f>
        <v>1</v>
      </c>
      <c r="AN581" s="331">
        <f>IF(NFI_Expiration=1,IF($A581&lt;VLOOKUP(V$5,NFI,5,0),1,0)*Table_NFI[[#This Row],[Jerry Can]],Table_NFI[Jerry Can])</f>
        <v>0</v>
      </c>
      <c r="AO581" s="331">
        <f>IF(NFI_Expiration=1,IF($A581&lt;VLOOKUP(V$5,NFI,5,0),1,0)*Table_NFI[[#This Row],[Shelter Tool kit]],Table_NFI[Shelter Tool kit])</f>
        <v>0</v>
      </c>
      <c r="AP581" s="331">
        <f>IF(NFI_Expiration=1,IF($A581&lt;VLOOKUP(V$5,NFI,5,0),1,0)*Table_NFI[[#This Row],[Tent]],Table_NFI[Tent])</f>
        <v>0</v>
      </c>
      <c r="AQ581" s="473" t="str">
        <f>IFERROR(VLOOKUP(Table_NFI[[#This Row],[Camp Name]],CL,2,0),"")</f>
        <v>MMR001CMP147</v>
      </c>
      <c r="AR581" s="468">
        <f ca="1">IF(Table_NFI[[#This Row],[Pcode]]="","",IF(OFFSET(CampList[Opening Date],MATCH(Table_NFI[[#This Row],[Pcode]],CampList[CP_Pcode],0)-1,0,1,1)&gt;=NFI_Monitor_Date,1,0))</f>
        <v>1</v>
      </c>
      <c r="AS581" s="473" t="str">
        <f>IFERROR(VLOOKUP(Table_NFI[[#This Row],[Camp Name]],CL,3,0),"")</f>
        <v>Open</v>
      </c>
      <c r="AT581" s="294" t="str">
        <f ca="1">IF(Table_NFI[[#This Row],[Pcode]]="","",OFFSET(CampList[Priority],MATCH(Table_NFI[[#This Row],[Pcode]],CampList[CP_Pcode],0)-1,0,1,1))</f>
        <v>P4</v>
      </c>
      <c r="AU581" s="293">
        <f>IFERROR(Table_NFI[[#This Row],[Kitchen Set]]/VLOOKUP(Table_NFI[[#This Row],[Camp Name]],CL,4,0),"")</f>
        <v>0</v>
      </c>
      <c r="AV581" s="466"/>
      <c r="AW581" s="469"/>
    </row>
    <row r="582" spans="1:49" s="470" customFormat="1" x14ac:dyDescent="0.25">
      <c r="A582" s="297">
        <f t="shared" ref="A582:A645" si="9">IF(ISBLANK(B582),"",(Report_Date-B582)/30)</f>
        <v>35.799999999999997</v>
      </c>
      <c r="B582" s="465">
        <v>41601</v>
      </c>
      <c r="C582" s="466" t="s">
        <v>453</v>
      </c>
      <c r="D582" s="466"/>
      <c r="E582" s="466" t="s">
        <v>380</v>
      </c>
      <c r="F582" s="466" t="s">
        <v>310</v>
      </c>
      <c r="G582" s="466" t="s">
        <v>334</v>
      </c>
      <c r="H582" s="291"/>
      <c r="I582" s="291"/>
      <c r="J582" s="291"/>
      <c r="K582" s="291"/>
      <c r="L582" s="292"/>
      <c r="M582" s="292">
        <v>358</v>
      </c>
      <c r="N582" s="292"/>
      <c r="O582" s="292"/>
      <c r="P582" s="294"/>
      <c r="Q582" s="294"/>
      <c r="R582" s="294"/>
      <c r="S582" s="294"/>
      <c r="T582" s="294"/>
      <c r="U582" s="294"/>
      <c r="V582" s="431"/>
      <c r="W582" s="294"/>
      <c r="X582" s="294"/>
      <c r="Y582" s="294">
        <f>IF(NFI_Expiration=1,IF($A582&lt;VLOOKUP(H$5,NFI,5,0),1,0)*Table_NFI[[#This Row],[Hygiene Kit]],Table_NFI[Hygiene Kit])</f>
        <v>0</v>
      </c>
      <c r="Z582" s="294">
        <f>IF(NFI_Expiration=1,IF($A582&lt;VLOOKUP(I$5,NFI,5,0),1,0)*Table_NFI[[#This Row],[NFI Core Kit]],Table_NFI[NFI Core Kit])</f>
        <v>0</v>
      </c>
      <c r="AA582" s="294">
        <f>IF(NFI_Expiration=1,IF($A582&lt;VLOOKUP(J$5,NFI,5,0),1,0)*Table_NFI[[#This Row],[Sanitary Kit]],Table_NFI[Sanitary Kit])</f>
        <v>0</v>
      </c>
      <c r="AB582" s="294">
        <f>IF(NFI_Expiration=1,IF($A582&lt;VLOOKUP(K$5,NFI,5,0),1,0)*Table_NFI[[#This Row],[Mosquito net]],Table_NFI[Mosquito net])</f>
        <v>0</v>
      </c>
      <c r="AC582" s="294">
        <f>IF(NFI_Expiration=1,IF($A582&lt;VLOOKUP(L$5,NFI,5,0),1,0)*Table_NFI[[#This Row],[Tarpaulin]],Table_NFI[[#This Row],[Tarpaulin]])</f>
        <v>0</v>
      </c>
      <c r="AD582" s="294">
        <f>IF(NFI_Expiration=1,IF($A582&lt;VLOOKUP(M$5,NFI,5,0),1,0)*Table_NFI[[#This Row],[Blanket]],Table_NFI[[#This Row],[Blanket]])</f>
        <v>0</v>
      </c>
      <c r="AE582" s="294">
        <f>IF(NFI_Expiration=1,IF($A582&lt;VLOOKUP(N$5,NFI,5,0),1,0)*Table_NFI[[#This Row],[Kitchen Set]],Table_NFI[Kitchen Set])</f>
        <v>0</v>
      </c>
      <c r="AF582" s="294">
        <f>IF(NFI_Expiration=1,IF($A582&lt;VLOOKUP(O$5,NFI,5,0),1,0)*Table_NFI[[#This Row],[Clothes Kit]],Table_NFI[Clothes Kit])</f>
        <v>0</v>
      </c>
      <c r="AG582" s="294">
        <f>IF(NFI_Expiration=1,IF($A582&lt;VLOOKUP(P$5,NFI,5,0),1,0)*Table_NFI[[#This Row],[Plastic Bucket]],Table_NFI[Plastic Bucket])</f>
        <v>0</v>
      </c>
      <c r="AH582" s="294">
        <f>IF(NFI_Expiration=1,IF($A582&lt;VLOOKUP(Q$5,NFI,5,0),1,0)*Table_NFI[[#This Row],[Plastic Mat]],Table_NFI[Plastic Mat])*IF(Table_NFI[[#This Row],[Distribution Date]]&gt;"2014-04-01",1,2.5)</f>
        <v>0</v>
      </c>
      <c r="AI582" s="294">
        <f>IF(NFI_Expiration=1,IF($A582&lt;VLOOKUP(R$5,NFI,5,0),1,0)*Table_NFI[[#This Row],[Winter Clothes Adult]],Table_NFI[Winter Clothes Adult])</f>
        <v>0</v>
      </c>
      <c r="AJ582" s="294">
        <f>IF(NFI_Expiration=1,IF($A582&lt;VLOOKUP(S$5,NFI,5,0),1,0)*Table_NFI[[#This Row],[Winter Clothes Children]],Table_NFI[Winter Clothes Children])</f>
        <v>0</v>
      </c>
      <c r="AK582" s="294">
        <f>IF(NFI_Expiration=1,IF($A582&lt;VLOOKUP(T$5,NFI,5,0),1,0)*Table_NFI[[#This Row],[Winter Items Other]],Table_NFI[Winter Items Other])</f>
        <v>0</v>
      </c>
      <c r="AL582" s="294">
        <f>IF(NFI_Expiration=1,IF($A582&lt;VLOOKUP(M$5,NFI,5,0),1,0)*Table_NFI[[#This Row],[Winter Blanket]],Table_NFI[[#This Row],[Winter Blanket]])</f>
        <v>0</v>
      </c>
      <c r="AM582" s="294">
        <f>IF(Table_NFI[[#This Row],[Winter Clothes Adult]]+Table_NFI[[#This Row],[Winter Clothes Children]]+Table_NFI[[#This Row],[Winter Items Other]]+Table_NFI[[#This Row],[Winter Blanket]]&gt;0,1,0)</f>
        <v>0</v>
      </c>
      <c r="AN582" s="331">
        <f>IF(NFI_Expiration=1,IF($A582&lt;VLOOKUP(V$5,NFI,5,0),1,0)*Table_NFI[[#This Row],[Jerry Can]],Table_NFI[Jerry Can])</f>
        <v>0</v>
      </c>
      <c r="AO582" s="331">
        <f>IF(NFI_Expiration=1,IF($A582&lt;VLOOKUP(V$5,NFI,5,0),1,0)*Table_NFI[[#This Row],[Shelter Tool kit]],Table_NFI[Shelter Tool kit])</f>
        <v>0</v>
      </c>
      <c r="AP582" s="331">
        <f>IF(NFI_Expiration=1,IF($A582&lt;VLOOKUP(V$5,NFI,5,0),1,0)*Table_NFI[[#This Row],[Tent]],Table_NFI[Tent])</f>
        <v>0</v>
      </c>
      <c r="AQ582" s="473" t="str">
        <f>IFERROR(VLOOKUP(Table_NFI[[#This Row],[Camp Name]],CL,2,0),"")</f>
        <v>MMR001CMP113</v>
      </c>
      <c r="AR582" s="468">
        <f ca="1">IF(Table_NFI[[#This Row],[Pcode]]="","",IF(OFFSET(CampList[Opening Date],MATCH(Table_NFI[[#This Row],[Pcode]],CampList[CP_Pcode],0)-1,0,1,1)&gt;=NFI_Monitor_Date,1,0))</f>
        <v>0</v>
      </c>
      <c r="AS582" s="473" t="str">
        <f>IFERROR(VLOOKUP(Table_NFI[[#This Row],[Camp Name]],CL,3,0),"")</f>
        <v>Open</v>
      </c>
      <c r="AT582" s="294" t="str">
        <f ca="1">IF(Table_NFI[[#This Row],[Pcode]]="","",OFFSET(CampList[Priority],MATCH(Table_NFI[[#This Row],[Pcode]],CampList[CP_Pcode],0)-1,0,1,1))</f>
        <v>P1</v>
      </c>
      <c r="AU582" s="293">
        <f>IFERROR(Table_NFI[[#This Row],[Kitchen Set]]/VLOOKUP(Table_NFI[[#This Row],[Camp Name]],CL,4,0),"")</f>
        <v>0</v>
      </c>
      <c r="AV582" s="466" t="s">
        <v>1092</v>
      </c>
      <c r="AW582" s="469"/>
    </row>
    <row r="583" spans="1:49" s="470" customFormat="1" x14ac:dyDescent="0.25">
      <c r="A583" s="297">
        <f t="shared" si="9"/>
        <v>35.866666666666667</v>
      </c>
      <c r="B583" s="465">
        <v>41599</v>
      </c>
      <c r="C583" s="467" t="s">
        <v>452</v>
      </c>
      <c r="D583" s="467" t="s">
        <v>452</v>
      </c>
      <c r="E583" s="466" t="s">
        <v>380</v>
      </c>
      <c r="F583" s="290" t="s">
        <v>5</v>
      </c>
      <c r="G583" s="290" t="s">
        <v>512</v>
      </c>
      <c r="H583" s="291"/>
      <c r="I583" s="291"/>
      <c r="J583" s="291"/>
      <c r="K583" s="291">
        <v>34</v>
      </c>
      <c r="L583" s="292">
        <v>18</v>
      </c>
      <c r="M583" s="292">
        <v>34</v>
      </c>
      <c r="N583" s="292">
        <v>18</v>
      </c>
      <c r="O583" s="292">
        <v>18</v>
      </c>
      <c r="P583" s="294"/>
      <c r="Q583" s="294"/>
      <c r="R583" s="294"/>
      <c r="S583" s="294"/>
      <c r="T583" s="294"/>
      <c r="U583" s="294"/>
      <c r="V583" s="431"/>
      <c r="W583" s="331"/>
      <c r="X583" s="331"/>
      <c r="Y583" s="294">
        <f>IF(NFI_Expiration=1,IF($A583&lt;VLOOKUP(H$5,NFI,5,0),1,0)*Table_NFI[[#This Row],[Hygiene Kit]],Table_NFI[Hygiene Kit])</f>
        <v>0</v>
      </c>
      <c r="Z583" s="294">
        <f>IF(NFI_Expiration=1,IF($A583&lt;VLOOKUP(I$5,NFI,5,0),1,0)*Table_NFI[[#This Row],[NFI Core Kit]],Table_NFI[NFI Core Kit])</f>
        <v>0</v>
      </c>
      <c r="AA583" s="294">
        <f>IF(NFI_Expiration=1,IF($A583&lt;VLOOKUP(J$5,NFI,5,0),1,0)*Table_NFI[[#This Row],[Sanitary Kit]],Table_NFI[Sanitary Kit])</f>
        <v>0</v>
      </c>
      <c r="AB583" s="294">
        <f>IF(NFI_Expiration=1,IF($A583&lt;VLOOKUP(K$5,NFI,5,0),1,0)*Table_NFI[[#This Row],[Mosquito net]],Table_NFI[Mosquito net])</f>
        <v>0</v>
      </c>
      <c r="AC583" s="294">
        <f>IF(NFI_Expiration=1,IF($A583&lt;VLOOKUP(L$5,NFI,5,0),1,0)*Table_NFI[[#This Row],[Tarpaulin]],Table_NFI[[#This Row],[Tarpaulin]])</f>
        <v>0</v>
      </c>
      <c r="AD583" s="294">
        <f>IF(NFI_Expiration=1,IF($A583&lt;VLOOKUP(M$5,NFI,5,0),1,0)*Table_NFI[[#This Row],[Blanket]],Table_NFI[[#This Row],[Blanket]])</f>
        <v>0</v>
      </c>
      <c r="AE583" s="294">
        <f>IF(NFI_Expiration=1,IF($A583&lt;VLOOKUP(N$5,NFI,5,0),1,0)*Table_NFI[[#This Row],[Kitchen Set]],Table_NFI[Kitchen Set])</f>
        <v>0</v>
      </c>
      <c r="AF583" s="294">
        <f>IF(NFI_Expiration=1,IF($A583&lt;VLOOKUP(O$5,NFI,5,0),1,0)*Table_NFI[[#This Row],[Clothes Kit]],Table_NFI[Clothes Kit])</f>
        <v>0</v>
      </c>
      <c r="AG583" s="294">
        <f>IF(NFI_Expiration=1,IF($A583&lt;VLOOKUP(P$5,NFI,5,0),1,0)*Table_NFI[[#This Row],[Plastic Bucket]],Table_NFI[Plastic Bucket])</f>
        <v>0</v>
      </c>
      <c r="AH583" s="294">
        <f>IF(NFI_Expiration=1,IF($A583&lt;VLOOKUP(Q$5,NFI,5,0),1,0)*Table_NFI[[#This Row],[Plastic Mat]],Table_NFI[Plastic Mat])*IF(Table_NFI[[#This Row],[Distribution Date]]&gt;"2014-04-01",1,2.5)</f>
        <v>0</v>
      </c>
      <c r="AI583" s="294">
        <f>IF(NFI_Expiration=1,IF($A583&lt;VLOOKUP(R$5,NFI,5,0),1,0)*Table_NFI[[#This Row],[Winter Clothes Adult]],Table_NFI[Winter Clothes Adult])</f>
        <v>0</v>
      </c>
      <c r="AJ583" s="294">
        <f>IF(NFI_Expiration=1,IF($A583&lt;VLOOKUP(S$5,NFI,5,0),1,0)*Table_NFI[[#This Row],[Winter Clothes Children]],Table_NFI[Winter Clothes Children])</f>
        <v>0</v>
      </c>
      <c r="AK583" s="294">
        <f>IF(NFI_Expiration=1,IF($A583&lt;VLOOKUP(T$5,NFI,5,0),1,0)*Table_NFI[[#This Row],[Winter Items Other]],Table_NFI[Winter Items Other])</f>
        <v>0</v>
      </c>
      <c r="AL583" s="294">
        <f>IF(NFI_Expiration=1,IF($A583&lt;VLOOKUP(M$5,NFI,5,0),1,0)*Table_NFI[[#This Row],[Winter Blanket]],Table_NFI[[#This Row],[Winter Blanket]])</f>
        <v>0</v>
      </c>
      <c r="AM583" s="294">
        <f>IF(Table_NFI[[#This Row],[Winter Clothes Adult]]+Table_NFI[[#This Row],[Winter Clothes Children]]+Table_NFI[[#This Row],[Winter Items Other]]+Table_NFI[[#This Row],[Winter Blanket]]&gt;0,1,0)</f>
        <v>0</v>
      </c>
      <c r="AN583" s="331">
        <f>IF(NFI_Expiration=1,IF($A583&lt;VLOOKUP(V$5,NFI,5,0),1,0)*Table_NFI[[#This Row],[Jerry Can]],Table_NFI[Jerry Can])</f>
        <v>0</v>
      </c>
      <c r="AO583" s="331">
        <f>IF(NFI_Expiration=1,IF($A583&lt;VLOOKUP(V$5,NFI,5,0),1,0)*Table_NFI[[#This Row],[Shelter Tool kit]],Table_NFI[Shelter Tool kit])</f>
        <v>0</v>
      </c>
      <c r="AP583" s="331">
        <f>IF(NFI_Expiration=1,IF($A583&lt;VLOOKUP(V$5,NFI,5,0),1,0)*Table_NFI[[#This Row],[Tent]],Table_NFI[Tent])</f>
        <v>0</v>
      </c>
      <c r="AQ583" s="473" t="str">
        <f>IFERROR(VLOOKUP(Table_NFI[[#This Row],[Camp Name]],CL,2,0),"")</f>
        <v>MMR001CMP194</v>
      </c>
      <c r="AR583" s="468">
        <f ca="1">IF(Table_NFI[[#This Row],[Pcode]]="","",IF(OFFSET(CampList[Opening Date],MATCH(Table_NFI[[#This Row],[Pcode]],CampList[CP_Pcode],0)-1,0,1,1)&gt;=NFI_Monitor_Date,1,0))</f>
        <v>0</v>
      </c>
      <c r="AS583" s="473" t="str">
        <f>IFERROR(VLOOKUP(Table_NFI[[#This Row],[Camp Name]],CL,3,0),"")</f>
        <v>Open</v>
      </c>
      <c r="AT583" s="294" t="str">
        <f ca="1">IF(Table_NFI[[#This Row],[Pcode]]="","",OFFSET(CampList[Priority],MATCH(Table_NFI[[#This Row],[Pcode]],CampList[CP_Pcode],0)-1,0,1,1))</f>
        <v>P4</v>
      </c>
      <c r="AU583" s="293">
        <f>IFERROR(Table_NFI[[#This Row],[Kitchen Set]]/VLOOKUP(Table_NFI[[#This Row],[Camp Name]],CL,4,0),"")</f>
        <v>1.5</v>
      </c>
      <c r="AV583" s="466" t="s">
        <v>1092</v>
      </c>
      <c r="AW583" s="469"/>
    </row>
    <row r="584" spans="1:49" s="470" customFormat="1" ht="14.45" customHeight="1" x14ac:dyDescent="0.25">
      <c r="A584" s="297">
        <f t="shared" si="9"/>
        <v>35.866666666666667</v>
      </c>
      <c r="B584" s="465">
        <v>41599</v>
      </c>
      <c r="C584" s="467" t="s">
        <v>452</v>
      </c>
      <c r="D584" s="467" t="s">
        <v>573</v>
      </c>
      <c r="E584" s="466" t="s">
        <v>380</v>
      </c>
      <c r="F584" s="466" t="s">
        <v>151</v>
      </c>
      <c r="G584" s="290" t="s">
        <v>876</v>
      </c>
      <c r="H584" s="291"/>
      <c r="I584" s="291"/>
      <c r="J584" s="291"/>
      <c r="K584" s="291">
        <v>400</v>
      </c>
      <c r="L584" s="292">
        <v>210</v>
      </c>
      <c r="M584" s="292">
        <v>400</v>
      </c>
      <c r="N584" s="292">
        <v>210</v>
      </c>
      <c r="O584" s="292"/>
      <c r="P584" s="294"/>
      <c r="Q584" s="294">
        <v>210</v>
      </c>
      <c r="R584" s="294"/>
      <c r="S584" s="294"/>
      <c r="T584" s="294"/>
      <c r="U584" s="294"/>
      <c r="V584" s="431"/>
      <c r="W584" s="294"/>
      <c r="X584" s="294"/>
      <c r="Y584" s="294">
        <f>IF(NFI_Expiration=1,IF($A584&lt;VLOOKUP(H$5,NFI,5,0),1,0)*Table_NFI[[#This Row],[Hygiene Kit]],Table_NFI[Hygiene Kit])</f>
        <v>0</v>
      </c>
      <c r="Z584" s="294">
        <f>IF(NFI_Expiration=1,IF($A584&lt;VLOOKUP(I$5,NFI,5,0),1,0)*Table_NFI[[#This Row],[NFI Core Kit]],Table_NFI[NFI Core Kit])</f>
        <v>0</v>
      </c>
      <c r="AA584" s="294">
        <f>IF(NFI_Expiration=1,IF($A584&lt;VLOOKUP(J$5,NFI,5,0),1,0)*Table_NFI[[#This Row],[Sanitary Kit]],Table_NFI[Sanitary Kit])</f>
        <v>0</v>
      </c>
      <c r="AB584" s="294">
        <f>IF(NFI_Expiration=1,IF($A584&lt;VLOOKUP(K$5,NFI,5,0),1,0)*Table_NFI[[#This Row],[Mosquito net]],Table_NFI[Mosquito net])</f>
        <v>0</v>
      </c>
      <c r="AC584" s="294">
        <f>IF(NFI_Expiration=1,IF($A584&lt;VLOOKUP(L$5,NFI,5,0),1,0)*Table_NFI[[#This Row],[Tarpaulin]],Table_NFI[[#This Row],[Tarpaulin]])</f>
        <v>0</v>
      </c>
      <c r="AD584" s="294">
        <f>IF(NFI_Expiration=1,IF($A584&lt;VLOOKUP(M$5,NFI,5,0),1,0)*Table_NFI[[#This Row],[Blanket]],Table_NFI[[#This Row],[Blanket]])</f>
        <v>0</v>
      </c>
      <c r="AE584" s="294">
        <f>IF(NFI_Expiration=1,IF($A584&lt;VLOOKUP(N$5,NFI,5,0),1,0)*Table_NFI[[#This Row],[Kitchen Set]],Table_NFI[Kitchen Set])</f>
        <v>0</v>
      </c>
      <c r="AF584" s="294">
        <f>IF(NFI_Expiration=1,IF($A584&lt;VLOOKUP(O$5,NFI,5,0),1,0)*Table_NFI[[#This Row],[Clothes Kit]],Table_NFI[Clothes Kit])</f>
        <v>0</v>
      </c>
      <c r="AG584" s="294">
        <f>IF(NFI_Expiration=1,IF($A584&lt;VLOOKUP(P$5,NFI,5,0),1,0)*Table_NFI[[#This Row],[Plastic Bucket]],Table_NFI[Plastic Bucket])</f>
        <v>0</v>
      </c>
      <c r="AH584" s="294">
        <f>IF(NFI_Expiration=1,IF($A584&lt;VLOOKUP(Q$5,NFI,5,0),1,0)*Table_NFI[[#This Row],[Plastic Mat]],Table_NFI[Plastic Mat])*IF(Table_NFI[[#This Row],[Distribution Date]]&gt;"2014-04-01",1,2.5)</f>
        <v>0</v>
      </c>
      <c r="AI584" s="294">
        <f>IF(NFI_Expiration=1,IF($A584&lt;VLOOKUP(R$5,NFI,5,0),1,0)*Table_NFI[[#This Row],[Winter Clothes Adult]],Table_NFI[Winter Clothes Adult])</f>
        <v>0</v>
      </c>
      <c r="AJ584" s="294">
        <f>IF(NFI_Expiration=1,IF($A584&lt;VLOOKUP(S$5,NFI,5,0),1,0)*Table_NFI[[#This Row],[Winter Clothes Children]],Table_NFI[Winter Clothes Children])</f>
        <v>0</v>
      </c>
      <c r="AK584" s="294">
        <f>IF(NFI_Expiration=1,IF($A584&lt;VLOOKUP(T$5,NFI,5,0),1,0)*Table_NFI[[#This Row],[Winter Items Other]],Table_NFI[Winter Items Other])</f>
        <v>0</v>
      </c>
      <c r="AL584" s="294">
        <f>IF(NFI_Expiration=1,IF($A584&lt;VLOOKUP(M$5,NFI,5,0),1,0)*Table_NFI[[#This Row],[Winter Blanket]],Table_NFI[[#This Row],[Winter Blanket]])</f>
        <v>0</v>
      </c>
      <c r="AM584" s="294">
        <f>IF(Table_NFI[[#This Row],[Winter Clothes Adult]]+Table_NFI[[#This Row],[Winter Clothes Children]]+Table_NFI[[#This Row],[Winter Items Other]]+Table_NFI[[#This Row],[Winter Blanket]]&gt;0,1,0)</f>
        <v>0</v>
      </c>
      <c r="AN584" s="331">
        <f>IF(NFI_Expiration=1,IF($A584&lt;VLOOKUP(V$5,NFI,5,0),1,0)*Table_NFI[[#This Row],[Jerry Can]],Table_NFI[Jerry Can])</f>
        <v>0</v>
      </c>
      <c r="AO584" s="331">
        <f>IF(NFI_Expiration=1,IF($A584&lt;VLOOKUP(V$5,NFI,5,0),1,0)*Table_NFI[[#This Row],[Shelter Tool kit]],Table_NFI[Shelter Tool kit])</f>
        <v>0</v>
      </c>
      <c r="AP584" s="331">
        <f>IF(NFI_Expiration=1,IF($A584&lt;VLOOKUP(V$5,NFI,5,0),1,0)*Table_NFI[[#This Row],[Tent]],Table_NFI[Tent])</f>
        <v>0</v>
      </c>
      <c r="AQ584" s="473" t="str">
        <f>IFERROR(VLOOKUP(Table_NFI[[#This Row],[Camp Name]],CL,2,0),"")</f>
        <v>MMR001CMP212</v>
      </c>
      <c r="AR584" s="468">
        <f ca="1">IF(Table_NFI[[#This Row],[Pcode]]="","",IF(OFFSET(CampList[Opening Date],MATCH(Table_NFI[[#This Row],[Pcode]],CampList[CP_Pcode],0)-1,0,1,1)&gt;=NFI_Monitor_Date,1,0))</f>
        <v>0</v>
      </c>
      <c r="AS584" s="473" t="str">
        <f>IFERROR(VLOOKUP(Table_NFI[[#This Row],[Camp Name]],CL,3,0),"")</f>
        <v>Closed</v>
      </c>
      <c r="AT584" s="294" t="str">
        <f ca="1">IF(Table_NFI[[#This Row],[Pcode]]="","",OFFSET(CampList[Priority],MATCH(Table_NFI[[#This Row],[Pcode]],CampList[CP_Pcode],0)-1,0,1,1))</f>
        <v/>
      </c>
      <c r="AU584" s="293" t="str">
        <f>IFERROR(Table_NFI[[#This Row],[Kitchen Set]]/VLOOKUP(Table_NFI[[#This Row],[Camp Name]],CL,4,0),"")</f>
        <v/>
      </c>
      <c r="AV584" s="466" t="s">
        <v>1092</v>
      </c>
      <c r="AW584" s="469"/>
    </row>
    <row r="585" spans="1:49" s="470" customFormat="1" ht="14.45" customHeight="1" x14ac:dyDescent="0.25">
      <c r="A585" s="297">
        <f t="shared" si="9"/>
        <v>35.866666666666667</v>
      </c>
      <c r="B585" s="465">
        <v>41599</v>
      </c>
      <c r="C585" s="467" t="s">
        <v>452</v>
      </c>
      <c r="D585" s="467" t="s">
        <v>452</v>
      </c>
      <c r="E585" s="466" t="s">
        <v>380</v>
      </c>
      <c r="F585" s="290" t="s">
        <v>5</v>
      </c>
      <c r="G585" s="290" t="s">
        <v>366</v>
      </c>
      <c r="H585" s="291"/>
      <c r="I585" s="291"/>
      <c r="J585" s="291"/>
      <c r="K585" s="291">
        <v>15</v>
      </c>
      <c r="L585" s="292">
        <v>9</v>
      </c>
      <c r="M585" s="292">
        <v>15</v>
      </c>
      <c r="N585" s="292">
        <v>9</v>
      </c>
      <c r="O585" s="292">
        <v>9</v>
      </c>
      <c r="P585" s="294"/>
      <c r="Q585" s="294"/>
      <c r="R585" s="294"/>
      <c r="S585" s="294"/>
      <c r="T585" s="294"/>
      <c r="U585" s="294"/>
      <c r="V585" s="431"/>
      <c r="W585" s="294"/>
      <c r="X585" s="294"/>
      <c r="Y585" s="294">
        <f>IF(NFI_Expiration=1,IF($A585&lt;VLOOKUP(H$5,NFI,5,0),1,0)*Table_NFI[[#This Row],[Hygiene Kit]],Table_NFI[Hygiene Kit])</f>
        <v>0</v>
      </c>
      <c r="Z585" s="294">
        <f>IF(NFI_Expiration=1,IF($A585&lt;VLOOKUP(I$5,NFI,5,0),1,0)*Table_NFI[[#This Row],[NFI Core Kit]],Table_NFI[NFI Core Kit])</f>
        <v>0</v>
      </c>
      <c r="AA585" s="294">
        <f>IF(NFI_Expiration=1,IF($A585&lt;VLOOKUP(J$5,NFI,5,0),1,0)*Table_NFI[[#This Row],[Sanitary Kit]],Table_NFI[Sanitary Kit])</f>
        <v>0</v>
      </c>
      <c r="AB585" s="294">
        <f>IF(NFI_Expiration=1,IF($A585&lt;VLOOKUP(K$5,NFI,5,0),1,0)*Table_NFI[[#This Row],[Mosquito net]],Table_NFI[Mosquito net])</f>
        <v>0</v>
      </c>
      <c r="AC585" s="294">
        <f>IF(NFI_Expiration=1,IF($A585&lt;VLOOKUP(L$5,NFI,5,0),1,0)*Table_NFI[[#This Row],[Tarpaulin]],Table_NFI[[#This Row],[Tarpaulin]])</f>
        <v>0</v>
      </c>
      <c r="AD585" s="294">
        <f>IF(NFI_Expiration=1,IF($A585&lt;VLOOKUP(M$5,NFI,5,0),1,0)*Table_NFI[[#This Row],[Blanket]],Table_NFI[[#This Row],[Blanket]])</f>
        <v>0</v>
      </c>
      <c r="AE585" s="294">
        <f>IF(NFI_Expiration=1,IF($A585&lt;VLOOKUP(N$5,NFI,5,0),1,0)*Table_NFI[[#This Row],[Kitchen Set]],Table_NFI[Kitchen Set])</f>
        <v>0</v>
      </c>
      <c r="AF585" s="294">
        <f>IF(NFI_Expiration=1,IF($A585&lt;VLOOKUP(O$5,NFI,5,0),1,0)*Table_NFI[[#This Row],[Clothes Kit]],Table_NFI[Clothes Kit])</f>
        <v>0</v>
      </c>
      <c r="AG585" s="294">
        <f>IF(NFI_Expiration=1,IF($A585&lt;VLOOKUP(P$5,NFI,5,0),1,0)*Table_NFI[[#This Row],[Plastic Bucket]],Table_NFI[Plastic Bucket])</f>
        <v>0</v>
      </c>
      <c r="AH585" s="294">
        <f>IF(NFI_Expiration=1,IF($A585&lt;VLOOKUP(Q$5,NFI,5,0),1,0)*Table_NFI[[#This Row],[Plastic Mat]],Table_NFI[Plastic Mat])*IF(Table_NFI[[#This Row],[Distribution Date]]&gt;"2014-04-01",1,2.5)</f>
        <v>0</v>
      </c>
      <c r="AI585" s="294">
        <f>IF(NFI_Expiration=1,IF($A585&lt;VLOOKUP(R$5,NFI,5,0),1,0)*Table_NFI[[#This Row],[Winter Clothes Adult]],Table_NFI[Winter Clothes Adult])</f>
        <v>0</v>
      </c>
      <c r="AJ585" s="294">
        <f>IF(NFI_Expiration=1,IF($A585&lt;VLOOKUP(S$5,NFI,5,0),1,0)*Table_NFI[[#This Row],[Winter Clothes Children]],Table_NFI[Winter Clothes Children])</f>
        <v>0</v>
      </c>
      <c r="AK585" s="294">
        <f>IF(NFI_Expiration=1,IF($A585&lt;VLOOKUP(T$5,NFI,5,0),1,0)*Table_NFI[[#This Row],[Winter Items Other]],Table_NFI[Winter Items Other])</f>
        <v>0</v>
      </c>
      <c r="AL585" s="294">
        <f>IF(NFI_Expiration=1,IF($A585&lt;VLOOKUP(M$5,NFI,5,0),1,0)*Table_NFI[[#This Row],[Winter Blanket]],Table_NFI[[#This Row],[Winter Blanket]])</f>
        <v>0</v>
      </c>
      <c r="AM585" s="294">
        <f>IF(Table_NFI[[#This Row],[Winter Clothes Adult]]+Table_NFI[[#This Row],[Winter Clothes Children]]+Table_NFI[[#This Row],[Winter Items Other]]+Table_NFI[[#This Row],[Winter Blanket]]&gt;0,1,0)</f>
        <v>0</v>
      </c>
      <c r="AN585" s="331">
        <f>IF(NFI_Expiration=1,IF($A585&lt;VLOOKUP(V$5,NFI,5,0),1,0)*Table_NFI[[#This Row],[Jerry Can]],Table_NFI[Jerry Can])</f>
        <v>0</v>
      </c>
      <c r="AO585" s="331">
        <f>IF(NFI_Expiration=1,IF($A585&lt;VLOOKUP(V$5,NFI,5,0),1,0)*Table_NFI[[#This Row],[Shelter Tool kit]],Table_NFI[Shelter Tool kit])</f>
        <v>0</v>
      </c>
      <c r="AP585" s="331">
        <f>IF(NFI_Expiration=1,IF($A585&lt;VLOOKUP(V$5,NFI,5,0),1,0)*Table_NFI[[#This Row],[Tent]],Table_NFI[Tent])</f>
        <v>0</v>
      </c>
      <c r="AQ585" s="473" t="str">
        <f>IFERROR(VLOOKUP(Table_NFI[[#This Row],[Camp Name]],CL,2,0),"")</f>
        <v>MMR001CMP193</v>
      </c>
      <c r="AR585" s="468">
        <f ca="1">IF(Table_NFI[[#This Row],[Pcode]]="","",IF(OFFSET(CampList[Opening Date],MATCH(Table_NFI[[#This Row],[Pcode]],CampList[CP_Pcode],0)-1,0,1,1)&gt;=NFI_Monitor_Date,1,0))</f>
        <v>0</v>
      </c>
      <c r="AS585" s="473" t="str">
        <f>IFERROR(VLOOKUP(Table_NFI[[#This Row],[Camp Name]],CL,3,0),"")</f>
        <v>Open</v>
      </c>
      <c r="AT585" s="294" t="str">
        <f ca="1">IF(Table_NFI[[#This Row],[Pcode]]="","",OFFSET(CampList[Priority],MATCH(Table_NFI[[#This Row],[Pcode]],CampList[CP_Pcode],0)-1,0,1,1))</f>
        <v>P4</v>
      </c>
      <c r="AU585" s="293">
        <f>IFERROR(Table_NFI[[#This Row],[Kitchen Set]]/VLOOKUP(Table_NFI[[#This Row],[Camp Name]],CL,4,0),"")</f>
        <v>0.06</v>
      </c>
      <c r="AV585" s="466" t="s">
        <v>1092</v>
      </c>
      <c r="AW585" s="469"/>
    </row>
    <row r="586" spans="1:49" s="470" customFormat="1" ht="14.45" customHeight="1" x14ac:dyDescent="0.25">
      <c r="A586" s="297">
        <f t="shared" si="9"/>
        <v>35.9</v>
      </c>
      <c r="B586" s="465">
        <v>41598</v>
      </c>
      <c r="C586" s="466" t="s">
        <v>905</v>
      </c>
      <c r="D586" s="466" t="s">
        <v>905</v>
      </c>
      <c r="E586" s="466" t="s">
        <v>380</v>
      </c>
      <c r="F586" s="466" t="s">
        <v>5</v>
      </c>
      <c r="G586" s="466" t="s">
        <v>22</v>
      </c>
      <c r="H586" s="291"/>
      <c r="I586" s="291"/>
      <c r="J586" s="291"/>
      <c r="K586" s="291"/>
      <c r="L586" s="292"/>
      <c r="M586" s="292"/>
      <c r="N586" s="292"/>
      <c r="O586" s="292"/>
      <c r="P586" s="294"/>
      <c r="Q586" s="294"/>
      <c r="R586" s="294"/>
      <c r="S586" s="294">
        <v>19</v>
      </c>
      <c r="T586" s="294">
        <v>38</v>
      </c>
      <c r="U586" s="294">
        <v>19</v>
      </c>
      <c r="V586" s="431"/>
      <c r="W586" s="294"/>
      <c r="X586" s="294"/>
      <c r="Y586" s="294">
        <f>IF(NFI_Expiration=1,IF($A586&lt;VLOOKUP(H$5,NFI,5,0),1,0)*Table_NFI[[#This Row],[Hygiene Kit]],Table_NFI[Hygiene Kit])</f>
        <v>0</v>
      </c>
      <c r="Z586" s="294">
        <f>IF(NFI_Expiration=1,IF($A586&lt;VLOOKUP(I$5,NFI,5,0),1,0)*Table_NFI[[#This Row],[NFI Core Kit]],Table_NFI[NFI Core Kit])</f>
        <v>0</v>
      </c>
      <c r="AA586" s="294">
        <f>IF(NFI_Expiration=1,IF($A586&lt;VLOOKUP(J$5,NFI,5,0),1,0)*Table_NFI[[#This Row],[Sanitary Kit]],Table_NFI[Sanitary Kit])</f>
        <v>0</v>
      </c>
      <c r="AB586" s="294">
        <f>IF(NFI_Expiration=1,IF($A586&lt;VLOOKUP(K$5,NFI,5,0),1,0)*Table_NFI[[#This Row],[Mosquito net]],Table_NFI[Mosquito net])</f>
        <v>0</v>
      </c>
      <c r="AC586" s="294">
        <f>IF(NFI_Expiration=1,IF($A586&lt;VLOOKUP(L$5,NFI,5,0),1,0)*Table_NFI[[#This Row],[Tarpaulin]],Table_NFI[[#This Row],[Tarpaulin]])</f>
        <v>0</v>
      </c>
      <c r="AD586" s="294">
        <f>IF(NFI_Expiration=1,IF($A586&lt;VLOOKUP(M$5,NFI,5,0),1,0)*Table_NFI[[#This Row],[Blanket]],Table_NFI[[#This Row],[Blanket]])</f>
        <v>0</v>
      </c>
      <c r="AE586" s="294">
        <f>IF(NFI_Expiration=1,IF($A586&lt;VLOOKUP(N$5,NFI,5,0),1,0)*Table_NFI[[#This Row],[Kitchen Set]],Table_NFI[Kitchen Set])</f>
        <v>0</v>
      </c>
      <c r="AF586" s="294">
        <f>IF(NFI_Expiration=1,IF($A586&lt;VLOOKUP(O$5,NFI,5,0),1,0)*Table_NFI[[#This Row],[Clothes Kit]],Table_NFI[Clothes Kit])</f>
        <v>0</v>
      </c>
      <c r="AG586" s="294">
        <f>IF(NFI_Expiration=1,IF($A586&lt;VLOOKUP(P$5,NFI,5,0),1,0)*Table_NFI[[#This Row],[Plastic Bucket]],Table_NFI[Plastic Bucket])</f>
        <v>0</v>
      </c>
      <c r="AH586" s="294">
        <f>IF(NFI_Expiration=1,IF($A586&lt;VLOOKUP(Q$5,NFI,5,0),1,0)*Table_NFI[[#This Row],[Plastic Mat]],Table_NFI[Plastic Mat])*IF(Table_NFI[[#This Row],[Distribution Date]]&gt;"2014-04-01",1,2.5)</f>
        <v>0</v>
      </c>
      <c r="AI586" s="294">
        <f>IF(NFI_Expiration=1,IF($A586&lt;VLOOKUP(R$5,NFI,5,0),1,0)*Table_NFI[[#This Row],[Winter Clothes Adult]],Table_NFI[Winter Clothes Adult])</f>
        <v>0</v>
      </c>
      <c r="AJ586" s="294">
        <f>IF(NFI_Expiration=1,IF($A586&lt;VLOOKUP(S$5,NFI,5,0),1,0)*Table_NFI[[#This Row],[Winter Clothes Children]],Table_NFI[Winter Clothes Children])</f>
        <v>0</v>
      </c>
      <c r="AK586" s="294">
        <f>IF(NFI_Expiration=1,IF($A586&lt;VLOOKUP(T$5,NFI,5,0),1,0)*Table_NFI[[#This Row],[Winter Items Other]],Table_NFI[Winter Items Other])</f>
        <v>0</v>
      </c>
      <c r="AL586" s="294">
        <f>IF(NFI_Expiration=1,IF($A586&lt;VLOOKUP(M$5,NFI,5,0),1,0)*Table_NFI[[#This Row],[Winter Blanket]],Table_NFI[[#This Row],[Winter Blanket]])</f>
        <v>0</v>
      </c>
      <c r="AM586" s="294">
        <f>IF(Table_NFI[[#This Row],[Winter Clothes Adult]]+Table_NFI[[#This Row],[Winter Clothes Children]]+Table_NFI[[#This Row],[Winter Items Other]]+Table_NFI[[#This Row],[Winter Blanket]]&gt;0,1,0)</f>
        <v>1</v>
      </c>
      <c r="AN586" s="331">
        <f>IF(NFI_Expiration=1,IF($A586&lt;VLOOKUP(V$5,NFI,5,0),1,0)*Table_NFI[[#This Row],[Jerry Can]],Table_NFI[Jerry Can])</f>
        <v>0</v>
      </c>
      <c r="AO586" s="331">
        <f>IF(NFI_Expiration=1,IF($A586&lt;VLOOKUP(V$5,NFI,5,0),1,0)*Table_NFI[[#This Row],[Shelter Tool kit]],Table_NFI[Shelter Tool kit])</f>
        <v>0</v>
      </c>
      <c r="AP586" s="331">
        <f>IF(NFI_Expiration=1,IF($A586&lt;VLOOKUP(V$5,NFI,5,0),1,0)*Table_NFI[[#This Row],[Tent]],Table_NFI[Tent])</f>
        <v>0</v>
      </c>
      <c r="AQ586" s="473" t="str">
        <f>IFERROR(VLOOKUP(Table_NFI[[#This Row],[Camp Name]],CL,2,0),"")</f>
        <v>MMR001CMP047</v>
      </c>
      <c r="AR586" s="468">
        <f ca="1">IF(Table_NFI[[#This Row],[Pcode]]="","",IF(OFFSET(CampList[Opening Date],MATCH(Table_NFI[[#This Row],[Pcode]],CampList[CP_Pcode],0)-1,0,1,1)&gt;=NFI_Monitor_Date,1,0))</f>
        <v>0</v>
      </c>
      <c r="AS586" s="473" t="str">
        <f>IFERROR(VLOOKUP(Table_NFI[[#This Row],[Camp Name]],CL,3,0),"")</f>
        <v>Open</v>
      </c>
      <c r="AT586" s="294" t="str">
        <f ca="1">IF(Table_NFI[[#This Row],[Pcode]]="","",OFFSET(CampList[Priority],MATCH(Table_NFI[[#This Row],[Pcode]],CampList[CP_Pcode],0)-1,0,1,1))</f>
        <v>P4</v>
      </c>
      <c r="AU586" s="293">
        <f>IFERROR(Table_NFI[[#This Row],[Kitchen Set]]/VLOOKUP(Table_NFI[[#This Row],[Camp Name]],CL,4,0),"")</f>
        <v>0</v>
      </c>
      <c r="AV586" s="466"/>
      <c r="AW586" s="469"/>
    </row>
    <row r="587" spans="1:49" s="470" customFormat="1" ht="14.45" customHeight="1" x14ac:dyDescent="0.25">
      <c r="A587" s="297">
        <f t="shared" si="9"/>
        <v>35.93333333333333</v>
      </c>
      <c r="B587" s="465">
        <v>41597</v>
      </c>
      <c r="C587" s="467" t="s">
        <v>452</v>
      </c>
      <c r="D587" s="467" t="s">
        <v>452</v>
      </c>
      <c r="E587" s="466" t="s">
        <v>380</v>
      </c>
      <c r="F587" s="466" t="s">
        <v>5</v>
      </c>
      <c r="G587" s="290" t="s">
        <v>12</v>
      </c>
      <c r="H587" s="291"/>
      <c r="I587" s="291"/>
      <c r="J587" s="291"/>
      <c r="K587" s="291">
        <v>57</v>
      </c>
      <c r="L587" s="292">
        <v>33</v>
      </c>
      <c r="M587" s="292">
        <v>57</v>
      </c>
      <c r="N587" s="292">
        <v>33</v>
      </c>
      <c r="O587" s="292">
        <v>33</v>
      </c>
      <c r="P587" s="294"/>
      <c r="Q587" s="294"/>
      <c r="R587" s="294"/>
      <c r="S587" s="294"/>
      <c r="T587" s="294"/>
      <c r="U587" s="294"/>
      <c r="V587" s="431"/>
      <c r="W587" s="294"/>
      <c r="X587" s="294"/>
      <c r="Y587" s="294">
        <f>IF(NFI_Expiration=1,IF($A587&lt;VLOOKUP(H$5,NFI,5,0),1,0)*Table_NFI[[#This Row],[Hygiene Kit]],Table_NFI[Hygiene Kit])</f>
        <v>0</v>
      </c>
      <c r="Z587" s="294">
        <f>IF(NFI_Expiration=1,IF($A587&lt;VLOOKUP(I$5,NFI,5,0),1,0)*Table_NFI[[#This Row],[NFI Core Kit]],Table_NFI[NFI Core Kit])</f>
        <v>0</v>
      </c>
      <c r="AA587" s="294">
        <f>IF(NFI_Expiration=1,IF($A587&lt;VLOOKUP(J$5,NFI,5,0),1,0)*Table_NFI[[#This Row],[Sanitary Kit]],Table_NFI[Sanitary Kit])</f>
        <v>0</v>
      </c>
      <c r="AB587" s="294">
        <f>IF(NFI_Expiration=1,IF($A587&lt;VLOOKUP(K$5,NFI,5,0),1,0)*Table_NFI[[#This Row],[Mosquito net]],Table_NFI[Mosquito net])</f>
        <v>0</v>
      </c>
      <c r="AC587" s="294">
        <f>IF(NFI_Expiration=1,IF($A587&lt;VLOOKUP(L$5,NFI,5,0),1,0)*Table_NFI[[#This Row],[Tarpaulin]],Table_NFI[[#This Row],[Tarpaulin]])</f>
        <v>0</v>
      </c>
      <c r="AD587" s="294">
        <f>IF(NFI_Expiration=1,IF($A587&lt;VLOOKUP(M$5,NFI,5,0),1,0)*Table_NFI[[#This Row],[Blanket]],Table_NFI[[#This Row],[Blanket]])</f>
        <v>0</v>
      </c>
      <c r="AE587" s="294">
        <f>IF(NFI_Expiration=1,IF($A587&lt;VLOOKUP(N$5,NFI,5,0),1,0)*Table_NFI[[#This Row],[Kitchen Set]],Table_NFI[Kitchen Set])</f>
        <v>0</v>
      </c>
      <c r="AF587" s="294">
        <f>IF(NFI_Expiration=1,IF($A587&lt;VLOOKUP(O$5,NFI,5,0),1,0)*Table_NFI[[#This Row],[Clothes Kit]],Table_NFI[Clothes Kit])</f>
        <v>0</v>
      </c>
      <c r="AG587" s="294">
        <f>IF(NFI_Expiration=1,IF($A587&lt;VLOOKUP(P$5,NFI,5,0),1,0)*Table_NFI[[#This Row],[Plastic Bucket]],Table_NFI[Plastic Bucket])</f>
        <v>0</v>
      </c>
      <c r="AH587" s="294">
        <f>IF(NFI_Expiration=1,IF($A587&lt;VLOOKUP(Q$5,NFI,5,0),1,0)*Table_NFI[[#This Row],[Plastic Mat]],Table_NFI[Plastic Mat])*IF(Table_NFI[[#This Row],[Distribution Date]]&gt;"2014-04-01",1,2.5)</f>
        <v>0</v>
      </c>
      <c r="AI587" s="294">
        <f>IF(NFI_Expiration=1,IF($A587&lt;VLOOKUP(R$5,NFI,5,0),1,0)*Table_NFI[[#This Row],[Winter Clothes Adult]],Table_NFI[Winter Clothes Adult])</f>
        <v>0</v>
      </c>
      <c r="AJ587" s="294">
        <f>IF(NFI_Expiration=1,IF($A587&lt;VLOOKUP(S$5,NFI,5,0),1,0)*Table_NFI[[#This Row],[Winter Clothes Children]],Table_NFI[Winter Clothes Children])</f>
        <v>0</v>
      </c>
      <c r="AK587" s="294">
        <f>IF(NFI_Expiration=1,IF($A587&lt;VLOOKUP(T$5,NFI,5,0),1,0)*Table_NFI[[#This Row],[Winter Items Other]],Table_NFI[Winter Items Other])</f>
        <v>0</v>
      </c>
      <c r="AL587" s="294">
        <f>IF(NFI_Expiration=1,IF($A587&lt;VLOOKUP(M$5,NFI,5,0),1,0)*Table_NFI[[#This Row],[Winter Blanket]],Table_NFI[[#This Row],[Winter Blanket]])</f>
        <v>0</v>
      </c>
      <c r="AM587" s="294">
        <f>IF(Table_NFI[[#This Row],[Winter Clothes Adult]]+Table_NFI[[#This Row],[Winter Clothes Children]]+Table_NFI[[#This Row],[Winter Items Other]]+Table_NFI[[#This Row],[Winter Blanket]]&gt;0,1,0)</f>
        <v>0</v>
      </c>
      <c r="AN587" s="331">
        <f>IF(NFI_Expiration=1,IF($A587&lt;VLOOKUP(V$5,NFI,5,0),1,0)*Table_NFI[[#This Row],[Jerry Can]],Table_NFI[Jerry Can])</f>
        <v>0</v>
      </c>
      <c r="AO587" s="331">
        <f>IF(NFI_Expiration=1,IF($A587&lt;VLOOKUP(V$5,NFI,5,0),1,0)*Table_NFI[[#This Row],[Shelter Tool kit]],Table_NFI[Shelter Tool kit])</f>
        <v>0</v>
      </c>
      <c r="AP587" s="331">
        <f>IF(NFI_Expiration=1,IF($A587&lt;VLOOKUP(V$5,NFI,5,0),1,0)*Table_NFI[[#This Row],[Tent]],Table_NFI[Tent])</f>
        <v>0</v>
      </c>
      <c r="AQ587" s="473" t="str">
        <f>IFERROR(VLOOKUP(Table_NFI[[#This Row],[Camp Name]],CL,2,0),"")</f>
        <v>MMR001CMP163</v>
      </c>
      <c r="AR587" s="468">
        <f ca="1">IF(Table_NFI[[#This Row],[Pcode]]="","",IF(OFFSET(CampList[Opening Date],MATCH(Table_NFI[[#This Row],[Pcode]],CampList[CP_Pcode],0)-1,0,1,1)&gt;=NFI_Monitor_Date,1,0))</f>
        <v>0</v>
      </c>
      <c r="AS587" s="473" t="str">
        <f>IFERROR(VLOOKUP(Table_NFI[[#This Row],[Camp Name]],CL,3,0),"")</f>
        <v>Open</v>
      </c>
      <c r="AT587" s="294" t="str">
        <f ca="1">IF(Table_NFI[[#This Row],[Pcode]]="","",OFFSET(CampList[Priority],MATCH(Table_NFI[[#This Row],[Pcode]],CampList[CP_Pcode],0)-1,0,1,1))</f>
        <v>P4</v>
      </c>
      <c r="AU587" s="293">
        <f>IFERROR(Table_NFI[[#This Row],[Kitchen Set]]/VLOOKUP(Table_NFI[[#This Row],[Camp Name]],CL,4,0),"")</f>
        <v>0.15639810426540285</v>
      </c>
      <c r="AV587" s="466" t="s">
        <v>1092</v>
      </c>
      <c r="AW587" s="469"/>
    </row>
    <row r="588" spans="1:49" s="470" customFormat="1" ht="14.45" customHeight="1" x14ac:dyDescent="0.25">
      <c r="A588" s="297">
        <f t="shared" si="9"/>
        <v>35.93333333333333</v>
      </c>
      <c r="B588" s="465">
        <v>41597</v>
      </c>
      <c r="C588" s="466" t="s">
        <v>905</v>
      </c>
      <c r="D588" s="466" t="s">
        <v>460</v>
      </c>
      <c r="E588" s="466" t="s">
        <v>380</v>
      </c>
      <c r="F588" s="466" t="s">
        <v>310</v>
      </c>
      <c r="G588" s="466" t="s">
        <v>322</v>
      </c>
      <c r="H588" s="291"/>
      <c r="I588" s="291"/>
      <c r="J588" s="291"/>
      <c r="K588" s="291"/>
      <c r="L588" s="292"/>
      <c r="M588" s="292"/>
      <c r="N588" s="292"/>
      <c r="O588" s="292"/>
      <c r="P588" s="294"/>
      <c r="Q588" s="294"/>
      <c r="R588" s="294">
        <v>613</v>
      </c>
      <c r="S588" s="294">
        <v>1226</v>
      </c>
      <c r="T588" s="294">
        <v>3678</v>
      </c>
      <c r="U588" s="294">
        <v>1839</v>
      </c>
      <c r="V588" s="431"/>
      <c r="W588" s="294"/>
      <c r="X588" s="294"/>
      <c r="Y588" s="294">
        <f>IF(NFI_Expiration=1,IF($A588&lt;VLOOKUP(H$5,NFI,5,0),1,0)*Table_NFI[[#This Row],[Hygiene Kit]],Table_NFI[Hygiene Kit])</f>
        <v>0</v>
      </c>
      <c r="Z588" s="294">
        <f>IF(NFI_Expiration=1,IF($A588&lt;VLOOKUP(I$5,NFI,5,0),1,0)*Table_NFI[[#This Row],[NFI Core Kit]],Table_NFI[NFI Core Kit])</f>
        <v>0</v>
      </c>
      <c r="AA588" s="294">
        <f>IF(NFI_Expiration=1,IF($A588&lt;VLOOKUP(J$5,NFI,5,0),1,0)*Table_NFI[[#This Row],[Sanitary Kit]],Table_NFI[Sanitary Kit])</f>
        <v>0</v>
      </c>
      <c r="AB588" s="294">
        <f>IF(NFI_Expiration=1,IF($A588&lt;VLOOKUP(K$5,NFI,5,0),1,0)*Table_NFI[[#This Row],[Mosquito net]],Table_NFI[Mosquito net])</f>
        <v>0</v>
      </c>
      <c r="AC588" s="294">
        <f>IF(NFI_Expiration=1,IF($A588&lt;VLOOKUP(L$5,NFI,5,0),1,0)*Table_NFI[[#This Row],[Tarpaulin]],Table_NFI[[#This Row],[Tarpaulin]])</f>
        <v>0</v>
      </c>
      <c r="AD588" s="294">
        <f>IF(NFI_Expiration=1,IF($A588&lt;VLOOKUP(M$5,NFI,5,0),1,0)*Table_NFI[[#This Row],[Blanket]],Table_NFI[[#This Row],[Blanket]])</f>
        <v>0</v>
      </c>
      <c r="AE588" s="294">
        <f>IF(NFI_Expiration=1,IF($A588&lt;VLOOKUP(N$5,NFI,5,0),1,0)*Table_NFI[[#This Row],[Kitchen Set]],Table_NFI[Kitchen Set])</f>
        <v>0</v>
      </c>
      <c r="AF588" s="294">
        <f>IF(NFI_Expiration=1,IF($A588&lt;VLOOKUP(O$5,NFI,5,0),1,0)*Table_NFI[[#This Row],[Clothes Kit]],Table_NFI[Clothes Kit])</f>
        <v>0</v>
      </c>
      <c r="AG588" s="294">
        <f>IF(NFI_Expiration=1,IF($A588&lt;VLOOKUP(P$5,NFI,5,0),1,0)*Table_NFI[[#This Row],[Plastic Bucket]],Table_NFI[Plastic Bucket])</f>
        <v>0</v>
      </c>
      <c r="AH588" s="294">
        <f>IF(NFI_Expiration=1,IF($A588&lt;VLOOKUP(Q$5,NFI,5,0),1,0)*Table_NFI[[#This Row],[Plastic Mat]],Table_NFI[Plastic Mat])*IF(Table_NFI[[#This Row],[Distribution Date]]&gt;"2014-04-01",1,2.5)</f>
        <v>0</v>
      </c>
      <c r="AI588" s="294">
        <f>IF(NFI_Expiration=1,IF($A588&lt;VLOOKUP(R$5,NFI,5,0),1,0)*Table_NFI[[#This Row],[Winter Clothes Adult]],Table_NFI[Winter Clothes Adult])</f>
        <v>0</v>
      </c>
      <c r="AJ588" s="294">
        <f>IF(NFI_Expiration=1,IF($A588&lt;VLOOKUP(S$5,NFI,5,0),1,0)*Table_NFI[[#This Row],[Winter Clothes Children]],Table_NFI[Winter Clothes Children])</f>
        <v>0</v>
      </c>
      <c r="AK588" s="294">
        <f>IF(NFI_Expiration=1,IF($A588&lt;VLOOKUP(T$5,NFI,5,0),1,0)*Table_NFI[[#This Row],[Winter Items Other]],Table_NFI[Winter Items Other])</f>
        <v>0</v>
      </c>
      <c r="AL588" s="294">
        <f>IF(NFI_Expiration=1,IF($A588&lt;VLOOKUP(M$5,NFI,5,0),1,0)*Table_NFI[[#This Row],[Winter Blanket]],Table_NFI[[#This Row],[Winter Blanket]])</f>
        <v>0</v>
      </c>
      <c r="AM588" s="294">
        <f>IF(Table_NFI[[#This Row],[Winter Clothes Adult]]+Table_NFI[[#This Row],[Winter Clothes Children]]+Table_NFI[[#This Row],[Winter Items Other]]+Table_NFI[[#This Row],[Winter Blanket]]&gt;0,1,0)</f>
        <v>1</v>
      </c>
      <c r="AN588" s="331">
        <f>IF(NFI_Expiration=1,IF($A588&lt;VLOOKUP(V$5,NFI,5,0),1,0)*Table_NFI[[#This Row],[Jerry Can]],Table_NFI[Jerry Can])</f>
        <v>0</v>
      </c>
      <c r="AO588" s="331">
        <f>IF(NFI_Expiration=1,IF($A588&lt;VLOOKUP(V$5,NFI,5,0),1,0)*Table_NFI[[#This Row],[Shelter Tool kit]],Table_NFI[Shelter Tool kit])</f>
        <v>0</v>
      </c>
      <c r="AP588" s="331">
        <f>IF(NFI_Expiration=1,IF($A588&lt;VLOOKUP(V$5,NFI,5,0),1,0)*Table_NFI[[#This Row],[Tent]],Table_NFI[Tent])</f>
        <v>0</v>
      </c>
      <c r="AQ588" s="473" t="str">
        <f>IFERROR(VLOOKUP(Table_NFI[[#This Row],[Camp Name]],CL,2,0),"")</f>
        <v>MMR001CMP119</v>
      </c>
      <c r="AR588" s="468">
        <f ca="1">IF(Table_NFI[[#This Row],[Pcode]]="","",IF(OFFSET(CampList[Opening Date],MATCH(Table_NFI[[#This Row],[Pcode]],CampList[CP_Pcode],0)-1,0,1,1)&gt;=NFI_Monitor_Date,1,0))</f>
        <v>0</v>
      </c>
      <c r="AS588" s="473" t="str">
        <f>IFERROR(VLOOKUP(Table_NFI[[#This Row],[Camp Name]],CL,3,0),"")</f>
        <v>Open</v>
      </c>
      <c r="AT588" s="294" t="str">
        <f ca="1">IF(Table_NFI[[#This Row],[Pcode]]="","",OFFSET(CampList[Priority],MATCH(Table_NFI[[#This Row],[Pcode]],CampList[CP_Pcode],0)-1,0,1,1))</f>
        <v>P2</v>
      </c>
      <c r="AU588" s="293">
        <f>IFERROR(Table_NFI[[#This Row],[Kitchen Set]]/VLOOKUP(Table_NFI[[#This Row],[Camp Name]],CL,4,0),"")</f>
        <v>0</v>
      </c>
      <c r="AV588" s="466"/>
      <c r="AW588" s="469"/>
    </row>
    <row r="589" spans="1:49" s="470" customFormat="1" ht="14.45" customHeight="1" x14ac:dyDescent="0.25">
      <c r="A589" s="297">
        <f t="shared" si="9"/>
        <v>35.93333333333333</v>
      </c>
      <c r="B589" s="465">
        <v>41597</v>
      </c>
      <c r="C589" s="467" t="s">
        <v>452</v>
      </c>
      <c r="D589" s="467" t="s">
        <v>452</v>
      </c>
      <c r="E589" s="466" t="s">
        <v>380</v>
      </c>
      <c r="F589" s="466" t="s">
        <v>5</v>
      </c>
      <c r="G589" s="290" t="s">
        <v>22</v>
      </c>
      <c r="H589" s="291"/>
      <c r="I589" s="291"/>
      <c r="J589" s="291">
        <v>40</v>
      </c>
      <c r="K589" s="291">
        <v>38</v>
      </c>
      <c r="L589" s="292">
        <v>20</v>
      </c>
      <c r="M589" s="292">
        <v>38</v>
      </c>
      <c r="N589" s="292">
        <v>20</v>
      </c>
      <c r="O589" s="292">
        <v>20</v>
      </c>
      <c r="P589" s="294"/>
      <c r="Q589" s="294"/>
      <c r="R589" s="294"/>
      <c r="S589" s="294"/>
      <c r="T589" s="294"/>
      <c r="U589" s="294"/>
      <c r="V589" s="431"/>
      <c r="W589" s="294"/>
      <c r="X589" s="294"/>
      <c r="Y589" s="294">
        <f>IF(NFI_Expiration=1,IF($A589&lt;VLOOKUP(H$5,NFI,5,0),1,0)*Table_NFI[[#This Row],[Hygiene Kit]],Table_NFI[Hygiene Kit])</f>
        <v>0</v>
      </c>
      <c r="Z589" s="294">
        <f>IF(NFI_Expiration=1,IF($A589&lt;VLOOKUP(I$5,NFI,5,0),1,0)*Table_NFI[[#This Row],[NFI Core Kit]],Table_NFI[NFI Core Kit])</f>
        <v>0</v>
      </c>
      <c r="AA589" s="294">
        <f>IF(NFI_Expiration=1,IF($A589&lt;VLOOKUP(J$5,NFI,5,0),1,0)*Table_NFI[[#This Row],[Sanitary Kit]],Table_NFI[Sanitary Kit])</f>
        <v>0</v>
      </c>
      <c r="AB589" s="294">
        <f>IF(NFI_Expiration=1,IF($A589&lt;VLOOKUP(K$5,NFI,5,0),1,0)*Table_NFI[[#This Row],[Mosquito net]],Table_NFI[Mosquito net])</f>
        <v>0</v>
      </c>
      <c r="AC589" s="294">
        <f>IF(NFI_Expiration=1,IF($A589&lt;VLOOKUP(L$5,NFI,5,0),1,0)*Table_NFI[[#This Row],[Tarpaulin]],Table_NFI[[#This Row],[Tarpaulin]])</f>
        <v>0</v>
      </c>
      <c r="AD589" s="294">
        <f>IF(NFI_Expiration=1,IF($A589&lt;VLOOKUP(M$5,NFI,5,0),1,0)*Table_NFI[[#This Row],[Blanket]],Table_NFI[[#This Row],[Blanket]])</f>
        <v>0</v>
      </c>
      <c r="AE589" s="294">
        <f>IF(NFI_Expiration=1,IF($A589&lt;VLOOKUP(N$5,NFI,5,0),1,0)*Table_NFI[[#This Row],[Kitchen Set]],Table_NFI[Kitchen Set])</f>
        <v>0</v>
      </c>
      <c r="AF589" s="294">
        <f>IF(NFI_Expiration=1,IF($A589&lt;VLOOKUP(O$5,NFI,5,0),1,0)*Table_NFI[[#This Row],[Clothes Kit]],Table_NFI[Clothes Kit])</f>
        <v>0</v>
      </c>
      <c r="AG589" s="294">
        <f>IF(NFI_Expiration=1,IF($A589&lt;VLOOKUP(P$5,NFI,5,0),1,0)*Table_NFI[[#This Row],[Plastic Bucket]],Table_NFI[Plastic Bucket])</f>
        <v>0</v>
      </c>
      <c r="AH589" s="294">
        <f>IF(NFI_Expiration=1,IF($A589&lt;VLOOKUP(Q$5,NFI,5,0),1,0)*Table_NFI[[#This Row],[Plastic Mat]],Table_NFI[Plastic Mat])*IF(Table_NFI[[#This Row],[Distribution Date]]&gt;"2014-04-01",1,2.5)</f>
        <v>0</v>
      </c>
      <c r="AI589" s="294">
        <f>IF(NFI_Expiration=1,IF($A589&lt;VLOOKUP(R$5,NFI,5,0),1,0)*Table_NFI[[#This Row],[Winter Clothes Adult]],Table_NFI[Winter Clothes Adult])</f>
        <v>0</v>
      </c>
      <c r="AJ589" s="294">
        <f>IF(NFI_Expiration=1,IF($A589&lt;VLOOKUP(S$5,NFI,5,0),1,0)*Table_NFI[[#This Row],[Winter Clothes Children]],Table_NFI[Winter Clothes Children])</f>
        <v>0</v>
      </c>
      <c r="AK589" s="294">
        <f>IF(NFI_Expiration=1,IF($A589&lt;VLOOKUP(T$5,NFI,5,0),1,0)*Table_NFI[[#This Row],[Winter Items Other]],Table_NFI[Winter Items Other])</f>
        <v>0</v>
      </c>
      <c r="AL589" s="294">
        <f>IF(NFI_Expiration=1,IF($A589&lt;VLOOKUP(M$5,NFI,5,0),1,0)*Table_NFI[[#This Row],[Winter Blanket]],Table_NFI[[#This Row],[Winter Blanket]])</f>
        <v>0</v>
      </c>
      <c r="AM589" s="294">
        <f>IF(Table_NFI[[#This Row],[Winter Clothes Adult]]+Table_NFI[[#This Row],[Winter Clothes Children]]+Table_NFI[[#This Row],[Winter Items Other]]+Table_NFI[[#This Row],[Winter Blanket]]&gt;0,1,0)</f>
        <v>0</v>
      </c>
      <c r="AN589" s="331">
        <f>IF(NFI_Expiration=1,IF($A589&lt;VLOOKUP(V$5,NFI,5,0),1,0)*Table_NFI[[#This Row],[Jerry Can]],Table_NFI[Jerry Can])</f>
        <v>0</v>
      </c>
      <c r="AO589" s="331">
        <f>IF(NFI_Expiration=1,IF($A589&lt;VLOOKUP(V$5,NFI,5,0),1,0)*Table_NFI[[#This Row],[Shelter Tool kit]],Table_NFI[Shelter Tool kit])</f>
        <v>0</v>
      </c>
      <c r="AP589" s="331">
        <f>IF(NFI_Expiration=1,IF($A589&lt;VLOOKUP(V$5,NFI,5,0),1,0)*Table_NFI[[#This Row],[Tent]],Table_NFI[Tent])</f>
        <v>0</v>
      </c>
      <c r="AQ589" s="473" t="str">
        <f>IFERROR(VLOOKUP(Table_NFI[[#This Row],[Camp Name]],CL,2,0),"")</f>
        <v>MMR001CMP047</v>
      </c>
      <c r="AR589" s="468">
        <f ca="1">IF(Table_NFI[[#This Row],[Pcode]]="","",IF(OFFSET(CampList[Opening Date],MATCH(Table_NFI[[#This Row],[Pcode]],CampList[CP_Pcode],0)-1,0,1,1)&gt;=NFI_Monitor_Date,1,0))</f>
        <v>0</v>
      </c>
      <c r="AS589" s="473" t="str">
        <f>IFERROR(VLOOKUP(Table_NFI[[#This Row],[Camp Name]],CL,3,0),"")</f>
        <v>Open</v>
      </c>
      <c r="AT589" s="294" t="str">
        <f ca="1">IF(Table_NFI[[#This Row],[Pcode]]="","",OFFSET(CampList[Priority],MATCH(Table_NFI[[#This Row],[Pcode]],CampList[CP_Pcode],0)-1,0,1,1))</f>
        <v>P4</v>
      </c>
      <c r="AU589" s="293">
        <f>IFERROR(Table_NFI[[#This Row],[Kitchen Set]]/VLOOKUP(Table_NFI[[#This Row],[Camp Name]],CL,4,0),"")</f>
        <v>3.1948881789137379E-2</v>
      </c>
      <c r="AV589" s="466" t="s">
        <v>1092</v>
      </c>
      <c r="AW589" s="469"/>
    </row>
    <row r="590" spans="1:49" s="470" customFormat="1" ht="14.45" customHeight="1" x14ac:dyDescent="0.25">
      <c r="A590" s="297">
        <f t="shared" si="9"/>
        <v>35.93333333333333</v>
      </c>
      <c r="B590" s="465">
        <v>41597</v>
      </c>
      <c r="C590" s="467" t="s">
        <v>452</v>
      </c>
      <c r="D590" s="467" t="s">
        <v>452</v>
      </c>
      <c r="E590" s="466" t="s">
        <v>380</v>
      </c>
      <c r="F590" s="466" t="s">
        <v>5</v>
      </c>
      <c r="G590" s="290" t="s">
        <v>869</v>
      </c>
      <c r="H590" s="291"/>
      <c r="I590" s="291"/>
      <c r="J590" s="291"/>
      <c r="K590" s="291">
        <v>13</v>
      </c>
      <c r="L590" s="292">
        <v>9</v>
      </c>
      <c r="M590" s="292">
        <v>13</v>
      </c>
      <c r="N590" s="292">
        <v>9</v>
      </c>
      <c r="O590" s="292">
        <v>9</v>
      </c>
      <c r="P590" s="294"/>
      <c r="Q590" s="294"/>
      <c r="R590" s="294"/>
      <c r="S590" s="294"/>
      <c r="T590" s="294"/>
      <c r="U590" s="294"/>
      <c r="V590" s="431"/>
      <c r="W590" s="294"/>
      <c r="X590" s="294"/>
      <c r="Y590" s="294">
        <f>IF(NFI_Expiration=1,IF($A590&lt;VLOOKUP(H$5,NFI,5,0),1,0)*Table_NFI[[#This Row],[Hygiene Kit]],Table_NFI[Hygiene Kit])</f>
        <v>0</v>
      </c>
      <c r="Z590" s="294">
        <f>IF(NFI_Expiration=1,IF($A590&lt;VLOOKUP(I$5,NFI,5,0),1,0)*Table_NFI[[#This Row],[NFI Core Kit]],Table_NFI[NFI Core Kit])</f>
        <v>0</v>
      </c>
      <c r="AA590" s="294">
        <f>IF(NFI_Expiration=1,IF($A590&lt;VLOOKUP(J$5,NFI,5,0),1,0)*Table_NFI[[#This Row],[Sanitary Kit]],Table_NFI[Sanitary Kit])</f>
        <v>0</v>
      </c>
      <c r="AB590" s="294">
        <f>IF(NFI_Expiration=1,IF($A590&lt;VLOOKUP(K$5,NFI,5,0),1,0)*Table_NFI[[#This Row],[Mosquito net]],Table_NFI[Mosquito net])</f>
        <v>0</v>
      </c>
      <c r="AC590" s="294">
        <f>IF(NFI_Expiration=1,IF($A590&lt;VLOOKUP(L$5,NFI,5,0),1,0)*Table_NFI[[#This Row],[Tarpaulin]],Table_NFI[[#This Row],[Tarpaulin]])</f>
        <v>0</v>
      </c>
      <c r="AD590" s="294">
        <f>IF(NFI_Expiration=1,IF($A590&lt;VLOOKUP(M$5,NFI,5,0),1,0)*Table_NFI[[#This Row],[Blanket]],Table_NFI[[#This Row],[Blanket]])</f>
        <v>0</v>
      </c>
      <c r="AE590" s="294">
        <f>IF(NFI_Expiration=1,IF($A590&lt;VLOOKUP(N$5,NFI,5,0),1,0)*Table_NFI[[#This Row],[Kitchen Set]],Table_NFI[Kitchen Set])</f>
        <v>0</v>
      </c>
      <c r="AF590" s="294">
        <f>IF(NFI_Expiration=1,IF($A590&lt;VLOOKUP(O$5,NFI,5,0),1,0)*Table_NFI[[#This Row],[Clothes Kit]],Table_NFI[Clothes Kit])</f>
        <v>0</v>
      </c>
      <c r="AG590" s="294">
        <f>IF(NFI_Expiration=1,IF($A590&lt;VLOOKUP(P$5,NFI,5,0),1,0)*Table_NFI[[#This Row],[Plastic Bucket]],Table_NFI[Plastic Bucket])</f>
        <v>0</v>
      </c>
      <c r="AH590" s="294">
        <f>IF(NFI_Expiration=1,IF($A590&lt;VLOOKUP(Q$5,NFI,5,0),1,0)*Table_NFI[[#This Row],[Plastic Mat]],Table_NFI[Plastic Mat])*IF(Table_NFI[[#This Row],[Distribution Date]]&gt;"2014-04-01",1,2.5)</f>
        <v>0</v>
      </c>
      <c r="AI590" s="294">
        <f>IF(NFI_Expiration=1,IF($A590&lt;VLOOKUP(R$5,NFI,5,0),1,0)*Table_NFI[[#This Row],[Winter Clothes Adult]],Table_NFI[Winter Clothes Adult])</f>
        <v>0</v>
      </c>
      <c r="AJ590" s="294">
        <f>IF(NFI_Expiration=1,IF($A590&lt;VLOOKUP(S$5,NFI,5,0),1,0)*Table_NFI[[#This Row],[Winter Clothes Children]],Table_NFI[Winter Clothes Children])</f>
        <v>0</v>
      </c>
      <c r="AK590" s="294">
        <f>IF(NFI_Expiration=1,IF($A590&lt;VLOOKUP(T$5,NFI,5,0),1,0)*Table_NFI[[#This Row],[Winter Items Other]],Table_NFI[Winter Items Other])</f>
        <v>0</v>
      </c>
      <c r="AL590" s="294">
        <f>IF(NFI_Expiration=1,IF($A590&lt;VLOOKUP(M$5,NFI,5,0),1,0)*Table_NFI[[#This Row],[Winter Blanket]],Table_NFI[[#This Row],[Winter Blanket]])</f>
        <v>0</v>
      </c>
      <c r="AM590" s="294">
        <f>IF(Table_NFI[[#This Row],[Winter Clothes Adult]]+Table_NFI[[#This Row],[Winter Clothes Children]]+Table_NFI[[#This Row],[Winter Items Other]]+Table_NFI[[#This Row],[Winter Blanket]]&gt;0,1,0)</f>
        <v>0</v>
      </c>
      <c r="AN590" s="331">
        <f>IF(NFI_Expiration=1,IF($A590&lt;VLOOKUP(V$5,NFI,5,0),1,0)*Table_NFI[[#This Row],[Jerry Can]],Table_NFI[Jerry Can])</f>
        <v>0</v>
      </c>
      <c r="AO590" s="331">
        <f>IF(NFI_Expiration=1,IF($A590&lt;VLOOKUP(V$5,NFI,5,0),1,0)*Table_NFI[[#This Row],[Shelter Tool kit]],Table_NFI[Shelter Tool kit])</f>
        <v>0</v>
      </c>
      <c r="AP590" s="331">
        <f>IF(NFI_Expiration=1,IF($A590&lt;VLOOKUP(V$5,NFI,5,0),1,0)*Table_NFI[[#This Row],[Tent]],Table_NFI[Tent])</f>
        <v>0</v>
      </c>
      <c r="AQ590" s="473" t="str">
        <f>IFERROR(VLOOKUP(Table_NFI[[#This Row],[Camp Name]],CL,2,0),"")</f>
        <v>MMR001CMP211</v>
      </c>
      <c r="AR590" s="468">
        <f ca="1">IF(Table_NFI[[#This Row],[Pcode]]="","",IF(OFFSET(CampList[Opening Date],MATCH(Table_NFI[[#This Row],[Pcode]],CampList[CP_Pcode],0)-1,0,1,1)&gt;=NFI_Monitor_Date,1,0))</f>
        <v>0</v>
      </c>
      <c r="AS590" s="473" t="str">
        <f>IFERROR(VLOOKUP(Table_NFI[[#This Row],[Camp Name]],CL,3,0),"")</f>
        <v>Closed</v>
      </c>
      <c r="AT590" s="294" t="str">
        <f ca="1">IF(Table_NFI[[#This Row],[Pcode]]="","",OFFSET(CampList[Priority],MATCH(Table_NFI[[#This Row],[Pcode]],CampList[CP_Pcode],0)-1,0,1,1))</f>
        <v/>
      </c>
      <c r="AU590" s="293" t="str">
        <f>IFERROR(Table_NFI[[#This Row],[Kitchen Set]]/VLOOKUP(Table_NFI[[#This Row],[Camp Name]],CL,4,0),"")</f>
        <v/>
      </c>
      <c r="AV590" s="466" t="s">
        <v>1092</v>
      </c>
      <c r="AW590" s="469"/>
    </row>
    <row r="591" spans="1:49" s="470" customFormat="1" x14ac:dyDescent="0.25">
      <c r="A591" s="297">
        <f t="shared" si="9"/>
        <v>35.966666666666669</v>
      </c>
      <c r="B591" s="465">
        <v>41596</v>
      </c>
      <c r="C591" s="466" t="s">
        <v>453</v>
      </c>
      <c r="D591" s="466"/>
      <c r="E591" s="466" t="s">
        <v>380</v>
      </c>
      <c r="F591" s="466" t="s">
        <v>185</v>
      </c>
      <c r="G591" s="466" t="s">
        <v>190</v>
      </c>
      <c r="H591" s="291"/>
      <c r="I591" s="291"/>
      <c r="J591" s="291"/>
      <c r="K591" s="291"/>
      <c r="L591" s="292"/>
      <c r="M591" s="292">
        <v>395</v>
      </c>
      <c r="N591" s="292"/>
      <c r="O591" s="292"/>
      <c r="P591" s="294"/>
      <c r="Q591" s="294"/>
      <c r="R591" s="294"/>
      <c r="S591" s="294"/>
      <c r="T591" s="294"/>
      <c r="U591" s="294"/>
      <c r="V591" s="431"/>
      <c r="W591" s="294"/>
      <c r="X591" s="294"/>
      <c r="Y591" s="294">
        <f>IF(NFI_Expiration=1,IF($A591&lt;VLOOKUP(H$5,NFI,5,0),1,0)*Table_NFI[[#This Row],[Hygiene Kit]],Table_NFI[Hygiene Kit])</f>
        <v>0</v>
      </c>
      <c r="Z591" s="294">
        <f>IF(NFI_Expiration=1,IF($A591&lt;VLOOKUP(I$5,NFI,5,0),1,0)*Table_NFI[[#This Row],[NFI Core Kit]],Table_NFI[NFI Core Kit])</f>
        <v>0</v>
      </c>
      <c r="AA591" s="294">
        <f>IF(NFI_Expiration=1,IF($A591&lt;VLOOKUP(J$5,NFI,5,0),1,0)*Table_NFI[[#This Row],[Sanitary Kit]],Table_NFI[Sanitary Kit])</f>
        <v>0</v>
      </c>
      <c r="AB591" s="294">
        <f>IF(NFI_Expiration=1,IF($A591&lt;VLOOKUP(K$5,NFI,5,0),1,0)*Table_NFI[[#This Row],[Mosquito net]],Table_NFI[Mosquito net])</f>
        <v>0</v>
      </c>
      <c r="AC591" s="294">
        <f>IF(NFI_Expiration=1,IF($A591&lt;VLOOKUP(L$5,NFI,5,0),1,0)*Table_NFI[[#This Row],[Tarpaulin]],Table_NFI[[#This Row],[Tarpaulin]])</f>
        <v>0</v>
      </c>
      <c r="AD591" s="294">
        <f>IF(NFI_Expiration=1,IF($A591&lt;VLOOKUP(M$5,NFI,5,0),1,0)*Table_NFI[[#This Row],[Blanket]],Table_NFI[[#This Row],[Blanket]])</f>
        <v>0</v>
      </c>
      <c r="AE591" s="294">
        <f>IF(NFI_Expiration=1,IF($A591&lt;VLOOKUP(N$5,NFI,5,0),1,0)*Table_NFI[[#This Row],[Kitchen Set]],Table_NFI[Kitchen Set])</f>
        <v>0</v>
      </c>
      <c r="AF591" s="294">
        <f>IF(NFI_Expiration=1,IF($A591&lt;VLOOKUP(O$5,NFI,5,0),1,0)*Table_NFI[[#This Row],[Clothes Kit]],Table_NFI[Clothes Kit])</f>
        <v>0</v>
      </c>
      <c r="AG591" s="294">
        <f>IF(NFI_Expiration=1,IF($A591&lt;VLOOKUP(P$5,NFI,5,0),1,0)*Table_NFI[[#This Row],[Plastic Bucket]],Table_NFI[Plastic Bucket])</f>
        <v>0</v>
      </c>
      <c r="AH591" s="294">
        <f>IF(NFI_Expiration=1,IF($A591&lt;VLOOKUP(Q$5,NFI,5,0),1,0)*Table_NFI[[#This Row],[Plastic Mat]],Table_NFI[Plastic Mat])*IF(Table_NFI[[#This Row],[Distribution Date]]&gt;"2014-04-01",1,2.5)</f>
        <v>0</v>
      </c>
      <c r="AI591" s="294">
        <f>IF(NFI_Expiration=1,IF($A591&lt;VLOOKUP(R$5,NFI,5,0),1,0)*Table_NFI[[#This Row],[Winter Clothes Adult]],Table_NFI[Winter Clothes Adult])</f>
        <v>0</v>
      </c>
      <c r="AJ591" s="294">
        <f>IF(NFI_Expiration=1,IF($A591&lt;VLOOKUP(S$5,NFI,5,0),1,0)*Table_NFI[[#This Row],[Winter Clothes Children]],Table_NFI[Winter Clothes Children])</f>
        <v>0</v>
      </c>
      <c r="AK591" s="294">
        <f>IF(NFI_Expiration=1,IF($A591&lt;VLOOKUP(T$5,NFI,5,0),1,0)*Table_NFI[[#This Row],[Winter Items Other]],Table_NFI[Winter Items Other])</f>
        <v>0</v>
      </c>
      <c r="AL591" s="294">
        <f>IF(NFI_Expiration=1,IF($A591&lt;VLOOKUP(M$5,NFI,5,0),1,0)*Table_NFI[[#This Row],[Winter Blanket]],Table_NFI[[#This Row],[Winter Blanket]])</f>
        <v>0</v>
      </c>
      <c r="AM591" s="294">
        <f>IF(Table_NFI[[#This Row],[Winter Clothes Adult]]+Table_NFI[[#This Row],[Winter Clothes Children]]+Table_NFI[[#This Row],[Winter Items Other]]+Table_NFI[[#This Row],[Winter Blanket]]&gt;0,1,0)</f>
        <v>0</v>
      </c>
      <c r="AN591" s="331">
        <f>IF(NFI_Expiration=1,IF($A591&lt;VLOOKUP(V$5,NFI,5,0),1,0)*Table_NFI[[#This Row],[Jerry Can]],Table_NFI[Jerry Can])</f>
        <v>0</v>
      </c>
      <c r="AO591" s="331">
        <f>IF(NFI_Expiration=1,IF($A591&lt;VLOOKUP(V$5,NFI,5,0),1,0)*Table_NFI[[#This Row],[Shelter Tool kit]],Table_NFI[Shelter Tool kit])</f>
        <v>0</v>
      </c>
      <c r="AP591" s="331">
        <f>IF(NFI_Expiration=1,IF($A591&lt;VLOOKUP(V$5,NFI,5,0),1,0)*Table_NFI[[#This Row],[Tent]],Table_NFI[Tent])</f>
        <v>0</v>
      </c>
      <c r="AQ591" s="473" t="str">
        <f>IFERROR(VLOOKUP(Table_NFI[[#This Row],[Camp Name]],CL,2,0),"")</f>
        <v>MMR001CMP070</v>
      </c>
      <c r="AR591" s="468">
        <f ca="1">IF(Table_NFI[[#This Row],[Pcode]]="","",IF(OFFSET(CampList[Opening Date],MATCH(Table_NFI[[#This Row],[Pcode]],CampList[CP_Pcode],0)-1,0,1,1)&gt;=NFI_Monitor_Date,1,0))</f>
        <v>0</v>
      </c>
      <c r="AS591" s="473" t="str">
        <f>IFERROR(VLOOKUP(Table_NFI[[#This Row],[Camp Name]],CL,3,0),"")</f>
        <v>Open</v>
      </c>
      <c r="AT591" s="294" t="str">
        <f ca="1">IF(Table_NFI[[#This Row],[Pcode]]="","",OFFSET(CampList[Priority],MATCH(Table_NFI[[#This Row],[Pcode]],CampList[CP_Pcode],0)-1,0,1,1))</f>
        <v>P3</v>
      </c>
      <c r="AU591" s="293">
        <f>IFERROR(Table_NFI[[#This Row],[Kitchen Set]]/VLOOKUP(Table_NFI[[#This Row],[Camp Name]],CL,4,0),"")</f>
        <v>0</v>
      </c>
      <c r="AV591" s="466" t="s">
        <v>1092</v>
      </c>
      <c r="AW591" s="469"/>
    </row>
    <row r="592" spans="1:49" s="470" customFormat="1" x14ac:dyDescent="0.25">
      <c r="A592" s="297">
        <f t="shared" si="9"/>
        <v>36</v>
      </c>
      <c r="B592" s="465">
        <v>41595</v>
      </c>
      <c r="C592" s="466" t="s">
        <v>453</v>
      </c>
      <c r="D592" s="466"/>
      <c r="E592" s="466" t="s">
        <v>380</v>
      </c>
      <c r="F592" s="466" t="s">
        <v>185</v>
      </c>
      <c r="G592" s="466" t="s">
        <v>223</v>
      </c>
      <c r="H592" s="291"/>
      <c r="I592" s="291"/>
      <c r="J592" s="291"/>
      <c r="K592" s="291"/>
      <c r="L592" s="292"/>
      <c r="M592" s="292">
        <v>141</v>
      </c>
      <c r="N592" s="292"/>
      <c r="O592" s="292"/>
      <c r="P592" s="294"/>
      <c r="Q592" s="294"/>
      <c r="R592" s="294"/>
      <c r="S592" s="294"/>
      <c r="T592" s="294"/>
      <c r="U592" s="294"/>
      <c r="V592" s="431"/>
      <c r="W592" s="294"/>
      <c r="X592" s="294"/>
      <c r="Y592" s="294">
        <f>IF(NFI_Expiration=1,IF($A592&lt;VLOOKUP(H$5,NFI,5,0),1,0)*Table_NFI[[#This Row],[Hygiene Kit]],Table_NFI[Hygiene Kit])</f>
        <v>0</v>
      </c>
      <c r="Z592" s="294">
        <f>IF(NFI_Expiration=1,IF($A592&lt;VLOOKUP(I$5,NFI,5,0),1,0)*Table_NFI[[#This Row],[NFI Core Kit]],Table_NFI[NFI Core Kit])</f>
        <v>0</v>
      </c>
      <c r="AA592" s="294">
        <f>IF(NFI_Expiration=1,IF($A592&lt;VLOOKUP(J$5,NFI,5,0),1,0)*Table_NFI[[#This Row],[Sanitary Kit]],Table_NFI[Sanitary Kit])</f>
        <v>0</v>
      </c>
      <c r="AB592" s="294">
        <f>IF(NFI_Expiration=1,IF($A592&lt;VLOOKUP(K$5,NFI,5,0),1,0)*Table_NFI[[#This Row],[Mosquito net]],Table_NFI[Mosquito net])</f>
        <v>0</v>
      </c>
      <c r="AC592" s="294">
        <f>IF(NFI_Expiration=1,IF($A592&lt;VLOOKUP(L$5,NFI,5,0),1,0)*Table_NFI[[#This Row],[Tarpaulin]],Table_NFI[[#This Row],[Tarpaulin]])</f>
        <v>0</v>
      </c>
      <c r="AD592" s="294">
        <f>IF(NFI_Expiration=1,IF($A592&lt;VLOOKUP(M$5,NFI,5,0),1,0)*Table_NFI[[#This Row],[Blanket]],Table_NFI[[#This Row],[Blanket]])</f>
        <v>0</v>
      </c>
      <c r="AE592" s="294">
        <f>IF(NFI_Expiration=1,IF($A592&lt;VLOOKUP(N$5,NFI,5,0),1,0)*Table_NFI[[#This Row],[Kitchen Set]],Table_NFI[Kitchen Set])</f>
        <v>0</v>
      </c>
      <c r="AF592" s="294">
        <f>IF(NFI_Expiration=1,IF($A592&lt;VLOOKUP(O$5,NFI,5,0),1,0)*Table_NFI[[#This Row],[Clothes Kit]],Table_NFI[Clothes Kit])</f>
        <v>0</v>
      </c>
      <c r="AG592" s="294">
        <f>IF(NFI_Expiration=1,IF($A592&lt;VLOOKUP(P$5,NFI,5,0),1,0)*Table_NFI[[#This Row],[Plastic Bucket]],Table_NFI[Plastic Bucket])</f>
        <v>0</v>
      </c>
      <c r="AH592" s="294">
        <f>IF(NFI_Expiration=1,IF($A592&lt;VLOOKUP(Q$5,NFI,5,0),1,0)*Table_NFI[[#This Row],[Plastic Mat]],Table_NFI[Plastic Mat])*IF(Table_NFI[[#This Row],[Distribution Date]]&gt;"2014-04-01",1,2.5)</f>
        <v>0</v>
      </c>
      <c r="AI592" s="294">
        <f>IF(NFI_Expiration=1,IF($A592&lt;VLOOKUP(R$5,NFI,5,0),1,0)*Table_NFI[[#This Row],[Winter Clothes Adult]],Table_NFI[Winter Clothes Adult])</f>
        <v>0</v>
      </c>
      <c r="AJ592" s="294">
        <f>IF(NFI_Expiration=1,IF($A592&lt;VLOOKUP(S$5,NFI,5,0),1,0)*Table_NFI[[#This Row],[Winter Clothes Children]],Table_NFI[Winter Clothes Children])</f>
        <v>0</v>
      </c>
      <c r="AK592" s="294">
        <f>IF(NFI_Expiration=1,IF($A592&lt;VLOOKUP(T$5,NFI,5,0),1,0)*Table_NFI[[#This Row],[Winter Items Other]],Table_NFI[Winter Items Other])</f>
        <v>0</v>
      </c>
      <c r="AL592" s="294">
        <f>IF(NFI_Expiration=1,IF($A592&lt;VLOOKUP(M$5,NFI,5,0),1,0)*Table_NFI[[#This Row],[Winter Blanket]],Table_NFI[[#This Row],[Winter Blanket]])</f>
        <v>0</v>
      </c>
      <c r="AM592" s="294">
        <f>IF(Table_NFI[[#This Row],[Winter Clothes Adult]]+Table_NFI[[#This Row],[Winter Clothes Children]]+Table_NFI[[#This Row],[Winter Items Other]]+Table_NFI[[#This Row],[Winter Blanket]]&gt;0,1,0)</f>
        <v>0</v>
      </c>
      <c r="AN592" s="331">
        <f>IF(NFI_Expiration=1,IF($A592&lt;VLOOKUP(V$5,NFI,5,0),1,0)*Table_NFI[[#This Row],[Jerry Can]],Table_NFI[Jerry Can])</f>
        <v>0</v>
      </c>
      <c r="AO592" s="331">
        <f>IF(NFI_Expiration=1,IF($A592&lt;VLOOKUP(V$5,NFI,5,0),1,0)*Table_NFI[[#This Row],[Shelter Tool kit]],Table_NFI[Shelter Tool kit])</f>
        <v>0</v>
      </c>
      <c r="AP592" s="331">
        <f>IF(NFI_Expiration=1,IF($A592&lt;VLOOKUP(V$5,NFI,5,0),1,0)*Table_NFI[[#This Row],[Tent]],Table_NFI[Tent])</f>
        <v>0</v>
      </c>
      <c r="AQ592" s="473" t="str">
        <f>IFERROR(VLOOKUP(Table_NFI[[#This Row],[Camp Name]],CL,2,0),"")</f>
        <v>MMR001CMP069</v>
      </c>
      <c r="AR592" s="468">
        <f ca="1">IF(Table_NFI[[#This Row],[Pcode]]="","",IF(OFFSET(CampList[Opening Date],MATCH(Table_NFI[[#This Row],[Pcode]],CampList[CP_Pcode],0)-1,0,1,1)&gt;=NFI_Monitor_Date,1,0))</f>
        <v>0</v>
      </c>
      <c r="AS592" s="473" t="str">
        <f>IFERROR(VLOOKUP(Table_NFI[[#This Row],[Camp Name]],CL,3,0),"")</f>
        <v>Open</v>
      </c>
      <c r="AT592" s="294" t="str">
        <f ca="1">IF(Table_NFI[[#This Row],[Pcode]]="","",OFFSET(CampList[Priority],MATCH(Table_NFI[[#This Row],[Pcode]],CampList[CP_Pcode],0)-1,0,1,1))</f>
        <v>P3</v>
      </c>
      <c r="AU592" s="293">
        <f>IFERROR(Table_NFI[[#This Row],[Kitchen Set]]/VLOOKUP(Table_NFI[[#This Row],[Camp Name]],CL,4,0),"")</f>
        <v>0</v>
      </c>
      <c r="AV592" s="466" t="s">
        <v>1092</v>
      </c>
      <c r="AW592" s="469"/>
    </row>
    <row r="593" spans="1:49" s="470" customFormat="1" ht="14.45" customHeight="1" x14ac:dyDescent="0.25">
      <c r="A593" s="297">
        <f t="shared" si="9"/>
        <v>36</v>
      </c>
      <c r="B593" s="465">
        <v>41595</v>
      </c>
      <c r="C593" s="467" t="s">
        <v>452</v>
      </c>
      <c r="D593" s="467" t="s">
        <v>573</v>
      </c>
      <c r="E593" s="466" t="s">
        <v>380</v>
      </c>
      <c r="F593" s="290" t="s">
        <v>151</v>
      </c>
      <c r="G593" s="290" t="s">
        <v>154</v>
      </c>
      <c r="H593" s="291"/>
      <c r="I593" s="291"/>
      <c r="J593" s="291"/>
      <c r="K593" s="291">
        <v>700</v>
      </c>
      <c r="L593" s="292">
        <v>350</v>
      </c>
      <c r="M593" s="292">
        <v>700</v>
      </c>
      <c r="N593" s="292">
        <v>350</v>
      </c>
      <c r="O593" s="292">
        <v>350</v>
      </c>
      <c r="P593" s="294"/>
      <c r="Q593" s="294"/>
      <c r="R593" s="294"/>
      <c r="S593" s="294"/>
      <c r="T593" s="294"/>
      <c r="U593" s="294"/>
      <c r="V593" s="431"/>
      <c r="W593" s="294"/>
      <c r="X593" s="294"/>
      <c r="Y593" s="294">
        <f>IF(NFI_Expiration=1,IF($A593&lt;VLOOKUP(H$5,NFI,5,0),1,0)*Table_NFI[[#This Row],[Hygiene Kit]],Table_NFI[Hygiene Kit])</f>
        <v>0</v>
      </c>
      <c r="Z593" s="294">
        <f>IF(NFI_Expiration=1,IF($A593&lt;VLOOKUP(I$5,NFI,5,0),1,0)*Table_NFI[[#This Row],[NFI Core Kit]],Table_NFI[NFI Core Kit])</f>
        <v>0</v>
      </c>
      <c r="AA593" s="294">
        <f>IF(NFI_Expiration=1,IF($A593&lt;VLOOKUP(J$5,NFI,5,0),1,0)*Table_NFI[[#This Row],[Sanitary Kit]],Table_NFI[Sanitary Kit])</f>
        <v>0</v>
      </c>
      <c r="AB593" s="294">
        <f>IF(NFI_Expiration=1,IF($A593&lt;VLOOKUP(K$5,NFI,5,0),1,0)*Table_NFI[[#This Row],[Mosquito net]],Table_NFI[Mosquito net])</f>
        <v>0</v>
      </c>
      <c r="AC593" s="294">
        <f>IF(NFI_Expiration=1,IF($A593&lt;VLOOKUP(L$5,NFI,5,0),1,0)*Table_NFI[[#This Row],[Tarpaulin]],Table_NFI[[#This Row],[Tarpaulin]])</f>
        <v>0</v>
      </c>
      <c r="AD593" s="294">
        <f>IF(NFI_Expiration=1,IF($A593&lt;VLOOKUP(M$5,NFI,5,0),1,0)*Table_NFI[[#This Row],[Blanket]],Table_NFI[[#This Row],[Blanket]])</f>
        <v>0</v>
      </c>
      <c r="AE593" s="294">
        <f>IF(NFI_Expiration=1,IF($A593&lt;VLOOKUP(N$5,NFI,5,0),1,0)*Table_NFI[[#This Row],[Kitchen Set]],Table_NFI[Kitchen Set])</f>
        <v>0</v>
      </c>
      <c r="AF593" s="294">
        <f>IF(NFI_Expiration=1,IF($A593&lt;VLOOKUP(O$5,NFI,5,0),1,0)*Table_NFI[[#This Row],[Clothes Kit]],Table_NFI[Clothes Kit])</f>
        <v>0</v>
      </c>
      <c r="AG593" s="294">
        <f>IF(NFI_Expiration=1,IF($A593&lt;VLOOKUP(P$5,NFI,5,0),1,0)*Table_NFI[[#This Row],[Plastic Bucket]],Table_NFI[Plastic Bucket])</f>
        <v>0</v>
      </c>
      <c r="AH593" s="294">
        <f>IF(NFI_Expiration=1,IF($A593&lt;VLOOKUP(Q$5,NFI,5,0),1,0)*Table_NFI[[#This Row],[Plastic Mat]],Table_NFI[Plastic Mat])*IF(Table_NFI[[#This Row],[Distribution Date]]&gt;"2014-04-01",1,2.5)</f>
        <v>0</v>
      </c>
      <c r="AI593" s="294">
        <f>IF(NFI_Expiration=1,IF($A593&lt;VLOOKUP(R$5,NFI,5,0),1,0)*Table_NFI[[#This Row],[Winter Clothes Adult]],Table_NFI[Winter Clothes Adult])</f>
        <v>0</v>
      </c>
      <c r="AJ593" s="294">
        <f>IF(NFI_Expiration=1,IF($A593&lt;VLOOKUP(S$5,NFI,5,0),1,0)*Table_NFI[[#This Row],[Winter Clothes Children]],Table_NFI[Winter Clothes Children])</f>
        <v>0</v>
      </c>
      <c r="AK593" s="294">
        <f>IF(NFI_Expiration=1,IF($A593&lt;VLOOKUP(T$5,NFI,5,0),1,0)*Table_NFI[[#This Row],[Winter Items Other]],Table_NFI[Winter Items Other])</f>
        <v>0</v>
      </c>
      <c r="AL593" s="294">
        <f>IF(NFI_Expiration=1,IF($A593&lt;VLOOKUP(M$5,NFI,5,0),1,0)*Table_NFI[[#This Row],[Winter Blanket]],Table_NFI[[#This Row],[Winter Blanket]])</f>
        <v>0</v>
      </c>
      <c r="AM593" s="294">
        <f>IF(Table_NFI[[#This Row],[Winter Clothes Adult]]+Table_NFI[[#This Row],[Winter Clothes Children]]+Table_NFI[[#This Row],[Winter Items Other]]+Table_NFI[[#This Row],[Winter Blanket]]&gt;0,1,0)</f>
        <v>0</v>
      </c>
      <c r="AN593" s="331">
        <f>IF(NFI_Expiration=1,IF($A593&lt;VLOOKUP(V$5,NFI,5,0),1,0)*Table_NFI[[#This Row],[Jerry Can]],Table_NFI[Jerry Can])</f>
        <v>0</v>
      </c>
      <c r="AO593" s="331">
        <f>IF(NFI_Expiration=1,IF($A593&lt;VLOOKUP(V$5,NFI,5,0),1,0)*Table_NFI[[#This Row],[Shelter Tool kit]],Table_NFI[Shelter Tool kit])</f>
        <v>0</v>
      </c>
      <c r="AP593" s="331">
        <f>IF(NFI_Expiration=1,IF($A593&lt;VLOOKUP(V$5,NFI,5,0),1,0)*Table_NFI[[#This Row],[Tent]],Table_NFI[Tent])</f>
        <v>0</v>
      </c>
      <c r="AQ593" s="473" t="str">
        <f>IFERROR(VLOOKUP(Table_NFI[[#This Row],[Camp Name]],CL,2,0),"")</f>
        <v>MMR001CMP132</v>
      </c>
      <c r="AR593" s="468">
        <f ca="1">IF(Table_NFI[[#This Row],[Pcode]]="","",IF(OFFSET(CampList[Opening Date],MATCH(Table_NFI[[#This Row],[Pcode]],CampList[CP_Pcode],0)-1,0,1,1)&gt;=NFI_Monitor_Date,1,0))</f>
        <v>0</v>
      </c>
      <c r="AS593" s="473" t="str">
        <f>IFERROR(VLOOKUP(Table_NFI[[#This Row],[Camp Name]],CL,3,0),"")</f>
        <v>Open</v>
      </c>
      <c r="AT593" s="294" t="str">
        <f ca="1">IF(Table_NFI[[#This Row],[Pcode]]="","",OFFSET(CampList[Priority],MATCH(Table_NFI[[#This Row],[Pcode]],CampList[CP_Pcode],0)-1,0,1,1))</f>
        <v>P4</v>
      </c>
      <c r="AU593" s="293">
        <f>IFERROR(Table_NFI[[#This Row],[Kitchen Set]]/VLOOKUP(Table_NFI[[#This Row],[Camp Name]],CL,4,0),"")</f>
        <v>0.79545454545454541</v>
      </c>
      <c r="AV593" s="466" t="s">
        <v>1092</v>
      </c>
      <c r="AW593" s="469"/>
    </row>
    <row r="594" spans="1:49" s="470" customFormat="1" ht="14.45" customHeight="1" x14ac:dyDescent="0.25">
      <c r="A594" s="297">
        <f t="shared" si="9"/>
        <v>36</v>
      </c>
      <c r="B594" s="465">
        <v>41595</v>
      </c>
      <c r="C594" s="466" t="s">
        <v>453</v>
      </c>
      <c r="D594" s="466"/>
      <c r="E594" s="466" t="s">
        <v>380</v>
      </c>
      <c r="F594" s="466" t="s">
        <v>185</v>
      </c>
      <c r="G594" s="466" t="s">
        <v>229</v>
      </c>
      <c r="H594" s="291"/>
      <c r="I594" s="291"/>
      <c r="J594" s="291"/>
      <c r="K594" s="291"/>
      <c r="L594" s="292"/>
      <c r="M594" s="292">
        <v>145</v>
      </c>
      <c r="N594" s="292"/>
      <c r="O594" s="292"/>
      <c r="P594" s="294"/>
      <c r="Q594" s="294"/>
      <c r="R594" s="294"/>
      <c r="S594" s="294"/>
      <c r="T594" s="294"/>
      <c r="U594" s="294"/>
      <c r="V594" s="431"/>
      <c r="W594" s="294"/>
      <c r="X594" s="294"/>
      <c r="Y594" s="294">
        <f>IF(NFI_Expiration=1,IF($A594&lt;VLOOKUP(H$5,NFI,5,0),1,0)*Table_NFI[[#This Row],[Hygiene Kit]],Table_NFI[Hygiene Kit])</f>
        <v>0</v>
      </c>
      <c r="Z594" s="294">
        <f>IF(NFI_Expiration=1,IF($A594&lt;VLOOKUP(I$5,NFI,5,0),1,0)*Table_NFI[[#This Row],[NFI Core Kit]],Table_NFI[NFI Core Kit])</f>
        <v>0</v>
      </c>
      <c r="AA594" s="294">
        <f>IF(NFI_Expiration=1,IF($A594&lt;VLOOKUP(J$5,NFI,5,0),1,0)*Table_NFI[[#This Row],[Sanitary Kit]],Table_NFI[Sanitary Kit])</f>
        <v>0</v>
      </c>
      <c r="AB594" s="294">
        <f>IF(NFI_Expiration=1,IF($A594&lt;VLOOKUP(K$5,NFI,5,0),1,0)*Table_NFI[[#This Row],[Mosquito net]],Table_NFI[Mosquito net])</f>
        <v>0</v>
      </c>
      <c r="AC594" s="294">
        <f>IF(NFI_Expiration=1,IF($A594&lt;VLOOKUP(L$5,NFI,5,0),1,0)*Table_NFI[[#This Row],[Tarpaulin]],Table_NFI[[#This Row],[Tarpaulin]])</f>
        <v>0</v>
      </c>
      <c r="AD594" s="294">
        <f>IF(NFI_Expiration=1,IF($A594&lt;VLOOKUP(M$5,NFI,5,0),1,0)*Table_NFI[[#This Row],[Blanket]],Table_NFI[[#This Row],[Blanket]])</f>
        <v>0</v>
      </c>
      <c r="AE594" s="294">
        <f>IF(NFI_Expiration=1,IF($A594&lt;VLOOKUP(N$5,NFI,5,0),1,0)*Table_NFI[[#This Row],[Kitchen Set]],Table_NFI[Kitchen Set])</f>
        <v>0</v>
      </c>
      <c r="AF594" s="294">
        <f>IF(NFI_Expiration=1,IF($A594&lt;VLOOKUP(O$5,NFI,5,0),1,0)*Table_NFI[[#This Row],[Clothes Kit]],Table_NFI[Clothes Kit])</f>
        <v>0</v>
      </c>
      <c r="AG594" s="294">
        <f>IF(NFI_Expiration=1,IF($A594&lt;VLOOKUP(P$5,NFI,5,0),1,0)*Table_NFI[[#This Row],[Plastic Bucket]],Table_NFI[Plastic Bucket])</f>
        <v>0</v>
      </c>
      <c r="AH594" s="294">
        <f>IF(NFI_Expiration=1,IF($A594&lt;VLOOKUP(Q$5,NFI,5,0),1,0)*Table_NFI[[#This Row],[Plastic Mat]],Table_NFI[Plastic Mat])*IF(Table_NFI[[#This Row],[Distribution Date]]&gt;"2014-04-01",1,2.5)</f>
        <v>0</v>
      </c>
      <c r="AI594" s="294">
        <f>IF(NFI_Expiration=1,IF($A594&lt;VLOOKUP(R$5,NFI,5,0),1,0)*Table_NFI[[#This Row],[Winter Clothes Adult]],Table_NFI[Winter Clothes Adult])</f>
        <v>0</v>
      </c>
      <c r="AJ594" s="294">
        <f>IF(NFI_Expiration=1,IF($A594&lt;VLOOKUP(S$5,NFI,5,0),1,0)*Table_NFI[[#This Row],[Winter Clothes Children]],Table_NFI[Winter Clothes Children])</f>
        <v>0</v>
      </c>
      <c r="AK594" s="294">
        <f>IF(NFI_Expiration=1,IF($A594&lt;VLOOKUP(T$5,NFI,5,0),1,0)*Table_NFI[[#This Row],[Winter Items Other]],Table_NFI[Winter Items Other])</f>
        <v>0</v>
      </c>
      <c r="AL594" s="294">
        <f>IF(NFI_Expiration=1,IF($A594&lt;VLOOKUP(M$5,NFI,5,0),1,0)*Table_NFI[[#This Row],[Winter Blanket]],Table_NFI[[#This Row],[Winter Blanket]])</f>
        <v>0</v>
      </c>
      <c r="AM594" s="294">
        <f>IF(Table_NFI[[#This Row],[Winter Clothes Adult]]+Table_NFI[[#This Row],[Winter Clothes Children]]+Table_NFI[[#This Row],[Winter Items Other]]+Table_NFI[[#This Row],[Winter Blanket]]&gt;0,1,0)</f>
        <v>0</v>
      </c>
      <c r="AN594" s="331">
        <f>IF(NFI_Expiration=1,IF($A594&lt;VLOOKUP(V$5,NFI,5,0),1,0)*Table_NFI[[#This Row],[Jerry Can]],Table_NFI[Jerry Can])</f>
        <v>0</v>
      </c>
      <c r="AO594" s="331">
        <f>IF(NFI_Expiration=1,IF($A594&lt;VLOOKUP(V$5,NFI,5,0),1,0)*Table_NFI[[#This Row],[Shelter Tool kit]],Table_NFI[Shelter Tool kit])</f>
        <v>0</v>
      </c>
      <c r="AP594" s="331">
        <f>IF(NFI_Expiration=1,IF($A594&lt;VLOOKUP(V$5,NFI,5,0),1,0)*Table_NFI[[#This Row],[Tent]],Table_NFI[Tent])</f>
        <v>0</v>
      </c>
      <c r="AQ594" s="473" t="str">
        <f>IFERROR(VLOOKUP(Table_NFI[[#This Row],[Camp Name]],CL,2,0),"")</f>
        <v>MMR001CMP072</v>
      </c>
      <c r="AR594" s="468">
        <f ca="1">IF(Table_NFI[[#This Row],[Pcode]]="","",IF(OFFSET(CampList[Opening Date],MATCH(Table_NFI[[#This Row],[Pcode]],CampList[CP_Pcode],0)-1,0,1,1)&gt;=NFI_Monitor_Date,1,0))</f>
        <v>0</v>
      </c>
      <c r="AS594" s="473" t="str">
        <f>IFERROR(VLOOKUP(Table_NFI[[#This Row],[Camp Name]],CL,3,0),"")</f>
        <v>Open</v>
      </c>
      <c r="AT594" s="294" t="str">
        <f ca="1">IF(Table_NFI[[#This Row],[Pcode]]="","",OFFSET(CampList[Priority],MATCH(Table_NFI[[#This Row],[Pcode]],CampList[CP_Pcode],0)-1,0,1,1))</f>
        <v>P3</v>
      </c>
      <c r="AU594" s="293">
        <f>IFERROR(Table_NFI[[#This Row],[Kitchen Set]]/VLOOKUP(Table_NFI[[#This Row],[Camp Name]],CL,4,0),"")</f>
        <v>0</v>
      </c>
      <c r="AV594" s="466" t="s">
        <v>1092</v>
      </c>
      <c r="AW594" s="469"/>
    </row>
    <row r="595" spans="1:49" s="470" customFormat="1" x14ac:dyDescent="0.25">
      <c r="A595" s="297">
        <f t="shared" si="9"/>
        <v>36.033333333333331</v>
      </c>
      <c r="B595" s="465">
        <v>41594</v>
      </c>
      <c r="C595" s="466" t="s">
        <v>452</v>
      </c>
      <c r="D595" s="466" t="s">
        <v>573</v>
      </c>
      <c r="E595" s="466" t="s">
        <v>380</v>
      </c>
      <c r="F595" s="290" t="s">
        <v>5</v>
      </c>
      <c r="G595" s="290" t="s">
        <v>366</v>
      </c>
      <c r="H595" s="291"/>
      <c r="I595" s="291"/>
      <c r="J595" s="291"/>
      <c r="K595" s="291"/>
      <c r="L595" s="292">
        <v>11</v>
      </c>
      <c r="M595" s="292"/>
      <c r="N595" s="292"/>
      <c r="O595" s="292"/>
      <c r="P595" s="294"/>
      <c r="Q595" s="294"/>
      <c r="R595" s="294"/>
      <c r="S595" s="294"/>
      <c r="T595" s="294"/>
      <c r="U595" s="294"/>
      <c r="V595" s="431"/>
      <c r="W595" s="294"/>
      <c r="X595" s="294"/>
      <c r="Y595" s="294">
        <f>IF(NFI_Expiration=1,IF($A595&lt;VLOOKUP(H$5,NFI,5,0),1,0)*Table_NFI[[#This Row],[Hygiene Kit]],Table_NFI[Hygiene Kit])</f>
        <v>0</v>
      </c>
      <c r="Z595" s="294">
        <f>IF(NFI_Expiration=1,IF($A595&lt;VLOOKUP(I$5,NFI,5,0),1,0)*Table_NFI[[#This Row],[NFI Core Kit]],Table_NFI[NFI Core Kit])</f>
        <v>0</v>
      </c>
      <c r="AA595" s="294">
        <f>IF(NFI_Expiration=1,IF($A595&lt;VLOOKUP(J$5,NFI,5,0),1,0)*Table_NFI[[#This Row],[Sanitary Kit]],Table_NFI[Sanitary Kit])</f>
        <v>0</v>
      </c>
      <c r="AB595" s="294">
        <f>IF(NFI_Expiration=1,IF($A595&lt;VLOOKUP(K$5,NFI,5,0),1,0)*Table_NFI[[#This Row],[Mosquito net]],Table_NFI[Mosquito net])</f>
        <v>0</v>
      </c>
      <c r="AC595" s="294">
        <f>IF(NFI_Expiration=1,IF($A595&lt;VLOOKUP(L$5,NFI,5,0),1,0)*Table_NFI[[#This Row],[Tarpaulin]],Table_NFI[[#This Row],[Tarpaulin]])</f>
        <v>0</v>
      </c>
      <c r="AD595" s="294">
        <f>IF(NFI_Expiration=1,IF($A595&lt;VLOOKUP(M$5,NFI,5,0),1,0)*Table_NFI[[#This Row],[Blanket]],Table_NFI[[#This Row],[Blanket]])</f>
        <v>0</v>
      </c>
      <c r="AE595" s="294">
        <f>IF(NFI_Expiration=1,IF($A595&lt;VLOOKUP(N$5,NFI,5,0),1,0)*Table_NFI[[#This Row],[Kitchen Set]],Table_NFI[Kitchen Set])</f>
        <v>0</v>
      </c>
      <c r="AF595" s="294">
        <f>IF(NFI_Expiration=1,IF($A595&lt;VLOOKUP(O$5,NFI,5,0),1,0)*Table_NFI[[#This Row],[Clothes Kit]],Table_NFI[Clothes Kit])</f>
        <v>0</v>
      </c>
      <c r="AG595" s="294">
        <f>IF(NFI_Expiration=1,IF($A595&lt;VLOOKUP(P$5,NFI,5,0),1,0)*Table_NFI[[#This Row],[Plastic Bucket]],Table_NFI[Plastic Bucket])</f>
        <v>0</v>
      </c>
      <c r="AH595" s="294">
        <f>IF(NFI_Expiration=1,IF($A595&lt;VLOOKUP(Q$5,NFI,5,0),1,0)*Table_NFI[[#This Row],[Plastic Mat]],Table_NFI[Plastic Mat])*IF(Table_NFI[[#This Row],[Distribution Date]]&gt;"2014-04-01",1,2.5)</f>
        <v>0</v>
      </c>
      <c r="AI595" s="294">
        <f>IF(NFI_Expiration=1,IF($A595&lt;VLOOKUP(R$5,NFI,5,0),1,0)*Table_NFI[[#This Row],[Winter Clothes Adult]],Table_NFI[Winter Clothes Adult])</f>
        <v>0</v>
      </c>
      <c r="AJ595" s="294">
        <f>IF(NFI_Expiration=1,IF($A595&lt;VLOOKUP(S$5,NFI,5,0),1,0)*Table_NFI[[#This Row],[Winter Clothes Children]],Table_NFI[Winter Clothes Children])</f>
        <v>0</v>
      </c>
      <c r="AK595" s="294">
        <f>IF(NFI_Expiration=1,IF($A595&lt;VLOOKUP(T$5,NFI,5,0),1,0)*Table_NFI[[#This Row],[Winter Items Other]],Table_NFI[Winter Items Other])</f>
        <v>0</v>
      </c>
      <c r="AL595" s="294">
        <f>IF(NFI_Expiration=1,IF($A595&lt;VLOOKUP(M$5,NFI,5,0),1,0)*Table_NFI[[#This Row],[Winter Blanket]],Table_NFI[[#This Row],[Winter Blanket]])</f>
        <v>0</v>
      </c>
      <c r="AM595" s="294">
        <f>IF(Table_NFI[[#This Row],[Winter Clothes Adult]]+Table_NFI[[#This Row],[Winter Clothes Children]]+Table_NFI[[#This Row],[Winter Items Other]]+Table_NFI[[#This Row],[Winter Blanket]]&gt;0,1,0)</f>
        <v>0</v>
      </c>
      <c r="AN595" s="331">
        <f>IF(NFI_Expiration=1,IF($A595&lt;VLOOKUP(V$5,NFI,5,0),1,0)*Table_NFI[[#This Row],[Jerry Can]],Table_NFI[Jerry Can])</f>
        <v>0</v>
      </c>
      <c r="AO595" s="331">
        <f>IF(NFI_Expiration=1,IF($A595&lt;VLOOKUP(V$5,NFI,5,0),1,0)*Table_NFI[[#This Row],[Shelter Tool kit]],Table_NFI[Shelter Tool kit])</f>
        <v>0</v>
      </c>
      <c r="AP595" s="331">
        <f>IF(NFI_Expiration=1,IF($A595&lt;VLOOKUP(V$5,NFI,5,0),1,0)*Table_NFI[[#This Row],[Tent]],Table_NFI[Tent])</f>
        <v>0</v>
      </c>
      <c r="AQ595" s="473" t="str">
        <f>IFERROR(VLOOKUP(Table_NFI[[#This Row],[Camp Name]],CL,2,0),"")</f>
        <v>MMR001CMP193</v>
      </c>
      <c r="AR595" s="468">
        <f ca="1">IF(Table_NFI[[#This Row],[Pcode]]="","",IF(OFFSET(CampList[Opening Date],MATCH(Table_NFI[[#This Row],[Pcode]],CampList[CP_Pcode],0)-1,0,1,1)&gt;=NFI_Monitor_Date,1,0))</f>
        <v>0</v>
      </c>
      <c r="AS595" s="473" t="str">
        <f>IFERROR(VLOOKUP(Table_NFI[[#This Row],[Camp Name]],CL,3,0),"")</f>
        <v>Open</v>
      </c>
      <c r="AT595" s="294" t="str">
        <f ca="1">IF(Table_NFI[[#This Row],[Pcode]]="","",OFFSET(CampList[Priority],MATCH(Table_NFI[[#This Row],[Pcode]],CampList[CP_Pcode],0)-1,0,1,1))</f>
        <v>P4</v>
      </c>
      <c r="AU595" s="293">
        <f>IFERROR(Table_NFI[[#This Row],[Kitchen Set]]/VLOOKUP(Table_NFI[[#This Row],[Camp Name]],CL,4,0),"")</f>
        <v>0</v>
      </c>
      <c r="AV595" s="466" t="s">
        <v>1092</v>
      </c>
      <c r="AW595" s="469"/>
    </row>
    <row r="596" spans="1:49" s="470" customFormat="1" x14ac:dyDescent="0.25">
      <c r="A596" s="297">
        <f t="shared" si="9"/>
        <v>36.033333333333331</v>
      </c>
      <c r="B596" s="465">
        <v>41594</v>
      </c>
      <c r="C596" s="466" t="s">
        <v>452</v>
      </c>
      <c r="D596" s="466" t="s">
        <v>452</v>
      </c>
      <c r="E596" s="466" t="s">
        <v>380</v>
      </c>
      <c r="F596" s="290" t="s">
        <v>5</v>
      </c>
      <c r="G596" s="290" t="s">
        <v>22</v>
      </c>
      <c r="H596" s="291"/>
      <c r="I596" s="291"/>
      <c r="J596" s="291"/>
      <c r="K596" s="291"/>
      <c r="L596" s="292">
        <v>10</v>
      </c>
      <c r="M596" s="292"/>
      <c r="N596" s="292"/>
      <c r="O596" s="292"/>
      <c r="P596" s="294"/>
      <c r="Q596" s="294"/>
      <c r="R596" s="294"/>
      <c r="S596" s="294"/>
      <c r="T596" s="294"/>
      <c r="U596" s="294"/>
      <c r="V596" s="431"/>
      <c r="W596" s="294"/>
      <c r="X596" s="294"/>
      <c r="Y596" s="294">
        <f>IF(NFI_Expiration=1,IF($A596&lt;VLOOKUP(H$5,NFI,5,0),1,0)*Table_NFI[[#This Row],[Hygiene Kit]],Table_NFI[Hygiene Kit])</f>
        <v>0</v>
      </c>
      <c r="Z596" s="294">
        <f>IF(NFI_Expiration=1,IF($A596&lt;VLOOKUP(I$5,NFI,5,0),1,0)*Table_NFI[[#This Row],[NFI Core Kit]],Table_NFI[NFI Core Kit])</f>
        <v>0</v>
      </c>
      <c r="AA596" s="294">
        <f>IF(NFI_Expiration=1,IF($A596&lt;VLOOKUP(J$5,NFI,5,0),1,0)*Table_NFI[[#This Row],[Sanitary Kit]],Table_NFI[Sanitary Kit])</f>
        <v>0</v>
      </c>
      <c r="AB596" s="294">
        <f>IF(NFI_Expiration=1,IF($A596&lt;VLOOKUP(K$5,NFI,5,0),1,0)*Table_NFI[[#This Row],[Mosquito net]],Table_NFI[Mosquito net])</f>
        <v>0</v>
      </c>
      <c r="AC596" s="294">
        <f>IF(NFI_Expiration=1,IF($A596&lt;VLOOKUP(L$5,NFI,5,0),1,0)*Table_NFI[[#This Row],[Tarpaulin]],Table_NFI[[#This Row],[Tarpaulin]])</f>
        <v>0</v>
      </c>
      <c r="AD596" s="294">
        <f>IF(NFI_Expiration=1,IF($A596&lt;VLOOKUP(M$5,NFI,5,0),1,0)*Table_NFI[[#This Row],[Blanket]],Table_NFI[[#This Row],[Blanket]])</f>
        <v>0</v>
      </c>
      <c r="AE596" s="294">
        <f>IF(NFI_Expiration=1,IF($A596&lt;VLOOKUP(N$5,NFI,5,0),1,0)*Table_NFI[[#This Row],[Kitchen Set]],Table_NFI[Kitchen Set])</f>
        <v>0</v>
      </c>
      <c r="AF596" s="294">
        <f>IF(NFI_Expiration=1,IF($A596&lt;VLOOKUP(O$5,NFI,5,0),1,0)*Table_NFI[[#This Row],[Clothes Kit]],Table_NFI[Clothes Kit])</f>
        <v>0</v>
      </c>
      <c r="AG596" s="294">
        <f>IF(NFI_Expiration=1,IF($A596&lt;VLOOKUP(P$5,NFI,5,0),1,0)*Table_NFI[[#This Row],[Plastic Bucket]],Table_NFI[Plastic Bucket])</f>
        <v>0</v>
      </c>
      <c r="AH596" s="294">
        <f>IF(NFI_Expiration=1,IF($A596&lt;VLOOKUP(Q$5,NFI,5,0),1,0)*Table_NFI[[#This Row],[Plastic Mat]],Table_NFI[Plastic Mat])*IF(Table_NFI[[#This Row],[Distribution Date]]&gt;"2014-04-01",1,2.5)</f>
        <v>0</v>
      </c>
      <c r="AI596" s="294">
        <f>IF(NFI_Expiration=1,IF($A596&lt;VLOOKUP(R$5,NFI,5,0),1,0)*Table_NFI[[#This Row],[Winter Clothes Adult]],Table_NFI[Winter Clothes Adult])</f>
        <v>0</v>
      </c>
      <c r="AJ596" s="294">
        <f>IF(NFI_Expiration=1,IF($A596&lt;VLOOKUP(S$5,NFI,5,0),1,0)*Table_NFI[[#This Row],[Winter Clothes Children]],Table_NFI[Winter Clothes Children])</f>
        <v>0</v>
      </c>
      <c r="AK596" s="294">
        <f>IF(NFI_Expiration=1,IF($A596&lt;VLOOKUP(T$5,NFI,5,0),1,0)*Table_NFI[[#This Row],[Winter Items Other]],Table_NFI[Winter Items Other])</f>
        <v>0</v>
      </c>
      <c r="AL596" s="294">
        <f>IF(NFI_Expiration=1,IF($A596&lt;VLOOKUP(M$5,NFI,5,0),1,0)*Table_NFI[[#This Row],[Winter Blanket]],Table_NFI[[#This Row],[Winter Blanket]])</f>
        <v>0</v>
      </c>
      <c r="AM596" s="294">
        <f>IF(Table_NFI[[#This Row],[Winter Clothes Adult]]+Table_NFI[[#This Row],[Winter Clothes Children]]+Table_NFI[[#This Row],[Winter Items Other]]+Table_NFI[[#This Row],[Winter Blanket]]&gt;0,1,0)</f>
        <v>0</v>
      </c>
      <c r="AN596" s="331">
        <f>IF(NFI_Expiration=1,IF($A596&lt;VLOOKUP(V$5,NFI,5,0),1,0)*Table_NFI[[#This Row],[Jerry Can]],Table_NFI[Jerry Can])</f>
        <v>0</v>
      </c>
      <c r="AO596" s="331">
        <f>IF(NFI_Expiration=1,IF($A596&lt;VLOOKUP(V$5,NFI,5,0),1,0)*Table_NFI[[#This Row],[Shelter Tool kit]],Table_NFI[Shelter Tool kit])</f>
        <v>0</v>
      </c>
      <c r="AP596" s="331">
        <f>IF(NFI_Expiration=1,IF($A596&lt;VLOOKUP(V$5,NFI,5,0),1,0)*Table_NFI[[#This Row],[Tent]],Table_NFI[Tent])</f>
        <v>0</v>
      </c>
      <c r="AQ596" s="473" t="str">
        <f>IFERROR(VLOOKUP(Table_NFI[[#This Row],[Camp Name]],CL,2,0),"")</f>
        <v>MMR001CMP047</v>
      </c>
      <c r="AR596" s="468">
        <f ca="1">IF(Table_NFI[[#This Row],[Pcode]]="","",IF(OFFSET(CampList[Opening Date],MATCH(Table_NFI[[#This Row],[Pcode]],CampList[CP_Pcode],0)-1,0,1,1)&gt;=NFI_Monitor_Date,1,0))</f>
        <v>0</v>
      </c>
      <c r="AS596" s="473" t="str">
        <f>IFERROR(VLOOKUP(Table_NFI[[#This Row],[Camp Name]],CL,3,0),"")</f>
        <v>Open</v>
      </c>
      <c r="AT596" s="294" t="str">
        <f ca="1">IF(Table_NFI[[#This Row],[Pcode]]="","",OFFSET(CampList[Priority],MATCH(Table_NFI[[#This Row],[Pcode]],CampList[CP_Pcode],0)-1,0,1,1))</f>
        <v>P4</v>
      </c>
      <c r="AU596" s="293">
        <f>IFERROR(Table_NFI[[#This Row],[Kitchen Set]]/VLOOKUP(Table_NFI[[#This Row],[Camp Name]],CL,4,0),"")</f>
        <v>0</v>
      </c>
      <c r="AV596" s="466" t="s">
        <v>1092</v>
      </c>
      <c r="AW596" s="469"/>
    </row>
    <row r="597" spans="1:49" s="470" customFormat="1" ht="14.45" customHeight="1" x14ac:dyDescent="0.25">
      <c r="A597" s="297">
        <f t="shared" si="9"/>
        <v>36.06666666666667</v>
      </c>
      <c r="B597" s="465">
        <v>41593</v>
      </c>
      <c r="C597" s="466" t="s">
        <v>905</v>
      </c>
      <c r="D597" s="466" t="s">
        <v>1002</v>
      </c>
      <c r="E597" s="466" t="s">
        <v>380</v>
      </c>
      <c r="F597" s="466" t="s">
        <v>151</v>
      </c>
      <c r="G597" s="466" t="s">
        <v>158</v>
      </c>
      <c r="H597" s="291"/>
      <c r="I597" s="291"/>
      <c r="J597" s="291"/>
      <c r="K597" s="291"/>
      <c r="L597" s="292"/>
      <c r="M597" s="292"/>
      <c r="N597" s="292"/>
      <c r="O597" s="292"/>
      <c r="P597" s="294"/>
      <c r="Q597" s="294"/>
      <c r="R597" s="294">
        <v>54</v>
      </c>
      <c r="S597" s="294">
        <v>106</v>
      </c>
      <c r="T597" s="294">
        <v>320</v>
      </c>
      <c r="U597" s="294">
        <v>160</v>
      </c>
      <c r="V597" s="431"/>
      <c r="W597" s="294"/>
      <c r="X597" s="294"/>
      <c r="Y597" s="294">
        <f>IF(NFI_Expiration=1,IF($A597&lt;VLOOKUP(H$5,NFI,5,0),1,0)*Table_NFI[[#This Row],[Hygiene Kit]],Table_NFI[Hygiene Kit])</f>
        <v>0</v>
      </c>
      <c r="Z597" s="294">
        <f>IF(NFI_Expiration=1,IF($A597&lt;VLOOKUP(I$5,NFI,5,0),1,0)*Table_NFI[[#This Row],[NFI Core Kit]],Table_NFI[NFI Core Kit])</f>
        <v>0</v>
      </c>
      <c r="AA597" s="294">
        <f>IF(NFI_Expiration=1,IF($A597&lt;VLOOKUP(J$5,NFI,5,0),1,0)*Table_NFI[[#This Row],[Sanitary Kit]],Table_NFI[Sanitary Kit])</f>
        <v>0</v>
      </c>
      <c r="AB597" s="294">
        <f>IF(NFI_Expiration=1,IF($A597&lt;VLOOKUP(K$5,NFI,5,0),1,0)*Table_NFI[[#This Row],[Mosquito net]],Table_NFI[Mosquito net])</f>
        <v>0</v>
      </c>
      <c r="AC597" s="294">
        <f>IF(NFI_Expiration=1,IF($A597&lt;VLOOKUP(L$5,NFI,5,0),1,0)*Table_NFI[[#This Row],[Tarpaulin]],Table_NFI[[#This Row],[Tarpaulin]])</f>
        <v>0</v>
      </c>
      <c r="AD597" s="294">
        <f>IF(NFI_Expiration=1,IF($A597&lt;VLOOKUP(M$5,NFI,5,0),1,0)*Table_NFI[[#This Row],[Blanket]],Table_NFI[[#This Row],[Blanket]])</f>
        <v>0</v>
      </c>
      <c r="AE597" s="294">
        <f>IF(NFI_Expiration=1,IF($A597&lt;VLOOKUP(N$5,NFI,5,0),1,0)*Table_NFI[[#This Row],[Kitchen Set]],Table_NFI[Kitchen Set])</f>
        <v>0</v>
      </c>
      <c r="AF597" s="294">
        <f>IF(NFI_Expiration=1,IF($A597&lt;VLOOKUP(O$5,NFI,5,0),1,0)*Table_NFI[[#This Row],[Clothes Kit]],Table_NFI[Clothes Kit])</f>
        <v>0</v>
      </c>
      <c r="AG597" s="294">
        <f>IF(NFI_Expiration=1,IF($A597&lt;VLOOKUP(P$5,NFI,5,0),1,0)*Table_NFI[[#This Row],[Plastic Bucket]],Table_NFI[Plastic Bucket])</f>
        <v>0</v>
      </c>
      <c r="AH597" s="294">
        <f>IF(NFI_Expiration=1,IF($A597&lt;VLOOKUP(Q$5,NFI,5,0),1,0)*Table_NFI[[#This Row],[Plastic Mat]],Table_NFI[Plastic Mat])*IF(Table_NFI[[#This Row],[Distribution Date]]&gt;"2014-04-01",1,2.5)</f>
        <v>0</v>
      </c>
      <c r="AI597" s="294">
        <f>IF(NFI_Expiration=1,IF($A597&lt;VLOOKUP(R$5,NFI,5,0),1,0)*Table_NFI[[#This Row],[Winter Clothes Adult]],Table_NFI[Winter Clothes Adult])</f>
        <v>0</v>
      </c>
      <c r="AJ597" s="294">
        <f>IF(NFI_Expiration=1,IF($A597&lt;VLOOKUP(S$5,NFI,5,0),1,0)*Table_NFI[[#This Row],[Winter Clothes Children]],Table_NFI[Winter Clothes Children])</f>
        <v>0</v>
      </c>
      <c r="AK597" s="294">
        <f>IF(NFI_Expiration=1,IF($A597&lt;VLOOKUP(T$5,NFI,5,0),1,0)*Table_NFI[[#This Row],[Winter Items Other]],Table_NFI[Winter Items Other])</f>
        <v>0</v>
      </c>
      <c r="AL597" s="294">
        <f>IF(NFI_Expiration=1,IF($A597&lt;VLOOKUP(M$5,NFI,5,0),1,0)*Table_NFI[[#This Row],[Winter Blanket]],Table_NFI[[#This Row],[Winter Blanket]])</f>
        <v>0</v>
      </c>
      <c r="AM597" s="294">
        <f>IF(Table_NFI[[#This Row],[Winter Clothes Adult]]+Table_NFI[[#This Row],[Winter Clothes Children]]+Table_NFI[[#This Row],[Winter Items Other]]+Table_NFI[[#This Row],[Winter Blanket]]&gt;0,1,0)</f>
        <v>1</v>
      </c>
      <c r="AN597" s="331">
        <f>IF(NFI_Expiration=1,IF($A597&lt;VLOOKUP(V$5,NFI,5,0),1,0)*Table_NFI[[#This Row],[Jerry Can]],Table_NFI[Jerry Can])</f>
        <v>0</v>
      </c>
      <c r="AO597" s="331">
        <f>IF(NFI_Expiration=1,IF($A597&lt;VLOOKUP(V$5,NFI,5,0),1,0)*Table_NFI[[#This Row],[Shelter Tool kit]],Table_NFI[Shelter Tool kit])</f>
        <v>0</v>
      </c>
      <c r="AP597" s="331">
        <f>IF(NFI_Expiration=1,IF($A597&lt;VLOOKUP(V$5,NFI,5,0),1,0)*Table_NFI[[#This Row],[Tent]],Table_NFI[Tent])</f>
        <v>0</v>
      </c>
      <c r="AQ597" s="473" t="str">
        <f>IFERROR(VLOOKUP(Table_NFI[[#This Row],[Camp Name]],CL,2,0),"")</f>
        <v>MMR001CMP135</v>
      </c>
      <c r="AR597" s="468">
        <f ca="1">IF(Table_NFI[[#This Row],[Pcode]]="","",IF(OFFSET(CampList[Opening Date],MATCH(Table_NFI[[#This Row],[Pcode]],CampList[CP_Pcode],0)-1,0,1,1)&gt;=NFI_Monitor_Date,1,0))</f>
        <v>0</v>
      </c>
      <c r="AS597" s="473" t="str">
        <f>IFERROR(VLOOKUP(Table_NFI[[#This Row],[Camp Name]],CL,3,0),"")</f>
        <v>Closed</v>
      </c>
      <c r="AT597" s="294" t="str">
        <f ca="1">IF(Table_NFI[[#This Row],[Pcode]]="","",OFFSET(CampList[Priority],MATCH(Table_NFI[[#This Row],[Pcode]],CampList[CP_Pcode],0)-1,0,1,1))</f>
        <v>P2</v>
      </c>
      <c r="AU597" s="293" t="str">
        <f>IFERROR(Table_NFI[[#This Row],[Kitchen Set]]/VLOOKUP(Table_NFI[[#This Row],[Camp Name]],CL,4,0),"")</f>
        <v/>
      </c>
      <c r="AV597" s="466"/>
      <c r="AW597" s="469"/>
    </row>
    <row r="598" spans="1:49" s="470" customFormat="1" ht="14.45" customHeight="1" x14ac:dyDescent="0.25">
      <c r="A598" s="297">
        <f t="shared" si="9"/>
        <v>36.06666666666667</v>
      </c>
      <c r="B598" s="465">
        <v>41593</v>
      </c>
      <c r="C598" s="466" t="s">
        <v>905</v>
      </c>
      <c r="D598" s="466" t="s">
        <v>1002</v>
      </c>
      <c r="E598" s="466" t="s">
        <v>380</v>
      </c>
      <c r="F598" s="466" t="s">
        <v>185</v>
      </c>
      <c r="G598" s="466" t="s">
        <v>215</v>
      </c>
      <c r="H598" s="291"/>
      <c r="I598" s="291"/>
      <c r="J598" s="291"/>
      <c r="K598" s="291"/>
      <c r="L598" s="292"/>
      <c r="M598" s="292"/>
      <c r="N598" s="292"/>
      <c r="O598" s="292"/>
      <c r="P598" s="294"/>
      <c r="Q598" s="294"/>
      <c r="R598" s="294">
        <v>387</v>
      </c>
      <c r="S598" s="294">
        <v>760</v>
      </c>
      <c r="T598" s="294">
        <v>2294</v>
      </c>
      <c r="U598" s="294">
        <v>1147</v>
      </c>
      <c r="V598" s="431"/>
      <c r="W598" s="294"/>
      <c r="X598" s="294"/>
      <c r="Y598" s="294">
        <f>IF(NFI_Expiration=1,IF($A598&lt;VLOOKUP(H$5,NFI,5,0),1,0)*Table_NFI[[#This Row],[Hygiene Kit]],Table_NFI[Hygiene Kit])</f>
        <v>0</v>
      </c>
      <c r="Z598" s="294">
        <f>IF(NFI_Expiration=1,IF($A598&lt;VLOOKUP(I$5,NFI,5,0),1,0)*Table_NFI[[#This Row],[NFI Core Kit]],Table_NFI[NFI Core Kit])</f>
        <v>0</v>
      </c>
      <c r="AA598" s="294">
        <f>IF(NFI_Expiration=1,IF($A598&lt;VLOOKUP(J$5,NFI,5,0),1,0)*Table_NFI[[#This Row],[Sanitary Kit]],Table_NFI[Sanitary Kit])</f>
        <v>0</v>
      </c>
      <c r="AB598" s="294">
        <f>IF(NFI_Expiration=1,IF($A598&lt;VLOOKUP(K$5,NFI,5,0),1,0)*Table_NFI[[#This Row],[Mosquito net]],Table_NFI[Mosquito net])</f>
        <v>0</v>
      </c>
      <c r="AC598" s="294">
        <f>IF(NFI_Expiration=1,IF($A598&lt;VLOOKUP(L$5,NFI,5,0),1,0)*Table_NFI[[#This Row],[Tarpaulin]],Table_NFI[[#This Row],[Tarpaulin]])</f>
        <v>0</v>
      </c>
      <c r="AD598" s="294">
        <f>IF(NFI_Expiration=1,IF($A598&lt;VLOOKUP(M$5,NFI,5,0),1,0)*Table_NFI[[#This Row],[Blanket]],Table_NFI[[#This Row],[Blanket]])</f>
        <v>0</v>
      </c>
      <c r="AE598" s="294">
        <f>IF(NFI_Expiration=1,IF($A598&lt;VLOOKUP(N$5,NFI,5,0),1,0)*Table_NFI[[#This Row],[Kitchen Set]],Table_NFI[Kitchen Set])</f>
        <v>0</v>
      </c>
      <c r="AF598" s="294">
        <f>IF(NFI_Expiration=1,IF($A598&lt;VLOOKUP(O$5,NFI,5,0),1,0)*Table_NFI[[#This Row],[Clothes Kit]],Table_NFI[Clothes Kit])</f>
        <v>0</v>
      </c>
      <c r="AG598" s="294">
        <f>IF(NFI_Expiration=1,IF($A598&lt;VLOOKUP(P$5,NFI,5,0),1,0)*Table_NFI[[#This Row],[Plastic Bucket]],Table_NFI[Plastic Bucket])</f>
        <v>0</v>
      </c>
      <c r="AH598" s="294">
        <f>IF(NFI_Expiration=1,IF($A598&lt;VLOOKUP(Q$5,NFI,5,0),1,0)*Table_NFI[[#This Row],[Plastic Mat]],Table_NFI[Plastic Mat])*IF(Table_NFI[[#This Row],[Distribution Date]]&gt;"2014-04-01",1,2.5)</f>
        <v>0</v>
      </c>
      <c r="AI598" s="294">
        <f>IF(NFI_Expiration=1,IF($A598&lt;VLOOKUP(R$5,NFI,5,0),1,0)*Table_NFI[[#This Row],[Winter Clothes Adult]],Table_NFI[Winter Clothes Adult])</f>
        <v>0</v>
      </c>
      <c r="AJ598" s="294">
        <f>IF(NFI_Expiration=1,IF($A598&lt;VLOOKUP(S$5,NFI,5,0),1,0)*Table_NFI[[#This Row],[Winter Clothes Children]],Table_NFI[Winter Clothes Children])</f>
        <v>0</v>
      </c>
      <c r="AK598" s="294">
        <f>IF(NFI_Expiration=1,IF($A598&lt;VLOOKUP(T$5,NFI,5,0),1,0)*Table_NFI[[#This Row],[Winter Items Other]],Table_NFI[Winter Items Other])</f>
        <v>0</v>
      </c>
      <c r="AL598" s="294">
        <f>IF(NFI_Expiration=1,IF($A598&lt;VLOOKUP(M$5,NFI,5,0),1,0)*Table_NFI[[#This Row],[Winter Blanket]],Table_NFI[[#This Row],[Winter Blanket]])</f>
        <v>0</v>
      </c>
      <c r="AM598" s="294">
        <f>IF(Table_NFI[[#This Row],[Winter Clothes Adult]]+Table_NFI[[#This Row],[Winter Clothes Children]]+Table_NFI[[#This Row],[Winter Items Other]]+Table_NFI[[#This Row],[Winter Blanket]]&gt;0,1,0)</f>
        <v>1</v>
      </c>
      <c r="AN598" s="331">
        <f>IF(NFI_Expiration=1,IF($A598&lt;VLOOKUP(V$5,NFI,5,0),1,0)*Table_NFI[[#This Row],[Jerry Can]],Table_NFI[Jerry Can])</f>
        <v>0</v>
      </c>
      <c r="AO598" s="331">
        <f>IF(NFI_Expiration=1,IF($A598&lt;VLOOKUP(V$5,NFI,5,0),1,0)*Table_NFI[[#This Row],[Shelter Tool kit]],Table_NFI[Shelter Tool kit])</f>
        <v>0</v>
      </c>
      <c r="AP598" s="331">
        <f>IF(NFI_Expiration=1,IF($A598&lt;VLOOKUP(V$5,NFI,5,0),1,0)*Table_NFI[[#This Row],[Tent]],Table_NFI[Tent])</f>
        <v>0</v>
      </c>
      <c r="AQ598" s="473" t="str">
        <f>IFERROR(VLOOKUP(Table_NFI[[#This Row],[Camp Name]],CL,2,0),"")</f>
        <v>MMR001CMP131</v>
      </c>
      <c r="AR598" s="468">
        <f ca="1">IF(Table_NFI[[#This Row],[Pcode]]="","",IF(OFFSET(CampList[Opening Date],MATCH(Table_NFI[[#This Row],[Pcode]],CampList[CP_Pcode],0)-1,0,1,1)&gt;=NFI_Monitor_Date,1,0))</f>
        <v>0</v>
      </c>
      <c r="AS598" s="473" t="str">
        <f>IFERROR(VLOOKUP(Table_NFI[[#This Row],[Camp Name]],CL,3,0),"")</f>
        <v>Open</v>
      </c>
      <c r="AT598" s="294" t="str">
        <f ca="1">IF(Table_NFI[[#This Row],[Pcode]]="","",OFFSET(CampList[Priority],MATCH(Table_NFI[[#This Row],[Pcode]],CampList[CP_Pcode],0)-1,0,1,1))</f>
        <v>P1</v>
      </c>
      <c r="AU598" s="293">
        <f>IFERROR(Table_NFI[[#This Row],[Kitchen Set]]/VLOOKUP(Table_NFI[[#This Row],[Camp Name]],CL,4,0),"")</f>
        <v>0</v>
      </c>
      <c r="AV598" s="466"/>
      <c r="AW598" s="469"/>
    </row>
    <row r="599" spans="1:49" s="470" customFormat="1" ht="14.45" customHeight="1" x14ac:dyDescent="0.25">
      <c r="A599" s="297">
        <f t="shared" si="9"/>
        <v>36.06666666666667</v>
      </c>
      <c r="B599" s="465">
        <v>41593</v>
      </c>
      <c r="C599" s="466" t="s">
        <v>452</v>
      </c>
      <c r="D599" s="466" t="s">
        <v>573</v>
      </c>
      <c r="E599" s="466" t="s">
        <v>380</v>
      </c>
      <c r="F599" s="290" t="s">
        <v>5</v>
      </c>
      <c r="G599" s="290"/>
      <c r="H599" s="291"/>
      <c r="I599" s="291"/>
      <c r="J599" s="291"/>
      <c r="K599" s="291"/>
      <c r="L599" s="292">
        <v>12</v>
      </c>
      <c r="M599" s="292"/>
      <c r="N599" s="292"/>
      <c r="O599" s="292"/>
      <c r="P599" s="294"/>
      <c r="Q599" s="294"/>
      <c r="R599" s="294"/>
      <c r="S599" s="294"/>
      <c r="T599" s="294"/>
      <c r="U599" s="294"/>
      <c r="V599" s="431"/>
      <c r="W599" s="294"/>
      <c r="X599" s="294"/>
      <c r="Y599" s="294">
        <f>IF(NFI_Expiration=1,IF($A599&lt;VLOOKUP(H$5,NFI,5,0),1,0)*Table_NFI[[#This Row],[Hygiene Kit]],Table_NFI[Hygiene Kit])</f>
        <v>0</v>
      </c>
      <c r="Z599" s="294">
        <f>IF(NFI_Expiration=1,IF($A599&lt;VLOOKUP(I$5,NFI,5,0),1,0)*Table_NFI[[#This Row],[NFI Core Kit]],Table_NFI[NFI Core Kit])</f>
        <v>0</v>
      </c>
      <c r="AA599" s="294">
        <f>IF(NFI_Expiration=1,IF($A599&lt;VLOOKUP(J$5,NFI,5,0),1,0)*Table_NFI[[#This Row],[Sanitary Kit]],Table_NFI[Sanitary Kit])</f>
        <v>0</v>
      </c>
      <c r="AB599" s="294">
        <f>IF(NFI_Expiration=1,IF($A599&lt;VLOOKUP(K$5,NFI,5,0),1,0)*Table_NFI[[#This Row],[Mosquito net]],Table_NFI[Mosquito net])</f>
        <v>0</v>
      </c>
      <c r="AC599" s="294">
        <f>IF(NFI_Expiration=1,IF($A599&lt;VLOOKUP(L$5,NFI,5,0),1,0)*Table_NFI[[#This Row],[Tarpaulin]],Table_NFI[[#This Row],[Tarpaulin]])</f>
        <v>0</v>
      </c>
      <c r="AD599" s="294">
        <f>IF(NFI_Expiration=1,IF($A599&lt;VLOOKUP(M$5,NFI,5,0),1,0)*Table_NFI[[#This Row],[Blanket]],Table_NFI[[#This Row],[Blanket]])</f>
        <v>0</v>
      </c>
      <c r="AE599" s="294">
        <f>IF(NFI_Expiration=1,IF($A599&lt;VLOOKUP(N$5,NFI,5,0),1,0)*Table_NFI[[#This Row],[Kitchen Set]],Table_NFI[Kitchen Set])</f>
        <v>0</v>
      </c>
      <c r="AF599" s="294">
        <f>IF(NFI_Expiration=1,IF($A599&lt;VLOOKUP(O$5,NFI,5,0),1,0)*Table_NFI[[#This Row],[Clothes Kit]],Table_NFI[Clothes Kit])</f>
        <v>0</v>
      </c>
      <c r="AG599" s="294">
        <f>IF(NFI_Expiration=1,IF($A599&lt;VLOOKUP(P$5,NFI,5,0),1,0)*Table_NFI[[#This Row],[Plastic Bucket]],Table_NFI[Plastic Bucket])</f>
        <v>0</v>
      </c>
      <c r="AH599" s="294">
        <f>IF(NFI_Expiration=1,IF($A599&lt;VLOOKUP(Q$5,NFI,5,0),1,0)*Table_NFI[[#This Row],[Plastic Mat]],Table_NFI[Plastic Mat])*IF(Table_NFI[[#This Row],[Distribution Date]]&gt;"2014-04-01",1,2.5)</f>
        <v>0</v>
      </c>
      <c r="AI599" s="294">
        <f>IF(NFI_Expiration=1,IF($A599&lt;VLOOKUP(R$5,NFI,5,0),1,0)*Table_NFI[[#This Row],[Winter Clothes Adult]],Table_NFI[Winter Clothes Adult])</f>
        <v>0</v>
      </c>
      <c r="AJ599" s="294">
        <f>IF(NFI_Expiration=1,IF($A599&lt;VLOOKUP(S$5,NFI,5,0),1,0)*Table_NFI[[#This Row],[Winter Clothes Children]],Table_NFI[Winter Clothes Children])</f>
        <v>0</v>
      </c>
      <c r="AK599" s="294">
        <f>IF(NFI_Expiration=1,IF($A599&lt;VLOOKUP(T$5,NFI,5,0),1,0)*Table_NFI[[#This Row],[Winter Items Other]],Table_NFI[Winter Items Other])</f>
        <v>0</v>
      </c>
      <c r="AL599" s="294">
        <f>IF(NFI_Expiration=1,IF($A599&lt;VLOOKUP(M$5,NFI,5,0),1,0)*Table_NFI[[#This Row],[Winter Blanket]],Table_NFI[[#This Row],[Winter Blanket]])</f>
        <v>0</v>
      </c>
      <c r="AM599" s="294">
        <f>IF(Table_NFI[[#This Row],[Winter Clothes Adult]]+Table_NFI[[#This Row],[Winter Clothes Children]]+Table_NFI[[#This Row],[Winter Items Other]]+Table_NFI[[#This Row],[Winter Blanket]]&gt;0,1,0)</f>
        <v>0</v>
      </c>
      <c r="AN599" s="331">
        <f>IF(NFI_Expiration=1,IF($A599&lt;VLOOKUP(V$5,NFI,5,0),1,0)*Table_NFI[[#This Row],[Jerry Can]],Table_NFI[Jerry Can])</f>
        <v>0</v>
      </c>
      <c r="AO599" s="331">
        <f>IF(NFI_Expiration=1,IF($A599&lt;VLOOKUP(V$5,NFI,5,0),1,0)*Table_NFI[[#This Row],[Shelter Tool kit]],Table_NFI[Shelter Tool kit])</f>
        <v>0</v>
      </c>
      <c r="AP599" s="331">
        <f>IF(NFI_Expiration=1,IF($A599&lt;VLOOKUP(V$5,NFI,5,0),1,0)*Table_NFI[[#This Row],[Tent]],Table_NFI[Tent])</f>
        <v>0</v>
      </c>
      <c r="AQ599" s="473" t="str">
        <f>IFERROR(VLOOKUP(Table_NFI[[#This Row],[Camp Name]],CL,2,0),"")</f>
        <v/>
      </c>
      <c r="AR599" s="468" t="str">
        <f ca="1">IF(Table_NFI[[#This Row],[Pcode]]="","",IF(OFFSET(CampList[Opening Date],MATCH(Table_NFI[[#This Row],[Pcode]],CampList[CP_Pcode],0)-1,0,1,1)&gt;=NFI_Monitor_Date,1,0))</f>
        <v/>
      </c>
      <c r="AS599" s="473" t="str">
        <f>IFERROR(VLOOKUP(Table_NFI[[#This Row],[Camp Name]],CL,3,0),"")</f>
        <v/>
      </c>
      <c r="AT599" s="294" t="str">
        <f ca="1">IF(Table_NFI[[#This Row],[Pcode]]="","",OFFSET(CampList[Priority],MATCH(Table_NFI[[#This Row],[Pcode]],CampList[CP_Pcode],0)-1,0,1,1))</f>
        <v/>
      </c>
      <c r="AU599" s="293" t="str">
        <f>IFERROR(Table_NFI[[#This Row],[Kitchen Set]]/VLOOKUP(Table_NFI[[#This Row],[Camp Name]],CL,4,0),"")</f>
        <v/>
      </c>
      <c r="AV599" s="466" t="s">
        <v>1092</v>
      </c>
      <c r="AW599" s="469"/>
    </row>
    <row r="600" spans="1:49" s="470" customFormat="1" x14ac:dyDescent="0.25">
      <c r="A600" s="297">
        <f t="shared" si="9"/>
        <v>36.1</v>
      </c>
      <c r="B600" s="465">
        <v>41592</v>
      </c>
      <c r="C600" s="466" t="s">
        <v>452</v>
      </c>
      <c r="D600" s="466" t="s">
        <v>573</v>
      </c>
      <c r="E600" s="466" t="s">
        <v>380</v>
      </c>
      <c r="F600" s="290" t="s">
        <v>5</v>
      </c>
      <c r="G600" s="290" t="s">
        <v>512</v>
      </c>
      <c r="H600" s="291"/>
      <c r="I600" s="291"/>
      <c r="J600" s="291"/>
      <c r="K600" s="291">
        <v>12</v>
      </c>
      <c r="L600" s="292">
        <v>9</v>
      </c>
      <c r="M600" s="292">
        <v>12</v>
      </c>
      <c r="N600" s="292">
        <v>9</v>
      </c>
      <c r="O600" s="292">
        <v>9</v>
      </c>
      <c r="P600" s="294"/>
      <c r="Q600" s="294"/>
      <c r="R600" s="294"/>
      <c r="S600" s="294"/>
      <c r="T600" s="294"/>
      <c r="U600" s="294"/>
      <c r="V600" s="431"/>
      <c r="W600" s="331"/>
      <c r="X600" s="331"/>
      <c r="Y600" s="294">
        <f>IF(NFI_Expiration=1,IF($A600&lt;VLOOKUP(H$5,NFI,5,0),1,0)*Table_NFI[[#This Row],[Hygiene Kit]],Table_NFI[Hygiene Kit])</f>
        <v>0</v>
      </c>
      <c r="Z600" s="294">
        <f>IF(NFI_Expiration=1,IF($A600&lt;VLOOKUP(I$5,NFI,5,0),1,0)*Table_NFI[[#This Row],[NFI Core Kit]],Table_NFI[NFI Core Kit])</f>
        <v>0</v>
      </c>
      <c r="AA600" s="294">
        <f>IF(NFI_Expiration=1,IF($A600&lt;VLOOKUP(J$5,NFI,5,0),1,0)*Table_NFI[[#This Row],[Sanitary Kit]],Table_NFI[Sanitary Kit])</f>
        <v>0</v>
      </c>
      <c r="AB600" s="294">
        <f>IF(NFI_Expiration=1,IF($A600&lt;VLOOKUP(K$5,NFI,5,0),1,0)*Table_NFI[[#This Row],[Mosquito net]],Table_NFI[Mosquito net])</f>
        <v>0</v>
      </c>
      <c r="AC600" s="294">
        <f>IF(NFI_Expiration=1,IF($A600&lt;VLOOKUP(L$5,NFI,5,0),1,0)*Table_NFI[[#This Row],[Tarpaulin]],Table_NFI[[#This Row],[Tarpaulin]])</f>
        <v>0</v>
      </c>
      <c r="AD600" s="294">
        <f>IF(NFI_Expiration=1,IF($A600&lt;VLOOKUP(M$5,NFI,5,0),1,0)*Table_NFI[[#This Row],[Blanket]],Table_NFI[[#This Row],[Blanket]])</f>
        <v>0</v>
      </c>
      <c r="AE600" s="294">
        <f>IF(NFI_Expiration=1,IF($A600&lt;VLOOKUP(N$5,NFI,5,0),1,0)*Table_NFI[[#This Row],[Kitchen Set]],Table_NFI[Kitchen Set])</f>
        <v>0</v>
      </c>
      <c r="AF600" s="294">
        <f>IF(NFI_Expiration=1,IF($A600&lt;VLOOKUP(O$5,NFI,5,0),1,0)*Table_NFI[[#This Row],[Clothes Kit]],Table_NFI[Clothes Kit])</f>
        <v>0</v>
      </c>
      <c r="AG600" s="294">
        <f>IF(NFI_Expiration=1,IF($A600&lt;VLOOKUP(P$5,NFI,5,0),1,0)*Table_NFI[[#This Row],[Plastic Bucket]],Table_NFI[Plastic Bucket])</f>
        <v>0</v>
      </c>
      <c r="AH600" s="294">
        <f>IF(NFI_Expiration=1,IF($A600&lt;VLOOKUP(Q$5,NFI,5,0),1,0)*Table_NFI[[#This Row],[Plastic Mat]],Table_NFI[Plastic Mat])*IF(Table_NFI[[#This Row],[Distribution Date]]&gt;"2014-04-01",1,2.5)</f>
        <v>0</v>
      </c>
      <c r="AI600" s="294">
        <f>IF(NFI_Expiration=1,IF($A600&lt;VLOOKUP(R$5,NFI,5,0),1,0)*Table_NFI[[#This Row],[Winter Clothes Adult]],Table_NFI[Winter Clothes Adult])</f>
        <v>0</v>
      </c>
      <c r="AJ600" s="294">
        <f>IF(NFI_Expiration=1,IF($A600&lt;VLOOKUP(S$5,NFI,5,0),1,0)*Table_NFI[[#This Row],[Winter Clothes Children]],Table_NFI[Winter Clothes Children])</f>
        <v>0</v>
      </c>
      <c r="AK600" s="294">
        <f>IF(NFI_Expiration=1,IF($A600&lt;VLOOKUP(T$5,NFI,5,0),1,0)*Table_NFI[[#This Row],[Winter Items Other]],Table_NFI[Winter Items Other])</f>
        <v>0</v>
      </c>
      <c r="AL600" s="294">
        <f>IF(NFI_Expiration=1,IF($A600&lt;VLOOKUP(M$5,NFI,5,0),1,0)*Table_NFI[[#This Row],[Winter Blanket]],Table_NFI[[#This Row],[Winter Blanket]])</f>
        <v>0</v>
      </c>
      <c r="AM600" s="294">
        <f>IF(Table_NFI[[#This Row],[Winter Clothes Adult]]+Table_NFI[[#This Row],[Winter Clothes Children]]+Table_NFI[[#This Row],[Winter Items Other]]+Table_NFI[[#This Row],[Winter Blanket]]&gt;0,1,0)</f>
        <v>0</v>
      </c>
      <c r="AN600" s="331">
        <f>IF(NFI_Expiration=1,IF($A600&lt;VLOOKUP(V$5,NFI,5,0),1,0)*Table_NFI[[#This Row],[Jerry Can]],Table_NFI[Jerry Can])</f>
        <v>0</v>
      </c>
      <c r="AO600" s="331">
        <f>IF(NFI_Expiration=1,IF($A600&lt;VLOOKUP(V$5,NFI,5,0),1,0)*Table_NFI[[#This Row],[Shelter Tool kit]],Table_NFI[Shelter Tool kit])</f>
        <v>0</v>
      </c>
      <c r="AP600" s="331">
        <f>IF(NFI_Expiration=1,IF($A600&lt;VLOOKUP(V$5,NFI,5,0),1,0)*Table_NFI[[#This Row],[Tent]],Table_NFI[Tent])</f>
        <v>0</v>
      </c>
      <c r="AQ600" s="473" t="str">
        <f>IFERROR(VLOOKUP(Table_NFI[[#This Row],[Camp Name]],CL,2,0),"")</f>
        <v>MMR001CMP194</v>
      </c>
      <c r="AR600" s="468">
        <f ca="1">IF(Table_NFI[[#This Row],[Pcode]]="","",IF(OFFSET(CampList[Opening Date],MATCH(Table_NFI[[#This Row],[Pcode]],CampList[CP_Pcode],0)-1,0,1,1)&gt;=NFI_Monitor_Date,1,0))</f>
        <v>0</v>
      </c>
      <c r="AS600" s="473" t="str">
        <f>IFERROR(VLOOKUP(Table_NFI[[#This Row],[Camp Name]],CL,3,0),"")</f>
        <v>Open</v>
      </c>
      <c r="AT600" s="294" t="str">
        <f ca="1">IF(Table_NFI[[#This Row],[Pcode]]="","",OFFSET(CampList[Priority],MATCH(Table_NFI[[#This Row],[Pcode]],CampList[CP_Pcode],0)-1,0,1,1))</f>
        <v>P4</v>
      </c>
      <c r="AU600" s="293">
        <f>IFERROR(Table_NFI[[#This Row],[Kitchen Set]]/VLOOKUP(Table_NFI[[#This Row],[Camp Name]],CL,4,0),"")</f>
        <v>0.75</v>
      </c>
      <c r="AV600" s="466" t="s">
        <v>1092</v>
      </c>
      <c r="AW600" s="469"/>
    </row>
    <row r="601" spans="1:49" s="470" customFormat="1" ht="14.45" customHeight="1" x14ac:dyDescent="0.25">
      <c r="A601" s="297">
        <f t="shared" si="9"/>
        <v>36.1</v>
      </c>
      <c r="B601" s="465">
        <v>41592</v>
      </c>
      <c r="C601" s="466" t="s">
        <v>905</v>
      </c>
      <c r="D601" s="466" t="s">
        <v>905</v>
      </c>
      <c r="E601" s="466" t="s">
        <v>380</v>
      </c>
      <c r="F601" s="466" t="s">
        <v>151</v>
      </c>
      <c r="G601" s="466" t="s">
        <v>516</v>
      </c>
      <c r="H601" s="291"/>
      <c r="I601" s="291"/>
      <c r="J601" s="291"/>
      <c r="K601" s="291"/>
      <c r="L601" s="292"/>
      <c r="M601" s="292"/>
      <c r="N601" s="292"/>
      <c r="O601" s="292"/>
      <c r="P601" s="294"/>
      <c r="Q601" s="294"/>
      <c r="R601" s="294">
        <v>120</v>
      </c>
      <c r="S601" s="294">
        <v>207</v>
      </c>
      <c r="T601" s="294">
        <v>654</v>
      </c>
      <c r="U601" s="294">
        <v>327</v>
      </c>
      <c r="V601" s="431"/>
      <c r="W601" s="294"/>
      <c r="X601" s="294"/>
      <c r="Y601" s="294">
        <f>IF(NFI_Expiration=1,IF($A601&lt;VLOOKUP(H$5,NFI,5,0),1,0)*Table_NFI[[#This Row],[Hygiene Kit]],Table_NFI[Hygiene Kit])</f>
        <v>0</v>
      </c>
      <c r="Z601" s="294">
        <f>IF(NFI_Expiration=1,IF($A601&lt;VLOOKUP(I$5,NFI,5,0),1,0)*Table_NFI[[#This Row],[NFI Core Kit]],Table_NFI[NFI Core Kit])</f>
        <v>0</v>
      </c>
      <c r="AA601" s="294">
        <f>IF(NFI_Expiration=1,IF($A601&lt;VLOOKUP(J$5,NFI,5,0),1,0)*Table_NFI[[#This Row],[Sanitary Kit]],Table_NFI[Sanitary Kit])</f>
        <v>0</v>
      </c>
      <c r="AB601" s="294">
        <f>IF(NFI_Expiration=1,IF($A601&lt;VLOOKUP(K$5,NFI,5,0),1,0)*Table_NFI[[#This Row],[Mosquito net]],Table_NFI[Mosquito net])</f>
        <v>0</v>
      </c>
      <c r="AC601" s="294">
        <f>IF(NFI_Expiration=1,IF($A601&lt;VLOOKUP(L$5,NFI,5,0),1,0)*Table_NFI[[#This Row],[Tarpaulin]],Table_NFI[[#This Row],[Tarpaulin]])</f>
        <v>0</v>
      </c>
      <c r="AD601" s="294">
        <f>IF(NFI_Expiration=1,IF($A601&lt;VLOOKUP(M$5,NFI,5,0),1,0)*Table_NFI[[#This Row],[Blanket]],Table_NFI[[#This Row],[Blanket]])</f>
        <v>0</v>
      </c>
      <c r="AE601" s="294">
        <f>IF(NFI_Expiration=1,IF($A601&lt;VLOOKUP(N$5,NFI,5,0),1,0)*Table_NFI[[#This Row],[Kitchen Set]],Table_NFI[Kitchen Set])</f>
        <v>0</v>
      </c>
      <c r="AF601" s="294">
        <f>IF(NFI_Expiration=1,IF($A601&lt;VLOOKUP(O$5,NFI,5,0),1,0)*Table_NFI[[#This Row],[Clothes Kit]],Table_NFI[Clothes Kit])</f>
        <v>0</v>
      </c>
      <c r="AG601" s="294">
        <f>IF(NFI_Expiration=1,IF($A601&lt;VLOOKUP(P$5,NFI,5,0),1,0)*Table_NFI[[#This Row],[Plastic Bucket]],Table_NFI[Plastic Bucket])</f>
        <v>0</v>
      </c>
      <c r="AH601" s="294">
        <f>IF(NFI_Expiration=1,IF($A601&lt;VLOOKUP(Q$5,NFI,5,0),1,0)*Table_NFI[[#This Row],[Plastic Mat]],Table_NFI[Plastic Mat])*IF(Table_NFI[[#This Row],[Distribution Date]]&gt;"2014-04-01",1,2.5)</f>
        <v>0</v>
      </c>
      <c r="AI601" s="294">
        <f>IF(NFI_Expiration=1,IF($A601&lt;VLOOKUP(R$5,NFI,5,0),1,0)*Table_NFI[[#This Row],[Winter Clothes Adult]],Table_NFI[Winter Clothes Adult])</f>
        <v>0</v>
      </c>
      <c r="AJ601" s="294">
        <f>IF(NFI_Expiration=1,IF($A601&lt;VLOOKUP(S$5,NFI,5,0),1,0)*Table_NFI[[#This Row],[Winter Clothes Children]],Table_NFI[Winter Clothes Children])</f>
        <v>0</v>
      </c>
      <c r="AK601" s="294">
        <f>IF(NFI_Expiration=1,IF($A601&lt;VLOOKUP(T$5,NFI,5,0),1,0)*Table_NFI[[#This Row],[Winter Items Other]],Table_NFI[Winter Items Other])</f>
        <v>0</v>
      </c>
      <c r="AL601" s="294">
        <f>IF(NFI_Expiration=1,IF($A601&lt;VLOOKUP(M$5,NFI,5,0),1,0)*Table_NFI[[#This Row],[Winter Blanket]],Table_NFI[[#This Row],[Winter Blanket]])</f>
        <v>0</v>
      </c>
      <c r="AM601" s="294">
        <f>IF(Table_NFI[[#This Row],[Winter Clothes Adult]]+Table_NFI[[#This Row],[Winter Clothes Children]]+Table_NFI[[#This Row],[Winter Items Other]]+Table_NFI[[#This Row],[Winter Blanket]]&gt;0,1,0)</f>
        <v>1</v>
      </c>
      <c r="AN601" s="331">
        <f>IF(NFI_Expiration=1,IF($A601&lt;VLOOKUP(V$5,NFI,5,0),1,0)*Table_NFI[[#This Row],[Jerry Can]],Table_NFI[Jerry Can])</f>
        <v>0</v>
      </c>
      <c r="AO601" s="331">
        <f>IF(NFI_Expiration=1,IF($A601&lt;VLOOKUP(V$5,NFI,5,0),1,0)*Table_NFI[[#This Row],[Shelter Tool kit]],Table_NFI[Shelter Tool kit])</f>
        <v>0</v>
      </c>
      <c r="AP601" s="331">
        <f>IF(NFI_Expiration=1,IF($A601&lt;VLOOKUP(V$5,NFI,5,0),1,0)*Table_NFI[[#This Row],[Tent]],Table_NFI[Tent])</f>
        <v>0</v>
      </c>
      <c r="AQ601" s="473" t="str">
        <f>IFERROR(VLOOKUP(Table_NFI[[#This Row],[Camp Name]],CL,2,0),"")</f>
        <v>MMR001CMP202</v>
      </c>
      <c r="AR601" s="468">
        <f ca="1">IF(Table_NFI[[#This Row],[Pcode]]="","",IF(OFFSET(CampList[Opening Date],MATCH(Table_NFI[[#This Row],[Pcode]],CampList[CP_Pcode],0)-1,0,1,1)&gt;=NFI_Monitor_Date,1,0))</f>
        <v>0</v>
      </c>
      <c r="AS601" s="473" t="str">
        <f>IFERROR(VLOOKUP(Table_NFI[[#This Row],[Camp Name]],CL,3,0),"")</f>
        <v>Closed</v>
      </c>
      <c r="AT601" s="294" t="str">
        <f ca="1">IF(Table_NFI[[#This Row],[Pcode]]="","",OFFSET(CampList[Priority],MATCH(Table_NFI[[#This Row],[Pcode]],CampList[CP_Pcode],0)-1,0,1,1))</f>
        <v>P4</v>
      </c>
      <c r="AU601" s="293" t="str">
        <f>IFERROR(Table_NFI[[#This Row],[Kitchen Set]]/VLOOKUP(Table_NFI[[#This Row],[Camp Name]],CL,4,0),"")</f>
        <v/>
      </c>
      <c r="AV601" s="466"/>
      <c r="AW601" s="469"/>
    </row>
    <row r="602" spans="1:49" s="470" customFormat="1" ht="14.45" customHeight="1" x14ac:dyDescent="0.25">
      <c r="A602" s="297">
        <f t="shared" si="9"/>
        <v>36.1</v>
      </c>
      <c r="B602" s="465">
        <v>41592</v>
      </c>
      <c r="C602" s="466" t="s">
        <v>905</v>
      </c>
      <c r="D602" s="466" t="s">
        <v>1002</v>
      </c>
      <c r="E602" s="466" t="s">
        <v>380</v>
      </c>
      <c r="F602" s="290" t="s">
        <v>151</v>
      </c>
      <c r="G602" s="466" t="s">
        <v>198</v>
      </c>
      <c r="H602" s="291"/>
      <c r="I602" s="291"/>
      <c r="J602" s="291"/>
      <c r="K602" s="291"/>
      <c r="L602" s="292"/>
      <c r="M602" s="292"/>
      <c r="N602" s="292"/>
      <c r="O602" s="292"/>
      <c r="P602" s="294"/>
      <c r="Q602" s="294"/>
      <c r="R602" s="294">
        <v>550</v>
      </c>
      <c r="S602" s="294">
        <v>1101</v>
      </c>
      <c r="T602" s="294">
        <v>3302</v>
      </c>
      <c r="U602" s="294">
        <v>1651</v>
      </c>
      <c r="V602" s="431"/>
      <c r="W602" s="294"/>
      <c r="X602" s="294"/>
      <c r="Y602" s="294">
        <f>IF(NFI_Expiration=1,IF($A602&lt;VLOOKUP(H$5,NFI,5,0),1,0)*Table_NFI[[#This Row],[Hygiene Kit]],Table_NFI[Hygiene Kit])</f>
        <v>0</v>
      </c>
      <c r="Z602" s="294">
        <f>IF(NFI_Expiration=1,IF($A602&lt;VLOOKUP(I$5,NFI,5,0),1,0)*Table_NFI[[#This Row],[NFI Core Kit]],Table_NFI[NFI Core Kit])</f>
        <v>0</v>
      </c>
      <c r="AA602" s="294">
        <f>IF(NFI_Expiration=1,IF($A602&lt;VLOOKUP(J$5,NFI,5,0),1,0)*Table_NFI[[#This Row],[Sanitary Kit]],Table_NFI[Sanitary Kit])</f>
        <v>0</v>
      </c>
      <c r="AB602" s="294">
        <f>IF(NFI_Expiration=1,IF($A602&lt;VLOOKUP(K$5,NFI,5,0),1,0)*Table_NFI[[#This Row],[Mosquito net]],Table_NFI[Mosquito net])</f>
        <v>0</v>
      </c>
      <c r="AC602" s="294">
        <f>IF(NFI_Expiration=1,IF($A602&lt;VLOOKUP(L$5,NFI,5,0),1,0)*Table_NFI[[#This Row],[Tarpaulin]],Table_NFI[[#This Row],[Tarpaulin]])</f>
        <v>0</v>
      </c>
      <c r="AD602" s="294">
        <f>IF(NFI_Expiration=1,IF($A602&lt;VLOOKUP(M$5,NFI,5,0),1,0)*Table_NFI[[#This Row],[Blanket]],Table_NFI[[#This Row],[Blanket]])</f>
        <v>0</v>
      </c>
      <c r="AE602" s="294">
        <f>IF(NFI_Expiration=1,IF($A602&lt;VLOOKUP(N$5,NFI,5,0),1,0)*Table_NFI[[#This Row],[Kitchen Set]],Table_NFI[Kitchen Set])</f>
        <v>0</v>
      </c>
      <c r="AF602" s="294">
        <f>IF(NFI_Expiration=1,IF($A602&lt;VLOOKUP(O$5,NFI,5,0),1,0)*Table_NFI[[#This Row],[Clothes Kit]],Table_NFI[Clothes Kit])</f>
        <v>0</v>
      </c>
      <c r="AG602" s="294">
        <f>IF(NFI_Expiration=1,IF($A602&lt;VLOOKUP(P$5,NFI,5,0),1,0)*Table_NFI[[#This Row],[Plastic Bucket]],Table_NFI[Plastic Bucket])</f>
        <v>0</v>
      </c>
      <c r="AH602" s="294">
        <f>IF(NFI_Expiration=1,IF($A602&lt;VLOOKUP(Q$5,NFI,5,0),1,0)*Table_NFI[[#This Row],[Plastic Mat]],Table_NFI[Plastic Mat])*IF(Table_NFI[[#This Row],[Distribution Date]]&gt;"2014-04-01",1,2.5)</f>
        <v>0</v>
      </c>
      <c r="AI602" s="294">
        <f>IF(NFI_Expiration=1,IF($A602&lt;VLOOKUP(R$5,NFI,5,0),1,0)*Table_NFI[[#This Row],[Winter Clothes Adult]],Table_NFI[Winter Clothes Adult])</f>
        <v>0</v>
      </c>
      <c r="AJ602" s="294">
        <f>IF(NFI_Expiration=1,IF($A602&lt;VLOOKUP(S$5,NFI,5,0),1,0)*Table_NFI[[#This Row],[Winter Clothes Children]],Table_NFI[Winter Clothes Children])</f>
        <v>0</v>
      </c>
      <c r="AK602" s="294">
        <f>IF(NFI_Expiration=1,IF($A602&lt;VLOOKUP(T$5,NFI,5,0),1,0)*Table_NFI[[#This Row],[Winter Items Other]],Table_NFI[Winter Items Other])</f>
        <v>0</v>
      </c>
      <c r="AL602" s="294">
        <f>IF(NFI_Expiration=1,IF($A602&lt;VLOOKUP(M$5,NFI,5,0),1,0)*Table_NFI[[#This Row],[Winter Blanket]],Table_NFI[[#This Row],[Winter Blanket]])</f>
        <v>0</v>
      </c>
      <c r="AM602" s="294">
        <f>IF(Table_NFI[[#This Row],[Winter Clothes Adult]]+Table_NFI[[#This Row],[Winter Clothes Children]]+Table_NFI[[#This Row],[Winter Items Other]]+Table_NFI[[#This Row],[Winter Blanket]]&gt;0,1,0)</f>
        <v>1</v>
      </c>
      <c r="AN602" s="331">
        <f>IF(NFI_Expiration=1,IF($A602&lt;VLOOKUP(V$5,NFI,5,0),1,0)*Table_NFI[[#This Row],[Jerry Can]],Table_NFI[Jerry Can])</f>
        <v>0</v>
      </c>
      <c r="AO602" s="331">
        <f>IF(NFI_Expiration=1,IF($A602&lt;VLOOKUP(V$5,NFI,5,0),1,0)*Table_NFI[[#This Row],[Shelter Tool kit]],Table_NFI[Shelter Tool kit])</f>
        <v>0</v>
      </c>
      <c r="AP602" s="331">
        <f>IF(NFI_Expiration=1,IF($A602&lt;VLOOKUP(V$5,NFI,5,0),1,0)*Table_NFI[[#This Row],[Tent]],Table_NFI[Tent])</f>
        <v>0</v>
      </c>
      <c r="AQ602" s="473" t="str">
        <f>IFERROR(VLOOKUP(Table_NFI[[#This Row],[Camp Name]],CL,2,0),"")</f>
        <v>MMR001CMP128</v>
      </c>
      <c r="AR602" s="468">
        <f ca="1">IF(Table_NFI[[#This Row],[Pcode]]="","",IF(OFFSET(CampList[Opening Date],MATCH(Table_NFI[[#This Row],[Pcode]],CampList[CP_Pcode],0)-1,0,1,1)&gt;=NFI_Monitor_Date,1,0))</f>
        <v>0</v>
      </c>
      <c r="AS602" s="473" t="str">
        <f>IFERROR(VLOOKUP(Table_NFI[[#This Row],[Camp Name]],CL,3,0),"")</f>
        <v>Open</v>
      </c>
      <c r="AT602" s="294" t="str">
        <f ca="1">IF(Table_NFI[[#This Row],[Pcode]]="","",OFFSET(CampList[Priority],MATCH(Table_NFI[[#This Row],[Pcode]],CampList[CP_Pcode],0)-1,0,1,1))</f>
        <v>P2</v>
      </c>
      <c r="AU602" s="293">
        <f>IFERROR(Table_NFI[[#This Row],[Kitchen Set]]/VLOOKUP(Table_NFI[[#This Row],[Camp Name]],CL,4,0),"")</f>
        <v>0</v>
      </c>
      <c r="AV602" s="466"/>
      <c r="AW602" s="469"/>
    </row>
    <row r="603" spans="1:49" s="470" customFormat="1" ht="14.45" customHeight="1" x14ac:dyDescent="0.25">
      <c r="A603" s="297">
        <f t="shared" si="9"/>
        <v>36.1</v>
      </c>
      <c r="B603" s="465">
        <v>41592</v>
      </c>
      <c r="C603" s="466" t="s">
        <v>453</v>
      </c>
      <c r="D603" s="466"/>
      <c r="E603" s="466" t="s">
        <v>380</v>
      </c>
      <c r="F603" s="466" t="s">
        <v>185</v>
      </c>
      <c r="G603" s="466" t="s">
        <v>186</v>
      </c>
      <c r="H603" s="291"/>
      <c r="I603" s="291"/>
      <c r="J603" s="291"/>
      <c r="K603" s="291"/>
      <c r="L603" s="292"/>
      <c r="M603" s="292">
        <v>75</v>
      </c>
      <c r="N603" s="292"/>
      <c r="O603" s="292"/>
      <c r="P603" s="294"/>
      <c r="Q603" s="294"/>
      <c r="R603" s="294"/>
      <c r="S603" s="294"/>
      <c r="T603" s="294"/>
      <c r="U603" s="294"/>
      <c r="V603" s="431"/>
      <c r="W603" s="294"/>
      <c r="X603" s="294"/>
      <c r="Y603" s="294">
        <f>IF(NFI_Expiration=1,IF($A603&lt;VLOOKUP(H$5,NFI,5,0),1,0)*Table_NFI[[#This Row],[Hygiene Kit]],Table_NFI[Hygiene Kit])</f>
        <v>0</v>
      </c>
      <c r="Z603" s="294">
        <f>IF(NFI_Expiration=1,IF($A603&lt;VLOOKUP(I$5,NFI,5,0),1,0)*Table_NFI[[#This Row],[NFI Core Kit]],Table_NFI[NFI Core Kit])</f>
        <v>0</v>
      </c>
      <c r="AA603" s="294">
        <f>IF(NFI_Expiration=1,IF($A603&lt;VLOOKUP(J$5,NFI,5,0),1,0)*Table_NFI[[#This Row],[Sanitary Kit]],Table_NFI[Sanitary Kit])</f>
        <v>0</v>
      </c>
      <c r="AB603" s="294">
        <f>IF(NFI_Expiration=1,IF($A603&lt;VLOOKUP(K$5,NFI,5,0),1,0)*Table_NFI[[#This Row],[Mosquito net]],Table_NFI[Mosquito net])</f>
        <v>0</v>
      </c>
      <c r="AC603" s="294">
        <f>IF(NFI_Expiration=1,IF($A603&lt;VLOOKUP(L$5,NFI,5,0),1,0)*Table_NFI[[#This Row],[Tarpaulin]],Table_NFI[[#This Row],[Tarpaulin]])</f>
        <v>0</v>
      </c>
      <c r="AD603" s="294">
        <f>IF(NFI_Expiration=1,IF($A603&lt;VLOOKUP(M$5,NFI,5,0),1,0)*Table_NFI[[#This Row],[Blanket]],Table_NFI[[#This Row],[Blanket]])</f>
        <v>0</v>
      </c>
      <c r="AE603" s="294">
        <f>IF(NFI_Expiration=1,IF($A603&lt;VLOOKUP(N$5,NFI,5,0),1,0)*Table_NFI[[#This Row],[Kitchen Set]],Table_NFI[Kitchen Set])</f>
        <v>0</v>
      </c>
      <c r="AF603" s="294">
        <f>IF(NFI_Expiration=1,IF($A603&lt;VLOOKUP(O$5,NFI,5,0),1,0)*Table_NFI[[#This Row],[Clothes Kit]],Table_NFI[Clothes Kit])</f>
        <v>0</v>
      </c>
      <c r="AG603" s="294">
        <f>IF(NFI_Expiration=1,IF($A603&lt;VLOOKUP(P$5,NFI,5,0),1,0)*Table_NFI[[#This Row],[Plastic Bucket]],Table_NFI[Plastic Bucket])</f>
        <v>0</v>
      </c>
      <c r="AH603" s="294">
        <f>IF(NFI_Expiration=1,IF($A603&lt;VLOOKUP(Q$5,NFI,5,0),1,0)*Table_NFI[[#This Row],[Plastic Mat]],Table_NFI[Plastic Mat])*IF(Table_NFI[[#This Row],[Distribution Date]]&gt;"2014-04-01",1,2.5)</f>
        <v>0</v>
      </c>
      <c r="AI603" s="294">
        <f>IF(NFI_Expiration=1,IF($A603&lt;VLOOKUP(R$5,NFI,5,0),1,0)*Table_NFI[[#This Row],[Winter Clothes Adult]],Table_NFI[Winter Clothes Adult])</f>
        <v>0</v>
      </c>
      <c r="AJ603" s="294">
        <f>IF(NFI_Expiration=1,IF($A603&lt;VLOOKUP(S$5,NFI,5,0),1,0)*Table_NFI[[#This Row],[Winter Clothes Children]],Table_NFI[Winter Clothes Children])</f>
        <v>0</v>
      </c>
      <c r="AK603" s="294">
        <f>IF(NFI_Expiration=1,IF($A603&lt;VLOOKUP(T$5,NFI,5,0),1,0)*Table_NFI[[#This Row],[Winter Items Other]],Table_NFI[Winter Items Other])</f>
        <v>0</v>
      </c>
      <c r="AL603" s="294">
        <f>IF(NFI_Expiration=1,IF($A603&lt;VLOOKUP(M$5,NFI,5,0),1,0)*Table_NFI[[#This Row],[Winter Blanket]],Table_NFI[[#This Row],[Winter Blanket]])</f>
        <v>0</v>
      </c>
      <c r="AM603" s="294">
        <f>IF(Table_NFI[[#This Row],[Winter Clothes Adult]]+Table_NFI[[#This Row],[Winter Clothes Children]]+Table_NFI[[#This Row],[Winter Items Other]]+Table_NFI[[#This Row],[Winter Blanket]]&gt;0,1,0)</f>
        <v>0</v>
      </c>
      <c r="AN603" s="331">
        <f>IF(NFI_Expiration=1,IF($A603&lt;VLOOKUP(V$5,NFI,5,0),1,0)*Table_NFI[[#This Row],[Jerry Can]],Table_NFI[Jerry Can])</f>
        <v>0</v>
      </c>
      <c r="AO603" s="331">
        <f>IF(NFI_Expiration=1,IF($A603&lt;VLOOKUP(V$5,NFI,5,0),1,0)*Table_NFI[[#This Row],[Shelter Tool kit]],Table_NFI[Shelter Tool kit])</f>
        <v>0</v>
      </c>
      <c r="AP603" s="331">
        <f>IF(NFI_Expiration=1,IF($A603&lt;VLOOKUP(V$5,NFI,5,0),1,0)*Table_NFI[[#This Row],[Tent]],Table_NFI[Tent])</f>
        <v>0</v>
      </c>
      <c r="AQ603" s="473" t="str">
        <f>IFERROR(VLOOKUP(Table_NFI[[#This Row],[Camp Name]],CL,2,0),"")</f>
        <v>MMR001CMP071</v>
      </c>
      <c r="AR603" s="468">
        <f ca="1">IF(Table_NFI[[#This Row],[Pcode]]="","",IF(OFFSET(CampList[Opening Date],MATCH(Table_NFI[[#This Row],[Pcode]],CampList[CP_Pcode],0)-1,0,1,1)&gt;=NFI_Monitor_Date,1,0))</f>
        <v>0</v>
      </c>
      <c r="AS603" s="473" t="str">
        <f>IFERROR(VLOOKUP(Table_NFI[[#This Row],[Camp Name]],CL,3,0),"")</f>
        <v>Open</v>
      </c>
      <c r="AT603" s="294" t="str">
        <f ca="1">IF(Table_NFI[[#This Row],[Pcode]]="","",OFFSET(CampList[Priority],MATCH(Table_NFI[[#This Row],[Pcode]],CampList[CP_Pcode],0)-1,0,1,1))</f>
        <v>P3</v>
      </c>
      <c r="AU603" s="293">
        <f>IFERROR(Table_NFI[[#This Row],[Kitchen Set]]/VLOOKUP(Table_NFI[[#This Row],[Camp Name]],CL,4,0),"")</f>
        <v>0</v>
      </c>
      <c r="AV603" s="466" t="s">
        <v>1092</v>
      </c>
      <c r="AW603" s="469"/>
    </row>
    <row r="604" spans="1:49" s="470" customFormat="1" ht="14.45" customHeight="1" x14ac:dyDescent="0.25">
      <c r="A604" s="297">
        <f t="shared" si="9"/>
        <v>36.1</v>
      </c>
      <c r="B604" s="465">
        <v>41592</v>
      </c>
      <c r="C604" s="466" t="s">
        <v>453</v>
      </c>
      <c r="D604" s="466"/>
      <c r="E604" s="466" t="s">
        <v>380</v>
      </c>
      <c r="F604" s="466" t="s">
        <v>151</v>
      </c>
      <c r="G604" s="466" t="s">
        <v>160</v>
      </c>
      <c r="H604" s="291"/>
      <c r="I604" s="291"/>
      <c r="J604" s="291"/>
      <c r="K604" s="291"/>
      <c r="L604" s="292"/>
      <c r="M604" s="292"/>
      <c r="N604" s="292"/>
      <c r="O604" s="292"/>
      <c r="P604" s="294"/>
      <c r="Q604" s="294"/>
      <c r="R604" s="294"/>
      <c r="S604" s="294">
        <v>32</v>
      </c>
      <c r="T604" s="294"/>
      <c r="U604" s="294"/>
      <c r="V604" s="431"/>
      <c r="W604" s="294"/>
      <c r="X604" s="294"/>
      <c r="Y604" s="294">
        <f>IF(NFI_Expiration=1,IF($A604&lt;VLOOKUP(H$5,NFI,5,0),1,0)*Table_NFI[[#This Row],[Hygiene Kit]],Table_NFI[Hygiene Kit])</f>
        <v>0</v>
      </c>
      <c r="Z604" s="294">
        <f>IF(NFI_Expiration=1,IF($A604&lt;VLOOKUP(I$5,NFI,5,0),1,0)*Table_NFI[[#This Row],[NFI Core Kit]],Table_NFI[NFI Core Kit])</f>
        <v>0</v>
      </c>
      <c r="AA604" s="294">
        <f>IF(NFI_Expiration=1,IF($A604&lt;VLOOKUP(J$5,NFI,5,0),1,0)*Table_NFI[[#This Row],[Sanitary Kit]],Table_NFI[Sanitary Kit])</f>
        <v>0</v>
      </c>
      <c r="AB604" s="294">
        <f>IF(NFI_Expiration=1,IF($A604&lt;VLOOKUP(K$5,NFI,5,0),1,0)*Table_NFI[[#This Row],[Mosquito net]],Table_NFI[Mosquito net])</f>
        <v>0</v>
      </c>
      <c r="AC604" s="294">
        <f>IF(NFI_Expiration=1,IF($A604&lt;VLOOKUP(L$5,NFI,5,0),1,0)*Table_NFI[[#This Row],[Tarpaulin]],Table_NFI[[#This Row],[Tarpaulin]])</f>
        <v>0</v>
      </c>
      <c r="AD604" s="294">
        <f>IF(NFI_Expiration=1,IF($A604&lt;VLOOKUP(M$5,NFI,5,0),1,0)*Table_NFI[[#This Row],[Blanket]],Table_NFI[[#This Row],[Blanket]])</f>
        <v>0</v>
      </c>
      <c r="AE604" s="294">
        <f>IF(NFI_Expiration=1,IF($A604&lt;VLOOKUP(N$5,NFI,5,0),1,0)*Table_NFI[[#This Row],[Kitchen Set]],Table_NFI[Kitchen Set])</f>
        <v>0</v>
      </c>
      <c r="AF604" s="294">
        <f>IF(NFI_Expiration=1,IF($A604&lt;VLOOKUP(O$5,NFI,5,0),1,0)*Table_NFI[[#This Row],[Clothes Kit]],Table_NFI[Clothes Kit])</f>
        <v>0</v>
      </c>
      <c r="AG604" s="294">
        <f>IF(NFI_Expiration=1,IF($A604&lt;VLOOKUP(P$5,NFI,5,0),1,0)*Table_NFI[[#This Row],[Plastic Bucket]],Table_NFI[Plastic Bucket])</f>
        <v>0</v>
      </c>
      <c r="AH604" s="294">
        <f>IF(NFI_Expiration=1,IF($A604&lt;VLOOKUP(Q$5,NFI,5,0),1,0)*Table_NFI[[#This Row],[Plastic Mat]],Table_NFI[Plastic Mat])*IF(Table_NFI[[#This Row],[Distribution Date]]&gt;"2014-04-01",1,2.5)</f>
        <v>0</v>
      </c>
      <c r="AI604" s="294">
        <f>IF(NFI_Expiration=1,IF($A604&lt;VLOOKUP(R$5,NFI,5,0),1,0)*Table_NFI[[#This Row],[Winter Clothes Adult]],Table_NFI[Winter Clothes Adult])</f>
        <v>0</v>
      </c>
      <c r="AJ604" s="294">
        <f>IF(NFI_Expiration=1,IF($A604&lt;VLOOKUP(S$5,NFI,5,0),1,0)*Table_NFI[[#This Row],[Winter Clothes Children]],Table_NFI[Winter Clothes Children])</f>
        <v>0</v>
      </c>
      <c r="AK604" s="294">
        <f>IF(NFI_Expiration=1,IF($A604&lt;VLOOKUP(T$5,NFI,5,0),1,0)*Table_NFI[[#This Row],[Winter Items Other]],Table_NFI[Winter Items Other])</f>
        <v>0</v>
      </c>
      <c r="AL604" s="294">
        <f>IF(NFI_Expiration=1,IF($A604&lt;VLOOKUP(M$5,NFI,5,0),1,0)*Table_NFI[[#This Row],[Winter Blanket]],Table_NFI[[#This Row],[Winter Blanket]])</f>
        <v>0</v>
      </c>
      <c r="AM604" s="294">
        <f>IF(Table_NFI[[#This Row],[Winter Clothes Adult]]+Table_NFI[[#This Row],[Winter Clothes Children]]+Table_NFI[[#This Row],[Winter Items Other]]+Table_NFI[[#This Row],[Winter Blanket]]&gt;0,1,0)</f>
        <v>1</v>
      </c>
      <c r="AN604" s="331">
        <f>IF(NFI_Expiration=1,IF($A604&lt;VLOOKUP(V$5,NFI,5,0),1,0)*Table_NFI[[#This Row],[Jerry Can]],Table_NFI[Jerry Can])</f>
        <v>0</v>
      </c>
      <c r="AO604" s="331">
        <f>IF(NFI_Expiration=1,IF($A604&lt;VLOOKUP(V$5,NFI,5,0),1,0)*Table_NFI[[#This Row],[Shelter Tool kit]],Table_NFI[Shelter Tool kit])</f>
        <v>0</v>
      </c>
      <c r="AP604" s="331">
        <f>IF(NFI_Expiration=1,IF($A604&lt;VLOOKUP(V$5,NFI,5,0),1,0)*Table_NFI[[#This Row],[Tent]],Table_NFI[Tent])</f>
        <v>0</v>
      </c>
      <c r="AQ604" s="473" t="str">
        <f>IFERROR(VLOOKUP(Table_NFI[[#This Row],[Camp Name]],CL,2,0),"")</f>
        <v>MMR001CMP133</v>
      </c>
      <c r="AR604" s="468">
        <f ca="1">IF(Table_NFI[[#This Row],[Pcode]]="","",IF(OFFSET(CampList[Opening Date],MATCH(Table_NFI[[#This Row],[Pcode]],CampList[CP_Pcode],0)-1,0,1,1)&gt;=NFI_Monitor_Date,1,0))</f>
        <v>0</v>
      </c>
      <c r="AS604" s="473" t="str">
        <f>IFERROR(VLOOKUP(Table_NFI[[#This Row],[Camp Name]],CL,3,0),"")</f>
        <v>Open</v>
      </c>
      <c r="AT604" s="294" t="str">
        <f ca="1">IF(Table_NFI[[#This Row],[Pcode]]="","",OFFSET(CampList[Priority],MATCH(Table_NFI[[#This Row],[Pcode]],CampList[CP_Pcode],0)-1,0,1,1))</f>
        <v>P4</v>
      </c>
      <c r="AU604" s="293">
        <f>IFERROR(Table_NFI[[#This Row],[Kitchen Set]]/VLOOKUP(Table_NFI[[#This Row],[Camp Name]],CL,4,0),"")</f>
        <v>0</v>
      </c>
      <c r="AV604" s="466" t="s">
        <v>1092</v>
      </c>
      <c r="AW604" s="469"/>
    </row>
    <row r="605" spans="1:49" s="470" customFormat="1" ht="14.45" customHeight="1" x14ac:dyDescent="0.25">
      <c r="A605" s="297">
        <f t="shared" si="9"/>
        <v>36.1</v>
      </c>
      <c r="B605" s="465">
        <v>41592</v>
      </c>
      <c r="C605" s="466" t="s">
        <v>905</v>
      </c>
      <c r="D605" s="466" t="s">
        <v>905</v>
      </c>
      <c r="E605" s="466" t="s">
        <v>380</v>
      </c>
      <c r="F605" s="466" t="s">
        <v>151</v>
      </c>
      <c r="G605" s="466" t="s">
        <v>154</v>
      </c>
      <c r="H605" s="291"/>
      <c r="I605" s="291"/>
      <c r="J605" s="291"/>
      <c r="K605" s="291"/>
      <c r="L605" s="292"/>
      <c r="M605" s="292"/>
      <c r="N605" s="292"/>
      <c r="O605" s="292"/>
      <c r="P605" s="294"/>
      <c r="Q605" s="294"/>
      <c r="R605" s="294"/>
      <c r="S605" s="294">
        <v>176</v>
      </c>
      <c r="T605" s="294">
        <v>352</v>
      </c>
      <c r="U605" s="294">
        <v>176</v>
      </c>
      <c r="V605" s="431"/>
      <c r="W605" s="294"/>
      <c r="X605" s="294"/>
      <c r="Y605" s="294">
        <f>IF(NFI_Expiration=1,IF($A605&lt;VLOOKUP(H$5,NFI,5,0),1,0)*Table_NFI[[#This Row],[Hygiene Kit]],Table_NFI[Hygiene Kit])</f>
        <v>0</v>
      </c>
      <c r="Z605" s="294">
        <f>IF(NFI_Expiration=1,IF($A605&lt;VLOOKUP(I$5,NFI,5,0),1,0)*Table_NFI[[#This Row],[NFI Core Kit]],Table_NFI[NFI Core Kit])</f>
        <v>0</v>
      </c>
      <c r="AA605" s="294">
        <f>IF(NFI_Expiration=1,IF($A605&lt;VLOOKUP(J$5,NFI,5,0),1,0)*Table_NFI[[#This Row],[Sanitary Kit]],Table_NFI[Sanitary Kit])</f>
        <v>0</v>
      </c>
      <c r="AB605" s="294">
        <f>IF(NFI_Expiration=1,IF($A605&lt;VLOOKUP(K$5,NFI,5,0),1,0)*Table_NFI[[#This Row],[Mosquito net]],Table_NFI[Mosquito net])</f>
        <v>0</v>
      </c>
      <c r="AC605" s="294">
        <f>IF(NFI_Expiration=1,IF($A605&lt;VLOOKUP(L$5,NFI,5,0),1,0)*Table_NFI[[#This Row],[Tarpaulin]],Table_NFI[[#This Row],[Tarpaulin]])</f>
        <v>0</v>
      </c>
      <c r="AD605" s="294">
        <f>IF(NFI_Expiration=1,IF($A605&lt;VLOOKUP(M$5,NFI,5,0),1,0)*Table_NFI[[#This Row],[Blanket]],Table_NFI[[#This Row],[Blanket]])</f>
        <v>0</v>
      </c>
      <c r="AE605" s="294">
        <f>IF(NFI_Expiration=1,IF($A605&lt;VLOOKUP(N$5,NFI,5,0),1,0)*Table_NFI[[#This Row],[Kitchen Set]],Table_NFI[Kitchen Set])</f>
        <v>0</v>
      </c>
      <c r="AF605" s="294">
        <f>IF(NFI_Expiration=1,IF($A605&lt;VLOOKUP(O$5,NFI,5,0),1,0)*Table_NFI[[#This Row],[Clothes Kit]],Table_NFI[Clothes Kit])</f>
        <v>0</v>
      </c>
      <c r="AG605" s="294">
        <f>IF(NFI_Expiration=1,IF($A605&lt;VLOOKUP(P$5,NFI,5,0),1,0)*Table_NFI[[#This Row],[Plastic Bucket]],Table_NFI[Plastic Bucket])</f>
        <v>0</v>
      </c>
      <c r="AH605" s="294">
        <f>IF(NFI_Expiration=1,IF($A605&lt;VLOOKUP(Q$5,NFI,5,0),1,0)*Table_NFI[[#This Row],[Plastic Mat]],Table_NFI[Plastic Mat])*IF(Table_NFI[[#This Row],[Distribution Date]]&gt;"2014-04-01",1,2.5)</f>
        <v>0</v>
      </c>
      <c r="AI605" s="294">
        <f>IF(NFI_Expiration=1,IF($A605&lt;VLOOKUP(R$5,NFI,5,0),1,0)*Table_NFI[[#This Row],[Winter Clothes Adult]],Table_NFI[Winter Clothes Adult])</f>
        <v>0</v>
      </c>
      <c r="AJ605" s="294">
        <f>IF(NFI_Expiration=1,IF($A605&lt;VLOOKUP(S$5,NFI,5,0),1,0)*Table_NFI[[#This Row],[Winter Clothes Children]],Table_NFI[Winter Clothes Children])</f>
        <v>0</v>
      </c>
      <c r="AK605" s="294">
        <f>IF(NFI_Expiration=1,IF($A605&lt;VLOOKUP(T$5,NFI,5,0),1,0)*Table_NFI[[#This Row],[Winter Items Other]],Table_NFI[Winter Items Other])</f>
        <v>0</v>
      </c>
      <c r="AL605" s="294">
        <f>IF(NFI_Expiration=1,IF($A605&lt;VLOOKUP(M$5,NFI,5,0),1,0)*Table_NFI[[#This Row],[Winter Blanket]],Table_NFI[[#This Row],[Winter Blanket]])</f>
        <v>0</v>
      </c>
      <c r="AM605" s="294">
        <f>IF(Table_NFI[[#This Row],[Winter Clothes Adult]]+Table_NFI[[#This Row],[Winter Clothes Children]]+Table_NFI[[#This Row],[Winter Items Other]]+Table_NFI[[#This Row],[Winter Blanket]]&gt;0,1,0)</f>
        <v>1</v>
      </c>
      <c r="AN605" s="331">
        <f>IF(NFI_Expiration=1,IF($A605&lt;VLOOKUP(V$5,NFI,5,0),1,0)*Table_NFI[[#This Row],[Jerry Can]],Table_NFI[Jerry Can])</f>
        <v>0</v>
      </c>
      <c r="AO605" s="331">
        <f>IF(NFI_Expiration=1,IF($A605&lt;VLOOKUP(V$5,NFI,5,0),1,0)*Table_NFI[[#This Row],[Shelter Tool kit]],Table_NFI[Shelter Tool kit])</f>
        <v>0</v>
      </c>
      <c r="AP605" s="331">
        <f>IF(NFI_Expiration=1,IF($A605&lt;VLOOKUP(V$5,NFI,5,0),1,0)*Table_NFI[[#This Row],[Tent]],Table_NFI[Tent])</f>
        <v>0</v>
      </c>
      <c r="AQ605" s="473" t="str">
        <f>IFERROR(VLOOKUP(Table_NFI[[#This Row],[Camp Name]],CL,2,0),"")</f>
        <v>MMR001CMP132</v>
      </c>
      <c r="AR605" s="468">
        <f ca="1">IF(Table_NFI[[#This Row],[Pcode]]="","",IF(OFFSET(CampList[Opening Date],MATCH(Table_NFI[[#This Row],[Pcode]],CampList[CP_Pcode],0)-1,0,1,1)&gt;=NFI_Monitor_Date,1,0))</f>
        <v>0</v>
      </c>
      <c r="AS605" s="473" t="str">
        <f>IFERROR(VLOOKUP(Table_NFI[[#This Row],[Camp Name]],CL,3,0),"")</f>
        <v>Open</v>
      </c>
      <c r="AT605" s="294" t="str">
        <f ca="1">IF(Table_NFI[[#This Row],[Pcode]]="","",OFFSET(CampList[Priority],MATCH(Table_NFI[[#This Row],[Pcode]],CampList[CP_Pcode],0)-1,0,1,1))</f>
        <v>P4</v>
      </c>
      <c r="AU605" s="293">
        <f>IFERROR(Table_NFI[[#This Row],[Kitchen Set]]/VLOOKUP(Table_NFI[[#This Row],[Camp Name]],CL,4,0),"")</f>
        <v>0</v>
      </c>
      <c r="AV605" s="466"/>
      <c r="AW605" s="469"/>
    </row>
    <row r="606" spans="1:49" s="470" customFormat="1" ht="14.45" customHeight="1" x14ac:dyDescent="0.25">
      <c r="A606" s="297">
        <f t="shared" si="9"/>
        <v>36.1</v>
      </c>
      <c r="B606" s="465">
        <v>41592</v>
      </c>
      <c r="C606" s="466" t="s">
        <v>452</v>
      </c>
      <c r="D606" s="466" t="s">
        <v>452</v>
      </c>
      <c r="E606" s="466" t="s">
        <v>380</v>
      </c>
      <c r="F606" s="290" t="s">
        <v>151</v>
      </c>
      <c r="G606" s="290" t="s">
        <v>152</v>
      </c>
      <c r="H606" s="291"/>
      <c r="I606" s="291"/>
      <c r="J606" s="291">
        <v>18</v>
      </c>
      <c r="K606" s="291">
        <v>31</v>
      </c>
      <c r="L606" s="292">
        <v>18</v>
      </c>
      <c r="M606" s="292">
        <v>31</v>
      </c>
      <c r="N606" s="292">
        <v>18</v>
      </c>
      <c r="O606" s="292">
        <v>18</v>
      </c>
      <c r="P606" s="294"/>
      <c r="Q606" s="294"/>
      <c r="R606" s="294"/>
      <c r="S606" s="294"/>
      <c r="T606" s="294"/>
      <c r="U606" s="294"/>
      <c r="V606" s="431"/>
      <c r="W606" s="294"/>
      <c r="X606" s="294"/>
      <c r="Y606" s="294">
        <f>IF(NFI_Expiration=1,IF($A606&lt;VLOOKUP(H$5,NFI,5,0),1,0)*Table_NFI[[#This Row],[Hygiene Kit]],Table_NFI[Hygiene Kit])</f>
        <v>0</v>
      </c>
      <c r="Z606" s="294">
        <f>IF(NFI_Expiration=1,IF($A606&lt;VLOOKUP(I$5,NFI,5,0),1,0)*Table_NFI[[#This Row],[NFI Core Kit]],Table_NFI[NFI Core Kit])</f>
        <v>0</v>
      </c>
      <c r="AA606" s="294">
        <f>IF(NFI_Expiration=1,IF($A606&lt;VLOOKUP(J$5,NFI,5,0),1,0)*Table_NFI[[#This Row],[Sanitary Kit]],Table_NFI[Sanitary Kit])</f>
        <v>0</v>
      </c>
      <c r="AB606" s="294">
        <f>IF(NFI_Expiration=1,IF($A606&lt;VLOOKUP(K$5,NFI,5,0),1,0)*Table_NFI[[#This Row],[Mosquito net]],Table_NFI[Mosquito net])</f>
        <v>0</v>
      </c>
      <c r="AC606" s="294">
        <f>IF(NFI_Expiration=1,IF($A606&lt;VLOOKUP(L$5,NFI,5,0),1,0)*Table_NFI[[#This Row],[Tarpaulin]],Table_NFI[[#This Row],[Tarpaulin]])</f>
        <v>0</v>
      </c>
      <c r="AD606" s="294">
        <f>IF(NFI_Expiration=1,IF($A606&lt;VLOOKUP(M$5,NFI,5,0),1,0)*Table_NFI[[#This Row],[Blanket]],Table_NFI[[#This Row],[Blanket]])</f>
        <v>0</v>
      </c>
      <c r="AE606" s="294">
        <f>IF(NFI_Expiration=1,IF($A606&lt;VLOOKUP(N$5,NFI,5,0),1,0)*Table_NFI[[#This Row],[Kitchen Set]],Table_NFI[Kitchen Set])</f>
        <v>0</v>
      </c>
      <c r="AF606" s="294">
        <f>IF(NFI_Expiration=1,IF($A606&lt;VLOOKUP(O$5,NFI,5,0),1,0)*Table_NFI[[#This Row],[Clothes Kit]],Table_NFI[Clothes Kit])</f>
        <v>0</v>
      </c>
      <c r="AG606" s="294">
        <f>IF(NFI_Expiration=1,IF($A606&lt;VLOOKUP(P$5,NFI,5,0),1,0)*Table_NFI[[#This Row],[Plastic Bucket]],Table_NFI[Plastic Bucket])</f>
        <v>0</v>
      </c>
      <c r="AH606" s="294">
        <f>IF(NFI_Expiration=1,IF($A606&lt;VLOOKUP(Q$5,NFI,5,0),1,0)*Table_NFI[[#This Row],[Plastic Mat]],Table_NFI[Plastic Mat])*IF(Table_NFI[[#This Row],[Distribution Date]]&gt;"2014-04-01",1,2.5)</f>
        <v>0</v>
      </c>
      <c r="AI606" s="294">
        <f>IF(NFI_Expiration=1,IF($A606&lt;VLOOKUP(R$5,NFI,5,0),1,0)*Table_NFI[[#This Row],[Winter Clothes Adult]],Table_NFI[Winter Clothes Adult])</f>
        <v>0</v>
      </c>
      <c r="AJ606" s="294">
        <f>IF(NFI_Expiration=1,IF($A606&lt;VLOOKUP(S$5,NFI,5,0),1,0)*Table_NFI[[#This Row],[Winter Clothes Children]],Table_NFI[Winter Clothes Children])</f>
        <v>0</v>
      </c>
      <c r="AK606" s="294">
        <f>IF(NFI_Expiration=1,IF($A606&lt;VLOOKUP(T$5,NFI,5,0),1,0)*Table_NFI[[#This Row],[Winter Items Other]],Table_NFI[Winter Items Other])</f>
        <v>0</v>
      </c>
      <c r="AL606" s="294">
        <f>IF(NFI_Expiration=1,IF($A606&lt;VLOOKUP(M$5,NFI,5,0),1,0)*Table_NFI[[#This Row],[Winter Blanket]],Table_NFI[[#This Row],[Winter Blanket]])</f>
        <v>0</v>
      </c>
      <c r="AM606" s="294">
        <f>IF(Table_NFI[[#This Row],[Winter Clothes Adult]]+Table_NFI[[#This Row],[Winter Clothes Children]]+Table_NFI[[#This Row],[Winter Items Other]]+Table_NFI[[#This Row],[Winter Blanket]]&gt;0,1,0)</f>
        <v>0</v>
      </c>
      <c r="AN606" s="331">
        <f>IF(NFI_Expiration=1,IF($A606&lt;VLOOKUP(V$5,NFI,5,0),1,0)*Table_NFI[[#This Row],[Jerry Can]],Table_NFI[Jerry Can])</f>
        <v>0</v>
      </c>
      <c r="AO606" s="331">
        <f>IF(NFI_Expiration=1,IF($A606&lt;VLOOKUP(V$5,NFI,5,0),1,0)*Table_NFI[[#This Row],[Shelter Tool kit]],Table_NFI[Shelter Tool kit])</f>
        <v>0</v>
      </c>
      <c r="AP606" s="331">
        <f>IF(NFI_Expiration=1,IF($A606&lt;VLOOKUP(V$5,NFI,5,0),1,0)*Table_NFI[[#This Row],[Tent]],Table_NFI[Tent])</f>
        <v>0</v>
      </c>
      <c r="AQ606" s="473" t="str">
        <f>IFERROR(VLOOKUP(Table_NFI[[#This Row],[Camp Name]],CL,2,0),"")</f>
        <v>MMR001CMP066</v>
      </c>
      <c r="AR606" s="468">
        <f ca="1">IF(Table_NFI[[#This Row],[Pcode]]="","",IF(OFFSET(CampList[Opening Date],MATCH(Table_NFI[[#This Row],[Pcode]],CampList[CP_Pcode],0)-1,0,1,1)&gt;=NFI_Monitor_Date,1,0))</f>
        <v>0</v>
      </c>
      <c r="AS606" s="473" t="str">
        <f>IFERROR(VLOOKUP(Table_NFI[[#This Row],[Camp Name]],CL,3,0),"")</f>
        <v>Open</v>
      </c>
      <c r="AT606" s="294" t="str">
        <f ca="1">IF(Table_NFI[[#This Row],[Pcode]]="","",OFFSET(CampList[Priority],MATCH(Table_NFI[[#This Row],[Pcode]],CampList[CP_Pcode],0)-1,0,1,1))</f>
        <v>P4</v>
      </c>
      <c r="AU606" s="293">
        <f>IFERROR(Table_NFI[[#This Row],[Kitchen Set]]/VLOOKUP(Table_NFI[[#This Row],[Camp Name]],CL,4,0),"")</f>
        <v>9.1370558375634514E-2</v>
      </c>
      <c r="AV606" s="466" t="s">
        <v>1092</v>
      </c>
      <c r="AW606" s="469"/>
    </row>
    <row r="607" spans="1:49" s="470" customFormat="1" ht="14.45" customHeight="1" x14ac:dyDescent="0.25">
      <c r="A607" s="297">
        <f t="shared" si="9"/>
        <v>36.1</v>
      </c>
      <c r="B607" s="465">
        <v>41592</v>
      </c>
      <c r="C607" s="466" t="s">
        <v>453</v>
      </c>
      <c r="D607" s="466"/>
      <c r="E607" s="466" t="s">
        <v>380</v>
      </c>
      <c r="F607" s="466" t="s">
        <v>185</v>
      </c>
      <c r="G607" s="466" t="s">
        <v>225</v>
      </c>
      <c r="H607" s="291"/>
      <c r="I607" s="291"/>
      <c r="J607" s="291"/>
      <c r="K607" s="291"/>
      <c r="L607" s="292"/>
      <c r="M607" s="292">
        <v>110</v>
      </c>
      <c r="N607" s="292"/>
      <c r="O607" s="292"/>
      <c r="P607" s="294"/>
      <c r="Q607" s="294"/>
      <c r="R607" s="294"/>
      <c r="S607" s="294"/>
      <c r="T607" s="294"/>
      <c r="U607" s="294"/>
      <c r="V607" s="431"/>
      <c r="W607" s="294"/>
      <c r="X607" s="294"/>
      <c r="Y607" s="294">
        <f>IF(NFI_Expiration=1,IF($A607&lt;VLOOKUP(H$5,NFI,5,0),1,0)*Table_NFI[[#This Row],[Hygiene Kit]],Table_NFI[Hygiene Kit])</f>
        <v>0</v>
      </c>
      <c r="Z607" s="294">
        <f>IF(NFI_Expiration=1,IF($A607&lt;VLOOKUP(I$5,NFI,5,0),1,0)*Table_NFI[[#This Row],[NFI Core Kit]],Table_NFI[NFI Core Kit])</f>
        <v>0</v>
      </c>
      <c r="AA607" s="294">
        <f>IF(NFI_Expiration=1,IF($A607&lt;VLOOKUP(J$5,NFI,5,0),1,0)*Table_NFI[[#This Row],[Sanitary Kit]],Table_NFI[Sanitary Kit])</f>
        <v>0</v>
      </c>
      <c r="AB607" s="294">
        <f>IF(NFI_Expiration=1,IF($A607&lt;VLOOKUP(K$5,NFI,5,0),1,0)*Table_NFI[[#This Row],[Mosquito net]],Table_NFI[Mosquito net])</f>
        <v>0</v>
      </c>
      <c r="AC607" s="294">
        <f>IF(NFI_Expiration=1,IF($A607&lt;VLOOKUP(L$5,NFI,5,0),1,0)*Table_NFI[[#This Row],[Tarpaulin]],Table_NFI[[#This Row],[Tarpaulin]])</f>
        <v>0</v>
      </c>
      <c r="AD607" s="294">
        <f>IF(NFI_Expiration=1,IF($A607&lt;VLOOKUP(M$5,NFI,5,0),1,0)*Table_NFI[[#This Row],[Blanket]],Table_NFI[[#This Row],[Blanket]])</f>
        <v>0</v>
      </c>
      <c r="AE607" s="294">
        <f>IF(NFI_Expiration=1,IF($A607&lt;VLOOKUP(N$5,NFI,5,0),1,0)*Table_NFI[[#This Row],[Kitchen Set]],Table_NFI[Kitchen Set])</f>
        <v>0</v>
      </c>
      <c r="AF607" s="294">
        <f>IF(NFI_Expiration=1,IF($A607&lt;VLOOKUP(O$5,NFI,5,0),1,0)*Table_NFI[[#This Row],[Clothes Kit]],Table_NFI[Clothes Kit])</f>
        <v>0</v>
      </c>
      <c r="AG607" s="294">
        <f>IF(NFI_Expiration=1,IF($A607&lt;VLOOKUP(P$5,NFI,5,0),1,0)*Table_NFI[[#This Row],[Plastic Bucket]],Table_NFI[Plastic Bucket])</f>
        <v>0</v>
      </c>
      <c r="AH607" s="294">
        <f>IF(NFI_Expiration=1,IF($A607&lt;VLOOKUP(Q$5,NFI,5,0),1,0)*Table_NFI[[#This Row],[Plastic Mat]],Table_NFI[Plastic Mat])*IF(Table_NFI[[#This Row],[Distribution Date]]&gt;"2014-04-01",1,2.5)</f>
        <v>0</v>
      </c>
      <c r="AI607" s="294">
        <f>IF(NFI_Expiration=1,IF($A607&lt;VLOOKUP(R$5,NFI,5,0),1,0)*Table_NFI[[#This Row],[Winter Clothes Adult]],Table_NFI[Winter Clothes Adult])</f>
        <v>0</v>
      </c>
      <c r="AJ607" s="294">
        <f>IF(NFI_Expiration=1,IF($A607&lt;VLOOKUP(S$5,NFI,5,0),1,0)*Table_NFI[[#This Row],[Winter Clothes Children]],Table_NFI[Winter Clothes Children])</f>
        <v>0</v>
      </c>
      <c r="AK607" s="294">
        <f>IF(NFI_Expiration=1,IF($A607&lt;VLOOKUP(T$5,NFI,5,0),1,0)*Table_NFI[[#This Row],[Winter Items Other]],Table_NFI[Winter Items Other])</f>
        <v>0</v>
      </c>
      <c r="AL607" s="294">
        <f>IF(NFI_Expiration=1,IF($A607&lt;VLOOKUP(M$5,NFI,5,0),1,0)*Table_NFI[[#This Row],[Winter Blanket]],Table_NFI[[#This Row],[Winter Blanket]])</f>
        <v>0</v>
      </c>
      <c r="AM607" s="294">
        <f>IF(Table_NFI[[#This Row],[Winter Clothes Adult]]+Table_NFI[[#This Row],[Winter Clothes Children]]+Table_NFI[[#This Row],[Winter Items Other]]+Table_NFI[[#This Row],[Winter Blanket]]&gt;0,1,0)</f>
        <v>0</v>
      </c>
      <c r="AN607" s="331">
        <f>IF(NFI_Expiration=1,IF($A607&lt;VLOOKUP(V$5,NFI,5,0),1,0)*Table_NFI[[#This Row],[Jerry Can]],Table_NFI[Jerry Can])</f>
        <v>0</v>
      </c>
      <c r="AO607" s="331">
        <f>IF(NFI_Expiration=1,IF($A607&lt;VLOOKUP(V$5,NFI,5,0),1,0)*Table_NFI[[#This Row],[Shelter Tool kit]],Table_NFI[Shelter Tool kit])</f>
        <v>0</v>
      </c>
      <c r="AP607" s="331">
        <f>IF(NFI_Expiration=1,IF($A607&lt;VLOOKUP(V$5,NFI,5,0),1,0)*Table_NFI[[#This Row],[Tent]],Table_NFI[Tent])</f>
        <v>0</v>
      </c>
      <c r="AQ607" s="473" t="str">
        <f>IFERROR(VLOOKUP(Table_NFI[[#This Row],[Camp Name]],CL,2,0),"")</f>
        <v>MMR001CMP073</v>
      </c>
      <c r="AR607" s="468">
        <f ca="1">IF(Table_NFI[[#This Row],[Pcode]]="","",IF(OFFSET(CampList[Opening Date],MATCH(Table_NFI[[#This Row],[Pcode]],CampList[CP_Pcode],0)-1,0,1,1)&gt;=NFI_Monitor_Date,1,0))</f>
        <v>0</v>
      </c>
      <c r="AS607" s="473" t="str">
        <f>IFERROR(VLOOKUP(Table_NFI[[#This Row],[Camp Name]],CL,3,0),"")</f>
        <v>Open</v>
      </c>
      <c r="AT607" s="294" t="str">
        <f ca="1">IF(Table_NFI[[#This Row],[Pcode]]="","",OFFSET(CampList[Priority],MATCH(Table_NFI[[#This Row],[Pcode]],CampList[CP_Pcode],0)-1,0,1,1))</f>
        <v>P3</v>
      </c>
      <c r="AU607" s="293">
        <f>IFERROR(Table_NFI[[#This Row],[Kitchen Set]]/VLOOKUP(Table_NFI[[#This Row],[Camp Name]],CL,4,0),"")</f>
        <v>0</v>
      </c>
      <c r="AV607" s="466" t="s">
        <v>1092</v>
      </c>
      <c r="AW607" s="469"/>
    </row>
    <row r="608" spans="1:49" s="470" customFormat="1" ht="14.45" customHeight="1" x14ac:dyDescent="0.25">
      <c r="A608" s="297">
        <f t="shared" si="9"/>
        <v>36.133333333333333</v>
      </c>
      <c r="B608" s="465">
        <v>41591</v>
      </c>
      <c r="C608" s="466" t="s">
        <v>905</v>
      </c>
      <c r="D608" s="466" t="s">
        <v>905</v>
      </c>
      <c r="E608" s="466" t="s">
        <v>380</v>
      </c>
      <c r="F608" s="466" t="s">
        <v>151</v>
      </c>
      <c r="G608" s="466" t="s">
        <v>160</v>
      </c>
      <c r="H608" s="291"/>
      <c r="I608" s="291"/>
      <c r="J608" s="291"/>
      <c r="K608" s="291"/>
      <c r="L608" s="292"/>
      <c r="M608" s="292"/>
      <c r="N608" s="292"/>
      <c r="O608" s="292"/>
      <c r="P608" s="294"/>
      <c r="Q608" s="294"/>
      <c r="R608" s="294"/>
      <c r="S608" s="294">
        <v>160</v>
      </c>
      <c r="T608" s="294">
        <v>320</v>
      </c>
      <c r="U608" s="294">
        <v>160</v>
      </c>
      <c r="V608" s="431"/>
      <c r="W608" s="294"/>
      <c r="X608" s="294"/>
      <c r="Y608" s="294">
        <f>IF(NFI_Expiration=1,IF($A608&lt;VLOOKUP(H$5,NFI,5,0),1,0)*Table_NFI[[#This Row],[Hygiene Kit]],Table_NFI[Hygiene Kit])</f>
        <v>0</v>
      </c>
      <c r="Z608" s="294">
        <f>IF(NFI_Expiration=1,IF($A608&lt;VLOOKUP(I$5,NFI,5,0),1,0)*Table_NFI[[#This Row],[NFI Core Kit]],Table_NFI[NFI Core Kit])</f>
        <v>0</v>
      </c>
      <c r="AA608" s="294">
        <f>IF(NFI_Expiration=1,IF($A608&lt;VLOOKUP(J$5,NFI,5,0),1,0)*Table_NFI[[#This Row],[Sanitary Kit]],Table_NFI[Sanitary Kit])</f>
        <v>0</v>
      </c>
      <c r="AB608" s="294">
        <f>IF(NFI_Expiration=1,IF($A608&lt;VLOOKUP(K$5,NFI,5,0),1,0)*Table_NFI[[#This Row],[Mosquito net]],Table_NFI[Mosquito net])</f>
        <v>0</v>
      </c>
      <c r="AC608" s="294">
        <f>IF(NFI_Expiration=1,IF($A608&lt;VLOOKUP(L$5,NFI,5,0),1,0)*Table_NFI[[#This Row],[Tarpaulin]],Table_NFI[[#This Row],[Tarpaulin]])</f>
        <v>0</v>
      </c>
      <c r="AD608" s="294">
        <f>IF(NFI_Expiration=1,IF($A608&lt;VLOOKUP(M$5,NFI,5,0),1,0)*Table_NFI[[#This Row],[Blanket]],Table_NFI[[#This Row],[Blanket]])</f>
        <v>0</v>
      </c>
      <c r="AE608" s="294">
        <f>IF(NFI_Expiration=1,IF($A608&lt;VLOOKUP(N$5,NFI,5,0),1,0)*Table_NFI[[#This Row],[Kitchen Set]],Table_NFI[Kitchen Set])</f>
        <v>0</v>
      </c>
      <c r="AF608" s="294">
        <f>IF(NFI_Expiration=1,IF($A608&lt;VLOOKUP(O$5,NFI,5,0),1,0)*Table_NFI[[#This Row],[Clothes Kit]],Table_NFI[Clothes Kit])</f>
        <v>0</v>
      </c>
      <c r="AG608" s="294">
        <f>IF(NFI_Expiration=1,IF($A608&lt;VLOOKUP(P$5,NFI,5,0),1,0)*Table_NFI[[#This Row],[Plastic Bucket]],Table_NFI[Plastic Bucket])</f>
        <v>0</v>
      </c>
      <c r="AH608" s="294">
        <f>IF(NFI_Expiration=1,IF($A608&lt;VLOOKUP(Q$5,NFI,5,0),1,0)*Table_NFI[[#This Row],[Plastic Mat]],Table_NFI[Plastic Mat])*IF(Table_NFI[[#This Row],[Distribution Date]]&gt;"2014-04-01",1,2.5)</f>
        <v>0</v>
      </c>
      <c r="AI608" s="294">
        <f>IF(NFI_Expiration=1,IF($A608&lt;VLOOKUP(R$5,NFI,5,0),1,0)*Table_NFI[[#This Row],[Winter Clothes Adult]],Table_NFI[Winter Clothes Adult])</f>
        <v>0</v>
      </c>
      <c r="AJ608" s="294">
        <f>IF(NFI_Expiration=1,IF($A608&lt;VLOOKUP(S$5,NFI,5,0),1,0)*Table_NFI[[#This Row],[Winter Clothes Children]],Table_NFI[Winter Clothes Children])</f>
        <v>0</v>
      </c>
      <c r="AK608" s="294">
        <f>IF(NFI_Expiration=1,IF($A608&lt;VLOOKUP(T$5,NFI,5,0),1,0)*Table_NFI[[#This Row],[Winter Items Other]],Table_NFI[Winter Items Other])</f>
        <v>0</v>
      </c>
      <c r="AL608" s="294">
        <f>IF(NFI_Expiration=1,IF($A608&lt;VLOOKUP(M$5,NFI,5,0),1,0)*Table_NFI[[#This Row],[Winter Blanket]],Table_NFI[[#This Row],[Winter Blanket]])</f>
        <v>0</v>
      </c>
      <c r="AM608" s="294">
        <f>IF(Table_NFI[[#This Row],[Winter Clothes Adult]]+Table_NFI[[#This Row],[Winter Clothes Children]]+Table_NFI[[#This Row],[Winter Items Other]]+Table_NFI[[#This Row],[Winter Blanket]]&gt;0,1,0)</f>
        <v>1</v>
      </c>
      <c r="AN608" s="331">
        <f>IF(NFI_Expiration=1,IF($A608&lt;VLOOKUP(V$5,NFI,5,0),1,0)*Table_NFI[[#This Row],[Jerry Can]],Table_NFI[Jerry Can])</f>
        <v>0</v>
      </c>
      <c r="AO608" s="331">
        <f>IF(NFI_Expiration=1,IF($A608&lt;VLOOKUP(V$5,NFI,5,0),1,0)*Table_NFI[[#This Row],[Shelter Tool kit]],Table_NFI[Shelter Tool kit])</f>
        <v>0</v>
      </c>
      <c r="AP608" s="331">
        <f>IF(NFI_Expiration=1,IF($A608&lt;VLOOKUP(V$5,NFI,5,0),1,0)*Table_NFI[[#This Row],[Tent]],Table_NFI[Tent])</f>
        <v>0</v>
      </c>
      <c r="AQ608" s="473" t="str">
        <f>IFERROR(VLOOKUP(Table_NFI[[#This Row],[Camp Name]],CL,2,0),"")</f>
        <v>MMR001CMP133</v>
      </c>
      <c r="AR608" s="468">
        <f ca="1">IF(Table_NFI[[#This Row],[Pcode]]="","",IF(OFFSET(CampList[Opening Date],MATCH(Table_NFI[[#This Row],[Pcode]],CampList[CP_Pcode],0)-1,0,1,1)&gt;=NFI_Monitor_Date,1,0))</f>
        <v>0</v>
      </c>
      <c r="AS608" s="473" t="str">
        <f>IFERROR(VLOOKUP(Table_NFI[[#This Row],[Camp Name]],CL,3,0),"")</f>
        <v>Open</v>
      </c>
      <c r="AT608" s="294" t="str">
        <f ca="1">IF(Table_NFI[[#This Row],[Pcode]]="","",OFFSET(CampList[Priority],MATCH(Table_NFI[[#This Row],[Pcode]],CampList[CP_Pcode],0)-1,0,1,1))</f>
        <v>P4</v>
      </c>
      <c r="AU608" s="293">
        <f>IFERROR(Table_NFI[[#This Row],[Kitchen Set]]/VLOOKUP(Table_NFI[[#This Row],[Camp Name]],CL,4,0),"")</f>
        <v>0</v>
      </c>
      <c r="AV608" s="466"/>
      <c r="AW608" s="469"/>
    </row>
    <row r="609" spans="1:49" s="470" customFormat="1" ht="14.45" customHeight="1" x14ac:dyDescent="0.25">
      <c r="A609" s="297">
        <f t="shared" si="9"/>
        <v>36.133333333333333</v>
      </c>
      <c r="B609" s="465">
        <v>41591</v>
      </c>
      <c r="C609" s="466" t="s">
        <v>905</v>
      </c>
      <c r="D609" s="466" t="s">
        <v>1002</v>
      </c>
      <c r="E609" s="466" t="s">
        <v>380</v>
      </c>
      <c r="F609" s="466" t="s">
        <v>185</v>
      </c>
      <c r="G609" s="466" t="s">
        <v>219</v>
      </c>
      <c r="H609" s="291"/>
      <c r="I609" s="291"/>
      <c r="J609" s="291"/>
      <c r="K609" s="291"/>
      <c r="L609" s="292"/>
      <c r="M609" s="292"/>
      <c r="N609" s="292"/>
      <c r="O609" s="292"/>
      <c r="P609" s="294"/>
      <c r="Q609" s="294"/>
      <c r="R609" s="294">
        <v>514</v>
      </c>
      <c r="S609" s="294">
        <v>1016</v>
      </c>
      <c r="T609" s="294">
        <v>3060</v>
      </c>
      <c r="U609" s="294">
        <v>1530</v>
      </c>
      <c r="V609" s="431"/>
      <c r="W609" s="294"/>
      <c r="X609" s="294"/>
      <c r="Y609" s="294">
        <f>IF(NFI_Expiration=1,IF($A609&lt;VLOOKUP(H$5,NFI,5,0),1,0)*Table_NFI[[#This Row],[Hygiene Kit]],Table_NFI[Hygiene Kit])</f>
        <v>0</v>
      </c>
      <c r="Z609" s="294">
        <f>IF(NFI_Expiration=1,IF($A609&lt;VLOOKUP(I$5,NFI,5,0),1,0)*Table_NFI[[#This Row],[NFI Core Kit]],Table_NFI[NFI Core Kit])</f>
        <v>0</v>
      </c>
      <c r="AA609" s="294">
        <f>IF(NFI_Expiration=1,IF($A609&lt;VLOOKUP(J$5,NFI,5,0),1,0)*Table_NFI[[#This Row],[Sanitary Kit]],Table_NFI[Sanitary Kit])</f>
        <v>0</v>
      </c>
      <c r="AB609" s="294">
        <f>IF(NFI_Expiration=1,IF($A609&lt;VLOOKUP(K$5,NFI,5,0),1,0)*Table_NFI[[#This Row],[Mosquito net]],Table_NFI[Mosquito net])</f>
        <v>0</v>
      </c>
      <c r="AC609" s="294">
        <f>IF(NFI_Expiration=1,IF($A609&lt;VLOOKUP(L$5,NFI,5,0),1,0)*Table_NFI[[#This Row],[Tarpaulin]],Table_NFI[[#This Row],[Tarpaulin]])</f>
        <v>0</v>
      </c>
      <c r="AD609" s="294">
        <f>IF(NFI_Expiration=1,IF($A609&lt;VLOOKUP(M$5,NFI,5,0),1,0)*Table_NFI[[#This Row],[Blanket]],Table_NFI[[#This Row],[Blanket]])</f>
        <v>0</v>
      </c>
      <c r="AE609" s="294">
        <f>IF(NFI_Expiration=1,IF($A609&lt;VLOOKUP(N$5,NFI,5,0),1,0)*Table_NFI[[#This Row],[Kitchen Set]],Table_NFI[Kitchen Set])</f>
        <v>0</v>
      </c>
      <c r="AF609" s="294">
        <f>IF(NFI_Expiration=1,IF($A609&lt;VLOOKUP(O$5,NFI,5,0),1,0)*Table_NFI[[#This Row],[Clothes Kit]],Table_NFI[Clothes Kit])</f>
        <v>0</v>
      </c>
      <c r="AG609" s="294">
        <f>IF(NFI_Expiration=1,IF($A609&lt;VLOOKUP(P$5,NFI,5,0),1,0)*Table_NFI[[#This Row],[Plastic Bucket]],Table_NFI[Plastic Bucket])</f>
        <v>0</v>
      </c>
      <c r="AH609" s="294">
        <f>IF(NFI_Expiration=1,IF($A609&lt;VLOOKUP(Q$5,NFI,5,0),1,0)*Table_NFI[[#This Row],[Plastic Mat]],Table_NFI[Plastic Mat])*IF(Table_NFI[[#This Row],[Distribution Date]]&gt;"2014-04-01",1,2.5)</f>
        <v>0</v>
      </c>
      <c r="AI609" s="294">
        <f>IF(NFI_Expiration=1,IF($A609&lt;VLOOKUP(R$5,NFI,5,0),1,0)*Table_NFI[[#This Row],[Winter Clothes Adult]],Table_NFI[Winter Clothes Adult])</f>
        <v>0</v>
      </c>
      <c r="AJ609" s="294">
        <f>IF(NFI_Expiration=1,IF($A609&lt;VLOOKUP(S$5,NFI,5,0),1,0)*Table_NFI[[#This Row],[Winter Clothes Children]],Table_NFI[Winter Clothes Children])</f>
        <v>0</v>
      </c>
      <c r="AK609" s="294">
        <f>IF(NFI_Expiration=1,IF($A609&lt;VLOOKUP(T$5,NFI,5,0),1,0)*Table_NFI[[#This Row],[Winter Items Other]],Table_NFI[Winter Items Other])</f>
        <v>0</v>
      </c>
      <c r="AL609" s="294">
        <f>IF(NFI_Expiration=1,IF($A609&lt;VLOOKUP(M$5,NFI,5,0),1,0)*Table_NFI[[#This Row],[Winter Blanket]],Table_NFI[[#This Row],[Winter Blanket]])</f>
        <v>0</v>
      </c>
      <c r="AM609" s="294">
        <f>IF(Table_NFI[[#This Row],[Winter Clothes Adult]]+Table_NFI[[#This Row],[Winter Clothes Children]]+Table_NFI[[#This Row],[Winter Items Other]]+Table_NFI[[#This Row],[Winter Blanket]]&gt;0,1,0)</f>
        <v>1</v>
      </c>
      <c r="AN609" s="331">
        <f>IF(NFI_Expiration=1,IF($A609&lt;VLOOKUP(V$5,NFI,5,0),1,0)*Table_NFI[[#This Row],[Jerry Can]],Table_NFI[Jerry Can])</f>
        <v>0</v>
      </c>
      <c r="AO609" s="331">
        <f>IF(NFI_Expiration=1,IF($A609&lt;VLOOKUP(V$5,NFI,5,0),1,0)*Table_NFI[[#This Row],[Shelter Tool kit]],Table_NFI[Shelter Tool kit])</f>
        <v>0</v>
      </c>
      <c r="AP609" s="331">
        <f>IF(NFI_Expiration=1,IF($A609&lt;VLOOKUP(V$5,NFI,5,0),1,0)*Table_NFI[[#This Row],[Tent]],Table_NFI[Tent])</f>
        <v>0</v>
      </c>
      <c r="AQ609" s="473" t="str">
        <f>IFERROR(VLOOKUP(Table_NFI[[#This Row],[Camp Name]],CL,2,0),"")</f>
        <v>MMR001CMP126</v>
      </c>
      <c r="AR609" s="468">
        <f ca="1">IF(Table_NFI[[#This Row],[Pcode]]="","",IF(OFFSET(CampList[Opening Date],MATCH(Table_NFI[[#This Row],[Pcode]],CampList[CP_Pcode],0)-1,0,1,1)&gt;=NFI_Monitor_Date,1,0))</f>
        <v>0</v>
      </c>
      <c r="AS609" s="473" t="str">
        <f>IFERROR(VLOOKUP(Table_NFI[[#This Row],[Camp Name]],CL,3,0),"")</f>
        <v>Open</v>
      </c>
      <c r="AT609" s="294" t="str">
        <f ca="1">IF(Table_NFI[[#This Row],[Pcode]]="","",OFFSET(CampList[Priority],MATCH(Table_NFI[[#This Row],[Pcode]],CampList[CP_Pcode],0)-1,0,1,1))</f>
        <v>P2</v>
      </c>
      <c r="AU609" s="293">
        <f>IFERROR(Table_NFI[[#This Row],[Kitchen Set]]/VLOOKUP(Table_NFI[[#This Row],[Camp Name]],CL,4,0),"")</f>
        <v>0</v>
      </c>
      <c r="AV609" s="466"/>
      <c r="AW609" s="469"/>
    </row>
    <row r="610" spans="1:49" s="470" customFormat="1" ht="14.45" customHeight="1" x14ac:dyDescent="0.25">
      <c r="A610" s="297">
        <f t="shared" si="9"/>
        <v>36.200000000000003</v>
      </c>
      <c r="B610" s="465">
        <v>41589</v>
      </c>
      <c r="C610" s="466" t="s">
        <v>452</v>
      </c>
      <c r="D610" s="466" t="s">
        <v>573</v>
      </c>
      <c r="E610" s="466" t="s">
        <v>380</v>
      </c>
      <c r="F610" s="290" t="s">
        <v>185</v>
      </c>
      <c r="G610" s="290" t="s">
        <v>215</v>
      </c>
      <c r="H610" s="291"/>
      <c r="I610" s="291"/>
      <c r="J610" s="291">
        <v>36</v>
      </c>
      <c r="K610" s="291">
        <v>200</v>
      </c>
      <c r="L610" s="292">
        <v>100</v>
      </c>
      <c r="M610" s="292"/>
      <c r="N610" s="292">
        <v>100</v>
      </c>
      <c r="O610" s="292">
        <v>100</v>
      </c>
      <c r="P610" s="294"/>
      <c r="Q610" s="294"/>
      <c r="R610" s="294"/>
      <c r="S610" s="294"/>
      <c r="T610" s="294"/>
      <c r="U610" s="294"/>
      <c r="V610" s="431"/>
      <c r="W610" s="294"/>
      <c r="X610" s="294"/>
      <c r="Y610" s="294">
        <f>IF(NFI_Expiration=1,IF($A610&lt;VLOOKUP(H$5,NFI,5,0),1,0)*Table_NFI[[#This Row],[Hygiene Kit]],Table_NFI[Hygiene Kit])</f>
        <v>0</v>
      </c>
      <c r="Z610" s="294">
        <f>IF(NFI_Expiration=1,IF($A610&lt;VLOOKUP(I$5,NFI,5,0),1,0)*Table_NFI[[#This Row],[NFI Core Kit]],Table_NFI[NFI Core Kit])</f>
        <v>0</v>
      </c>
      <c r="AA610" s="294">
        <f>IF(NFI_Expiration=1,IF($A610&lt;VLOOKUP(J$5,NFI,5,0),1,0)*Table_NFI[[#This Row],[Sanitary Kit]],Table_NFI[Sanitary Kit])</f>
        <v>0</v>
      </c>
      <c r="AB610" s="294">
        <f>IF(NFI_Expiration=1,IF($A610&lt;VLOOKUP(K$5,NFI,5,0),1,0)*Table_NFI[[#This Row],[Mosquito net]],Table_NFI[Mosquito net])</f>
        <v>0</v>
      </c>
      <c r="AC610" s="294">
        <f>IF(NFI_Expiration=1,IF($A610&lt;VLOOKUP(L$5,NFI,5,0),1,0)*Table_NFI[[#This Row],[Tarpaulin]],Table_NFI[[#This Row],[Tarpaulin]])</f>
        <v>0</v>
      </c>
      <c r="AD610" s="294">
        <f>IF(NFI_Expiration=1,IF($A610&lt;VLOOKUP(M$5,NFI,5,0),1,0)*Table_NFI[[#This Row],[Blanket]],Table_NFI[[#This Row],[Blanket]])</f>
        <v>0</v>
      </c>
      <c r="AE610" s="294">
        <f>IF(NFI_Expiration=1,IF($A610&lt;VLOOKUP(N$5,NFI,5,0),1,0)*Table_NFI[[#This Row],[Kitchen Set]],Table_NFI[Kitchen Set])</f>
        <v>0</v>
      </c>
      <c r="AF610" s="294">
        <f>IF(NFI_Expiration=1,IF($A610&lt;VLOOKUP(O$5,NFI,5,0),1,0)*Table_NFI[[#This Row],[Clothes Kit]],Table_NFI[Clothes Kit])</f>
        <v>0</v>
      </c>
      <c r="AG610" s="294">
        <f>IF(NFI_Expiration=1,IF($A610&lt;VLOOKUP(P$5,NFI,5,0),1,0)*Table_NFI[[#This Row],[Plastic Bucket]],Table_NFI[Plastic Bucket])</f>
        <v>0</v>
      </c>
      <c r="AH610" s="294">
        <f>IF(NFI_Expiration=1,IF($A610&lt;VLOOKUP(Q$5,NFI,5,0),1,0)*Table_NFI[[#This Row],[Plastic Mat]],Table_NFI[Plastic Mat])*IF(Table_NFI[[#This Row],[Distribution Date]]&gt;"2014-04-01",1,2.5)</f>
        <v>0</v>
      </c>
      <c r="AI610" s="294">
        <f>IF(NFI_Expiration=1,IF($A610&lt;VLOOKUP(R$5,NFI,5,0),1,0)*Table_NFI[[#This Row],[Winter Clothes Adult]],Table_NFI[Winter Clothes Adult])</f>
        <v>0</v>
      </c>
      <c r="AJ610" s="294">
        <f>IF(NFI_Expiration=1,IF($A610&lt;VLOOKUP(S$5,NFI,5,0),1,0)*Table_NFI[[#This Row],[Winter Clothes Children]],Table_NFI[Winter Clothes Children])</f>
        <v>0</v>
      </c>
      <c r="AK610" s="294">
        <f>IF(NFI_Expiration=1,IF($A610&lt;VLOOKUP(T$5,NFI,5,0),1,0)*Table_NFI[[#This Row],[Winter Items Other]],Table_NFI[Winter Items Other])</f>
        <v>0</v>
      </c>
      <c r="AL610" s="294">
        <f>IF(NFI_Expiration=1,IF($A610&lt;VLOOKUP(M$5,NFI,5,0),1,0)*Table_NFI[[#This Row],[Winter Blanket]],Table_NFI[[#This Row],[Winter Blanket]])</f>
        <v>0</v>
      </c>
      <c r="AM610" s="294">
        <f>IF(Table_NFI[[#This Row],[Winter Clothes Adult]]+Table_NFI[[#This Row],[Winter Clothes Children]]+Table_NFI[[#This Row],[Winter Items Other]]+Table_NFI[[#This Row],[Winter Blanket]]&gt;0,1,0)</f>
        <v>0</v>
      </c>
      <c r="AN610" s="331">
        <f>IF(NFI_Expiration=1,IF($A610&lt;VLOOKUP(V$5,NFI,5,0),1,0)*Table_NFI[[#This Row],[Jerry Can]],Table_NFI[Jerry Can])</f>
        <v>0</v>
      </c>
      <c r="AO610" s="331">
        <f>IF(NFI_Expiration=1,IF($A610&lt;VLOOKUP(V$5,NFI,5,0),1,0)*Table_NFI[[#This Row],[Shelter Tool kit]],Table_NFI[Shelter Tool kit])</f>
        <v>0</v>
      </c>
      <c r="AP610" s="331">
        <f>IF(NFI_Expiration=1,IF($A610&lt;VLOOKUP(V$5,NFI,5,0),1,0)*Table_NFI[[#This Row],[Tent]],Table_NFI[Tent])</f>
        <v>0</v>
      </c>
      <c r="AQ610" s="473" t="str">
        <f>IFERROR(VLOOKUP(Table_NFI[[#This Row],[Camp Name]],CL,2,0),"")</f>
        <v>MMR001CMP131</v>
      </c>
      <c r="AR610" s="468">
        <f ca="1">IF(Table_NFI[[#This Row],[Pcode]]="","",IF(OFFSET(CampList[Opening Date],MATCH(Table_NFI[[#This Row],[Pcode]],CampList[CP_Pcode],0)-1,0,1,1)&gt;=NFI_Monitor_Date,1,0))</f>
        <v>0</v>
      </c>
      <c r="AS610" s="473" t="str">
        <f>IFERROR(VLOOKUP(Table_NFI[[#This Row],[Camp Name]],CL,3,0),"")</f>
        <v>Open</v>
      </c>
      <c r="AT610" s="294" t="str">
        <f ca="1">IF(Table_NFI[[#This Row],[Pcode]]="","",OFFSET(CampList[Priority],MATCH(Table_NFI[[#This Row],[Pcode]],CampList[CP_Pcode],0)-1,0,1,1))</f>
        <v>P1</v>
      </c>
      <c r="AU610" s="293">
        <f>IFERROR(Table_NFI[[#This Row],[Kitchen Set]]/VLOOKUP(Table_NFI[[#This Row],[Camp Name]],CL,4,0),"")</f>
        <v>0.28169014084507044</v>
      </c>
      <c r="AV610" s="466" t="s">
        <v>1092</v>
      </c>
      <c r="AW610" s="469"/>
    </row>
    <row r="611" spans="1:49" s="470" customFormat="1" ht="14.45" customHeight="1" x14ac:dyDescent="0.25">
      <c r="A611" s="297">
        <f t="shared" si="9"/>
        <v>36.333333333333336</v>
      </c>
      <c r="B611" s="465">
        <v>41585</v>
      </c>
      <c r="C611" s="466" t="s">
        <v>905</v>
      </c>
      <c r="D611" s="466" t="s">
        <v>905</v>
      </c>
      <c r="E611" s="466" t="s">
        <v>380</v>
      </c>
      <c r="F611" s="466" t="s">
        <v>5</v>
      </c>
      <c r="G611" s="466" t="s">
        <v>512</v>
      </c>
      <c r="H611" s="291"/>
      <c r="I611" s="291"/>
      <c r="J611" s="291"/>
      <c r="K611" s="291"/>
      <c r="L611" s="292"/>
      <c r="M611" s="292"/>
      <c r="N611" s="292"/>
      <c r="O611" s="292"/>
      <c r="P611" s="294"/>
      <c r="Q611" s="294"/>
      <c r="R611" s="294">
        <v>25</v>
      </c>
      <c r="S611" s="294">
        <v>73</v>
      </c>
      <c r="T611" s="294">
        <v>196</v>
      </c>
      <c r="U611" s="294">
        <v>98</v>
      </c>
      <c r="V611" s="431"/>
      <c r="W611" s="294"/>
      <c r="X611" s="294"/>
      <c r="Y611" s="294">
        <f>IF(NFI_Expiration=1,IF($A611&lt;VLOOKUP(H$5,NFI,5,0),1,0)*Table_NFI[[#This Row],[Hygiene Kit]],Table_NFI[Hygiene Kit])</f>
        <v>0</v>
      </c>
      <c r="Z611" s="294">
        <f>IF(NFI_Expiration=1,IF($A611&lt;VLOOKUP(I$5,NFI,5,0),1,0)*Table_NFI[[#This Row],[NFI Core Kit]],Table_NFI[NFI Core Kit])</f>
        <v>0</v>
      </c>
      <c r="AA611" s="294">
        <f>IF(NFI_Expiration=1,IF($A611&lt;VLOOKUP(J$5,NFI,5,0),1,0)*Table_NFI[[#This Row],[Sanitary Kit]],Table_NFI[Sanitary Kit])</f>
        <v>0</v>
      </c>
      <c r="AB611" s="294">
        <f>IF(NFI_Expiration=1,IF($A611&lt;VLOOKUP(K$5,NFI,5,0),1,0)*Table_NFI[[#This Row],[Mosquito net]],Table_NFI[Mosquito net])</f>
        <v>0</v>
      </c>
      <c r="AC611" s="294">
        <f>IF(NFI_Expiration=1,IF($A611&lt;VLOOKUP(L$5,NFI,5,0),1,0)*Table_NFI[[#This Row],[Tarpaulin]],Table_NFI[[#This Row],[Tarpaulin]])</f>
        <v>0</v>
      </c>
      <c r="AD611" s="294">
        <f>IF(NFI_Expiration=1,IF($A611&lt;VLOOKUP(M$5,NFI,5,0),1,0)*Table_NFI[[#This Row],[Blanket]],Table_NFI[[#This Row],[Blanket]])</f>
        <v>0</v>
      </c>
      <c r="AE611" s="294">
        <f>IF(NFI_Expiration=1,IF($A611&lt;VLOOKUP(N$5,NFI,5,0),1,0)*Table_NFI[[#This Row],[Kitchen Set]],Table_NFI[Kitchen Set])</f>
        <v>0</v>
      </c>
      <c r="AF611" s="294">
        <f>IF(NFI_Expiration=1,IF($A611&lt;VLOOKUP(O$5,NFI,5,0),1,0)*Table_NFI[[#This Row],[Clothes Kit]],Table_NFI[Clothes Kit])</f>
        <v>0</v>
      </c>
      <c r="AG611" s="294">
        <f>IF(NFI_Expiration=1,IF($A611&lt;VLOOKUP(P$5,NFI,5,0),1,0)*Table_NFI[[#This Row],[Plastic Bucket]],Table_NFI[Plastic Bucket])</f>
        <v>0</v>
      </c>
      <c r="AH611" s="294">
        <f>IF(NFI_Expiration=1,IF($A611&lt;VLOOKUP(Q$5,NFI,5,0),1,0)*Table_NFI[[#This Row],[Plastic Mat]],Table_NFI[Plastic Mat])*IF(Table_NFI[[#This Row],[Distribution Date]]&gt;"2014-04-01",1,2.5)</f>
        <v>0</v>
      </c>
      <c r="AI611" s="294">
        <f>IF(NFI_Expiration=1,IF($A611&lt;VLOOKUP(R$5,NFI,5,0),1,0)*Table_NFI[[#This Row],[Winter Clothes Adult]],Table_NFI[Winter Clothes Adult])</f>
        <v>0</v>
      </c>
      <c r="AJ611" s="294">
        <f>IF(NFI_Expiration=1,IF($A611&lt;VLOOKUP(S$5,NFI,5,0),1,0)*Table_NFI[[#This Row],[Winter Clothes Children]],Table_NFI[Winter Clothes Children])</f>
        <v>0</v>
      </c>
      <c r="AK611" s="294">
        <f>IF(NFI_Expiration=1,IF($A611&lt;VLOOKUP(T$5,NFI,5,0),1,0)*Table_NFI[[#This Row],[Winter Items Other]],Table_NFI[Winter Items Other])</f>
        <v>0</v>
      </c>
      <c r="AL611" s="294">
        <f>IF(NFI_Expiration=1,IF($A611&lt;VLOOKUP(M$5,NFI,5,0),1,0)*Table_NFI[[#This Row],[Winter Blanket]],Table_NFI[[#This Row],[Winter Blanket]])</f>
        <v>0</v>
      </c>
      <c r="AM611" s="294">
        <f>IF(Table_NFI[[#This Row],[Winter Clothes Adult]]+Table_NFI[[#This Row],[Winter Clothes Children]]+Table_NFI[[#This Row],[Winter Items Other]]+Table_NFI[[#This Row],[Winter Blanket]]&gt;0,1,0)</f>
        <v>1</v>
      </c>
      <c r="AN611" s="331">
        <f>IF(NFI_Expiration=1,IF($A611&lt;VLOOKUP(V$5,NFI,5,0),1,0)*Table_NFI[[#This Row],[Jerry Can]],Table_NFI[Jerry Can])</f>
        <v>0</v>
      </c>
      <c r="AO611" s="331">
        <f>IF(NFI_Expiration=1,IF($A611&lt;VLOOKUP(V$5,NFI,5,0),1,0)*Table_NFI[[#This Row],[Shelter Tool kit]],Table_NFI[Shelter Tool kit])</f>
        <v>0</v>
      </c>
      <c r="AP611" s="331">
        <f>IF(NFI_Expiration=1,IF($A611&lt;VLOOKUP(V$5,NFI,5,0),1,0)*Table_NFI[[#This Row],[Tent]],Table_NFI[Tent])</f>
        <v>0</v>
      </c>
      <c r="AQ611" s="473" t="str">
        <f>IFERROR(VLOOKUP(Table_NFI[[#This Row],[Camp Name]],CL,2,0),"")</f>
        <v>MMR001CMP194</v>
      </c>
      <c r="AR611" s="468">
        <f ca="1">IF(Table_NFI[[#This Row],[Pcode]]="","",IF(OFFSET(CampList[Opening Date],MATCH(Table_NFI[[#This Row],[Pcode]],CampList[CP_Pcode],0)-1,0,1,1)&gt;=NFI_Monitor_Date,1,0))</f>
        <v>0</v>
      </c>
      <c r="AS611" s="473" t="s">
        <v>843</v>
      </c>
      <c r="AT611" s="294" t="str">
        <f ca="1">IF(Table_NFI[[#This Row],[Pcode]]="","",OFFSET(CampList[Priority],MATCH(Table_NFI[[#This Row],[Pcode]],CampList[CP_Pcode],0)-1,0,1,1))</f>
        <v>P4</v>
      </c>
      <c r="AU611" s="293">
        <f>IFERROR(Table_NFI[[#This Row],[Kitchen Set]]/VLOOKUP(Table_NFI[[#This Row],[Camp Name]],CL,4,0),"")</f>
        <v>0</v>
      </c>
      <c r="AV611" s="466"/>
      <c r="AW611" s="469"/>
    </row>
    <row r="612" spans="1:49" s="470" customFormat="1" ht="14.45" customHeight="1" x14ac:dyDescent="0.25">
      <c r="A612" s="297">
        <f t="shared" si="9"/>
        <v>36.333333333333336</v>
      </c>
      <c r="B612" s="465">
        <v>41585</v>
      </c>
      <c r="C612" s="466" t="s">
        <v>452</v>
      </c>
      <c r="D612" s="466" t="s">
        <v>452</v>
      </c>
      <c r="E612" s="466" t="s">
        <v>380</v>
      </c>
      <c r="F612" s="290" t="s">
        <v>527</v>
      </c>
      <c r="G612" s="290" t="s">
        <v>58</v>
      </c>
      <c r="H612" s="291"/>
      <c r="I612" s="291"/>
      <c r="J612" s="291">
        <v>13</v>
      </c>
      <c r="K612" s="291">
        <v>32</v>
      </c>
      <c r="L612" s="292">
        <v>15</v>
      </c>
      <c r="M612" s="292">
        <v>32</v>
      </c>
      <c r="N612" s="292">
        <v>15</v>
      </c>
      <c r="O612" s="292"/>
      <c r="P612" s="294">
        <v>15</v>
      </c>
      <c r="Q612" s="294">
        <v>32</v>
      </c>
      <c r="R612" s="294"/>
      <c r="S612" s="294"/>
      <c r="T612" s="294"/>
      <c r="U612" s="294"/>
      <c r="V612" s="431"/>
      <c r="W612" s="294"/>
      <c r="X612" s="294"/>
      <c r="Y612" s="294">
        <f>IF(NFI_Expiration=1,IF($A612&lt;VLOOKUP(H$5,NFI,5,0),1,0)*Table_NFI[[#This Row],[Hygiene Kit]],Table_NFI[Hygiene Kit])</f>
        <v>0</v>
      </c>
      <c r="Z612" s="294">
        <f>IF(NFI_Expiration=1,IF($A612&lt;VLOOKUP(I$5,NFI,5,0),1,0)*Table_NFI[[#This Row],[NFI Core Kit]],Table_NFI[NFI Core Kit])</f>
        <v>0</v>
      </c>
      <c r="AA612" s="294">
        <f>IF(NFI_Expiration=1,IF($A612&lt;VLOOKUP(J$5,NFI,5,0),1,0)*Table_NFI[[#This Row],[Sanitary Kit]],Table_NFI[Sanitary Kit])</f>
        <v>0</v>
      </c>
      <c r="AB612" s="294">
        <f>IF(NFI_Expiration=1,IF($A612&lt;VLOOKUP(K$5,NFI,5,0),1,0)*Table_NFI[[#This Row],[Mosquito net]],Table_NFI[Mosquito net])</f>
        <v>0</v>
      </c>
      <c r="AC612" s="294">
        <f>IF(NFI_Expiration=1,IF($A612&lt;VLOOKUP(L$5,NFI,5,0),1,0)*Table_NFI[[#This Row],[Tarpaulin]],Table_NFI[[#This Row],[Tarpaulin]])</f>
        <v>0</v>
      </c>
      <c r="AD612" s="294">
        <f>IF(NFI_Expiration=1,IF($A612&lt;VLOOKUP(M$5,NFI,5,0),1,0)*Table_NFI[[#This Row],[Blanket]],Table_NFI[[#This Row],[Blanket]])</f>
        <v>0</v>
      </c>
      <c r="AE612" s="294">
        <f>IF(NFI_Expiration=1,IF($A612&lt;VLOOKUP(N$5,NFI,5,0),1,0)*Table_NFI[[#This Row],[Kitchen Set]],Table_NFI[Kitchen Set])</f>
        <v>0</v>
      </c>
      <c r="AF612" s="294">
        <f>IF(NFI_Expiration=1,IF($A612&lt;VLOOKUP(O$5,NFI,5,0),1,0)*Table_NFI[[#This Row],[Clothes Kit]],Table_NFI[Clothes Kit])</f>
        <v>0</v>
      </c>
      <c r="AG612" s="294">
        <f>IF(NFI_Expiration=1,IF($A612&lt;VLOOKUP(P$5,NFI,5,0),1,0)*Table_NFI[[#This Row],[Plastic Bucket]],Table_NFI[Plastic Bucket])</f>
        <v>0</v>
      </c>
      <c r="AH612" s="294">
        <f>IF(NFI_Expiration=1,IF($A612&lt;VLOOKUP(Q$5,NFI,5,0),1,0)*Table_NFI[[#This Row],[Plastic Mat]],Table_NFI[Plastic Mat])*IF(Table_NFI[[#This Row],[Distribution Date]]&gt;"2014-04-01",1,2.5)</f>
        <v>0</v>
      </c>
      <c r="AI612" s="294">
        <f>IF(NFI_Expiration=1,IF($A612&lt;VLOOKUP(R$5,NFI,5,0),1,0)*Table_NFI[[#This Row],[Winter Clothes Adult]],Table_NFI[Winter Clothes Adult])</f>
        <v>0</v>
      </c>
      <c r="AJ612" s="294">
        <f>IF(NFI_Expiration=1,IF($A612&lt;VLOOKUP(S$5,NFI,5,0),1,0)*Table_NFI[[#This Row],[Winter Clothes Children]],Table_NFI[Winter Clothes Children])</f>
        <v>0</v>
      </c>
      <c r="AK612" s="294">
        <f>IF(NFI_Expiration=1,IF($A612&lt;VLOOKUP(T$5,NFI,5,0),1,0)*Table_NFI[[#This Row],[Winter Items Other]],Table_NFI[Winter Items Other])</f>
        <v>0</v>
      </c>
      <c r="AL612" s="294">
        <f>IF(NFI_Expiration=1,IF($A612&lt;VLOOKUP(M$5,NFI,5,0),1,0)*Table_NFI[[#This Row],[Winter Blanket]],Table_NFI[[#This Row],[Winter Blanket]])</f>
        <v>0</v>
      </c>
      <c r="AM612" s="294">
        <f>IF(Table_NFI[[#This Row],[Winter Clothes Adult]]+Table_NFI[[#This Row],[Winter Clothes Children]]+Table_NFI[[#This Row],[Winter Items Other]]+Table_NFI[[#This Row],[Winter Blanket]]&gt;0,1,0)</f>
        <v>0</v>
      </c>
      <c r="AN612" s="331">
        <f>IF(NFI_Expiration=1,IF($A612&lt;VLOOKUP(V$5,NFI,5,0),1,0)*Table_NFI[[#This Row],[Jerry Can]],Table_NFI[Jerry Can])</f>
        <v>0</v>
      </c>
      <c r="AO612" s="331">
        <f>IF(NFI_Expiration=1,IF($A612&lt;VLOOKUP(V$5,NFI,5,0),1,0)*Table_NFI[[#This Row],[Shelter Tool kit]],Table_NFI[Shelter Tool kit])</f>
        <v>0</v>
      </c>
      <c r="AP612" s="331">
        <f>IF(NFI_Expiration=1,IF($A612&lt;VLOOKUP(V$5,NFI,5,0),1,0)*Table_NFI[[#This Row],[Tent]],Table_NFI[Tent])</f>
        <v>0</v>
      </c>
      <c r="AQ612" s="473" t="str">
        <f>IFERROR(VLOOKUP(Table_NFI[[#This Row],[Camp Name]],CL,2,0),"")</f>
        <v>MMR001CMP188</v>
      </c>
      <c r="AR612" s="468">
        <f ca="1">IF(Table_NFI[[#This Row],[Pcode]]="","",IF(OFFSET(CampList[Opening Date],MATCH(Table_NFI[[#This Row],[Pcode]],CampList[CP_Pcode],0)-1,0,1,1)&gt;=NFI_Monitor_Date,1,0))</f>
        <v>0</v>
      </c>
      <c r="AS612" s="473" t="str">
        <f>IFERROR(VLOOKUP(Table_NFI[[#This Row],[Camp Name]],CL,3,0),"")</f>
        <v>Closed</v>
      </c>
      <c r="AT612" s="294" t="str">
        <f ca="1">IF(Table_NFI[[#This Row],[Pcode]]="","",OFFSET(CampList[Priority],MATCH(Table_NFI[[#This Row],[Pcode]],CampList[CP_Pcode],0)-1,0,1,1))</f>
        <v>P4</v>
      </c>
      <c r="AU612" s="293" t="str">
        <f>IFERROR(Table_NFI[[#This Row],[Kitchen Set]]/VLOOKUP(Table_NFI[[#This Row],[Camp Name]],CL,4,0),"")</f>
        <v/>
      </c>
      <c r="AV612" s="466" t="s">
        <v>1092</v>
      </c>
      <c r="AW612" s="469"/>
    </row>
    <row r="613" spans="1:49" s="470" customFormat="1" ht="14.45" customHeight="1" x14ac:dyDescent="0.25">
      <c r="A613" s="297">
        <f t="shared" si="9"/>
        <v>36.333333333333336</v>
      </c>
      <c r="B613" s="465">
        <v>41585</v>
      </c>
      <c r="C613" s="466" t="s">
        <v>905</v>
      </c>
      <c r="D613" s="466" t="s">
        <v>905</v>
      </c>
      <c r="E613" s="466" t="s">
        <v>380</v>
      </c>
      <c r="F613" s="466" t="s">
        <v>5</v>
      </c>
      <c r="G613" s="466" t="s">
        <v>366</v>
      </c>
      <c r="H613" s="291"/>
      <c r="I613" s="291"/>
      <c r="J613" s="291"/>
      <c r="K613" s="291"/>
      <c r="L613" s="292"/>
      <c r="M613" s="292"/>
      <c r="N613" s="292"/>
      <c r="O613" s="292"/>
      <c r="P613" s="294"/>
      <c r="Q613" s="294"/>
      <c r="R613" s="294">
        <v>23</v>
      </c>
      <c r="S613" s="294">
        <v>41</v>
      </c>
      <c r="T613" s="294">
        <v>128</v>
      </c>
      <c r="U613" s="294">
        <v>64</v>
      </c>
      <c r="V613" s="431"/>
      <c r="W613" s="294"/>
      <c r="X613" s="294"/>
      <c r="Y613" s="294">
        <f>IF(NFI_Expiration=1,IF($A613&lt;VLOOKUP(H$5,NFI,5,0),1,0)*Table_NFI[[#This Row],[Hygiene Kit]],Table_NFI[Hygiene Kit])</f>
        <v>0</v>
      </c>
      <c r="Z613" s="294">
        <f>IF(NFI_Expiration=1,IF($A613&lt;VLOOKUP(I$5,NFI,5,0),1,0)*Table_NFI[[#This Row],[NFI Core Kit]],Table_NFI[NFI Core Kit])</f>
        <v>0</v>
      </c>
      <c r="AA613" s="294">
        <f>IF(NFI_Expiration=1,IF($A613&lt;VLOOKUP(J$5,NFI,5,0),1,0)*Table_NFI[[#This Row],[Sanitary Kit]],Table_NFI[Sanitary Kit])</f>
        <v>0</v>
      </c>
      <c r="AB613" s="294">
        <f>IF(NFI_Expiration=1,IF($A613&lt;VLOOKUP(K$5,NFI,5,0),1,0)*Table_NFI[[#This Row],[Mosquito net]],Table_NFI[Mosquito net])</f>
        <v>0</v>
      </c>
      <c r="AC613" s="294">
        <f>IF(NFI_Expiration=1,IF($A613&lt;VLOOKUP(L$5,NFI,5,0),1,0)*Table_NFI[[#This Row],[Tarpaulin]],Table_NFI[[#This Row],[Tarpaulin]])</f>
        <v>0</v>
      </c>
      <c r="AD613" s="294">
        <f>IF(NFI_Expiration=1,IF($A613&lt;VLOOKUP(M$5,NFI,5,0),1,0)*Table_NFI[[#This Row],[Blanket]],Table_NFI[[#This Row],[Blanket]])</f>
        <v>0</v>
      </c>
      <c r="AE613" s="294">
        <f>IF(NFI_Expiration=1,IF($A613&lt;VLOOKUP(N$5,NFI,5,0),1,0)*Table_NFI[[#This Row],[Kitchen Set]],Table_NFI[Kitchen Set])</f>
        <v>0</v>
      </c>
      <c r="AF613" s="294">
        <f>IF(NFI_Expiration=1,IF($A613&lt;VLOOKUP(O$5,NFI,5,0),1,0)*Table_NFI[[#This Row],[Clothes Kit]],Table_NFI[Clothes Kit])</f>
        <v>0</v>
      </c>
      <c r="AG613" s="294">
        <f>IF(NFI_Expiration=1,IF($A613&lt;VLOOKUP(P$5,NFI,5,0),1,0)*Table_NFI[[#This Row],[Plastic Bucket]],Table_NFI[Plastic Bucket])</f>
        <v>0</v>
      </c>
      <c r="AH613" s="294">
        <f>IF(NFI_Expiration=1,IF($A613&lt;VLOOKUP(Q$5,NFI,5,0),1,0)*Table_NFI[[#This Row],[Plastic Mat]],Table_NFI[Plastic Mat])*IF(Table_NFI[[#This Row],[Distribution Date]]&gt;"2014-04-01",1,2.5)</f>
        <v>0</v>
      </c>
      <c r="AI613" s="294">
        <f>IF(NFI_Expiration=1,IF($A613&lt;VLOOKUP(R$5,NFI,5,0),1,0)*Table_NFI[[#This Row],[Winter Clothes Adult]],Table_NFI[Winter Clothes Adult])</f>
        <v>0</v>
      </c>
      <c r="AJ613" s="294">
        <f>IF(NFI_Expiration=1,IF($A613&lt;VLOOKUP(S$5,NFI,5,0),1,0)*Table_NFI[[#This Row],[Winter Clothes Children]],Table_NFI[Winter Clothes Children])</f>
        <v>0</v>
      </c>
      <c r="AK613" s="294">
        <f>IF(NFI_Expiration=1,IF($A613&lt;VLOOKUP(T$5,NFI,5,0),1,0)*Table_NFI[[#This Row],[Winter Items Other]],Table_NFI[Winter Items Other])</f>
        <v>0</v>
      </c>
      <c r="AL613" s="294">
        <f>IF(NFI_Expiration=1,IF($A613&lt;VLOOKUP(M$5,NFI,5,0),1,0)*Table_NFI[[#This Row],[Winter Blanket]],Table_NFI[[#This Row],[Winter Blanket]])</f>
        <v>0</v>
      </c>
      <c r="AM613" s="294">
        <f>IF(Table_NFI[[#This Row],[Winter Clothes Adult]]+Table_NFI[[#This Row],[Winter Clothes Children]]+Table_NFI[[#This Row],[Winter Items Other]]+Table_NFI[[#This Row],[Winter Blanket]]&gt;0,1,0)</f>
        <v>1</v>
      </c>
      <c r="AN613" s="331">
        <f>IF(NFI_Expiration=1,IF($A613&lt;VLOOKUP(V$5,NFI,5,0),1,0)*Table_NFI[[#This Row],[Jerry Can]],Table_NFI[Jerry Can])</f>
        <v>0</v>
      </c>
      <c r="AO613" s="331">
        <f>IF(NFI_Expiration=1,IF($A613&lt;VLOOKUP(V$5,NFI,5,0),1,0)*Table_NFI[[#This Row],[Shelter Tool kit]],Table_NFI[Shelter Tool kit])</f>
        <v>0</v>
      </c>
      <c r="AP613" s="331">
        <f>IF(NFI_Expiration=1,IF($A613&lt;VLOOKUP(V$5,NFI,5,0),1,0)*Table_NFI[[#This Row],[Tent]],Table_NFI[Tent])</f>
        <v>0</v>
      </c>
      <c r="AQ613" s="473" t="str">
        <f>IFERROR(VLOOKUP(Table_NFI[[#This Row],[Camp Name]],CL,2,0),"")</f>
        <v>MMR001CMP193</v>
      </c>
      <c r="AR613" s="468">
        <f ca="1">IF(Table_NFI[[#This Row],[Pcode]]="","",IF(OFFSET(CampList[Opening Date],MATCH(Table_NFI[[#This Row],[Pcode]],CampList[CP_Pcode],0)-1,0,1,1)&gt;=NFI_Monitor_Date,1,0))</f>
        <v>0</v>
      </c>
      <c r="AS613" s="473" t="str">
        <f>IFERROR(VLOOKUP(Table_NFI[[#This Row],[Camp Name]],CL,3,0),"")</f>
        <v>Open</v>
      </c>
      <c r="AT613" s="294" t="str">
        <f ca="1">IF(Table_NFI[[#This Row],[Pcode]]="","",OFFSET(CampList[Priority],MATCH(Table_NFI[[#This Row],[Pcode]],CampList[CP_Pcode],0)-1,0,1,1))</f>
        <v>P4</v>
      </c>
      <c r="AU613" s="293">
        <f>IFERROR(Table_NFI[[#This Row],[Kitchen Set]]/VLOOKUP(Table_NFI[[#This Row],[Camp Name]],CL,4,0),"")</f>
        <v>0</v>
      </c>
      <c r="AV613" s="466"/>
      <c r="AW613" s="469"/>
    </row>
    <row r="614" spans="1:49" s="470" customFormat="1" ht="14.45" customHeight="1" x14ac:dyDescent="0.25">
      <c r="A614" s="297">
        <f t="shared" si="9"/>
        <v>36.333333333333336</v>
      </c>
      <c r="B614" s="465">
        <v>41585</v>
      </c>
      <c r="C614" s="466" t="s">
        <v>452</v>
      </c>
      <c r="D614" s="466" t="s">
        <v>452</v>
      </c>
      <c r="E614" s="466" t="s">
        <v>380</v>
      </c>
      <c r="F614" s="290" t="s">
        <v>5</v>
      </c>
      <c r="G614" s="290" t="s">
        <v>366</v>
      </c>
      <c r="H614" s="291"/>
      <c r="I614" s="291"/>
      <c r="J614" s="291">
        <v>58</v>
      </c>
      <c r="K614" s="291">
        <v>46</v>
      </c>
      <c r="L614" s="292">
        <v>29</v>
      </c>
      <c r="M614" s="292">
        <v>46</v>
      </c>
      <c r="N614" s="292">
        <v>29</v>
      </c>
      <c r="O614" s="292">
        <v>29</v>
      </c>
      <c r="P614" s="294"/>
      <c r="Q614" s="294"/>
      <c r="R614" s="294"/>
      <c r="S614" s="294"/>
      <c r="T614" s="294"/>
      <c r="U614" s="294"/>
      <c r="V614" s="431"/>
      <c r="W614" s="294"/>
      <c r="X614" s="294"/>
      <c r="Y614" s="294">
        <f>IF(NFI_Expiration=1,IF($A614&lt;VLOOKUP(H$5,NFI,5,0),1,0)*Table_NFI[[#This Row],[Hygiene Kit]],Table_NFI[Hygiene Kit])</f>
        <v>0</v>
      </c>
      <c r="Z614" s="294">
        <f>IF(NFI_Expiration=1,IF($A614&lt;VLOOKUP(I$5,NFI,5,0),1,0)*Table_NFI[[#This Row],[NFI Core Kit]],Table_NFI[NFI Core Kit])</f>
        <v>0</v>
      </c>
      <c r="AA614" s="294">
        <f>IF(NFI_Expiration=1,IF($A614&lt;VLOOKUP(J$5,NFI,5,0),1,0)*Table_NFI[[#This Row],[Sanitary Kit]],Table_NFI[Sanitary Kit])</f>
        <v>0</v>
      </c>
      <c r="AB614" s="294">
        <f>IF(NFI_Expiration=1,IF($A614&lt;VLOOKUP(K$5,NFI,5,0),1,0)*Table_NFI[[#This Row],[Mosquito net]],Table_NFI[Mosquito net])</f>
        <v>0</v>
      </c>
      <c r="AC614" s="294">
        <f>IF(NFI_Expiration=1,IF($A614&lt;VLOOKUP(L$5,NFI,5,0),1,0)*Table_NFI[[#This Row],[Tarpaulin]],Table_NFI[[#This Row],[Tarpaulin]])</f>
        <v>0</v>
      </c>
      <c r="AD614" s="294">
        <f>IF(NFI_Expiration=1,IF($A614&lt;VLOOKUP(M$5,NFI,5,0),1,0)*Table_NFI[[#This Row],[Blanket]],Table_NFI[[#This Row],[Blanket]])</f>
        <v>0</v>
      </c>
      <c r="AE614" s="294">
        <f>IF(NFI_Expiration=1,IF($A614&lt;VLOOKUP(N$5,NFI,5,0),1,0)*Table_NFI[[#This Row],[Kitchen Set]],Table_NFI[Kitchen Set])</f>
        <v>0</v>
      </c>
      <c r="AF614" s="294">
        <f>IF(NFI_Expiration=1,IF($A614&lt;VLOOKUP(O$5,NFI,5,0),1,0)*Table_NFI[[#This Row],[Clothes Kit]],Table_NFI[Clothes Kit])</f>
        <v>0</v>
      </c>
      <c r="AG614" s="294">
        <f>IF(NFI_Expiration=1,IF($A614&lt;VLOOKUP(P$5,NFI,5,0),1,0)*Table_NFI[[#This Row],[Plastic Bucket]],Table_NFI[Plastic Bucket])</f>
        <v>0</v>
      </c>
      <c r="AH614" s="294">
        <f>IF(NFI_Expiration=1,IF($A614&lt;VLOOKUP(Q$5,NFI,5,0),1,0)*Table_NFI[[#This Row],[Plastic Mat]],Table_NFI[Plastic Mat])*IF(Table_NFI[[#This Row],[Distribution Date]]&gt;"2014-04-01",1,2.5)</f>
        <v>0</v>
      </c>
      <c r="AI614" s="294">
        <f>IF(NFI_Expiration=1,IF($A614&lt;VLOOKUP(R$5,NFI,5,0),1,0)*Table_NFI[[#This Row],[Winter Clothes Adult]],Table_NFI[Winter Clothes Adult])</f>
        <v>0</v>
      </c>
      <c r="AJ614" s="294">
        <f>IF(NFI_Expiration=1,IF($A614&lt;VLOOKUP(S$5,NFI,5,0),1,0)*Table_NFI[[#This Row],[Winter Clothes Children]],Table_NFI[Winter Clothes Children])</f>
        <v>0</v>
      </c>
      <c r="AK614" s="294">
        <f>IF(NFI_Expiration=1,IF($A614&lt;VLOOKUP(T$5,NFI,5,0),1,0)*Table_NFI[[#This Row],[Winter Items Other]],Table_NFI[Winter Items Other])</f>
        <v>0</v>
      </c>
      <c r="AL614" s="294">
        <f>IF(NFI_Expiration=1,IF($A614&lt;VLOOKUP(M$5,NFI,5,0),1,0)*Table_NFI[[#This Row],[Winter Blanket]],Table_NFI[[#This Row],[Winter Blanket]])</f>
        <v>0</v>
      </c>
      <c r="AM614" s="294">
        <f>IF(Table_NFI[[#This Row],[Winter Clothes Adult]]+Table_NFI[[#This Row],[Winter Clothes Children]]+Table_NFI[[#This Row],[Winter Items Other]]+Table_NFI[[#This Row],[Winter Blanket]]&gt;0,1,0)</f>
        <v>0</v>
      </c>
      <c r="AN614" s="331">
        <f>IF(NFI_Expiration=1,IF($A614&lt;VLOOKUP(V$5,NFI,5,0),1,0)*Table_NFI[[#This Row],[Jerry Can]],Table_NFI[Jerry Can])</f>
        <v>0</v>
      </c>
      <c r="AO614" s="331">
        <f>IF(NFI_Expiration=1,IF($A614&lt;VLOOKUP(V$5,NFI,5,0),1,0)*Table_NFI[[#This Row],[Shelter Tool kit]],Table_NFI[Shelter Tool kit])</f>
        <v>0</v>
      </c>
      <c r="AP614" s="331">
        <f>IF(NFI_Expiration=1,IF($A614&lt;VLOOKUP(V$5,NFI,5,0),1,0)*Table_NFI[[#This Row],[Tent]],Table_NFI[Tent])</f>
        <v>0</v>
      </c>
      <c r="AQ614" s="473" t="str">
        <f>IFERROR(VLOOKUP(Table_NFI[[#This Row],[Camp Name]],CL,2,0),"")</f>
        <v>MMR001CMP193</v>
      </c>
      <c r="AR614" s="468">
        <f ca="1">IF(Table_NFI[[#This Row],[Pcode]]="","",IF(OFFSET(CampList[Opening Date],MATCH(Table_NFI[[#This Row],[Pcode]],CampList[CP_Pcode],0)-1,0,1,1)&gt;=NFI_Monitor_Date,1,0))</f>
        <v>0</v>
      </c>
      <c r="AS614" s="473" t="str">
        <f>IFERROR(VLOOKUP(Table_NFI[[#This Row],[Camp Name]],CL,3,0),"")</f>
        <v>Open</v>
      </c>
      <c r="AT614" s="294" t="str">
        <f ca="1">IF(Table_NFI[[#This Row],[Pcode]]="","",OFFSET(CampList[Priority],MATCH(Table_NFI[[#This Row],[Pcode]],CampList[CP_Pcode],0)-1,0,1,1))</f>
        <v>P4</v>
      </c>
      <c r="AU614" s="293">
        <f>IFERROR(Table_NFI[[#This Row],[Kitchen Set]]/VLOOKUP(Table_NFI[[#This Row],[Camp Name]],CL,4,0),"")</f>
        <v>0.19333333333333333</v>
      </c>
      <c r="AV614" s="466" t="s">
        <v>1092</v>
      </c>
      <c r="AW614" s="469"/>
    </row>
    <row r="615" spans="1:49" s="470" customFormat="1" ht="14.45" customHeight="1" x14ac:dyDescent="0.25">
      <c r="A615" s="297">
        <f t="shared" si="9"/>
        <v>36.333333333333336</v>
      </c>
      <c r="B615" s="465">
        <v>41585</v>
      </c>
      <c r="C615" s="466" t="s">
        <v>905</v>
      </c>
      <c r="D615" s="466" t="s">
        <v>905</v>
      </c>
      <c r="E615" s="466" t="s">
        <v>380</v>
      </c>
      <c r="F615" s="466" t="s">
        <v>5</v>
      </c>
      <c r="G615" s="466" t="s">
        <v>24</v>
      </c>
      <c r="H615" s="291"/>
      <c r="I615" s="291"/>
      <c r="J615" s="291"/>
      <c r="K615" s="291"/>
      <c r="L615" s="292"/>
      <c r="M615" s="292"/>
      <c r="N615" s="292"/>
      <c r="O615" s="292"/>
      <c r="P615" s="294"/>
      <c r="Q615" s="294"/>
      <c r="R615" s="294">
        <v>64</v>
      </c>
      <c r="S615" s="294">
        <v>118</v>
      </c>
      <c r="T615" s="294">
        <v>364</v>
      </c>
      <c r="U615" s="294">
        <v>182</v>
      </c>
      <c r="V615" s="431"/>
      <c r="W615" s="294"/>
      <c r="X615" s="294"/>
      <c r="Y615" s="294">
        <f>IF(NFI_Expiration=1,IF($A615&lt;VLOOKUP(H$5,NFI,5,0),1,0)*Table_NFI[[#This Row],[Hygiene Kit]],Table_NFI[Hygiene Kit])</f>
        <v>0</v>
      </c>
      <c r="Z615" s="294">
        <f>IF(NFI_Expiration=1,IF($A615&lt;VLOOKUP(I$5,NFI,5,0),1,0)*Table_NFI[[#This Row],[NFI Core Kit]],Table_NFI[NFI Core Kit])</f>
        <v>0</v>
      </c>
      <c r="AA615" s="294">
        <f>IF(NFI_Expiration=1,IF($A615&lt;VLOOKUP(J$5,NFI,5,0),1,0)*Table_NFI[[#This Row],[Sanitary Kit]],Table_NFI[Sanitary Kit])</f>
        <v>0</v>
      </c>
      <c r="AB615" s="294">
        <f>IF(NFI_Expiration=1,IF($A615&lt;VLOOKUP(K$5,NFI,5,0),1,0)*Table_NFI[[#This Row],[Mosquito net]],Table_NFI[Mosquito net])</f>
        <v>0</v>
      </c>
      <c r="AC615" s="294">
        <f>IF(NFI_Expiration=1,IF($A615&lt;VLOOKUP(L$5,NFI,5,0),1,0)*Table_NFI[[#This Row],[Tarpaulin]],Table_NFI[[#This Row],[Tarpaulin]])</f>
        <v>0</v>
      </c>
      <c r="AD615" s="294">
        <f>IF(NFI_Expiration=1,IF($A615&lt;VLOOKUP(M$5,NFI,5,0),1,0)*Table_NFI[[#This Row],[Blanket]],Table_NFI[[#This Row],[Blanket]])</f>
        <v>0</v>
      </c>
      <c r="AE615" s="294">
        <f>IF(NFI_Expiration=1,IF($A615&lt;VLOOKUP(N$5,NFI,5,0),1,0)*Table_NFI[[#This Row],[Kitchen Set]],Table_NFI[Kitchen Set])</f>
        <v>0</v>
      </c>
      <c r="AF615" s="294">
        <f>IF(NFI_Expiration=1,IF($A615&lt;VLOOKUP(O$5,NFI,5,0),1,0)*Table_NFI[[#This Row],[Clothes Kit]],Table_NFI[Clothes Kit])</f>
        <v>0</v>
      </c>
      <c r="AG615" s="294">
        <f>IF(NFI_Expiration=1,IF($A615&lt;VLOOKUP(P$5,NFI,5,0),1,0)*Table_NFI[[#This Row],[Plastic Bucket]],Table_NFI[Plastic Bucket])</f>
        <v>0</v>
      </c>
      <c r="AH615" s="294">
        <f>IF(NFI_Expiration=1,IF($A615&lt;VLOOKUP(Q$5,NFI,5,0),1,0)*Table_NFI[[#This Row],[Plastic Mat]],Table_NFI[Plastic Mat])*IF(Table_NFI[[#This Row],[Distribution Date]]&gt;"2014-04-01",1,2.5)</f>
        <v>0</v>
      </c>
      <c r="AI615" s="294">
        <f>IF(NFI_Expiration=1,IF($A615&lt;VLOOKUP(R$5,NFI,5,0),1,0)*Table_NFI[[#This Row],[Winter Clothes Adult]],Table_NFI[Winter Clothes Adult])</f>
        <v>0</v>
      </c>
      <c r="AJ615" s="294">
        <f>IF(NFI_Expiration=1,IF($A615&lt;VLOOKUP(S$5,NFI,5,0),1,0)*Table_NFI[[#This Row],[Winter Clothes Children]],Table_NFI[Winter Clothes Children])</f>
        <v>0</v>
      </c>
      <c r="AK615" s="294">
        <f>IF(NFI_Expiration=1,IF($A615&lt;VLOOKUP(T$5,NFI,5,0),1,0)*Table_NFI[[#This Row],[Winter Items Other]],Table_NFI[Winter Items Other])</f>
        <v>0</v>
      </c>
      <c r="AL615" s="294">
        <f>IF(NFI_Expiration=1,IF($A615&lt;VLOOKUP(M$5,NFI,5,0),1,0)*Table_NFI[[#This Row],[Winter Blanket]],Table_NFI[[#This Row],[Winter Blanket]])</f>
        <v>0</v>
      </c>
      <c r="AM615" s="294">
        <f>IF(Table_NFI[[#This Row],[Winter Clothes Adult]]+Table_NFI[[#This Row],[Winter Clothes Children]]+Table_NFI[[#This Row],[Winter Items Other]]+Table_NFI[[#This Row],[Winter Blanket]]&gt;0,1,0)</f>
        <v>1</v>
      </c>
      <c r="AN615" s="331">
        <f>IF(NFI_Expiration=1,IF($A615&lt;VLOOKUP(V$5,NFI,5,0),1,0)*Table_NFI[[#This Row],[Jerry Can]],Table_NFI[Jerry Can])</f>
        <v>0</v>
      </c>
      <c r="AO615" s="331">
        <f>IF(NFI_Expiration=1,IF($A615&lt;VLOOKUP(V$5,NFI,5,0),1,0)*Table_NFI[[#This Row],[Shelter Tool kit]],Table_NFI[Shelter Tool kit])</f>
        <v>0</v>
      </c>
      <c r="AP615" s="331">
        <f>IF(NFI_Expiration=1,IF($A615&lt;VLOOKUP(V$5,NFI,5,0),1,0)*Table_NFI[[#This Row],[Tent]],Table_NFI[Tent])</f>
        <v>0</v>
      </c>
      <c r="AQ615" s="473" t="str">
        <f>IFERROR(VLOOKUP(Table_NFI[[#This Row],[Camp Name]],CL,2,0),"")</f>
        <v>MMR001CMP055</v>
      </c>
      <c r="AR615" s="468">
        <f ca="1">IF(Table_NFI[[#This Row],[Pcode]]="","",IF(OFFSET(CampList[Opening Date],MATCH(Table_NFI[[#This Row],[Pcode]],CampList[CP_Pcode],0)-1,0,1,1)&gt;=NFI_Monitor_Date,1,0))</f>
        <v>0</v>
      </c>
      <c r="AS615" s="473" t="str">
        <f>IFERROR(VLOOKUP(Table_NFI[[#This Row],[Camp Name]],CL,3,0),"")</f>
        <v>Open</v>
      </c>
      <c r="AT615" s="294" t="str">
        <f ca="1">IF(Table_NFI[[#This Row],[Pcode]]="","",OFFSET(CampList[Priority],MATCH(Table_NFI[[#This Row],[Pcode]],CampList[CP_Pcode],0)-1,0,1,1))</f>
        <v>P4</v>
      </c>
      <c r="AU615" s="293">
        <f>IFERROR(Table_NFI[[#This Row],[Kitchen Set]]/VLOOKUP(Table_NFI[[#This Row],[Camp Name]],CL,4,0),"")</f>
        <v>0</v>
      </c>
      <c r="AV615" s="466"/>
      <c r="AW615" s="469"/>
    </row>
    <row r="616" spans="1:49" s="470" customFormat="1" ht="14.45" customHeight="1" x14ac:dyDescent="0.25">
      <c r="A616" s="297">
        <f t="shared" si="9"/>
        <v>36.4</v>
      </c>
      <c r="B616" s="465">
        <v>41583</v>
      </c>
      <c r="C616" s="466" t="s">
        <v>452</v>
      </c>
      <c r="D616" s="466" t="s">
        <v>452</v>
      </c>
      <c r="E616" s="466" t="s">
        <v>380</v>
      </c>
      <c r="F616" s="290" t="s">
        <v>151</v>
      </c>
      <c r="G616" s="290" t="s">
        <v>152</v>
      </c>
      <c r="H616" s="291"/>
      <c r="I616" s="291"/>
      <c r="J616" s="291">
        <v>60</v>
      </c>
      <c r="K616" s="291">
        <v>54</v>
      </c>
      <c r="L616" s="292">
        <v>30</v>
      </c>
      <c r="M616" s="292">
        <v>54</v>
      </c>
      <c r="N616" s="292">
        <v>30</v>
      </c>
      <c r="O616" s="292">
        <v>30</v>
      </c>
      <c r="P616" s="294"/>
      <c r="Q616" s="294"/>
      <c r="R616" s="294"/>
      <c r="S616" s="294"/>
      <c r="T616" s="294"/>
      <c r="U616" s="294"/>
      <c r="V616" s="431"/>
      <c r="W616" s="294"/>
      <c r="X616" s="294"/>
      <c r="Y616" s="294">
        <f>IF(NFI_Expiration=1,IF($A616&lt;VLOOKUP(H$5,NFI,5,0),1,0)*Table_NFI[[#This Row],[Hygiene Kit]],Table_NFI[Hygiene Kit])</f>
        <v>0</v>
      </c>
      <c r="Z616" s="294">
        <f>IF(NFI_Expiration=1,IF($A616&lt;VLOOKUP(I$5,NFI,5,0),1,0)*Table_NFI[[#This Row],[NFI Core Kit]],Table_NFI[NFI Core Kit])</f>
        <v>0</v>
      </c>
      <c r="AA616" s="294">
        <f>IF(NFI_Expiration=1,IF($A616&lt;VLOOKUP(J$5,NFI,5,0),1,0)*Table_NFI[[#This Row],[Sanitary Kit]],Table_NFI[Sanitary Kit])</f>
        <v>0</v>
      </c>
      <c r="AB616" s="294">
        <f>IF(NFI_Expiration=1,IF($A616&lt;VLOOKUP(K$5,NFI,5,0),1,0)*Table_NFI[[#This Row],[Mosquito net]],Table_NFI[Mosquito net])</f>
        <v>0</v>
      </c>
      <c r="AC616" s="294">
        <f>IF(NFI_Expiration=1,IF($A616&lt;VLOOKUP(L$5,NFI,5,0),1,0)*Table_NFI[[#This Row],[Tarpaulin]],Table_NFI[[#This Row],[Tarpaulin]])</f>
        <v>0</v>
      </c>
      <c r="AD616" s="294">
        <f>IF(NFI_Expiration=1,IF($A616&lt;VLOOKUP(M$5,NFI,5,0),1,0)*Table_NFI[[#This Row],[Blanket]],Table_NFI[[#This Row],[Blanket]])</f>
        <v>0</v>
      </c>
      <c r="AE616" s="294">
        <f>IF(NFI_Expiration=1,IF($A616&lt;VLOOKUP(N$5,NFI,5,0),1,0)*Table_NFI[[#This Row],[Kitchen Set]],Table_NFI[Kitchen Set])</f>
        <v>0</v>
      </c>
      <c r="AF616" s="294">
        <f>IF(NFI_Expiration=1,IF($A616&lt;VLOOKUP(O$5,NFI,5,0),1,0)*Table_NFI[[#This Row],[Clothes Kit]],Table_NFI[Clothes Kit])</f>
        <v>0</v>
      </c>
      <c r="AG616" s="294">
        <f>IF(NFI_Expiration=1,IF($A616&lt;VLOOKUP(P$5,NFI,5,0),1,0)*Table_NFI[[#This Row],[Plastic Bucket]],Table_NFI[Plastic Bucket])</f>
        <v>0</v>
      </c>
      <c r="AH616" s="294">
        <f>IF(NFI_Expiration=1,IF($A616&lt;VLOOKUP(Q$5,NFI,5,0),1,0)*Table_NFI[[#This Row],[Plastic Mat]],Table_NFI[Plastic Mat])*IF(Table_NFI[[#This Row],[Distribution Date]]&gt;"2014-04-01",1,2.5)</f>
        <v>0</v>
      </c>
      <c r="AI616" s="294">
        <f>IF(NFI_Expiration=1,IF($A616&lt;VLOOKUP(R$5,NFI,5,0),1,0)*Table_NFI[[#This Row],[Winter Clothes Adult]],Table_NFI[Winter Clothes Adult])</f>
        <v>0</v>
      </c>
      <c r="AJ616" s="294">
        <f>IF(NFI_Expiration=1,IF($A616&lt;VLOOKUP(S$5,NFI,5,0),1,0)*Table_NFI[[#This Row],[Winter Clothes Children]],Table_NFI[Winter Clothes Children])</f>
        <v>0</v>
      </c>
      <c r="AK616" s="294">
        <f>IF(NFI_Expiration=1,IF($A616&lt;VLOOKUP(T$5,NFI,5,0),1,0)*Table_NFI[[#This Row],[Winter Items Other]],Table_NFI[Winter Items Other])</f>
        <v>0</v>
      </c>
      <c r="AL616" s="294">
        <f>IF(NFI_Expiration=1,IF($A616&lt;VLOOKUP(M$5,NFI,5,0),1,0)*Table_NFI[[#This Row],[Winter Blanket]],Table_NFI[[#This Row],[Winter Blanket]])</f>
        <v>0</v>
      </c>
      <c r="AM616" s="294">
        <f>IF(Table_NFI[[#This Row],[Winter Clothes Adult]]+Table_NFI[[#This Row],[Winter Clothes Children]]+Table_NFI[[#This Row],[Winter Items Other]]+Table_NFI[[#This Row],[Winter Blanket]]&gt;0,1,0)</f>
        <v>0</v>
      </c>
      <c r="AN616" s="331">
        <f>IF(NFI_Expiration=1,IF($A616&lt;VLOOKUP(V$5,NFI,5,0),1,0)*Table_NFI[[#This Row],[Jerry Can]],Table_NFI[Jerry Can])</f>
        <v>0</v>
      </c>
      <c r="AO616" s="331">
        <f>IF(NFI_Expiration=1,IF($A616&lt;VLOOKUP(V$5,NFI,5,0),1,0)*Table_NFI[[#This Row],[Shelter Tool kit]],Table_NFI[Shelter Tool kit])</f>
        <v>0</v>
      </c>
      <c r="AP616" s="331">
        <f>IF(NFI_Expiration=1,IF($A616&lt;VLOOKUP(V$5,NFI,5,0),1,0)*Table_NFI[[#This Row],[Tent]],Table_NFI[Tent])</f>
        <v>0</v>
      </c>
      <c r="AQ616" s="473" t="str">
        <f>IFERROR(VLOOKUP(Table_NFI[[#This Row],[Camp Name]],CL,2,0),"")</f>
        <v>MMR001CMP066</v>
      </c>
      <c r="AR616" s="468">
        <f ca="1">IF(Table_NFI[[#This Row],[Pcode]]="","",IF(OFFSET(CampList[Opening Date],MATCH(Table_NFI[[#This Row],[Pcode]],CampList[CP_Pcode],0)-1,0,1,1)&gt;=NFI_Monitor_Date,1,0))</f>
        <v>0</v>
      </c>
      <c r="AS616" s="473" t="str">
        <f>IFERROR(VLOOKUP(Table_NFI[[#This Row],[Camp Name]],CL,3,0),"")</f>
        <v>Open</v>
      </c>
      <c r="AT616" s="294" t="str">
        <f ca="1">IF(Table_NFI[[#This Row],[Pcode]]="","",OFFSET(CampList[Priority],MATCH(Table_NFI[[#This Row],[Pcode]],CampList[CP_Pcode],0)-1,0,1,1))</f>
        <v>P4</v>
      </c>
      <c r="AU616" s="293">
        <f>IFERROR(Table_NFI[[#This Row],[Kitchen Set]]/VLOOKUP(Table_NFI[[#This Row],[Camp Name]],CL,4,0),"")</f>
        <v>0.15228426395939088</v>
      </c>
      <c r="AV616" s="466" t="s">
        <v>1092</v>
      </c>
      <c r="AW616" s="469"/>
    </row>
    <row r="617" spans="1:49" s="470" customFormat="1" ht="14.45" customHeight="1" x14ac:dyDescent="0.25">
      <c r="A617" s="297">
        <f t="shared" si="9"/>
        <v>36.466666666666669</v>
      </c>
      <c r="B617" s="465">
        <v>41581</v>
      </c>
      <c r="C617" s="466" t="s">
        <v>900</v>
      </c>
      <c r="D617" s="466" t="s">
        <v>900</v>
      </c>
      <c r="E617" s="466" t="s">
        <v>380</v>
      </c>
      <c r="F617" s="290" t="s">
        <v>5</v>
      </c>
      <c r="G617" s="290" t="s">
        <v>6</v>
      </c>
      <c r="H617" s="291"/>
      <c r="I617" s="291"/>
      <c r="J617" s="291">
        <v>21</v>
      </c>
      <c r="K617" s="291"/>
      <c r="L617" s="292"/>
      <c r="M617" s="292"/>
      <c r="N617" s="292">
        <v>21</v>
      </c>
      <c r="O617" s="292"/>
      <c r="P617" s="294"/>
      <c r="Q617" s="294"/>
      <c r="R617" s="294"/>
      <c r="S617" s="294"/>
      <c r="T617" s="294"/>
      <c r="U617" s="294"/>
      <c r="V617" s="431"/>
      <c r="W617" s="294"/>
      <c r="X617" s="294"/>
      <c r="Y617" s="294">
        <f>IF(NFI_Expiration=1,IF($A617&lt;VLOOKUP(H$5,NFI,5,0),1,0)*Table_NFI[[#This Row],[Hygiene Kit]],Table_NFI[Hygiene Kit])</f>
        <v>0</v>
      </c>
      <c r="Z617" s="294">
        <f>IF(NFI_Expiration=1,IF($A617&lt;VLOOKUP(I$5,NFI,5,0),1,0)*Table_NFI[[#This Row],[NFI Core Kit]],Table_NFI[NFI Core Kit])</f>
        <v>0</v>
      </c>
      <c r="AA617" s="294">
        <f>IF(NFI_Expiration=1,IF($A617&lt;VLOOKUP(J$5,NFI,5,0),1,0)*Table_NFI[[#This Row],[Sanitary Kit]],Table_NFI[Sanitary Kit])</f>
        <v>0</v>
      </c>
      <c r="AB617" s="294">
        <f>IF(NFI_Expiration=1,IF($A617&lt;VLOOKUP(K$5,NFI,5,0),1,0)*Table_NFI[[#This Row],[Mosquito net]],Table_NFI[Mosquito net])</f>
        <v>0</v>
      </c>
      <c r="AC617" s="294">
        <f>IF(NFI_Expiration=1,IF($A617&lt;VLOOKUP(L$5,NFI,5,0),1,0)*Table_NFI[[#This Row],[Tarpaulin]],Table_NFI[[#This Row],[Tarpaulin]])</f>
        <v>0</v>
      </c>
      <c r="AD617" s="294">
        <f>IF(NFI_Expiration=1,IF($A617&lt;VLOOKUP(M$5,NFI,5,0),1,0)*Table_NFI[[#This Row],[Blanket]],Table_NFI[[#This Row],[Blanket]])</f>
        <v>0</v>
      </c>
      <c r="AE617" s="294">
        <f>IF(NFI_Expiration=1,IF($A617&lt;VLOOKUP(N$5,NFI,5,0),1,0)*Table_NFI[[#This Row],[Kitchen Set]],Table_NFI[Kitchen Set])</f>
        <v>0</v>
      </c>
      <c r="AF617" s="294">
        <f>IF(NFI_Expiration=1,IF($A617&lt;VLOOKUP(O$5,NFI,5,0),1,0)*Table_NFI[[#This Row],[Clothes Kit]],Table_NFI[Clothes Kit])</f>
        <v>0</v>
      </c>
      <c r="AG617" s="294">
        <f>IF(NFI_Expiration=1,IF($A617&lt;VLOOKUP(P$5,NFI,5,0),1,0)*Table_NFI[[#This Row],[Plastic Bucket]],Table_NFI[Plastic Bucket])</f>
        <v>0</v>
      </c>
      <c r="AH617" s="294">
        <f>IF(NFI_Expiration=1,IF($A617&lt;VLOOKUP(Q$5,NFI,5,0),1,0)*Table_NFI[[#This Row],[Plastic Mat]],Table_NFI[Plastic Mat])*IF(Table_NFI[[#This Row],[Distribution Date]]&gt;"2014-04-01",1,2.5)</f>
        <v>0</v>
      </c>
      <c r="AI617" s="294">
        <f>IF(NFI_Expiration=1,IF($A617&lt;VLOOKUP(R$5,NFI,5,0),1,0)*Table_NFI[[#This Row],[Winter Clothes Adult]],Table_NFI[Winter Clothes Adult])</f>
        <v>0</v>
      </c>
      <c r="AJ617" s="294">
        <f>IF(NFI_Expiration=1,IF($A617&lt;VLOOKUP(S$5,NFI,5,0),1,0)*Table_NFI[[#This Row],[Winter Clothes Children]],Table_NFI[Winter Clothes Children])</f>
        <v>0</v>
      </c>
      <c r="AK617" s="294">
        <f>IF(NFI_Expiration=1,IF($A617&lt;VLOOKUP(T$5,NFI,5,0),1,0)*Table_NFI[[#This Row],[Winter Items Other]],Table_NFI[Winter Items Other])</f>
        <v>0</v>
      </c>
      <c r="AL617" s="294">
        <f>IF(NFI_Expiration=1,IF($A617&lt;VLOOKUP(M$5,NFI,5,0),1,0)*Table_NFI[[#This Row],[Winter Blanket]],Table_NFI[[#This Row],[Winter Blanket]])</f>
        <v>0</v>
      </c>
      <c r="AM617" s="294">
        <f>IF(Table_NFI[[#This Row],[Winter Clothes Adult]]+Table_NFI[[#This Row],[Winter Clothes Children]]+Table_NFI[[#This Row],[Winter Items Other]]+Table_NFI[[#This Row],[Winter Blanket]]&gt;0,1,0)</f>
        <v>0</v>
      </c>
      <c r="AN617" s="331">
        <f>IF(NFI_Expiration=1,IF($A617&lt;VLOOKUP(V$5,NFI,5,0),1,0)*Table_NFI[[#This Row],[Jerry Can]],Table_NFI[Jerry Can])</f>
        <v>0</v>
      </c>
      <c r="AO617" s="331">
        <f>IF(NFI_Expiration=1,IF($A617&lt;VLOOKUP(V$5,NFI,5,0),1,0)*Table_NFI[[#This Row],[Shelter Tool kit]],Table_NFI[Shelter Tool kit])</f>
        <v>0</v>
      </c>
      <c r="AP617" s="331">
        <f>IF(NFI_Expiration=1,IF($A617&lt;VLOOKUP(V$5,NFI,5,0),1,0)*Table_NFI[[#This Row],[Tent]],Table_NFI[Tent])</f>
        <v>0</v>
      </c>
      <c r="AQ617" s="473" t="str">
        <f>IFERROR(VLOOKUP(Table_NFI[[#This Row],[Camp Name]],CL,2,0),"")</f>
        <v>MMR001CMP050</v>
      </c>
      <c r="AR617" s="468">
        <f ca="1">IF(Table_NFI[[#This Row],[Pcode]]="","",IF(OFFSET(CampList[Opening Date],MATCH(Table_NFI[[#This Row],[Pcode]],CampList[CP_Pcode],0)-1,0,1,1)&gt;=NFI_Monitor_Date,1,0))</f>
        <v>0</v>
      </c>
      <c r="AS617" s="473" t="str">
        <f>IFERROR(VLOOKUP(Table_NFI[[#This Row],[Camp Name]],CL,3,0),"")</f>
        <v>Open</v>
      </c>
      <c r="AT617" s="294" t="str">
        <f ca="1">IF(Table_NFI[[#This Row],[Pcode]]="","",OFFSET(CampList[Priority],MATCH(Table_NFI[[#This Row],[Pcode]],CampList[CP_Pcode],0)-1,0,1,1))</f>
        <v>P4</v>
      </c>
      <c r="AU617" s="293">
        <f>IFERROR(Table_NFI[[#This Row],[Kitchen Set]]/VLOOKUP(Table_NFI[[#This Row],[Camp Name]],CL,4,0),"")</f>
        <v>8.0769230769230774E-2</v>
      </c>
      <c r="AV617" s="466" t="s">
        <v>1092</v>
      </c>
      <c r="AW617" s="469"/>
    </row>
    <row r="618" spans="1:49" s="470" customFormat="1" ht="14.45" customHeight="1" x14ac:dyDescent="0.25">
      <c r="A618" s="297">
        <f t="shared" si="9"/>
        <v>36.466666666666669</v>
      </c>
      <c r="B618" s="465">
        <v>41581</v>
      </c>
      <c r="C618" s="466" t="s">
        <v>452</v>
      </c>
      <c r="D618" s="466" t="s">
        <v>573</v>
      </c>
      <c r="E618" s="466" t="s">
        <v>380</v>
      </c>
      <c r="F618" s="290" t="s">
        <v>151</v>
      </c>
      <c r="G618" s="290" t="s">
        <v>188</v>
      </c>
      <c r="H618" s="291"/>
      <c r="I618" s="291"/>
      <c r="J618" s="291">
        <v>130</v>
      </c>
      <c r="K618" s="291">
        <v>130</v>
      </c>
      <c r="L618" s="292">
        <v>65</v>
      </c>
      <c r="M618" s="292">
        <v>65</v>
      </c>
      <c r="N618" s="292">
        <v>65</v>
      </c>
      <c r="O618" s="292">
        <v>65</v>
      </c>
      <c r="P618" s="294"/>
      <c r="Q618" s="294"/>
      <c r="R618" s="294"/>
      <c r="S618" s="294"/>
      <c r="T618" s="294"/>
      <c r="U618" s="294"/>
      <c r="V618" s="431"/>
      <c r="W618" s="294"/>
      <c r="X618" s="294"/>
      <c r="Y618" s="294">
        <f>IF(NFI_Expiration=1,IF($A618&lt;VLOOKUP(H$5,NFI,5,0),1,0)*Table_NFI[[#This Row],[Hygiene Kit]],Table_NFI[Hygiene Kit])</f>
        <v>0</v>
      </c>
      <c r="Z618" s="294">
        <f>IF(NFI_Expiration=1,IF($A618&lt;VLOOKUP(I$5,NFI,5,0),1,0)*Table_NFI[[#This Row],[NFI Core Kit]],Table_NFI[NFI Core Kit])</f>
        <v>0</v>
      </c>
      <c r="AA618" s="294">
        <f>IF(NFI_Expiration=1,IF($A618&lt;VLOOKUP(J$5,NFI,5,0),1,0)*Table_NFI[[#This Row],[Sanitary Kit]],Table_NFI[Sanitary Kit])</f>
        <v>0</v>
      </c>
      <c r="AB618" s="294">
        <f>IF(NFI_Expiration=1,IF($A618&lt;VLOOKUP(K$5,NFI,5,0),1,0)*Table_NFI[[#This Row],[Mosquito net]],Table_NFI[Mosquito net])</f>
        <v>0</v>
      </c>
      <c r="AC618" s="294">
        <f>IF(NFI_Expiration=1,IF($A618&lt;VLOOKUP(L$5,NFI,5,0),1,0)*Table_NFI[[#This Row],[Tarpaulin]],Table_NFI[[#This Row],[Tarpaulin]])</f>
        <v>0</v>
      </c>
      <c r="AD618" s="294">
        <f>IF(NFI_Expiration=1,IF($A618&lt;VLOOKUP(M$5,NFI,5,0),1,0)*Table_NFI[[#This Row],[Blanket]],Table_NFI[[#This Row],[Blanket]])</f>
        <v>0</v>
      </c>
      <c r="AE618" s="294">
        <f>IF(NFI_Expiration=1,IF($A618&lt;VLOOKUP(N$5,NFI,5,0),1,0)*Table_NFI[[#This Row],[Kitchen Set]],Table_NFI[Kitchen Set])</f>
        <v>0</v>
      </c>
      <c r="AF618" s="294">
        <f>IF(NFI_Expiration=1,IF($A618&lt;VLOOKUP(O$5,NFI,5,0),1,0)*Table_NFI[[#This Row],[Clothes Kit]],Table_NFI[Clothes Kit])</f>
        <v>0</v>
      </c>
      <c r="AG618" s="294">
        <f>IF(NFI_Expiration=1,IF($A618&lt;VLOOKUP(P$5,NFI,5,0),1,0)*Table_NFI[[#This Row],[Plastic Bucket]],Table_NFI[Plastic Bucket])</f>
        <v>0</v>
      </c>
      <c r="AH618" s="294">
        <f>IF(NFI_Expiration=1,IF($A618&lt;VLOOKUP(Q$5,NFI,5,0),1,0)*Table_NFI[[#This Row],[Plastic Mat]],Table_NFI[Plastic Mat])*IF(Table_NFI[[#This Row],[Distribution Date]]&gt;"2014-04-01",1,2.5)</f>
        <v>0</v>
      </c>
      <c r="AI618" s="294">
        <f>IF(NFI_Expiration=1,IF($A618&lt;VLOOKUP(R$5,NFI,5,0),1,0)*Table_NFI[[#This Row],[Winter Clothes Adult]],Table_NFI[Winter Clothes Adult])</f>
        <v>0</v>
      </c>
      <c r="AJ618" s="294">
        <f>IF(NFI_Expiration=1,IF($A618&lt;VLOOKUP(S$5,NFI,5,0),1,0)*Table_NFI[[#This Row],[Winter Clothes Children]],Table_NFI[Winter Clothes Children])</f>
        <v>0</v>
      </c>
      <c r="AK618" s="294">
        <f>IF(NFI_Expiration=1,IF($A618&lt;VLOOKUP(T$5,NFI,5,0),1,0)*Table_NFI[[#This Row],[Winter Items Other]],Table_NFI[Winter Items Other])</f>
        <v>0</v>
      </c>
      <c r="AL618" s="294">
        <f>IF(NFI_Expiration=1,IF($A618&lt;VLOOKUP(M$5,NFI,5,0),1,0)*Table_NFI[[#This Row],[Winter Blanket]],Table_NFI[[#This Row],[Winter Blanket]])</f>
        <v>0</v>
      </c>
      <c r="AM618" s="294">
        <f>IF(Table_NFI[[#This Row],[Winter Clothes Adult]]+Table_NFI[[#This Row],[Winter Clothes Children]]+Table_NFI[[#This Row],[Winter Items Other]]+Table_NFI[[#This Row],[Winter Blanket]]&gt;0,1,0)</f>
        <v>0</v>
      </c>
      <c r="AN618" s="331">
        <f>IF(NFI_Expiration=1,IF($A618&lt;VLOOKUP(V$5,NFI,5,0),1,0)*Table_NFI[[#This Row],[Jerry Can]],Table_NFI[Jerry Can])</f>
        <v>0</v>
      </c>
      <c r="AO618" s="331">
        <f>IF(NFI_Expiration=1,IF($A618&lt;VLOOKUP(V$5,NFI,5,0),1,0)*Table_NFI[[#This Row],[Shelter Tool kit]],Table_NFI[Shelter Tool kit])</f>
        <v>0</v>
      </c>
      <c r="AP618" s="331">
        <f>IF(NFI_Expiration=1,IF($A618&lt;VLOOKUP(V$5,NFI,5,0),1,0)*Table_NFI[[#This Row],[Tent]],Table_NFI[Tent])</f>
        <v>0</v>
      </c>
      <c r="AQ618" s="473" t="str">
        <f>IFERROR(VLOOKUP(Table_NFI[[#This Row],[Camp Name]],CL,2,0),"")</f>
        <v>MMR001CMP129</v>
      </c>
      <c r="AR618" s="468">
        <f ca="1">IF(Table_NFI[[#This Row],[Pcode]]="","",IF(OFFSET(CampList[Opening Date],MATCH(Table_NFI[[#This Row],[Pcode]],CampList[CP_Pcode],0)-1,0,1,1)&gt;=NFI_Monitor_Date,1,0))</f>
        <v>0</v>
      </c>
      <c r="AS618" s="473" t="str">
        <f>IFERROR(VLOOKUP(Table_NFI[[#This Row],[Camp Name]],CL,3,0),"")</f>
        <v>Open</v>
      </c>
      <c r="AT618" s="294" t="str">
        <f ca="1">IF(Table_NFI[[#This Row],[Pcode]]="","",OFFSET(CampList[Priority],MATCH(Table_NFI[[#This Row],[Pcode]],CampList[CP_Pcode],0)-1,0,1,1))</f>
        <v>P2</v>
      </c>
      <c r="AU618" s="293">
        <f>IFERROR(Table_NFI[[#This Row],[Kitchen Set]]/VLOOKUP(Table_NFI[[#This Row],[Camp Name]],CL,4,0),"")</f>
        <v>0.14772727272727273</v>
      </c>
      <c r="AV618" s="466" t="s">
        <v>1092</v>
      </c>
      <c r="AW618" s="469"/>
    </row>
    <row r="619" spans="1:49" s="470" customFormat="1" ht="14.45" customHeight="1" x14ac:dyDescent="0.25">
      <c r="A619" s="297">
        <f t="shared" si="9"/>
        <v>36.466666666666669</v>
      </c>
      <c r="B619" s="465">
        <v>41581</v>
      </c>
      <c r="C619" s="466" t="s">
        <v>900</v>
      </c>
      <c r="D619" s="467" t="s">
        <v>900</v>
      </c>
      <c r="E619" s="466" t="s">
        <v>380</v>
      </c>
      <c r="F619" s="290" t="s">
        <v>5</v>
      </c>
      <c r="G619" s="290" t="s">
        <v>14</v>
      </c>
      <c r="H619" s="291"/>
      <c r="I619" s="291"/>
      <c r="J619" s="291">
        <v>41</v>
      </c>
      <c r="K619" s="291"/>
      <c r="L619" s="292"/>
      <c r="M619" s="292"/>
      <c r="N619" s="292">
        <v>41</v>
      </c>
      <c r="O619" s="292"/>
      <c r="P619" s="294"/>
      <c r="Q619" s="294"/>
      <c r="R619" s="294"/>
      <c r="S619" s="294"/>
      <c r="T619" s="294"/>
      <c r="U619" s="294"/>
      <c r="V619" s="431"/>
      <c r="W619" s="294"/>
      <c r="X619" s="294"/>
      <c r="Y619" s="294">
        <f>IF(NFI_Expiration=1,IF($A619&lt;VLOOKUP(H$5,NFI,5,0),1,0)*Table_NFI[[#This Row],[Hygiene Kit]],Table_NFI[Hygiene Kit])</f>
        <v>0</v>
      </c>
      <c r="Z619" s="294">
        <f>IF(NFI_Expiration=1,IF($A619&lt;VLOOKUP(I$5,NFI,5,0),1,0)*Table_NFI[[#This Row],[NFI Core Kit]],Table_NFI[NFI Core Kit])</f>
        <v>0</v>
      </c>
      <c r="AA619" s="294">
        <f>IF(NFI_Expiration=1,IF($A619&lt;VLOOKUP(J$5,NFI,5,0),1,0)*Table_NFI[[#This Row],[Sanitary Kit]],Table_NFI[Sanitary Kit])</f>
        <v>0</v>
      </c>
      <c r="AB619" s="294">
        <f>IF(NFI_Expiration=1,IF($A619&lt;VLOOKUP(K$5,NFI,5,0),1,0)*Table_NFI[[#This Row],[Mosquito net]],Table_NFI[Mosquito net])</f>
        <v>0</v>
      </c>
      <c r="AC619" s="294">
        <f>IF(NFI_Expiration=1,IF($A619&lt;VLOOKUP(L$5,NFI,5,0),1,0)*Table_NFI[[#This Row],[Tarpaulin]],Table_NFI[[#This Row],[Tarpaulin]])</f>
        <v>0</v>
      </c>
      <c r="AD619" s="294">
        <f>IF(NFI_Expiration=1,IF($A619&lt;VLOOKUP(M$5,NFI,5,0),1,0)*Table_NFI[[#This Row],[Blanket]],Table_NFI[[#This Row],[Blanket]])</f>
        <v>0</v>
      </c>
      <c r="AE619" s="294">
        <f>IF(NFI_Expiration=1,IF($A619&lt;VLOOKUP(N$5,NFI,5,0),1,0)*Table_NFI[[#This Row],[Kitchen Set]],Table_NFI[Kitchen Set])</f>
        <v>0</v>
      </c>
      <c r="AF619" s="294">
        <f>IF(NFI_Expiration=1,IF($A619&lt;VLOOKUP(O$5,NFI,5,0),1,0)*Table_NFI[[#This Row],[Clothes Kit]],Table_NFI[Clothes Kit])</f>
        <v>0</v>
      </c>
      <c r="AG619" s="294">
        <f>IF(NFI_Expiration=1,IF($A619&lt;VLOOKUP(P$5,NFI,5,0),1,0)*Table_NFI[[#This Row],[Plastic Bucket]],Table_NFI[Plastic Bucket])</f>
        <v>0</v>
      </c>
      <c r="AH619" s="294">
        <f>IF(NFI_Expiration=1,IF($A619&lt;VLOOKUP(Q$5,NFI,5,0),1,0)*Table_NFI[[#This Row],[Plastic Mat]],Table_NFI[Plastic Mat])*IF(Table_NFI[[#This Row],[Distribution Date]]&gt;"2014-04-01",1,2.5)</f>
        <v>0</v>
      </c>
      <c r="AI619" s="294">
        <f>IF(NFI_Expiration=1,IF($A619&lt;VLOOKUP(R$5,NFI,5,0),1,0)*Table_NFI[[#This Row],[Winter Clothes Adult]],Table_NFI[Winter Clothes Adult])</f>
        <v>0</v>
      </c>
      <c r="AJ619" s="294">
        <f>IF(NFI_Expiration=1,IF($A619&lt;VLOOKUP(S$5,NFI,5,0),1,0)*Table_NFI[[#This Row],[Winter Clothes Children]],Table_NFI[Winter Clothes Children])</f>
        <v>0</v>
      </c>
      <c r="AK619" s="294">
        <f>IF(NFI_Expiration=1,IF($A619&lt;VLOOKUP(T$5,NFI,5,0),1,0)*Table_NFI[[#This Row],[Winter Items Other]],Table_NFI[Winter Items Other])</f>
        <v>0</v>
      </c>
      <c r="AL619" s="294">
        <f>IF(NFI_Expiration=1,IF($A619&lt;VLOOKUP(M$5,NFI,5,0),1,0)*Table_NFI[[#This Row],[Winter Blanket]],Table_NFI[[#This Row],[Winter Blanket]])</f>
        <v>0</v>
      </c>
      <c r="AM619" s="294">
        <f>IF(Table_NFI[[#This Row],[Winter Clothes Adult]]+Table_NFI[[#This Row],[Winter Clothes Children]]+Table_NFI[[#This Row],[Winter Items Other]]+Table_NFI[[#This Row],[Winter Blanket]]&gt;0,1,0)</f>
        <v>0</v>
      </c>
      <c r="AN619" s="331">
        <f>IF(NFI_Expiration=1,IF($A619&lt;VLOOKUP(V$5,NFI,5,0),1,0)*Table_NFI[[#This Row],[Jerry Can]],Table_NFI[Jerry Can])</f>
        <v>0</v>
      </c>
      <c r="AO619" s="331">
        <f>IF(NFI_Expiration=1,IF($A619&lt;VLOOKUP(V$5,NFI,5,0),1,0)*Table_NFI[[#This Row],[Shelter Tool kit]],Table_NFI[Shelter Tool kit])</f>
        <v>0</v>
      </c>
      <c r="AP619" s="331">
        <f>IF(NFI_Expiration=1,IF($A619&lt;VLOOKUP(V$5,NFI,5,0),1,0)*Table_NFI[[#This Row],[Tent]],Table_NFI[Tent])</f>
        <v>0</v>
      </c>
      <c r="AQ619" s="473" t="str">
        <f>IFERROR(VLOOKUP(Table_NFI[[#This Row],[Camp Name]],CL,2,0),"")</f>
        <v>MMR001CMP052</v>
      </c>
      <c r="AR619" s="468">
        <f ca="1">IF(Table_NFI[[#This Row],[Pcode]]="","",IF(OFFSET(CampList[Opening Date],MATCH(Table_NFI[[#This Row],[Pcode]],CampList[CP_Pcode],0)-1,0,1,1)&gt;=NFI_Monitor_Date,1,0))</f>
        <v>0</v>
      </c>
      <c r="AS619" s="473" t="str">
        <f>IFERROR(VLOOKUP(Table_NFI[[#This Row],[Camp Name]],CL,3,0),"")</f>
        <v>Open</v>
      </c>
      <c r="AT619" s="294" t="str">
        <f ca="1">IF(Table_NFI[[#This Row],[Pcode]]="","",OFFSET(CampList[Priority],MATCH(Table_NFI[[#This Row],[Pcode]],CampList[CP_Pcode],0)-1,0,1,1))</f>
        <v>P4</v>
      </c>
      <c r="AU619" s="293">
        <f>IFERROR(Table_NFI[[#This Row],[Kitchen Set]]/VLOOKUP(Table_NFI[[#This Row],[Camp Name]],CL,4,0),"")</f>
        <v>1.0789473684210527</v>
      </c>
      <c r="AV619" s="466" t="s">
        <v>1092</v>
      </c>
      <c r="AW619" s="469"/>
    </row>
    <row r="620" spans="1:49" s="470" customFormat="1" ht="14.45" customHeight="1" x14ac:dyDescent="0.25">
      <c r="A620" s="297">
        <f t="shared" si="9"/>
        <v>36.466666666666669</v>
      </c>
      <c r="B620" s="465">
        <v>41581</v>
      </c>
      <c r="C620" s="466" t="s">
        <v>452</v>
      </c>
      <c r="D620" s="466" t="s">
        <v>573</v>
      </c>
      <c r="E620" s="466" t="s">
        <v>380</v>
      </c>
      <c r="F620" s="290" t="s">
        <v>151</v>
      </c>
      <c r="G620" s="290" t="s">
        <v>198</v>
      </c>
      <c r="H620" s="291"/>
      <c r="I620" s="291"/>
      <c r="J620" s="291">
        <v>592</v>
      </c>
      <c r="K620" s="291">
        <v>592</v>
      </c>
      <c r="L620" s="292">
        <v>296</v>
      </c>
      <c r="M620" s="292">
        <v>296</v>
      </c>
      <c r="N620" s="292">
        <v>296</v>
      </c>
      <c r="O620" s="292">
        <v>296</v>
      </c>
      <c r="P620" s="294"/>
      <c r="Q620" s="294"/>
      <c r="R620" s="294"/>
      <c r="S620" s="294"/>
      <c r="T620" s="294"/>
      <c r="U620" s="294"/>
      <c r="V620" s="431"/>
      <c r="W620" s="294"/>
      <c r="X620" s="294"/>
      <c r="Y620" s="294">
        <f>IF(NFI_Expiration=1,IF($A620&lt;VLOOKUP(H$5,NFI,5,0),1,0)*Table_NFI[[#This Row],[Hygiene Kit]],Table_NFI[Hygiene Kit])</f>
        <v>0</v>
      </c>
      <c r="Z620" s="294">
        <f>IF(NFI_Expiration=1,IF($A620&lt;VLOOKUP(I$5,NFI,5,0),1,0)*Table_NFI[[#This Row],[NFI Core Kit]],Table_NFI[NFI Core Kit])</f>
        <v>0</v>
      </c>
      <c r="AA620" s="294">
        <f>IF(NFI_Expiration=1,IF($A620&lt;VLOOKUP(J$5,NFI,5,0),1,0)*Table_NFI[[#This Row],[Sanitary Kit]],Table_NFI[Sanitary Kit])</f>
        <v>0</v>
      </c>
      <c r="AB620" s="294">
        <f>IF(NFI_Expiration=1,IF($A620&lt;VLOOKUP(K$5,NFI,5,0),1,0)*Table_NFI[[#This Row],[Mosquito net]],Table_NFI[Mosquito net])</f>
        <v>0</v>
      </c>
      <c r="AC620" s="294">
        <f>IF(NFI_Expiration=1,IF($A620&lt;VLOOKUP(L$5,NFI,5,0),1,0)*Table_NFI[[#This Row],[Tarpaulin]],Table_NFI[[#This Row],[Tarpaulin]])</f>
        <v>0</v>
      </c>
      <c r="AD620" s="294">
        <f>IF(NFI_Expiration=1,IF($A620&lt;VLOOKUP(M$5,NFI,5,0),1,0)*Table_NFI[[#This Row],[Blanket]],Table_NFI[[#This Row],[Blanket]])</f>
        <v>0</v>
      </c>
      <c r="AE620" s="294">
        <f>IF(NFI_Expiration=1,IF($A620&lt;VLOOKUP(N$5,NFI,5,0),1,0)*Table_NFI[[#This Row],[Kitchen Set]],Table_NFI[Kitchen Set])</f>
        <v>0</v>
      </c>
      <c r="AF620" s="294">
        <f>IF(NFI_Expiration=1,IF($A620&lt;VLOOKUP(O$5,NFI,5,0),1,0)*Table_NFI[[#This Row],[Clothes Kit]],Table_NFI[Clothes Kit])</f>
        <v>0</v>
      </c>
      <c r="AG620" s="294">
        <f>IF(NFI_Expiration=1,IF($A620&lt;VLOOKUP(P$5,NFI,5,0),1,0)*Table_NFI[[#This Row],[Plastic Bucket]],Table_NFI[Plastic Bucket])</f>
        <v>0</v>
      </c>
      <c r="AH620" s="294">
        <f>IF(NFI_Expiration=1,IF($A620&lt;VLOOKUP(Q$5,NFI,5,0),1,0)*Table_NFI[[#This Row],[Plastic Mat]],Table_NFI[Plastic Mat])*IF(Table_NFI[[#This Row],[Distribution Date]]&gt;"2014-04-01",1,2.5)</f>
        <v>0</v>
      </c>
      <c r="AI620" s="294">
        <f>IF(NFI_Expiration=1,IF($A620&lt;VLOOKUP(R$5,NFI,5,0),1,0)*Table_NFI[[#This Row],[Winter Clothes Adult]],Table_NFI[Winter Clothes Adult])</f>
        <v>0</v>
      </c>
      <c r="AJ620" s="294">
        <f>IF(NFI_Expiration=1,IF($A620&lt;VLOOKUP(S$5,NFI,5,0),1,0)*Table_NFI[[#This Row],[Winter Clothes Children]],Table_NFI[Winter Clothes Children])</f>
        <v>0</v>
      </c>
      <c r="AK620" s="294">
        <f>IF(NFI_Expiration=1,IF($A620&lt;VLOOKUP(T$5,NFI,5,0),1,0)*Table_NFI[[#This Row],[Winter Items Other]],Table_NFI[Winter Items Other])</f>
        <v>0</v>
      </c>
      <c r="AL620" s="294">
        <f>IF(NFI_Expiration=1,IF($A620&lt;VLOOKUP(M$5,NFI,5,0),1,0)*Table_NFI[[#This Row],[Winter Blanket]],Table_NFI[[#This Row],[Winter Blanket]])</f>
        <v>0</v>
      </c>
      <c r="AM620" s="294">
        <f>IF(Table_NFI[[#This Row],[Winter Clothes Adult]]+Table_NFI[[#This Row],[Winter Clothes Children]]+Table_NFI[[#This Row],[Winter Items Other]]+Table_NFI[[#This Row],[Winter Blanket]]&gt;0,1,0)</f>
        <v>0</v>
      </c>
      <c r="AN620" s="331">
        <f>IF(NFI_Expiration=1,IF($A620&lt;VLOOKUP(V$5,NFI,5,0),1,0)*Table_NFI[[#This Row],[Jerry Can]],Table_NFI[Jerry Can])</f>
        <v>0</v>
      </c>
      <c r="AO620" s="331">
        <f>IF(NFI_Expiration=1,IF($A620&lt;VLOOKUP(V$5,NFI,5,0),1,0)*Table_NFI[[#This Row],[Shelter Tool kit]],Table_NFI[Shelter Tool kit])</f>
        <v>0</v>
      </c>
      <c r="AP620" s="331">
        <f>IF(NFI_Expiration=1,IF($A620&lt;VLOOKUP(V$5,NFI,5,0),1,0)*Table_NFI[[#This Row],[Tent]],Table_NFI[Tent])</f>
        <v>0</v>
      </c>
      <c r="AQ620" s="473" t="str">
        <f>IFERROR(VLOOKUP(Table_NFI[[#This Row],[Camp Name]],CL,2,0),"")</f>
        <v>MMR001CMP128</v>
      </c>
      <c r="AR620" s="468">
        <f ca="1">IF(Table_NFI[[#This Row],[Pcode]]="","",IF(OFFSET(CampList[Opening Date],MATCH(Table_NFI[[#This Row],[Pcode]],CampList[CP_Pcode],0)-1,0,1,1)&gt;=NFI_Monitor_Date,1,0))</f>
        <v>0</v>
      </c>
      <c r="AS620" s="473" t="str">
        <f>IFERROR(VLOOKUP(Table_NFI[[#This Row],[Camp Name]],CL,3,0),"")</f>
        <v>Open</v>
      </c>
      <c r="AT620" s="294" t="str">
        <f ca="1">IF(Table_NFI[[#This Row],[Pcode]]="","",OFFSET(CampList[Priority],MATCH(Table_NFI[[#This Row],[Pcode]],CampList[CP_Pcode],0)-1,0,1,1))</f>
        <v>P2</v>
      </c>
      <c r="AU620" s="293">
        <f>IFERROR(Table_NFI[[#This Row],[Kitchen Set]]/VLOOKUP(Table_NFI[[#This Row],[Camp Name]],CL,4,0),"")</f>
        <v>0.54212454212454209</v>
      </c>
      <c r="AV620" s="466" t="s">
        <v>1092</v>
      </c>
      <c r="AW620" s="469"/>
    </row>
    <row r="621" spans="1:49" s="470" customFormat="1" ht="14.45" customHeight="1" x14ac:dyDescent="0.25">
      <c r="A621" s="297">
        <f t="shared" si="9"/>
        <v>36.466666666666669</v>
      </c>
      <c r="B621" s="465">
        <v>41581</v>
      </c>
      <c r="C621" s="466" t="s">
        <v>452</v>
      </c>
      <c r="D621" s="466" t="s">
        <v>573</v>
      </c>
      <c r="E621" s="466" t="s">
        <v>380</v>
      </c>
      <c r="F621" s="290" t="s">
        <v>185</v>
      </c>
      <c r="G621" s="290" t="s">
        <v>190</v>
      </c>
      <c r="H621" s="291"/>
      <c r="I621" s="291"/>
      <c r="J621" s="291">
        <v>24</v>
      </c>
      <c r="K621" s="291">
        <v>24</v>
      </c>
      <c r="L621" s="292">
        <v>12</v>
      </c>
      <c r="M621" s="292">
        <v>12</v>
      </c>
      <c r="N621" s="292">
        <v>12</v>
      </c>
      <c r="O621" s="292">
        <v>12</v>
      </c>
      <c r="P621" s="294"/>
      <c r="Q621" s="294"/>
      <c r="R621" s="294"/>
      <c r="S621" s="294"/>
      <c r="T621" s="294"/>
      <c r="U621" s="294"/>
      <c r="V621" s="431"/>
      <c r="W621" s="294"/>
      <c r="X621" s="294"/>
      <c r="Y621" s="294">
        <f>IF(NFI_Expiration=1,IF($A621&lt;VLOOKUP(H$5,NFI,5,0),1,0)*Table_NFI[[#This Row],[Hygiene Kit]],Table_NFI[Hygiene Kit])</f>
        <v>0</v>
      </c>
      <c r="Z621" s="294">
        <f>IF(NFI_Expiration=1,IF($A621&lt;VLOOKUP(I$5,NFI,5,0),1,0)*Table_NFI[[#This Row],[NFI Core Kit]],Table_NFI[NFI Core Kit])</f>
        <v>0</v>
      </c>
      <c r="AA621" s="294">
        <f>IF(NFI_Expiration=1,IF($A621&lt;VLOOKUP(J$5,NFI,5,0),1,0)*Table_NFI[[#This Row],[Sanitary Kit]],Table_NFI[Sanitary Kit])</f>
        <v>0</v>
      </c>
      <c r="AB621" s="294">
        <f>IF(NFI_Expiration=1,IF($A621&lt;VLOOKUP(K$5,NFI,5,0),1,0)*Table_NFI[[#This Row],[Mosquito net]],Table_NFI[Mosquito net])</f>
        <v>0</v>
      </c>
      <c r="AC621" s="294">
        <f>IF(NFI_Expiration=1,IF($A621&lt;VLOOKUP(L$5,NFI,5,0),1,0)*Table_NFI[[#This Row],[Tarpaulin]],Table_NFI[[#This Row],[Tarpaulin]])</f>
        <v>0</v>
      </c>
      <c r="AD621" s="294">
        <f>IF(NFI_Expiration=1,IF($A621&lt;VLOOKUP(M$5,NFI,5,0),1,0)*Table_NFI[[#This Row],[Blanket]],Table_NFI[[#This Row],[Blanket]])</f>
        <v>0</v>
      </c>
      <c r="AE621" s="294">
        <f>IF(NFI_Expiration=1,IF($A621&lt;VLOOKUP(N$5,NFI,5,0),1,0)*Table_NFI[[#This Row],[Kitchen Set]],Table_NFI[Kitchen Set])</f>
        <v>0</v>
      </c>
      <c r="AF621" s="294">
        <f>IF(NFI_Expiration=1,IF($A621&lt;VLOOKUP(O$5,NFI,5,0),1,0)*Table_NFI[[#This Row],[Clothes Kit]],Table_NFI[Clothes Kit])</f>
        <v>0</v>
      </c>
      <c r="AG621" s="294">
        <f>IF(NFI_Expiration=1,IF($A621&lt;VLOOKUP(P$5,NFI,5,0),1,0)*Table_NFI[[#This Row],[Plastic Bucket]],Table_NFI[Plastic Bucket])</f>
        <v>0</v>
      </c>
      <c r="AH621" s="294">
        <f>IF(NFI_Expiration=1,IF($A621&lt;VLOOKUP(Q$5,NFI,5,0),1,0)*Table_NFI[[#This Row],[Plastic Mat]],Table_NFI[Plastic Mat])*IF(Table_NFI[[#This Row],[Distribution Date]]&gt;"2014-04-01",1,2.5)</f>
        <v>0</v>
      </c>
      <c r="AI621" s="294">
        <f>IF(NFI_Expiration=1,IF($A621&lt;VLOOKUP(R$5,NFI,5,0),1,0)*Table_NFI[[#This Row],[Winter Clothes Adult]],Table_NFI[Winter Clothes Adult])</f>
        <v>0</v>
      </c>
      <c r="AJ621" s="294">
        <f>IF(NFI_Expiration=1,IF($A621&lt;VLOOKUP(S$5,NFI,5,0),1,0)*Table_NFI[[#This Row],[Winter Clothes Children]],Table_NFI[Winter Clothes Children])</f>
        <v>0</v>
      </c>
      <c r="AK621" s="294">
        <f>IF(NFI_Expiration=1,IF($A621&lt;VLOOKUP(T$5,NFI,5,0),1,0)*Table_NFI[[#This Row],[Winter Items Other]],Table_NFI[Winter Items Other])</f>
        <v>0</v>
      </c>
      <c r="AL621" s="294">
        <f>IF(NFI_Expiration=1,IF($A621&lt;VLOOKUP(M$5,NFI,5,0),1,0)*Table_NFI[[#This Row],[Winter Blanket]],Table_NFI[[#This Row],[Winter Blanket]])</f>
        <v>0</v>
      </c>
      <c r="AM621" s="294">
        <f>IF(Table_NFI[[#This Row],[Winter Clothes Adult]]+Table_NFI[[#This Row],[Winter Clothes Children]]+Table_NFI[[#This Row],[Winter Items Other]]+Table_NFI[[#This Row],[Winter Blanket]]&gt;0,1,0)</f>
        <v>0</v>
      </c>
      <c r="AN621" s="331">
        <f>IF(NFI_Expiration=1,IF($A621&lt;VLOOKUP(V$5,NFI,5,0),1,0)*Table_NFI[[#This Row],[Jerry Can]],Table_NFI[Jerry Can])</f>
        <v>0</v>
      </c>
      <c r="AO621" s="331">
        <f>IF(NFI_Expiration=1,IF($A621&lt;VLOOKUP(V$5,NFI,5,0),1,0)*Table_NFI[[#This Row],[Shelter Tool kit]],Table_NFI[Shelter Tool kit])</f>
        <v>0</v>
      </c>
      <c r="AP621" s="331">
        <f>IF(NFI_Expiration=1,IF($A621&lt;VLOOKUP(V$5,NFI,5,0),1,0)*Table_NFI[[#This Row],[Tent]],Table_NFI[Tent])</f>
        <v>0</v>
      </c>
      <c r="AQ621" s="473" t="str">
        <f>IFERROR(VLOOKUP(Table_NFI[[#This Row],[Camp Name]],CL,2,0),"")</f>
        <v>MMR001CMP070</v>
      </c>
      <c r="AR621" s="468">
        <f ca="1">IF(Table_NFI[[#This Row],[Pcode]]="","",IF(OFFSET(CampList[Opening Date],MATCH(Table_NFI[[#This Row],[Pcode]],CampList[CP_Pcode],0)-1,0,1,1)&gt;=NFI_Monitor_Date,1,0))</f>
        <v>0</v>
      </c>
      <c r="AS621" s="473" t="str">
        <f>IFERROR(VLOOKUP(Table_NFI[[#This Row],[Camp Name]],CL,3,0),"")</f>
        <v>Open</v>
      </c>
      <c r="AT621" s="294" t="str">
        <f ca="1">IF(Table_NFI[[#This Row],[Pcode]]="","",OFFSET(CampList[Priority],MATCH(Table_NFI[[#This Row],[Pcode]],CampList[CP_Pcode],0)-1,0,1,1))</f>
        <v>P3</v>
      </c>
      <c r="AU621" s="293">
        <f>IFERROR(Table_NFI[[#This Row],[Kitchen Set]]/VLOOKUP(Table_NFI[[#This Row],[Camp Name]],CL,4,0),"")</f>
        <v>6.25E-2</v>
      </c>
      <c r="AV621" s="466" t="s">
        <v>1092</v>
      </c>
      <c r="AW621" s="469"/>
    </row>
    <row r="622" spans="1:49" s="470" customFormat="1" ht="14.45" customHeight="1" x14ac:dyDescent="0.25">
      <c r="A622" s="297">
        <f t="shared" si="9"/>
        <v>36.466666666666669</v>
      </c>
      <c r="B622" s="465">
        <v>41581</v>
      </c>
      <c r="C622" s="466" t="s">
        <v>900</v>
      </c>
      <c r="D622" s="467" t="s">
        <v>900</v>
      </c>
      <c r="E622" s="466" t="s">
        <v>380</v>
      </c>
      <c r="F622" s="290" t="s">
        <v>151</v>
      </c>
      <c r="G622" s="290" t="s">
        <v>152</v>
      </c>
      <c r="H622" s="291"/>
      <c r="I622" s="291"/>
      <c r="J622" s="291">
        <v>29</v>
      </c>
      <c r="K622" s="291"/>
      <c r="L622" s="292"/>
      <c r="M622" s="292"/>
      <c r="N622" s="292">
        <v>29</v>
      </c>
      <c r="O622" s="292"/>
      <c r="P622" s="294"/>
      <c r="Q622" s="294"/>
      <c r="R622" s="294"/>
      <c r="S622" s="294"/>
      <c r="T622" s="294"/>
      <c r="U622" s="294"/>
      <c r="V622" s="431"/>
      <c r="W622" s="294"/>
      <c r="X622" s="294"/>
      <c r="Y622" s="294">
        <f>IF(NFI_Expiration=1,IF($A622&lt;VLOOKUP(H$5,NFI,5,0),1,0)*Table_NFI[[#This Row],[Hygiene Kit]],Table_NFI[Hygiene Kit])</f>
        <v>0</v>
      </c>
      <c r="Z622" s="294">
        <f>IF(NFI_Expiration=1,IF($A622&lt;VLOOKUP(I$5,NFI,5,0),1,0)*Table_NFI[[#This Row],[NFI Core Kit]],Table_NFI[NFI Core Kit])</f>
        <v>0</v>
      </c>
      <c r="AA622" s="294">
        <f>IF(NFI_Expiration=1,IF($A622&lt;VLOOKUP(J$5,NFI,5,0),1,0)*Table_NFI[[#This Row],[Sanitary Kit]],Table_NFI[Sanitary Kit])</f>
        <v>0</v>
      </c>
      <c r="AB622" s="294">
        <f>IF(NFI_Expiration=1,IF($A622&lt;VLOOKUP(K$5,NFI,5,0),1,0)*Table_NFI[[#This Row],[Mosquito net]],Table_NFI[Mosquito net])</f>
        <v>0</v>
      </c>
      <c r="AC622" s="294">
        <f>IF(NFI_Expiration=1,IF($A622&lt;VLOOKUP(L$5,NFI,5,0),1,0)*Table_NFI[[#This Row],[Tarpaulin]],Table_NFI[[#This Row],[Tarpaulin]])</f>
        <v>0</v>
      </c>
      <c r="AD622" s="294">
        <f>IF(NFI_Expiration=1,IF($A622&lt;VLOOKUP(M$5,NFI,5,0),1,0)*Table_NFI[[#This Row],[Blanket]],Table_NFI[[#This Row],[Blanket]])</f>
        <v>0</v>
      </c>
      <c r="AE622" s="294">
        <f>IF(NFI_Expiration=1,IF($A622&lt;VLOOKUP(N$5,NFI,5,0),1,0)*Table_NFI[[#This Row],[Kitchen Set]],Table_NFI[Kitchen Set])</f>
        <v>0</v>
      </c>
      <c r="AF622" s="294">
        <f>IF(NFI_Expiration=1,IF($A622&lt;VLOOKUP(O$5,NFI,5,0),1,0)*Table_NFI[[#This Row],[Clothes Kit]],Table_NFI[Clothes Kit])</f>
        <v>0</v>
      </c>
      <c r="AG622" s="294">
        <f>IF(NFI_Expiration=1,IF($A622&lt;VLOOKUP(P$5,NFI,5,0),1,0)*Table_NFI[[#This Row],[Plastic Bucket]],Table_NFI[Plastic Bucket])</f>
        <v>0</v>
      </c>
      <c r="AH622" s="294">
        <f>IF(NFI_Expiration=1,IF($A622&lt;VLOOKUP(Q$5,NFI,5,0),1,0)*Table_NFI[[#This Row],[Plastic Mat]],Table_NFI[Plastic Mat])*IF(Table_NFI[[#This Row],[Distribution Date]]&gt;"2014-04-01",1,2.5)</f>
        <v>0</v>
      </c>
      <c r="AI622" s="294">
        <f>IF(NFI_Expiration=1,IF($A622&lt;VLOOKUP(R$5,NFI,5,0),1,0)*Table_NFI[[#This Row],[Winter Clothes Adult]],Table_NFI[Winter Clothes Adult])</f>
        <v>0</v>
      </c>
      <c r="AJ622" s="294">
        <f>IF(NFI_Expiration=1,IF($A622&lt;VLOOKUP(S$5,NFI,5,0),1,0)*Table_NFI[[#This Row],[Winter Clothes Children]],Table_NFI[Winter Clothes Children])</f>
        <v>0</v>
      </c>
      <c r="AK622" s="294">
        <f>IF(NFI_Expiration=1,IF($A622&lt;VLOOKUP(T$5,NFI,5,0),1,0)*Table_NFI[[#This Row],[Winter Items Other]],Table_NFI[Winter Items Other])</f>
        <v>0</v>
      </c>
      <c r="AL622" s="294">
        <f>IF(NFI_Expiration=1,IF($A622&lt;VLOOKUP(M$5,NFI,5,0),1,0)*Table_NFI[[#This Row],[Winter Blanket]],Table_NFI[[#This Row],[Winter Blanket]])</f>
        <v>0</v>
      </c>
      <c r="AM622" s="294">
        <f>IF(Table_NFI[[#This Row],[Winter Clothes Adult]]+Table_NFI[[#This Row],[Winter Clothes Children]]+Table_NFI[[#This Row],[Winter Items Other]]+Table_NFI[[#This Row],[Winter Blanket]]&gt;0,1,0)</f>
        <v>0</v>
      </c>
      <c r="AN622" s="331">
        <f>IF(NFI_Expiration=1,IF($A622&lt;VLOOKUP(V$5,NFI,5,0),1,0)*Table_NFI[[#This Row],[Jerry Can]],Table_NFI[Jerry Can])</f>
        <v>0</v>
      </c>
      <c r="AO622" s="331">
        <f>IF(NFI_Expiration=1,IF($A622&lt;VLOOKUP(V$5,NFI,5,0),1,0)*Table_NFI[[#This Row],[Shelter Tool kit]],Table_NFI[Shelter Tool kit])</f>
        <v>0</v>
      </c>
      <c r="AP622" s="331">
        <f>IF(NFI_Expiration=1,IF($A622&lt;VLOOKUP(V$5,NFI,5,0),1,0)*Table_NFI[[#This Row],[Tent]],Table_NFI[Tent])</f>
        <v>0</v>
      </c>
      <c r="AQ622" s="473" t="str">
        <f>IFERROR(VLOOKUP(Table_NFI[[#This Row],[Camp Name]],CL,2,0),"")</f>
        <v>MMR001CMP066</v>
      </c>
      <c r="AR622" s="468">
        <f ca="1">IF(Table_NFI[[#This Row],[Pcode]]="","",IF(OFFSET(CampList[Opening Date],MATCH(Table_NFI[[#This Row],[Pcode]],CampList[CP_Pcode],0)-1,0,1,1)&gt;=NFI_Monitor_Date,1,0))</f>
        <v>0</v>
      </c>
      <c r="AS622" s="473" t="str">
        <f>IFERROR(VLOOKUP(Table_NFI[[#This Row],[Camp Name]],CL,3,0),"")</f>
        <v>Open</v>
      </c>
      <c r="AT622" s="294" t="str">
        <f ca="1">IF(Table_NFI[[#This Row],[Pcode]]="","",OFFSET(CampList[Priority],MATCH(Table_NFI[[#This Row],[Pcode]],CampList[CP_Pcode],0)-1,0,1,1))</f>
        <v>P4</v>
      </c>
      <c r="AU622" s="293">
        <f>IFERROR(Table_NFI[[#This Row],[Kitchen Set]]/VLOOKUP(Table_NFI[[#This Row],[Camp Name]],CL,4,0),"")</f>
        <v>0.14720812182741116</v>
      </c>
      <c r="AV622" s="466" t="s">
        <v>1092</v>
      </c>
      <c r="AW622" s="469"/>
    </row>
    <row r="623" spans="1:49" s="470" customFormat="1" ht="14.45" customHeight="1" x14ac:dyDescent="0.25">
      <c r="A623" s="297">
        <f t="shared" si="9"/>
        <v>36.466666666666669</v>
      </c>
      <c r="B623" s="465">
        <v>41581</v>
      </c>
      <c r="C623" s="466" t="s">
        <v>900</v>
      </c>
      <c r="D623" s="467" t="s">
        <v>900</v>
      </c>
      <c r="E623" s="466" t="s">
        <v>380</v>
      </c>
      <c r="F623" s="290" t="s">
        <v>5</v>
      </c>
      <c r="G623" s="290" t="s">
        <v>366</v>
      </c>
      <c r="H623" s="291"/>
      <c r="I623" s="291"/>
      <c r="J623" s="291">
        <v>49</v>
      </c>
      <c r="K623" s="291"/>
      <c r="L623" s="292"/>
      <c r="M623" s="292"/>
      <c r="N623" s="292">
        <v>49</v>
      </c>
      <c r="O623" s="292"/>
      <c r="P623" s="294"/>
      <c r="Q623" s="294"/>
      <c r="R623" s="294"/>
      <c r="S623" s="294"/>
      <c r="T623" s="294"/>
      <c r="U623" s="294"/>
      <c r="V623" s="431"/>
      <c r="W623" s="294"/>
      <c r="X623" s="294"/>
      <c r="Y623" s="294">
        <f>IF(NFI_Expiration=1,IF($A623&lt;VLOOKUP(H$5,NFI,5,0),1,0)*Table_NFI[[#This Row],[Hygiene Kit]],Table_NFI[Hygiene Kit])</f>
        <v>0</v>
      </c>
      <c r="Z623" s="294">
        <f>IF(NFI_Expiration=1,IF($A623&lt;VLOOKUP(I$5,NFI,5,0),1,0)*Table_NFI[[#This Row],[NFI Core Kit]],Table_NFI[NFI Core Kit])</f>
        <v>0</v>
      </c>
      <c r="AA623" s="294">
        <f>IF(NFI_Expiration=1,IF($A623&lt;VLOOKUP(J$5,NFI,5,0),1,0)*Table_NFI[[#This Row],[Sanitary Kit]],Table_NFI[Sanitary Kit])</f>
        <v>0</v>
      </c>
      <c r="AB623" s="294">
        <f>IF(NFI_Expiration=1,IF($A623&lt;VLOOKUP(K$5,NFI,5,0),1,0)*Table_NFI[[#This Row],[Mosquito net]],Table_NFI[Mosquito net])</f>
        <v>0</v>
      </c>
      <c r="AC623" s="294">
        <f>IF(NFI_Expiration=1,IF($A623&lt;VLOOKUP(L$5,NFI,5,0),1,0)*Table_NFI[[#This Row],[Tarpaulin]],Table_NFI[[#This Row],[Tarpaulin]])</f>
        <v>0</v>
      </c>
      <c r="AD623" s="294">
        <f>IF(NFI_Expiration=1,IF($A623&lt;VLOOKUP(M$5,NFI,5,0),1,0)*Table_NFI[[#This Row],[Blanket]],Table_NFI[[#This Row],[Blanket]])</f>
        <v>0</v>
      </c>
      <c r="AE623" s="294">
        <f>IF(NFI_Expiration=1,IF($A623&lt;VLOOKUP(N$5,NFI,5,0),1,0)*Table_NFI[[#This Row],[Kitchen Set]],Table_NFI[Kitchen Set])</f>
        <v>0</v>
      </c>
      <c r="AF623" s="294">
        <f>IF(NFI_Expiration=1,IF($A623&lt;VLOOKUP(O$5,NFI,5,0),1,0)*Table_NFI[[#This Row],[Clothes Kit]],Table_NFI[Clothes Kit])</f>
        <v>0</v>
      </c>
      <c r="AG623" s="294">
        <f>IF(NFI_Expiration=1,IF($A623&lt;VLOOKUP(P$5,NFI,5,0),1,0)*Table_NFI[[#This Row],[Plastic Bucket]],Table_NFI[Plastic Bucket])</f>
        <v>0</v>
      </c>
      <c r="AH623" s="294">
        <f>IF(NFI_Expiration=1,IF($A623&lt;VLOOKUP(Q$5,NFI,5,0),1,0)*Table_NFI[[#This Row],[Plastic Mat]],Table_NFI[Plastic Mat])*IF(Table_NFI[[#This Row],[Distribution Date]]&gt;"2014-04-01",1,2.5)</f>
        <v>0</v>
      </c>
      <c r="AI623" s="294">
        <f>IF(NFI_Expiration=1,IF($A623&lt;VLOOKUP(R$5,NFI,5,0),1,0)*Table_NFI[[#This Row],[Winter Clothes Adult]],Table_NFI[Winter Clothes Adult])</f>
        <v>0</v>
      </c>
      <c r="AJ623" s="294">
        <f>IF(NFI_Expiration=1,IF($A623&lt;VLOOKUP(S$5,NFI,5,0),1,0)*Table_NFI[[#This Row],[Winter Clothes Children]],Table_NFI[Winter Clothes Children])</f>
        <v>0</v>
      </c>
      <c r="AK623" s="294">
        <f>IF(NFI_Expiration=1,IF($A623&lt;VLOOKUP(T$5,NFI,5,0),1,0)*Table_NFI[[#This Row],[Winter Items Other]],Table_NFI[Winter Items Other])</f>
        <v>0</v>
      </c>
      <c r="AL623" s="294">
        <f>IF(NFI_Expiration=1,IF($A623&lt;VLOOKUP(M$5,NFI,5,0),1,0)*Table_NFI[[#This Row],[Winter Blanket]],Table_NFI[[#This Row],[Winter Blanket]])</f>
        <v>0</v>
      </c>
      <c r="AM623" s="294">
        <f>IF(Table_NFI[[#This Row],[Winter Clothes Adult]]+Table_NFI[[#This Row],[Winter Clothes Children]]+Table_NFI[[#This Row],[Winter Items Other]]+Table_NFI[[#This Row],[Winter Blanket]]&gt;0,1,0)</f>
        <v>0</v>
      </c>
      <c r="AN623" s="331">
        <f>IF(NFI_Expiration=1,IF($A623&lt;VLOOKUP(V$5,NFI,5,0),1,0)*Table_NFI[[#This Row],[Jerry Can]],Table_NFI[Jerry Can])</f>
        <v>0</v>
      </c>
      <c r="AO623" s="331">
        <f>IF(NFI_Expiration=1,IF($A623&lt;VLOOKUP(V$5,NFI,5,0),1,0)*Table_NFI[[#This Row],[Shelter Tool kit]],Table_NFI[Shelter Tool kit])</f>
        <v>0</v>
      </c>
      <c r="AP623" s="331">
        <f>IF(NFI_Expiration=1,IF($A623&lt;VLOOKUP(V$5,NFI,5,0),1,0)*Table_NFI[[#This Row],[Tent]],Table_NFI[Tent])</f>
        <v>0</v>
      </c>
      <c r="AQ623" s="473" t="str">
        <f>IFERROR(VLOOKUP(Table_NFI[[#This Row],[Camp Name]],CL,2,0),"")</f>
        <v>MMR001CMP193</v>
      </c>
      <c r="AR623" s="468">
        <f ca="1">IF(Table_NFI[[#This Row],[Pcode]]="","",IF(OFFSET(CampList[Opening Date],MATCH(Table_NFI[[#This Row],[Pcode]],CampList[CP_Pcode],0)-1,0,1,1)&gt;=NFI_Monitor_Date,1,0))</f>
        <v>0</v>
      </c>
      <c r="AS623" s="473" t="str">
        <f>IFERROR(VLOOKUP(Table_NFI[[#This Row],[Camp Name]],CL,3,0),"")</f>
        <v>Open</v>
      </c>
      <c r="AT623" s="294" t="str">
        <f ca="1">IF(Table_NFI[[#This Row],[Pcode]]="","",OFFSET(CampList[Priority],MATCH(Table_NFI[[#This Row],[Pcode]],CampList[CP_Pcode],0)-1,0,1,1))</f>
        <v>P4</v>
      </c>
      <c r="AU623" s="293">
        <f>IFERROR(Table_NFI[[#This Row],[Kitchen Set]]/VLOOKUP(Table_NFI[[#This Row],[Camp Name]],CL,4,0),"")</f>
        <v>0.32666666666666666</v>
      </c>
      <c r="AV623" s="466" t="s">
        <v>1092</v>
      </c>
      <c r="AW623" s="469"/>
    </row>
    <row r="624" spans="1:49" s="470" customFormat="1" ht="14.45" customHeight="1" x14ac:dyDescent="0.25">
      <c r="A624" s="297">
        <f t="shared" si="9"/>
        <v>36.533333333333331</v>
      </c>
      <c r="B624" s="465">
        <v>41579</v>
      </c>
      <c r="C624" s="466" t="s">
        <v>452</v>
      </c>
      <c r="D624" s="466" t="s">
        <v>452</v>
      </c>
      <c r="E624" s="466" t="s">
        <v>380</v>
      </c>
      <c r="F624" s="290" t="s">
        <v>5</v>
      </c>
      <c r="G624" s="290" t="s">
        <v>512</v>
      </c>
      <c r="H624" s="291"/>
      <c r="I624" s="291"/>
      <c r="J624" s="291">
        <v>8</v>
      </c>
      <c r="K624" s="291">
        <v>6</v>
      </c>
      <c r="L624" s="292">
        <v>4</v>
      </c>
      <c r="M624" s="292">
        <v>6</v>
      </c>
      <c r="N624" s="292">
        <v>4</v>
      </c>
      <c r="O624" s="292">
        <v>4</v>
      </c>
      <c r="P624" s="294"/>
      <c r="Q624" s="294"/>
      <c r="R624" s="294"/>
      <c r="S624" s="294"/>
      <c r="T624" s="294"/>
      <c r="U624" s="294"/>
      <c r="V624" s="431"/>
      <c r="W624" s="294"/>
      <c r="X624" s="294"/>
      <c r="Y624" s="294">
        <f>IF(NFI_Expiration=1,IF($A624&lt;VLOOKUP(H$5,NFI,5,0),1,0)*Table_NFI[[#This Row],[Hygiene Kit]],Table_NFI[Hygiene Kit])</f>
        <v>0</v>
      </c>
      <c r="Z624" s="294">
        <f>IF(NFI_Expiration=1,IF($A624&lt;VLOOKUP(I$5,NFI,5,0),1,0)*Table_NFI[[#This Row],[NFI Core Kit]],Table_NFI[NFI Core Kit])</f>
        <v>0</v>
      </c>
      <c r="AA624" s="294">
        <f>IF(NFI_Expiration=1,IF($A624&lt;VLOOKUP(J$5,NFI,5,0),1,0)*Table_NFI[[#This Row],[Sanitary Kit]],Table_NFI[Sanitary Kit])</f>
        <v>0</v>
      </c>
      <c r="AB624" s="294">
        <f>IF(NFI_Expiration=1,IF($A624&lt;VLOOKUP(K$5,NFI,5,0),1,0)*Table_NFI[[#This Row],[Mosquito net]],Table_NFI[Mosquito net])</f>
        <v>0</v>
      </c>
      <c r="AC624" s="294">
        <f>IF(NFI_Expiration=1,IF($A624&lt;VLOOKUP(L$5,NFI,5,0),1,0)*Table_NFI[[#This Row],[Tarpaulin]],Table_NFI[[#This Row],[Tarpaulin]])</f>
        <v>0</v>
      </c>
      <c r="AD624" s="294">
        <f>IF(NFI_Expiration=1,IF($A624&lt;VLOOKUP(M$5,NFI,5,0),1,0)*Table_NFI[[#This Row],[Blanket]],Table_NFI[[#This Row],[Blanket]])</f>
        <v>0</v>
      </c>
      <c r="AE624" s="294">
        <f>IF(NFI_Expiration=1,IF($A624&lt;VLOOKUP(N$5,NFI,5,0),1,0)*Table_NFI[[#This Row],[Kitchen Set]],Table_NFI[Kitchen Set])</f>
        <v>0</v>
      </c>
      <c r="AF624" s="294">
        <f>IF(NFI_Expiration=1,IF($A624&lt;VLOOKUP(O$5,NFI,5,0),1,0)*Table_NFI[[#This Row],[Clothes Kit]],Table_NFI[Clothes Kit])</f>
        <v>0</v>
      </c>
      <c r="AG624" s="294">
        <f>IF(NFI_Expiration=1,IF($A624&lt;VLOOKUP(P$5,NFI,5,0),1,0)*Table_NFI[[#This Row],[Plastic Bucket]],Table_NFI[Plastic Bucket])</f>
        <v>0</v>
      </c>
      <c r="AH624" s="294">
        <f>IF(NFI_Expiration=1,IF($A624&lt;VLOOKUP(Q$5,NFI,5,0),1,0)*Table_NFI[[#This Row],[Plastic Mat]],Table_NFI[Plastic Mat])*IF(Table_NFI[[#This Row],[Distribution Date]]&gt;"2014-04-01",1,2.5)</f>
        <v>0</v>
      </c>
      <c r="AI624" s="294">
        <f>IF(NFI_Expiration=1,IF($A624&lt;VLOOKUP(R$5,NFI,5,0),1,0)*Table_NFI[[#This Row],[Winter Clothes Adult]],Table_NFI[Winter Clothes Adult])</f>
        <v>0</v>
      </c>
      <c r="AJ624" s="294">
        <f>IF(NFI_Expiration=1,IF($A624&lt;VLOOKUP(S$5,NFI,5,0),1,0)*Table_NFI[[#This Row],[Winter Clothes Children]],Table_NFI[Winter Clothes Children])</f>
        <v>0</v>
      </c>
      <c r="AK624" s="294">
        <f>IF(NFI_Expiration=1,IF($A624&lt;VLOOKUP(T$5,NFI,5,0),1,0)*Table_NFI[[#This Row],[Winter Items Other]],Table_NFI[Winter Items Other])</f>
        <v>0</v>
      </c>
      <c r="AL624" s="294">
        <f>IF(NFI_Expiration=1,IF($A624&lt;VLOOKUP(M$5,NFI,5,0),1,0)*Table_NFI[[#This Row],[Winter Blanket]],Table_NFI[[#This Row],[Winter Blanket]])</f>
        <v>0</v>
      </c>
      <c r="AM624" s="294">
        <f>IF(Table_NFI[[#This Row],[Winter Clothes Adult]]+Table_NFI[[#This Row],[Winter Clothes Children]]+Table_NFI[[#This Row],[Winter Items Other]]+Table_NFI[[#This Row],[Winter Blanket]]&gt;0,1,0)</f>
        <v>0</v>
      </c>
      <c r="AN624" s="331">
        <f>IF(NFI_Expiration=1,IF($A624&lt;VLOOKUP(V$5,NFI,5,0),1,0)*Table_NFI[[#This Row],[Jerry Can]],Table_NFI[Jerry Can])</f>
        <v>0</v>
      </c>
      <c r="AO624" s="331">
        <f>IF(NFI_Expiration=1,IF($A624&lt;VLOOKUP(V$5,NFI,5,0),1,0)*Table_NFI[[#This Row],[Shelter Tool kit]],Table_NFI[Shelter Tool kit])</f>
        <v>0</v>
      </c>
      <c r="AP624" s="331">
        <f>IF(NFI_Expiration=1,IF($A624&lt;VLOOKUP(V$5,NFI,5,0),1,0)*Table_NFI[[#This Row],[Tent]],Table_NFI[Tent])</f>
        <v>0</v>
      </c>
      <c r="AQ624" s="473" t="str">
        <f>IFERROR(VLOOKUP(Table_NFI[[#This Row],[Camp Name]],CL,2,0),"")</f>
        <v>MMR001CMP194</v>
      </c>
      <c r="AR624" s="468">
        <f ca="1">IF(Table_NFI[[#This Row],[Pcode]]="","",IF(OFFSET(CampList[Opening Date],MATCH(Table_NFI[[#This Row],[Pcode]],CampList[CP_Pcode],0)-1,0,1,1)&gt;=NFI_Monitor_Date,1,0))</f>
        <v>0</v>
      </c>
      <c r="AS624" s="473" t="str">
        <f>IFERROR(VLOOKUP(Table_NFI[[#This Row],[Camp Name]],CL,3,0),"")</f>
        <v>Open</v>
      </c>
      <c r="AT624" s="294" t="str">
        <f ca="1">IF(Table_NFI[[#This Row],[Pcode]]="","",OFFSET(CampList[Priority],MATCH(Table_NFI[[#This Row],[Pcode]],CampList[CP_Pcode],0)-1,0,1,1))</f>
        <v>P4</v>
      </c>
      <c r="AU624" s="293">
        <f>IFERROR(Table_NFI[[#This Row],[Kitchen Set]]/VLOOKUP(Table_NFI[[#This Row],[Camp Name]],CL,4,0),"")</f>
        <v>0.33333333333333331</v>
      </c>
      <c r="AV624" s="466" t="s">
        <v>1092</v>
      </c>
      <c r="AW624" s="469"/>
    </row>
    <row r="625" spans="1:49" s="470" customFormat="1" ht="14.45" customHeight="1" x14ac:dyDescent="0.25">
      <c r="A625" s="297">
        <f t="shared" si="9"/>
        <v>36.533333333333331</v>
      </c>
      <c r="B625" s="465">
        <v>41579</v>
      </c>
      <c r="C625" s="466" t="s">
        <v>452</v>
      </c>
      <c r="D625" s="466" t="s">
        <v>452</v>
      </c>
      <c r="E625" s="466" t="s">
        <v>380</v>
      </c>
      <c r="F625" s="290" t="s">
        <v>5</v>
      </c>
      <c r="G625" s="290" t="s">
        <v>14</v>
      </c>
      <c r="H625" s="291"/>
      <c r="I625" s="291"/>
      <c r="J625" s="291">
        <v>12</v>
      </c>
      <c r="K625" s="291">
        <v>9</v>
      </c>
      <c r="L625" s="292">
        <v>6</v>
      </c>
      <c r="M625" s="292">
        <v>9</v>
      </c>
      <c r="N625" s="292">
        <v>6</v>
      </c>
      <c r="O625" s="292">
        <v>6</v>
      </c>
      <c r="P625" s="294">
        <v>6</v>
      </c>
      <c r="Q625" s="294"/>
      <c r="R625" s="294"/>
      <c r="S625" s="294"/>
      <c r="T625" s="294"/>
      <c r="U625" s="294"/>
      <c r="V625" s="431"/>
      <c r="W625" s="294"/>
      <c r="X625" s="294"/>
      <c r="Y625" s="294">
        <f>IF(NFI_Expiration=1,IF($A625&lt;VLOOKUP(H$5,NFI,5,0),1,0)*Table_NFI[[#This Row],[Hygiene Kit]],Table_NFI[Hygiene Kit])</f>
        <v>0</v>
      </c>
      <c r="Z625" s="294">
        <f>IF(NFI_Expiration=1,IF($A625&lt;VLOOKUP(I$5,NFI,5,0),1,0)*Table_NFI[[#This Row],[NFI Core Kit]],Table_NFI[NFI Core Kit])</f>
        <v>0</v>
      </c>
      <c r="AA625" s="294">
        <f>IF(NFI_Expiration=1,IF($A625&lt;VLOOKUP(J$5,NFI,5,0),1,0)*Table_NFI[[#This Row],[Sanitary Kit]],Table_NFI[Sanitary Kit])</f>
        <v>0</v>
      </c>
      <c r="AB625" s="294">
        <f>IF(NFI_Expiration=1,IF($A625&lt;VLOOKUP(K$5,NFI,5,0),1,0)*Table_NFI[[#This Row],[Mosquito net]],Table_NFI[Mosquito net])</f>
        <v>0</v>
      </c>
      <c r="AC625" s="294">
        <f>IF(NFI_Expiration=1,IF($A625&lt;VLOOKUP(L$5,NFI,5,0),1,0)*Table_NFI[[#This Row],[Tarpaulin]],Table_NFI[[#This Row],[Tarpaulin]])</f>
        <v>0</v>
      </c>
      <c r="AD625" s="294">
        <f>IF(NFI_Expiration=1,IF($A625&lt;VLOOKUP(M$5,NFI,5,0),1,0)*Table_NFI[[#This Row],[Blanket]],Table_NFI[[#This Row],[Blanket]])</f>
        <v>0</v>
      </c>
      <c r="AE625" s="294">
        <f>IF(NFI_Expiration=1,IF($A625&lt;VLOOKUP(N$5,NFI,5,0),1,0)*Table_NFI[[#This Row],[Kitchen Set]],Table_NFI[Kitchen Set])</f>
        <v>0</v>
      </c>
      <c r="AF625" s="294">
        <f>IF(NFI_Expiration=1,IF($A625&lt;VLOOKUP(O$5,NFI,5,0),1,0)*Table_NFI[[#This Row],[Clothes Kit]],Table_NFI[Clothes Kit])</f>
        <v>0</v>
      </c>
      <c r="AG625" s="294">
        <f>IF(NFI_Expiration=1,IF($A625&lt;VLOOKUP(P$5,NFI,5,0),1,0)*Table_NFI[[#This Row],[Plastic Bucket]],Table_NFI[Plastic Bucket])</f>
        <v>0</v>
      </c>
      <c r="AH625" s="294">
        <f>IF(NFI_Expiration=1,IF($A625&lt;VLOOKUP(Q$5,NFI,5,0),1,0)*Table_NFI[[#This Row],[Plastic Mat]],Table_NFI[Plastic Mat])*IF(Table_NFI[[#This Row],[Distribution Date]]&gt;"2014-04-01",1,2.5)</f>
        <v>0</v>
      </c>
      <c r="AI625" s="294">
        <f>IF(NFI_Expiration=1,IF($A625&lt;VLOOKUP(R$5,NFI,5,0),1,0)*Table_NFI[[#This Row],[Winter Clothes Adult]],Table_NFI[Winter Clothes Adult])</f>
        <v>0</v>
      </c>
      <c r="AJ625" s="294">
        <f>IF(NFI_Expiration=1,IF($A625&lt;VLOOKUP(S$5,NFI,5,0),1,0)*Table_NFI[[#This Row],[Winter Clothes Children]],Table_NFI[Winter Clothes Children])</f>
        <v>0</v>
      </c>
      <c r="AK625" s="294">
        <f>IF(NFI_Expiration=1,IF($A625&lt;VLOOKUP(T$5,NFI,5,0),1,0)*Table_NFI[[#This Row],[Winter Items Other]],Table_NFI[Winter Items Other])</f>
        <v>0</v>
      </c>
      <c r="AL625" s="294">
        <f>IF(NFI_Expiration=1,IF($A625&lt;VLOOKUP(M$5,NFI,5,0),1,0)*Table_NFI[[#This Row],[Winter Blanket]],Table_NFI[[#This Row],[Winter Blanket]])</f>
        <v>0</v>
      </c>
      <c r="AM625" s="294">
        <f>IF(Table_NFI[[#This Row],[Winter Clothes Adult]]+Table_NFI[[#This Row],[Winter Clothes Children]]+Table_NFI[[#This Row],[Winter Items Other]]+Table_NFI[[#This Row],[Winter Blanket]]&gt;0,1,0)</f>
        <v>0</v>
      </c>
      <c r="AN625" s="331">
        <f>IF(NFI_Expiration=1,IF($A625&lt;VLOOKUP(V$5,NFI,5,0),1,0)*Table_NFI[[#This Row],[Jerry Can]],Table_NFI[Jerry Can])</f>
        <v>0</v>
      </c>
      <c r="AO625" s="331">
        <f>IF(NFI_Expiration=1,IF($A625&lt;VLOOKUP(V$5,NFI,5,0),1,0)*Table_NFI[[#This Row],[Shelter Tool kit]],Table_NFI[Shelter Tool kit])</f>
        <v>0</v>
      </c>
      <c r="AP625" s="331">
        <f>IF(NFI_Expiration=1,IF($A625&lt;VLOOKUP(V$5,NFI,5,0),1,0)*Table_NFI[[#This Row],[Tent]],Table_NFI[Tent])</f>
        <v>0</v>
      </c>
      <c r="AQ625" s="473" t="str">
        <f>IFERROR(VLOOKUP(Table_NFI[[#This Row],[Camp Name]],CL,2,0),"")</f>
        <v>MMR001CMP052</v>
      </c>
      <c r="AR625" s="468">
        <f ca="1">IF(Table_NFI[[#This Row],[Pcode]]="","",IF(OFFSET(CampList[Opening Date],MATCH(Table_NFI[[#This Row],[Pcode]],CampList[CP_Pcode],0)-1,0,1,1)&gt;=NFI_Monitor_Date,1,0))</f>
        <v>0</v>
      </c>
      <c r="AS625" s="473" t="str">
        <f>IFERROR(VLOOKUP(Table_NFI[[#This Row],[Camp Name]],CL,3,0),"")</f>
        <v>Open</v>
      </c>
      <c r="AT625" s="294" t="str">
        <f ca="1">IF(Table_NFI[[#This Row],[Pcode]]="","",OFFSET(CampList[Priority],MATCH(Table_NFI[[#This Row],[Pcode]],CampList[CP_Pcode],0)-1,0,1,1))</f>
        <v>P4</v>
      </c>
      <c r="AU625" s="293">
        <f>IFERROR(Table_NFI[[#This Row],[Kitchen Set]]/VLOOKUP(Table_NFI[[#This Row],[Camp Name]],CL,4,0),"")</f>
        <v>0.15789473684210525</v>
      </c>
      <c r="AV625" s="466" t="s">
        <v>1092</v>
      </c>
      <c r="AW625" s="469"/>
    </row>
    <row r="626" spans="1:49" s="470" customFormat="1" ht="14.45" customHeight="1" x14ac:dyDescent="0.25">
      <c r="A626" s="297">
        <f t="shared" si="9"/>
        <v>36.533333333333331</v>
      </c>
      <c r="B626" s="465">
        <v>41579</v>
      </c>
      <c r="C626" s="466" t="s">
        <v>452</v>
      </c>
      <c r="D626" s="466" t="s">
        <v>452</v>
      </c>
      <c r="E626" s="466" t="s">
        <v>380</v>
      </c>
      <c r="F626" s="290" t="s">
        <v>5</v>
      </c>
      <c r="G626" s="290" t="s">
        <v>22</v>
      </c>
      <c r="H626" s="291"/>
      <c r="I626" s="291"/>
      <c r="J626" s="291">
        <v>40</v>
      </c>
      <c r="K626" s="291">
        <v>48</v>
      </c>
      <c r="L626" s="292">
        <v>20</v>
      </c>
      <c r="M626" s="292">
        <v>48</v>
      </c>
      <c r="N626" s="292">
        <v>20</v>
      </c>
      <c r="O626" s="292">
        <v>20</v>
      </c>
      <c r="P626" s="294">
        <v>500</v>
      </c>
      <c r="Q626" s="294">
        <v>500</v>
      </c>
      <c r="R626" s="294"/>
      <c r="S626" s="294"/>
      <c r="T626" s="294"/>
      <c r="U626" s="294"/>
      <c r="V626" s="431"/>
      <c r="W626" s="294"/>
      <c r="X626" s="294"/>
      <c r="Y626" s="294">
        <f>IF(NFI_Expiration=1,IF($A626&lt;VLOOKUP(H$5,NFI,5,0),1,0)*Table_NFI[[#This Row],[Hygiene Kit]],Table_NFI[Hygiene Kit])</f>
        <v>0</v>
      </c>
      <c r="Z626" s="294">
        <f>IF(NFI_Expiration=1,IF($A626&lt;VLOOKUP(I$5,NFI,5,0),1,0)*Table_NFI[[#This Row],[NFI Core Kit]],Table_NFI[NFI Core Kit])</f>
        <v>0</v>
      </c>
      <c r="AA626" s="294">
        <f>IF(NFI_Expiration=1,IF($A626&lt;VLOOKUP(J$5,NFI,5,0),1,0)*Table_NFI[[#This Row],[Sanitary Kit]],Table_NFI[Sanitary Kit])</f>
        <v>0</v>
      </c>
      <c r="AB626" s="294">
        <f>IF(NFI_Expiration=1,IF($A626&lt;VLOOKUP(K$5,NFI,5,0),1,0)*Table_NFI[[#This Row],[Mosquito net]],Table_NFI[Mosquito net])</f>
        <v>0</v>
      </c>
      <c r="AC626" s="294">
        <f>IF(NFI_Expiration=1,IF($A626&lt;VLOOKUP(L$5,NFI,5,0),1,0)*Table_NFI[[#This Row],[Tarpaulin]],Table_NFI[[#This Row],[Tarpaulin]])</f>
        <v>0</v>
      </c>
      <c r="AD626" s="294">
        <f>IF(NFI_Expiration=1,IF($A626&lt;VLOOKUP(M$5,NFI,5,0),1,0)*Table_NFI[[#This Row],[Blanket]],Table_NFI[[#This Row],[Blanket]])</f>
        <v>0</v>
      </c>
      <c r="AE626" s="294">
        <f>IF(NFI_Expiration=1,IF($A626&lt;VLOOKUP(N$5,NFI,5,0),1,0)*Table_NFI[[#This Row],[Kitchen Set]],Table_NFI[Kitchen Set])</f>
        <v>0</v>
      </c>
      <c r="AF626" s="294">
        <f>IF(NFI_Expiration=1,IF($A626&lt;VLOOKUP(O$5,NFI,5,0),1,0)*Table_NFI[[#This Row],[Clothes Kit]],Table_NFI[Clothes Kit])</f>
        <v>0</v>
      </c>
      <c r="AG626" s="294">
        <f>IF(NFI_Expiration=1,IF($A626&lt;VLOOKUP(P$5,NFI,5,0),1,0)*Table_NFI[[#This Row],[Plastic Bucket]],Table_NFI[Plastic Bucket])</f>
        <v>0</v>
      </c>
      <c r="AH626" s="294">
        <f>IF(NFI_Expiration=1,IF($A626&lt;VLOOKUP(Q$5,NFI,5,0),1,0)*Table_NFI[[#This Row],[Plastic Mat]],Table_NFI[Plastic Mat])*IF(Table_NFI[[#This Row],[Distribution Date]]&gt;"2014-04-01",1,2.5)</f>
        <v>0</v>
      </c>
      <c r="AI626" s="294">
        <f>IF(NFI_Expiration=1,IF($A626&lt;VLOOKUP(R$5,NFI,5,0),1,0)*Table_NFI[[#This Row],[Winter Clothes Adult]],Table_NFI[Winter Clothes Adult])</f>
        <v>0</v>
      </c>
      <c r="AJ626" s="294">
        <f>IF(NFI_Expiration=1,IF($A626&lt;VLOOKUP(S$5,NFI,5,0),1,0)*Table_NFI[[#This Row],[Winter Clothes Children]],Table_NFI[Winter Clothes Children])</f>
        <v>0</v>
      </c>
      <c r="AK626" s="294">
        <f>IF(NFI_Expiration=1,IF($A626&lt;VLOOKUP(T$5,NFI,5,0),1,0)*Table_NFI[[#This Row],[Winter Items Other]],Table_NFI[Winter Items Other])</f>
        <v>0</v>
      </c>
      <c r="AL626" s="294">
        <f>IF(NFI_Expiration=1,IF($A626&lt;VLOOKUP(M$5,NFI,5,0),1,0)*Table_NFI[[#This Row],[Winter Blanket]],Table_NFI[[#This Row],[Winter Blanket]])</f>
        <v>0</v>
      </c>
      <c r="AM626" s="294">
        <f>IF(Table_NFI[[#This Row],[Winter Clothes Adult]]+Table_NFI[[#This Row],[Winter Clothes Children]]+Table_NFI[[#This Row],[Winter Items Other]]+Table_NFI[[#This Row],[Winter Blanket]]&gt;0,1,0)</f>
        <v>0</v>
      </c>
      <c r="AN626" s="331">
        <f>IF(NFI_Expiration=1,IF($A626&lt;VLOOKUP(V$5,NFI,5,0),1,0)*Table_NFI[[#This Row],[Jerry Can]],Table_NFI[Jerry Can])</f>
        <v>0</v>
      </c>
      <c r="AO626" s="331">
        <f>IF(NFI_Expiration=1,IF($A626&lt;VLOOKUP(V$5,NFI,5,0),1,0)*Table_NFI[[#This Row],[Shelter Tool kit]],Table_NFI[Shelter Tool kit])</f>
        <v>0</v>
      </c>
      <c r="AP626" s="331">
        <f>IF(NFI_Expiration=1,IF($A626&lt;VLOOKUP(V$5,NFI,5,0),1,0)*Table_NFI[[#This Row],[Tent]],Table_NFI[Tent])</f>
        <v>0</v>
      </c>
      <c r="AQ626" s="473" t="str">
        <f>IFERROR(VLOOKUP(Table_NFI[[#This Row],[Camp Name]],CL,2,0),"")</f>
        <v>MMR001CMP047</v>
      </c>
      <c r="AR626" s="468">
        <f ca="1">IF(Table_NFI[[#This Row],[Pcode]]="","",IF(OFFSET(CampList[Opening Date],MATCH(Table_NFI[[#This Row],[Pcode]],CampList[CP_Pcode],0)-1,0,1,1)&gt;=NFI_Monitor_Date,1,0))</f>
        <v>0</v>
      </c>
      <c r="AS626" s="473" t="str">
        <f>IFERROR(VLOOKUP(Table_NFI[[#This Row],[Camp Name]],CL,3,0),"")</f>
        <v>Open</v>
      </c>
      <c r="AT626" s="294" t="str">
        <f ca="1">IF(Table_NFI[[#This Row],[Pcode]]="","",OFFSET(CampList[Priority],MATCH(Table_NFI[[#This Row],[Pcode]],CampList[CP_Pcode],0)-1,0,1,1))</f>
        <v>P4</v>
      </c>
      <c r="AU626" s="293">
        <f>IFERROR(Table_NFI[[#This Row],[Kitchen Set]]/VLOOKUP(Table_NFI[[#This Row],[Camp Name]],CL,4,0),"")</f>
        <v>3.1948881789137379E-2</v>
      </c>
      <c r="AV626" s="466" t="s">
        <v>1092</v>
      </c>
      <c r="AW626" s="469"/>
    </row>
    <row r="627" spans="1:49" s="470" customFormat="1" ht="14.45" customHeight="1" x14ac:dyDescent="0.25">
      <c r="A627" s="297">
        <f t="shared" si="9"/>
        <v>36.6</v>
      </c>
      <c r="B627" s="465">
        <v>41577</v>
      </c>
      <c r="C627" s="466" t="s">
        <v>452</v>
      </c>
      <c r="D627" s="466" t="s">
        <v>452</v>
      </c>
      <c r="E627" s="466" t="s">
        <v>380</v>
      </c>
      <c r="F627" s="290" t="s">
        <v>5</v>
      </c>
      <c r="G627" s="290" t="s">
        <v>6</v>
      </c>
      <c r="H627" s="291"/>
      <c r="I627" s="291"/>
      <c r="J627" s="291">
        <v>22</v>
      </c>
      <c r="K627" s="291">
        <v>40</v>
      </c>
      <c r="L627" s="292">
        <v>21</v>
      </c>
      <c r="M627" s="292">
        <v>40</v>
      </c>
      <c r="N627" s="292">
        <v>21</v>
      </c>
      <c r="O627" s="292">
        <v>21</v>
      </c>
      <c r="P627" s="294">
        <v>21</v>
      </c>
      <c r="Q627" s="294">
        <v>21</v>
      </c>
      <c r="R627" s="294"/>
      <c r="S627" s="294"/>
      <c r="T627" s="294"/>
      <c r="U627" s="294"/>
      <c r="V627" s="431"/>
      <c r="W627" s="294"/>
      <c r="X627" s="294"/>
      <c r="Y627" s="294">
        <f>IF(NFI_Expiration=1,IF($A627&lt;VLOOKUP(H$5,NFI,5,0),1,0)*Table_NFI[[#This Row],[Hygiene Kit]],Table_NFI[Hygiene Kit])</f>
        <v>0</v>
      </c>
      <c r="Z627" s="294">
        <f>IF(NFI_Expiration=1,IF($A627&lt;VLOOKUP(I$5,NFI,5,0),1,0)*Table_NFI[[#This Row],[NFI Core Kit]],Table_NFI[NFI Core Kit])</f>
        <v>0</v>
      </c>
      <c r="AA627" s="294">
        <f>IF(NFI_Expiration=1,IF($A627&lt;VLOOKUP(J$5,NFI,5,0),1,0)*Table_NFI[[#This Row],[Sanitary Kit]],Table_NFI[Sanitary Kit])</f>
        <v>0</v>
      </c>
      <c r="AB627" s="294">
        <f>IF(NFI_Expiration=1,IF($A627&lt;VLOOKUP(K$5,NFI,5,0),1,0)*Table_NFI[[#This Row],[Mosquito net]],Table_NFI[Mosquito net])</f>
        <v>0</v>
      </c>
      <c r="AC627" s="294">
        <f>IF(NFI_Expiration=1,IF($A627&lt;VLOOKUP(L$5,NFI,5,0),1,0)*Table_NFI[[#This Row],[Tarpaulin]],Table_NFI[[#This Row],[Tarpaulin]])</f>
        <v>0</v>
      </c>
      <c r="AD627" s="294">
        <f>IF(NFI_Expiration=1,IF($A627&lt;VLOOKUP(M$5,NFI,5,0),1,0)*Table_NFI[[#This Row],[Blanket]],Table_NFI[[#This Row],[Blanket]])</f>
        <v>0</v>
      </c>
      <c r="AE627" s="294">
        <f>IF(NFI_Expiration=1,IF($A627&lt;VLOOKUP(N$5,NFI,5,0),1,0)*Table_NFI[[#This Row],[Kitchen Set]],Table_NFI[Kitchen Set])</f>
        <v>0</v>
      </c>
      <c r="AF627" s="294">
        <f>IF(NFI_Expiration=1,IF($A627&lt;VLOOKUP(O$5,NFI,5,0),1,0)*Table_NFI[[#This Row],[Clothes Kit]],Table_NFI[Clothes Kit])</f>
        <v>0</v>
      </c>
      <c r="AG627" s="294">
        <f>IF(NFI_Expiration=1,IF($A627&lt;VLOOKUP(P$5,NFI,5,0),1,0)*Table_NFI[[#This Row],[Plastic Bucket]],Table_NFI[Plastic Bucket])</f>
        <v>0</v>
      </c>
      <c r="AH627" s="294">
        <f>IF(NFI_Expiration=1,IF($A627&lt;VLOOKUP(Q$5,NFI,5,0),1,0)*Table_NFI[[#This Row],[Plastic Mat]],Table_NFI[Plastic Mat])*IF(Table_NFI[[#This Row],[Distribution Date]]&gt;"2014-04-01",1,2.5)</f>
        <v>0</v>
      </c>
      <c r="AI627" s="294">
        <f>IF(NFI_Expiration=1,IF($A627&lt;VLOOKUP(R$5,NFI,5,0),1,0)*Table_NFI[[#This Row],[Winter Clothes Adult]],Table_NFI[Winter Clothes Adult])</f>
        <v>0</v>
      </c>
      <c r="AJ627" s="294">
        <f>IF(NFI_Expiration=1,IF($A627&lt;VLOOKUP(S$5,NFI,5,0),1,0)*Table_NFI[[#This Row],[Winter Clothes Children]],Table_NFI[Winter Clothes Children])</f>
        <v>0</v>
      </c>
      <c r="AK627" s="294">
        <f>IF(NFI_Expiration=1,IF($A627&lt;VLOOKUP(T$5,NFI,5,0),1,0)*Table_NFI[[#This Row],[Winter Items Other]],Table_NFI[Winter Items Other])</f>
        <v>0</v>
      </c>
      <c r="AL627" s="294">
        <f>IF(NFI_Expiration=1,IF($A627&lt;VLOOKUP(M$5,NFI,5,0),1,0)*Table_NFI[[#This Row],[Winter Blanket]],Table_NFI[[#This Row],[Winter Blanket]])</f>
        <v>0</v>
      </c>
      <c r="AM627" s="294">
        <f>IF(Table_NFI[[#This Row],[Winter Clothes Adult]]+Table_NFI[[#This Row],[Winter Clothes Children]]+Table_NFI[[#This Row],[Winter Items Other]]+Table_NFI[[#This Row],[Winter Blanket]]&gt;0,1,0)</f>
        <v>0</v>
      </c>
      <c r="AN627" s="331">
        <f>IF(NFI_Expiration=1,IF($A627&lt;VLOOKUP(V$5,NFI,5,0),1,0)*Table_NFI[[#This Row],[Jerry Can]],Table_NFI[Jerry Can])</f>
        <v>0</v>
      </c>
      <c r="AO627" s="331">
        <f>IF(NFI_Expiration=1,IF($A627&lt;VLOOKUP(V$5,NFI,5,0),1,0)*Table_NFI[[#This Row],[Shelter Tool kit]],Table_NFI[Shelter Tool kit])</f>
        <v>0</v>
      </c>
      <c r="AP627" s="331">
        <f>IF(NFI_Expiration=1,IF($A627&lt;VLOOKUP(V$5,NFI,5,0),1,0)*Table_NFI[[#This Row],[Tent]],Table_NFI[Tent])</f>
        <v>0</v>
      </c>
      <c r="AQ627" s="473" t="str">
        <f>IFERROR(VLOOKUP(Table_NFI[[#This Row],[Camp Name]],CL,2,0),"")</f>
        <v>MMR001CMP050</v>
      </c>
      <c r="AR627" s="468">
        <f ca="1">IF(Table_NFI[[#This Row],[Pcode]]="","",IF(OFFSET(CampList[Opening Date],MATCH(Table_NFI[[#This Row],[Pcode]],CampList[CP_Pcode],0)-1,0,1,1)&gt;=NFI_Monitor_Date,1,0))</f>
        <v>0</v>
      </c>
      <c r="AS627" s="473" t="str">
        <f>IFERROR(VLOOKUP(Table_NFI[[#This Row],[Camp Name]],CL,3,0),"")</f>
        <v>Open</v>
      </c>
      <c r="AT627" s="294" t="str">
        <f ca="1">IF(Table_NFI[[#This Row],[Pcode]]="","",OFFSET(CampList[Priority],MATCH(Table_NFI[[#This Row],[Pcode]],CampList[CP_Pcode],0)-1,0,1,1))</f>
        <v>P4</v>
      </c>
      <c r="AU627" s="293">
        <f>IFERROR(Table_NFI[[#This Row],[Kitchen Set]]/VLOOKUP(Table_NFI[[#This Row],[Camp Name]],CL,4,0),"")</f>
        <v>8.0769230769230774E-2</v>
      </c>
      <c r="AV627" s="466" t="s">
        <v>1092</v>
      </c>
      <c r="AW627" s="469"/>
    </row>
    <row r="628" spans="1:49" s="470" customFormat="1" ht="14.45" customHeight="1" x14ac:dyDescent="0.25">
      <c r="A628" s="297">
        <f t="shared" si="9"/>
        <v>36.6</v>
      </c>
      <c r="B628" s="465">
        <v>41577</v>
      </c>
      <c r="C628" s="466" t="s">
        <v>452</v>
      </c>
      <c r="D628" s="466" t="s">
        <v>452</v>
      </c>
      <c r="E628" s="466" t="s">
        <v>380</v>
      </c>
      <c r="F628" s="290" t="s">
        <v>5</v>
      </c>
      <c r="G628" s="290" t="s">
        <v>14</v>
      </c>
      <c r="H628" s="291"/>
      <c r="I628" s="291"/>
      <c r="J628" s="291">
        <v>72</v>
      </c>
      <c r="K628" s="291">
        <v>61</v>
      </c>
      <c r="L628" s="292">
        <v>36</v>
      </c>
      <c r="M628" s="292">
        <v>61</v>
      </c>
      <c r="N628" s="292">
        <v>36</v>
      </c>
      <c r="O628" s="292">
        <v>36</v>
      </c>
      <c r="P628" s="294">
        <v>36</v>
      </c>
      <c r="Q628" s="294">
        <v>36</v>
      </c>
      <c r="R628" s="294"/>
      <c r="S628" s="294"/>
      <c r="T628" s="294"/>
      <c r="U628" s="294"/>
      <c r="V628" s="431"/>
      <c r="W628" s="294"/>
      <c r="X628" s="294"/>
      <c r="Y628" s="294">
        <f>IF(NFI_Expiration=1,IF($A628&lt;VLOOKUP(H$5,NFI,5,0),1,0)*Table_NFI[[#This Row],[Hygiene Kit]],Table_NFI[Hygiene Kit])</f>
        <v>0</v>
      </c>
      <c r="Z628" s="294">
        <f>IF(NFI_Expiration=1,IF($A628&lt;VLOOKUP(I$5,NFI,5,0),1,0)*Table_NFI[[#This Row],[NFI Core Kit]],Table_NFI[NFI Core Kit])</f>
        <v>0</v>
      </c>
      <c r="AA628" s="294">
        <f>IF(NFI_Expiration=1,IF($A628&lt;VLOOKUP(J$5,NFI,5,0),1,0)*Table_NFI[[#This Row],[Sanitary Kit]],Table_NFI[Sanitary Kit])</f>
        <v>0</v>
      </c>
      <c r="AB628" s="294">
        <f>IF(NFI_Expiration=1,IF($A628&lt;VLOOKUP(K$5,NFI,5,0),1,0)*Table_NFI[[#This Row],[Mosquito net]],Table_NFI[Mosquito net])</f>
        <v>0</v>
      </c>
      <c r="AC628" s="294">
        <f>IF(NFI_Expiration=1,IF($A628&lt;VLOOKUP(L$5,NFI,5,0),1,0)*Table_NFI[[#This Row],[Tarpaulin]],Table_NFI[[#This Row],[Tarpaulin]])</f>
        <v>0</v>
      </c>
      <c r="AD628" s="294">
        <f>IF(NFI_Expiration=1,IF($A628&lt;VLOOKUP(M$5,NFI,5,0),1,0)*Table_NFI[[#This Row],[Blanket]],Table_NFI[[#This Row],[Blanket]])</f>
        <v>0</v>
      </c>
      <c r="AE628" s="294">
        <f>IF(NFI_Expiration=1,IF($A628&lt;VLOOKUP(N$5,NFI,5,0),1,0)*Table_NFI[[#This Row],[Kitchen Set]],Table_NFI[Kitchen Set])</f>
        <v>0</v>
      </c>
      <c r="AF628" s="294">
        <f>IF(NFI_Expiration=1,IF($A628&lt;VLOOKUP(O$5,NFI,5,0),1,0)*Table_NFI[[#This Row],[Clothes Kit]],Table_NFI[Clothes Kit])</f>
        <v>0</v>
      </c>
      <c r="AG628" s="294">
        <f>IF(NFI_Expiration=1,IF($A628&lt;VLOOKUP(P$5,NFI,5,0),1,0)*Table_NFI[[#This Row],[Plastic Bucket]],Table_NFI[Plastic Bucket])</f>
        <v>0</v>
      </c>
      <c r="AH628" s="294">
        <f>IF(NFI_Expiration=1,IF($A628&lt;VLOOKUP(Q$5,NFI,5,0),1,0)*Table_NFI[[#This Row],[Plastic Mat]],Table_NFI[Plastic Mat])*IF(Table_NFI[[#This Row],[Distribution Date]]&gt;"2014-04-01",1,2.5)</f>
        <v>0</v>
      </c>
      <c r="AI628" s="294">
        <f>IF(NFI_Expiration=1,IF($A628&lt;VLOOKUP(R$5,NFI,5,0),1,0)*Table_NFI[[#This Row],[Winter Clothes Adult]],Table_NFI[Winter Clothes Adult])</f>
        <v>0</v>
      </c>
      <c r="AJ628" s="294">
        <f>IF(NFI_Expiration=1,IF($A628&lt;VLOOKUP(S$5,NFI,5,0),1,0)*Table_NFI[[#This Row],[Winter Clothes Children]],Table_NFI[Winter Clothes Children])</f>
        <v>0</v>
      </c>
      <c r="AK628" s="294">
        <f>IF(NFI_Expiration=1,IF($A628&lt;VLOOKUP(T$5,NFI,5,0),1,0)*Table_NFI[[#This Row],[Winter Items Other]],Table_NFI[Winter Items Other])</f>
        <v>0</v>
      </c>
      <c r="AL628" s="294">
        <f>IF(NFI_Expiration=1,IF($A628&lt;VLOOKUP(M$5,NFI,5,0),1,0)*Table_NFI[[#This Row],[Winter Blanket]],Table_NFI[[#This Row],[Winter Blanket]])</f>
        <v>0</v>
      </c>
      <c r="AM628" s="294">
        <f>IF(Table_NFI[[#This Row],[Winter Clothes Adult]]+Table_NFI[[#This Row],[Winter Clothes Children]]+Table_NFI[[#This Row],[Winter Items Other]]+Table_NFI[[#This Row],[Winter Blanket]]&gt;0,1,0)</f>
        <v>0</v>
      </c>
      <c r="AN628" s="331">
        <f>IF(NFI_Expiration=1,IF($A628&lt;VLOOKUP(V$5,NFI,5,0),1,0)*Table_NFI[[#This Row],[Jerry Can]],Table_NFI[Jerry Can])</f>
        <v>0</v>
      </c>
      <c r="AO628" s="331">
        <f>IF(NFI_Expiration=1,IF($A628&lt;VLOOKUP(V$5,NFI,5,0),1,0)*Table_NFI[[#This Row],[Shelter Tool kit]],Table_NFI[Shelter Tool kit])</f>
        <v>0</v>
      </c>
      <c r="AP628" s="331">
        <f>IF(NFI_Expiration=1,IF($A628&lt;VLOOKUP(V$5,NFI,5,0),1,0)*Table_NFI[[#This Row],[Tent]],Table_NFI[Tent])</f>
        <v>0</v>
      </c>
      <c r="AQ628" s="473" t="str">
        <f>IFERROR(VLOOKUP(Table_NFI[[#This Row],[Camp Name]],CL,2,0),"")</f>
        <v>MMR001CMP052</v>
      </c>
      <c r="AR628" s="468">
        <f ca="1">IF(Table_NFI[[#This Row],[Pcode]]="","",IF(OFFSET(CampList[Opening Date],MATCH(Table_NFI[[#This Row],[Pcode]],CampList[CP_Pcode],0)-1,0,1,1)&gt;=NFI_Monitor_Date,1,0))</f>
        <v>0</v>
      </c>
      <c r="AS628" s="473" t="str">
        <f>IFERROR(VLOOKUP(Table_NFI[[#This Row],[Camp Name]],CL,3,0),"")</f>
        <v>Open</v>
      </c>
      <c r="AT628" s="294" t="str">
        <f ca="1">IF(Table_NFI[[#This Row],[Pcode]]="","",OFFSET(CampList[Priority],MATCH(Table_NFI[[#This Row],[Pcode]],CampList[CP_Pcode],0)-1,0,1,1))</f>
        <v>P4</v>
      </c>
      <c r="AU628" s="293">
        <f>IFERROR(Table_NFI[[#This Row],[Kitchen Set]]/VLOOKUP(Table_NFI[[#This Row],[Camp Name]],CL,4,0),"")</f>
        <v>0.94736842105263153</v>
      </c>
      <c r="AV628" s="466" t="s">
        <v>1092</v>
      </c>
      <c r="AW628" s="469"/>
    </row>
    <row r="629" spans="1:49" s="470" customFormat="1" ht="14.45" customHeight="1" x14ac:dyDescent="0.25">
      <c r="A629" s="297">
        <f t="shared" si="9"/>
        <v>36.6</v>
      </c>
      <c r="B629" s="465">
        <v>41577</v>
      </c>
      <c r="C629" s="466" t="s">
        <v>452</v>
      </c>
      <c r="D629" s="466" t="s">
        <v>452</v>
      </c>
      <c r="E629" s="466" t="s">
        <v>380</v>
      </c>
      <c r="F629" s="290" t="s">
        <v>5</v>
      </c>
      <c r="G629" s="290" t="s">
        <v>366</v>
      </c>
      <c r="H629" s="291"/>
      <c r="I629" s="291"/>
      <c r="J629" s="291">
        <v>81</v>
      </c>
      <c r="K629" s="291">
        <v>94</v>
      </c>
      <c r="L629" s="292">
        <v>50</v>
      </c>
      <c r="M629" s="292">
        <v>94</v>
      </c>
      <c r="N629" s="292">
        <v>50</v>
      </c>
      <c r="O629" s="292">
        <v>50</v>
      </c>
      <c r="P629" s="294">
        <v>50</v>
      </c>
      <c r="Q629" s="294">
        <v>50</v>
      </c>
      <c r="R629" s="294"/>
      <c r="S629" s="294"/>
      <c r="T629" s="294"/>
      <c r="U629" s="294"/>
      <c r="V629" s="431"/>
      <c r="W629" s="294"/>
      <c r="X629" s="294"/>
      <c r="Y629" s="294">
        <f>IF(NFI_Expiration=1,IF($A629&lt;VLOOKUP(H$5,NFI,5,0),1,0)*Table_NFI[[#This Row],[Hygiene Kit]],Table_NFI[Hygiene Kit])</f>
        <v>0</v>
      </c>
      <c r="Z629" s="294">
        <f>IF(NFI_Expiration=1,IF($A629&lt;VLOOKUP(I$5,NFI,5,0),1,0)*Table_NFI[[#This Row],[NFI Core Kit]],Table_NFI[NFI Core Kit])</f>
        <v>0</v>
      </c>
      <c r="AA629" s="294">
        <f>IF(NFI_Expiration=1,IF($A629&lt;VLOOKUP(J$5,NFI,5,0),1,0)*Table_NFI[[#This Row],[Sanitary Kit]],Table_NFI[Sanitary Kit])</f>
        <v>0</v>
      </c>
      <c r="AB629" s="294">
        <f>IF(NFI_Expiration=1,IF($A629&lt;VLOOKUP(K$5,NFI,5,0),1,0)*Table_NFI[[#This Row],[Mosquito net]],Table_NFI[Mosquito net])</f>
        <v>0</v>
      </c>
      <c r="AC629" s="294">
        <f>IF(NFI_Expiration=1,IF($A629&lt;VLOOKUP(L$5,NFI,5,0),1,0)*Table_NFI[[#This Row],[Tarpaulin]],Table_NFI[[#This Row],[Tarpaulin]])</f>
        <v>0</v>
      </c>
      <c r="AD629" s="294">
        <f>IF(NFI_Expiration=1,IF($A629&lt;VLOOKUP(M$5,NFI,5,0),1,0)*Table_NFI[[#This Row],[Blanket]],Table_NFI[[#This Row],[Blanket]])</f>
        <v>0</v>
      </c>
      <c r="AE629" s="294">
        <f>IF(NFI_Expiration=1,IF($A629&lt;VLOOKUP(N$5,NFI,5,0),1,0)*Table_NFI[[#This Row],[Kitchen Set]],Table_NFI[Kitchen Set])</f>
        <v>0</v>
      </c>
      <c r="AF629" s="294">
        <f>IF(NFI_Expiration=1,IF($A629&lt;VLOOKUP(O$5,NFI,5,0),1,0)*Table_NFI[[#This Row],[Clothes Kit]],Table_NFI[Clothes Kit])</f>
        <v>0</v>
      </c>
      <c r="AG629" s="294">
        <f>IF(NFI_Expiration=1,IF($A629&lt;VLOOKUP(P$5,NFI,5,0),1,0)*Table_NFI[[#This Row],[Plastic Bucket]],Table_NFI[Plastic Bucket])</f>
        <v>0</v>
      </c>
      <c r="AH629" s="294">
        <f>IF(NFI_Expiration=1,IF($A629&lt;VLOOKUP(Q$5,NFI,5,0),1,0)*Table_NFI[[#This Row],[Plastic Mat]],Table_NFI[Plastic Mat])*IF(Table_NFI[[#This Row],[Distribution Date]]&gt;"2014-04-01",1,2.5)</f>
        <v>0</v>
      </c>
      <c r="AI629" s="294">
        <f>IF(NFI_Expiration=1,IF($A629&lt;VLOOKUP(R$5,NFI,5,0),1,0)*Table_NFI[[#This Row],[Winter Clothes Adult]],Table_NFI[Winter Clothes Adult])</f>
        <v>0</v>
      </c>
      <c r="AJ629" s="294">
        <f>IF(NFI_Expiration=1,IF($A629&lt;VLOOKUP(S$5,NFI,5,0),1,0)*Table_NFI[[#This Row],[Winter Clothes Children]],Table_NFI[Winter Clothes Children])</f>
        <v>0</v>
      </c>
      <c r="AK629" s="294">
        <f>IF(NFI_Expiration=1,IF($A629&lt;VLOOKUP(T$5,NFI,5,0),1,0)*Table_NFI[[#This Row],[Winter Items Other]],Table_NFI[Winter Items Other])</f>
        <v>0</v>
      </c>
      <c r="AL629" s="294">
        <f>IF(NFI_Expiration=1,IF($A629&lt;VLOOKUP(M$5,NFI,5,0),1,0)*Table_NFI[[#This Row],[Winter Blanket]],Table_NFI[[#This Row],[Winter Blanket]])</f>
        <v>0</v>
      </c>
      <c r="AM629" s="294">
        <f>IF(Table_NFI[[#This Row],[Winter Clothes Adult]]+Table_NFI[[#This Row],[Winter Clothes Children]]+Table_NFI[[#This Row],[Winter Items Other]]+Table_NFI[[#This Row],[Winter Blanket]]&gt;0,1,0)</f>
        <v>0</v>
      </c>
      <c r="AN629" s="331">
        <f>IF(NFI_Expiration=1,IF($A629&lt;VLOOKUP(V$5,NFI,5,0),1,0)*Table_NFI[[#This Row],[Jerry Can]],Table_NFI[Jerry Can])</f>
        <v>0</v>
      </c>
      <c r="AO629" s="331">
        <f>IF(NFI_Expiration=1,IF($A629&lt;VLOOKUP(V$5,NFI,5,0),1,0)*Table_NFI[[#This Row],[Shelter Tool kit]],Table_NFI[Shelter Tool kit])</f>
        <v>0</v>
      </c>
      <c r="AP629" s="331">
        <f>IF(NFI_Expiration=1,IF($A629&lt;VLOOKUP(V$5,NFI,5,0),1,0)*Table_NFI[[#This Row],[Tent]],Table_NFI[Tent])</f>
        <v>0</v>
      </c>
      <c r="AQ629" s="473" t="str">
        <f>IFERROR(VLOOKUP(Table_NFI[[#This Row],[Camp Name]],CL,2,0),"")</f>
        <v>MMR001CMP193</v>
      </c>
      <c r="AR629" s="468">
        <f ca="1">IF(Table_NFI[[#This Row],[Pcode]]="","",IF(OFFSET(CampList[Opening Date],MATCH(Table_NFI[[#This Row],[Pcode]],CampList[CP_Pcode],0)-1,0,1,1)&gt;=NFI_Monitor_Date,1,0))</f>
        <v>0</v>
      </c>
      <c r="AS629" s="473" t="str">
        <f>IFERROR(VLOOKUP(Table_NFI[[#This Row],[Camp Name]],CL,3,0),"")</f>
        <v>Open</v>
      </c>
      <c r="AT629" s="294" t="str">
        <f ca="1">IF(Table_NFI[[#This Row],[Pcode]]="","",OFFSET(CampList[Priority],MATCH(Table_NFI[[#This Row],[Pcode]],CampList[CP_Pcode],0)-1,0,1,1))</f>
        <v>P4</v>
      </c>
      <c r="AU629" s="293">
        <f>IFERROR(Table_NFI[[#This Row],[Kitchen Set]]/VLOOKUP(Table_NFI[[#This Row],[Camp Name]],CL,4,0),"")</f>
        <v>0.33333333333333331</v>
      </c>
      <c r="AV629" s="466" t="s">
        <v>1092</v>
      </c>
      <c r="AW629" s="469"/>
    </row>
    <row r="630" spans="1:49" s="98" customFormat="1" ht="14.45" customHeight="1" x14ac:dyDescent="0.25">
      <c r="A630" s="297">
        <f t="shared" si="9"/>
        <v>37.733333333333334</v>
      </c>
      <c r="B630" s="465">
        <v>41543</v>
      </c>
      <c r="C630" s="466" t="s">
        <v>452</v>
      </c>
      <c r="D630" s="466" t="s">
        <v>452</v>
      </c>
      <c r="E630" s="466" t="s">
        <v>380</v>
      </c>
      <c r="F630" s="290" t="s">
        <v>185</v>
      </c>
      <c r="G630" s="290" t="s">
        <v>194</v>
      </c>
      <c r="H630" s="291"/>
      <c r="I630" s="291"/>
      <c r="J630" s="291">
        <v>882</v>
      </c>
      <c r="K630" s="291">
        <v>882</v>
      </c>
      <c r="L630" s="292">
        <v>441</v>
      </c>
      <c r="M630" s="292">
        <v>882</v>
      </c>
      <c r="N630" s="292">
        <v>441</v>
      </c>
      <c r="O630" s="292"/>
      <c r="P630" s="294">
        <v>441</v>
      </c>
      <c r="Q630" s="294">
        <v>882</v>
      </c>
      <c r="R630" s="294"/>
      <c r="S630" s="294"/>
      <c r="T630" s="294"/>
      <c r="U630" s="294"/>
      <c r="V630" s="431"/>
      <c r="W630" s="294"/>
      <c r="X630" s="294"/>
      <c r="Y630" s="294">
        <f>IF(NFI_Expiration=1,IF($A630&lt;VLOOKUP(H$5,NFI,5,0),1,0)*Table_NFI[[#This Row],[Hygiene Kit]],Table_NFI[Hygiene Kit])</f>
        <v>0</v>
      </c>
      <c r="Z630" s="294">
        <f>IF(NFI_Expiration=1,IF($A630&lt;VLOOKUP(I$5,NFI,5,0),1,0)*Table_NFI[[#This Row],[NFI Core Kit]],Table_NFI[NFI Core Kit])</f>
        <v>0</v>
      </c>
      <c r="AA630" s="294">
        <f>IF(NFI_Expiration=1,IF($A630&lt;VLOOKUP(J$5,NFI,5,0),1,0)*Table_NFI[[#This Row],[Sanitary Kit]],Table_NFI[Sanitary Kit])</f>
        <v>0</v>
      </c>
      <c r="AB630" s="294">
        <f>IF(NFI_Expiration=1,IF($A630&lt;VLOOKUP(K$5,NFI,5,0),1,0)*Table_NFI[[#This Row],[Mosquito net]],Table_NFI[Mosquito net])</f>
        <v>0</v>
      </c>
      <c r="AC630" s="294">
        <f>IF(NFI_Expiration=1,IF($A630&lt;VLOOKUP(L$5,NFI,5,0),1,0)*Table_NFI[[#This Row],[Tarpaulin]],Table_NFI[[#This Row],[Tarpaulin]])</f>
        <v>0</v>
      </c>
      <c r="AD630" s="294">
        <f>IF(NFI_Expiration=1,IF($A630&lt;VLOOKUP(M$5,NFI,5,0),1,0)*Table_NFI[[#This Row],[Blanket]],Table_NFI[[#This Row],[Blanket]])</f>
        <v>0</v>
      </c>
      <c r="AE630" s="294">
        <f>IF(NFI_Expiration=1,IF($A630&lt;VLOOKUP(N$5,NFI,5,0),1,0)*Table_NFI[[#This Row],[Kitchen Set]],Table_NFI[Kitchen Set])</f>
        <v>0</v>
      </c>
      <c r="AF630" s="294">
        <f>IF(NFI_Expiration=1,IF($A630&lt;VLOOKUP(O$5,NFI,5,0),1,0)*Table_NFI[[#This Row],[Clothes Kit]],Table_NFI[Clothes Kit])</f>
        <v>0</v>
      </c>
      <c r="AG630" s="294">
        <f>IF(NFI_Expiration=1,IF($A630&lt;VLOOKUP(P$5,NFI,5,0),1,0)*Table_NFI[[#This Row],[Plastic Bucket]],Table_NFI[Plastic Bucket])</f>
        <v>0</v>
      </c>
      <c r="AH630" s="294">
        <f>IF(NFI_Expiration=1,IF($A630&lt;VLOOKUP(Q$5,NFI,5,0),1,0)*Table_NFI[[#This Row],[Plastic Mat]],Table_NFI[Plastic Mat])*IF(Table_NFI[[#This Row],[Distribution Date]]&gt;"2014-04-01",1,2.5)</f>
        <v>0</v>
      </c>
      <c r="AI630" s="294">
        <f>IF(NFI_Expiration=1,IF($A630&lt;VLOOKUP(R$5,NFI,5,0),1,0)*Table_NFI[[#This Row],[Winter Clothes Adult]],Table_NFI[Winter Clothes Adult])</f>
        <v>0</v>
      </c>
      <c r="AJ630" s="294">
        <f>IF(NFI_Expiration=1,IF($A630&lt;VLOOKUP(S$5,NFI,5,0),1,0)*Table_NFI[[#This Row],[Winter Clothes Children]],Table_NFI[Winter Clothes Children])</f>
        <v>0</v>
      </c>
      <c r="AK630" s="294">
        <f>IF(NFI_Expiration=1,IF($A630&lt;VLOOKUP(T$5,NFI,5,0),1,0)*Table_NFI[[#This Row],[Winter Items Other]],Table_NFI[Winter Items Other])</f>
        <v>0</v>
      </c>
      <c r="AL630" s="294">
        <f>IF(NFI_Expiration=1,IF($A630&lt;VLOOKUP(M$5,NFI,5,0),1,0)*Table_NFI[[#This Row],[Winter Blanket]],Table_NFI[[#This Row],[Winter Blanket]])</f>
        <v>0</v>
      </c>
      <c r="AM630" s="294">
        <f>IF(Table_NFI[[#This Row],[Winter Clothes Adult]]+Table_NFI[[#This Row],[Winter Clothes Children]]+Table_NFI[[#This Row],[Winter Items Other]]+Table_NFI[[#This Row],[Winter Blanket]]&gt;0,1,0)</f>
        <v>0</v>
      </c>
      <c r="AN630" s="331">
        <f>IF(NFI_Expiration=1,IF($A630&lt;VLOOKUP(V$5,NFI,5,0),1,0)*Table_NFI[[#This Row],[Jerry Can]],Table_NFI[Jerry Can])</f>
        <v>0</v>
      </c>
      <c r="AO630" s="331">
        <f>IF(NFI_Expiration=1,IF($A630&lt;VLOOKUP(V$5,NFI,5,0),1,0)*Table_NFI[[#This Row],[Shelter Tool kit]],Table_NFI[Shelter Tool kit])</f>
        <v>0</v>
      </c>
      <c r="AP630" s="331">
        <f>IF(NFI_Expiration=1,IF($A630&lt;VLOOKUP(V$5,NFI,5,0),1,0)*Table_NFI[[#This Row],[Tent]],Table_NFI[Tent])</f>
        <v>0</v>
      </c>
      <c r="AQ630" s="473" t="str">
        <f>IFERROR(VLOOKUP(Table_NFI[[#This Row],[Camp Name]],CL,2,0),"")</f>
        <v>MMR001CMP122</v>
      </c>
      <c r="AR630" s="468">
        <f ca="1">IF(Table_NFI[[#This Row],[Pcode]]="","",IF(OFFSET(CampList[Opening Date],MATCH(Table_NFI[[#This Row],[Pcode]],CampList[CP_Pcode],0)-1,0,1,1)&gt;=NFI_Monitor_Date,1,0))</f>
        <v>0</v>
      </c>
      <c r="AS630" s="473" t="str">
        <f>IFERROR(VLOOKUP(Table_NFI[[#This Row],[Camp Name]],CL,3,0),"")</f>
        <v>Open</v>
      </c>
      <c r="AT630" s="294" t="str">
        <f ca="1">IF(Table_NFI[[#This Row],[Pcode]]="","",OFFSET(CampList[Priority],MATCH(Table_NFI[[#This Row],[Pcode]],CampList[CP_Pcode],0)-1,0,1,1))</f>
        <v>P2</v>
      </c>
      <c r="AU630" s="293">
        <f>IFERROR(Table_NFI[[#This Row],[Kitchen Set]]/VLOOKUP(Table_NFI[[#This Row],[Camp Name]],CL,4,0),"")</f>
        <v>0.68798751950078008</v>
      </c>
      <c r="AV630" s="466" t="s">
        <v>1092</v>
      </c>
      <c r="AW630" s="469"/>
    </row>
    <row r="631" spans="1:49" s="98" customFormat="1" ht="14.45" customHeight="1" x14ac:dyDescent="0.25">
      <c r="A631" s="297">
        <f t="shared" si="9"/>
        <v>37.733333333333334</v>
      </c>
      <c r="B631" s="465">
        <v>41543</v>
      </c>
      <c r="C631" s="466" t="s">
        <v>452</v>
      </c>
      <c r="D631" s="466" t="s">
        <v>452</v>
      </c>
      <c r="E631" s="466" t="s">
        <v>380</v>
      </c>
      <c r="F631" s="466" t="s">
        <v>185</v>
      </c>
      <c r="G631" s="290" t="s">
        <v>196</v>
      </c>
      <c r="H631" s="291"/>
      <c r="I631" s="291"/>
      <c r="J631" s="291">
        <v>1628</v>
      </c>
      <c r="K631" s="291">
        <v>3256</v>
      </c>
      <c r="L631" s="292">
        <v>1628</v>
      </c>
      <c r="M631" s="292">
        <v>3256</v>
      </c>
      <c r="N631" s="292">
        <v>1628</v>
      </c>
      <c r="O631" s="292"/>
      <c r="P631" s="294">
        <v>1628</v>
      </c>
      <c r="Q631" s="294">
        <v>3256</v>
      </c>
      <c r="R631" s="294"/>
      <c r="S631" s="294"/>
      <c r="T631" s="294"/>
      <c r="U631" s="294"/>
      <c r="V631" s="431"/>
      <c r="W631" s="294"/>
      <c r="X631" s="294"/>
      <c r="Y631" s="294">
        <f>IF(NFI_Expiration=1,IF($A631&lt;VLOOKUP(H$5,NFI,5,0),1,0)*Table_NFI[[#This Row],[Hygiene Kit]],Table_NFI[Hygiene Kit])</f>
        <v>0</v>
      </c>
      <c r="Z631" s="294">
        <f>IF(NFI_Expiration=1,IF($A631&lt;VLOOKUP(I$5,NFI,5,0),1,0)*Table_NFI[[#This Row],[NFI Core Kit]],Table_NFI[NFI Core Kit])</f>
        <v>0</v>
      </c>
      <c r="AA631" s="294">
        <f>IF(NFI_Expiration=1,IF($A631&lt;VLOOKUP(J$5,NFI,5,0),1,0)*Table_NFI[[#This Row],[Sanitary Kit]],Table_NFI[Sanitary Kit])</f>
        <v>0</v>
      </c>
      <c r="AB631" s="294">
        <f>IF(NFI_Expiration=1,IF($A631&lt;VLOOKUP(K$5,NFI,5,0),1,0)*Table_NFI[[#This Row],[Mosquito net]],Table_NFI[Mosquito net])</f>
        <v>0</v>
      </c>
      <c r="AC631" s="294">
        <f>IF(NFI_Expiration=1,IF($A631&lt;VLOOKUP(L$5,NFI,5,0),1,0)*Table_NFI[[#This Row],[Tarpaulin]],Table_NFI[[#This Row],[Tarpaulin]])</f>
        <v>0</v>
      </c>
      <c r="AD631" s="294">
        <f>IF(NFI_Expiration=1,IF($A631&lt;VLOOKUP(M$5,NFI,5,0),1,0)*Table_NFI[[#This Row],[Blanket]],Table_NFI[[#This Row],[Blanket]])</f>
        <v>0</v>
      </c>
      <c r="AE631" s="294">
        <f>IF(NFI_Expiration=1,IF($A631&lt;VLOOKUP(N$5,NFI,5,0),1,0)*Table_NFI[[#This Row],[Kitchen Set]],Table_NFI[Kitchen Set])</f>
        <v>0</v>
      </c>
      <c r="AF631" s="294">
        <f>IF(NFI_Expiration=1,IF($A631&lt;VLOOKUP(O$5,NFI,5,0),1,0)*Table_NFI[[#This Row],[Clothes Kit]],Table_NFI[Clothes Kit])</f>
        <v>0</v>
      </c>
      <c r="AG631" s="294">
        <f>IF(NFI_Expiration=1,IF($A631&lt;VLOOKUP(P$5,NFI,5,0),1,0)*Table_NFI[[#This Row],[Plastic Bucket]],Table_NFI[Plastic Bucket])</f>
        <v>0</v>
      </c>
      <c r="AH631" s="294">
        <f>IF(NFI_Expiration=1,IF($A631&lt;VLOOKUP(Q$5,NFI,5,0),1,0)*Table_NFI[[#This Row],[Plastic Mat]],Table_NFI[Plastic Mat])*IF(Table_NFI[[#This Row],[Distribution Date]]&gt;"2014-04-01",1,2.5)</f>
        <v>0</v>
      </c>
      <c r="AI631" s="294">
        <f>IF(NFI_Expiration=1,IF($A631&lt;VLOOKUP(R$5,NFI,5,0),1,0)*Table_NFI[[#This Row],[Winter Clothes Adult]],Table_NFI[Winter Clothes Adult])</f>
        <v>0</v>
      </c>
      <c r="AJ631" s="294">
        <f>IF(NFI_Expiration=1,IF($A631&lt;VLOOKUP(S$5,NFI,5,0),1,0)*Table_NFI[[#This Row],[Winter Clothes Children]],Table_NFI[Winter Clothes Children])</f>
        <v>0</v>
      </c>
      <c r="AK631" s="294">
        <f>IF(NFI_Expiration=1,IF($A631&lt;VLOOKUP(T$5,NFI,5,0),1,0)*Table_NFI[[#This Row],[Winter Items Other]],Table_NFI[Winter Items Other])</f>
        <v>0</v>
      </c>
      <c r="AL631" s="294">
        <f>IF(NFI_Expiration=1,IF($A631&lt;VLOOKUP(M$5,NFI,5,0),1,0)*Table_NFI[[#This Row],[Winter Blanket]],Table_NFI[[#This Row],[Winter Blanket]])</f>
        <v>0</v>
      </c>
      <c r="AM631" s="294">
        <f>IF(Table_NFI[[#This Row],[Winter Clothes Adult]]+Table_NFI[[#This Row],[Winter Clothes Children]]+Table_NFI[[#This Row],[Winter Items Other]]+Table_NFI[[#This Row],[Winter Blanket]]&gt;0,1,0)</f>
        <v>0</v>
      </c>
      <c r="AN631" s="331">
        <f>IF(NFI_Expiration=1,IF($A631&lt;VLOOKUP(V$5,NFI,5,0),1,0)*Table_NFI[[#This Row],[Jerry Can]],Table_NFI[Jerry Can])</f>
        <v>0</v>
      </c>
      <c r="AO631" s="331">
        <f>IF(NFI_Expiration=1,IF($A631&lt;VLOOKUP(V$5,NFI,5,0),1,0)*Table_NFI[[#This Row],[Shelter Tool kit]],Table_NFI[Shelter Tool kit])</f>
        <v>0</v>
      </c>
      <c r="AP631" s="331">
        <f>IF(NFI_Expiration=1,IF($A631&lt;VLOOKUP(V$5,NFI,5,0),1,0)*Table_NFI[[#This Row],[Tent]],Table_NFI[Tent])</f>
        <v>0</v>
      </c>
      <c r="AQ631" s="473" t="str">
        <f>IFERROR(VLOOKUP(Table_NFI[[#This Row],[Camp Name]],CL,2,0),"")</f>
        <v>MMR001CMP121</v>
      </c>
      <c r="AR631" s="468">
        <f ca="1">IF(Table_NFI[[#This Row],[Pcode]]="","",IF(OFFSET(CampList[Opening Date],MATCH(Table_NFI[[#This Row],[Pcode]],CampList[CP_Pcode],0)-1,0,1,1)&gt;=NFI_Monitor_Date,1,0))</f>
        <v>0</v>
      </c>
      <c r="AS631" s="473" t="str">
        <f>IFERROR(VLOOKUP(Table_NFI[[#This Row],[Camp Name]],CL,3,0),"")</f>
        <v>Open</v>
      </c>
      <c r="AT631" s="294" t="str">
        <f ca="1">IF(Table_NFI[[#This Row],[Pcode]]="","",OFFSET(CampList[Priority],MATCH(Table_NFI[[#This Row],[Pcode]],CampList[CP_Pcode],0)-1,0,1,1))</f>
        <v>P2</v>
      </c>
      <c r="AU631" s="293">
        <f>IFERROR(Table_NFI[[#This Row],[Kitchen Set]]/VLOOKUP(Table_NFI[[#This Row],[Camp Name]],CL,4,0),"")</f>
        <v>0.98726500909642212</v>
      </c>
      <c r="AV631" s="466" t="s">
        <v>1092</v>
      </c>
      <c r="AW631" s="469"/>
    </row>
    <row r="632" spans="1:49" ht="14.45" customHeight="1" x14ac:dyDescent="0.25">
      <c r="A632" s="297">
        <f t="shared" si="9"/>
        <v>37.733333333333334</v>
      </c>
      <c r="B632" s="465">
        <v>41543</v>
      </c>
      <c r="C632" s="466" t="s">
        <v>452</v>
      </c>
      <c r="D632" s="466" t="s">
        <v>452</v>
      </c>
      <c r="E632" s="466" t="s">
        <v>380</v>
      </c>
      <c r="F632" s="290" t="s">
        <v>310</v>
      </c>
      <c r="G632" s="290" t="s">
        <v>1248</v>
      </c>
      <c r="H632" s="291"/>
      <c r="I632" s="291"/>
      <c r="J632" s="291">
        <v>437</v>
      </c>
      <c r="K632" s="291">
        <v>874</v>
      </c>
      <c r="L632" s="292">
        <v>437</v>
      </c>
      <c r="M632" s="292">
        <v>874</v>
      </c>
      <c r="N632" s="292">
        <v>437</v>
      </c>
      <c r="O632" s="292">
        <v>54</v>
      </c>
      <c r="P632" s="294">
        <v>383</v>
      </c>
      <c r="Q632" s="294">
        <v>766</v>
      </c>
      <c r="R632" s="294"/>
      <c r="S632" s="294"/>
      <c r="T632" s="294"/>
      <c r="U632" s="294"/>
      <c r="V632" s="431"/>
      <c r="W632" s="294"/>
      <c r="X632" s="294"/>
      <c r="Y632" s="294">
        <f>IF(NFI_Expiration=1,IF($A632&lt;VLOOKUP(H$5,NFI,5,0),1,0)*Table_NFI[[#This Row],[Hygiene Kit]],Table_NFI[Hygiene Kit])</f>
        <v>0</v>
      </c>
      <c r="Z632" s="294">
        <f>IF(NFI_Expiration=1,IF($A632&lt;VLOOKUP(I$5,NFI,5,0),1,0)*Table_NFI[[#This Row],[NFI Core Kit]],Table_NFI[NFI Core Kit])</f>
        <v>0</v>
      </c>
      <c r="AA632" s="294">
        <f>IF(NFI_Expiration=1,IF($A632&lt;VLOOKUP(J$5,NFI,5,0),1,0)*Table_NFI[[#This Row],[Sanitary Kit]],Table_NFI[Sanitary Kit])</f>
        <v>0</v>
      </c>
      <c r="AB632" s="294">
        <f>IF(NFI_Expiration=1,IF($A632&lt;VLOOKUP(K$5,NFI,5,0),1,0)*Table_NFI[[#This Row],[Mosquito net]],Table_NFI[Mosquito net])</f>
        <v>0</v>
      </c>
      <c r="AC632" s="294">
        <f>IF(NFI_Expiration=1,IF($A632&lt;VLOOKUP(L$5,NFI,5,0),1,0)*Table_NFI[[#This Row],[Tarpaulin]],Table_NFI[[#This Row],[Tarpaulin]])</f>
        <v>0</v>
      </c>
      <c r="AD632" s="294">
        <f>IF(NFI_Expiration=1,IF($A632&lt;VLOOKUP(M$5,NFI,5,0),1,0)*Table_NFI[[#This Row],[Blanket]],Table_NFI[[#This Row],[Blanket]])</f>
        <v>0</v>
      </c>
      <c r="AE632" s="294">
        <f>IF(NFI_Expiration=1,IF($A632&lt;VLOOKUP(N$5,NFI,5,0),1,0)*Table_NFI[[#This Row],[Kitchen Set]],Table_NFI[Kitchen Set])</f>
        <v>0</v>
      </c>
      <c r="AF632" s="294">
        <f>IF(NFI_Expiration=1,IF($A632&lt;VLOOKUP(O$5,NFI,5,0),1,0)*Table_NFI[[#This Row],[Clothes Kit]],Table_NFI[Clothes Kit])</f>
        <v>0</v>
      </c>
      <c r="AG632" s="294">
        <f>IF(NFI_Expiration=1,IF($A632&lt;VLOOKUP(P$5,NFI,5,0),1,0)*Table_NFI[[#This Row],[Plastic Bucket]],Table_NFI[Plastic Bucket])</f>
        <v>0</v>
      </c>
      <c r="AH632" s="294">
        <f>IF(NFI_Expiration=1,IF($A632&lt;VLOOKUP(Q$5,NFI,5,0),1,0)*Table_NFI[[#This Row],[Plastic Mat]],Table_NFI[Plastic Mat])*IF(Table_NFI[[#This Row],[Distribution Date]]&gt;"2014-04-01",1,2.5)</f>
        <v>0</v>
      </c>
      <c r="AI632" s="294">
        <f>IF(NFI_Expiration=1,IF($A632&lt;VLOOKUP(R$5,NFI,5,0),1,0)*Table_NFI[[#This Row],[Winter Clothes Adult]],Table_NFI[Winter Clothes Adult])</f>
        <v>0</v>
      </c>
      <c r="AJ632" s="294">
        <f>IF(NFI_Expiration=1,IF($A632&lt;VLOOKUP(S$5,NFI,5,0),1,0)*Table_NFI[[#This Row],[Winter Clothes Children]],Table_NFI[Winter Clothes Children])</f>
        <v>0</v>
      </c>
      <c r="AK632" s="294">
        <f>IF(NFI_Expiration=1,IF($A632&lt;VLOOKUP(T$5,NFI,5,0),1,0)*Table_NFI[[#This Row],[Winter Items Other]],Table_NFI[Winter Items Other])</f>
        <v>0</v>
      </c>
      <c r="AL632" s="294">
        <f>IF(NFI_Expiration=1,IF($A632&lt;VLOOKUP(M$5,NFI,5,0),1,0)*Table_NFI[[#This Row],[Winter Blanket]],Table_NFI[[#This Row],[Winter Blanket]])</f>
        <v>0</v>
      </c>
      <c r="AM632" s="294">
        <f>IF(Table_NFI[[#This Row],[Winter Clothes Adult]]+Table_NFI[[#This Row],[Winter Clothes Children]]+Table_NFI[[#This Row],[Winter Items Other]]+Table_NFI[[#This Row],[Winter Blanket]]&gt;0,1,0)</f>
        <v>0</v>
      </c>
      <c r="AN632" s="331">
        <f>IF(NFI_Expiration=1,IF($A632&lt;VLOOKUP(V$5,NFI,5,0),1,0)*Table_NFI[[#This Row],[Jerry Can]],Table_NFI[Jerry Can])</f>
        <v>0</v>
      </c>
      <c r="AO632" s="331">
        <f>IF(NFI_Expiration=1,IF($A632&lt;VLOOKUP(V$5,NFI,5,0),1,0)*Table_NFI[[#This Row],[Shelter Tool kit]],Table_NFI[Shelter Tool kit])</f>
        <v>0</v>
      </c>
      <c r="AP632" s="331">
        <f>IF(NFI_Expiration=1,IF($A632&lt;VLOOKUP(V$5,NFI,5,0),1,0)*Table_NFI[[#This Row],[Tent]],Table_NFI[Tent])</f>
        <v>0</v>
      </c>
      <c r="AQ632" s="473" t="str">
        <f>IFERROR(VLOOKUP(Table_NFI[[#This Row],[Camp Name]],CL,2,0),"")</f>
        <v>MMR001CMP117</v>
      </c>
      <c r="AR632" s="468">
        <f ca="1">IF(Table_NFI[[#This Row],[Pcode]]="","",IF(OFFSET(CampList[Opening Date],MATCH(Table_NFI[[#This Row],[Pcode]],CampList[CP_Pcode],0)-1,0,1,1)&gt;=NFI_Monitor_Date,1,0))</f>
        <v>0</v>
      </c>
      <c r="AS632" s="473" t="str">
        <f>IFERROR(VLOOKUP(Table_NFI[[#This Row],[Camp Name]],CL,3,0),"")</f>
        <v>Closed</v>
      </c>
      <c r="AT632" s="294" t="str">
        <f ca="1">IF(Table_NFI[[#This Row],[Pcode]]="","",OFFSET(CampList[Priority],MATCH(Table_NFI[[#This Row],[Pcode]],CampList[CP_Pcode],0)-1,0,1,1))</f>
        <v>P2</v>
      </c>
      <c r="AU632" s="293" t="str">
        <f>IFERROR(Table_NFI[[#This Row],[Kitchen Set]]/VLOOKUP(Table_NFI[[#This Row],[Camp Name]],CL,4,0),"")</f>
        <v/>
      </c>
      <c r="AV632" s="466" t="s">
        <v>1092</v>
      </c>
      <c r="AW632" s="469"/>
    </row>
    <row r="633" spans="1:49" ht="14.45" customHeight="1" x14ac:dyDescent="0.25">
      <c r="A633" s="297">
        <f t="shared" si="9"/>
        <v>38</v>
      </c>
      <c r="B633" s="465">
        <v>41535</v>
      </c>
      <c r="C633" s="466" t="s">
        <v>452</v>
      </c>
      <c r="D633" s="466" t="s">
        <v>452</v>
      </c>
      <c r="E633" s="466" t="s">
        <v>380</v>
      </c>
      <c r="F633" s="290" t="s">
        <v>310</v>
      </c>
      <c r="G633" s="290" t="s">
        <v>353</v>
      </c>
      <c r="H633" s="291"/>
      <c r="I633" s="291"/>
      <c r="J633" s="291">
        <v>1520</v>
      </c>
      <c r="K633" s="291">
        <v>1520</v>
      </c>
      <c r="L633" s="292">
        <v>760</v>
      </c>
      <c r="M633" s="292">
        <v>1520</v>
      </c>
      <c r="N633" s="292">
        <v>760</v>
      </c>
      <c r="O633" s="292">
        <v>760</v>
      </c>
      <c r="P633" s="294"/>
      <c r="Q633" s="294"/>
      <c r="R633" s="294"/>
      <c r="S633" s="294"/>
      <c r="T633" s="294"/>
      <c r="U633" s="294"/>
      <c r="V633" s="431"/>
      <c r="W633" s="294"/>
      <c r="X633" s="294"/>
      <c r="Y633" s="294">
        <f>IF(NFI_Expiration=1,IF($A633&lt;VLOOKUP(H$5,NFI,5,0),1,0)*Table_NFI[[#This Row],[Hygiene Kit]],Table_NFI[Hygiene Kit])</f>
        <v>0</v>
      </c>
      <c r="Z633" s="294">
        <f>IF(NFI_Expiration=1,IF($A633&lt;VLOOKUP(I$5,NFI,5,0),1,0)*Table_NFI[[#This Row],[NFI Core Kit]],Table_NFI[NFI Core Kit])</f>
        <v>0</v>
      </c>
      <c r="AA633" s="294">
        <f>IF(NFI_Expiration=1,IF($A633&lt;VLOOKUP(J$5,NFI,5,0),1,0)*Table_NFI[[#This Row],[Sanitary Kit]],Table_NFI[Sanitary Kit])</f>
        <v>0</v>
      </c>
      <c r="AB633" s="294">
        <f>IF(NFI_Expiration=1,IF($A633&lt;VLOOKUP(K$5,NFI,5,0),1,0)*Table_NFI[[#This Row],[Mosquito net]],Table_NFI[Mosquito net])</f>
        <v>0</v>
      </c>
      <c r="AC633" s="294">
        <f>IF(NFI_Expiration=1,IF($A633&lt;VLOOKUP(L$5,NFI,5,0),1,0)*Table_NFI[[#This Row],[Tarpaulin]],Table_NFI[[#This Row],[Tarpaulin]])</f>
        <v>0</v>
      </c>
      <c r="AD633" s="294">
        <f>IF(NFI_Expiration=1,IF($A633&lt;VLOOKUP(M$5,NFI,5,0),1,0)*Table_NFI[[#This Row],[Blanket]],Table_NFI[[#This Row],[Blanket]])</f>
        <v>0</v>
      </c>
      <c r="AE633" s="294">
        <f>IF(NFI_Expiration=1,IF($A633&lt;VLOOKUP(N$5,NFI,5,0),1,0)*Table_NFI[[#This Row],[Kitchen Set]],Table_NFI[Kitchen Set])</f>
        <v>0</v>
      </c>
      <c r="AF633" s="294">
        <f>IF(NFI_Expiration=1,IF($A633&lt;VLOOKUP(O$5,NFI,5,0),1,0)*Table_NFI[[#This Row],[Clothes Kit]],Table_NFI[Clothes Kit])</f>
        <v>0</v>
      </c>
      <c r="AG633" s="294">
        <f>IF(NFI_Expiration=1,IF($A633&lt;VLOOKUP(P$5,NFI,5,0),1,0)*Table_NFI[[#This Row],[Plastic Bucket]],Table_NFI[Plastic Bucket])</f>
        <v>0</v>
      </c>
      <c r="AH633" s="294">
        <f>IF(NFI_Expiration=1,IF($A633&lt;VLOOKUP(Q$5,NFI,5,0),1,0)*Table_NFI[[#This Row],[Plastic Mat]],Table_NFI[Plastic Mat])*IF(Table_NFI[[#This Row],[Distribution Date]]&gt;"2014-04-01",1,2.5)</f>
        <v>0</v>
      </c>
      <c r="AI633" s="294">
        <f>IF(NFI_Expiration=1,IF($A633&lt;VLOOKUP(R$5,NFI,5,0),1,0)*Table_NFI[[#This Row],[Winter Clothes Adult]],Table_NFI[Winter Clothes Adult])</f>
        <v>0</v>
      </c>
      <c r="AJ633" s="294">
        <f>IF(NFI_Expiration=1,IF($A633&lt;VLOOKUP(S$5,NFI,5,0),1,0)*Table_NFI[[#This Row],[Winter Clothes Children]],Table_NFI[Winter Clothes Children])</f>
        <v>0</v>
      </c>
      <c r="AK633" s="294">
        <f>IF(NFI_Expiration=1,IF($A633&lt;VLOOKUP(T$5,NFI,5,0),1,0)*Table_NFI[[#This Row],[Winter Items Other]],Table_NFI[Winter Items Other])</f>
        <v>0</v>
      </c>
      <c r="AL633" s="294">
        <f>IF(NFI_Expiration=1,IF($A633&lt;VLOOKUP(M$5,NFI,5,0),1,0)*Table_NFI[[#This Row],[Winter Blanket]],Table_NFI[[#This Row],[Winter Blanket]])</f>
        <v>0</v>
      </c>
      <c r="AM633" s="294">
        <f>IF(Table_NFI[[#This Row],[Winter Clothes Adult]]+Table_NFI[[#This Row],[Winter Clothes Children]]+Table_NFI[[#This Row],[Winter Items Other]]+Table_NFI[[#This Row],[Winter Blanket]]&gt;0,1,0)</f>
        <v>0</v>
      </c>
      <c r="AN633" s="331">
        <f>IF(NFI_Expiration=1,IF($A633&lt;VLOOKUP(V$5,NFI,5,0),1,0)*Table_NFI[[#This Row],[Jerry Can]],Table_NFI[Jerry Can])</f>
        <v>0</v>
      </c>
      <c r="AO633" s="331">
        <f>IF(NFI_Expiration=1,IF($A633&lt;VLOOKUP(V$5,NFI,5,0),1,0)*Table_NFI[[#This Row],[Shelter Tool kit]],Table_NFI[Shelter Tool kit])</f>
        <v>0</v>
      </c>
      <c r="AP633" s="331">
        <f>IF(NFI_Expiration=1,IF($A633&lt;VLOOKUP(V$5,NFI,5,0),1,0)*Table_NFI[[#This Row],[Tent]],Table_NFI[Tent])</f>
        <v>0</v>
      </c>
      <c r="AQ633" s="473" t="str">
        <f>IFERROR(VLOOKUP(Table_NFI[[#This Row],[Camp Name]],CL,2,0),"")</f>
        <v>MMR001CMP116</v>
      </c>
      <c r="AR633" s="468">
        <f ca="1">IF(Table_NFI[[#This Row],[Pcode]]="","",IF(OFFSET(CampList[Opening Date],MATCH(Table_NFI[[#This Row],[Pcode]],CampList[CP_Pcode],0)-1,0,1,1)&gt;=NFI_Monitor_Date,1,0))</f>
        <v>0</v>
      </c>
      <c r="AS633" s="473" t="str">
        <f>IFERROR(VLOOKUP(Table_NFI[[#This Row],[Camp Name]],CL,3,0),"")</f>
        <v>Open</v>
      </c>
      <c r="AT633" s="294" t="str">
        <f ca="1">IF(Table_NFI[[#This Row],[Pcode]]="","",OFFSET(CampList[Priority],MATCH(Table_NFI[[#This Row],[Pcode]],CampList[CP_Pcode],0)-1,0,1,1))</f>
        <v>P4</v>
      </c>
      <c r="AU633" s="293">
        <f>IFERROR(Table_NFI[[#This Row],[Kitchen Set]]/VLOOKUP(Table_NFI[[#This Row],[Camp Name]],CL,4,0),"")</f>
        <v>0.55433989788475568</v>
      </c>
      <c r="AV633" s="466" t="s">
        <v>1092</v>
      </c>
      <c r="AW633" s="469"/>
    </row>
    <row r="634" spans="1:49" ht="14.45" customHeight="1" x14ac:dyDescent="0.25">
      <c r="A634" s="297">
        <f t="shared" si="9"/>
        <v>38.200000000000003</v>
      </c>
      <c r="B634" s="465">
        <v>41529</v>
      </c>
      <c r="C634" s="466" t="s">
        <v>452</v>
      </c>
      <c r="D634" s="466" t="s">
        <v>452</v>
      </c>
      <c r="E634" s="466" t="s">
        <v>380</v>
      </c>
      <c r="F634" s="290" t="s">
        <v>185</v>
      </c>
      <c r="G634" s="290" t="s">
        <v>215</v>
      </c>
      <c r="H634" s="291"/>
      <c r="I634" s="291"/>
      <c r="J634" s="291">
        <v>640</v>
      </c>
      <c r="K634" s="291">
        <v>640</v>
      </c>
      <c r="L634" s="292">
        <v>320</v>
      </c>
      <c r="M634" s="292">
        <v>320</v>
      </c>
      <c r="N634" s="292">
        <v>320</v>
      </c>
      <c r="O634" s="292">
        <v>320</v>
      </c>
      <c r="P634" s="294">
        <v>640</v>
      </c>
      <c r="Q634" s="294">
        <v>320</v>
      </c>
      <c r="R634" s="294"/>
      <c r="S634" s="294"/>
      <c r="T634" s="294"/>
      <c r="U634" s="294"/>
      <c r="V634" s="431"/>
      <c r="W634" s="294"/>
      <c r="X634" s="294"/>
      <c r="Y634" s="294">
        <f>IF(NFI_Expiration=1,IF($A634&lt;VLOOKUP(H$5,NFI,5,0),1,0)*Table_NFI[[#This Row],[Hygiene Kit]],Table_NFI[Hygiene Kit])</f>
        <v>0</v>
      </c>
      <c r="Z634" s="294">
        <f>IF(NFI_Expiration=1,IF($A634&lt;VLOOKUP(I$5,NFI,5,0),1,0)*Table_NFI[[#This Row],[NFI Core Kit]],Table_NFI[NFI Core Kit])</f>
        <v>0</v>
      </c>
      <c r="AA634" s="294">
        <f>IF(NFI_Expiration=1,IF($A634&lt;VLOOKUP(J$5,NFI,5,0),1,0)*Table_NFI[[#This Row],[Sanitary Kit]],Table_NFI[Sanitary Kit])</f>
        <v>0</v>
      </c>
      <c r="AB634" s="294">
        <f>IF(NFI_Expiration=1,IF($A634&lt;VLOOKUP(K$5,NFI,5,0),1,0)*Table_NFI[[#This Row],[Mosquito net]],Table_NFI[Mosquito net])</f>
        <v>0</v>
      </c>
      <c r="AC634" s="294">
        <f>IF(NFI_Expiration=1,IF($A634&lt;VLOOKUP(L$5,NFI,5,0),1,0)*Table_NFI[[#This Row],[Tarpaulin]],Table_NFI[[#This Row],[Tarpaulin]])</f>
        <v>0</v>
      </c>
      <c r="AD634" s="294">
        <f>IF(NFI_Expiration=1,IF($A634&lt;VLOOKUP(M$5,NFI,5,0),1,0)*Table_NFI[[#This Row],[Blanket]],Table_NFI[[#This Row],[Blanket]])</f>
        <v>0</v>
      </c>
      <c r="AE634" s="294">
        <f>IF(NFI_Expiration=1,IF($A634&lt;VLOOKUP(N$5,NFI,5,0),1,0)*Table_NFI[[#This Row],[Kitchen Set]],Table_NFI[Kitchen Set])</f>
        <v>0</v>
      </c>
      <c r="AF634" s="294">
        <f>IF(NFI_Expiration=1,IF($A634&lt;VLOOKUP(O$5,NFI,5,0),1,0)*Table_NFI[[#This Row],[Clothes Kit]],Table_NFI[Clothes Kit])</f>
        <v>0</v>
      </c>
      <c r="AG634" s="294">
        <f>IF(NFI_Expiration=1,IF($A634&lt;VLOOKUP(P$5,NFI,5,0),1,0)*Table_NFI[[#This Row],[Plastic Bucket]],Table_NFI[Plastic Bucket])</f>
        <v>0</v>
      </c>
      <c r="AH634" s="294">
        <f>IF(NFI_Expiration=1,IF($A634&lt;VLOOKUP(Q$5,NFI,5,0),1,0)*Table_NFI[[#This Row],[Plastic Mat]],Table_NFI[Plastic Mat])*IF(Table_NFI[[#This Row],[Distribution Date]]&gt;"2014-04-01",1,2.5)</f>
        <v>0</v>
      </c>
      <c r="AI634" s="294">
        <f>IF(NFI_Expiration=1,IF($A634&lt;VLOOKUP(R$5,NFI,5,0),1,0)*Table_NFI[[#This Row],[Winter Clothes Adult]],Table_NFI[Winter Clothes Adult])</f>
        <v>0</v>
      </c>
      <c r="AJ634" s="294">
        <f>IF(NFI_Expiration=1,IF($A634&lt;VLOOKUP(S$5,NFI,5,0),1,0)*Table_NFI[[#This Row],[Winter Clothes Children]],Table_NFI[Winter Clothes Children])</f>
        <v>0</v>
      </c>
      <c r="AK634" s="294">
        <f>IF(NFI_Expiration=1,IF($A634&lt;VLOOKUP(T$5,NFI,5,0),1,0)*Table_NFI[[#This Row],[Winter Items Other]],Table_NFI[Winter Items Other])</f>
        <v>0</v>
      </c>
      <c r="AL634" s="294">
        <f>IF(NFI_Expiration=1,IF($A634&lt;VLOOKUP(M$5,NFI,5,0),1,0)*Table_NFI[[#This Row],[Winter Blanket]],Table_NFI[[#This Row],[Winter Blanket]])</f>
        <v>0</v>
      </c>
      <c r="AM634" s="294">
        <f>IF(Table_NFI[[#This Row],[Winter Clothes Adult]]+Table_NFI[[#This Row],[Winter Clothes Children]]+Table_NFI[[#This Row],[Winter Items Other]]+Table_NFI[[#This Row],[Winter Blanket]]&gt;0,1,0)</f>
        <v>0</v>
      </c>
      <c r="AN634" s="331">
        <f>IF(NFI_Expiration=1,IF($A634&lt;VLOOKUP(V$5,NFI,5,0),1,0)*Table_NFI[[#This Row],[Jerry Can]],Table_NFI[Jerry Can])</f>
        <v>0</v>
      </c>
      <c r="AO634" s="331">
        <f>IF(NFI_Expiration=1,IF($A634&lt;VLOOKUP(V$5,NFI,5,0),1,0)*Table_NFI[[#This Row],[Shelter Tool kit]],Table_NFI[Shelter Tool kit])</f>
        <v>0</v>
      </c>
      <c r="AP634" s="331">
        <f>IF(NFI_Expiration=1,IF($A634&lt;VLOOKUP(V$5,NFI,5,0),1,0)*Table_NFI[[#This Row],[Tent]],Table_NFI[Tent])</f>
        <v>0</v>
      </c>
      <c r="AQ634" s="473" t="str">
        <f>IFERROR(VLOOKUP(Table_NFI[[#This Row],[Camp Name]],CL,2,0),"")</f>
        <v>MMR001CMP131</v>
      </c>
      <c r="AR634" s="468">
        <f ca="1">IF(Table_NFI[[#This Row],[Pcode]]="","",IF(OFFSET(CampList[Opening Date],MATCH(Table_NFI[[#This Row],[Pcode]],CampList[CP_Pcode],0)-1,0,1,1)&gt;=NFI_Monitor_Date,1,0))</f>
        <v>0</v>
      </c>
      <c r="AS634" s="473" t="str">
        <f>IFERROR(VLOOKUP(Table_NFI[[#This Row],[Camp Name]],CL,3,0),"")</f>
        <v>Open</v>
      </c>
      <c r="AT634" s="294" t="str">
        <f ca="1">IF(Table_NFI[[#This Row],[Pcode]]="","",OFFSET(CampList[Priority],MATCH(Table_NFI[[#This Row],[Pcode]],CampList[CP_Pcode],0)-1,0,1,1))</f>
        <v>P1</v>
      </c>
      <c r="AU634" s="293">
        <f>IFERROR(Table_NFI[[#This Row],[Kitchen Set]]/VLOOKUP(Table_NFI[[#This Row],[Camp Name]],CL,4,0),"")</f>
        <v>0.90140845070422537</v>
      </c>
      <c r="AV634" s="466" t="s">
        <v>1092</v>
      </c>
      <c r="AW634" s="469"/>
    </row>
    <row r="635" spans="1:49" ht="14.45" customHeight="1" x14ac:dyDescent="0.25">
      <c r="A635" s="297">
        <f t="shared" si="9"/>
        <v>39.200000000000003</v>
      </c>
      <c r="B635" s="465">
        <v>41499</v>
      </c>
      <c r="C635" s="466" t="s">
        <v>452</v>
      </c>
      <c r="D635" s="466" t="s">
        <v>506</v>
      </c>
      <c r="E635" s="466" t="s">
        <v>553</v>
      </c>
      <c r="F635" s="466" t="s">
        <v>166</v>
      </c>
      <c r="G635" s="290" t="s">
        <v>12</v>
      </c>
      <c r="H635" s="291"/>
      <c r="I635" s="291"/>
      <c r="J635" s="291">
        <v>49</v>
      </c>
      <c r="K635" s="291">
        <v>90</v>
      </c>
      <c r="L635" s="292">
        <v>30</v>
      </c>
      <c r="M635" s="292">
        <v>90</v>
      </c>
      <c r="N635" s="292">
        <v>30</v>
      </c>
      <c r="O635" s="292">
        <v>30</v>
      </c>
      <c r="P635" s="294">
        <v>30</v>
      </c>
      <c r="Q635" s="294">
        <v>30</v>
      </c>
      <c r="R635" s="294"/>
      <c r="S635" s="294"/>
      <c r="T635" s="294"/>
      <c r="U635" s="294"/>
      <c r="V635" s="431"/>
      <c r="W635" s="294"/>
      <c r="X635" s="294"/>
      <c r="Y635" s="294">
        <f>IF(NFI_Expiration=1,IF($A635&lt;VLOOKUP(H$5,NFI,5,0),1,0)*Table_NFI[[#This Row],[Hygiene Kit]],Table_NFI[Hygiene Kit])</f>
        <v>0</v>
      </c>
      <c r="Z635" s="294">
        <f>IF(NFI_Expiration=1,IF($A635&lt;VLOOKUP(I$5,NFI,5,0),1,0)*Table_NFI[[#This Row],[NFI Core Kit]],Table_NFI[NFI Core Kit])</f>
        <v>0</v>
      </c>
      <c r="AA635" s="294">
        <f>IF(NFI_Expiration=1,IF($A635&lt;VLOOKUP(J$5,NFI,5,0),1,0)*Table_NFI[[#This Row],[Sanitary Kit]],Table_NFI[Sanitary Kit])</f>
        <v>0</v>
      </c>
      <c r="AB635" s="294">
        <f>IF(NFI_Expiration=1,IF($A635&lt;VLOOKUP(K$5,NFI,5,0),1,0)*Table_NFI[[#This Row],[Mosquito net]],Table_NFI[Mosquito net])</f>
        <v>0</v>
      </c>
      <c r="AC635" s="294">
        <f>IF(NFI_Expiration=1,IF($A635&lt;VLOOKUP(L$5,NFI,5,0),1,0)*Table_NFI[[#This Row],[Tarpaulin]],Table_NFI[[#This Row],[Tarpaulin]])</f>
        <v>0</v>
      </c>
      <c r="AD635" s="294">
        <f>IF(NFI_Expiration=1,IF($A635&lt;VLOOKUP(M$5,NFI,5,0),1,0)*Table_NFI[[#This Row],[Blanket]],Table_NFI[[#This Row],[Blanket]])</f>
        <v>0</v>
      </c>
      <c r="AE635" s="294">
        <f>IF(NFI_Expiration=1,IF($A635&lt;VLOOKUP(N$5,NFI,5,0),1,0)*Table_NFI[[#This Row],[Kitchen Set]],Table_NFI[Kitchen Set])</f>
        <v>0</v>
      </c>
      <c r="AF635" s="294">
        <f>IF(NFI_Expiration=1,IF($A635&lt;VLOOKUP(O$5,NFI,5,0),1,0)*Table_NFI[[#This Row],[Clothes Kit]],Table_NFI[Clothes Kit])</f>
        <v>0</v>
      </c>
      <c r="AG635" s="294">
        <f>IF(NFI_Expiration=1,IF($A635&lt;VLOOKUP(P$5,NFI,5,0),1,0)*Table_NFI[[#This Row],[Plastic Bucket]],Table_NFI[Plastic Bucket])</f>
        <v>0</v>
      </c>
      <c r="AH635" s="294">
        <f>IF(NFI_Expiration=1,IF($A635&lt;VLOOKUP(Q$5,NFI,5,0),1,0)*Table_NFI[[#This Row],[Plastic Mat]],Table_NFI[Plastic Mat])*IF(Table_NFI[[#This Row],[Distribution Date]]&gt;"2014-04-01",1,2.5)</f>
        <v>0</v>
      </c>
      <c r="AI635" s="294">
        <f>IF(NFI_Expiration=1,IF($A635&lt;VLOOKUP(R$5,NFI,5,0),1,0)*Table_NFI[[#This Row],[Winter Clothes Adult]],Table_NFI[Winter Clothes Adult])</f>
        <v>0</v>
      </c>
      <c r="AJ635" s="294">
        <f>IF(NFI_Expiration=1,IF($A635&lt;VLOOKUP(S$5,NFI,5,0),1,0)*Table_NFI[[#This Row],[Winter Clothes Children]],Table_NFI[Winter Clothes Children])</f>
        <v>0</v>
      </c>
      <c r="AK635" s="294">
        <f>IF(NFI_Expiration=1,IF($A635&lt;VLOOKUP(T$5,NFI,5,0),1,0)*Table_NFI[[#This Row],[Winter Items Other]],Table_NFI[Winter Items Other])</f>
        <v>0</v>
      </c>
      <c r="AL635" s="294">
        <f>IF(NFI_Expiration=1,IF($A635&lt;VLOOKUP(M$5,NFI,5,0),1,0)*Table_NFI[[#This Row],[Winter Blanket]],Table_NFI[[#This Row],[Winter Blanket]])</f>
        <v>0</v>
      </c>
      <c r="AM635" s="294">
        <f>IF(Table_NFI[[#This Row],[Winter Clothes Adult]]+Table_NFI[[#This Row],[Winter Clothes Children]]+Table_NFI[[#This Row],[Winter Items Other]]+Table_NFI[[#This Row],[Winter Blanket]]&gt;0,1,0)</f>
        <v>0</v>
      </c>
      <c r="AN635" s="331">
        <f>IF(NFI_Expiration=1,IF($A635&lt;VLOOKUP(V$5,NFI,5,0),1,0)*Table_NFI[[#This Row],[Jerry Can]],Table_NFI[Jerry Can])</f>
        <v>0</v>
      </c>
      <c r="AO635" s="331">
        <f>IF(NFI_Expiration=1,IF($A635&lt;VLOOKUP(V$5,NFI,5,0),1,0)*Table_NFI[[#This Row],[Shelter Tool kit]],Table_NFI[Shelter Tool kit])</f>
        <v>0</v>
      </c>
      <c r="AP635" s="331">
        <f>IF(NFI_Expiration=1,IF($A635&lt;VLOOKUP(V$5,NFI,5,0),1,0)*Table_NFI[[#This Row],[Tent]],Table_NFI[Tent])</f>
        <v>0</v>
      </c>
      <c r="AQ635" s="473" t="str">
        <f>IFERROR(VLOOKUP(Table_NFI[[#This Row],[Camp Name]],CL,2,0),"")</f>
        <v>MMR001CMP163</v>
      </c>
      <c r="AR635" s="468">
        <f ca="1">IF(Table_NFI[[#This Row],[Pcode]]="","",IF(OFFSET(CampList[Opening Date],MATCH(Table_NFI[[#This Row],[Pcode]],CampList[CP_Pcode],0)-1,0,1,1)&gt;=NFI_Monitor_Date,1,0))</f>
        <v>0</v>
      </c>
      <c r="AS635" s="473" t="str">
        <f>IFERROR(VLOOKUP(Table_NFI[[#This Row],[Camp Name]],CL,3,0),"")</f>
        <v>Open</v>
      </c>
      <c r="AT635" s="294" t="str">
        <f ca="1">IF(Table_NFI[[#This Row],[Pcode]]="","",OFFSET(CampList[Priority],MATCH(Table_NFI[[#This Row],[Pcode]],CampList[CP_Pcode],0)-1,0,1,1))</f>
        <v>P4</v>
      </c>
      <c r="AU635" s="293">
        <f>IFERROR(Table_NFI[[#This Row],[Kitchen Set]]/VLOOKUP(Table_NFI[[#This Row],[Camp Name]],CL,4,0),"")</f>
        <v>0.14218009478672985</v>
      </c>
      <c r="AV635" s="466" t="s">
        <v>1092</v>
      </c>
      <c r="AW635" s="469"/>
    </row>
    <row r="636" spans="1:49" x14ac:dyDescent="0.25">
      <c r="A636" s="297">
        <f t="shared" si="9"/>
        <v>39.200000000000003</v>
      </c>
      <c r="B636" s="465">
        <v>41499</v>
      </c>
      <c r="C636" s="466" t="s">
        <v>452</v>
      </c>
      <c r="D636" s="466" t="s">
        <v>460</v>
      </c>
      <c r="E636" s="466" t="s">
        <v>553</v>
      </c>
      <c r="F636" s="466" t="s">
        <v>146</v>
      </c>
      <c r="G636" s="290" t="s">
        <v>372</v>
      </c>
      <c r="H636" s="291"/>
      <c r="I636" s="291"/>
      <c r="J636" s="291">
        <v>70</v>
      </c>
      <c r="K636" s="291">
        <v>120</v>
      </c>
      <c r="L636" s="292">
        <v>48</v>
      </c>
      <c r="M636" s="292">
        <v>120</v>
      </c>
      <c r="N636" s="292">
        <v>48</v>
      </c>
      <c r="O636" s="292">
        <v>48</v>
      </c>
      <c r="P636" s="294">
        <v>48</v>
      </c>
      <c r="Q636" s="294">
        <v>48</v>
      </c>
      <c r="R636" s="294"/>
      <c r="S636" s="294"/>
      <c r="T636" s="294"/>
      <c r="U636" s="294"/>
      <c r="V636" s="431"/>
      <c r="W636" s="294"/>
      <c r="X636" s="294"/>
      <c r="Y636" s="294">
        <f>IF(NFI_Expiration=1,IF($A636&lt;VLOOKUP(H$5,NFI,5,0),1,0)*Table_NFI[[#This Row],[Hygiene Kit]],Table_NFI[Hygiene Kit])</f>
        <v>0</v>
      </c>
      <c r="Z636" s="294">
        <f>IF(NFI_Expiration=1,IF($A636&lt;VLOOKUP(I$5,NFI,5,0),1,0)*Table_NFI[[#This Row],[NFI Core Kit]],Table_NFI[NFI Core Kit])</f>
        <v>0</v>
      </c>
      <c r="AA636" s="294">
        <f>IF(NFI_Expiration=1,IF($A636&lt;VLOOKUP(J$5,NFI,5,0),1,0)*Table_NFI[[#This Row],[Sanitary Kit]],Table_NFI[Sanitary Kit])</f>
        <v>0</v>
      </c>
      <c r="AB636" s="294">
        <f>IF(NFI_Expiration=1,IF($A636&lt;VLOOKUP(K$5,NFI,5,0),1,0)*Table_NFI[[#This Row],[Mosquito net]],Table_NFI[Mosquito net])</f>
        <v>0</v>
      </c>
      <c r="AC636" s="294">
        <f>IF(NFI_Expiration=1,IF($A636&lt;VLOOKUP(L$5,NFI,5,0),1,0)*Table_NFI[[#This Row],[Tarpaulin]],Table_NFI[[#This Row],[Tarpaulin]])</f>
        <v>0</v>
      </c>
      <c r="AD636" s="294">
        <f>IF(NFI_Expiration=1,IF($A636&lt;VLOOKUP(M$5,NFI,5,0),1,0)*Table_NFI[[#This Row],[Blanket]],Table_NFI[[#This Row],[Blanket]])</f>
        <v>0</v>
      </c>
      <c r="AE636" s="294">
        <f>IF(NFI_Expiration=1,IF($A636&lt;VLOOKUP(N$5,NFI,5,0),1,0)*Table_NFI[[#This Row],[Kitchen Set]],Table_NFI[Kitchen Set])</f>
        <v>0</v>
      </c>
      <c r="AF636" s="294">
        <f>IF(NFI_Expiration=1,IF($A636&lt;VLOOKUP(O$5,NFI,5,0),1,0)*Table_NFI[[#This Row],[Clothes Kit]],Table_NFI[Clothes Kit])</f>
        <v>0</v>
      </c>
      <c r="AG636" s="294">
        <f>IF(NFI_Expiration=1,IF($A636&lt;VLOOKUP(P$5,NFI,5,0),1,0)*Table_NFI[[#This Row],[Plastic Bucket]],Table_NFI[Plastic Bucket])</f>
        <v>0</v>
      </c>
      <c r="AH636" s="294">
        <f>IF(NFI_Expiration=1,IF($A636&lt;VLOOKUP(Q$5,NFI,5,0),1,0)*Table_NFI[[#This Row],[Plastic Mat]],Table_NFI[Plastic Mat])*IF(Table_NFI[[#This Row],[Distribution Date]]&gt;"2014-04-01",1,2.5)</f>
        <v>0</v>
      </c>
      <c r="AI636" s="294">
        <f>IF(NFI_Expiration=1,IF($A636&lt;VLOOKUP(R$5,NFI,5,0),1,0)*Table_NFI[[#This Row],[Winter Clothes Adult]],Table_NFI[Winter Clothes Adult])</f>
        <v>0</v>
      </c>
      <c r="AJ636" s="294">
        <f>IF(NFI_Expiration=1,IF($A636&lt;VLOOKUP(S$5,NFI,5,0),1,0)*Table_NFI[[#This Row],[Winter Clothes Children]],Table_NFI[Winter Clothes Children])</f>
        <v>0</v>
      </c>
      <c r="AK636" s="294">
        <f>IF(NFI_Expiration=1,IF($A636&lt;VLOOKUP(T$5,NFI,5,0),1,0)*Table_NFI[[#This Row],[Winter Items Other]],Table_NFI[Winter Items Other])</f>
        <v>0</v>
      </c>
      <c r="AL636" s="294">
        <f>IF(NFI_Expiration=1,IF($A636&lt;VLOOKUP(M$5,NFI,5,0),1,0)*Table_NFI[[#This Row],[Winter Blanket]],Table_NFI[[#This Row],[Winter Blanket]])</f>
        <v>0</v>
      </c>
      <c r="AM636" s="294">
        <f>IF(Table_NFI[[#This Row],[Winter Clothes Adult]]+Table_NFI[[#This Row],[Winter Clothes Children]]+Table_NFI[[#This Row],[Winter Items Other]]+Table_NFI[[#This Row],[Winter Blanket]]&gt;0,1,0)</f>
        <v>0</v>
      </c>
      <c r="AN636" s="331">
        <f>IF(NFI_Expiration=1,IF($A636&lt;VLOOKUP(V$5,NFI,5,0),1,0)*Table_NFI[[#This Row],[Jerry Can]],Table_NFI[Jerry Can])</f>
        <v>0</v>
      </c>
      <c r="AO636" s="331">
        <f>IF(NFI_Expiration=1,IF($A636&lt;VLOOKUP(V$5,NFI,5,0),1,0)*Table_NFI[[#This Row],[Shelter Tool kit]],Table_NFI[Shelter Tool kit])</f>
        <v>0</v>
      </c>
      <c r="AP636" s="331">
        <f>IF(NFI_Expiration=1,IF($A636&lt;VLOOKUP(V$5,NFI,5,0),1,0)*Table_NFI[[#This Row],[Tent]],Table_NFI[Tent])</f>
        <v>0</v>
      </c>
      <c r="AQ636" s="473" t="str">
        <f>IFERROR(VLOOKUP(Table_NFI[[#This Row],[Camp Name]],CL,2,0),"")</f>
        <v>MMR015CMP015</v>
      </c>
      <c r="AR636" s="468">
        <f ca="1">IF(Table_NFI[[#This Row],[Pcode]]="","",IF(OFFSET(CampList[Opening Date],MATCH(Table_NFI[[#This Row],[Pcode]],CampList[CP_Pcode],0)-1,0,1,1)&gt;=NFI_Monitor_Date,1,0))</f>
        <v>0</v>
      </c>
      <c r="AS636" s="473" t="str">
        <f>IFERROR(VLOOKUP(Table_NFI[[#This Row],[Camp Name]],CL,3,0),"")</f>
        <v>Open</v>
      </c>
      <c r="AT636" s="294" t="str">
        <f ca="1">IF(Table_NFI[[#This Row],[Pcode]]="","",OFFSET(CampList[Priority],MATCH(Table_NFI[[#This Row],[Pcode]],CampList[CP_Pcode],0)-1,0,1,1))</f>
        <v>P3</v>
      </c>
      <c r="AU636" s="293">
        <f>IFERROR(Table_NFI[[#This Row],[Kitchen Set]]/VLOOKUP(Table_NFI[[#This Row],[Camp Name]],CL,4,0),"")</f>
        <v>0.54545454545454541</v>
      </c>
      <c r="AV636" s="466" t="s">
        <v>1092</v>
      </c>
      <c r="AW636" s="469"/>
    </row>
    <row r="637" spans="1:49" ht="14.45" customHeight="1" x14ac:dyDescent="0.25">
      <c r="A637" s="297">
        <f t="shared" si="9"/>
        <v>39.200000000000003</v>
      </c>
      <c r="B637" s="465">
        <v>41499</v>
      </c>
      <c r="C637" s="466" t="s">
        <v>452</v>
      </c>
      <c r="D637" s="467" t="s">
        <v>506</v>
      </c>
      <c r="E637" s="466" t="s">
        <v>553</v>
      </c>
      <c r="F637" s="290" t="s">
        <v>146</v>
      </c>
      <c r="G637" s="290" t="s">
        <v>370</v>
      </c>
      <c r="H637" s="291"/>
      <c r="I637" s="291"/>
      <c r="J637" s="291">
        <v>47</v>
      </c>
      <c r="K637" s="291">
        <v>103</v>
      </c>
      <c r="L637" s="292">
        <v>41</v>
      </c>
      <c r="M637" s="292">
        <v>103</v>
      </c>
      <c r="N637" s="292">
        <v>41</v>
      </c>
      <c r="O637" s="292">
        <v>41</v>
      </c>
      <c r="P637" s="294">
        <v>41</v>
      </c>
      <c r="Q637" s="294">
        <v>41</v>
      </c>
      <c r="R637" s="294"/>
      <c r="S637" s="294"/>
      <c r="T637" s="294"/>
      <c r="U637" s="294"/>
      <c r="V637" s="431"/>
      <c r="W637" s="294"/>
      <c r="X637" s="294"/>
      <c r="Y637" s="294">
        <f>IF(NFI_Expiration=1,IF($A637&lt;VLOOKUP(H$5,NFI,5,0),1,0)*Table_NFI[[#This Row],[Hygiene Kit]],Table_NFI[Hygiene Kit])</f>
        <v>0</v>
      </c>
      <c r="Z637" s="294">
        <f>IF(NFI_Expiration=1,IF($A637&lt;VLOOKUP(I$5,NFI,5,0),1,0)*Table_NFI[[#This Row],[NFI Core Kit]],Table_NFI[NFI Core Kit])</f>
        <v>0</v>
      </c>
      <c r="AA637" s="294">
        <f>IF(NFI_Expiration=1,IF($A637&lt;VLOOKUP(J$5,NFI,5,0),1,0)*Table_NFI[[#This Row],[Sanitary Kit]],Table_NFI[Sanitary Kit])</f>
        <v>0</v>
      </c>
      <c r="AB637" s="294">
        <f>IF(NFI_Expiration=1,IF($A637&lt;VLOOKUP(K$5,NFI,5,0),1,0)*Table_NFI[[#This Row],[Mosquito net]],Table_NFI[Mosquito net])</f>
        <v>0</v>
      </c>
      <c r="AC637" s="294">
        <f>IF(NFI_Expiration=1,IF($A637&lt;VLOOKUP(L$5,NFI,5,0),1,0)*Table_NFI[[#This Row],[Tarpaulin]],Table_NFI[[#This Row],[Tarpaulin]])</f>
        <v>0</v>
      </c>
      <c r="AD637" s="294">
        <f>IF(NFI_Expiration=1,IF($A637&lt;VLOOKUP(M$5,NFI,5,0),1,0)*Table_NFI[[#This Row],[Blanket]],Table_NFI[[#This Row],[Blanket]])</f>
        <v>0</v>
      </c>
      <c r="AE637" s="294">
        <f>IF(NFI_Expiration=1,IF($A637&lt;VLOOKUP(N$5,NFI,5,0),1,0)*Table_NFI[[#This Row],[Kitchen Set]],Table_NFI[Kitchen Set])</f>
        <v>0</v>
      </c>
      <c r="AF637" s="294">
        <f>IF(NFI_Expiration=1,IF($A637&lt;VLOOKUP(O$5,NFI,5,0),1,0)*Table_NFI[[#This Row],[Clothes Kit]],Table_NFI[Clothes Kit])</f>
        <v>0</v>
      </c>
      <c r="AG637" s="294">
        <f>IF(NFI_Expiration=1,IF($A637&lt;VLOOKUP(P$5,NFI,5,0),1,0)*Table_NFI[[#This Row],[Plastic Bucket]],Table_NFI[Plastic Bucket])</f>
        <v>0</v>
      </c>
      <c r="AH637" s="294">
        <f>IF(NFI_Expiration=1,IF($A637&lt;VLOOKUP(Q$5,NFI,5,0),1,0)*Table_NFI[[#This Row],[Plastic Mat]],Table_NFI[Plastic Mat])*IF(Table_NFI[[#This Row],[Distribution Date]]&gt;"2014-04-01",1,2.5)</f>
        <v>0</v>
      </c>
      <c r="AI637" s="294">
        <f>IF(NFI_Expiration=1,IF($A637&lt;VLOOKUP(R$5,NFI,5,0),1,0)*Table_NFI[[#This Row],[Winter Clothes Adult]],Table_NFI[Winter Clothes Adult])</f>
        <v>0</v>
      </c>
      <c r="AJ637" s="294">
        <f>IF(NFI_Expiration=1,IF($A637&lt;VLOOKUP(S$5,NFI,5,0),1,0)*Table_NFI[[#This Row],[Winter Clothes Children]],Table_NFI[Winter Clothes Children])</f>
        <v>0</v>
      </c>
      <c r="AK637" s="294">
        <f>IF(NFI_Expiration=1,IF($A637&lt;VLOOKUP(T$5,NFI,5,0),1,0)*Table_NFI[[#This Row],[Winter Items Other]],Table_NFI[Winter Items Other])</f>
        <v>0</v>
      </c>
      <c r="AL637" s="294">
        <f>IF(NFI_Expiration=1,IF($A637&lt;VLOOKUP(M$5,NFI,5,0),1,0)*Table_NFI[[#This Row],[Winter Blanket]],Table_NFI[[#This Row],[Winter Blanket]])</f>
        <v>0</v>
      </c>
      <c r="AM637" s="294">
        <f>IF(Table_NFI[[#This Row],[Winter Clothes Adult]]+Table_NFI[[#This Row],[Winter Clothes Children]]+Table_NFI[[#This Row],[Winter Items Other]]+Table_NFI[[#This Row],[Winter Blanket]]&gt;0,1,0)</f>
        <v>0</v>
      </c>
      <c r="AN637" s="331">
        <f>IF(NFI_Expiration=1,IF($A637&lt;VLOOKUP(V$5,NFI,5,0),1,0)*Table_NFI[[#This Row],[Jerry Can]],Table_NFI[Jerry Can])</f>
        <v>0</v>
      </c>
      <c r="AO637" s="331">
        <f>IF(NFI_Expiration=1,IF($A637&lt;VLOOKUP(V$5,NFI,5,0),1,0)*Table_NFI[[#This Row],[Shelter Tool kit]],Table_NFI[Shelter Tool kit])</f>
        <v>0</v>
      </c>
      <c r="AP637" s="331">
        <f>IF(NFI_Expiration=1,IF($A637&lt;VLOOKUP(V$5,NFI,5,0),1,0)*Table_NFI[[#This Row],[Tent]],Table_NFI[Tent])</f>
        <v>0</v>
      </c>
      <c r="AQ637" s="473" t="str">
        <f>IFERROR(VLOOKUP(Table_NFI[[#This Row],[Camp Name]],CL,2,0),"")</f>
        <v>MMR015CMP017</v>
      </c>
      <c r="AR637" s="468">
        <f ca="1">IF(Table_NFI[[#This Row],[Pcode]]="","",IF(OFFSET(CampList[Opening Date],MATCH(Table_NFI[[#This Row],[Pcode]],CampList[CP_Pcode],0)-1,0,1,1)&gt;=NFI_Monitor_Date,1,0))</f>
        <v>0</v>
      </c>
      <c r="AS637" s="473" t="str">
        <f>IFERROR(VLOOKUP(Table_NFI[[#This Row],[Camp Name]],CL,3,0),"")</f>
        <v>Open</v>
      </c>
      <c r="AT637" s="294" t="str">
        <f ca="1">IF(Table_NFI[[#This Row],[Pcode]]="","",OFFSET(CampList[Priority],MATCH(Table_NFI[[#This Row],[Pcode]],CampList[CP_Pcode],0)-1,0,1,1))</f>
        <v>P3</v>
      </c>
      <c r="AU637" s="293">
        <f>IFERROR(Table_NFI[[#This Row],[Kitchen Set]]/VLOOKUP(Table_NFI[[#This Row],[Camp Name]],CL,4,0),"")</f>
        <v>1.3666666666666667</v>
      </c>
      <c r="AV637" s="466" t="s">
        <v>1092</v>
      </c>
      <c r="AW637" s="469"/>
    </row>
    <row r="638" spans="1:49" ht="14.45" customHeight="1" x14ac:dyDescent="0.25">
      <c r="A638" s="297">
        <f t="shared" si="9"/>
        <v>39.200000000000003</v>
      </c>
      <c r="B638" s="465">
        <v>41499</v>
      </c>
      <c r="C638" s="466" t="s">
        <v>452</v>
      </c>
      <c r="D638" s="467" t="s">
        <v>460</v>
      </c>
      <c r="E638" s="466" t="s">
        <v>553</v>
      </c>
      <c r="F638" s="290" t="s">
        <v>166</v>
      </c>
      <c r="G638" s="290" t="s">
        <v>167</v>
      </c>
      <c r="H638" s="291"/>
      <c r="I638" s="291"/>
      <c r="J638" s="291">
        <v>36</v>
      </c>
      <c r="K638" s="291">
        <v>84</v>
      </c>
      <c r="L638" s="292">
        <v>42</v>
      </c>
      <c r="M638" s="292">
        <v>84</v>
      </c>
      <c r="N638" s="292">
        <v>42</v>
      </c>
      <c r="O638" s="292">
        <v>42</v>
      </c>
      <c r="P638" s="294">
        <v>42</v>
      </c>
      <c r="Q638" s="294">
        <v>42</v>
      </c>
      <c r="R638" s="294"/>
      <c r="S638" s="294"/>
      <c r="T638" s="294"/>
      <c r="U638" s="294"/>
      <c r="V638" s="431"/>
      <c r="W638" s="294"/>
      <c r="X638" s="294"/>
      <c r="Y638" s="294">
        <f>IF(NFI_Expiration=1,IF($A638&lt;VLOOKUP(H$5,NFI,5,0),1,0)*Table_NFI[[#This Row],[Hygiene Kit]],Table_NFI[Hygiene Kit])</f>
        <v>0</v>
      </c>
      <c r="Z638" s="294">
        <f>IF(NFI_Expiration=1,IF($A638&lt;VLOOKUP(I$5,NFI,5,0),1,0)*Table_NFI[[#This Row],[NFI Core Kit]],Table_NFI[NFI Core Kit])</f>
        <v>0</v>
      </c>
      <c r="AA638" s="294">
        <f>IF(NFI_Expiration=1,IF($A638&lt;VLOOKUP(J$5,NFI,5,0),1,0)*Table_NFI[[#This Row],[Sanitary Kit]],Table_NFI[Sanitary Kit])</f>
        <v>0</v>
      </c>
      <c r="AB638" s="294">
        <f>IF(NFI_Expiration=1,IF($A638&lt;VLOOKUP(K$5,NFI,5,0),1,0)*Table_NFI[[#This Row],[Mosquito net]],Table_NFI[Mosquito net])</f>
        <v>0</v>
      </c>
      <c r="AC638" s="294">
        <f>IF(NFI_Expiration=1,IF($A638&lt;VLOOKUP(L$5,NFI,5,0),1,0)*Table_NFI[[#This Row],[Tarpaulin]],Table_NFI[[#This Row],[Tarpaulin]])</f>
        <v>0</v>
      </c>
      <c r="AD638" s="294">
        <f>IF(NFI_Expiration=1,IF($A638&lt;VLOOKUP(M$5,NFI,5,0),1,0)*Table_NFI[[#This Row],[Blanket]],Table_NFI[[#This Row],[Blanket]])</f>
        <v>0</v>
      </c>
      <c r="AE638" s="294">
        <f>IF(NFI_Expiration=1,IF($A638&lt;VLOOKUP(N$5,NFI,5,0),1,0)*Table_NFI[[#This Row],[Kitchen Set]],Table_NFI[Kitchen Set])</f>
        <v>0</v>
      </c>
      <c r="AF638" s="294">
        <f>IF(NFI_Expiration=1,IF($A638&lt;VLOOKUP(O$5,NFI,5,0),1,0)*Table_NFI[[#This Row],[Clothes Kit]],Table_NFI[Clothes Kit])</f>
        <v>0</v>
      </c>
      <c r="AG638" s="294">
        <f>IF(NFI_Expiration=1,IF($A638&lt;VLOOKUP(P$5,NFI,5,0),1,0)*Table_NFI[[#This Row],[Plastic Bucket]],Table_NFI[Plastic Bucket])</f>
        <v>0</v>
      </c>
      <c r="AH638" s="294">
        <f>IF(NFI_Expiration=1,IF($A638&lt;VLOOKUP(Q$5,NFI,5,0),1,0)*Table_NFI[[#This Row],[Plastic Mat]],Table_NFI[Plastic Mat])*IF(Table_NFI[[#This Row],[Distribution Date]]&gt;"2014-04-01",1,2.5)</f>
        <v>0</v>
      </c>
      <c r="AI638" s="294">
        <f>IF(NFI_Expiration=1,IF($A638&lt;VLOOKUP(R$5,NFI,5,0),1,0)*Table_NFI[[#This Row],[Winter Clothes Adult]],Table_NFI[Winter Clothes Adult])</f>
        <v>0</v>
      </c>
      <c r="AJ638" s="294">
        <f>IF(NFI_Expiration=1,IF($A638&lt;VLOOKUP(S$5,NFI,5,0),1,0)*Table_NFI[[#This Row],[Winter Clothes Children]],Table_NFI[Winter Clothes Children])</f>
        <v>0</v>
      </c>
      <c r="AK638" s="294">
        <f>IF(NFI_Expiration=1,IF($A638&lt;VLOOKUP(T$5,NFI,5,0),1,0)*Table_NFI[[#This Row],[Winter Items Other]],Table_NFI[Winter Items Other])</f>
        <v>0</v>
      </c>
      <c r="AL638" s="294">
        <f>IF(NFI_Expiration=1,IF($A638&lt;VLOOKUP(M$5,NFI,5,0),1,0)*Table_NFI[[#This Row],[Winter Blanket]],Table_NFI[[#This Row],[Winter Blanket]])</f>
        <v>0</v>
      </c>
      <c r="AM638" s="294">
        <f>IF(Table_NFI[[#This Row],[Winter Clothes Adult]]+Table_NFI[[#This Row],[Winter Clothes Children]]+Table_NFI[[#This Row],[Winter Items Other]]+Table_NFI[[#This Row],[Winter Blanket]]&gt;0,1,0)</f>
        <v>0</v>
      </c>
      <c r="AN638" s="331">
        <f>IF(NFI_Expiration=1,IF($A638&lt;VLOOKUP(V$5,NFI,5,0),1,0)*Table_NFI[[#This Row],[Jerry Can]],Table_NFI[Jerry Can])</f>
        <v>0</v>
      </c>
      <c r="AO638" s="331">
        <f>IF(NFI_Expiration=1,IF($A638&lt;VLOOKUP(V$5,NFI,5,0),1,0)*Table_NFI[[#This Row],[Shelter Tool kit]],Table_NFI[Shelter Tool kit])</f>
        <v>0</v>
      </c>
      <c r="AP638" s="331">
        <f>IF(NFI_Expiration=1,IF($A638&lt;VLOOKUP(V$5,NFI,5,0),1,0)*Table_NFI[[#This Row],[Tent]],Table_NFI[Tent])</f>
        <v>0</v>
      </c>
      <c r="AQ638" s="473" t="str">
        <f>IFERROR(VLOOKUP(Table_NFI[[#This Row],[Camp Name]],CL,2,0),"")</f>
        <v>MMR015CMP009</v>
      </c>
      <c r="AR638" s="468">
        <f ca="1">IF(Table_NFI[[#This Row],[Pcode]]="","",IF(OFFSET(CampList[Opening Date],MATCH(Table_NFI[[#This Row],[Pcode]],CampList[CP_Pcode],0)-1,0,1,1)&gt;=NFI_Monitor_Date,1,0))</f>
        <v>0</v>
      </c>
      <c r="AS638" s="473" t="str">
        <f>IFERROR(VLOOKUP(Table_NFI[[#This Row],[Camp Name]],CL,3,0),"")</f>
        <v>Open</v>
      </c>
      <c r="AT638" s="294" t="str">
        <f ca="1">IF(Table_NFI[[#This Row],[Pcode]]="","",OFFSET(CampList[Priority],MATCH(Table_NFI[[#This Row],[Pcode]],CampList[CP_Pcode],0)-1,0,1,1))</f>
        <v>P2</v>
      </c>
      <c r="AU638" s="293">
        <f>IFERROR(Table_NFI[[#This Row],[Kitchen Set]]/VLOOKUP(Table_NFI[[#This Row],[Camp Name]],CL,4,0),"")</f>
        <v>1.1666666666666667</v>
      </c>
      <c r="AV638" s="466" t="s">
        <v>1092</v>
      </c>
      <c r="AW638" s="469"/>
    </row>
    <row r="639" spans="1:49" ht="14.45" customHeight="1" x14ac:dyDescent="0.25">
      <c r="A639" s="297">
        <f t="shared" si="9"/>
        <v>39.200000000000003</v>
      </c>
      <c r="B639" s="465">
        <v>41499</v>
      </c>
      <c r="C639" s="466" t="s">
        <v>452</v>
      </c>
      <c r="D639" s="467" t="s">
        <v>460</v>
      </c>
      <c r="E639" s="466" t="s">
        <v>553</v>
      </c>
      <c r="F639" s="290" t="s">
        <v>146</v>
      </c>
      <c r="G639" s="290" t="s">
        <v>368</v>
      </c>
      <c r="H639" s="291"/>
      <c r="I639" s="291"/>
      <c r="J639" s="291">
        <v>113</v>
      </c>
      <c r="K639" s="291">
        <v>160</v>
      </c>
      <c r="L639" s="292">
        <v>32</v>
      </c>
      <c r="M639" s="292">
        <v>160</v>
      </c>
      <c r="N639" s="292">
        <v>32</v>
      </c>
      <c r="O639" s="292">
        <v>32</v>
      </c>
      <c r="P639" s="294">
        <v>32</v>
      </c>
      <c r="Q639" s="294">
        <v>32</v>
      </c>
      <c r="R639" s="294"/>
      <c r="S639" s="294"/>
      <c r="T639" s="294"/>
      <c r="U639" s="294"/>
      <c r="V639" s="431"/>
      <c r="W639" s="294"/>
      <c r="X639" s="294"/>
      <c r="Y639" s="294">
        <f>IF(NFI_Expiration=1,IF($A639&lt;VLOOKUP(H$5,NFI,5,0),1,0)*Table_NFI[[#This Row],[Hygiene Kit]],Table_NFI[Hygiene Kit])</f>
        <v>0</v>
      </c>
      <c r="Z639" s="294">
        <f>IF(NFI_Expiration=1,IF($A639&lt;VLOOKUP(I$5,NFI,5,0),1,0)*Table_NFI[[#This Row],[NFI Core Kit]],Table_NFI[NFI Core Kit])</f>
        <v>0</v>
      </c>
      <c r="AA639" s="294">
        <f>IF(NFI_Expiration=1,IF($A639&lt;VLOOKUP(J$5,NFI,5,0),1,0)*Table_NFI[[#This Row],[Sanitary Kit]],Table_NFI[Sanitary Kit])</f>
        <v>0</v>
      </c>
      <c r="AB639" s="294">
        <f>IF(NFI_Expiration=1,IF($A639&lt;VLOOKUP(K$5,NFI,5,0),1,0)*Table_NFI[[#This Row],[Mosquito net]],Table_NFI[Mosquito net])</f>
        <v>0</v>
      </c>
      <c r="AC639" s="294">
        <f>IF(NFI_Expiration=1,IF($A639&lt;VLOOKUP(L$5,NFI,5,0),1,0)*Table_NFI[[#This Row],[Tarpaulin]],Table_NFI[[#This Row],[Tarpaulin]])</f>
        <v>0</v>
      </c>
      <c r="AD639" s="294">
        <f>IF(NFI_Expiration=1,IF($A639&lt;VLOOKUP(M$5,NFI,5,0),1,0)*Table_NFI[[#This Row],[Blanket]],Table_NFI[[#This Row],[Blanket]])</f>
        <v>0</v>
      </c>
      <c r="AE639" s="294">
        <f>IF(NFI_Expiration=1,IF($A639&lt;VLOOKUP(N$5,NFI,5,0),1,0)*Table_NFI[[#This Row],[Kitchen Set]],Table_NFI[Kitchen Set])</f>
        <v>0</v>
      </c>
      <c r="AF639" s="294">
        <f>IF(NFI_Expiration=1,IF($A639&lt;VLOOKUP(O$5,NFI,5,0),1,0)*Table_NFI[[#This Row],[Clothes Kit]],Table_NFI[Clothes Kit])</f>
        <v>0</v>
      </c>
      <c r="AG639" s="294">
        <f>IF(NFI_Expiration=1,IF($A639&lt;VLOOKUP(P$5,NFI,5,0),1,0)*Table_NFI[[#This Row],[Plastic Bucket]],Table_NFI[Plastic Bucket])</f>
        <v>0</v>
      </c>
      <c r="AH639" s="294">
        <f>IF(NFI_Expiration=1,IF($A639&lt;VLOOKUP(Q$5,NFI,5,0),1,0)*Table_NFI[[#This Row],[Plastic Mat]],Table_NFI[Plastic Mat])*IF(Table_NFI[[#This Row],[Distribution Date]]&gt;"2014-04-01",1,2.5)</f>
        <v>0</v>
      </c>
      <c r="AI639" s="294">
        <f>IF(NFI_Expiration=1,IF($A639&lt;VLOOKUP(R$5,NFI,5,0),1,0)*Table_NFI[[#This Row],[Winter Clothes Adult]],Table_NFI[Winter Clothes Adult])</f>
        <v>0</v>
      </c>
      <c r="AJ639" s="294">
        <f>IF(NFI_Expiration=1,IF($A639&lt;VLOOKUP(S$5,NFI,5,0),1,0)*Table_NFI[[#This Row],[Winter Clothes Children]],Table_NFI[Winter Clothes Children])</f>
        <v>0</v>
      </c>
      <c r="AK639" s="294">
        <f>IF(NFI_Expiration=1,IF($A639&lt;VLOOKUP(T$5,NFI,5,0),1,0)*Table_NFI[[#This Row],[Winter Items Other]],Table_NFI[Winter Items Other])</f>
        <v>0</v>
      </c>
      <c r="AL639" s="294">
        <f>IF(NFI_Expiration=1,IF($A639&lt;VLOOKUP(M$5,NFI,5,0),1,0)*Table_NFI[[#This Row],[Winter Blanket]],Table_NFI[[#This Row],[Winter Blanket]])</f>
        <v>0</v>
      </c>
      <c r="AM639" s="294">
        <f>IF(Table_NFI[[#This Row],[Winter Clothes Adult]]+Table_NFI[[#This Row],[Winter Clothes Children]]+Table_NFI[[#This Row],[Winter Items Other]]+Table_NFI[[#This Row],[Winter Blanket]]&gt;0,1,0)</f>
        <v>0</v>
      </c>
      <c r="AN639" s="331">
        <f>IF(NFI_Expiration=1,IF($A639&lt;VLOOKUP(V$5,NFI,5,0),1,0)*Table_NFI[[#This Row],[Jerry Can]],Table_NFI[Jerry Can])</f>
        <v>0</v>
      </c>
      <c r="AO639" s="331">
        <f>IF(NFI_Expiration=1,IF($A639&lt;VLOOKUP(V$5,NFI,5,0),1,0)*Table_NFI[[#This Row],[Shelter Tool kit]],Table_NFI[Shelter Tool kit])</f>
        <v>0</v>
      </c>
      <c r="AP639" s="331">
        <f>IF(NFI_Expiration=1,IF($A639&lt;VLOOKUP(V$5,NFI,5,0),1,0)*Table_NFI[[#This Row],[Tent]],Table_NFI[Tent])</f>
        <v>0</v>
      </c>
      <c r="AQ639" s="473" t="str">
        <f>IFERROR(VLOOKUP(Table_NFI[[#This Row],[Camp Name]],CL,2,0),"")</f>
        <v>MMR015CMP018</v>
      </c>
      <c r="AR639" s="468">
        <f ca="1">IF(Table_NFI[[#This Row],[Pcode]]="","",IF(OFFSET(CampList[Opening Date],MATCH(Table_NFI[[#This Row],[Pcode]],CampList[CP_Pcode],0)-1,0,1,1)&gt;=NFI_Monitor_Date,1,0))</f>
        <v>0</v>
      </c>
      <c r="AS639" s="473" t="str">
        <f>IFERROR(VLOOKUP(Table_NFI[[#This Row],[Camp Name]],CL,3,0),"")</f>
        <v>Open</v>
      </c>
      <c r="AT639" s="294" t="str">
        <f ca="1">IF(Table_NFI[[#This Row],[Pcode]]="","",OFFSET(CampList[Priority],MATCH(Table_NFI[[#This Row],[Pcode]],CampList[CP_Pcode],0)-1,0,1,1))</f>
        <v>P3</v>
      </c>
      <c r="AU639" s="293">
        <f>IFERROR(Table_NFI[[#This Row],[Kitchen Set]]/VLOOKUP(Table_NFI[[#This Row],[Camp Name]],CL,4,0),"")</f>
        <v>0.46376811594202899</v>
      </c>
      <c r="AV639" s="466" t="s">
        <v>1092</v>
      </c>
      <c r="AW639" s="469"/>
    </row>
    <row r="640" spans="1:49" ht="14.45" customHeight="1" x14ac:dyDescent="0.25">
      <c r="A640" s="297">
        <f t="shared" si="9"/>
        <v>39.200000000000003</v>
      </c>
      <c r="B640" s="465">
        <v>41499</v>
      </c>
      <c r="C640" s="466" t="s">
        <v>452</v>
      </c>
      <c r="D640" s="467" t="s">
        <v>506</v>
      </c>
      <c r="E640" s="466" t="s">
        <v>553</v>
      </c>
      <c r="F640" s="290" t="s">
        <v>146</v>
      </c>
      <c r="G640" s="290" t="s">
        <v>371</v>
      </c>
      <c r="H640" s="291"/>
      <c r="I640" s="291"/>
      <c r="J640" s="291">
        <v>30</v>
      </c>
      <c r="K640" s="291">
        <v>56</v>
      </c>
      <c r="L640" s="292">
        <v>23</v>
      </c>
      <c r="M640" s="292">
        <v>56</v>
      </c>
      <c r="N640" s="292">
        <v>23</v>
      </c>
      <c r="O640" s="292">
        <v>23</v>
      </c>
      <c r="P640" s="294">
        <v>23</v>
      </c>
      <c r="Q640" s="294">
        <v>23</v>
      </c>
      <c r="R640" s="294"/>
      <c r="S640" s="294"/>
      <c r="T640" s="294"/>
      <c r="U640" s="294"/>
      <c r="V640" s="431"/>
      <c r="W640" s="294"/>
      <c r="X640" s="294"/>
      <c r="Y640" s="294">
        <f>IF(NFI_Expiration=1,IF($A640&lt;VLOOKUP(H$5,NFI,5,0),1,0)*Table_NFI[[#This Row],[Hygiene Kit]],Table_NFI[Hygiene Kit])</f>
        <v>0</v>
      </c>
      <c r="Z640" s="294">
        <f>IF(NFI_Expiration=1,IF($A640&lt;VLOOKUP(I$5,NFI,5,0),1,0)*Table_NFI[[#This Row],[NFI Core Kit]],Table_NFI[NFI Core Kit])</f>
        <v>0</v>
      </c>
      <c r="AA640" s="294">
        <f>IF(NFI_Expiration=1,IF($A640&lt;VLOOKUP(J$5,NFI,5,0),1,0)*Table_NFI[[#This Row],[Sanitary Kit]],Table_NFI[Sanitary Kit])</f>
        <v>0</v>
      </c>
      <c r="AB640" s="294">
        <f>IF(NFI_Expiration=1,IF($A640&lt;VLOOKUP(K$5,NFI,5,0),1,0)*Table_NFI[[#This Row],[Mosquito net]],Table_NFI[Mosquito net])</f>
        <v>0</v>
      </c>
      <c r="AC640" s="294">
        <f>IF(NFI_Expiration=1,IF($A640&lt;VLOOKUP(L$5,NFI,5,0),1,0)*Table_NFI[[#This Row],[Tarpaulin]],Table_NFI[[#This Row],[Tarpaulin]])</f>
        <v>0</v>
      </c>
      <c r="AD640" s="294">
        <f>IF(NFI_Expiration=1,IF($A640&lt;VLOOKUP(M$5,NFI,5,0),1,0)*Table_NFI[[#This Row],[Blanket]],Table_NFI[[#This Row],[Blanket]])</f>
        <v>0</v>
      </c>
      <c r="AE640" s="294">
        <f>IF(NFI_Expiration=1,IF($A640&lt;VLOOKUP(N$5,NFI,5,0),1,0)*Table_NFI[[#This Row],[Kitchen Set]],Table_NFI[Kitchen Set])</f>
        <v>0</v>
      </c>
      <c r="AF640" s="294">
        <f>IF(NFI_Expiration=1,IF($A640&lt;VLOOKUP(O$5,NFI,5,0),1,0)*Table_NFI[[#This Row],[Clothes Kit]],Table_NFI[Clothes Kit])</f>
        <v>0</v>
      </c>
      <c r="AG640" s="294">
        <f>IF(NFI_Expiration=1,IF($A640&lt;VLOOKUP(P$5,NFI,5,0),1,0)*Table_NFI[[#This Row],[Plastic Bucket]],Table_NFI[Plastic Bucket])</f>
        <v>0</v>
      </c>
      <c r="AH640" s="294">
        <f>IF(NFI_Expiration=1,IF($A640&lt;VLOOKUP(Q$5,NFI,5,0),1,0)*Table_NFI[[#This Row],[Plastic Mat]],Table_NFI[Plastic Mat])*IF(Table_NFI[[#This Row],[Distribution Date]]&gt;"2014-04-01",1,2.5)</f>
        <v>0</v>
      </c>
      <c r="AI640" s="294">
        <f>IF(NFI_Expiration=1,IF($A640&lt;VLOOKUP(R$5,NFI,5,0),1,0)*Table_NFI[[#This Row],[Winter Clothes Adult]],Table_NFI[Winter Clothes Adult])</f>
        <v>0</v>
      </c>
      <c r="AJ640" s="294">
        <f>IF(NFI_Expiration=1,IF($A640&lt;VLOOKUP(S$5,NFI,5,0),1,0)*Table_NFI[[#This Row],[Winter Clothes Children]],Table_NFI[Winter Clothes Children])</f>
        <v>0</v>
      </c>
      <c r="AK640" s="294">
        <f>IF(NFI_Expiration=1,IF($A640&lt;VLOOKUP(T$5,NFI,5,0),1,0)*Table_NFI[[#This Row],[Winter Items Other]],Table_NFI[Winter Items Other])</f>
        <v>0</v>
      </c>
      <c r="AL640" s="294">
        <f>IF(NFI_Expiration=1,IF($A640&lt;VLOOKUP(M$5,NFI,5,0),1,0)*Table_NFI[[#This Row],[Winter Blanket]],Table_NFI[[#This Row],[Winter Blanket]])</f>
        <v>0</v>
      </c>
      <c r="AM640" s="294">
        <f>IF(Table_NFI[[#This Row],[Winter Clothes Adult]]+Table_NFI[[#This Row],[Winter Clothes Children]]+Table_NFI[[#This Row],[Winter Items Other]]+Table_NFI[[#This Row],[Winter Blanket]]&gt;0,1,0)</f>
        <v>0</v>
      </c>
      <c r="AN640" s="331">
        <f>IF(NFI_Expiration=1,IF($A640&lt;VLOOKUP(V$5,NFI,5,0),1,0)*Table_NFI[[#This Row],[Jerry Can]],Table_NFI[Jerry Can])</f>
        <v>0</v>
      </c>
      <c r="AO640" s="331">
        <f>IF(NFI_Expiration=1,IF($A640&lt;VLOOKUP(V$5,NFI,5,0),1,0)*Table_NFI[[#This Row],[Shelter Tool kit]],Table_NFI[Shelter Tool kit])</f>
        <v>0</v>
      </c>
      <c r="AP640" s="331">
        <f>IF(NFI_Expiration=1,IF($A640&lt;VLOOKUP(V$5,NFI,5,0),1,0)*Table_NFI[[#This Row],[Tent]],Table_NFI[Tent])</f>
        <v>0</v>
      </c>
      <c r="AQ640" s="473" t="str">
        <f>IFERROR(VLOOKUP(Table_NFI[[#This Row],[Camp Name]],CL,2,0),"")</f>
        <v>MMR015CMP006</v>
      </c>
      <c r="AR640" s="468">
        <f ca="1">IF(Table_NFI[[#This Row],[Pcode]]="","",IF(OFFSET(CampList[Opening Date],MATCH(Table_NFI[[#This Row],[Pcode]],CampList[CP_Pcode],0)-1,0,1,1)&gt;=NFI_Monitor_Date,1,0))</f>
        <v>0</v>
      </c>
      <c r="AS640" s="473" t="str">
        <f>IFERROR(VLOOKUP(Table_NFI[[#This Row],[Camp Name]],CL,3,0),"")</f>
        <v>Open</v>
      </c>
      <c r="AT640" s="294" t="str">
        <f ca="1">IF(Table_NFI[[#This Row],[Pcode]]="","",OFFSET(CampList[Priority],MATCH(Table_NFI[[#This Row],[Pcode]],CampList[CP_Pcode],0)-1,0,1,1))</f>
        <v>P1</v>
      </c>
      <c r="AU640" s="293">
        <f>IFERROR(Table_NFI[[#This Row],[Kitchen Set]]/VLOOKUP(Table_NFI[[#This Row],[Camp Name]],CL,4,0),"")</f>
        <v>0.46938775510204084</v>
      </c>
      <c r="AV640" s="466" t="s">
        <v>1092</v>
      </c>
      <c r="AW640" s="469"/>
    </row>
    <row r="641" spans="1:49" ht="14.45" customHeight="1" x14ac:dyDescent="0.25">
      <c r="A641" s="297">
        <f t="shared" si="9"/>
        <v>39.200000000000003</v>
      </c>
      <c r="B641" s="465">
        <v>41499</v>
      </c>
      <c r="C641" s="466" t="s">
        <v>452</v>
      </c>
      <c r="D641" s="467" t="s">
        <v>506</v>
      </c>
      <c r="E641" s="466" t="s">
        <v>553</v>
      </c>
      <c r="F641" s="290" t="s">
        <v>146</v>
      </c>
      <c r="G641" s="290" t="s">
        <v>367</v>
      </c>
      <c r="H641" s="291"/>
      <c r="I641" s="291"/>
      <c r="J641" s="291">
        <v>70</v>
      </c>
      <c r="K641" s="291">
        <v>130</v>
      </c>
      <c r="L641" s="292">
        <v>52</v>
      </c>
      <c r="M641" s="292">
        <v>130</v>
      </c>
      <c r="N641" s="292">
        <v>52</v>
      </c>
      <c r="O641" s="292">
        <v>52</v>
      </c>
      <c r="P641" s="294">
        <v>52</v>
      </c>
      <c r="Q641" s="294">
        <v>52</v>
      </c>
      <c r="R641" s="294"/>
      <c r="S641" s="294"/>
      <c r="T641" s="294"/>
      <c r="U641" s="294"/>
      <c r="V641" s="431"/>
      <c r="W641" s="294"/>
      <c r="X641" s="294"/>
      <c r="Y641" s="294">
        <f>IF(NFI_Expiration=1,IF($A641&lt;VLOOKUP(H$5,NFI,5,0),1,0)*Table_NFI[[#This Row],[Hygiene Kit]],Table_NFI[Hygiene Kit])</f>
        <v>0</v>
      </c>
      <c r="Z641" s="294">
        <f>IF(NFI_Expiration=1,IF($A641&lt;VLOOKUP(I$5,NFI,5,0),1,0)*Table_NFI[[#This Row],[NFI Core Kit]],Table_NFI[NFI Core Kit])</f>
        <v>0</v>
      </c>
      <c r="AA641" s="294">
        <f>IF(NFI_Expiration=1,IF($A641&lt;VLOOKUP(J$5,NFI,5,0),1,0)*Table_NFI[[#This Row],[Sanitary Kit]],Table_NFI[Sanitary Kit])</f>
        <v>0</v>
      </c>
      <c r="AB641" s="294">
        <f>IF(NFI_Expiration=1,IF($A641&lt;VLOOKUP(K$5,NFI,5,0),1,0)*Table_NFI[[#This Row],[Mosquito net]],Table_NFI[Mosquito net])</f>
        <v>0</v>
      </c>
      <c r="AC641" s="294">
        <f>IF(NFI_Expiration=1,IF($A641&lt;VLOOKUP(L$5,NFI,5,0),1,0)*Table_NFI[[#This Row],[Tarpaulin]],Table_NFI[[#This Row],[Tarpaulin]])</f>
        <v>0</v>
      </c>
      <c r="AD641" s="294">
        <f>IF(NFI_Expiration=1,IF($A641&lt;VLOOKUP(M$5,NFI,5,0),1,0)*Table_NFI[[#This Row],[Blanket]],Table_NFI[[#This Row],[Blanket]])</f>
        <v>0</v>
      </c>
      <c r="AE641" s="294">
        <f>IF(NFI_Expiration=1,IF($A641&lt;VLOOKUP(N$5,NFI,5,0),1,0)*Table_NFI[[#This Row],[Kitchen Set]],Table_NFI[Kitchen Set])</f>
        <v>0</v>
      </c>
      <c r="AF641" s="294">
        <f>IF(NFI_Expiration=1,IF($A641&lt;VLOOKUP(O$5,NFI,5,0),1,0)*Table_NFI[[#This Row],[Clothes Kit]],Table_NFI[Clothes Kit])</f>
        <v>0</v>
      </c>
      <c r="AG641" s="294">
        <f>IF(NFI_Expiration=1,IF($A641&lt;VLOOKUP(P$5,NFI,5,0),1,0)*Table_NFI[[#This Row],[Plastic Bucket]],Table_NFI[Plastic Bucket])</f>
        <v>0</v>
      </c>
      <c r="AH641" s="294">
        <f>IF(NFI_Expiration=1,IF($A641&lt;VLOOKUP(Q$5,NFI,5,0),1,0)*Table_NFI[[#This Row],[Plastic Mat]],Table_NFI[Plastic Mat])*IF(Table_NFI[[#This Row],[Distribution Date]]&gt;"2014-04-01",1,2.5)</f>
        <v>0</v>
      </c>
      <c r="AI641" s="294">
        <f>IF(NFI_Expiration=1,IF($A641&lt;VLOOKUP(R$5,NFI,5,0),1,0)*Table_NFI[[#This Row],[Winter Clothes Adult]],Table_NFI[Winter Clothes Adult])</f>
        <v>0</v>
      </c>
      <c r="AJ641" s="294">
        <f>IF(NFI_Expiration=1,IF($A641&lt;VLOOKUP(S$5,NFI,5,0),1,0)*Table_NFI[[#This Row],[Winter Clothes Children]],Table_NFI[Winter Clothes Children])</f>
        <v>0</v>
      </c>
      <c r="AK641" s="294">
        <f>IF(NFI_Expiration=1,IF($A641&lt;VLOOKUP(T$5,NFI,5,0),1,0)*Table_NFI[[#This Row],[Winter Items Other]],Table_NFI[Winter Items Other])</f>
        <v>0</v>
      </c>
      <c r="AL641" s="294">
        <f>IF(NFI_Expiration=1,IF($A641&lt;VLOOKUP(M$5,NFI,5,0),1,0)*Table_NFI[[#This Row],[Winter Blanket]],Table_NFI[[#This Row],[Winter Blanket]])</f>
        <v>0</v>
      </c>
      <c r="AM641" s="294">
        <f>IF(Table_NFI[[#This Row],[Winter Clothes Adult]]+Table_NFI[[#This Row],[Winter Clothes Children]]+Table_NFI[[#This Row],[Winter Items Other]]+Table_NFI[[#This Row],[Winter Blanket]]&gt;0,1,0)</f>
        <v>0</v>
      </c>
      <c r="AN641" s="331">
        <f>IF(NFI_Expiration=1,IF($A641&lt;VLOOKUP(V$5,NFI,5,0),1,0)*Table_NFI[[#This Row],[Jerry Can]],Table_NFI[Jerry Can])</f>
        <v>0</v>
      </c>
      <c r="AO641" s="331">
        <f>IF(NFI_Expiration=1,IF($A641&lt;VLOOKUP(V$5,NFI,5,0),1,0)*Table_NFI[[#This Row],[Shelter Tool kit]],Table_NFI[Shelter Tool kit])</f>
        <v>0</v>
      </c>
      <c r="AP641" s="331">
        <f>IF(NFI_Expiration=1,IF($A641&lt;VLOOKUP(V$5,NFI,5,0),1,0)*Table_NFI[[#This Row],[Tent]],Table_NFI[Tent])</f>
        <v>0</v>
      </c>
      <c r="AQ641" s="473" t="str">
        <f>IFERROR(VLOOKUP(Table_NFI[[#This Row],[Camp Name]],CL,2,0),"")</f>
        <v>MMR015CMP019</v>
      </c>
      <c r="AR641" s="468">
        <f ca="1">IF(Table_NFI[[#This Row],[Pcode]]="","",IF(OFFSET(CampList[Opening Date],MATCH(Table_NFI[[#This Row],[Pcode]],CampList[CP_Pcode],0)-1,0,1,1)&gt;=NFI_Monitor_Date,1,0))</f>
        <v>0</v>
      </c>
      <c r="AS641" s="473" t="str">
        <f>IFERROR(VLOOKUP(Table_NFI[[#This Row],[Camp Name]],CL,3,0),"")</f>
        <v>Closed</v>
      </c>
      <c r="AT641" s="294" t="str">
        <f ca="1">IF(Table_NFI[[#This Row],[Pcode]]="","",OFFSET(CampList[Priority],MATCH(Table_NFI[[#This Row],[Pcode]],CampList[CP_Pcode],0)-1,0,1,1))</f>
        <v/>
      </c>
      <c r="AU641" s="293" t="str">
        <f>IFERROR(Table_NFI[[#This Row],[Kitchen Set]]/VLOOKUP(Table_NFI[[#This Row],[Camp Name]],CL,4,0),"")</f>
        <v/>
      </c>
      <c r="AV641" s="466" t="s">
        <v>1092</v>
      </c>
      <c r="AW641" s="469"/>
    </row>
    <row r="642" spans="1:49" ht="14.45" customHeight="1" x14ac:dyDescent="0.25">
      <c r="A642" s="297">
        <f t="shared" si="9"/>
        <v>39.200000000000003</v>
      </c>
      <c r="B642" s="465">
        <v>41499</v>
      </c>
      <c r="C642" s="466" t="s">
        <v>452</v>
      </c>
      <c r="D642" s="466" t="s">
        <v>460</v>
      </c>
      <c r="E642" s="466" t="s">
        <v>553</v>
      </c>
      <c r="F642" s="466" t="s">
        <v>779</v>
      </c>
      <c r="G642" s="290" t="s">
        <v>914</v>
      </c>
      <c r="H642" s="291"/>
      <c r="I642" s="291"/>
      <c r="J642" s="291">
        <v>67</v>
      </c>
      <c r="K642" s="291">
        <v>90</v>
      </c>
      <c r="L642" s="292">
        <v>30</v>
      </c>
      <c r="M642" s="292">
        <v>90</v>
      </c>
      <c r="N642" s="292">
        <v>30</v>
      </c>
      <c r="O642" s="292">
        <v>30</v>
      </c>
      <c r="P642" s="294">
        <v>30</v>
      </c>
      <c r="Q642" s="294">
        <v>30</v>
      </c>
      <c r="R642" s="294"/>
      <c r="S642" s="294"/>
      <c r="T642" s="294"/>
      <c r="U642" s="294"/>
      <c r="V642" s="431"/>
      <c r="W642" s="294"/>
      <c r="X642" s="294"/>
      <c r="Y642" s="294">
        <f>IF(NFI_Expiration=1,IF($A642&lt;VLOOKUP(H$5,NFI,5,0),1,0)*Table_NFI[[#This Row],[Hygiene Kit]],Table_NFI[Hygiene Kit])</f>
        <v>0</v>
      </c>
      <c r="Z642" s="294">
        <f>IF(NFI_Expiration=1,IF($A642&lt;VLOOKUP(I$5,NFI,5,0),1,0)*Table_NFI[[#This Row],[NFI Core Kit]],Table_NFI[NFI Core Kit])</f>
        <v>0</v>
      </c>
      <c r="AA642" s="294">
        <f>IF(NFI_Expiration=1,IF($A642&lt;VLOOKUP(J$5,NFI,5,0),1,0)*Table_NFI[[#This Row],[Sanitary Kit]],Table_NFI[Sanitary Kit])</f>
        <v>0</v>
      </c>
      <c r="AB642" s="294">
        <f>IF(NFI_Expiration=1,IF($A642&lt;VLOOKUP(K$5,NFI,5,0),1,0)*Table_NFI[[#This Row],[Mosquito net]],Table_NFI[Mosquito net])</f>
        <v>0</v>
      </c>
      <c r="AC642" s="294">
        <f>IF(NFI_Expiration=1,IF($A642&lt;VLOOKUP(L$5,NFI,5,0),1,0)*Table_NFI[[#This Row],[Tarpaulin]],Table_NFI[[#This Row],[Tarpaulin]])</f>
        <v>0</v>
      </c>
      <c r="AD642" s="294">
        <f>IF(NFI_Expiration=1,IF($A642&lt;VLOOKUP(M$5,NFI,5,0),1,0)*Table_NFI[[#This Row],[Blanket]],Table_NFI[[#This Row],[Blanket]])</f>
        <v>0</v>
      </c>
      <c r="AE642" s="294">
        <f>IF(NFI_Expiration=1,IF($A642&lt;VLOOKUP(N$5,NFI,5,0),1,0)*Table_NFI[[#This Row],[Kitchen Set]],Table_NFI[Kitchen Set])</f>
        <v>0</v>
      </c>
      <c r="AF642" s="294">
        <f>IF(NFI_Expiration=1,IF($A642&lt;VLOOKUP(O$5,NFI,5,0),1,0)*Table_NFI[[#This Row],[Clothes Kit]],Table_NFI[Clothes Kit])</f>
        <v>0</v>
      </c>
      <c r="AG642" s="294">
        <f>IF(NFI_Expiration=1,IF($A642&lt;VLOOKUP(P$5,NFI,5,0),1,0)*Table_NFI[[#This Row],[Plastic Bucket]],Table_NFI[Plastic Bucket])</f>
        <v>0</v>
      </c>
      <c r="AH642" s="294">
        <f>IF(NFI_Expiration=1,IF($A642&lt;VLOOKUP(Q$5,NFI,5,0),1,0)*Table_NFI[[#This Row],[Plastic Mat]],Table_NFI[Plastic Mat])*IF(Table_NFI[[#This Row],[Distribution Date]]&gt;"2014-04-01",1,2.5)</f>
        <v>0</v>
      </c>
      <c r="AI642" s="294">
        <f>IF(NFI_Expiration=1,IF($A642&lt;VLOOKUP(R$5,NFI,5,0),1,0)*Table_NFI[[#This Row],[Winter Clothes Adult]],Table_NFI[Winter Clothes Adult])</f>
        <v>0</v>
      </c>
      <c r="AJ642" s="294">
        <f>IF(NFI_Expiration=1,IF($A642&lt;VLOOKUP(S$5,NFI,5,0),1,0)*Table_NFI[[#This Row],[Winter Clothes Children]],Table_NFI[Winter Clothes Children])</f>
        <v>0</v>
      </c>
      <c r="AK642" s="294">
        <f>IF(NFI_Expiration=1,IF($A642&lt;VLOOKUP(T$5,NFI,5,0),1,0)*Table_NFI[[#This Row],[Winter Items Other]],Table_NFI[Winter Items Other])</f>
        <v>0</v>
      </c>
      <c r="AL642" s="294">
        <f>IF(NFI_Expiration=1,IF($A642&lt;VLOOKUP(M$5,NFI,5,0),1,0)*Table_NFI[[#This Row],[Winter Blanket]],Table_NFI[[#This Row],[Winter Blanket]])</f>
        <v>0</v>
      </c>
      <c r="AM642" s="294">
        <f>IF(Table_NFI[[#This Row],[Winter Clothes Adult]]+Table_NFI[[#This Row],[Winter Clothes Children]]+Table_NFI[[#This Row],[Winter Items Other]]+Table_NFI[[#This Row],[Winter Blanket]]&gt;0,1,0)</f>
        <v>0</v>
      </c>
      <c r="AN642" s="331">
        <f>IF(NFI_Expiration=1,IF($A642&lt;VLOOKUP(V$5,NFI,5,0),1,0)*Table_NFI[[#This Row],[Jerry Can]],Table_NFI[Jerry Can])</f>
        <v>0</v>
      </c>
      <c r="AO642" s="331">
        <f>IF(NFI_Expiration=1,IF($A642&lt;VLOOKUP(V$5,NFI,5,0),1,0)*Table_NFI[[#This Row],[Shelter Tool kit]],Table_NFI[Shelter Tool kit])</f>
        <v>0</v>
      </c>
      <c r="AP642" s="331">
        <f>IF(NFI_Expiration=1,IF($A642&lt;VLOOKUP(V$5,NFI,5,0),1,0)*Table_NFI[[#This Row],[Tent]],Table_NFI[Tent])</f>
        <v>0</v>
      </c>
      <c r="AQ642" s="473" t="str">
        <f>IFERROR(VLOOKUP(Table_NFI[[#This Row],[Camp Name]],CL,2,0),"")</f>
        <v/>
      </c>
      <c r="AR642" s="468" t="str">
        <f ca="1">IF(Table_NFI[[#This Row],[Pcode]]="","",IF(OFFSET(CampList[Opening Date],MATCH(Table_NFI[[#This Row],[Pcode]],CampList[CP_Pcode],0)-1,0,1,1)&gt;=NFI_Monitor_Date,1,0))</f>
        <v/>
      </c>
      <c r="AS642" s="473" t="str">
        <f>IFERROR(VLOOKUP(Table_NFI[[#This Row],[Camp Name]],CL,3,0),"")</f>
        <v/>
      </c>
      <c r="AT642" s="294" t="str">
        <f ca="1">IF(Table_NFI[[#This Row],[Pcode]]="","",OFFSET(CampList[Priority],MATCH(Table_NFI[[#This Row],[Pcode]],CampList[CP_Pcode],0)-1,0,1,1))</f>
        <v/>
      </c>
      <c r="AU642" s="293" t="str">
        <f>IFERROR(Table_NFI[[#This Row],[Kitchen Set]]/VLOOKUP(Table_NFI[[#This Row],[Camp Name]],CL,4,0),"")</f>
        <v/>
      </c>
      <c r="AV642" s="466" t="s">
        <v>1092</v>
      </c>
      <c r="AW642" s="469"/>
    </row>
    <row r="643" spans="1:49" ht="14.45" customHeight="1" x14ac:dyDescent="0.25">
      <c r="A643" s="297">
        <f t="shared" si="9"/>
        <v>39.200000000000003</v>
      </c>
      <c r="B643" s="465">
        <v>41499</v>
      </c>
      <c r="C643" s="466" t="s">
        <v>452</v>
      </c>
      <c r="D643" s="466" t="s">
        <v>460</v>
      </c>
      <c r="E643" s="466" t="s">
        <v>553</v>
      </c>
      <c r="F643" s="466" t="s">
        <v>289</v>
      </c>
      <c r="G643" s="290" t="s">
        <v>292</v>
      </c>
      <c r="H643" s="291"/>
      <c r="I643" s="291"/>
      <c r="J643" s="291">
        <v>125</v>
      </c>
      <c r="K643" s="291">
        <v>233</v>
      </c>
      <c r="L643" s="292">
        <v>93</v>
      </c>
      <c r="M643" s="292">
        <v>233</v>
      </c>
      <c r="N643" s="292">
        <v>93</v>
      </c>
      <c r="O643" s="292">
        <v>93</v>
      </c>
      <c r="P643" s="294">
        <v>93</v>
      </c>
      <c r="Q643" s="294">
        <v>93</v>
      </c>
      <c r="R643" s="294"/>
      <c r="S643" s="294"/>
      <c r="T643" s="294"/>
      <c r="U643" s="294"/>
      <c r="V643" s="431"/>
      <c r="W643" s="294"/>
      <c r="X643" s="294"/>
      <c r="Y643" s="294">
        <f>IF(NFI_Expiration=1,IF($A643&lt;VLOOKUP(H$5,NFI,5,0),1,0)*Table_NFI[[#This Row],[Hygiene Kit]],Table_NFI[Hygiene Kit])</f>
        <v>0</v>
      </c>
      <c r="Z643" s="294">
        <f>IF(NFI_Expiration=1,IF($A643&lt;VLOOKUP(I$5,NFI,5,0),1,0)*Table_NFI[[#This Row],[NFI Core Kit]],Table_NFI[NFI Core Kit])</f>
        <v>0</v>
      </c>
      <c r="AA643" s="294">
        <f>IF(NFI_Expiration=1,IF($A643&lt;VLOOKUP(J$5,NFI,5,0),1,0)*Table_NFI[[#This Row],[Sanitary Kit]],Table_NFI[Sanitary Kit])</f>
        <v>0</v>
      </c>
      <c r="AB643" s="294">
        <f>IF(NFI_Expiration=1,IF($A643&lt;VLOOKUP(K$5,NFI,5,0),1,0)*Table_NFI[[#This Row],[Mosquito net]],Table_NFI[Mosquito net])</f>
        <v>0</v>
      </c>
      <c r="AC643" s="294">
        <f>IF(NFI_Expiration=1,IF($A643&lt;VLOOKUP(L$5,NFI,5,0),1,0)*Table_NFI[[#This Row],[Tarpaulin]],Table_NFI[[#This Row],[Tarpaulin]])</f>
        <v>0</v>
      </c>
      <c r="AD643" s="294">
        <f>IF(NFI_Expiration=1,IF($A643&lt;VLOOKUP(M$5,NFI,5,0),1,0)*Table_NFI[[#This Row],[Blanket]],Table_NFI[[#This Row],[Blanket]])</f>
        <v>0</v>
      </c>
      <c r="AE643" s="294">
        <f>IF(NFI_Expiration=1,IF($A643&lt;VLOOKUP(N$5,NFI,5,0),1,0)*Table_NFI[[#This Row],[Kitchen Set]],Table_NFI[Kitchen Set])</f>
        <v>0</v>
      </c>
      <c r="AF643" s="294">
        <f>IF(NFI_Expiration=1,IF($A643&lt;VLOOKUP(O$5,NFI,5,0),1,0)*Table_NFI[[#This Row],[Clothes Kit]],Table_NFI[Clothes Kit])</f>
        <v>0</v>
      </c>
      <c r="AG643" s="294">
        <f>IF(NFI_Expiration=1,IF($A643&lt;VLOOKUP(P$5,NFI,5,0),1,0)*Table_NFI[[#This Row],[Plastic Bucket]],Table_NFI[Plastic Bucket])</f>
        <v>0</v>
      </c>
      <c r="AH643" s="294">
        <f>IF(NFI_Expiration=1,IF($A643&lt;VLOOKUP(Q$5,NFI,5,0),1,0)*Table_NFI[[#This Row],[Plastic Mat]],Table_NFI[Plastic Mat])*IF(Table_NFI[[#This Row],[Distribution Date]]&gt;"2014-04-01",1,2.5)</f>
        <v>0</v>
      </c>
      <c r="AI643" s="294">
        <f>IF(NFI_Expiration=1,IF($A643&lt;VLOOKUP(R$5,NFI,5,0),1,0)*Table_NFI[[#This Row],[Winter Clothes Adult]],Table_NFI[Winter Clothes Adult])</f>
        <v>0</v>
      </c>
      <c r="AJ643" s="294">
        <f>IF(NFI_Expiration=1,IF($A643&lt;VLOOKUP(S$5,NFI,5,0),1,0)*Table_NFI[[#This Row],[Winter Clothes Children]],Table_NFI[Winter Clothes Children])</f>
        <v>0</v>
      </c>
      <c r="AK643" s="294">
        <f>IF(NFI_Expiration=1,IF($A643&lt;VLOOKUP(T$5,NFI,5,0),1,0)*Table_NFI[[#This Row],[Winter Items Other]],Table_NFI[Winter Items Other])</f>
        <v>0</v>
      </c>
      <c r="AL643" s="294">
        <f>IF(NFI_Expiration=1,IF($A643&lt;VLOOKUP(M$5,NFI,5,0),1,0)*Table_NFI[[#This Row],[Winter Blanket]],Table_NFI[[#This Row],[Winter Blanket]])</f>
        <v>0</v>
      </c>
      <c r="AM643" s="294">
        <f>IF(Table_NFI[[#This Row],[Winter Clothes Adult]]+Table_NFI[[#This Row],[Winter Clothes Children]]+Table_NFI[[#This Row],[Winter Items Other]]+Table_NFI[[#This Row],[Winter Blanket]]&gt;0,1,0)</f>
        <v>0</v>
      </c>
      <c r="AN643" s="331">
        <f>IF(NFI_Expiration=1,IF($A643&lt;VLOOKUP(V$5,NFI,5,0),1,0)*Table_NFI[[#This Row],[Jerry Can]],Table_NFI[Jerry Can])</f>
        <v>0</v>
      </c>
      <c r="AO643" s="331">
        <f>IF(NFI_Expiration=1,IF($A643&lt;VLOOKUP(V$5,NFI,5,0),1,0)*Table_NFI[[#This Row],[Shelter Tool kit]],Table_NFI[Shelter Tool kit])</f>
        <v>0</v>
      </c>
      <c r="AP643" s="331">
        <f>IF(NFI_Expiration=1,IF($A643&lt;VLOOKUP(V$5,NFI,5,0),1,0)*Table_NFI[[#This Row],[Tent]],Table_NFI[Tent])</f>
        <v>0</v>
      </c>
      <c r="AQ643" s="473" t="str">
        <f>IFERROR(VLOOKUP(Table_NFI[[#This Row],[Camp Name]],CL,2,0),"")</f>
        <v>MMR015CMP004</v>
      </c>
      <c r="AR643" s="468">
        <f ca="1">IF(Table_NFI[[#This Row],[Pcode]]="","",IF(OFFSET(CampList[Opening Date],MATCH(Table_NFI[[#This Row],[Pcode]],CampList[CP_Pcode],0)-1,0,1,1)&gt;=NFI_Monitor_Date,1,0))</f>
        <v>0</v>
      </c>
      <c r="AS643" s="473" t="str">
        <f>IFERROR(VLOOKUP(Table_NFI[[#This Row],[Camp Name]],CL,3,0),"")</f>
        <v>Open</v>
      </c>
      <c r="AT643" s="294" t="str">
        <f ca="1">IF(Table_NFI[[#This Row],[Pcode]]="","",OFFSET(CampList[Priority],MATCH(Table_NFI[[#This Row],[Pcode]],CampList[CP_Pcode],0)-1,0,1,1))</f>
        <v>P3</v>
      </c>
      <c r="AU643" s="293">
        <f>IFERROR(Table_NFI[[#This Row],[Kitchen Set]]/VLOOKUP(Table_NFI[[#This Row],[Camp Name]],CL,4,0),"")</f>
        <v>1.24</v>
      </c>
      <c r="AV643" s="466" t="s">
        <v>1092</v>
      </c>
      <c r="AW643" s="469"/>
    </row>
    <row r="644" spans="1:49" ht="14.45" customHeight="1" x14ac:dyDescent="0.25">
      <c r="A644" s="297">
        <f t="shared" si="9"/>
        <v>39.200000000000003</v>
      </c>
      <c r="B644" s="465">
        <v>41499</v>
      </c>
      <c r="C644" s="466" t="s">
        <v>452</v>
      </c>
      <c r="D644" s="466" t="s">
        <v>506</v>
      </c>
      <c r="E644" s="466" t="s">
        <v>553</v>
      </c>
      <c r="F644" s="466" t="s">
        <v>289</v>
      </c>
      <c r="G644" s="290" t="s">
        <v>290</v>
      </c>
      <c r="H644" s="291"/>
      <c r="I644" s="291"/>
      <c r="J644" s="291">
        <v>100</v>
      </c>
      <c r="K644" s="291">
        <v>188</v>
      </c>
      <c r="L644" s="292">
        <v>75</v>
      </c>
      <c r="M644" s="292">
        <v>188</v>
      </c>
      <c r="N644" s="292">
        <v>75</v>
      </c>
      <c r="O644" s="292">
        <v>75</v>
      </c>
      <c r="P644" s="294">
        <v>75</v>
      </c>
      <c r="Q644" s="294">
        <v>75</v>
      </c>
      <c r="R644" s="294"/>
      <c r="S644" s="294"/>
      <c r="T644" s="294"/>
      <c r="U644" s="294"/>
      <c r="V644" s="431"/>
      <c r="W644" s="294"/>
      <c r="X644" s="294"/>
      <c r="Y644" s="294">
        <f>IF(NFI_Expiration=1,IF($A644&lt;VLOOKUP(H$5,NFI,5,0),1,0)*Table_NFI[[#This Row],[Hygiene Kit]],Table_NFI[Hygiene Kit])</f>
        <v>0</v>
      </c>
      <c r="Z644" s="294">
        <f>IF(NFI_Expiration=1,IF($A644&lt;VLOOKUP(I$5,NFI,5,0),1,0)*Table_NFI[[#This Row],[NFI Core Kit]],Table_NFI[NFI Core Kit])</f>
        <v>0</v>
      </c>
      <c r="AA644" s="294">
        <f>IF(NFI_Expiration=1,IF($A644&lt;VLOOKUP(J$5,NFI,5,0),1,0)*Table_NFI[[#This Row],[Sanitary Kit]],Table_NFI[Sanitary Kit])</f>
        <v>0</v>
      </c>
      <c r="AB644" s="294">
        <f>IF(NFI_Expiration=1,IF($A644&lt;VLOOKUP(K$5,NFI,5,0),1,0)*Table_NFI[[#This Row],[Mosquito net]],Table_NFI[Mosquito net])</f>
        <v>0</v>
      </c>
      <c r="AC644" s="294">
        <f>IF(NFI_Expiration=1,IF($A644&lt;VLOOKUP(L$5,NFI,5,0),1,0)*Table_NFI[[#This Row],[Tarpaulin]],Table_NFI[[#This Row],[Tarpaulin]])</f>
        <v>0</v>
      </c>
      <c r="AD644" s="294">
        <f>IF(NFI_Expiration=1,IF($A644&lt;VLOOKUP(M$5,NFI,5,0),1,0)*Table_NFI[[#This Row],[Blanket]],Table_NFI[[#This Row],[Blanket]])</f>
        <v>0</v>
      </c>
      <c r="AE644" s="294">
        <f>IF(NFI_Expiration=1,IF($A644&lt;VLOOKUP(N$5,NFI,5,0),1,0)*Table_NFI[[#This Row],[Kitchen Set]],Table_NFI[Kitchen Set])</f>
        <v>0</v>
      </c>
      <c r="AF644" s="294">
        <f>IF(NFI_Expiration=1,IF($A644&lt;VLOOKUP(O$5,NFI,5,0),1,0)*Table_NFI[[#This Row],[Clothes Kit]],Table_NFI[Clothes Kit])</f>
        <v>0</v>
      </c>
      <c r="AG644" s="294">
        <f>IF(NFI_Expiration=1,IF($A644&lt;VLOOKUP(P$5,NFI,5,0),1,0)*Table_NFI[[#This Row],[Plastic Bucket]],Table_NFI[Plastic Bucket])</f>
        <v>0</v>
      </c>
      <c r="AH644" s="294">
        <f>IF(NFI_Expiration=1,IF($A644&lt;VLOOKUP(Q$5,NFI,5,0),1,0)*Table_NFI[[#This Row],[Plastic Mat]],Table_NFI[Plastic Mat])*IF(Table_NFI[[#This Row],[Distribution Date]]&gt;"2014-04-01",1,2.5)</f>
        <v>0</v>
      </c>
      <c r="AI644" s="294">
        <f>IF(NFI_Expiration=1,IF($A644&lt;VLOOKUP(R$5,NFI,5,0),1,0)*Table_NFI[[#This Row],[Winter Clothes Adult]],Table_NFI[Winter Clothes Adult])</f>
        <v>0</v>
      </c>
      <c r="AJ644" s="294">
        <f>IF(NFI_Expiration=1,IF($A644&lt;VLOOKUP(S$5,NFI,5,0),1,0)*Table_NFI[[#This Row],[Winter Clothes Children]],Table_NFI[Winter Clothes Children])</f>
        <v>0</v>
      </c>
      <c r="AK644" s="294">
        <f>IF(NFI_Expiration=1,IF($A644&lt;VLOOKUP(T$5,NFI,5,0),1,0)*Table_NFI[[#This Row],[Winter Items Other]],Table_NFI[Winter Items Other])</f>
        <v>0</v>
      </c>
      <c r="AL644" s="294">
        <f>IF(NFI_Expiration=1,IF($A644&lt;VLOOKUP(M$5,NFI,5,0),1,0)*Table_NFI[[#This Row],[Winter Blanket]],Table_NFI[[#This Row],[Winter Blanket]])</f>
        <v>0</v>
      </c>
      <c r="AM644" s="294">
        <f>IF(Table_NFI[[#This Row],[Winter Clothes Adult]]+Table_NFI[[#This Row],[Winter Clothes Children]]+Table_NFI[[#This Row],[Winter Items Other]]+Table_NFI[[#This Row],[Winter Blanket]]&gt;0,1,0)</f>
        <v>0</v>
      </c>
      <c r="AN644" s="331">
        <f>IF(NFI_Expiration=1,IF($A644&lt;VLOOKUP(V$5,NFI,5,0),1,0)*Table_NFI[[#This Row],[Jerry Can]],Table_NFI[Jerry Can])</f>
        <v>0</v>
      </c>
      <c r="AO644" s="331">
        <f>IF(NFI_Expiration=1,IF($A644&lt;VLOOKUP(V$5,NFI,5,0),1,0)*Table_NFI[[#This Row],[Shelter Tool kit]],Table_NFI[Shelter Tool kit])</f>
        <v>0</v>
      </c>
      <c r="AP644" s="331">
        <f>IF(NFI_Expiration=1,IF($A644&lt;VLOOKUP(V$5,NFI,5,0),1,0)*Table_NFI[[#This Row],[Tent]],Table_NFI[Tent])</f>
        <v>0</v>
      </c>
      <c r="AQ644" s="473" t="str">
        <f>IFERROR(VLOOKUP(Table_NFI[[#This Row],[Camp Name]],CL,2,0),"")</f>
        <v>MMR015CMP001</v>
      </c>
      <c r="AR644" s="468">
        <f ca="1">IF(Table_NFI[[#This Row],[Pcode]]="","",IF(OFFSET(CampList[Opening Date],MATCH(Table_NFI[[#This Row],[Pcode]],CampList[CP_Pcode],0)-1,0,1,1)&gt;=NFI_Monitor_Date,1,0))</f>
        <v>0</v>
      </c>
      <c r="AS644" s="473" t="str">
        <f>IFERROR(VLOOKUP(Table_NFI[[#This Row],[Camp Name]],CL,3,0),"")</f>
        <v>Open</v>
      </c>
      <c r="AT644" s="294" t="str">
        <f ca="1">IF(Table_NFI[[#This Row],[Pcode]]="","",OFFSET(CampList[Priority],MATCH(Table_NFI[[#This Row],[Pcode]],CampList[CP_Pcode],0)-1,0,1,1))</f>
        <v>P3</v>
      </c>
      <c r="AU644" s="293">
        <f>IFERROR(Table_NFI[[#This Row],[Kitchen Set]]/VLOOKUP(Table_NFI[[#This Row],[Camp Name]],CL,4,0),"")</f>
        <v>1.0869565217391304</v>
      </c>
      <c r="AV644" s="466" t="s">
        <v>1092</v>
      </c>
      <c r="AW644" s="469"/>
    </row>
    <row r="645" spans="1:49" ht="14.45" customHeight="1" x14ac:dyDescent="0.25">
      <c r="A645" s="297">
        <f t="shared" si="9"/>
        <v>39.200000000000003</v>
      </c>
      <c r="B645" s="465">
        <v>41499</v>
      </c>
      <c r="C645" s="466" t="s">
        <v>452</v>
      </c>
      <c r="D645" s="466" t="s">
        <v>506</v>
      </c>
      <c r="E645" s="466" t="s">
        <v>553</v>
      </c>
      <c r="F645" s="290" t="s">
        <v>289</v>
      </c>
      <c r="G645" s="290" t="s">
        <v>374</v>
      </c>
      <c r="H645" s="291"/>
      <c r="I645" s="291"/>
      <c r="J645" s="291">
        <v>36</v>
      </c>
      <c r="K645" s="291">
        <v>72</v>
      </c>
      <c r="L645" s="292">
        <v>33</v>
      </c>
      <c r="M645" s="292">
        <v>72</v>
      </c>
      <c r="N645" s="292">
        <v>33</v>
      </c>
      <c r="O645" s="292">
        <v>33</v>
      </c>
      <c r="P645" s="294">
        <v>33</v>
      </c>
      <c r="Q645" s="294">
        <v>33</v>
      </c>
      <c r="R645" s="294"/>
      <c r="S645" s="294"/>
      <c r="T645" s="294"/>
      <c r="U645" s="294"/>
      <c r="V645" s="431"/>
      <c r="W645" s="294"/>
      <c r="X645" s="294"/>
      <c r="Y645" s="294">
        <f>IF(NFI_Expiration=1,IF($A645&lt;VLOOKUP(H$5,NFI,5,0),1,0)*Table_NFI[[#This Row],[Hygiene Kit]],Table_NFI[Hygiene Kit])</f>
        <v>0</v>
      </c>
      <c r="Z645" s="294">
        <f>IF(NFI_Expiration=1,IF($A645&lt;VLOOKUP(I$5,NFI,5,0),1,0)*Table_NFI[[#This Row],[NFI Core Kit]],Table_NFI[NFI Core Kit])</f>
        <v>0</v>
      </c>
      <c r="AA645" s="294">
        <f>IF(NFI_Expiration=1,IF($A645&lt;VLOOKUP(J$5,NFI,5,0),1,0)*Table_NFI[[#This Row],[Sanitary Kit]],Table_NFI[Sanitary Kit])</f>
        <v>0</v>
      </c>
      <c r="AB645" s="294">
        <f>IF(NFI_Expiration=1,IF($A645&lt;VLOOKUP(K$5,NFI,5,0),1,0)*Table_NFI[[#This Row],[Mosquito net]],Table_NFI[Mosquito net])</f>
        <v>0</v>
      </c>
      <c r="AC645" s="294">
        <f>IF(NFI_Expiration=1,IF($A645&lt;VLOOKUP(L$5,NFI,5,0),1,0)*Table_NFI[[#This Row],[Tarpaulin]],Table_NFI[[#This Row],[Tarpaulin]])</f>
        <v>0</v>
      </c>
      <c r="AD645" s="294">
        <f>IF(NFI_Expiration=1,IF($A645&lt;VLOOKUP(M$5,NFI,5,0),1,0)*Table_NFI[[#This Row],[Blanket]],Table_NFI[[#This Row],[Blanket]])</f>
        <v>0</v>
      </c>
      <c r="AE645" s="294">
        <f>IF(NFI_Expiration=1,IF($A645&lt;VLOOKUP(N$5,NFI,5,0),1,0)*Table_NFI[[#This Row],[Kitchen Set]],Table_NFI[Kitchen Set])</f>
        <v>0</v>
      </c>
      <c r="AF645" s="294">
        <f>IF(NFI_Expiration=1,IF($A645&lt;VLOOKUP(O$5,NFI,5,0),1,0)*Table_NFI[[#This Row],[Clothes Kit]],Table_NFI[Clothes Kit])</f>
        <v>0</v>
      </c>
      <c r="AG645" s="294">
        <f>IF(NFI_Expiration=1,IF($A645&lt;VLOOKUP(P$5,NFI,5,0),1,0)*Table_NFI[[#This Row],[Plastic Bucket]],Table_NFI[Plastic Bucket])</f>
        <v>0</v>
      </c>
      <c r="AH645" s="294">
        <f>IF(NFI_Expiration=1,IF($A645&lt;VLOOKUP(Q$5,NFI,5,0),1,0)*Table_NFI[[#This Row],[Plastic Mat]],Table_NFI[Plastic Mat])*IF(Table_NFI[[#This Row],[Distribution Date]]&gt;"2014-04-01",1,2.5)</f>
        <v>0</v>
      </c>
      <c r="AI645" s="294">
        <f>IF(NFI_Expiration=1,IF($A645&lt;VLOOKUP(R$5,NFI,5,0),1,0)*Table_NFI[[#This Row],[Winter Clothes Adult]],Table_NFI[Winter Clothes Adult])</f>
        <v>0</v>
      </c>
      <c r="AJ645" s="294">
        <f>IF(NFI_Expiration=1,IF($A645&lt;VLOOKUP(S$5,NFI,5,0),1,0)*Table_NFI[[#This Row],[Winter Clothes Children]],Table_NFI[Winter Clothes Children])</f>
        <v>0</v>
      </c>
      <c r="AK645" s="294">
        <f>IF(NFI_Expiration=1,IF($A645&lt;VLOOKUP(T$5,NFI,5,0),1,0)*Table_NFI[[#This Row],[Winter Items Other]],Table_NFI[Winter Items Other])</f>
        <v>0</v>
      </c>
      <c r="AL645" s="294">
        <f>IF(NFI_Expiration=1,IF($A645&lt;VLOOKUP(M$5,NFI,5,0),1,0)*Table_NFI[[#This Row],[Winter Blanket]],Table_NFI[[#This Row],[Winter Blanket]])</f>
        <v>0</v>
      </c>
      <c r="AM645" s="294">
        <f>IF(Table_NFI[[#This Row],[Winter Clothes Adult]]+Table_NFI[[#This Row],[Winter Clothes Children]]+Table_NFI[[#This Row],[Winter Items Other]]+Table_NFI[[#This Row],[Winter Blanket]]&gt;0,1,0)</f>
        <v>0</v>
      </c>
      <c r="AN645" s="331">
        <f>IF(NFI_Expiration=1,IF($A645&lt;VLOOKUP(V$5,NFI,5,0),1,0)*Table_NFI[[#This Row],[Jerry Can]],Table_NFI[Jerry Can])</f>
        <v>0</v>
      </c>
      <c r="AO645" s="331">
        <f>IF(NFI_Expiration=1,IF($A645&lt;VLOOKUP(V$5,NFI,5,0),1,0)*Table_NFI[[#This Row],[Shelter Tool kit]],Table_NFI[Shelter Tool kit])</f>
        <v>0</v>
      </c>
      <c r="AP645" s="331">
        <f>IF(NFI_Expiration=1,IF($A645&lt;VLOOKUP(V$5,NFI,5,0),1,0)*Table_NFI[[#This Row],[Tent]],Table_NFI[Tent])</f>
        <v>0</v>
      </c>
      <c r="AQ645" s="473" t="str">
        <f>IFERROR(VLOOKUP(Table_NFI[[#This Row],[Camp Name]],CL,2,0),"")</f>
        <v>MMR015CMP003</v>
      </c>
      <c r="AR645" s="468">
        <f ca="1">IF(Table_NFI[[#This Row],[Pcode]]="","",IF(OFFSET(CampList[Opening Date],MATCH(Table_NFI[[#This Row],[Pcode]],CampList[CP_Pcode],0)-1,0,1,1)&gt;=NFI_Monitor_Date,1,0))</f>
        <v>0</v>
      </c>
      <c r="AS645" s="473" t="str">
        <f>IFERROR(VLOOKUP(Table_NFI[[#This Row],[Camp Name]],CL,3,0),"")</f>
        <v>Open</v>
      </c>
      <c r="AT645" s="294" t="str">
        <f ca="1">IF(Table_NFI[[#This Row],[Pcode]]="","",OFFSET(CampList[Priority],MATCH(Table_NFI[[#This Row],[Pcode]],CampList[CP_Pcode],0)-1,0,1,1))</f>
        <v>P3</v>
      </c>
      <c r="AU645" s="293">
        <f>IFERROR(Table_NFI[[#This Row],[Kitchen Set]]/VLOOKUP(Table_NFI[[#This Row],[Camp Name]],CL,4,0),"")</f>
        <v>0.76744186046511631</v>
      </c>
      <c r="AV645" s="466" t="s">
        <v>1092</v>
      </c>
      <c r="AW645" s="469"/>
    </row>
    <row r="646" spans="1:49" ht="14.45" customHeight="1" x14ac:dyDescent="0.25">
      <c r="A646" s="297">
        <f t="shared" ref="A646:A709" si="10">IF(ISBLANK(B646),"",(Report_Date-B646)/30)</f>
        <v>39.200000000000003</v>
      </c>
      <c r="B646" s="465">
        <v>41499</v>
      </c>
      <c r="C646" s="466" t="s">
        <v>452</v>
      </c>
      <c r="D646" s="466" t="s">
        <v>506</v>
      </c>
      <c r="E646" s="466" t="s">
        <v>553</v>
      </c>
      <c r="F646" s="290" t="s">
        <v>289</v>
      </c>
      <c r="G646" s="290" t="s">
        <v>375</v>
      </c>
      <c r="H646" s="291"/>
      <c r="I646" s="291"/>
      <c r="J646" s="291">
        <v>40</v>
      </c>
      <c r="K646" s="291">
        <v>83</v>
      </c>
      <c r="L646" s="292">
        <v>33</v>
      </c>
      <c r="M646" s="292">
        <v>83</v>
      </c>
      <c r="N646" s="292">
        <v>33</v>
      </c>
      <c r="O646" s="292">
        <v>33</v>
      </c>
      <c r="P646" s="294">
        <v>33</v>
      </c>
      <c r="Q646" s="294">
        <v>33</v>
      </c>
      <c r="R646" s="294"/>
      <c r="S646" s="294"/>
      <c r="T646" s="294"/>
      <c r="U646" s="294"/>
      <c r="V646" s="431"/>
      <c r="W646" s="294"/>
      <c r="X646" s="294"/>
      <c r="Y646" s="294">
        <f>IF(NFI_Expiration=1,IF($A646&lt;VLOOKUP(H$5,NFI,5,0),1,0)*Table_NFI[[#This Row],[Hygiene Kit]],Table_NFI[Hygiene Kit])</f>
        <v>0</v>
      </c>
      <c r="Z646" s="294">
        <f>IF(NFI_Expiration=1,IF($A646&lt;VLOOKUP(I$5,NFI,5,0),1,0)*Table_NFI[[#This Row],[NFI Core Kit]],Table_NFI[NFI Core Kit])</f>
        <v>0</v>
      </c>
      <c r="AA646" s="294">
        <f>IF(NFI_Expiration=1,IF($A646&lt;VLOOKUP(J$5,NFI,5,0),1,0)*Table_NFI[[#This Row],[Sanitary Kit]],Table_NFI[Sanitary Kit])</f>
        <v>0</v>
      </c>
      <c r="AB646" s="294">
        <f>IF(NFI_Expiration=1,IF($A646&lt;VLOOKUP(K$5,NFI,5,0),1,0)*Table_NFI[[#This Row],[Mosquito net]],Table_NFI[Mosquito net])</f>
        <v>0</v>
      </c>
      <c r="AC646" s="294">
        <f>IF(NFI_Expiration=1,IF($A646&lt;VLOOKUP(L$5,NFI,5,0),1,0)*Table_NFI[[#This Row],[Tarpaulin]],Table_NFI[[#This Row],[Tarpaulin]])</f>
        <v>0</v>
      </c>
      <c r="AD646" s="294">
        <f>IF(NFI_Expiration=1,IF($A646&lt;VLOOKUP(M$5,NFI,5,0),1,0)*Table_NFI[[#This Row],[Blanket]],Table_NFI[[#This Row],[Blanket]])</f>
        <v>0</v>
      </c>
      <c r="AE646" s="294">
        <f>IF(NFI_Expiration=1,IF($A646&lt;VLOOKUP(N$5,NFI,5,0),1,0)*Table_NFI[[#This Row],[Kitchen Set]],Table_NFI[Kitchen Set])</f>
        <v>0</v>
      </c>
      <c r="AF646" s="294">
        <f>IF(NFI_Expiration=1,IF($A646&lt;VLOOKUP(O$5,NFI,5,0),1,0)*Table_NFI[[#This Row],[Clothes Kit]],Table_NFI[Clothes Kit])</f>
        <v>0</v>
      </c>
      <c r="AG646" s="294">
        <f>IF(NFI_Expiration=1,IF($A646&lt;VLOOKUP(P$5,NFI,5,0),1,0)*Table_NFI[[#This Row],[Plastic Bucket]],Table_NFI[Plastic Bucket])</f>
        <v>0</v>
      </c>
      <c r="AH646" s="294">
        <f>IF(NFI_Expiration=1,IF($A646&lt;VLOOKUP(Q$5,NFI,5,0),1,0)*Table_NFI[[#This Row],[Plastic Mat]],Table_NFI[Plastic Mat])*IF(Table_NFI[[#This Row],[Distribution Date]]&gt;"2014-04-01",1,2.5)</f>
        <v>0</v>
      </c>
      <c r="AI646" s="294">
        <f>IF(NFI_Expiration=1,IF($A646&lt;VLOOKUP(R$5,NFI,5,0),1,0)*Table_NFI[[#This Row],[Winter Clothes Adult]],Table_NFI[Winter Clothes Adult])</f>
        <v>0</v>
      </c>
      <c r="AJ646" s="294">
        <f>IF(NFI_Expiration=1,IF($A646&lt;VLOOKUP(S$5,NFI,5,0),1,0)*Table_NFI[[#This Row],[Winter Clothes Children]],Table_NFI[Winter Clothes Children])</f>
        <v>0</v>
      </c>
      <c r="AK646" s="294">
        <f>IF(NFI_Expiration=1,IF($A646&lt;VLOOKUP(T$5,NFI,5,0),1,0)*Table_NFI[[#This Row],[Winter Items Other]],Table_NFI[Winter Items Other])</f>
        <v>0</v>
      </c>
      <c r="AL646" s="294">
        <f>IF(NFI_Expiration=1,IF($A646&lt;VLOOKUP(M$5,NFI,5,0),1,0)*Table_NFI[[#This Row],[Winter Blanket]],Table_NFI[[#This Row],[Winter Blanket]])</f>
        <v>0</v>
      </c>
      <c r="AM646" s="294">
        <f>IF(Table_NFI[[#This Row],[Winter Clothes Adult]]+Table_NFI[[#This Row],[Winter Clothes Children]]+Table_NFI[[#This Row],[Winter Items Other]]+Table_NFI[[#This Row],[Winter Blanket]]&gt;0,1,0)</f>
        <v>0</v>
      </c>
      <c r="AN646" s="331">
        <f>IF(NFI_Expiration=1,IF($A646&lt;VLOOKUP(V$5,NFI,5,0),1,0)*Table_NFI[[#This Row],[Jerry Can]],Table_NFI[Jerry Can])</f>
        <v>0</v>
      </c>
      <c r="AO646" s="331">
        <f>IF(NFI_Expiration=1,IF($A646&lt;VLOOKUP(V$5,NFI,5,0),1,0)*Table_NFI[[#This Row],[Shelter Tool kit]],Table_NFI[Shelter Tool kit])</f>
        <v>0</v>
      </c>
      <c r="AP646" s="331">
        <f>IF(NFI_Expiration=1,IF($A646&lt;VLOOKUP(V$5,NFI,5,0),1,0)*Table_NFI[[#This Row],[Tent]],Table_NFI[Tent])</f>
        <v>0</v>
      </c>
      <c r="AQ646" s="473" t="str">
        <f>IFERROR(VLOOKUP(Table_NFI[[#This Row],[Camp Name]],CL,2,0),"")</f>
        <v>MMR015CMP024</v>
      </c>
      <c r="AR646" s="468">
        <f ca="1">IF(Table_NFI[[#This Row],[Pcode]]="","",IF(OFFSET(CampList[Opening Date],MATCH(Table_NFI[[#This Row],[Pcode]],CampList[CP_Pcode],0)-1,0,1,1)&gt;=NFI_Monitor_Date,1,0))</f>
        <v>0</v>
      </c>
      <c r="AS646" s="473" t="str">
        <f>IFERROR(VLOOKUP(Table_NFI[[#This Row],[Camp Name]],CL,3,0),"")</f>
        <v>Closed</v>
      </c>
      <c r="AT646" s="294" t="str">
        <f ca="1">IF(Table_NFI[[#This Row],[Pcode]]="","",OFFSET(CampList[Priority],MATCH(Table_NFI[[#This Row],[Pcode]],CampList[CP_Pcode],0)-1,0,1,1))</f>
        <v/>
      </c>
      <c r="AU646" s="293" t="str">
        <f>IFERROR(Table_NFI[[#This Row],[Kitchen Set]]/VLOOKUP(Table_NFI[[#This Row],[Camp Name]],CL,4,0),"")</f>
        <v/>
      </c>
      <c r="AV646" s="466" t="s">
        <v>1092</v>
      </c>
      <c r="AW646" s="469"/>
    </row>
    <row r="647" spans="1:49" ht="14.45" customHeight="1" x14ac:dyDescent="0.25">
      <c r="A647" s="297">
        <f t="shared" si="10"/>
        <v>39.200000000000003</v>
      </c>
      <c r="B647" s="465">
        <v>41499</v>
      </c>
      <c r="C647" s="466" t="s">
        <v>452</v>
      </c>
      <c r="D647" s="466" t="s">
        <v>506</v>
      </c>
      <c r="E647" s="466" t="s">
        <v>553</v>
      </c>
      <c r="F647" s="290" t="s">
        <v>298</v>
      </c>
      <c r="G647" s="290" t="s">
        <v>593</v>
      </c>
      <c r="H647" s="291"/>
      <c r="I647" s="291"/>
      <c r="J647" s="291">
        <v>130</v>
      </c>
      <c r="K647" s="291">
        <v>288</v>
      </c>
      <c r="L647" s="292">
        <v>115</v>
      </c>
      <c r="M647" s="292">
        <v>288</v>
      </c>
      <c r="N647" s="292">
        <v>115</v>
      </c>
      <c r="O647" s="292">
        <v>115</v>
      </c>
      <c r="P647" s="294">
        <v>115</v>
      </c>
      <c r="Q647" s="294">
        <v>115</v>
      </c>
      <c r="R647" s="294"/>
      <c r="S647" s="294"/>
      <c r="T647" s="294"/>
      <c r="U647" s="294"/>
      <c r="V647" s="431"/>
      <c r="W647" s="294"/>
      <c r="X647" s="294"/>
      <c r="Y647" s="294">
        <f>IF(NFI_Expiration=1,IF($A647&lt;VLOOKUP(H$5,NFI,5,0),1,0)*Table_NFI[[#This Row],[Hygiene Kit]],Table_NFI[Hygiene Kit])</f>
        <v>0</v>
      </c>
      <c r="Z647" s="294">
        <f>IF(NFI_Expiration=1,IF($A647&lt;VLOOKUP(I$5,NFI,5,0),1,0)*Table_NFI[[#This Row],[NFI Core Kit]],Table_NFI[NFI Core Kit])</f>
        <v>0</v>
      </c>
      <c r="AA647" s="294">
        <f>IF(NFI_Expiration=1,IF($A647&lt;VLOOKUP(J$5,NFI,5,0),1,0)*Table_NFI[[#This Row],[Sanitary Kit]],Table_NFI[Sanitary Kit])</f>
        <v>0</v>
      </c>
      <c r="AB647" s="294">
        <f>IF(NFI_Expiration=1,IF($A647&lt;VLOOKUP(K$5,NFI,5,0),1,0)*Table_NFI[[#This Row],[Mosquito net]],Table_NFI[Mosquito net])</f>
        <v>0</v>
      </c>
      <c r="AC647" s="294">
        <f>IF(NFI_Expiration=1,IF($A647&lt;VLOOKUP(L$5,NFI,5,0),1,0)*Table_NFI[[#This Row],[Tarpaulin]],Table_NFI[[#This Row],[Tarpaulin]])</f>
        <v>0</v>
      </c>
      <c r="AD647" s="294">
        <f>IF(NFI_Expiration=1,IF($A647&lt;VLOOKUP(M$5,NFI,5,0),1,0)*Table_NFI[[#This Row],[Blanket]],Table_NFI[[#This Row],[Blanket]])</f>
        <v>0</v>
      </c>
      <c r="AE647" s="294">
        <f>IF(NFI_Expiration=1,IF($A647&lt;VLOOKUP(N$5,NFI,5,0),1,0)*Table_NFI[[#This Row],[Kitchen Set]],Table_NFI[Kitchen Set])</f>
        <v>0</v>
      </c>
      <c r="AF647" s="294">
        <f>IF(NFI_Expiration=1,IF($A647&lt;VLOOKUP(O$5,NFI,5,0),1,0)*Table_NFI[[#This Row],[Clothes Kit]],Table_NFI[Clothes Kit])</f>
        <v>0</v>
      </c>
      <c r="AG647" s="294">
        <f>IF(NFI_Expiration=1,IF($A647&lt;VLOOKUP(P$5,NFI,5,0),1,0)*Table_NFI[[#This Row],[Plastic Bucket]],Table_NFI[Plastic Bucket])</f>
        <v>0</v>
      </c>
      <c r="AH647" s="294">
        <f>IF(NFI_Expiration=1,IF($A647&lt;VLOOKUP(Q$5,NFI,5,0),1,0)*Table_NFI[[#This Row],[Plastic Mat]],Table_NFI[Plastic Mat])*IF(Table_NFI[[#This Row],[Distribution Date]]&gt;"2014-04-01",1,2.5)</f>
        <v>0</v>
      </c>
      <c r="AI647" s="294">
        <f>IF(NFI_Expiration=1,IF($A647&lt;VLOOKUP(R$5,NFI,5,0),1,0)*Table_NFI[[#This Row],[Winter Clothes Adult]],Table_NFI[Winter Clothes Adult])</f>
        <v>0</v>
      </c>
      <c r="AJ647" s="294">
        <f>IF(NFI_Expiration=1,IF($A647&lt;VLOOKUP(S$5,NFI,5,0),1,0)*Table_NFI[[#This Row],[Winter Clothes Children]],Table_NFI[Winter Clothes Children])</f>
        <v>0</v>
      </c>
      <c r="AK647" s="294">
        <f>IF(NFI_Expiration=1,IF($A647&lt;VLOOKUP(T$5,NFI,5,0),1,0)*Table_NFI[[#This Row],[Winter Items Other]],Table_NFI[Winter Items Other])</f>
        <v>0</v>
      </c>
      <c r="AL647" s="294">
        <f>IF(NFI_Expiration=1,IF($A647&lt;VLOOKUP(M$5,NFI,5,0),1,0)*Table_NFI[[#This Row],[Winter Blanket]],Table_NFI[[#This Row],[Winter Blanket]])</f>
        <v>0</v>
      </c>
      <c r="AM647" s="294">
        <f>IF(Table_NFI[[#This Row],[Winter Clothes Adult]]+Table_NFI[[#This Row],[Winter Clothes Children]]+Table_NFI[[#This Row],[Winter Items Other]]+Table_NFI[[#This Row],[Winter Blanket]]&gt;0,1,0)</f>
        <v>0</v>
      </c>
      <c r="AN647" s="331">
        <f>IF(NFI_Expiration=1,IF($A647&lt;VLOOKUP(V$5,NFI,5,0),1,0)*Table_NFI[[#This Row],[Jerry Can]],Table_NFI[Jerry Can])</f>
        <v>0</v>
      </c>
      <c r="AO647" s="331">
        <f>IF(NFI_Expiration=1,IF($A647&lt;VLOOKUP(V$5,NFI,5,0),1,0)*Table_NFI[[#This Row],[Shelter Tool kit]],Table_NFI[Shelter Tool kit])</f>
        <v>0</v>
      </c>
      <c r="AP647" s="331">
        <f>IF(NFI_Expiration=1,IF($A647&lt;VLOOKUP(V$5,NFI,5,0),1,0)*Table_NFI[[#This Row],[Tent]],Table_NFI[Tent])</f>
        <v>0</v>
      </c>
      <c r="AQ647" s="473" t="str">
        <f>IFERROR(VLOOKUP(Table_NFI[[#This Row],[Camp Name]],CL,2,0),"")</f>
        <v>MMR015CMP210</v>
      </c>
      <c r="AR647" s="468">
        <f ca="1">IF(Table_NFI[[#This Row],[Pcode]]="","",IF(OFFSET(CampList[Opening Date],MATCH(Table_NFI[[#This Row],[Pcode]],CampList[CP_Pcode],0)-1,0,1,1)&gt;=NFI_Monitor_Date,1,0))</f>
        <v>0</v>
      </c>
      <c r="AS647" s="473" t="str">
        <f>IFERROR(VLOOKUP(Table_NFI[[#This Row],[Camp Name]],CL,3,0),"")</f>
        <v>Open</v>
      </c>
      <c r="AT647" s="294" t="str">
        <f ca="1">IF(Table_NFI[[#This Row],[Pcode]]="","",OFFSET(CampList[Priority],MATCH(Table_NFI[[#This Row],[Pcode]],CampList[CP_Pcode],0)-1,0,1,1))</f>
        <v>P3</v>
      </c>
      <c r="AU647" s="293">
        <f>IFERROR(Table_NFI[[#This Row],[Kitchen Set]]/VLOOKUP(Table_NFI[[#This Row],[Camp Name]],CL,4,0),"")</f>
        <v>0.97457627118644063</v>
      </c>
      <c r="AV647" s="466" t="s">
        <v>1092</v>
      </c>
      <c r="AW647" s="469"/>
    </row>
    <row r="648" spans="1:49" ht="14.45" customHeight="1" x14ac:dyDescent="0.25">
      <c r="A648" s="297">
        <f t="shared" si="10"/>
        <v>39.200000000000003</v>
      </c>
      <c r="B648" s="465">
        <v>41499</v>
      </c>
      <c r="C648" s="466" t="s">
        <v>452</v>
      </c>
      <c r="D648" s="466" t="s">
        <v>460</v>
      </c>
      <c r="E648" s="466" t="s">
        <v>553</v>
      </c>
      <c r="F648" s="290" t="s">
        <v>779</v>
      </c>
      <c r="G648" s="290" t="s">
        <v>594</v>
      </c>
      <c r="H648" s="291"/>
      <c r="I648" s="291"/>
      <c r="J648" s="291">
        <v>27</v>
      </c>
      <c r="K648" s="291">
        <v>43</v>
      </c>
      <c r="L648" s="292">
        <v>17</v>
      </c>
      <c r="M648" s="292">
        <v>43</v>
      </c>
      <c r="N648" s="292">
        <v>17</v>
      </c>
      <c r="O648" s="292">
        <v>17</v>
      </c>
      <c r="P648" s="294">
        <v>17</v>
      </c>
      <c r="Q648" s="294">
        <v>17</v>
      </c>
      <c r="R648" s="294"/>
      <c r="S648" s="294"/>
      <c r="T648" s="294"/>
      <c r="U648" s="294"/>
      <c r="V648" s="431"/>
      <c r="W648" s="294"/>
      <c r="X648" s="294"/>
      <c r="Y648" s="294">
        <f>IF(NFI_Expiration=1,IF($A648&lt;VLOOKUP(H$5,NFI,5,0),1,0)*Table_NFI[[#This Row],[Hygiene Kit]],Table_NFI[Hygiene Kit])</f>
        <v>0</v>
      </c>
      <c r="Z648" s="294">
        <f>IF(NFI_Expiration=1,IF($A648&lt;VLOOKUP(I$5,NFI,5,0),1,0)*Table_NFI[[#This Row],[NFI Core Kit]],Table_NFI[NFI Core Kit])</f>
        <v>0</v>
      </c>
      <c r="AA648" s="294">
        <f>IF(NFI_Expiration=1,IF($A648&lt;VLOOKUP(J$5,NFI,5,0),1,0)*Table_NFI[[#This Row],[Sanitary Kit]],Table_NFI[Sanitary Kit])</f>
        <v>0</v>
      </c>
      <c r="AB648" s="294">
        <f>IF(NFI_Expiration=1,IF($A648&lt;VLOOKUP(K$5,NFI,5,0),1,0)*Table_NFI[[#This Row],[Mosquito net]],Table_NFI[Mosquito net])</f>
        <v>0</v>
      </c>
      <c r="AC648" s="294">
        <f>IF(NFI_Expiration=1,IF($A648&lt;VLOOKUP(L$5,NFI,5,0),1,0)*Table_NFI[[#This Row],[Tarpaulin]],Table_NFI[[#This Row],[Tarpaulin]])</f>
        <v>0</v>
      </c>
      <c r="AD648" s="294">
        <f>IF(NFI_Expiration=1,IF($A648&lt;VLOOKUP(M$5,NFI,5,0),1,0)*Table_NFI[[#This Row],[Blanket]],Table_NFI[[#This Row],[Blanket]])</f>
        <v>0</v>
      </c>
      <c r="AE648" s="294">
        <f>IF(NFI_Expiration=1,IF($A648&lt;VLOOKUP(N$5,NFI,5,0),1,0)*Table_NFI[[#This Row],[Kitchen Set]],Table_NFI[Kitchen Set])</f>
        <v>0</v>
      </c>
      <c r="AF648" s="294">
        <f>IF(NFI_Expiration=1,IF($A648&lt;VLOOKUP(O$5,NFI,5,0),1,0)*Table_NFI[[#This Row],[Clothes Kit]],Table_NFI[Clothes Kit])</f>
        <v>0</v>
      </c>
      <c r="AG648" s="294">
        <f>IF(NFI_Expiration=1,IF($A648&lt;VLOOKUP(P$5,NFI,5,0),1,0)*Table_NFI[[#This Row],[Plastic Bucket]],Table_NFI[Plastic Bucket])</f>
        <v>0</v>
      </c>
      <c r="AH648" s="294">
        <f>IF(NFI_Expiration=1,IF($A648&lt;VLOOKUP(Q$5,NFI,5,0),1,0)*Table_NFI[[#This Row],[Plastic Mat]],Table_NFI[Plastic Mat])*IF(Table_NFI[[#This Row],[Distribution Date]]&gt;"2014-04-01",1,2.5)</f>
        <v>0</v>
      </c>
      <c r="AI648" s="294">
        <f>IF(NFI_Expiration=1,IF($A648&lt;VLOOKUP(R$5,NFI,5,0),1,0)*Table_NFI[[#This Row],[Winter Clothes Adult]],Table_NFI[Winter Clothes Adult])</f>
        <v>0</v>
      </c>
      <c r="AJ648" s="294">
        <f>IF(NFI_Expiration=1,IF($A648&lt;VLOOKUP(S$5,NFI,5,0),1,0)*Table_NFI[[#This Row],[Winter Clothes Children]],Table_NFI[Winter Clothes Children])</f>
        <v>0</v>
      </c>
      <c r="AK648" s="294">
        <f>IF(NFI_Expiration=1,IF($A648&lt;VLOOKUP(T$5,NFI,5,0),1,0)*Table_NFI[[#This Row],[Winter Items Other]],Table_NFI[Winter Items Other])</f>
        <v>0</v>
      </c>
      <c r="AL648" s="294">
        <f>IF(NFI_Expiration=1,IF($A648&lt;VLOOKUP(M$5,NFI,5,0),1,0)*Table_NFI[[#This Row],[Winter Blanket]],Table_NFI[[#This Row],[Winter Blanket]])</f>
        <v>0</v>
      </c>
      <c r="AM648" s="294">
        <f>IF(Table_NFI[[#This Row],[Winter Clothes Adult]]+Table_NFI[[#This Row],[Winter Clothes Children]]+Table_NFI[[#This Row],[Winter Items Other]]+Table_NFI[[#This Row],[Winter Blanket]]&gt;0,1,0)</f>
        <v>0</v>
      </c>
      <c r="AN648" s="331">
        <f>IF(NFI_Expiration=1,IF($A648&lt;VLOOKUP(V$5,NFI,5,0),1,0)*Table_NFI[[#This Row],[Jerry Can]],Table_NFI[Jerry Can])</f>
        <v>0</v>
      </c>
      <c r="AO648" s="331">
        <f>IF(NFI_Expiration=1,IF($A648&lt;VLOOKUP(V$5,NFI,5,0),1,0)*Table_NFI[[#This Row],[Shelter Tool kit]],Table_NFI[Shelter Tool kit])</f>
        <v>0</v>
      </c>
      <c r="AP648" s="331">
        <f>IF(NFI_Expiration=1,IF($A648&lt;VLOOKUP(V$5,NFI,5,0),1,0)*Table_NFI[[#This Row],[Tent]],Table_NFI[Tent])</f>
        <v>0</v>
      </c>
      <c r="AQ648" s="473" t="str">
        <f>IFERROR(VLOOKUP(Table_NFI[[#This Row],[Camp Name]],CL,2,0),"")</f>
        <v>MMR015CMP207</v>
      </c>
      <c r="AR648" s="468">
        <f ca="1">IF(Table_NFI[[#This Row],[Pcode]]="","",IF(OFFSET(CampList[Opening Date],MATCH(Table_NFI[[#This Row],[Pcode]],CampList[CP_Pcode],0)-1,0,1,1)&gt;=NFI_Monitor_Date,1,0))</f>
        <v>0</v>
      </c>
      <c r="AS648" s="473" t="str">
        <f>IFERROR(VLOOKUP(Table_NFI[[#This Row],[Camp Name]],CL,3,0),"")</f>
        <v>Open</v>
      </c>
      <c r="AT648" s="294" t="str">
        <f ca="1">IF(Table_NFI[[#This Row],[Pcode]]="","",OFFSET(CampList[Priority],MATCH(Table_NFI[[#This Row],[Pcode]],CampList[CP_Pcode],0)-1,0,1,1))</f>
        <v>P4</v>
      </c>
      <c r="AU648" s="293">
        <f>IFERROR(Table_NFI[[#This Row],[Kitchen Set]]/VLOOKUP(Table_NFI[[#This Row],[Camp Name]],CL,4,0),"")</f>
        <v>0.2537313432835821</v>
      </c>
      <c r="AV648" s="466" t="s">
        <v>1092</v>
      </c>
      <c r="AW648" s="469"/>
    </row>
    <row r="649" spans="1:49" ht="14.45" customHeight="1" x14ac:dyDescent="0.25">
      <c r="A649" s="297">
        <f t="shared" si="10"/>
        <v>39.4</v>
      </c>
      <c r="B649" s="465">
        <v>41493</v>
      </c>
      <c r="C649" s="466" t="s">
        <v>452</v>
      </c>
      <c r="D649" s="466" t="s">
        <v>452</v>
      </c>
      <c r="E649" s="466" t="s">
        <v>380</v>
      </c>
      <c r="F649" s="290" t="s">
        <v>310</v>
      </c>
      <c r="G649" s="290" t="s">
        <v>320</v>
      </c>
      <c r="H649" s="291"/>
      <c r="I649" s="291"/>
      <c r="J649" s="291">
        <v>15</v>
      </c>
      <c r="K649" s="291">
        <v>57</v>
      </c>
      <c r="L649" s="292">
        <v>24</v>
      </c>
      <c r="M649" s="292">
        <v>57</v>
      </c>
      <c r="N649" s="292">
        <v>24</v>
      </c>
      <c r="O649" s="292">
        <v>24</v>
      </c>
      <c r="P649" s="294">
        <v>24</v>
      </c>
      <c r="Q649" s="294">
        <v>24</v>
      </c>
      <c r="R649" s="294"/>
      <c r="S649" s="294"/>
      <c r="T649" s="294"/>
      <c r="U649" s="294"/>
      <c r="V649" s="431"/>
      <c r="W649" s="294"/>
      <c r="X649" s="294"/>
      <c r="Y649" s="294">
        <f>IF(NFI_Expiration=1,IF($A649&lt;VLOOKUP(H$5,NFI,5,0),1,0)*Table_NFI[[#This Row],[Hygiene Kit]],Table_NFI[Hygiene Kit])</f>
        <v>0</v>
      </c>
      <c r="Z649" s="294">
        <f>IF(NFI_Expiration=1,IF($A649&lt;VLOOKUP(I$5,NFI,5,0),1,0)*Table_NFI[[#This Row],[NFI Core Kit]],Table_NFI[NFI Core Kit])</f>
        <v>0</v>
      </c>
      <c r="AA649" s="294">
        <f>IF(NFI_Expiration=1,IF($A649&lt;VLOOKUP(J$5,NFI,5,0),1,0)*Table_NFI[[#This Row],[Sanitary Kit]],Table_NFI[Sanitary Kit])</f>
        <v>0</v>
      </c>
      <c r="AB649" s="294">
        <f>IF(NFI_Expiration=1,IF($A649&lt;VLOOKUP(K$5,NFI,5,0),1,0)*Table_NFI[[#This Row],[Mosquito net]],Table_NFI[Mosquito net])</f>
        <v>0</v>
      </c>
      <c r="AC649" s="294">
        <f>IF(NFI_Expiration=1,IF($A649&lt;VLOOKUP(L$5,NFI,5,0),1,0)*Table_NFI[[#This Row],[Tarpaulin]],Table_NFI[[#This Row],[Tarpaulin]])</f>
        <v>0</v>
      </c>
      <c r="AD649" s="294">
        <f>IF(NFI_Expiration=1,IF($A649&lt;VLOOKUP(M$5,NFI,5,0),1,0)*Table_NFI[[#This Row],[Blanket]],Table_NFI[[#This Row],[Blanket]])</f>
        <v>0</v>
      </c>
      <c r="AE649" s="294">
        <f>IF(NFI_Expiration=1,IF($A649&lt;VLOOKUP(N$5,NFI,5,0),1,0)*Table_NFI[[#This Row],[Kitchen Set]],Table_NFI[Kitchen Set])</f>
        <v>0</v>
      </c>
      <c r="AF649" s="294">
        <f>IF(NFI_Expiration=1,IF($A649&lt;VLOOKUP(O$5,NFI,5,0),1,0)*Table_NFI[[#This Row],[Clothes Kit]],Table_NFI[Clothes Kit])</f>
        <v>0</v>
      </c>
      <c r="AG649" s="294">
        <f>IF(NFI_Expiration=1,IF($A649&lt;VLOOKUP(P$5,NFI,5,0),1,0)*Table_NFI[[#This Row],[Plastic Bucket]],Table_NFI[Plastic Bucket])</f>
        <v>0</v>
      </c>
      <c r="AH649" s="294">
        <f>IF(NFI_Expiration=1,IF($A649&lt;VLOOKUP(Q$5,NFI,5,0),1,0)*Table_NFI[[#This Row],[Plastic Mat]],Table_NFI[Plastic Mat])*IF(Table_NFI[[#This Row],[Distribution Date]]&gt;"2014-04-01",1,2.5)</f>
        <v>0</v>
      </c>
      <c r="AI649" s="294">
        <f>IF(NFI_Expiration=1,IF($A649&lt;VLOOKUP(R$5,NFI,5,0),1,0)*Table_NFI[[#This Row],[Winter Clothes Adult]],Table_NFI[Winter Clothes Adult])</f>
        <v>0</v>
      </c>
      <c r="AJ649" s="294">
        <f>IF(NFI_Expiration=1,IF($A649&lt;VLOOKUP(S$5,NFI,5,0),1,0)*Table_NFI[[#This Row],[Winter Clothes Children]],Table_NFI[Winter Clothes Children])</f>
        <v>0</v>
      </c>
      <c r="AK649" s="294">
        <f>IF(NFI_Expiration=1,IF($A649&lt;VLOOKUP(T$5,NFI,5,0),1,0)*Table_NFI[[#This Row],[Winter Items Other]],Table_NFI[Winter Items Other])</f>
        <v>0</v>
      </c>
      <c r="AL649" s="294">
        <f>IF(NFI_Expiration=1,IF($A649&lt;VLOOKUP(M$5,NFI,5,0),1,0)*Table_NFI[[#This Row],[Winter Blanket]],Table_NFI[[#This Row],[Winter Blanket]])</f>
        <v>0</v>
      </c>
      <c r="AM649" s="294">
        <f>IF(Table_NFI[[#This Row],[Winter Clothes Adult]]+Table_NFI[[#This Row],[Winter Clothes Children]]+Table_NFI[[#This Row],[Winter Items Other]]+Table_NFI[[#This Row],[Winter Blanket]]&gt;0,1,0)</f>
        <v>0</v>
      </c>
      <c r="AN649" s="331">
        <f>IF(NFI_Expiration=1,IF($A649&lt;VLOOKUP(V$5,NFI,5,0),1,0)*Table_NFI[[#This Row],[Jerry Can]],Table_NFI[Jerry Can])</f>
        <v>0</v>
      </c>
      <c r="AO649" s="331">
        <f>IF(NFI_Expiration=1,IF($A649&lt;VLOOKUP(V$5,NFI,5,0),1,0)*Table_NFI[[#This Row],[Shelter Tool kit]],Table_NFI[Shelter Tool kit])</f>
        <v>0</v>
      </c>
      <c r="AP649" s="331">
        <f>IF(NFI_Expiration=1,IF($A649&lt;VLOOKUP(V$5,NFI,5,0),1,0)*Table_NFI[[#This Row],[Tent]],Table_NFI[Tent])</f>
        <v>0</v>
      </c>
      <c r="AQ649" s="473" t="str">
        <f>IFERROR(VLOOKUP(Table_NFI[[#This Row],[Camp Name]],CL,2,0),"")</f>
        <v>MMR001CMP027</v>
      </c>
      <c r="AR649" s="468">
        <f ca="1">IF(Table_NFI[[#This Row],[Pcode]]="","",IF(OFFSET(CampList[Opening Date],MATCH(Table_NFI[[#This Row],[Pcode]],CampList[CP_Pcode],0)-1,0,1,1)&gt;=NFI_Monitor_Date,1,0))</f>
        <v>0</v>
      </c>
      <c r="AS649" s="473" t="str">
        <f>IFERROR(VLOOKUP(Table_NFI[[#This Row],[Camp Name]],CL,3,0),"")</f>
        <v>Open</v>
      </c>
      <c r="AT649" s="294" t="str">
        <f ca="1">IF(Table_NFI[[#This Row],[Pcode]]="","",OFFSET(CampList[Priority],MATCH(Table_NFI[[#This Row],[Pcode]],CampList[CP_Pcode],0)-1,0,1,1))</f>
        <v>P4</v>
      </c>
      <c r="AU649" s="293">
        <f>IFERROR(Table_NFI[[#This Row],[Kitchen Set]]/VLOOKUP(Table_NFI[[#This Row],[Camp Name]],CL,4,0),"")</f>
        <v>0.8</v>
      </c>
      <c r="AV649" s="466" t="s">
        <v>1092</v>
      </c>
      <c r="AW649" s="469"/>
    </row>
    <row r="650" spans="1:49" ht="14.45" customHeight="1" x14ac:dyDescent="0.25">
      <c r="A650" s="297">
        <f t="shared" si="10"/>
        <v>39.4</v>
      </c>
      <c r="B650" s="465">
        <v>41493</v>
      </c>
      <c r="C650" s="466" t="s">
        <v>452</v>
      </c>
      <c r="D650" s="467" t="s">
        <v>452</v>
      </c>
      <c r="E650" s="466" t="s">
        <v>380</v>
      </c>
      <c r="F650" s="290" t="s">
        <v>310</v>
      </c>
      <c r="G650" s="290" t="s">
        <v>328</v>
      </c>
      <c r="H650" s="291"/>
      <c r="I650" s="291"/>
      <c r="J650" s="291">
        <v>20</v>
      </c>
      <c r="K650" s="291">
        <v>40</v>
      </c>
      <c r="L650" s="292">
        <v>17</v>
      </c>
      <c r="M650" s="292">
        <v>40</v>
      </c>
      <c r="N650" s="292">
        <v>17</v>
      </c>
      <c r="O650" s="292">
        <v>17</v>
      </c>
      <c r="P650" s="294">
        <v>17</v>
      </c>
      <c r="Q650" s="294">
        <v>17</v>
      </c>
      <c r="R650" s="294"/>
      <c r="S650" s="294"/>
      <c r="T650" s="294"/>
      <c r="U650" s="294"/>
      <c r="V650" s="431"/>
      <c r="W650" s="294"/>
      <c r="X650" s="294"/>
      <c r="Y650" s="294">
        <f>IF(NFI_Expiration=1,IF($A650&lt;VLOOKUP(H$5,NFI,5,0),1,0)*Table_NFI[[#This Row],[Hygiene Kit]],Table_NFI[Hygiene Kit])</f>
        <v>0</v>
      </c>
      <c r="Z650" s="294">
        <f>IF(NFI_Expiration=1,IF($A650&lt;VLOOKUP(I$5,NFI,5,0),1,0)*Table_NFI[[#This Row],[NFI Core Kit]],Table_NFI[NFI Core Kit])</f>
        <v>0</v>
      </c>
      <c r="AA650" s="294">
        <f>IF(NFI_Expiration=1,IF($A650&lt;VLOOKUP(J$5,NFI,5,0),1,0)*Table_NFI[[#This Row],[Sanitary Kit]],Table_NFI[Sanitary Kit])</f>
        <v>0</v>
      </c>
      <c r="AB650" s="294">
        <f>IF(NFI_Expiration=1,IF($A650&lt;VLOOKUP(K$5,NFI,5,0),1,0)*Table_NFI[[#This Row],[Mosquito net]],Table_NFI[Mosquito net])</f>
        <v>0</v>
      </c>
      <c r="AC650" s="294">
        <f>IF(NFI_Expiration=1,IF($A650&lt;VLOOKUP(L$5,NFI,5,0),1,0)*Table_NFI[[#This Row],[Tarpaulin]],Table_NFI[[#This Row],[Tarpaulin]])</f>
        <v>0</v>
      </c>
      <c r="AD650" s="294">
        <f>IF(NFI_Expiration=1,IF($A650&lt;VLOOKUP(M$5,NFI,5,0),1,0)*Table_NFI[[#This Row],[Blanket]],Table_NFI[[#This Row],[Blanket]])</f>
        <v>0</v>
      </c>
      <c r="AE650" s="294">
        <f>IF(NFI_Expiration=1,IF($A650&lt;VLOOKUP(N$5,NFI,5,0),1,0)*Table_NFI[[#This Row],[Kitchen Set]],Table_NFI[Kitchen Set])</f>
        <v>0</v>
      </c>
      <c r="AF650" s="294">
        <f>IF(NFI_Expiration=1,IF($A650&lt;VLOOKUP(O$5,NFI,5,0),1,0)*Table_NFI[[#This Row],[Clothes Kit]],Table_NFI[Clothes Kit])</f>
        <v>0</v>
      </c>
      <c r="AG650" s="294">
        <f>IF(NFI_Expiration=1,IF($A650&lt;VLOOKUP(P$5,NFI,5,0),1,0)*Table_NFI[[#This Row],[Plastic Bucket]],Table_NFI[Plastic Bucket])</f>
        <v>0</v>
      </c>
      <c r="AH650" s="294">
        <f>IF(NFI_Expiration=1,IF($A650&lt;VLOOKUP(Q$5,NFI,5,0),1,0)*Table_NFI[[#This Row],[Plastic Mat]],Table_NFI[Plastic Mat])*IF(Table_NFI[[#This Row],[Distribution Date]]&gt;"2014-04-01",1,2.5)</f>
        <v>0</v>
      </c>
      <c r="AI650" s="294">
        <f>IF(NFI_Expiration=1,IF($A650&lt;VLOOKUP(R$5,NFI,5,0),1,0)*Table_NFI[[#This Row],[Winter Clothes Adult]],Table_NFI[Winter Clothes Adult])</f>
        <v>0</v>
      </c>
      <c r="AJ650" s="294">
        <f>IF(NFI_Expiration=1,IF($A650&lt;VLOOKUP(S$5,NFI,5,0),1,0)*Table_NFI[[#This Row],[Winter Clothes Children]],Table_NFI[Winter Clothes Children])</f>
        <v>0</v>
      </c>
      <c r="AK650" s="294">
        <f>IF(NFI_Expiration=1,IF($A650&lt;VLOOKUP(T$5,NFI,5,0),1,0)*Table_NFI[[#This Row],[Winter Items Other]],Table_NFI[Winter Items Other])</f>
        <v>0</v>
      </c>
      <c r="AL650" s="294">
        <f>IF(NFI_Expiration=1,IF($A650&lt;VLOOKUP(M$5,NFI,5,0),1,0)*Table_NFI[[#This Row],[Winter Blanket]],Table_NFI[[#This Row],[Winter Blanket]])</f>
        <v>0</v>
      </c>
      <c r="AM650" s="294">
        <f>IF(Table_NFI[[#This Row],[Winter Clothes Adult]]+Table_NFI[[#This Row],[Winter Clothes Children]]+Table_NFI[[#This Row],[Winter Items Other]]+Table_NFI[[#This Row],[Winter Blanket]]&gt;0,1,0)</f>
        <v>0</v>
      </c>
      <c r="AN650" s="331">
        <f>IF(NFI_Expiration=1,IF($A650&lt;VLOOKUP(V$5,NFI,5,0),1,0)*Table_NFI[[#This Row],[Jerry Can]],Table_NFI[Jerry Can])</f>
        <v>0</v>
      </c>
      <c r="AO650" s="331">
        <f>IF(NFI_Expiration=1,IF($A650&lt;VLOOKUP(V$5,NFI,5,0),1,0)*Table_NFI[[#This Row],[Shelter Tool kit]],Table_NFI[Shelter Tool kit])</f>
        <v>0</v>
      </c>
      <c r="AP650" s="331">
        <f>IF(NFI_Expiration=1,IF($A650&lt;VLOOKUP(V$5,NFI,5,0),1,0)*Table_NFI[[#This Row],[Tent]],Table_NFI[Tent])</f>
        <v>0</v>
      </c>
      <c r="AQ650" s="473" t="str">
        <f>IFERROR(VLOOKUP(Table_NFI[[#This Row],[Camp Name]],CL,2,0),"")</f>
        <v>MMR001CMP031</v>
      </c>
      <c r="AR650" s="468">
        <f ca="1">IF(Table_NFI[[#This Row],[Pcode]]="","",IF(OFFSET(CampList[Opening Date],MATCH(Table_NFI[[#This Row],[Pcode]],CampList[CP_Pcode],0)-1,0,1,1)&gt;=NFI_Monitor_Date,1,0))</f>
        <v>0</v>
      </c>
      <c r="AS650" s="473" t="str">
        <f>IFERROR(VLOOKUP(Table_NFI[[#This Row],[Camp Name]],CL,3,0),"")</f>
        <v>Open</v>
      </c>
      <c r="AT650" s="294" t="str">
        <f ca="1">IF(Table_NFI[[#This Row],[Pcode]]="","",OFFSET(CampList[Priority],MATCH(Table_NFI[[#This Row],[Pcode]],CampList[CP_Pcode],0)-1,0,1,1))</f>
        <v>P4</v>
      </c>
      <c r="AU650" s="293">
        <f>IFERROR(Table_NFI[[#This Row],[Kitchen Set]]/VLOOKUP(Table_NFI[[#This Row],[Camp Name]],CL,4,0),"")</f>
        <v>0.11409395973154363</v>
      </c>
      <c r="AV650" s="466" t="s">
        <v>1092</v>
      </c>
      <c r="AW650" s="469"/>
    </row>
    <row r="651" spans="1:49" ht="14.45" customHeight="1" x14ac:dyDescent="0.25">
      <c r="A651" s="297">
        <f t="shared" si="10"/>
        <v>39.4</v>
      </c>
      <c r="B651" s="465">
        <v>41493</v>
      </c>
      <c r="C651" s="466" t="s">
        <v>452</v>
      </c>
      <c r="D651" s="467" t="s">
        <v>452</v>
      </c>
      <c r="E651" s="466" t="s">
        <v>380</v>
      </c>
      <c r="F651" s="290" t="s">
        <v>237</v>
      </c>
      <c r="G651" s="290" t="s">
        <v>259</v>
      </c>
      <c r="H651" s="291"/>
      <c r="I651" s="291"/>
      <c r="J651" s="291">
        <v>15</v>
      </c>
      <c r="K651" s="291">
        <v>25</v>
      </c>
      <c r="L651" s="292">
        <v>11</v>
      </c>
      <c r="M651" s="292">
        <v>25</v>
      </c>
      <c r="N651" s="292">
        <v>11</v>
      </c>
      <c r="O651" s="292">
        <v>11</v>
      </c>
      <c r="P651" s="294">
        <v>11</v>
      </c>
      <c r="Q651" s="294">
        <v>11</v>
      </c>
      <c r="R651" s="294"/>
      <c r="S651" s="294"/>
      <c r="T651" s="294"/>
      <c r="U651" s="294"/>
      <c r="V651" s="431"/>
      <c r="W651" s="294"/>
      <c r="X651" s="294"/>
      <c r="Y651" s="294">
        <f>IF(NFI_Expiration=1,IF($A651&lt;VLOOKUP(H$5,NFI,5,0),1,0)*Table_NFI[[#This Row],[Hygiene Kit]],Table_NFI[Hygiene Kit])</f>
        <v>0</v>
      </c>
      <c r="Z651" s="294">
        <f>IF(NFI_Expiration=1,IF($A651&lt;VLOOKUP(I$5,NFI,5,0),1,0)*Table_NFI[[#This Row],[NFI Core Kit]],Table_NFI[NFI Core Kit])</f>
        <v>0</v>
      </c>
      <c r="AA651" s="294">
        <f>IF(NFI_Expiration=1,IF($A651&lt;VLOOKUP(J$5,NFI,5,0),1,0)*Table_NFI[[#This Row],[Sanitary Kit]],Table_NFI[Sanitary Kit])</f>
        <v>0</v>
      </c>
      <c r="AB651" s="294">
        <f>IF(NFI_Expiration=1,IF($A651&lt;VLOOKUP(K$5,NFI,5,0),1,0)*Table_NFI[[#This Row],[Mosquito net]],Table_NFI[Mosquito net])</f>
        <v>0</v>
      </c>
      <c r="AC651" s="294">
        <f>IF(NFI_Expiration=1,IF($A651&lt;VLOOKUP(L$5,NFI,5,0),1,0)*Table_NFI[[#This Row],[Tarpaulin]],Table_NFI[[#This Row],[Tarpaulin]])</f>
        <v>0</v>
      </c>
      <c r="AD651" s="294">
        <f>IF(NFI_Expiration=1,IF($A651&lt;VLOOKUP(M$5,NFI,5,0),1,0)*Table_NFI[[#This Row],[Blanket]],Table_NFI[[#This Row],[Blanket]])</f>
        <v>0</v>
      </c>
      <c r="AE651" s="294">
        <f>IF(NFI_Expiration=1,IF($A651&lt;VLOOKUP(N$5,NFI,5,0),1,0)*Table_NFI[[#This Row],[Kitchen Set]],Table_NFI[Kitchen Set])</f>
        <v>0</v>
      </c>
      <c r="AF651" s="294">
        <f>IF(NFI_Expiration=1,IF($A651&lt;VLOOKUP(O$5,NFI,5,0),1,0)*Table_NFI[[#This Row],[Clothes Kit]],Table_NFI[Clothes Kit])</f>
        <v>0</v>
      </c>
      <c r="AG651" s="294">
        <f>IF(NFI_Expiration=1,IF($A651&lt;VLOOKUP(P$5,NFI,5,0),1,0)*Table_NFI[[#This Row],[Plastic Bucket]],Table_NFI[Plastic Bucket])</f>
        <v>0</v>
      </c>
      <c r="AH651" s="294">
        <f>IF(NFI_Expiration=1,IF($A651&lt;VLOOKUP(Q$5,NFI,5,0),1,0)*Table_NFI[[#This Row],[Plastic Mat]],Table_NFI[Plastic Mat])*IF(Table_NFI[[#This Row],[Distribution Date]]&gt;"2014-04-01",1,2.5)</f>
        <v>0</v>
      </c>
      <c r="AI651" s="294">
        <f>IF(NFI_Expiration=1,IF($A651&lt;VLOOKUP(R$5,NFI,5,0),1,0)*Table_NFI[[#This Row],[Winter Clothes Adult]],Table_NFI[Winter Clothes Adult])</f>
        <v>0</v>
      </c>
      <c r="AJ651" s="294">
        <f>IF(NFI_Expiration=1,IF($A651&lt;VLOOKUP(S$5,NFI,5,0),1,0)*Table_NFI[[#This Row],[Winter Clothes Children]],Table_NFI[Winter Clothes Children])</f>
        <v>0</v>
      </c>
      <c r="AK651" s="294">
        <f>IF(NFI_Expiration=1,IF($A651&lt;VLOOKUP(T$5,NFI,5,0),1,0)*Table_NFI[[#This Row],[Winter Items Other]],Table_NFI[Winter Items Other])</f>
        <v>0</v>
      </c>
      <c r="AL651" s="294">
        <f>IF(NFI_Expiration=1,IF($A651&lt;VLOOKUP(M$5,NFI,5,0),1,0)*Table_NFI[[#This Row],[Winter Blanket]],Table_NFI[[#This Row],[Winter Blanket]])</f>
        <v>0</v>
      </c>
      <c r="AM651" s="294">
        <f>IF(Table_NFI[[#This Row],[Winter Clothes Adult]]+Table_NFI[[#This Row],[Winter Clothes Children]]+Table_NFI[[#This Row],[Winter Items Other]]+Table_NFI[[#This Row],[Winter Blanket]]&gt;0,1,0)</f>
        <v>0</v>
      </c>
      <c r="AN651" s="331">
        <f>IF(NFI_Expiration=1,IF($A651&lt;VLOOKUP(V$5,NFI,5,0),1,0)*Table_NFI[[#This Row],[Jerry Can]],Table_NFI[Jerry Can])</f>
        <v>0</v>
      </c>
      <c r="AO651" s="331">
        <f>IF(NFI_Expiration=1,IF($A651&lt;VLOOKUP(V$5,NFI,5,0),1,0)*Table_NFI[[#This Row],[Shelter Tool kit]],Table_NFI[Shelter Tool kit])</f>
        <v>0</v>
      </c>
      <c r="AP651" s="331">
        <f>IF(NFI_Expiration=1,IF($A651&lt;VLOOKUP(V$5,NFI,5,0),1,0)*Table_NFI[[#This Row],[Tent]],Table_NFI[Tent])</f>
        <v>0</v>
      </c>
      <c r="AQ651" s="473" t="str">
        <f>IFERROR(VLOOKUP(Table_NFI[[#This Row],[Camp Name]],CL,2,0),"")</f>
        <v>MMR001CMP016</v>
      </c>
      <c r="AR651" s="468">
        <f ca="1">IF(Table_NFI[[#This Row],[Pcode]]="","",IF(OFFSET(CampList[Opening Date],MATCH(Table_NFI[[#This Row],[Pcode]],CampList[CP_Pcode],0)-1,0,1,1)&gt;=NFI_Monitor_Date,1,0))</f>
        <v>0</v>
      </c>
      <c r="AS651" s="473" t="str">
        <f>IFERROR(VLOOKUP(Table_NFI[[#This Row],[Camp Name]],CL,3,0),"")</f>
        <v>Open</v>
      </c>
      <c r="AT651" s="294" t="str">
        <f ca="1">IF(Table_NFI[[#This Row],[Pcode]]="","",OFFSET(CampList[Priority],MATCH(Table_NFI[[#This Row],[Pcode]],CampList[CP_Pcode],0)-1,0,1,1))</f>
        <v>P4</v>
      </c>
      <c r="AU651" s="293">
        <f>IFERROR(Table_NFI[[#This Row],[Kitchen Set]]/VLOOKUP(Table_NFI[[#This Row],[Camp Name]],CL,4,0),"")</f>
        <v>0.18333333333333332</v>
      </c>
      <c r="AV651" s="466" t="s">
        <v>1092</v>
      </c>
      <c r="AW651" s="469"/>
    </row>
    <row r="652" spans="1:49" ht="14.45" customHeight="1" x14ac:dyDescent="0.25">
      <c r="A652" s="297">
        <f t="shared" si="10"/>
        <v>39.866666666666667</v>
      </c>
      <c r="B652" s="465">
        <v>41479</v>
      </c>
      <c r="C652" s="466" t="s">
        <v>452</v>
      </c>
      <c r="D652" s="466" t="s">
        <v>460</v>
      </c>
      <c r="E652" s="466" t="s">
        <v>380</v>
      </c>
      <c r="F652" s="290" t="s">
        <v>237</v>
      </c>
      <c r="G652" s="290" t="s">
        <v>240</v>
      </c>
      <c r="H652" s="291"/>
      <c r="I652" s="291"/>
      <c r="J652" s="291">
        <v>66</v>
      </c>
      <c r="K652" s="291">
        <v>98</v>
      </c>
      <c r="L652" s="292">
        <v>45</v>
      </c>
      <c r="M652" s="292">
        <v>98</v>
      </c>
      <c r="N652" s="292">
        <v>45</v>
      </c>
      <c r="O652" s="292">
        <v>45</v>
      </c>
      <c r="P652" s="294">
        <v>45</v>
      </c>
      <c r="Q652" s="294">
        <v>45</v>
      </c>
      <c r="R652" s="294"/>
      <c r="S652" s="294"/>
      <c r="T652" s="294"/>
      <c r="U652" s="294"/>
      <c r="V652" s="431"/>
      <c r="W652" s="294"/>
      <c r="X652" s="294"/>
      <c r="Y652" s="294">
        <f>IF(NFI_Expiration=1,IF($A652&lt;VLOOKUP(H$5,NFI,5,0),1,0)*Table_NFI[[#This Row],[Hygiene Kit]],Table_NFI[Hygiene Kit])</f>
        <v>0</v>
      </c>
      <c r="Z652" s="294">
        <f>IF(NFI_Expiration=1,IF($A652&lt;VLOOKUP(I$5,NFI,5,0),1,0)*Table_NFI[[#This Row],[NFI Core Kit]],Table_NFI[NFI Core Kit])</f>
        <v>0</v>
      </c>
      <c r="AA652" s="294">
        <f>IF(NFI_Expiration=1,IF($A652&lt;VLOOKUP(J$5,NFI,5,0),1,0)*Table_NFI[[#This Row],[Sanitary Kit]],Table_NFI[Sanitary Kit])</f>
        <v>0</v>
      </c>
      <c r="AB652" s="294">
        <f>IF(NFI_Expiration=1,IF($A652&lt;VLOOKUP(K$5,NFI,5,0),1,0)*Table_NFI[[#This Row],[Mosquito net]],Table_NFI[Mosquito net])</f>
        <v>0</v>
      </c>
      <c r="AC652" s="294">
        <f>IF(NFI_Expiration=1,IF($A652&lt;VLOOKUP(L$5,NFI,5,0),1,0)*Table_NFI[[#This Row],[Tarpaulin]],Table_NFI[[#This Row],[Tarpaulin]])</f>
        <v>0</v>
      </c>
      <c r="AD652" s="294">
        <f>IF(NFI_Expiration=1,IF($A652&lt;VLOOKUP(M$5,NFI,5,0),1,0)*Table_NFI[[#This Row],[Blanket]],Table_NFI[[#This Row],[Blanket]])</f>
        <v>0</v>
      </c>
      <c r="AE652" s="294">
        <f>IF(NFI_Expiration=1,IF($A652&lt;VLOOKUP(N$5,NFI,5,0),1,0)*Table_NFI[[#This Row],[Kitchen Set]],Table_NFI[Kitchen Set])</f>
        <v>0</v>
      </c>
      <c r="AF652" s="294">
        <f>IF(NFI_Expiration=1,IF($A652&lt;VLOOKUP(O$5,NFI,5,0),1,0)*Table_NFI[[#This Row],[Clothes Kit]],Table_NFI[Clothes Kit])</f>
        <v>0</v>
      </c>
      <c r="AG652" s="294">
        <f>IF(NFI_Expiration=1,IF($A652&lt;VLOOKUP(P$5,NFI,5,0),1,0)*Table_NFI[[#This Row],[Plastic Bucket]],Table_NFI[Plastic Bucket])</f>
        <v>0</v>
      </c>
      <c r="AH652" s="294">
        <f>IF(NFI_Expiration=1,IF($A652&lt;VLOOKUP(Q$5,NFI,5,0),1,0)*Table_NFI[[#This Row],[Plastic Mat]],Table_NFI[Plastic Mat])*IF(Table_NFI[[#This Row],[Distribution Date]]&gt;"2014-04-01",1,2.5)</f>
        <v>0</v>
      </c>
      <c r="AI652" s="294">
        <f>IF(NFI_Expiration=1,IF($A652&lt;VLOOKUP(R$5,NFI,5,0),1,0)*Table_NFI[[#This Row],[Winter Clothes Adult]],Table_NFI[Winter Clothes Adult])</f>
        <v>0</v>
      </c>
      <c r="AJ652" s="294">
        <f>IF(NFI_Expiration=1,IF($A652&lt;VLOOKUP(S$5,NFI,5,0),1,0)*Table_NFI[[#This Row],[Winter Clothes Children]],Table_NFI[Winter Clothes Children])</f>
        <v>0</v>
      </c>
      <c r="AK652" s="294">
        <f>IF(NFI_Expiration=1,IF($A652&lt;VLOOKUP(T$5,NFI,5,0),1,0)*Table_NFI[[#This Row],[Winter Items Other]],Table_NFI[Winter Items Other])</f>
        <v>0</v>
      </c>
      <c r="AL652" s="294">
        <f>IF(NFI_Expiration=1,IF($A652&lt;VLOOKUP(M$5,NFI,5,0),1,0)*Table_NFI[[#This Row],[Winter Blanket]],Table_NFI[[#This Row],[Winter Blanket]])</f>
        <v>0</v>
      </c>
      <c r="AM652" s="294">
        <f>IF(Table_NFI[[#This Row],[Winter Clothes Adult]]+Table_NFI[[#This Row],[Winter Clothes Children]]+Table_NFI[[#This Row],[Winter Items Other]]+Table_NFI[[#This Row],[Winter Blanket]]&gt;0,1,0)</f>
        <v>0</v>
      </c>
      <c r="AN652" s="331">
        <f>IF(NFI_Expiration=1,IF($A652&lt;VLOOKUP(V$5,NFI,5,0),1,0)*Table_NFI[[#This Row],[Jerry Can]],Table_NFI[Jerry Can])</f>
        <v>0</v>
      </c>
      <c r="AO652" s="331">
        <f>IF(NFI_Expiration=1,IF($A652&lt;VLOOKUP(V$5,NFI,5,0),1,0)*Table_NFI[[#This Row],[Shelter Tool kit]],Table_NFI[Shelter Tool kit])</f>
        <v>0</v>
      </c>
      <c r="AP652" s="331">
        <f>IF(NFI_Expiration=1,IF($A652&lt;VLOOKUP(V$5,NFI,5,0),1,0)*Table_NFI[[#This Row],[Tent]],Table_NFI[Tent])</f>
        <v>0</v>
      </c>
      <c r="AQ652" s="473" t="str">
        <f>IFERROR(VLOOKUP(Table_NFI[[#This Row],[Camp Name]],CL,2,0),"")</f>
        <v>MMR001CMP015</v>
      </c>
      <c r="AR652" s="468">
        <f ca="1">IF(Table_NFI[[#This Row],[Pcode]]="","",IF(OFFSET(CampList[Opening Date],MATCH(Table_NFI[[#This Row],[Pcode]],CampList[CP_Pcode],0)-1,0,1,1)&gt;=NFI_Monitor_Date,1,0))</f>
        <v>0</v>
      </c>
      <c r="AS652" s="473" t="str">
        <f>IFERROR(VLOOKUP(Table_NFI[[#This Row],[Camp Name]],CL,3,0),"")</f>
        <v>Open</v>
      </c>
      <c r="AT652" s="294" t="str">
        <f ca="1">IF(Table_NFI[[#This Row],[Pcode]]="","",OFFSET(CampList[Priority],MATCH(Table_NFI[[#This Row],[Pcode]],CampList[CP_Pcode],0)-1,0,1,1))</f>
        <v>P4</v>
      </c>
      <c r="AU652" s="293">
        <f>IFERROR(Table_NFI[[#This Row],[Kitchen Set]]/VLOOKUP(Table_NFI[[#This Row],[Camp Name]],CL,4,0),"")</f>
        <v>1.5</v>
      </c>
      <c r="AV652" s="466" t="s">
        <v>1092</v>
      </c>
      <c r="AW652" s="469"/>
    </row>
    <row r="653" spans="1:49" ht="14.45" customHeight="1" x14ac:dyDescent="0.25">
      <c r="A653" s="297">
        <f t="shared" si="10"/>
        <v>39.866666666666667</v>
      </c>
      <c r="B653" s="465">
        <v>41479</v>
      </c>
      <c r="C653" s="466" t="s">
        <v>452</v>
      </c>
      <c r="D653" s="467" t="s">
        <v>460</v>
      </c>
      <c r="E653" s="466" t="s">
        <v>380</v>
      </c>
      <c r="F653" s="290" t="s">
        <v>237</v>
      </c>
      <c r="G653" s="290" t="s">
        <v>285</v>
      </c>
      <c r="H653" s="291"/>
      <c r="I653" s="291"/>
      <c r="J653" s="291">
        <v>100</v>
      </c>
      <c r="K653" s="291">
        <v>158</v>
      </c>
      <c r="L653" s="292">
        <v>65</v>
      </c>
      <c r="M653" s="292">
        <v>158</v>
      </c>
      <c r="N653" s="292">
        <v>65</v>
      </c>
      <c r="O653" s="292">
        <v>65</v>
      </c>
      <c r="P653" s="294">
        <v>65</v>
      </c>
      <c r="Q653" s="294">
        <v>65</v>
      </c>
      <c r="R653" s="294"/>
      <c r="S653" s="294"/>
      <c r="T653" s="294"/>
      <c r="U653" s="294"/>
      <c r="V653" s="431"/>
      <c r="W653" s="294"/>
      <c r="X653" s="294"/>
      <c r="Y653" s="294">
        <f>IF(NFI_Expiration=1,IF($A653&lt;VLOOKUP(H$5,NFI,5,0),1,0)*Table_NFI[[#This Row],[Hygiene Kit]],Table_NFI[Hygiene Kit])</f>
        <v>0</v>
      </c>
      <c r="Z653" s="294">
        <f>IF(NFI_Expiration=1,IF($A653&lt;VLOOKUP(I$5,NFI,5,0),1,0)*Table_NFI[[#This Row],[NFI Core Kit]],Table_NFI[NFI Core Kit])</f>
        <v>0</v>
      </c>
      <c r="AA653" s="294">
        <f>IF(NFI_Expiration=1,IF($A653&lt;VLOOKUP(J$5,NFI,5,0),1,0)*Table_NFI[[#This Row],[Sanitary Kit]],Table_NFI[Sanitary Kit])</f>
        <v>0</v>
      </c>
      <c r="AB653" s="294">
        <f>IF(NFI_Expiration=1,IF($A653&lt;VLOOKUP(K$5,NFI,5,0),1,0)*Table_NFI[[#This Row],[Mosquito net]],Table_NFI[Mosquito net])</f>
        <v>0</v>
      </c>
      <c r="AC653" s="294">
        <f>IF(NFI_Expiration=1,IF($A653&lt;VLOOKUP(L$5,NFI,5,0),1,0)*Table_NFI[[#This Row],[Tarpaulin]],Table_NFI[[#This Row],[Tarpaulin]])</f>
        <v>0</v>
      </c>
      <c r="AD653" s="294">
        <f>IF(NFI_Expiration=1,IF($A653&lt;VLOOKUP(M$5,NFI,5,0),1,0)*Table_NFI[[#This Row],[Blanket]],Table_NFI[[#This Row],[Blanket]])</f>
        <v>0</v>
      </c>
      <c r="AE653" s="294">
        <f>IF(NFI_Expiration=1,IF($A653&lt;VLOOKUP(N$5,NFI,5,0),1,0)*Table_NFI[[#This Row],[Kitchen Set]],Table_NFI[Kitchen Set])</f>
        <v>0</v>
      </c>
      <c r="AF653" s="294">
        <f>IF(NFI_Expiration=1,IF($A653&lt;VLOOKUP(O$5,NFI,5,0),1,0)*Table_NFI[[#This Row],[Clothes Kit]],Table_NFI[Clothes Kit])</f>
        <v>0</v>
      </c>
      <c r="AG653" s="294">
        <f>IF(NFI_Expiration=1,IF($A653&lt;VLOOKUP(P$5,NFI,5,0),1,0)*Table_NFI[[#This Row],[Plastic Bucket]],Table_NFI[Plastic Bucket])</f>
        <v>0</v>
      </c>
      <c r="AH653" s="294">
        <f>IF(NFI_Expiration=1,IF($A653&lt;VLOOKUP(Q$5,NFI,5,0),1,0)*Table_NFI[[#This Row],[Plastic Mat]],Table_NFI[Plastic Mat])*IF(Table_NFI[[#This Row],[Distribution Date]]&gt;"2014-04-01",1,2.5)</f>
        <v>0</v>
      </c>
      <c r="AI653" s="294">
        <f>IF(NFI_Expiration=1,IF($A653&lt;VLOOKUP(R$5,NFI,5,0),1,0)*Table_NFI[[#This Row],[Winter Clothes Adult]],Table_NFI[Winter Clothes Adult])</f>
        <v>0</v>
      </c>
      <c r="AJ653" s="294">
        <f>IF(NFI_Expiration=1,IF($A653&lt;VLOOKUP(S$5,NFI,5,0),1,0)*Table_NFI[[#This Row],[Winter Clothes Children]],Table_NFI[Winter Clothes Children])</f>
        <v>0</v>
      </c>
      <c r="AK653" s="294">
        <f>IF(NFI_Expiration=1,IF($A653&lt;VLOOKUP(T$5,NFI,5,0),1,0)*Table_NFI[[#This Row],[Winter Items Other]],Table_NFI[Winter Items Other])</f>
        <v>0</v>
      </c>
      <c r="AL653" s="294">
        <f>IF(NFI_Expiration=1,IF($A653&lt;VLOOKUP(M$5,NFI,5,0),1,0)*Table_NFI[[#This Row],[Winter Blanket]],Table_NFI[[#This Row],[Winter Blanket]])</f>
        <v>0</v>
      </c>
      <c r="AM653" s="294">
        <f>IF(Table_NFI[[#This Row],[Winter Clothes Adult]]+Table_NFI[[#This Row],[Winter Clothes Children]]+Table_NFI[[#This Row],[Winter Items Other]]+Table_NFI[[#This Row],[Winter Blanket]]&gt;0,1,0)</f>
        <v>0</v>
      </c>
      <c r="AN653" s="331">
        <f>IF(NFI_Expiration=1,IF($A653&lt;VLOOKUP(V$5,NFI,5,0),1,0)*Table_NFI[[#This Row],[Jerry Can]],Table_NFI[Jerry Can])</f>
        <v>0</v>
      </c>
      <c r="AO653" s="331">
        <f>IF(NFI_Expiration=1,IF($A653&lt;VLOOKUP(V$5,NFI,5,0),1,0)*Table_NFI[[#This Row],[Shelter Tool kit]],Table_NFI[Shelter Tool kit])</f>
        <v>0</v>
      </c>
      <c r="AP653" s="331">
        <f>IF(NFI_Expiration=1,IF($A653&lt;VLOOKUP(V$5,NFI,5,0),1,0)*Table_NFI[[#This Row],[Tent]],Table_NFI[Tent])</f>
        <v>0</v>
      </c>
      <c r="AQ653" s="473" t="str">
        <f>IFERROR(VLOOKUP(Table_NFI[[#This Row],[Camp Name]],CL,2,0),"")</f>
        <v>MMR001CMP014</v>
      </c>
      <c r="AR653" s="468">
        <f ca="1">IF(Table_NFI[[#This Row],[Pcode]]="","",IF(OFFSET(CampList[Opening Date],MATCH(Table_NFI[[#This Row],[Pcode]],CampList[CP_Pcode],0)-1,0,1,1)&gt;=NFI_Monitor_Date,1,0))</f>
        <v>0</v>
      </c>
      <c r="AS653" s="473" t="str">
        <f>IFERROR(VLOOKUP(Table_NFI[[#This Row],[Camp Name]],CL,3,0),"")</f>
        <v>Open</v>
      </c>
      <c r="AT653" s="294" t="str">
        <f ca="1">IF(Table_NFI[[#This Row],[Pcode]]="","",OFFSET(CampList[Priority],MATCH(Table_NFI[[#This Row],[Pcode]],CampList[CP_Pcode],0)-1,0,1,1))</f>
        <v>P4</v>
      </c>
      <c r="AU653" s="293">
        <f>IFERROR(Table_NFI[[#This Row],[Kitchen Set]]/VLOOKUP(Table_NFI[[#This Row],[Camp Name]],CL,4,0),"")</f>
        <v>0.76470588235294112</v>
      </c>
      <c r="AV653" s="466" t="s">
        <v>1092</v>
      </c>
      <c r="AW653" s="469"/>
    </row>
    <row r="654" spans="1:49" ht="14.45" customHeight="1" x14ac:dyDescent="0.25">
      <c r="A654" s="297">
        <f t="shared" si="10"/>
        <v>39.866666666666667</v>
      </c>
      <c r="B654" s="465">
        <v>41479</v>
      </c>
      <c r="C654" s="466" t="s">
        <v>452</v>
      </c>
      <c r="D654" s="467" t="s">
        <v>505</v>
      </c>
      <c r="E654" s="466" t="s">
        <v>380</v>
      </c>
      <c r="F654" s="290" t="s">
        <v>310</v>
      </c>
      <c r="G654" s="290" t="s">
        <v>328</v>
      </c>
      <c r="H654" s="291"/>
      <c r="I654" s="291"/>
      <c r="J654" s="291">
        <v>10</v>
      </c>
      <c r="K654" s="291">
        <v>14</v>
      </c>
      <c r="L654" s="292">
        <v>7</v>
      </c>
      <c r="M654" s="292">
        <v>14</v>
      </c>
      <c r="N654" s="292">
        <v>7</v>
      </c>
      <c r="O654" s="292">
        <v>7</v>
      </c>
      <c r="P654" s="294">
        <v>7</v>
      </c>
      <c r="Q654" s="294">
        <v>7</v>
      </c>
      <c r="R654" s="294"/>
      <c r="S654" s="294"/>
      <c r="T654" s="294"/>
      <c r="U654" s="294"/>
      <c r="V654" s="431"/>
      <c r="W654" s="294"/>
      <c r="X654" s="294"/>
      <c r="Y654" s="294">
        <f>IF(NFI_Expiration=1,IF($A654&lt;VLOOKUP(H$5,NFI,5,0),1,0)*Table_NFI[[#This Row],[Hygiene Kit]],Table_NFI[Hygiene Kit])</f>
        <v>0</v>
      </c>
      <c r="Z654" s="294">
        <f>IF(NFI_Expiration=1,IF($A654&lt;VLOOKUP(I$5,NFI,5,0),1,0)*Table_NFI[[#This Row],[NFI Core Kit]],Table_NFI[NFI Core Kit])</f>
        <v>0</v>
      </c>
      <c r="AA654" s="294">
        <f>IF(NFI_Expiration=1,IF($A654&lt;VLOOKUP(J$5,NFI,5,0),1,0)*Table_NFI[[#This Row],[Sanitary Kit]],Table_NFI[Sanitary Kit])</f>
        <v>0</v>
      </c>
      <c r="AB654" s="294">
        <f>IF(NFI_Expiration=1,IF($A654&lt;VLOOKUP(K$5,NFI,5,0),1,0)*Table_NFI[[#This Row],[Mosquito net]],Table_NFI[Mosquito net])</f>
        <v>0</v>
      </c>
      <c r="AC654" s="294">
        <f>IF(NFI_Expiration=1,IF($A654&lt;VLOOKUP(L$5,NFI,5,0),1,0)*Table_NFI[[#This Row],[Tarpaulin]],Table_NFI[[#This Row],[Tarpaulin]])</f>
        <v>0</v>
      </c>
      <c r="AD654" s="294">
        <f>IF(NFI_Expiration=1,IF($A654&lt;VLOOKUP(M$5,NFI,5,0),1,0)*Table_NFI[[#This Row],[Blanket]],Table_NFI[[#This Row],[Blanket]])</f>
        <v>0</v>
      </c>
      <c r="AE654" s="294">
        <f>IF(NFI_Expiration=1,IF($A654&lt;VLOOKUP(N$5,NFI,5,0),1,0)*Table_NFI[[#This Row],[Kitchen Set]],Table_NFI[Kitchen Set])</f>
        <v>0</v>
      </c>
      <c r="AF654" s="294">
        <f>IF(NFI_Expiration=1,IF($A654&lt;VLOOKUP(O$5,NFI,5,0),1,0)*Table_NFI[[#This Row],[Clothes Kit]],Table_NFI[Clothes Kit])</f>
        <v>0</v>
      </c>
      <c r="AG654" s="294">
        <f>IF(NFI_Expiration=1,IF($A654&lt;VLOOKUP(P$5,NFI,5,0),1,0)*Table_NFI[[#This Row],[Plastic Bucket]],Table_NFI[Plastic Bucket])</f>
        <v>0</v>
      </c>
      <c r="AH654" s="294">
        <f>IF(NFI_Expiration=1,IF($A654&lt;VLOOKUP(Q$5,NFI,5,0),1,0)*Table_NFI[[#This Row],[Plastic Mat]],Table_NFI[Plastic Mat])*IF(Table_NFI[[#This Row],[Distribution Date]]&gt;"2014-04-01",1,2.5)</f>
        <v>0</v>
      </c>
      <c r="AI654" s="294">
        <f>IF(NFI_Expiration=1,IF($A654&lt;VLOOKUP(R$5,NFI,5,0),1,0)*Table_NFI[[#This Row],[Winter Clothes Adult]],Table_NFI[Winter Clothes Adult])</f>
        <v>0</v>
      </c>
      <c r="AJ654" s="294">
        <f>IF(NFI_Expiration=1,IF($A654&lt;VLOOKUP(S$5,NFI,5,0),1,0)*Table_NFI[[#This Row],[Winter Clothes Children]],Table_NFI[Winter Clothes Children])</f>
        <v>0</v>
      </c>
      <c r="AK654" s="294">
        <f>IF(NFI_Expiration=1,IF($A654&lt;VLOOKUP(T$5,NFI,5,0),1,0)*Table_NFI[[#This Row],[Winter Items Other]],Table_NFI[Winter Items Other])</f>
        <v>0</v>
      </c>
      <c r="AL654" s="294">
        <f>IF(NFI_Expiration=1,IF($A654&lt;VLOOKUP(M$5,NFI,5,0),1,0)*Table_NFI[[#This Row],[Winter Blanket]],Table_NFI[[#This Row],[Winter Blanket]])</f>
        <v>0</v>
      </c>
      <c r="AM654" s="294">
        <f>IF(Table_NFI[[#This Row],[Winter Clothes Adult]]+Table_NFI[[#This Row],[Winter Clothes Children]]+Table_NFI[[#This Row],[Winter Items Other]]+Table_NFI[[#This Row],[Winter Blanket]]&gt;0,1,0)</f>
        <v>0</v>
      </c>
      <c r="AN654" s="331">
        <f>IF(NFI_Expiration=1,IF($A654&lt;VLOOKUP(V$5,NFI,5,0),1,0)*Table_NFI[[#This Row],[Jerry Can]],Table_NFI[Jerry Can])</f>
        <v>0</v>
      </c>
      <c r="AO654" s="331">
        <f>IF(NFI_Expiration=1,IF($A654&lt;VLOOKUP(V$5,NFI,5,0),1,0)*Table_NFI[[#This Row],[Shelter Tool kit]],Table_NFI[Shelter Tool kit])</f>
        <v>0</v>
      </c>
      <c r="AP654" s="331">
        <f>IF(NFI_Expiration=1,IF($A654&lt;VLOOKUP(V$5,NFI,5,0),1,0)*Table_NFI[[#This Row],[Tent]],Table_NFI[Tent])</f>
        <v>0</v>
      </c>
      <c r="AQ654" s="473" t="str">
        <f>IFERROR(VLOOKUP(Table_NFI[[#This Row],[Camp Name]],CL,2,0),"")</f>
        <v>MMR001CMP031</v>
      </c>
      <c r="AR654" s="468">
        <f ca="1">IF(Table_NFI[[#This Row],[Pcode]]="","",IF(OFFSET(CampList[Opening Date],MATCH(Table_NFI[[#This Row],[Pcode]],CampList[CP_Pcode],0)-1,0,1,1)&gt;=NFI_Monitor_Date,1,0))</f>
        <v>0</v>
      </c>
      <c r="AS654" s="473" t="str">
        <f>IFERROR(VLOOKUP(Table_NFI[[#This Row],[Camp Name]],CL,3,0),"")</f>
        <v>Open</v>
      </c>
      <c r="AT654" s="294" t="str">
        <f ca="1">IF(Table_NFI[[#This Row],[Pcode]]="","",OFFSET(CampList[Priority],MATCH(Table_NFI[[#This Row],[Pcode]],CampList[CP_Pcode],0)-1,0,1,1))</f>
        <v>P4</v>
      </c>
      <c r="AU654" s="293">
        <f>IFERROR(Table_NFI[[#This Row],[Kitchen Set]]/VLOOKUP(Table_NFI[[#This Row],[Camp Name]],CL,4,0),"")</f>
        <v>4.6979865771812082E-2</v>
      </c>
      <c r="AV654" s="466" t="s">
        <v>1092</v>
      </c>
      <c r="AW654" s="469"/>
    </row>
    <row r="655" spans="1:49" x14ac:dyDescent="0.25">
      <c r="A655" s="297">
        <f t="shared" si="10"/>
        <v>39.866666666666667</v>
      </c>
      <c r="B655" s="465">
        <v>41479</v>
      </c>
      <c r="C655" s="466" t="s">
        <v>452</v>
      </c>
      <c r="D655" s="466" t="s">
        <v>506</v>
      </c>
      <c r="E655" s="466" t="s">
        <v>380</v>
      </c>
      <c r="F655" s="466" t="s">
        <v>310</v>
      </c>
      <c r="G655" s="290" t="s">
        <v>330</v>
      </c>
      <c r="H655" s="291"/>
      <c r="I655" s="291"/>
      <c r="J655" s="291">
        <v>40</v>
      </c>
      <c r="K655" s="291">
        <v>49</v>
      </c>
      <c r="L655" s="292">
        <v>23</v>
      </c>
      <c r="M655" s="292">
        <v>49</v>
      </c>
      <c r="N655" s="292">
        <v>23</v>
      </c>
      <c r="O655" s="292">
        <v>23</v>
      </c>
      <c r="P655" s="294">
        <v>23</v>
      </c>
      <c r="Q655" s="294">
        <v>23</v>
      </c>
      <c r="R655" s="294"/>
      <c r="S655" s="294"/>
      <c r="T655" s="294"/>
      <c r="U655" s="294"/>
      <c r="V655" s="431"/>
      <c r="W655" s="294"/>
      <c r="X655" s="294"/>
      <c r="Y655" s="294">
        <f>IF(NFI_Expiration=1,IF($A655&lt;VLOOKUP(H$5,NFI,5,0),1,0)*Table_NFI[[#This Row],[Hygiene Kit]],Table_NFI[Hygiene Kit])</f>
        <v>0</v>
      </c>
      <c r="Z655" s="294">
        <f>IF(NFI_Expiration=1,IF($A655&lt;VLOOKUP(I$5,NFI,5,0),1,0)*Table_NFI[[#This Row],[NFI Core Kit]],Table_NFI[NFI Core Kit])</f>
        <v>0</v>
      </c>
      <c r="AA655" s="294">
        <f>IF(NFI_Expiration=1,IF($A655&lt;VLOOKUP(J$5,NFI,5,0),1,0)*Table_NFI[[#This Row],[Sanitary Kit]],Table_NFI[Sanitary Kit])</f>
        <v>0</v>
      </c>
      <c r="AB655" s="294">
        <f>IF(NFI_Expiration=1,IF($A655&lt;VLOOKUP(K$5,NFI,5,0),1,0)*Table_NFI[[#This Row],[Mosquito net]],Table_NFI[Mosquito net])</f>
        <v>0</v>
      </c>
      <c r="AC655" s="294">
        <f>IF(NFI_Expiration=1,IF($A655&lt;VLOOKUP(L$5,NFI,5,0),1,0)*Table_NFI[[#This Row],[Tarpaulin]],Table_NFI[[#This Row],[Tarpaulin]])</f>
        <v>0</v>
      </c>
      <c r="AD655" s="294">
        <f>IF(NFI_Expiration=1,IF($A655&lt;VLOOKUP(M$5,NFI,5,0),1,0)*Table_NFI[[#This Row],[Blanket]],Table_NFI[[#This Row],[Blanket]])</f>
        <v>0</v>
      </c>
      <c r="AE655" s="294">
        <f>IF(NFI_Expiration=1,IF($A655&lt;VLOOKUP(N$5,NFI,5,0),1,0)*Table_NFI[[#This Row],[Kitchen Set]],Table_NFI[Kitchen Set])</f>
        <v>0</v>
      </c>
      <c r="AF655" s="294">
        <f>IF(NFI_Expiration=1,IF($A655&lt;VLOOKUP(O$5,NFI,5,0),1,0)*Table_NFI[[#This Row],[Clothes Kit]],Table_NFI[Clothes Kit])</f>
        <v>0</v>
      </c>
      <c r="AG655" s="294">
        <f>IF(NFI_Expiration=1,IF($A655&lt;VLOOKUP(P$5,NFI,5,0),1,0)*Table_NFI[[#This Row],[Plastic Bucket]],Table_NFI[Plastic Bucket])</f>
        <v>0</v>
      </c>
      <c r="AH655" s="294">
        <f>IF(NFI_Expiration=1,IF($A655&lt;VLOOKUP(Q$5,NFI,5,0),1,0)*Table_NFI[[#This Row],[Plastic Mat]],Table_NFI[Plastic Mat])*IF(Table_NFI[[#This Row],[Distribution Date]]&gt;"2014-04-01",1,2.5)</f>
        <v>0</v>
      </c>
      <c r="AI655" s="294">
        <f>IF(NFI_Expiration=1,IF($A655&lt;VLOOKUP(R$5,NFI,5,0),1,0)*Table_NFI[[#This Row],[Winter Clothes Adult]],Table_NFI[Winter Clothes Adult])</f>
        <v>0</v>
      </c>
      <c r="AJ655" s="294">
        <f>IF(NFI_Expiration=1,IF($A655&lt;VLOOKUP(S$5,NFI,5,0),1,0)*Table_NFI[[#This Row],[Winter Clothes Children]],Table_NFI[Winter Clothes Children])</f>
        <v>0</v>
      </c>
      <c r="AK655" s="294">
        <f>IF(NFI_Expiration=1,IF($A655&lt;VLOOKUP(T$5,NFI,5,0),1,0)*Table_NFI[[#This Row],[Winter Items Other]],Table_NFI[Winter Items Other])</f>
        <v>0</v>
      </c>
      <c r="AL655" s="294">
        <f>IF(NFI_Expiration=1,IF($A655&lt;VLOOKUP(M$5,NFI,5,0),1,0)*Table_NFI[[#This Row],[Winter Blanket]],Table_NFI[[#This Row],[Winter Blanket]])</f>
        <v>0</v>
      </c>
      <c r="AM655" s="294">
        <f>IF(Table_NFI[[#This Row],[Winter Clothes Adult]]+Table_NFI[[#This Row],[Winter Clothes Children]]+Table_NFI[[#This Row],[Winter Items Other]]+Table_NFI[[#This Row],[Winter Blanket]]&gt;0,1,0)</f>
        <v>0</v>
      </c>
      <c r="AN655" s="331">
        <f>IF(NFI_Expiration=1,IF($A655&lt;VLOOKUP(V$5,NFI,5,0),1,0)*Table_NFI[[#This Row],[Jerry Can]],Table_NFI[Jerry Can])</f>
        <v>0</v>
      </c>
      <c r="AO655" s="331">
        <f>IF(NFI_Expiration=1,IF($A655&lt;VLOOKUP(V$5,NFI,5,0),1,0)*Table_NFI[[#This Row],[Shelter Tool kit]],Table_NFI[Shelter Tool kit])</f>
        <v>0</v>
      </c>
      <c r="AP655" s="331">
        <f>IF(NFI_Expiration=1,IF($A655&lt;VLOOKUP(V$5,NFI,5,0),1,0)*Table_NFI[[#This Row],[Tent]],Table_NFI[Tent])</f>
        <v>0</v>
      </c>
      <c r="AQ655" s="473" t="str">
        <f>IFERROR(VLOOKUP(Table_NFI[[#This Row],[Camp Name]],CL,2,0),"")</f>
        <v>MMR001CMP029</v>
      </c>
      <c r="AR655" s="468">
        <f ca="1">IF(Table_NFI[[#This Row],[Pcode]]="","",IF(OFFSET(CampList[Opening Date],MATCH(Table_NFI[[#This Row],[Pcode]],CampList[CP_Pcode],0)-1,0,1,1)&gt;=NFI_Monitor_Date,1,0))</f>
        <v>0</v>
      </c>
      <c r="AS655" s="473" t="str">
        <f>IFERROR(VLOOKUP(Table_NFI[[#This Row],[Camp Name]],CL,3,0),"")</f>
        <v>Open</v>
      </c>
      <c r="AT655" s="294" t="str">
        <f ca="1">IF(Table_NFI[[#This Row],[Pcode]]="","",OFFSET(CampList[Priority],MATCH(Table_NFI[[#This Row],[Pcode]],CampList[CP_Pcode],0)-1,0,1,1))</f>
        <v>P4</v>
      </c>
      <c r="AU655" s="293">
        <f>IFERROR(Table_NFI[[#This Row],[Kitchen Set]]/VLOOKUP(Table_NFI[[#This Row],[Camp Name]],CL,4,0),"")</f>
        <v>0.1031390134529148</v>
      </c>
      <c r="AV655" s="466" t="s">
        <v>1092</v>
      </c>
      <c r="AW655" s="469"/>
    </row>
    <row r="656" spans="1:49" x14ac:dyDescent="0.25">
      <c r="A656" s="297">
        <f t="shared" si="10"/>
        <v>39.866666666666667</v>
      </c>
      <c r="B656" s="465">
        <v>41479</v>
      </c>
      <c r="C656" s="466" t="s">
        <v>452</v>
      </c>
      <c r="D656" s="466" t="s">
        <v>506</v>
      </c>
      <c r="E656" s="466" t="s">
        <v>380</v>
      </c>
      <c r="F656" s="290" t="s">
        <v>237</v>
      </c>
      <c r="G656" s="290" t="s">
        <v>271</v>
      </c>
      <c r="H656" s="291"/>
      <c r="I656" s="291"/>
      <c r="J656" s="291">
        <v>21</v>
      </c>
      <c r="K656" s="291">
        <v>30</v>
      </c>
      <c r="L656" s="294">
        <v>15</v>
      </c>
      <c r="M656" s="294">
        <v>30</v>
      </c>
      <c r="N656" s="294">
        <v>15</v>
      </c>
      <c r="O656" s="294">
        <v>15</v>
      </c>
      <c r="P656" s="294">
        <v>15</v>
      </c>
      <c r="Q656" s="294">
        <v>15</v>
      </c>
      <c r="R656" s="294"/>
      <c r="S656" s="294"/>
      <c r="T656" s="294"/>
      <c r="U656" s="294"/>
      <c r="V656" s="431"/>
      <c r="W656" s="331"/>
      <c r="X656" s="331"/>
      <c r="Y656" s="294">
        <f>IF(NFI_Expiration=1,IF($A656&lt;VLOOKUP(H$5,NFI,5,0),1,0)*Table_NFI[[#This Row],[Hygiene Kit]],Table_NFI[Hygiene Kit])</f>
        <v>0</v>
      </c>
      <c r="Z656" s="294">
        <f>IF(NFI_Expiration=1,IF($A656&lt;VLOOKUP(I$5,NFI,5,0),1,0)*Table_NFI[[#This Row],[NFI Core Kit]],Table_NFI[NFI Core Kit])</f>
        <v>0</v>
      </c>
      <c r="AA656" s="294">
        <f>IF(NFI_Expiration=1,IF($A656&lt;VLOOKUP(J$5,NFI,5,0),1,0)*Table_NFI[[#This Row],[Sanitary Kit]],Table_NFI[Sanitary Kit])</f>
        <v>0</v>
      </c>
      <c r="AB656" s="294">
        <f>IF(NFI_Expiration=1,IF($A656&lt;VLOOKUP(K$5,NFI,5,0),1,0)*Table_NFI[[#This Row],[Mosquito net]],Table_NFI[Mosquito net])</f>
        <v>0</v>
      </c>
      <c r="AC656" s="294">
        <f>IF(NFI_Expiration=1,IF($A656&lt;VLOOKUP(L$5,NFI,5,0),1,0)*Table_NFI[[#This Row],[Tarpaulin]],Table_NFI[[#This Row],[Tarpaulin]])</f>
        <v>0</v>
      </c>
      <c r="AD656" s="294">
        <f>IF(NFI_Expiration=1,IF($A656&lt;VLOOKUP(M$5,NFI,5,0),1,0)*Table_NFI[[#This Row],[Blanket]],Table_NFI[[#This Row],[Blanket]])</f>
        <v>0</v>
      </c>
      <c r="AE656" s="294">
        <f>IF(NFI_Expiration=1,IF($A656&lt;VLOOKUP(N$5,NFI,5,0),1,0)*Table_NFI[[#This Row],[Kitchen Set]],Table_NFI[Kitchen Set])</f>
        <v>0</v>
      </c>
      <c r="AF656" s="294">
        <f>IF(NFI_Expiration=1,IF($A656&lt;VLOOKUP(O$5,NFI,5,0),1,0)*Table_NFI[[#This Row],[Clothes Kit]],Table_NFI[Clothes Kit])</f>
        <v>0</v>
      </c>
      <c r="AG656" s="294">
        <f>IF(NFI_Expiration=1,IF($A656&lt;VLOOKUP(P$5,NFI,5,0),1,0)*Table_NFI[[#This Row],[Plastic Bucket]],Table_NFI[Plastic Bucket])</f>
        <v>0</v>
      </c>
      <c r="AH656" s="294">
        <f>IF(NFI_Expiration=1,IF($A656&lt;VLOOKUP(Q$5,NFI,5,0),1,0)*Table_NFI[[#This Row],[Plastic Mat]],Table_NFI[Plastic Mat])*IF(Table_NFI[[#This Row],[Distribution Date]]&gt;"2014-04-01",1,2.5)</f>
        <v>0</v>
      </c>
      <c r="AI656" s="294">
        <f>IF(NFI_Expiration=1,IF($A656&lt;VLOOKUP(R$5,NFI,5,0),1,0)*Table_NFI[[#This Row],[Winter Clothes Adult]],Table_NFI[Winter Clothes Adult])</f>
        <v>0</v>
      </c>
      <c r="AJ656" s="294">
        <f>IF(NFI_Expiration=1,IF($A656&lt;VLOOKUP(S$5,NFI,5,0),1,0)*Table_NFI[[#This Row],[Winter Clothes Children]],Table_NFI[Winter Clothes Children])</f>
        <v>0</v>
      </c>
      <c r="AK656" s="294">
        <f>IF(NFI_Expiration=1,IF($A656&lt;VLOOKUP(T$5,NFI,5,0),1,0)*Table_NFI[[#This Row],[Winter Items Other]],Table_NFI[Winter Items Other])</f>
        <v>0</v>
      </c>
      <c r="AL656" s="294">
        <f>IF(NFI_Expiration=1,IF($A656&lt;VLOOKUP(M$5,NFI,5,0),1,0)*Table_NFI[[#This Row],[Winter Blanket]],Table_NFI[[#This Row],[Winter Blanket]])</f>
        <v>0</v>
      </c>
      <c r="AM656" s="294">
        <f>IF(Table_NFI[[#This Row],[Winter Clothes Adult]]+Table_NFI[[#This Row],[Winter Clothes Children]]+Table_NFI[[#This Row],[Winter Items Other]]+Table_NFI[[#This Row],[Winter Blanket]]&gt;0,1,0)</f>
        <v>0</v>
      </c>
      <c r="AN656" s="331">
        <f>IF(NFI_Expiration=1,IF($A656&lt;VLOOKUP(V$5,NFI,5,0),1,0)*Table_NFI[[#This Row],[Jerry Can]],Table_NFI[Jerry Can])</f>
        <v>0</v>
      </c>
      <c r="AO656" s="331">
        <f>IF(NFI_Expiration=1,IF($A656&lt;VLOOKUP(V$5,NFI,5,0),1,0)*Table_NFI[[#This Row],[Shelter Tool kit]],Table_NFI[Shelter Tool kit])</f>
        <v>0</v>
      </c>
      <c r="AP656" s="331">
        <f>IF(NFI_Expiration=1,IF($A656&lt;VLOOKUP(V$5,NFI,5,0),1,0)*Table_NFI[[#This Row],[Tent]],Table_NFI[Tent])</f>
        <v>0</v>
      </c>
      <c r="AQ656" s="473" t="str">
        <f>IFERROR(VLOOKUP(Table_NFI[[#This Row],[Camp Name]],CL,2,0),"")</f>
        <v>MMR001CMP024</v>
      </c>
      <c r="AR656" s="468">
        <f ca="1">IF(Table_NFI[[#This Row],[Pcode]]="","",IF(OFFSET(CampList[Opening Date],MATCH(Table_NFI[[#This Row],[Pcode]],CampList[CP_Pcode],0)-1,0,1,1)&gt;=NFI_Monitor_Date,1,0))</f>
        <v>0</v>
      </c>
      <c r="AS656" s="473" t="str">
        <f>IFERROR(VLOOKUP(Table_NFI[[#This Row],[Camp Name]],CL,3,0),"")</f>
        <v>Open</v>
      </c>
      <c r="AT656" s="294" t="str">
        <f ca="1">IF(Table_NFI[[#This Row],[Pcode]]="","",OFFSET(CampList[Priority],MATCH(Table_NFI[[#This Row],[Pcode]],CampList[CP_Pcode],0)-1,0,1,1))</f>
        <v>P4</v>
      </c>
      <c r="AU656" s="293">
        <f>IFERROR(Table_NFI[[#This Row],[Kitchen Set]]/VLOOKUP(Table_NFI[[#This Row],[Camp Name]],CL,4,0),"")</f>
        <v>0.22058823529411764</v>
      </c>
      <c r="AV656" s="466" t="s">
        <v>1092</v>
      </c>
      <c r="AW656" s="469"/>
    </row>
    <row r="657" spans="1:49" x14ac:dyDescent="0.25">
      <c r="A657" s="297">
        <f t="shared" si="10"/>
        <v>39.866666666666667</v>
      </c>
      <c r="B657" s="465">
        <v>41479</v>
      </c>
      <c r="C657" s="466" t="s">
        <v>452</v>
      </c>
      <c r="D657" s="466" t="s">
        <v>506</v>
      </c>
      <c r="E657" s="466" t="s">
        <v>380</v>
      </c>
      <c r="F657" s="466" t="s">
        <v>527</v>
      </c>
      <c r="G657" s="290" t="s">
        <v>108</v>
      </c>
      <c r="H657" s="291"/>
      <c r="I657" s="291"/>
      <c r="J657" s="291">
        <v>15</v>
      </c>
      <c r="K657" s="291">
        <v>25</v>
      </c>
      <c r="L657" s="292">
        <v>10</v>
      </c>
      <c r="M657" s="292">
        <v>25</v>
      </c>
      <c r="N657" s="292">
        <v>10</v>
      </c>
      <c r="O657" s="292">
        <v>10</v>
      </c>
      <c r="P657" s="294">
        <v>10</v>
      </c>
      <c r="Q657" s="294">
        <v>10</v>
      </c>
      <c r="R657" s="294"/>
      <c r="S657" s="294"/>
      <c r="T657" s="294"/>
      <c r="U657" s="294"/>
      <c r="V657" s="431"/>
      <c r="W657" s="331"/>
      <c r="X657" s="331"/>
      <c r="Y657" s="294">
        <f>IF(NFI_Expiration=1,IF($A657&lt;VLOOKUP(H$5,NFI,5,0),1,0)*Table_NFI[[#This Row],[Hygiene Kit]],Table_NFI[Hygiene Kit])</f>
        <v>0</v>
      </c>
      <c r="Z657" s="294">
        <f>IF(NFI_Expiration=1,IF($A657&lt;VLOOKUP(I$5,NFI,5,0),1,0)*Table_NFI[[#This Row],[NFI Core Kit]],Table_NFI[NFI Core Kit])</f>
        <v>0</v>
      </c>
      <c r="AA657" s="294">
        <f>IF(NFI_Expiration=1,IF($A657&lt;VLOOKUP(J$5,NFI,5,0),1,0)*Table_NFI[[#This Row],[Sanitary Kit]],Table_NFI[Sanitary Kit])</f>
        <v>0</v>
      </c>
      <c r="AB657" s="294">
        <f>IF(NFI_Expiration=1,IF($A657&lt;VLOOKUP(K$5,NFI,5,0),1,0)*Table_NFI[[#This Row],[Mosquito net]],Table_NFI[Mosquito net])</f>
        <v>0</v>
      </c>
      <c r="AC657" s="294">
        <f>IF(NFI_Expiration=1,IF($A657&lt;VLOOKUP(L$5,NFI,5,0),1,0)*Table_NFI[[#This Row],[Tarpaulin]],Table_NFI[[#This Row],[Tarpaulin]])</f>
        <v>0</v>
      </c>
      <c r="AD657" s="294">
        <f>IF(NFI_Expiration=1,IF($A657&lt;VLOOKUP(M$5,NFI,5,0),1,0)*Table_NFI[[#This Row],[Blanket]],Table_NFI[[#This Row],[Blanket]])</f>
        <v>0</v>
      </c>
      <c r="AE657" s="294">
        <f>IF(NFI_Expiration=1,IF($A657&lt;VLOOKUP(N$5,NFI,5,0),1,0)*Table_NFI[[#This Row],[Kitchen Set]],Table_NFI[Kitchen Set])</f>
        <v>0</v>
      </c>
      <c r="AF657" s="294">
        <f>IF(NFI_Expiration=1,IF($A657&lt;VLOOKUP(O$5,NFI,5,0),1,0)*Table_NFI[[#This Row],[Clothes Kit]],Table_NFI[Clothes Kit])</f>
        <v>0</v>
      </c>
      <c r="AG657" s="294">
        <f>IF(NFI_Expiration=1,IF($A657&lt;VLOOKUP(P$5,NFI,5,0),1,0)*Table_NFI[[#This Row],[Plastic Bucket]],Table_NFI[Plastic Bucket])</f>
        <v>0</v>
      </c>
      <c r="AH657" s="294">
        <f>IF(NFI_Expiration=1,IF($A657&lt;VLOOKUP(Q$5,NFI,5,0),1,0)*Table_NFI[[#This Row],[Plastic Mat]],Table_NFI[Plastic Mat])*IF(Table_NFI[[#This Row],[Distribution Date]]&gt;"2014-04-01",1,2.5)</f>
        <v>0</v>
      </c>
      <c r="AI657" s="294">
        <f>IF(NFI_Expiration=1,IF($A657&lt;VLOOKUP(R$5,NFI,5,0),1,0)*Table_NFI[[#This Row],[Winter Clothes Adult]],Table_NFI[Winter Clothes Adult])</f>
        <v>0</v>
      </c>
      <c r="AJ657" s="294">
        <f>IF(NFI_Expiration=1,IF($A657&lt;VLOOKUP(S$5,NFI,5,0),1,0)*Table_NFI[[#This Row],[Winter Clothes Children]],Table_NFI[Winter Clothes Children])</f>
        <v>0</v>
      </c>
      <c r="AK657" s="294">
        <f>IF(NFI_Expiration=1,IF($A657&lt;VLOOKUP(T$5,NFI,5,0),1,0)*Table_NFI[[#This Row],[Winter Items Other]],Table_NFI[Winter Items Other])</f>
        <v>0</v>
      </c>
      <c r="AL657" s="294">
        <f>IF(NFI_Expiration=1,IF($A657&lt;VLOOKUP(M$5,NFI,5,0),1,0)*Table_NFI[[#This Row],[Winter Blanket]],Table_NFI[[#This Row],[Winter Blanket]])</f>
        <v>0</v>
      </c>
      <c r="AM657" s="294">
        <f>IF(Table_NFI[[#This Row],[Winter Clothes Adult]]+Table_NFI[[#This Row],[Winter Clothes Children]]+Table_NFI[[#This Row],[Winter Items Other]]+Table_NFI[[#This Row],[Winter Blanket]]&gt;0,1,0)</f>
        <v>0</v>
      </c>
      <c r="AN657" s="331">
        <f>IF(NFI_Expiration=1,IF($A657&lt;VLOOKUP(V$5,NFI,5,0),1,0)*Table_NFI[[#This Row],[Jerry Can]],Table_NFI[Jerry Can])</f>
        <v>0</v>
      </c>
      <c r="AO657" s="331">
        <f>IF(NFI_Expiration=1,IF($A657&lt;VLOOKUP(V$5,NFI,5,0),1,0)*Table_NFI[[#This Row],[Shelter Tool kit]],Table_NFI[Shelter Tool kit])</f>
        <v>0</v>
      </c>
      <c r="AP657" s="331">
        <f>IF(NFI_Expiration=1,IF($A657&lt;VLOOKUP(V$5,NFI,5,0),1,0)*Table_NFI[[#This Row],[Tent]],Table_NFI[Tent])</f>
        <v>0</v>
      </c>
      <c r="AQ657" s="473" t="str">
        <f>IFERROR(VLOOKUP(Table_NFI[[#This Row],[Camp Name]],CL,2,0),"")</f>
        <v>MMR001CMP103</v>
      </c>
      <c r="AR657" s="468">
        <f ca="1">IF(Table_NFI[[#This Row],[Pcode]]="","",IF(OFFSET(CampList[Opening Date],MATCH(Table_NFI[[#This Row],[Pcode]],CampList[CP_Pcode],0)-1,0,1,1)&gt;=NFI_Monitor_Date,1,0))</f>
        <v>0</v>
      </c>
      <c r="AS657" s="473" t="str">
        <f>IFERROR(VLOOKUP(Table_NFI[[#This Row],[Camp Name]],CL,3,0),"")</f>
        <v>Open</v>
      </c>
      <c r="AT657" s="294" t="str">
        <f ca="1">IF(Table_NFI[[#This Row],[Pcode]]="","",OFFSET(CampList[Priority],MATCH(Table_NFI[[#This Row],[Pcode]],CampList[CP_Pcode],0)-1,0,1,1))</f>
        <v>P4</v>
      </c>
      <c r="AU657" s="293">
        <f>IFERROR(Table_NFI[[#This Row],[Kitchen Set]]/VLOOKUP(Table_NFI[[#This Row],[Camp Name]],CL,4,0),"")</f>
        <v>0.19607843137254902</v>
      </c>
      <c r="AV657" s="466" t="s">
        <v>1092</v>
      </c>
      <c r="AW657" s="469"/>
    </row>
    <row r="658" spans="1:49" x14ac:dyDescent="0.25">
      <c r="A658" s="297">
        <f t="shared" si="10"/>
        <v>39.866666666666667</v>
      </c>
      <c r="B658" s="465">
        <v>41479</v>
      </c>
      <c r="C658" s="466" t="s">
        <v>452</v>
      </c>
      <c r="D658" s="466" t="s">
        <v>506</v>
      </c>
      <c r="E658" s="466" t="s">
        <v>380</v>
      </c>
      <c r="F658" s="466" t="s">
        <v>237</v>
      </c>
      <c r="G658" s="290" t="s">
        <v>273</v>
      </c>
      <c r="H658" s="291"/>
      <c r="I658" s="291"/>
      <c r="J658" s="291">
        <v>31</v>
      </c>
      <c r="K658" s="291">
        <v>41</v>
      </c>
      <c r="L658" s="292">
        <v>17</v>
      </c>
      <c r="M658" s="292">
        <v>41</v>
      </c>
      <c r="N658" s="292">
        <v>17</v>
      </c>
      <c r="O658" s="292">
        <v>17</v>
      </c>
      <c r="P658" s="294">
        <v>17</v>
      </c>
      <c r="Q658" s="294">
        <v>17</v>
      </c>
      <c r="R658" s="294"/>
      <c r="S658" s="294"/>
      <c r="T658" s="294"/>
      <c r="U658" s="294"/>
      <c r="V658" s="431"/>
      <c r="W658" s="294"/>
      <c r="X658" s="294"/>
      <c r="Y658" s="294">
        <f>IF(NFI_Expiration=1,IF($A658&lt;VLOOKUP(H$5,NFI,5,0),1,0)*Table_NFI[[#This Row],[Hygiene Kit]],Table_NFI[Hygiene Kit])</f>
        <v>0</v>
      </c>
      <c r="Z658" s="294">
        <f>IF(NFI_Expiration=1,IF($A658&lt;VLOOKUP(I$5,NFI,5,0),1,0)*Table_NFI[[#This Row],[NFI Core Kit]],Table_NFI[NFI Core Kit])</f>
        <v>0</v>
      </c>
      <c r="AA658" s="294">
        <f>IF(NFI_Expiration=1,IF($A658&lt;VLOOKUP(J$5,NFI,5,0),1,0)*Table_NFI[[#This Row],[Sanitary Kit]],Table_NFI[Sanitary Kit])</f>
        <v>0</v>
      </c>
      <c r="AB658" s="294">
        <f>IF(NFI_Expiration=1,IF($A658&lt;VLOOKUP(K$5,NFI,5,0),1,0)*Table_NFI[[#This Row],[Mosquito net]],Table_NFI[Mosquito net])</f>
        <v>0</v>
      </c>
      <c r="AC658" s="294">
        <f>IF(NFI_Expiration=1,IF($A658&lt;VLOOKUP(L$5,NFI,5,0),1,0)*Table_NFI[[#This Row],[Tarpaulin]],Table_NFI[[#This Row],[Tarpaulin]])</f>
        <v>0</v>
      </c>
      <c r="AD658" s="294">
        <f>IF(NFI_Expiration=1,IF($A658&lt;VLOOKUP(M$5,NFI,5,0),1,0)*Table_NFI[[#This Row],[Blanket]],Table_NFI[[#This Row],[Blanket]])</f>
        <v>0</v>
      </c>
      <c r="AE658" s="294">
        <f>IF(NFI_Expiration=1,IF($A658&lt;VLOOKUP(N$5,NFI,5,0),1,0)*Table_NFI[[#This Row],[Kitchen Set]],Table_NFI[Kitchen Set])</f>
        <v>0</v>
      </c>
      <c r="AF658" s="294">
        <f>IF(NFI_Expiration=1,IF($A658&lt;VLOOKUP(O$5,NFI,5,0),1,0)*Table_NFI[[#This Row],[Clothes Kit]],Table_NFI[Clothes Kit])</f>
        <v>0</v>
      </c>
      <c r="AG658" s="294">
        <f>IF(NFI_Expiration=1,IF($A658&lt;VLOOKUP(P$5,NFI,5,0),1,0)*Table_NFI[[#This Row],[Plastic Bucket]],Table_NFI[Plastic Bucket])</f>
        <v>0</v>
      </c>
      <c r="AH658" s="294">
        <f>IF(NFI_Expiration=1,IF($A658&lt;VLOOKUP(Q$5,NFI,5,0),1,0)*Table_NFI[[#This Row],[Plastic Mat]],Table_NFI[Plastic Mat])*IF(Table_NFI[[#This Row],[Distribution Date]]&gt;"2014-04-01",1,2.5)</f>
        <v>0</v>
      </c>
      <c r="AI658" s="294">
        <f>IF(NFI_Expiration=1,IF($A658&lt;VLOOKUP(R$5,NFI,5,0),1,0)*Table_NFI[[#This Row],[Winter Clothes Adult]],Table_NFI[Winter Clothes Adult])</f>
        <v>0</v>
      </c>
      <c r="AJ658" s="294">
        <f>IF(NFI_Expiration=1,IF($A658&lt;VLOOKUP(S$5,NFI,5,0),1,0)*Table_NFI[[#This Row],[Winter Clothes Children]],Table_NFI[Winter Clothes Children])</f>
        <v>0</v>
      </c>
      <c r="AK658" s="294">
        <f>IF(NFI_Expiration=1,IF($A658&lt;VLOOKUP(T$5,NFI,5,0),1,0)*Table_NFI[[#This Row],[Winter Items Other]],Table_NFI[Winter Items Other])</f>
        <v>0</v>
      </c>
      <c r="AL658" s="294">
        <f>IF(NFI_Expiration=1,IF($A658&lt;VLOOKUP(M$5,NFI,5,0),1,0)*Table_NFI[[#This Row],[Winter Blanket]],Table_NFI[[#This Row],[Winter Blanket]])</f>
        <v>0</v>
      </c>
      <c r="AM658" s="294">
        <f>IF(Table_NFI[[#This Row],[Winter Clothes Adult]]+Table_NFI[[#This Row],[Winter Clothes Children]]+Table_NFI[[#This Row],[Winter Items Other]]+Table_NFI[[#This Row],[Winter Blanket]]&gt;0,1,0)</f>
        <v>0</v>
      </c>
      <c r="AN658" s="331">
        <f>IF(NFI_Expiration=1,IF($A658&lt;VLOOKUP(V$5,NFI,5,0),1,0)*Table_NFI[[#This Row],[Jerry Can]],Table_NFI[Jerry Can])</f>
        <v>0</v>
      </c>
      <c r="AO658" s="331">
        <f>IF(NFI_Expiration=1,IF($A658&lt;VLOOKUP(V$5,NFI,5,0),1,0)*Table_NFI[[#This Row],[Shelter Tool kit]],Table_NFI[Shelter Tool kit])</f>
        <v>0</v>
      </c>
      <c r="AP658" s="331">
        <f>IF(NFI_Expiration=1,IF($A658&lt;VLOOKUP(V$5,NFI,5,0),1,0)*Table_NFI[[#This Row],[Tent]],Table_NFI[Tent])</f>
        <v>0</v>
      </c>
      <c r="AQ658" s="473" t="str">
        <f>IFERROR(VLOOKUP(Table_NFI[[#This Row],[Camp Name]],CL,2,0),"")</f>
        <v>MMR001CMP162</v>
      </c>
      <c r="AR658" s="468">
        <f ca="1">IF(Table_NFI[[#This Row],[Pcode]]="","",IF(OFFSET(CampList[Opening Date],MATCH(Table_NFI[[#This Row],[Pcode]],CampList[CP_Pcode],0)-1,0,1,1)&gt;=NFI_Monitor_Date,1,0))</f>
        <v>0</v>
      </c>
      <c r="AS658" s="473" t="str">
        <f>IFERROR(VLOOKUP(Table_NFI[[#This Row],[Camp Name]],CL,3,0),"")</f>
        <v>Open</v>
      </c>
      <c r="AT658" s="294" t="str">
        <f ca="1">IF(Table_NFI[[#This Row],[Pcode]]="","",OFFSET(CampList[Priority],MATCH(Table_NFI[[#This Row],[Pcode]],CampList[CP_Pcode],0)-1,0,1,1))</f>
        <v>P4</v>
      </c>
      <c r="AU658" s="293">
        <f>IFERROR(Table_NFI[[#This Row],[Kitchen Set]]/VLOOKUP(Table_NFI[[#This Row],[Camp Name]],CL,4,0),"")</f>
        <v>0.36956521739130432</v>
      </c>
      <c r="AV658" s="466" t="s">
        <v>1092</v>
      </c>
      <c r="AW658" s="469"/>
    </row>
    <row r="659" spans="1:49" ht="14.45" customHeight="1" x14ac:dyDescent="0.25">
      <c r="A659" s="297">
        <f t="shared" si="10"/>
        <v>39.866666666666667</v>
      </c>
      <c r="B659" s="465">
        <v>41479</v>
      </c>
      <c r="C659" s="466" t="s">
        <v>452</v>
      </c>
      <c r="D659" s="466" t="s">
        <v>460</v>
      </c>
      <c r="E659" s="466" t="s">
        <v>380</v>
      </c>
      <c r="F659" s="290" t="s">
        <v>310</v>
      </c>
      <c r="G659" s="290" t="s">
        <v>342</v>
      </c>
      <c r="H659" s="291"/>
      <c r="I659" s="291"/>
      <c r="J659" s="291">
        <v>31</v>
      </c>
      <c r="K659" s="291">
        <v>44</v>
      </c>
      <c r="L659" s="294">
        <v>18</v>
      </c>
      <c r="M659" s="294">
        <v>44</v>
      </c>
      <c r="N659" s="294">
        <v>18</v>
      </c>
      <c r="O659" s="294">
        <v>18</v>
      </c>
      <c r="P659" s="294">
        <v>18</v>
      </c>
      <c r="Q659" s="294">
        <v>18</v>
      </c>
      <c r="R659" s="294"/>
      <c r="S659" s="294"/>
      <c r="T659" s="294"/>
      <c r="U659" s="294"/>
      <c r="V659" s="431"/>
      <c r="W659" s="294"/>
      <c r="X659" s="294"/>
      <c r="Y659" s="294">
        <f>IF(NFI_Expiration=1,IF($A659&lt;VLOOKUP(H$5,NFI,5,0),1,0)*Table_NFI[[#This Row],[Hygiene Kit]],Table_NFI[Hygiene Kit])</f>
        <v>0</v>
      </c>
      <c r="Z659" s="294">
        <f>IF(NFI_Expiration=1,IF($A659&lt;VLOOKUP(I$5,NFI,5,0),1,0)*Table_NFI[[#This Row],[NFI Core Kit]],Table_NFI[NFI Core Kit])</f>
        <v>0</v>
      </c>
      <c r="AA659" s="294">
        <f>IF(NFI_Expiration=1,IF($A659&lt;VLOOKUP(J$5,NFI,5,0),1,0)*Table_NFI[[#This Row],[Sanitary Kit]],Table_NFI[Sanitary Kit])</f>
        <v>0</v>
      </c>
      <c r="AB659" s="294">
        <f>IF(NFI_Expiration=1,IF($A659&lt;VLOOKUP(K$5,NFI,5,0),1,0)*Table_NFI[[#This Row],[Mosquito net]],Table_NFI[Mosquito net])</f>
        <v>0</v>
      </c>
      <c r="AC659" s="294">
        <f>IF(NFI_Expiration=1,IF($A659&lt;VLOOKUP(L$5,NFI,5,0),1,0)*Table_NFI[[#This Row],[Tarpaulin]],Table_NFI[[#This Row],[Tarpaulin]])</f>
        <v>0</v>
      </c>
      <c r="AD659" s="294">
        <f>IF(NFI_Expiration=1,IF($A659&lt;VLOOKUP(M$5,NFI,5,0),1,0)*Table_NFI[[#This Row],[Blanket]],Table_NFI[[#This Row],[Blanket]])</f>
        <v>0</v>
      </c>
      <c r="AE659" s="294">
        <f>IF(NFI_Expiration=1,IF($A659&lt;VLOOKUP(N$5,NFI,5,0),1,0)*Table_NFI[[#This Row],[Kitchen Set]],Table_NFI[Kitchen Set])</f>
        <v>0</v>
      </c>
      <c r="AF659" s="294">
        <f>IF(NFI_Expiration=1,IF($A659&lt;VLOOKUP(O$5,NFI,5,0),1,0)*Table_NFI[[#This Row],[Clothes Kit]],Table_NFI[Clothes Kit])</f>
        <v>0</v>
      </c>
      <c r="AG659" s="294">
        <f>IF(NFI_Expiration=1,IF($A659&lt;VLOOKUP(P$5,NFI,5,0),1,0)*Table_NFI[[#This Row],[Plastic Bucket]],Table_NFI[Plastic Bucket])</f>
        <v>0</v>
      </c>
      <c r="AH659" s="294">
        <f>IF(NFI_Expiration=1,IF($A659&lt;VLOOKUP(Q$5,NFI,5,0),1,0)*Table_NFI[[#This Row],[Plastic Mat]],Table_NFI[Plastic Mat])*IF(Table_NFI[[#This Row],[Distribution Date]]&gt;"2014-04-01",1,2.5)</f>
        <v>0</v>
      </c>
      <c r="AI659" s="294">
        <f>IF(NFI_Expiration=1,IF($A659&lt;VLOOKUP(R$5,NFI,5,0),1,0)*Table_NFI[[#This Row],[Winter Clothes Adult]],Table_NFI[Winter Clothes Adult])</f>
        <v>0</v>
      </c>
      <c r="AJ659" s="294">
        <f>IF(NFI_Expiration=1,IF($A659&lt;VLOOKUP(S$5,NFI,5,0),1,0)*Table_NFI[[#This Row],[Winter Clothes Children]],Table_NFI[Winter Clothes Children])</f>
        <v>0</v>
      </c>
      <c r="AK659" s="294">
        <f>IF(NFI_Expiration=1,IF($A659&lt;VLOOKUP(T$5,NFI,5,0),1,0)*Table_NFI[[#This Row],[Winter Items Other]],Table_NFI[Winter Items Other])</f>
        <v>0</v>
      </c>
      <c r="AL659" s="294">
        <f>IF(NFI_Expiration=1,IF($A659&lt;VLOOKUP(M$5,NFI,5,0),1,0)*Table_NFI[[#This Row],[Winter Blanket]],Table_NFI[[#This Row],[Winter Blanket]])</f>
        <v>0</v>
      </c>
      <c r="AM659" s="294">
        <f>IF(Table_NFI[[#This Row],[Winter Clothes Adult]]+Table_NFI[[#This Row],[Winter Clothes Children]]+Table_NFI[[#This Row],[Winter Items Other]]+Table_NFI[[#This Row],[Winter Blanket]]&gt;0,1,0)</f>
        <v>0</v>
      </c>
      <c r="AN659" s="331">
        <f>IF(NFI_Expiration=1,IF($A659&lt;VLOOKUP(V$5,NFI,5,0),1,0)*Table_NFI[[#This Row],[Jerry Can]],Table_NFI[Jerry Can])</f>
        <v>0</v>
      </c>
      <c r="AO659" s="331">
        <f>IF(NFI_Expiration=1,IF($A659&lt;VLOOKUP(V$5,NFI,5,0),1,0)*Table_NFI[[#This Row],[Shelter Tool kit]],Table_NFI[Shelter Tool kit])</f>
        <v>0</v>
      </c>
      <c r="AP659" s="331">
        <f>IF(NFI_Expiration=1,IF($A659&lt;VLOOKUP(V$5,NFI,5,0),1,0)*Table_NFI[[#This Row],[Tent]],Table_NFI[Tent])</f>
        <v>0</v>
      </c>
      <c r="AQ659" s="473" t="str">
        <f>IFERROR(VLOOKUP(Table_NFI[[#This Row],[Camp Name]],CL,2,0),"")</f>
        <v>MMR001CMP025</v>
      </c>
      <c r="AR659" s="468">
        <f ca="1">IF(Table_NFI[[#This Row],[Pcode]]="","",IF(OFFSET(CampList[Opening Date],MATCH(Table_NFI[[#This Row],[Pcode]],CampList[CP_Pcode],0)-1,0,1,1)&gt;=NFI_Monitor_Date,1,0))</f>
        <v>0</v>
      </c>
      <c r="AS659" s="473" t="str">
        <f>IFERROR(VLOOKUP(Table_NFI[[#This Row],[Camp Name]],CL,3,0),"")</f>
        <v>Open</v>
      </c>
      <c r="AT659" s="294" t="str">
        <f ca="1">IF(Table_NFI[[#This Row],[Pcode]]="","",OFFSET(CampList[Priority],MATCH(Table_NFI[[#This Row],[Pcode]],CampList[CP_Pcode],0)-1,0,1,1))</f>
        <v>P4</v>
      </c>
      <c r="AU659" s="293">
        <f>IFERROR(Table_NFI[[#This Row],[Kitchen Set]]/VLOOKUP(Table_NFI[[#This Row],[Camp Name]],CL,4,0),"")</f>
        <v>0.58064516129032262</v>
      </c>
      <c r="AV659" s="466" t="s">
        <v>1092</v>
      </c>
      <c r="AW659" s="469"/>
    </row>
    <row r="660" spans="1:49" ht="14.45" customHeight="1" x14ac:dyDescent="0.25">
      <c r="A660" s="297">
        <f t="shared" si="10"/>
        <v>39.866666666666667</v>
      </c>
      <c r="B660" s="465">
        <v>41479</v>
      </c>
      <c r="C660" s="466" t="s">
        <v>452</v>
      </c>
      <c r="D660" s="466" t="s">
        <v>505</v>
      </c>
      <c r="E660" s="466" t="s">
        <v>380</v>
      </c>
      <c r="F660" s="466" t="s">
        <v>310</v>
      </c>
      <c r="G660" s="290" t="s">
        <v>351</v>
      </c>
      <c r="H660" s="291"/>
      <c r="I660" s="291"/>
      <c r="J660" s="291">
        <v>41</v>
      </c>
      <c r="K660" s="291">
        <v>73</v>
      </c>
      <c r="L660" s="292">
        <v>31</v>
      </c>
      <c r="M660" s="292">
        <v>73</v>
      </c>
      <c r="N660" s="292">
        <v>31</v>
      </c>
      <c r="O660" s="292">
        <v>31</v>
      </c>
      <c r="P660" s="294">
        <v>31</v>
      </c>
      <c r="Q660" s="294">
        <v>31</v>
      </c>
      <c r="R660" s="294"/>
      <c r="S660" s="294"/>
      <c r="T660" s="294"/>
      <c r="U660" s="294"/>
      <c r="V660" s="431"/>
      <c r="W660" s="294"/>
      <c r="X660" s="294"/>
      <c r="Y660" s="294">
        <f>IF(NFI_Expiration=1,IF($A660&lt;VLOOKUP(H$5,NFI,5,0),1,0)*Table_NFI[[#This Row],[Hygiene Kit]],Table_NFI[Hygiene Kit])</f>
        <v>0</v>
      </c>
      <c r="Z660" s="294">
        <f>IF(NFI_Expiration=1,IF($A660&lt;VLOOKUP(I$5,NFI,5,0),1,0)*Table_NFI[[#This Row],[NFI Core Kit]],Table_NFI[NFI Core Kit])</f>
        <v>0</v>
      </c>
      <c r="AA660" s="294">
        <f>IF(NFI_Expiration=1,IF($A660&lt;VLOOKUP(J$5,NFI,5,0),1,0)*Table_NFI[[#This Row],[Sanitary Kit]],Table_NFI[Sanitary Kit])</f>
        <v>0</v>
      </c>
      <c r="AB660" s="294">
        <f>IF(NFI_Expiration=1,IF($A660&lt;VLOOKUP(K$5,NFI,5,0),1,0)*Table_NFI[[#This Row],[Mosquito net]],Table_NFI[Mosquito net])</f>
        <v>0</v>
      </c>
      <c r="AC660" s="294">
        <f>IF(NFI_Expiration=1,IF($A660&lt;VLOOKUP(L$5,NFI,5,0),1,0)*Table_NFI[[#This Row],[Tarpaulin]],Table_NFI[[#This Row],[Tarpaulin]])</f>
        <v>0</v>
      </c>
      <c r="AD660" s="294">
        <f>IF(NFI_Expiration=1,IF($A660&lt;VLOOKUP(M$5,NFI,5,0),1,0)*Table_NFI[[#This Row],[Blanket]],Table_NFI[[#This Row],[Blanket]])</f>
        <v>0</v>
      </c>
      <c r="AE660" s="294">
        <f>IF(NFI_Expiration=1,IF($A660&lt;VLOOKUP(N$5,NFI,5,0),1,0)*Table_NFI[[#This Row],[Kitchen Set]],Table_NFI[Kitchen Set])</f>
        <v>0</v>
      </c>
      <c r="AF660" s="294">
        <f>IF(NFI_Expiration=1,IF($A660&lt;VLOOKUP(O$5,NFI,5,0),1,0)*Table_NFI[[#This Row],[Clothes Kit]],Table_NFI[Clothes Kit])</f>
        <v>0</v>
      </c>
      <c r="AG660" s="294">
        <f>IF(NFI_Expiration=1,IF($A660&lt;VLOOKUP(P$5,NFI,5,0),1,0)*Table_NFI[[#This Row],[Plastic Bucket]],Table_NFI[Plastic Bucket])</f>
        <v>0</v>
      </c>
      <c r="AH660" s="294">
        <f>IF(NFI_Expiration=1,IF($A660&lt;VLOOKUP(Q$5,NFI,5,0),1,0)*Table_NFI[[#This Row],[Plastic Mat]],Table_NFI[Plastic Mat])*IF(Table_NFI[[#This Row],[Distribution Date]]&gt;"2014-04-01",1,2.5)</f>
        <v>0</v>
      </c>
      <c r="AI660" s="294">
        <f>IF(NFI_Expiration=1,IF($A660&lt;VLOOKUP(R$5,NFI,5,0),1,0)*Table_NFI[[#This Row],[Winter Clothes Adult]],Table_NFI[Winter Clothes Adult])</f>
        <v>0</v>
      </c>
      <c r="AJ660" s="294">
        <f>IF(NFI_Expiration=1,IF($A660&lt;VLOOKUP(S$5,NFI,5,0),1,0)*Table_NFI[[#This Row],[Winter Clothes Children]],Table_NFI[Winter Clothes Children])</f>
        <v>0</v>
      </c>
      <c r="AK660" s="294">
        <f>IF(NFI_Expiration=1,IF($A660&lt;VLOOKUP(T$5,NFI,5,0),1,0)*Table_NFI[[#This Row],[Winter Items Other]],Table_NFI[Winter Items Other])</f>
        <v>0</v>
      </c>
      <c r="AL660" s="294">
        <f>IF(NFI_Expiration=1,IF($A660&lt;VLOOKUP(M$5,NFI,5,0),1,0)*Table_NFI[[#This Row],[Winter Blanket]],Table_NFI[[#This Row],[Winter Blanket]])</f>
        <v>0</v>
      </c>
      <c r="AM660" s="294">
        <f>IF(Table_NFI[[#This Row],[Winter Clothes Adult]]+Table_NFI[[#This Row],[Winter Clothes Children]]+Table_NFI[[#This Row],[Winter Items Other]]+Table_NFI[[#This Row],[Winter Blanket]]&gt;0,1,0)</f>
        <v>0</v>
      </c>
      <c r="AN660" s="331">
        <f>IF(NFI_Expiration=1,IF($A660&lt;VLOOKUP(V$5,NFI,5,0),1,0)*Table_NFI[[#This Row],[Jerry Can]],Table_NFI[Jerry Can])</f>
        <v>0</v>
      </c>
      <c r="AO660" s="331">
        <f>IF(NFI_Expiration=1,IF($A660&lt;VLOOKUP(V$5,NFI,5,0),1,0)*Table_NFI[[#This Row],[Shelter Tool kit]],Table_NFI[Shelter Tool kit])</f>
        <v>0</v>
      </c>
      <c r="AP660" s="331">
        <f>IF(NFI_Expiration=1,IF($A660&lt;VLOOKUP(V$5,NFI,5,0),1,0)*Table_NFI[[#This Row],[Tent]],Table_NFI[Tent])</f>
        <v>0</v>
      </c>
      <c r="AQ660" s="473" t="str">
        <f>IFERROR(VLOOKUP(Table_NFI[[#This Row],[Camp Name]],CL,2,0),"")</f>
        <v>MMR001CMP026</v>
      </c>
      <c r="AR660" s="468">
        <f ca="1">IF(Table_NFI[[#This Row],[Pcode]]="","",IF(OFFSET(CampList[Opening Date],MATCH(Table_NFI[[#This Row],[Pcode]],CampList[CP_Pcode],0)-1,0,1,1)&gt;=NFI_Monitor_Date,1,0))</f>
        <v>0</v>
      </c>
      <c r="AS660" s="473" t="str">
        <f>IFERROR(VLOOKUP(Table_NFI[[#This Row],[Camp Name]],CL,3,0),"")</f>
        <v>Open</v>
      </c>
      <c r="AT660" s="294" t="str">
        <f ca="1">IF(Table_NFI[[#This Row],[Pcode]]="","",OFFSET(CampList[Priority],MATCH(Table_NFI[[#This Row],[Pcode]],CampList[CP_Pcode],0)-1,0,1,1))</f>
        <v>P4</v>
      </c>
      <c r="AU660" s="293">
        <f>IFERROR(Table_NFI[[#This Row],[Kitchen Set]]/VLOOKUP(Table_NFI[[#This Row],[Camp Name]],CL,4,0),"")</f>
        <v>0.35632183908045978</v>
      </c>
      <c r="AV660" s="466" t="s">
        <v>1092</v>
      </c>
      <c r="AW660" s="469"/>
    </row>
    <row r="661" spans="1:49" ht="14.45" customHeight="1" x14ac:dyDescent="0.25">
      <c r="A661" s="297">
        <f t="shared" si="10"/>
        <v>39.866666666666667</v>
      </c>
      <c r="B661" s="465">
        <v>41479</v>
      </c>
      <c r="C661" s="466" t="s">
        <v>452</v>
      </c>
      <c r="D661" s="467" t="s">
        <v>460</v>
      </c>
      <c r="E661" s="466" t="s">
        <v>380</v>
      </c>
      <c r="F661" s="290" t="s">
        <v>237</v>
      </c>
      <c r="G661" s="290" t="s">
        <v>277</v>
      </c>
      <c r="H661" s="291"/>
      <c r="I661" s="291"/>
      <c r="J661" s="291">
        <v>21</v>
      </c>
      <c r="K661" s="291">
        <v>36</v>
      </c>
      <c r="L661" s="292">
        <v>16</v>
      </c>
      <c r="M661" s="292">
        <v>36</v>
      </c>
      <c r="N661" s="292">
        <v>16</v>
      </c>
      <c r="O661" s="292">
        <v>16</v>
      </c>
      <c r="P661" s="294">
        <v>16</v>
      </c>
      <c r="Q661" s="294">
        <v>16</v>
      </c>
      <c r="R661" s="294"/>
      <c r="S661" s="294"/>
      <c r="T661" s="294"/>
      <c r="U661" s="294"/>
      <c r="V661" s="431"/>
      <c r="W661" s="294"/>
      <c r="X661" s="294"/>
      <c r="Y661" s="294">
        <f>IF(NFI_Expiration=1,IF($A661&lt;VLOOKUP(H$5,NFI,5,0),1,0)*Table_NFI[[#This Row],[Hygiene Kit]],Table_NFI[Hygiene Kit])</f>
        <v>0</v>
      </c>
      <c r="Z661" s="294">
        <f>IF(NFI_Expiration=1,IF($A661&lt;VLOOKUP(I$5,NFI,5,0),1,0)*Table_NFI[[#This Row],[NFI Core Kit]],Table_NFI[NFI Core Kit])</f>
        <v>0</v>
      </c>
      <c r="AA661" s="294">
        <f>IF(NFI_Expiration=1,IF($A661&lt;VLOOKUP(J$5,NFI,5,0),1,0)*Table_NFI[[#This Row],[Sanitary Kit]],Table_NFI[Sanitary Kit])</f>
        <v>0</v>
      </c>
      <c r="AB661" s="294">
        <f>IF(NFI_Expiration=1,IF($A661&lt;VLOOKUP(K$5,NFI,5,0),1,0)*Table_NFI[[#This Row],[Mosquito net]],Table_NFI[Mosquito net])</f>
        <v>0</v>
      </c>
      <c r="AC661" s="294">
        <f>IF(NFI_Expiration=1,IF($A661&lt;VLOOKUP(L$5,NFI,5,0),1,0)*Table_NFI[[#This Row],[Tarpaulin]],Table_NFI[[#This Row],[Tarpaulin]])</f>
        <v>0</v>
      </c>
      <c r="AD661" s="294">
        <f>IF(NFI_Expiration=1,IF($A661&lt;VLOOKUP(M$5,NFI,5,0),1,0)*Table_NFI[[#This Row],[Blanket]],Table_NFI[[#This Row],[Blanket]])</f>
        <v>0</v>
      </c>
      <c r="AE661" s="294">
        <f>IF(NFI_Expiration=1,IF($A661&lt;VLOOKUP(N$5,NFI,5,0),1,0)*Table_NFI[[#This Row],[Kitchen Set]],Table_NFI[Kitchen Set])</f>
        <v>0</v>
      </c>
      <c r="AF661" s="294">
        <f>IF(NFI_Expiration=1,IF($A661&lt;VLOOKUP(O$5,NFI,5,0),1,0)*Table_NFI[[#This Row],[Clothes Kit]],Table_NFI[Clothes Kit])</f>
        <v>0</v>
      </c>
      <c r="AG661" s="294">
        <f>IF(NFI_Expiration=1,IF($A661&lt;VLOOKUP(P$5,NFI,5,0),1,0)*Table_NFI[[#This Row],[Plastic Bucket]],Table_NFI[Plastic Bucket])</f>
        <v>0</v>
      </c>
      <c r="AH661" s="294">
        <f>IF(NFI_Expiration=1,IF($A661&lt;VLOOKUP(Q$5,NFI,5,0),1,0)*Table_NFI[[#This Row],[Plastic Mat]],Table_NFI[Plastic Mat])*IF(Table_NFI[[#This Row],[Distribution Date]]&gt;"2014-04-01",1,2.5)</f>
        <v>0</v>
      </c>
      <c r="AI661" s="294">
        <f>IF(NFI_Expiration=1,IF($A661&lt;VLOOKUP(R$5,NFI,5,0),1,0)*Table_NFI[[#This Row],[Winter Clothes Adult]],Table_NFI[Winter Clothes Adult])</f>
        <v>0</v>
      </c>
      <c r="AJ661" s="294">
        <f>IF(NFI_Expiration=1,IF($A661&lt;VLOOKUP(S$5,NFI,5,0),1,0)*Table_NFI[[#This Row],[Winter Clothes Children]],Table_NFI[Winter Clothes Children])</f>
        <v>0</v>
      </c>
      <c r="AK661" s="294">
        <f>IF(NFI_Expiration=1,IF($A661&lt;VLOOKUP(T$5,NFI,5,0),1,0)*Table_NFI[[#This Row],[Winter Items Other]],Table_NFI[Winter Items Other])</f>
        <v>0</v>
      </c>
      <c r="AL661" s="294">
        <f>IF(NFI_Expiration=1,IF($A661&lt;VLOOKUP(M$5,NFI,5,0),1,0)*Table_NFI[[#This Row],[Winter Blanket]],Table_NFI[[#This Row],[Winter Blanket]])</f>
        <v>0</v>
      </c>
      <c r="AM661" s="294">
        <f>IF(Table_NFI[[#This Row],[Winter Clothes Adult]]+Table_NFI[[#This Row],[Winter Clothes Children]]+Table_NFI[[#This Row],[Winter Items Other]]+Table_NFI[[#This Row],[Winter Blanket]]&gt;0,1,0)</f>
        <v>0</v>
      </c>
      <c r="AN661" s="331">
        <f>IF(NFI_Expiration=1,IF($A661&lt;VLOOKUP(V$5,NFI,5,0),1,0)*Table_NFI[[#This Row],[Jerry Can]],Table_NFI[Jerry Can])</f>
        <v>0</v>
      </c>
      <c r="AO661" s="331">
        <f>IF(NFI_Expiration=1,IF($A661&lt;VLOOKUP(V$5,NFI,5,0),1,0)*Table_NFI[[#This Row],[Shelter Tool kit]],Table_NFI[Shelter Tool kit])</f>
        <v>0</v>
      </c>
      <c r="AP661" s="331">
        <f>IF(NFI_Expiration=1,IF($A661&lt;VLOOKUP(V$5,NFI,5,0),1,0)*Table_NFI[[#This Row],[Tent]],Table_NFI[Tent])</f>
        <v>0</v>
      </c>
      <c r="AQ661" s="473" t="str">
        <f>IFERROR(VLOOKUP(Table_NFI[[#This Row],[Camp Name]],CL,2,0),"")</f>
        <v>MMR001CMP006</v>
      </c>
      <c r="AR661" s="468">
        <f ca="1">IF(Table_NFI[[#This Row],[Pcode]]="","",IF(OFFSET(CampList[Opening Date],MATCH(Table_NFI[[#This Row],[Pcode]],CampList[CP_Pcode],0)-1,0,1,1)&gt;=NFI_Monitor_Date,1,0))</f>
        <v>0</v>
      </c>
      <c r="AS661" s="473" t="str">
        <f>IFERROR(VLOOKUP(Table_NFI[[#This Row],[Camp Name]],CL,3,0),"")</f>
        <v>Open</v>
      </c>
      <c r="AT661" s="294" t="str">
        <f ca="1">IF(Table_NFI[[#This Row],[Pcode]]="","",OFFSET(CampList[Priority],MATCH(Table_NFI[[#This Row],[Pcode]],CampList[CP_Pcode],0)-1,0,1,1))</f>
        <v>P4</v>
      </c>
      <c r="AU661" s="293">
        <f>IFERROR(Table_NFI[[#This Row],[Kitchen Set]]/VLOOKUP(Table_NFI[[#This Row],[Camp Name]],CL,4,0),"")</f>
        <v>0.18181818181818182</v>
      </c>
      <c r="AV661" s="466" t="s">
        <v>1092</v>
      </c>
      <c r="AW661" s="469"/>
    </row>
    <row r="662" spans="1:49" ht="14.45" customHeight="1" x14ac:dyDescent="0.25">
      <c r="A662" s="297">
        <f t="shared" si="10"/>
        <v>39.866666666666667</v>
      </c>
      <c r="B662" s="465">
        <v>41479</v>
      </c>
      <c r="C662" s="466" t="s">
        <v>452</v>
      </c>
      <c r="D662" s="466" t="s">
        <v>460</v>
      </c>
      <c r="E662" s="466" t="s">
        <v>380</v>
      </c>
      <c r="F662" s="466" t="s">
        <v>237</v>
      </c>
      <c r="G662" s="290" t="s">
        <v>1244</v>
      </c>
      <c r="H662" s="291"/>
      <c r="I662" s="291"/>
      <c r="J662" s="291">
        <v>34</v>
      </c>
      <c r="K662" s="291">
        <v>46</v>
      </c>
      <c r="L662" s="292">
        <v>22</v>
      </c>
      <c r="M662" s="292">
        <v>46</v>
      </c>
      <c r="N662" s="292">
        <v>22</v>
      </c>
      <c r="O662" s="292">
        <v>22</v>
      </c>
      <c r="P662" s="294">
        <v>22</v>
      </c>
      <c r="Q662" s="294">
        <v>22</v>
      </c>
      <c r="R662" s="294"/>
      <c r="S662" s="294"/>
      <c r="T662" s="294"/>
      <c r="U662" s="294"/>
      <c r="V662" s="431"/>
      <c r="W662" s="294"/>
      <c r="X662" s="294"/>
      <c r="Y662" s="294">
        <f>IF(NFI_Expiration=1,IF($A662&lt;VLOOKUP(H$5,NFI,5,0),1,0)*Table_NFI[[#This Row],[Hygiene Kit]],Table_NFI[Hygiene Kit])</f>
        <v>0</v>
      </c>
      <c r="Z662" s="294">
        <f>IF(NFI_Expiration=1,IF($A662&lt;VLOOKUP(I$5,NFI,5,0),1,0)*Table_NFI[[#This Row],[NFI Core Kit]],Table_NFI[NFI Core Kit])</f>
        <v>0</v>
      </c>
      <c r="AA662" s="294">
        <f>IF(NFI_Expiration=1,IF($A662&lt;VLOOKUP(J$5,NFI,5,0),1,0)*Table_NFI[[#This Row],[Sanitary Kit]],Table_NFI[Sanitary Kit])</f>
        <v>0</v>
      </c>
      <c r="AB662" s="294">
        <f>IF(NFI_Expiration=1,IF($A662&lt;VLOOKUP(K$5,NFI,5,0),1,0)*Table_NFI[[#This Row],[Mosquito net]],Table_NFI[Mosquito net])</f>
        <v>0</v>
      </c>
      <c r="AC662" s="294">
        <f>IF(NFI_Expiration=1,IF($A662&lt;VLOOKUP(L$5,NFI,5,0),1,0)*Table_NFI[[#This Row],[Tarpaulin]],Table_NFI[[#This Row],[Tarpaulin]])</f>
        <v>0</v>
      </c>
      <c r="AD662" s="294">
        <f>IF(NFI_Expiration=1,IF($A662&lt;VLOOKUP(M$5,NFI,5,0),1,0)*Table_NFI[[#This Row],[Blanket]],Table_NFI[[#This Row],[Blanket]])</f>
        <v>0</v>
      </c>
      <c r="AE662" s="294">
        <f>IF(NFI_Expiration=1,IF($A662&lt;VLOOKUP(N$5,NFI,5,0),1,0)*Table_NFI[[#This Row],[Kitchen Set]],Table_NFI[Kitchen Set])</f>
        <v>0</v>
      </c>
      <c r="AF662" s="294">
        <f>IF(NFI_Expiration=1,IF($A662&lt;VLOOKUP(O$5,NFI,5,0),1,0)*Table_NFI[[#This Row],[Clothes Kit]],Table_NFI[Clothes Kit])</f>
        <v>0</v>
      </c>
      <c r="AG662" s="294">
        <f>IF(NFI_Expiration=1,IF($A662&lt;VLOOKUP(P$5,NFI,5,0),1,0)*Table_NFI[[#This Row],[Plastic Bucket]],Table_NFI[Plastic Bucket])</f>
        <v>0</v>
      </c>
      <c r="AH662" s="294">
        <f>IF(NFI_Expiration=1,IF($A662&lt;VLOOKUP(Q$5,NFI,5,0),1,0)*Table_NFI[[#This Row],[Plastic Mat]],Table_NFI[Plastic Mat])*IF(Table_NFI[[#This Row],[Distribution Date]]&gt;"2014-04-01",1,2.5)</f>
        <v>0</v>
      </c>
      <c r="AI662" s="294">
        <f>IF(NFI_Expiration=1,IF($A662&lt;VLOOKUP(R$5,NFI,5,0),1,0)*Table_NFI[[#This Row],[Winter Clothes Adult]],Table_NFI[Winter Clothes Adult])</f>
        <v>0</v>
      </c>
      <c r="AJ662" s="294">
        <f>IF(NFI_Expiration=1,IF($A662&lt;VLOOKUP(S$5,NFI,5,0),1,0)*Table_NFI[[#This Row],[Winter Clothes Children]],Table_NFI[Winter Clothes Children])</f>
        <v>0</v>
      </c>
      <c r="AK662" s="294">
        <f>IF(NFI_Expiration=1,IF($A662&lt;VLOOKUP(T$5,NFI,5,0),1,0)*Table_NFI[[#This Row],[Winter Items Other]],Table_NFI[Winter Items Other])</f>
        <v>0</v>
      </c>
      <c r="AL662" s="294">
        <f>IF(NFI_Expiration=1,IF($A662&lt;VLOOKUP(M$5,NFI,5,0),1,0)*Table_NFI[[#This Row],[Winter Blanket]],Table_NFI[[#This Row],[Winter Blanket]])</f>
        <v>0</v>
      </c>
      <c r="AM662" s="294">
        <f>IF(Table_NFI[[#This Row],[Winter Clothes Adult]]+Table_NFI[[#This Row],[Winter Clothes Children]]+Table_NFI[[#This Row],[Winter Items Other]]+Table_NFI[[#This Row],[Winter Blanket]]&gt;0,1,0)</f>
        <v>0</v>
      </c>
      <c r="AN662" s="331">
        <f>IF(NFI_Expiration=1,IF($A662&lt;VLOOKUP(V$5,NFI,5,0),1,0)*Table_NFI[[#This Row],[Jerry Can]],Table_NFI[Jerry Can])</f>
        <v>0</v>
      </c>
      <c r="AO662" s="331">
        <f>IF(NFI_Expiration=1,IF($A662&lt;VLOOKUP(V$5,NFI,5,0),1,0)*Table_NFI[[#This Row],[Shelter Tool kit]],Table_NFI[Shelter Tool kit])</f>
        <v>0</v>
      </c>
      <c r="AP662" s="331">
        <f>IF(NFI_Expiration=1,IF($A662&lt;VLOOKUP(V$5,NFI,5,0),1,0)*Table_NFI[[#This Row],[Tent]],Table_NFI[Tent])</f>
        <v>0</v>
      </c>
      <c r="AQ662" s="473" t="str">
        <f>IFERROR(VLOOKUP(Table_NFI[[#This Row],[Camp Name]],CL,2,0),"")</f>
        <v>MMR001CMP023</v>
      </c>
      <c r="AR662" s="468">
        <f ca="1">IF(Table_NFI[[#This Row],[Pcode]]="","",IF(OFFSET(CampList[Opening Date],MATCH(Table_NFI[[#This Row],[Pcode]],CampList[CP_Pcode],0)-1,0,1,1)&gt;=NFI_Monitor_Date,1,0))</f>
        <v>0</v>
      </c>
      <c r="AS662" s="473" t="str">
        <f>IFERROR(VLOOKUP(Table_NFI[[#This Row],[Camp Name]],CL,3,0),"")</f>
        <v>Open</v>
      </c>
      <c r="AT662" s="294" t="str">
        <f ca="1">IF(Table_NFI[[#This Row],[Pcode]]="","",OFFSET(CampList[Priority],MATCH(Table_NFI[[#This Row],[Pcode]],CampList[CP_Pcode],0)-1,0,1,1))</f>
        <v>P4</v>
      </c>
      <c r="AU662" s="293">
        <f>IFERROR(Table_NFI[[#This Row],[Kitchen Set]]/VLOOKUP(Table_NFI[[#This Row],[Camp Name]],CL,4,0),"")</f>
        <v>0.40740740740740738</v>
      </c>
      <c r="AV662" s="466" t="s">
        <v>1092</v>
      </c>
      <c r="AW662" s="469"/>
    </row>
    <row r="663" spans="1:49" ht="14.45" customHeight="1" x14ac:dyDescent="0.25">
      <c r="A663" s="297">
        <f t="shared" si="10"/>
        <v>39.866666666666667</v>
      </c>
      <c r="B663" s="465">
        <v>41479</v>
      </c>
      <c r="C663" s="466" t="s">
        <v>452</v>
      </c>
      <c r="D663" s="466" t="s">
        <v>505</v>
      </c>
      <c r="E663" s="466" t="s">
        <v>380</v>
      </c>
      <c r="F663" s="290" t="s">
        <v>310</v>
      </c>
      <c r="G663" s="290" t="s">
        <v>316</v>
      </c>
      <c r="H663" s="291"/>
      <c r="I663" s="291"/>
      <c r="J663" s="291">
        <v>22</v>
      </c>
      <c r="K663" s="291">
        <v>32</v>
      </c>
      <c r="L663" s="294">
        <v>15</v>
      </c>
      <c r="M663" s="294">
        <v>32</v>
      </c>
      <c r="N663" s="294">
        <v>15</v>
      </c>
      <c r="O663" s="294">
        <v>15</v>
      </c>
      <c r="P663" s="294">
        <v>15</v>
      </c>
      <c r="Q663" s="294">
        <v>15</v>
      </c>
      <c r="R663" s="294"/>
      <c r="S663" s="294"/>
      <c r="T663" s="294"/>
      <c r="U663" s="294"/>
      <c r="V663" s="431"/>
      <c r="W663" s="294"/>
      <c r="X663" s="294"/>
      <c r="Y663" s="294">
        <f>IF(NFI_Expiration=1,IF($A663&lt;VLOOKUP(H$5,NFI,5,0),1,0)*Table_NFI[[#This Row],[Hygiene Kit]],Table_NFI[Hygiene Kit])</f>
        <v>0</v>
      </c>
      <c r="Z663" s="294">
        <f>IF(NFI_Expiration=1,IF($A663&lt;VLOOKUP(I$5,NFI,5,0),1,0)*Table_NFI[[#This Row],[NFI Core Kit]],Table_NFI[NFI Core Kit])</f>
        <v>0</v>
      </c>
      <c r="AA663" s="294">
        <f>IF(NFI_Expiration=1,IF($A663&lt;VLOOKUP(J$5,NFI,5,0),1,0)*Table_NFI[[#This Row],[Sanitary Kit]],Table_NFI[Sanitary Kit])</f>
        <v>0</v>
      </c>
      <c r="AB663" s="294">
        <f>IF(NFI_Expiration=1,IF($A663&lt;VLOOKUP(K$5,NFI,5,0),1,0)*Table_NFI[[#This Row],[Mosquito net]],Table_NFI[Mosquito net])</f>
        <v>0</v>
      </c>
      <c r="AC663" s="294">
        <f>IF(NFI_Expiration=1,IF($A663&lt;VLOOKUP(L$5,NFI,5,0),1,0)*Table_NFI[[#This Row],[Tarpaulin]],Table_NFI[[#This Row],[Tarpaulin]])</f>
        <v>0</v>
      </c>
      <c r="AD663" s="294">
        <f>IF(NFI_Expiration=1,IF($A663&lt;VLOOKUP(M$5,NFI,5,0),1,0)*Table_NFI[[#This Row],[Blanket]],Table_NFI[[#This Row],[Blanket]])</f>
        <v>0</v>
      </c>
      <c r="AE663" s="294">
        <f>IF(NFI_Expiration=1,IF($A663&lt;VLOOKUP(N$5,NFI,5,0),1,0)*Table_NFI[[#This Row],[Kitchen Set]],Table_NFI[Kitchen Set])</f>
        <v>0</v>
      </c>
      <c r="AF663" s="294">
        <f>IF(NFI_Expiration=1,IF($A663&lt;VLOOKUP(O$5,NFI,5,0),1,0)*Table_NFI[[#This Row],[Clothes Kit]],Table_NFI[Clothes Kit])</f>
        <v>0</v>
      </c>
      <c r="AG663" s="294">
        <f>IF(NFI_Expiration=1,IF($A663&lt;VLOOKUP(P$5,NFI,5,0),1,0)*Table_NFI[[#This Row],[Plastic Bucket]],Table_NFI[Plastic Bucket])</f>
        <v>0</v>
      </c>
      <c r="AH663" s="294">
        <f>IF(NFI_Expiration=1,IF($A663&lt;VLOOKUP(Q$5,NFI,5,0),1,0)*Table_NFI[[#This Row],[Plastic Mat]],Table_NFI[Plastic Mat])*IF(Table_NFI[[#This Row],[Distribution Date]]&gt;"2014-04-01",1,2.5)</f>
        <v>0</v>
      </c>
      <c r="AI663" s="294">
        <f>IF(NFI_Expiration=1,IF($A663&lt;VLOOKUP(R$5,NFI,5,0),1,0)*Table_NFI[[#This Row],[Winter Clothes Adult]],Table_NFI[Winter Clothes Adult])</f>
        <v>0</v>
      </c>
      <c r="AJ663" s="294">
        <f>IF(NFI_Expiration=1,IF($A663&lt;VLOOKUP(S$5,NFI,5,0),1,0)*Table_NFI[[#This Row],[Winter Clothes Children]],Table_NFI[Winter Clothes Children])</f>
        <v>0</v>
      </c>
      <c r="AK663" s="294">
        <f>IF(NFI_Expiration=1,IF($A663&lt;VLOOKUP(T$5,NFI,5,0),1,0)*Table_NFI[[#This Row],[Winter Items Other]],Table_NFI[Winter Items Other])</f>
        <v>0</v>
      </c>
      <c r="AL663" s="294">
        <f>IF(NFI_Expiration=1,IF($A663&lt;VLOOKUP(M$5,NFI,5,0),1,0)*Table_NFI[[#This Row],[Winter Blanket]],Table_NFI[[#This Row],[Winter Blanket]])</f>
        <v>0</v>
      </c>
      <c r="AM663" s="294">
        <f>IF(Table_NFI[[#This Row],[Winter Clothes Adult]]+Table_NFI[[#This Row],[Winter Clothes Children]]+Table_NFI[[#This Row],[Winter Items Other]]+Table_NFI[[#This Row],[Winter Blanket]]&gt;0,1,0)</f>
        <v>0</v>
      </c>
      <c r="AN663" s="331">
        <f>IF(NFI_Expiration=1,IF($A663&lt;VLOOKUP(V$5,NFI,5,0),1,0)*Table_NFI[[#This Row],[Jerry Can]],Table_NFI[Jerry Can])</f>
        <v>0</v>
      </c>
      <c r="AO663" s="331">
        <f>IF(NFI_Expiration=1,IF($A663&lt;VLOOKUP(V$5,NFI,5,0),1,0)*Table_NFI[[#This Row],[Shelter Tool kit]],Table_NFI[Shelter Tool kit])</f>
        <v>0</v>
      </c>
      <c r="AP663" s="331">
        <f>IF(NFI_Expiration=1,IF($A663&lt;VLOOKUP(V$5,NFI,5,0),1,0)*Table_NFI[[#This Row],[Tent]],Table_NFI[Tent])</f>
        <v>0</v>
      </c>
      <c r="AQ663" s="473" t="str">
        <f>IFERROR(VLOOKUP(Table_NFI[[#This Row],[Camp Name]],CL,2,0),"")</f>
        <v>MMR001CMP038</v>
      </c>
      <c r="AR663" s="468">
        <f ca="1">IF(Table_NFI[[#This Row],[Pcode]]="","",IF(OFFSET(CampList[Opening Date],MATCH(Table_NFI[[#This Row],[Pcode]],CampList[CP_Pcode],0)-1,0,1,1)&gt;=NFI_Monitor_Date,1,0))</f>
        <v>0</v>
      </c>
      <c r="AS663" s="473" t="str">
        <f>IFERROR(VLOOKUP(Table_NFI[[#This Row],[Camp Name]],CL,3,0),"")</f>
        <v>Open</v>
      </c>
      <c r="AT663" s="294" t="str">
        <f ca="1">IF(Table_NFI[[#This Row],[Pcode]]="","",OFFSET(CampList[Priority],MATCH(Table_NFI[[#This Row],[Pcode]],CampList[CP_Pcode],0)-1,0,1,1))</f>
        <v>P4</v>
      </c>
      <c r="AU663" s="293">
        <f>IFERROR(Table_NFI[[#This Row],[Kitchen Set]]/VLOOKUP(Table_NFI[[#This Row],[Camp Name]],CL,4,0),"")</f>
        <v>0.21428571428571427</v>
      </c>
      <c r="AV663" s="466" t="s">
        <v>1092</v>
      </c>
      <c r="AW663" s="469"/>
    </row>
    <row r="664" spans="1:49" ht="14.45" customHeight="1" x14ac:dyDescent="0.25">
      <c r="A664" s="297">
        <f t="shared" si="10"/>
        <v>40.133333333333333</v>
      </c>
      <c r="B664" s="465">
        <v>41471</v>
      </c>
      <c r="C664" s="466" t="s">
        <v>452</v>
      </c>
      <c r="D664" s="467" t="s">
        <v>505</v>
      </c>
      <c r="E664" s="466" t="s">
        <v>380</v>
      </c>
      <c r="F664" s="290" t="s">
        <v>237</v>
      </c>
      <c r="G664" s="290" t="s">
        <v>1244</v>
      </c>
      <c r="H664" s="291"/>
      <c r="I664" s="291"/>
      <c r="J664" s="291">
        <v>55</v>
      </c>
      <c r="K664" s="291">
        <v>74</v>
      </c>
      <c r="L664" s="292">
        <v>31</v>
      </c>
      <c r="M664" s="292">
        <v>74</v>
      </c>
      <c r="N664" s="292">
        <v>31</v>
      </c>
      <c r="O664" s="292">
        <v>31</v>
      </c>
      <c r="P664" s="294">
        <v>31</v>
      </c>
      <c r="Q664" s="294">
        <v>31</v>
      </c>
      <c r="R664" s="294"/>
      <c r="S664" s="294"/>
      <c r="T664" s="294"/>
      <c r="U664" s="294"/>
      <c r="V664" s="431"/>
      <c r="W664" s="294"/>
      <c r="X664" s="294"/>
      <c r="Y664" s="294">
        <f>IF(NFI_Expiration=1,IF($A664&lt;VLOOKUP(H$5,NFI,5,0),1,0)*Table_NFI[[#This Row],[Hygiene Kit]],Table_NFI[Hygiene Kit])</f>
        <v>0</v>
      </c>
      <c r="Z664" s="294">
        <f>IF(NFI_Expiration=1,IF($A664&lt;VLOOKUP(I$5,NFI,5,0),1,0)*Table_NFI[[#This Row],[NFI Core Kit]],Table_NFI[NFI Core Kit])</f>
        <v>0</v>
      </c>
      <c r="AA664" s="294">
        <f>IF(NFI_Expiration=1,IF($A664&lt;VLOOKUP(J$5,NFI,5,0),1,0)*Table_NFI[[#This Row],[Sanitary Kit]],Table_NFI[Sanitary Kit])</f>
        <v>0</v>
      </c>
      <c r="AB664" s="294">
        <f>IF(NFI_Expiration=1,IF($A664&lt;VLOOKUP(K$5,NFI,5,0),1,0)*Table_NFI[[#This Row],[Mosquito net]],Table_NFI[Mosquito net])</f>
        <v>0</v>
      </c>
      <c r="AC664" s="294">
        <f>IF(NFI_Expiration=1,IF($A664&lt;VLOOKUP(L$5,NFI,5,0),1,0)*Table_NFI[[#This Row],[Tarpaulin]],Table_NFI[[#This Row],[Tarpaulin]])</f>
        <v>0</v>
      </c>
      <c r="AD664" s="294">
        <f>IF(NFI_Expiration=1,IF($A664&lt;VLOOKUP(M$5,NFI,5,0),1,0)*Table_NFI[[#This Row],[Blanket]],Table_NFI[[#This Row],[Blanket]])</f>
        <v>0</v>
      </c>
      <c r="AE664" s="294">
        <f>IF(NFI_Expiration=1,IF($A664&lt;VLOOKUP(N$5,NFI,5,0),1,0)*Table_NFI[[#This Row],[Kitchen Set]],Table_NFI[Kitchen Set])</f>
        <v>0</v>
      </c>
      <c r="AF664" s="294">
        <f>IF(NFI_Expiration=1,IF($A664&lt;VLOOKUP(O$5,NFI,5,0),1,0)*Table_NFI[[#This Row],[Clothes Kit]],Table_NFI[Clothes Kit])</f>
        <v>0</v>
      </c>
      <c r="AG664" s="294">
        <f>IF(NFI_Expiration=1,IF($A664&lt;VLOOKUP(P$5,NFI,5,0),1,0)*Table_NFI[[#This Row],[Plastic Bucket]],Table_NFI[Plastic Bucket])</f>
        <v>0</v>
      </c>
      <c r="AH664" s="294">
        <f>IF(NFI_Expiration=1,IF($A664&lt;VLOOKUP(Q$5,NFI,5,0),1,0)*Table_NFI[[#This Row],[Plastic Mat]],Table_NFI[Plastic Mat])*IF(Table_NFI[[#This Row],[Distribution Date]]&gt;"2014-04-01",1,2.5)</f>
        <v>0</v>
      </c>
      <c r="AI664" s="294">
        <f>IF(NFI_Expiration=1,IF($A664&lt;VLOOKUP(R$5,NFI,5,0),1,0)*Table_NFI[[#This Row],[Winter Clothes Adult]],Table_NFI[Winter Clothes Adult])</f>
        <v>0</v>
      </c>
      <c r="AJ664" s="294">
        <f>IF(NFI_Expiration=1,IF($A664&lt;VLOOKUP(S$5,NFI,5,0),1,0)*Table_NFI[[#This Row],[Winter Clothes Children]],Table_NFI[Winter Clothes Children])</f>
        <v>0</v>
      </c>
      <c r="AK664" s="294">
        <f>IF(NFI_Expiration=1,IF($A664&lt;VLOOKUP(T$5,NFI,5,0),1,0)*Table_NFI[[#This Row],[Winter Items Other]],Table_NFI[Winter Items Other])</f>
        <v>0</v>
      </c>
      <c r="AL664" s="294">
        <f>IF(NFI_Expiration=1,IF($A664&lt;VLOOKUP(M$5,NFI,5,0),1,0)*Table_NFI[[#This Row],[Winter Blanket]],Table_NFI[[#This Row],[Winter Blanket]])</f>
        <v>0</v>
      </c>
      <c r="AM664" s="294">
        <f>IF(Table_NFI[[#This Row],[Winter Clothes Adult]]+Table_NFI[[#This Row],[Winter Clothes Children]]+Table_NFI[[#This Row],[Winter Items Other]]+Table_NFI[[#This Row],[Winter Blanket]]&gt;0,1,0)</f>
        <v>0</v>
      </c>
      <c r="AN664" s="331">
        <f>IF(NFI_Expiration=1,IF($A664&lt;VLOOKUP(V$5,NFI,5,0),1,0)*Table_NFI[[#This Row],[Jerry Can]],Table_NFI[Jerry Can])</f>
        <v>0</v>
      </c>
      <c r="AO664" s="331">
        <f>IF(NFI_Expiration=1,IF($A664&lt;VLOOKUP(V$5,NFI,5,0),1,0)*Table_NFI[[#This Row],[Shelter Tool kit]],Table_NFI[Shelter Tool kit])</f>
        <v>0</v>
      </c>
      <c r="AP664" s="331">
        <f>IF(NFI_Expiration=1,IF($A664&lt;VLOOKUP(V$5,NFI,5,0),1,0)*Table_NFI[[#This Row],[Tent]],Table_NFI[Tent])</f>
        <v>0</v>
      </c>
      <c r="AQ664" s="473" t="str">
        <f>IFERROR(VLOOKUP(Table_NFI[[#This Row],[Camp Name]],CL,2,0),"")</f>
        <v>MMR001CMP023</v>
      </c>
      <c r="AR664" s="468">
        <f ca="1">IF(Table_NFI[[#This Row],[Pcode]]="","",IF(OFFSET(CampList[Opening Date],MATCH(Table_NFI[[#This Row],[Pcode]],CampList[CP_Pcode],0)-1,0,1,1)&gt;=NFI_Monitor_Date,1,0))</f>
        <v>0</v>
      </c>
      <c r="AS664" s="473" t="str">
        <f>IFERROR(VLOOKUP(Table_NFI[[#This Row],[Camp Name]],CL,3,0),"")</f>
        <v>Open</v>
      </c>
      <c r="AT664" s="294" t="str">
        <f ca="1">IF(Table_NFI[[#This Row],[Pcode]]="","",OFFSET(CampList[Priority],MATCH(Table_NFI[[#This Row],[Pcode]],CampList[CP_Pcode],0)-1,0,1,1))</f>
        <v>P4</v>
      </c>
      <c r="AU664" s="293">
        <f>IFERROR(Table_NFI[[#This Row],[Kitchen Set]]/VLOOKUP(Table_NFI[[#This Row],[Camp Name]],CL,4,0),"")</f>
        <v>0.57407407407407407</v>
      </c>
      <c r="AV664" s="466" t="s">
        <v>1092</v>
      </c>
      <c r="AW664" s="469"/>
    </row>
    <row r="665" spans="1:49" ht="14.45" customHeight="1" x14ac:dyDescent="0.25">
      <c r="A665" s="297">
        <f t="shared" si="10"/>
        <v>40.666666666666664</v>
      </c>
      <c r="B665" s="465">
        <v>41455</v>
      </c>
      <c r="C665" s="466" t="s">
        <v>452</v>
      </c>
      <c r="D665" s="466"/>
      <c r="E665" s="466" t="s">
        <v>380</v>
      </c>
      <c r="F665" s="466" t="s">
        <v>151</v>
      </c>
      <c r="G665" s="466" t="s">
        <v>885</v>
      </c>
      <c r="H665" s="291"/>
      <c r="I665" s="291"/>
      <c r="J665" s="291"/>
      <c r="K665" s="291"/>
      <c r="L665" s="292"/>
      <c r="M665" s="292">
        <v>9</v>
      </c>
      <c r="N665" s="292"/>
      <c r="O665" s="292"/>
      <c r="P665" s="294">
        <v>19</v>
      </c>
      <c r="Q665" s="294">
        <v>1</v>
      </c>
      <c r="R665" s="294"/>
      <c r="S665" s="294"/>
      <c r="T665" s="294"/>
      <c r="U665" s="294"/>
      <c r="V665" s="431"/>
      <c r="W665" s="294"/>
      <c r="X665" s="294"/>
      <c r="Y665" s="294">
        <f>IF(NFI_Expiration=1,IF($A665&lt;VLOOKUP(H$5,NFI,5,0),1,0)*Table_NFI[[#This Row],[Hygiene Kit]],Table_NFI[Hygiene Kit])</f>
        <v>0</v>
      </c>
      <c r="Z665" s="294">
        <f>IF(NFI_Expiration=1,IF($A665&lt;VLOOKUP(I$5,NFI,5,0),1,0)*Table_NFI[[#This Row],[NFI Core Kit]],Table_NFI[NFI Core Kit])</f>
        <v>0</v>
      </c>
      <c r="AA665" s="294">
        <f>IF(NFI_Expiration=1,IF($A665&lt;VLOOKUP(J$5,NFI,5,0),1,0)*Table_NFI[[#This Row],[Sanitary Kit]],Table_NFI[Sanitary Kit])</f>
        <v>0</v>
      </c>
      <c r="AB665" s="294">
        <f>IF(NFI_Expiration=1,IF($A665&lt;VLOOKUP(K$5,NFI,5,0),1,0)*Table_NFI[[#This Row],[Mosquito net]],Table_NFI[Mosquito net])</f>
        <v>0</v>
      </c>
      <c r="AC665" s="294">
        <f>IF(NFI_Expiration=1,IF($A665&lt;VLOOKUP(L$5,NFI,5,0),1,0)*Table_NFI[[#This Row],[Tarpaulin]],Table_NFI[[#This Row],[Tarpaulin]])</f>
        <v>0</v>
      </c>
      <c r="AD665" s="294">
        <f>IF(NFI_Expiration=1,IF($A665&lt;VLOOKUP(M$5,NFI,5,0),1,0)*Table_NFI[[#This Row],[Blanket]],Table_NFI[[#This Row],[Blanket]])</f>
        <v>0</v>
      </c>
      <c r="AE665" s="294">
        <f>IF(NFI_Expiration=1,IF($A665&lt;VLOOKUP(N$5,NFI,5,0),1,0)*Table_NFI[[#This Row],[Kitchen Set]],Table_NFI[Kitchen Set])</f>
        <v>0</v>
      </c>
      <c r="AF665" s="294">
        <f>IF(NFI_Expiration=1,IF($A665&lt;VLOOKUP(O$5,NFI,5,0),1,0)*Table_NFI[[#This Row],[Clothes Kit]],Table_NFI[Clothes Kit])</f>
        <v>0</v>
      </c>
      <c r="AG665" s="294">
        <f>IF(NFI_Expiration=1,IF($A665&lt;VLOOKUP(P$5,NFI,5,0),1,0)*Table_NFI[[#This Row],[Plastic Bucket]],Table_NFI[Plastic Bucket])</f>
        <v>0</v>
      </c>
      <c r="AH665" s="294">
        <f>IF(NFI_Expiration=1,IF($A665&lt;VLOOKUP(Q$5,NFI,5,0),1,0)*Table_NFI[[#This Row],[Plastic Mat]],Table_NFI[Plastic Mat])*IF(Table_NFI[[#This Row],[Distribution Date]]&gt;"2014-04-01",1,2.5)</f>
        <v>0</v>
      </c>
      <c r="AI665" s="294">
        <f>IF(NFI_Expiration=1,IF($A665&lt;VLOOKUP(R$5,NFI,5,0),1,0)*Table_NFI[[#This Row],[Winter Clothes Adult]],Table_NFI[Winter Clothes Adult])</f>
        <v>0</v>
      </c>
      <c r="AJ665" s="294">
        <f>IF(NFI_Expiration=1,IF($A665&lt;VLOOKUP(S$5,NFI,5,0),1,0)*Table_NFI[[#This Row],[Winter Clothes Children]],Table_NFI[Winter Clothes Children])</f>
        <v>0</v>
      </c>
      <c r="AK665" s="294">
        <f>IF(NFI_Expiration=1,IF($A665&lt;VLOOKUP(T$5,NFI,5,0),1,0)*Table_NFI[[#This Row],[Winter Items Other]],Table_NFI[Winter Items Other])</f>
        <v>0</v>
      </c>
      <c r="AL665" s="294">
        <f>IF(NFI_Expiration=1,IF($A665&lt;VLOOKUP(M$5,NFI,5,0),1,0)*Table_NFI[[#This Row],[Winter Blanket]],Table_NFI[[#This Row],[Winter Blanket]])</f>
        <v>0</v>
      </c>
      <c r="AM665" s="294">
        <f>IF(Table_NFI[[#This Row],[Winter Clothes Adult]]+Table_NFI[[#This Row],[Winter Clothes Children]]+Table_NFI[[#This Row],[Winter Items Other]]+Table_NFI[[#This Row],[Winter Blanket]]&gt;0,1,0)</f>
        <v>0</v>
      </c>
      <c r="AN665" s="331">
        <f>IF(NFI_Expiration=1,IF($A665&lt;VLOOKUP(V$5,NFI,5,0),1,0)*Table_NFI[[#This Row],[Jerry Can]],Table_NFI[Jerry Can])</f>
        <v>0</v>
      </c>
      <c r="AO665" s="331">
        <f>IF(NFI_Expiration=1,IF($A665&lt;VLOOKUP(V$5,NFI,5,0),1,0)*Table_NFI[[#This Row],[Shelter Tool kit]],Table_NFI[Shelter Tool kit])</f>
        <v>0</v>
      </c>
      <c r="AP665" s="331">
        <f>IF(NFI_Expiration=1,IF($A665&lt;VLOOKUP(V$5,NFI,5,0),1,0)*Table_NFI[[#This Row],[Tent]],Table_NFI[Tent])</f>
        <v>0</v>
      </c>
      <c r="AQ665" s="473" t="str">
        <f>IFERROR(VLOOKUP(Table_NFI[[#This Row],[Camp Name]],CL,2,0),"")</f>
        <v>MMR001CMP218</v>
      </c>
      <c r="AR665" s="468">
        <f ca="1">IF(Table_NFI[[#This Row],[Pcode]]="","",IF(OFFSET(CampList[Opening Date],MATCH(Table_NFI[[#This Row],[Pcode]],CampList[CP_Pcode],0)-1,0,1,1)&gt;=NFI_Monitor_Date,1,0))</f>
        <v>0</v>
      </c>
      <c r="AS665" s="473" t="str">
        <f>IFERROR(VLOOKUP(Table_NFI[[#This Row],[Camp Name]],CL,3,0),"")</f>
        <v>Open</v>
      </c>
      <c r="AT665" s="294" t="str">
        <f ca="1">IF(Table_NFI[[#This Row],[Pcode]]="","",OFFSET(CampList[Priority],MATCH(Table_NFI[[#This Row],[Pcode]],CampList[CP_Pcode],0)-1,0,1,1))</f>
        <v>P4</v>
      </c>
      <c r="AU665" s="293">
        <f>IFERROR(Table_NFI[[#This Row],[Kitchen Set]]/VLOOKUP(Table_NFI[[#This Row],[Camp Name]],CL,4,0),"")</f>
        <v>0</v>
      </c>
      <c r="AV665" s="466"/>
      <c r="AW665" s="469"/>
    </row>
    <row r="666" spans="1:49" ht="14.45" customHeight="1" x14ac:dyDescent="0.25">
      <c r="A666" s="297">
        <f t="shared" si="10"/>
        <v>40.666666666666664</v>
      </c>
      <c r="B666" s="465">
        <v>41455</v>
      </c>
      <c r="C666" s="466" t="s">
        <v>452</v>
      </c>
      <c r="D666" s="466"/>
      <c r="E666" s="466" t="s">
        <v>380</v>
      </c>
      <c r="F666" s="466" t="s">
        <v>151</v>
      </c>
      <c r="G666" s="466" t="s">
        <v>942</v>
      </c>
      <c r="H666" s="291"/>
      <c r="I666" s="291"/>
      <c r="J666" s="291"/>
      <c r="K666" s="291">
        <v>50</v>
      </c>
      <c r="L666" s="292">
        <v>15</v>
      </c>
      <c r="M666" s="292"/>
      <c r="N666" s="292">
        <v>15</v>
      </c>
      <c r="O666" s="292"/>
      <c r="P666" s="294">
        <v>15</v>
      </c>
      <c r="Q666" s="294">
        <v>60</v>
      </c>
      <c r="R666" s="294"/>
      <c r="S666" s="294"/>
      <c r="T666" s="294"/>
      <c r="U666" s="294"/>
      <c r="V666" s="431"/>
      <c r="W666" s="294"/>
      <c r="X666" s="294"/>
      <c r="Y666" s="294">
        <f>IF(NFI_Expiration=1,IF($A666&lt;VLOOKUP(H$5,NFI,5,0),1,0)*Table_NFI[[#This Row],[Hygiene Kit]],Table_NFI[Hygiene Kit])</f>
        <v>0</v>
      </c>
      <c r="Z666" s="294">
        <f>IF(NFI_Expiration=1,IF($A666&lt;VLOOKUP(I$5,NFI,5,0),1,0)*Table_NFI[[#This Row],[NFI Core Kit]],Table_NFI[NFI Core Kit])</f>
        <v>0</v>
      </c>
      <c r="AA666" s="294">
        <f>IF(NFI_Expiration=1,IF($A666&lt;VLOOKUP(J$5,NFI,5,0),1,0)*Table_NFI[[#This Row],[Sanitary Kit]],Table_NFI[Sanitary Kit])</f>
        <v>0</v>
      </c>
      <c r="AB666" s="294">
        <f>IF(NFI_Expiration=1,IF($A666&lt;VLOOKUP(K$5,NFI,5,0),1,0)*Table_NFI[[#This Row],[Mosquito net]],Table_NFI[Mosquito net])</f>
        <v>0</v>
      </c>
      <c r="AC666" s="294">
        <f>IF(NFI_Expiration=1,IF($A666&lt;VLOOKUP(L$5,NFI,5,0),1,0)*Table_NFI[[#This Row],[Tarpaulin]],Table_NFI[[#This Row],[Tarpaulin]])</f>
        <v>0</v>
      </c>
      <c r="AD666" s="294">
        <f>IF(NFI_Expiration=1,IF($A666&lt;VLOOKUP(M$5,NFI,5,0),1,0)*Table_NFI[[#This Row],[Blanket]],Table_NFI[[#This Row],[Blanket]])</f>
        <v>0</v>
      </c>
      <c r="AE666" s="294">
        <f>IF(NFI_Expiration=1,IF($A666&lt;VLOOKUP(N$5,NFI,5,0),1,0)*Table_NFI[[#This Row],[Kitchen Set]],Table_NFI[Kitchen Set])</f>
        <v>0</v>
      </c>
      <c r="AF666" s="294">
        <f>IF(NFI_Expiration=1,IF($A666&lt;VLOOKUP(O$5,NFI,5,0),1,0)*Table_NFI[[#This Row],[Clothes Kit]],Table_NFI[Clothes Kit])</f>
        <v>0</v>
      </c>
      <c r="AG666" s="294">
        <f>IF(NFI_Expiration=1,IF($A666&lt;VLOOKUP(P$5,NFI,5,0),1,0)*Table_NFI[[#This Row],[Plastic Bucket]],Table_NFI[Plastic Bucket])</f>
        <v>0</v>
      </c>
      <c r="AH666" s="294">
        <f>IF(NFI_Expiration=1,IF($A666&lt;VLOOKUP(Q$5,NFI,5,0),1,0)*Table_NFI[[#This Row],[Plastic Mat]],Table_NFI[Plastic Mat])*IF(Table_NFI[[#This Row],[Distribution Date]]&gt;"2014-04-01",1,2.5)</f>
        <v>0</v>
      </c>
      <c r="AI666" s="294">
        <f>IF(NFI_Expiration=1,IF($A666&lt;VLOOKUP(R$5,NFI,5,0),1,0)*Table_NFI[[#This Row],[Winter Clothes Adult]],Table_NFI[Winter Clothes Adult])</f>
        <v>0</v>
      </c>
      <c r="AJ666" s="294">
        <f>IF(NFI_Expiration=1,IF($A666&lt;VLOOKUP(S$5,NFI,5,0),1,0)*Table_NFI[[#This Row],[Winter Clothes Children]],Table_NFI[Winter Clothes Children])</f>
        <v>0</v>
      </c>
      <c r="AK666" s="294">
        <f>IF(NFI_Expiration=1,IF($A666&lt;VLOOKUP(T$5,NFI,5,0),1,0)*Table_NFI[[#This Row],[Winter Items Other]],Table_NFI[Winter Items Other])</f>
        <v>0</v>
      </c>
      <c r="AL666" s="294">
        <f>IF(NFI_Expiration=1,IF($A666&lt;VLOOKUP(M$5,NFI,5,0),1,0)*Table_NFI[[#This Row],[Winter Blanket]],Table_NFI[[#This Row],[Winter Blanket]])</f>
        <v>0</v>
      </c>
      <c r="AM666" s="294">
        <f>IF(Table_NFI[[#This Row],[Winter Clothes Adult]]+Table_NFI[[#This Row],[Winter Clothes Children]]+Table_NFI[[#This Row],[Winter Items Other]]+Table_NFI[[#This Row],[Winter Blanket]]&gt;0,1,0)</f>
        <v>0</v>
      </c>
      <c r="AN666" s="331">
        <f>IF(NFI_Expiration=1,IF($A666&lt;VLOOKUP(V$5,NFI,5,0),1,0)*Table_NFI[[#This Row],[Jerry Can]],Table_NFI[Jerry Can])</f>
        <v>0</v>
      </c>
      <c r="AO666" s="331">
        <f>IF(NFI_Expiration=1,IF($A666&lt;VLOOKUP(V$5,NFI,5,0),1,0)*Table_NFI[[#This Row],[Shelter Tool kit]],Table_NFI[Shelter Tool kit])</f>
        <v>0</v>
      </c>
      <c r="AP666" s="331">
        <f>IF(NFI_Expiration=1,IF($A666&lt;VLOOKUP(V$5,NFI,5,0),1,0)*Table_NFI[[#This Row],[Tent]],Table_NFI[Tent])</f>
        <v>0</v>
      </c>
      <c r="AQ666" s="473" t="str">
        <f>IFERROR(VLOOKUP(Table_NFI[[#This Row],[Camp Name]],CL,2,0),"")</f>
        <v>MMR001CMP223</v>
      </c>
      <c r="AR666" s="468">
        <f ca="1">IF(Table_NFI[[#This Row],[Pcode]]="","",IF(OFFSET(CampList[Opening Date],MATCH(Table_NFI[[#This Row],[Pcode]],CampList[CP_Pcode],0)-1,0,1,1)&gt;=NFI_Monitor_Date,1,0))</f>
        <v>0</v>
      </c>
      <c r="AS666" s="473" t="str">
        <f>IFERROR(VLOOKUP(Table_NFI[[#This Row],[Camp Name]],CL,3,0),"")</f>
        <v>Open</v>
      </c>
      <c r="AT666" s="294" t="str">
        <f ca="1">IF(Table_NFI[[#This Row],[Pcode]]="","",OFFSET(CampList[Priority],MATCH(Table_NFI[[#This Row],[Pcode]],CampList[CP_Pcode],0)-1,0,1,1))</f>
        <v>P4</v>
      </c>
      <c r="AU666" s="293">
        <f>IFERROR(Table_NFI[[#This Row],[Kitchen Set]]/VLOOKUP(Table_NFI[[#This Row],[Camp Name]],CL,4,0),"")</f>
        <v>0.10714285714285714</v>
      </c>
      <c r="AV666" s="466"/>
      <c r="AW666" s="469"/>
    </row>
    <row r="667" spans="1:49" ht="14.45" customHeight="1" x14ac:dyDescent="0.25">
      <c r="A667" s="297">
        <f t="shared" si="10"/>
        <v>40.700000000000003</v>
      </c>
      <c r="B667" s="465">
        <v>41454</v>
      </c>
      <c r="C667" s="466" t="s">
        <v>452</v>
      </c>
      <c r="D667" s="466"/>
      <c r="E667" s="466" t="s">
        <v>380</v>
      </c>
      <c r="F667" s="466" t="s">
        <v>151</v>
      </c>
      <c r="G667" s="466" t="s">
        <v>885</v>
      </c>
      <c r="H667" s="291"/>
      <c r="I667" s="291"/>
      <c r="J667" s="291"/>
      <c r="K667" s="291"/>
      <c r="L667" s="292">
        <v>19</v>
      </c>
      <c r="M667" s="292"/>
      <c r="N667" s="292">
        <v>19</v>
      </c>
      <c r="O667" s="292"/>
      <c r="P667" s="294"/>
      <c r="Q667" s="294">
        <v>100</v>
      </c>
      <c r="R667" s="294"/>
      <c r="S667" s="294"/>
      <c r="T667" s="294"/>
      <c r="U667" s="294"/>
      <c r="V667" s="431"/>
      <c r="W667" s="294"/>
      <c r="X667" s="294"/>
      <c r="Y667" s="294">
        <f>IF(NFI_Expiration=1,IF($A667&lt;VLOOKUP(H$5,NFI,5,0),1,0)*Table_NFI[[#This Row],[Hygiene Kit]],Table_NFI[Hygiene Kit])</f>
        <v>0</v>
      </c>
      <c r="Z667" s="294">
        <f>IF(NFI_Expiration=1,IF($A667&lt;VLOOKUP(I$5,NFI,5,0),1,0)*Table_NFI[[#This Row],[NFI Core Kit]],Table_NFI[NFI Core Kit])</f>
        <v>0</v>
      </c>
      <c r="AA667" s="294">
        <f>IF(NFI_Expiration=1,IF($A667&lt;VLOOKUP(J$5,NFI,5,0),1,0)*Table_NFI[[#This Row],[Sanitary Kit]],Table_NFI[Sanitary Kit])</f>
        <v>0</v>
      </c>
      <c r="AB667" s="294">
        <f>IF(NFI_Expiration=1,IF($A667&lt;VLOOKUP(K$5,NFI,5,0),1,0)*Table_NFI[[#This Row],[Mosquito net]],Table_NFI[Mosquito net])</f>
        <v>0</v>
      </c>
      <c r="AC667" s="294">
        <f>IF(NFI_Expiration=1,IF($A667&lt;VLOOKUP(L$5,NFI,5,0),1,0)*Table_NFI[[#This Row],[Tarpaulin]],Table_NFI[[#This Row],[Tarpaulin]])</f>
        <v>0</v>
      </c>
      <c r="AD667" s="294">
        <f>IF(NFI_Expiration=1,IF($A667&lt;VLOOKUP(M$5,NFI,5,0),1,0)*Table_NFI[[#This Row],[Blanket]],Table_NFI[[#This Row],[Blanket]])</f>
        <v>0</v>
      </c>
      <c r="AE667" s="294">
        <f>IF(NFI_Expiration=1,IF($A667&lt;VLOOKUP(N$5,NFI,5,0),1,0)*Table_NFI[[#This Row],[Kitchen Set]],Table_NFI[Kitchen Set])</f>
        <v>0</v>
      </c>
      <c r="AF667" s="294">
        <f>IF(NFI_Expiration=1,IF($A667&lt;VLOOKUP(O$5,NFI,5,0),1,0)*Table_NFI[[#This Row],[Clothes Kit]],Table_NFI[Clothes Kit])</f>
        <v>0</v>
      </c>
      <c r="AG667" s="294">
        <f>IF(NFI_Expiration=1,IF($A667&lt;VLOOKUP(P$5,NFI,5,0),1,0)*Table_NFI[[#This Row],[Plastic Bucket]],Table_NFI[Plastic Bucket])</f>
        <v>0</v>
      </c>
      <c r="AH667" s="294">
        <f>IF(NFI_Expiration=1,IF($A667&lt;VLOOKUP(Q$5,NFI,5,0),1,0)*Table_NFI[[#This Row],[Plastic Mat]],Table_NFI[Plastic Mat])*IF(Table_NFI[[#This Row],[Distribution Date]]&gt;"2014-04-01",1,2.5)</f>
        <v>0</v>
      </c>
      <c r="AI667" s="294">
        <f>IF(NFI_Expiration=1,IF($A667&lt;VLOOKUP(R$5,NFI,5,0),1,0)*Table_NFI[[#This Row],[Winter Clothes Adult]],Table_NFI[Winter Clothes Adult])</f>
        <v>0</v>
      </c>
      <c r="AJ667" s="294">
        <f>IF(NFI_Expiration=1,IF($A667&lt;VLOOKUP(S$5,NFI,5,0),1,0)*Table_NFI[[#This Row],[Winter Clothes Children]],Table_NFI[Winter Clothes Children])</f>
        <v>0</v>
      </c>
      <c r="AK667" s="294">
        <f>IF(NFI_Expiration=1,IF($A667&lt;VLOOKUP(T$5,NFI,5,0),1,0)*Table_NFI[[#This Row],[Winter Items Other]],Table_NFI[Winter Items Other])</f>
        <v>0</v>
      </c>
      <c r="AL667" s="294">
        <f>IF(NFI_Expiration=1,IF($A667&lt;VLOOKUP(M$5,NFI,5,0),1,0)*Table_NFI[[#This Row],[Winter Blanket]],Table_NFI[[#This Row],[Winter Blanket]])</f>
        <v>0</v>
      </c>
      <c r="AM667" s="294">
        <f>IF(Table_NFI[[#This Row],[Winter Clothes Adult]]+Table_NFI[[#This Row],[Winter Clothes Children]]+Table_NFI[[#This Row],[Winter Items Other]]+Table_NFI[[#This Row],[Winter Blanket]]&gt;0,1,0)</f>
        <v>0</v>
      </c>
      <c r="AN667" s="331">
        <f>IF(NFI_Expiration=1,IF($A667&lt;VLOOKUP(V$5,NFI,5,0),1,0)*Table_NFI[[#This Row],[Jerry Can]],Table_NFI[Jerry Can])</f>
        <v>0</v>
      </c>
      <c r="AO667" s="331">
        <f>IF(NFI_Expiration=1,IF($A667&lt;VLOOKUP(V$5,NFI,5,0),1,0)*Table_NFI[[#This Row],[Shelter Tool kit]],Table_NFI[Shelter Tool kit])</f>
        <v>0</v>
      </c>
      <c r="AP667" s="331">
        <f>IF(NFI_Expiration=1,IF($A667&lt;VLOOKUP(V$5,NFI,5,0),1,0)*Table_NFI[[#This Row],[Tent]],Table_NFI[Tent])</f>
        <v>0</v>
      </c>
      <c r="AQ667" s="473" t="str">
        <f>IFERROR(VLOOKUP(Table_NFI[[#This Row],[Camp Name]],CL,2,0),"")</f>
        <v>MMR001CMP218</v>
      </c>
      <c r="AR667" s="468">
        <f ca="1">IF(Table_NFI[[#This Row],[Pcode]]="","",IF(OFFSET(CampList[Opening Date],MATCH(Table_NFI[[#This Row],[Pcode]],CampList[CP_Pcode],0)-1,0,1,1)&gt;=NFI_Monitor_Date,1,0))</f>
        <v>0</v>
      </c>
      <c r="AS667" s="473" t="str">
        <f>IFERROR(VLOOKUP(Table_NFI[[#This Row],[Camp Name]],CL,3,0),"")</f>
        <v>Open</v>
      </c>
      <c r="AT667" s="294" t="str">
        <f ca="1">IF(Table_NFI[[#This Row],[Pcode]]="","",OFFSET(CampList[Priority],MATCH(Table_NFI[[#This Row],[Pcode]],CampList[CP_Pcode],0)-1,0,1,1))</f>
        <v>P4</v>
      </c>
      <c r="AU667" s="293">
        <f>IFERROR(Table_NFI[[#This Row],[Kitchen Set]]/VLOOKUP(Table_NFI[[#This Row],[Camp Name]],CL,4,0),"")</f>
        <v>5.0802139037433157E-2</v>
      </c>
      <c r="AV667" s="466"/>
      <c r="AW667" s="469"/>
    </row>
    <row r="668" spans="1:49" ht="14.45" customHeight="1" x14ac:dyDescent="0.25">
      <c r="A668" s="297">
        <f t="shared" si="10"/>
        <v>40.733333333333334</v>
      </c>
      <c r="B668" s="465">
        <v>41453</v>
      </c>
      <c r="C668" s="466" t="s">
        <v>452</v>
      </c>
      <c r="D668" s="466"/>
      <c r="E668" s="466" t="s">
        <v>380</v>
      </c>
      <c r="F668" s="466" t="s">
        <v>151</v>
      </c>
      <c r="G668" s="466" t="s">
        <v>885</v>
      </c>
      <c r="H668" s="291"/>
      <c r="I668" s="291"/>
      <c r="J668" s="291"/>
      <c r="K668" s="291">
        <v>10</v>
      </c>
      <c r="L668" s="292">
        <v>3</v>
      </c>
      <c r="M668" s="292">
        <v>10</v>
      </c>
      <c r="N668" s="292">
        <v>3</v>
      </c>
      <c r="O668" s="292"/>
      <c r="P668" s="294">
        <v>3</v>
      </c>
      <c r="Q668" s="294">
        <v>10</v>
      </c>
      <c r="R668" s="294"/>
      <c r="S668" s="294"/>
      <c r="T668" s="294"/>
      <c r="U668" s="294"/>
      <c r="V668" s="431"/>
      <c r="W668" s="294"/>
      <c r="X668" s="294"/>
      <c r="Y668" s="294">
        <f>IF(NFI_Expiration=1,IF($A668&lt;VLOOKUP(H$5,NFI,5,0),1,0)*Table_NFI[[#This Row],[Hygiene Kit]],Table_NFI[Hygiene Kit])</f>
        <v>0</v>
      </c>
      <c r="Z668" s="294">
        <f>IF(NFI_Expiration=1,IF($A668&lt;VLOOKUP(I$5,NFI,5,0),1,0)*Table_NFI[[#This Row],[NFI Core Kit]],Table_NFI[NFI Core Kit])</f>
        <v>0</v>
      </c>
      <c r="AA668" s="294">
        <f>IF(NFI_Expiration=1,IF($A668&lt;VLOOKUP(J$5,NFI,5,0),1,0)*Table_NFI[[#This Row],[Sanitary Kit]],Table_NFI[Sanitary Kit])</f>
        <v>0</v>
      </c>
      <c r="AB668" s="294">
        <f>IF(NFI_Expiration=1,IF($A668&lt;VLOOKUP(K$5,NFI,5,0),1,0)*Table_NFI[[#This Row],[Mosquito net]],Table_NFI[Mosquito net])</f>
        <v>0</v>
      </c>
      <c r="AC668" s="294">
        <f>IF(NFI_Expiration=1,IF($A668&lt;VLOOKUP(L$5,NFI,5,0),1,0)*Table_NFI[[#This Row],[Tarpaulin]],Table_NFI[[#This Row],[Tarpaulin]])</f>
        <v>0</v>
      </c>
      <c r="AD668" s="294">
        <f>IF(NFI_Expiration=1,IF($A668&lt;VLOOKUP(M$5,NFI,5,0),1,0)*Table_NFI[[#This Row],[Blanket]],Table_NFI[[#This Row],[Blanket]])</f>
        <v>0</v>
      </c>
      <c r="AE668" s="294">
        <f>IF(NFI_Expiration=1,IF($A668&lt;VLOOKUP(N$5,NFI,5,0),1,0)*Table_NFI[[#This Row],[Kitchen Set]],Table_NFI[Kitchen Set])</f>
        <v>0</v>
      </c>
      <c r="AF668" s="294">
        <f>IF(NFI_Expiration=1,IF($A668&lt;VLOOKUP(O$5,NFI,5,0),1,0)*Table_NFI[[#This Row],[Clothes Kit]],Table_NFI[Clothes Kit])</f>
        <v>0</v>
      </c>
      <c r="AG668" s="294">
        <f>IF(NFI_Expiration=1,IF($A668&lt;VLOOKUP(P$5,NFI,5,0),1,0)*Table_NFI[[#This Row],[Plastic Bucket]],Table_NFI[Plastic Bucket])</f>
        <v>0</v>
      </c>
      <c r="AH668" s="294">
        <f>IF(NFI_Expiration=1,IF($A668&lt;VLOOKUP(Q$5,NFI,5,0),1,0)*Table_NFI[[#This Row],[Plastic Mat]],Table_NFI[Plastic Mat])*IF(Table_NFI[[#This Row],[Distribution Date]]&gt;"2014-04-01",1,2.5)</f>
        <v>0</v>
      </c>
      <c r="AI668" s="294">
        <f>IF(NFI_Expiration=1,IF($A668&lt;VLOOKUP(R$5,NFI,5,0),1,0)*Table_NFI[[#This Row],[Winter Clothes Adult]],Table_NFI[Winter Clothes Adult])</f>
        <v>0</v>
      </c>
      <c r="AJ668" s="294">
        <f>IF(NFI_Expiration=1,IF($A668&lt;VLOOKUP(S$5,NFI,5,0),1,0)*Table_NFI[[#This Row],[Winter Clothes Children]],Table_NFI[Winter Clothes Children])</f>
        <v>0</v>
      </c>
      <c r="AK668" s="294">
        <f>IF(NFI_Expiration=1,IF($A668&lt;VLOOKUP(T$5,NFI,5,0),1,0)*Table_NFI[[#This Row],[Winter Items Other]],Table_NFI[Winter Items Other])</f>
        <v>0</v>
      </c>
      <c r="AL668" s="294">
        <f>IF(NFI_Expiration=1,IF($A668&lt;VLOOKUP(M$5,NFI,5,0),1,0)*Table_NFI[[#This Row],[Winter Blanket]],Table_NFI[[#This Row],[Winter Blanket]])</f>
        <v>0</v>
      </c>
      <c r="AM668" s="294">
        <f>IF(Table_NFI[[#This Row],[Winter Clothes Adult]]+Table_NFI[[#This Row],[Winter Clothes Children]]+Table_NFI[[#This Row],[Winter Items Other]]+Table_NFI[[#This Row],[Winter Blanket]]&gt;0,1,0)</f>
        <v>0</v>
      </c>
      <c r="AN668" s="331">
        <f>IF(NFI_Expiration=1,IF($A668&lt;VLOOKUP(V$5,NFI,5,0),1,0)*Table_NFI[[#This Row],[Jerry Can]],Table_NFI[Jerry Can])</f>
        <v>0</v>
      </c>
      <c r="AO668" s="331">
        <f>IF(NFI_Expiration=1,IF($A668&lt;VLOOKUP(V$5,NFI,5,0),1,0)*Table_NFI[[#This Row],[Shelter Tool kit]],Table_NFI[Shelter Tool kit])</f>
        <v>0</v>
      </c>
      <c r="AP668" s="331">
        <f>IF(NFI_Expiration=1,IF($A668&lt;VLOOKUP(V$5,NFI,5,0),1,0)*Table_NFI[[#This Row],[Tent]],Table_NFI[Tent])</f>
        <v>0</v>
      </c>
      <c r="AQ668" s="473" t="str">
        <f>IFERROR(VLOOKUP(Table_NFI[[#This Row],[Camp Name]],CL,2,0),"")</f>
        <v>MMR001CMP218</v>
      </c>
      <c r="AR668" s="468">
        <f ca="1">IF(Table_NFI[[#This Row],[Pcode]]="","",IF(OFFSET(CampList[Opening Date],MATCH(Table_NFI[[#This Row],[Pcode]],CampList[CP_Pcode],0)-1,0,1,1)&gt;=NFI_Monitor_Date,1,0))</f>
        <v>0</v>
      </c>
      <c r="AS668" s="473" t="str">
        <f>IFERROR(VLOOKUP(Table_NFI[[#This Row],[Camp Name]],CL,3,0),"")</f>
        <v>Open</v>
      </c>
      <c r="AT668" s="294" t="str">
        <f ca="1">IF(Table_NFI[[#This Row],[Pcode]]="","",OFFSET(CampList[Priority],MATCH(Table_NFI[[#This Row],[Pcode]],CampList[CP_Pcode],0)-1,0,1,1))</f>
        <v>P4</v>
      </c>
      <c r="AU668" s="293">
        <f>IFERROR(Table_NFI[[#This Row],[Kitchen Set]]/VLOOKUP(Table_NFI[[#This Row],[Camp Name]],CL,4,0),"")</f>
        <v>8.0213903743315516E-3</v>
      </c>
      <c r="AV668" s="466"/>
      <c r="AW668" s="469"/>
    </row>
    <row r="669" spans="1:49" ht="14.45" customHeight="1" x14ac:dyDescent="0.25">
      <c r="A669" s="297">
        <f t="shared" si="10"/>
        <v>40.766666666666666</v>
      </c>
      <c r="B669" s="465">
        <v>41452</v>
      </c>
      <c r="C669" s="466" t="s">
        <v>452</v>
      </c>
      <c r="D669" s="466"/>
      <c r="E669" s="466" t="s">
        <v>380</v>
      </c>
      <c r="F669" s="466" t="s">
        <v>151</v>
      </c>
      <c r="G669" s="466" t="s">
        <v>885</v>
      </c>
      <c r="H669" s="291"/>
      <c r="I669" s="291"/>
      <c r="J669" s="291"/>
      <c r="K669" s="291">
        <v>54</v>
      </c>
      <c r="L669" s="292">
        <v>18</v>
      </c>
      <c r="M669" s="292">
        <v>45</v>
      </c>
      <c r="N669" s="292">
        <v>18</v>
      </c>
      <c r="O669" s="292"/>
      <c r="P669" s="294">
        <v>18</v>
      </c>
      <c r="Q669" s="294">
        <v>50</v>
      </c>
      <c r="R669" s="294"/>
      <c r="S669" s="294"/>
      <c r="T669" s="294"/>
      <c r="U669" s="294"/>
      <c r="V669" s="431"/>
      <c r="W669" s="294"/>
      <c r="X669" s="294"/>
      <c r="Y669" s="294">
        <f>IF(NFI_Expiration=1,IF($A669&lt;VLOOKUP(H$5,NFI,5,0),1,0)*Table_NFI[[#This Row],[Hygiene Kit]],Table_NFI[Hygiene Kit])</f>
        <v>0</v>
      </c>
      <c r="Z669" s="294">
        <f>IF(NFI_Expiration=1,IF($A669&lt;VLOOKUP(I$5,NFI,5,0),1,0)*Table_NFI[[#This Row],[NFI Core Kit]],Table_NFI[NFI Core Kit])</f>
        <v>0</v>
      </c>
      <c r="AA669" s="294">
        <f>IF(NFI_Expiration=1,IF($A669&lt;VLOOKUP(J$5,NFI,5,0),1,0)*Table_NFI[[#This Row],[Sanitary Kit]],Table_NFI[Sanitary Kit])</f>
        <v>0</v>
      </c>
      <c r="AB669" s="294">
        <f>IF(NFI_Expiration=1,IF($A669&lt;VLOOKUP(K$5,NFI,5,0),1,0)*Table_NFI[[#This Row],[Mosquito net]],Table_NFI[Mosquito net])</f>
        <v>0</v>
      </c>
      <c r="AC669" s="294">
        <f>IF(NFI_Expiration=1,IF($A669&lt;VLOOKUP(L$5,NFI,5,0),1,0)*Table_NFI[[#This Row],[Tarpaulin]],Table_NFI[[#This Row],[Tarpaulin]])</f>
        <v>0</v>
      </c>
      <c r="AD669" s="294">
        <f>IF(NFI_Expiration=1,IF($A669&lt;VLOOKUP(M$5,NFI,5,0),1,0)*Table_NFI[[#This Row],[Blanket]],Table_NFI[[#This Row],[Blanket]])</f>
        <v>0</v>
      </c>
      <c r="AE669" s="294">
        <f>IF(NFI_Expiration=1,IF($A669&lt;VLOOKUP(N$5,NFI,5,0),1,0)*Table_NFI[[#This Row],[Kitchen Set]],Table_NFI[Kitchen Set])</f>
        <v>0</v>
      </c>
      <c r="AF669" s="294">
        <f>IF(NFI_Expiration=1,IF($A669&lt;VLOOKUP(O$5,NFI,5,0),1,0)*Table_NFI[[#This Row],[Clothes Kit]],Table_NFI[Clothes Kit])</f>
        <v>0</v>
      </c>
      <c r="AG669" s="294">
        <f>IF(NFI_Expiration=1,IF($A669&lt;VLOOKUP(P$5,NFI,5,0),1,0)*Table_NFI[[#This Row],[Plastic Bucket]],Table_NFI[Plastic Bucket])</f>
        <v>0</v>
      </c>
      <c r="AH669" s="294">
        <f>IF(NFI_Expiration=1,IF($A669&lt;VLOOKUP(Q$5,NFI,5,0),1,0)*Table_NFI[[#This Row],[Plastic Mat]],Table_NFI[Plastic Mat])*IF(Table_NFI[[#This Row],[Distribution Date]]&gt;"2014-04-01",1,2.5)</f>
        <v>0</v>
      </c>
      <c r="AI669" s="294">
        <f>IF(NFI_Expiration=1,IF($A669&lt;VLOOKUP(R$5,NFI,5,0),1,0)*Table_NFI[[#This Row],[Winter Clothes Adult]],Table_NFI[Winter Clothes Adult])</f>
        <v>0</v>
      </c>
      <c r="AJ669" s="294">
        <f>IF(NFI_Expiration=1,IF($A669&lt;VLOOKUP(S$5,NFI,5,0),1,0)*Table_NFI[[#This Row],[Winter Clothes Children]],Table_NFI[Winter Clothes Children])</f>
        <v>0</v>
      </c>
      <c r="AK669" s="294">
        <f>IF(NFI_Expiration=1,IF($A669&lt;VLOOKUP(T$5,NFI,5,0),1,0)*Table_NFI[[#This Row],[Winter Items Other]],Table_NFI[Winter Items Other])</f>
        <v>0</v>
      </c>
      <c r="AL669" s="294">
        <f>IF(NFI_Expiration=1,IF($A669&lt;VLOOKUP(M$5,NFI,5,0),1,0)*Table_NFI[[#This Row],[Winter Blanket]],Table_NFI[[#This Row],[Winter Blanket]])</f>
        <v>0</v>
      </c>
      <c r="AM669" s="294">
        <f>IF(Table_NFI[[#This Row],[Winter Clothes Adult]]+Table_NFI[[#This Row],[Winter Clothes Children]]+Table_NFI[[#This Row],[Winter Items Other]]+Table_NFI[[#This Row],[Winter Blanket]]&gt;0,1,0)</f>
        <v>0</v>
      </c>
      <c r="AN669" s="331">
        <f>IF(NFI_Expiration=1,IF($A669&lt;VLOOKUP(V$5,NFI,5,0),1,0)*Table_NFI[[#This Row],[Jerry Can]],Table_NFI[Jerry Can])</f>
        <v>0</v>
      </c>
      <c r="AO669" s="331">
        <f>IF(NFI_Expiration=1,IF($A669&lt;VLOOKUP(V$5,NFI,5,0),1,0)*Table_NFI[[#This Row],[Shelter Tool kit]],Table_NFI[Shelter Tool kit])</f>
        <v>0</v>
      </c>
      <c r="AP669" s="331">
        <f>IF(NFI_Expiration=1,IF($A669&lt;VLOOKUP(V$5,NFI,5,0),1,0)*Table_NFI[[#This Row],[Tent]],Table_NFI[Tent])</f>
        <v>0</v>
      </c>
      <c r="AQ669" s="473" t="str">
        <f>IFERROR(VLOOKUP(Table_NFI[[#This Row],[Camp Name]],CL,2,0),"")</f>
        <v>MMR001CMP218</v>
      </c>
      <c r="AR669" s="468">
        <f ca="1">IF(Table_NFI[[#This Row],[Pcode]]="","",IF(OFFSET(CampList[Opening Date],MATCH(Table_NFI[[#This Row],[Pcode]],CampList[CP_Pcode],0)-1,0,1,1)&gt;=NFI_Monitor_Date,1,0))</f>
        <v>0</v>
      </c>
      <c r="AS669" s="473" t="str">
        <f>IFERROR(VLOOKUP(Table_NFI[[#This Row],[Camp Name]],CL,3,0),"")</f>
        <v>Open</v>
      </c>
      <c r="AT669" s="294" t="str">
        <f ca="1">IF(Table_NFI[[#This Row],[Pcode]]="","",OFFSET(CampList[Priority],MATCH(Table_NFI[[#This Row],[Pcode]],CampList[CP_Pcode],0)-1,0,1,1))</f>
        <v>P4</v>
      </c>
      <c r="AU669" s="293">
        <f>IFERROR(Table_NFI[[#This Row],[Kitchen Set]]/VLOOKUP(Table_NFI[[#This Row],[Camp Name]],CL,4,0),"")</f>
        <v>4.8128342245989303E-2</v>
      </c>
      <c r="AV669" s="466"/>
      <c r="AW669" s="469"/>
    </row>
    <row r="670" spans="1:49" ht="14.45" customHeight="1" x14ac:dyDescent="0.25">
      <c r="A670" s="297">
        <f t="shared" si="10"/>
        <v>41.2</v>
      </c>
      <c r="B670" s="465">
        <v>41439</v>
      </c>
      <c r="C670" s="466" t="s">
        <v>452</v>
      </c>
      <c r="D670" s="467" t="s">
        <v>452</v>
      </c>
      <c r="E670" s="466" t="s">
        <v>380</v>
      </c>
      <c r="F670" s="290" t="s">
        <v>185</v>
      </c>
      <c r="G670" s="290" t="s">
        <v>219</v>
      </c>
      <c r="H670" s="291"/>
      <c r="I670" s="291"/>
      <c r="J670" s="291">
        <v>42</v>
      </c>
      <c r="K670" s="291">
        <v>42</v>
      </c>
      <c r="L670" s="292">
        <v>21</v>
      </c>
      <c r="M670" s="292">
        <v>42</v>
      </c>
      <c r="N670" s="292">
        <v>21</v>
      </c>
      <c r="O670" s="292">
        <v>21</v>
      </c>
      <c r="P670" s="294">
        <v>21</v>
      </c>
      <c r="Q670" s="294">
        <v>21</v>
      </c>
      <c r="R670" s="294"/>
      <c r="S670" s="294"/>
      <c r="T670" s="294"/>
      <c r="U670" s="294"/>
      <c r="V670" s="431"/>
      <c r="W670" s="294"/>
      <c r="X670" s="294"/>
      <c r="Y670" s="294">
        <f>IF(NFI_Expiration=1,IF($A670&lt;VLOOKUP(H$5,NFI,5,0),1,0)*Table_NFI[[#This Row],[Hygiene Kit]],Table_NFI[Hygiene Kit])</f>
        <v>0</v>
      </c>
      <c r="Z670" s="294">
        <f>IF(NFI_Expiration=1,IF($A670&lt;VLOOKUP(I$5,NFI,5,0),1,0)*Table_NFI[[#This Row],[NFI Core Kit]],Table_NFI[NFI Core Kit])</f>
        <v>0</v>
      </c>
      <c r="AA670" s="294">
        <f>IF(NFI_Expiration=1,IF($A670&lt;VLOOKUP(J$5,NFI,5,0),1,0)*Table_NFI[[#This Row],[Sanitary Kit]],Table_NFI[Sanitary Kit])</f>
        <v>0</v>
      </c>
      <c r="AB670" s="294">
        <f>IF(NFI_Expiration=1,IF($A670&lt;VLOOKUP(K$5,NFI,5,0),1,0)*Table_NFI[[#This Row],[Mosquito net]],Table_NFI[Mosquito net])</f>
        <v>0</v>
      </c>
      <c r="AC670" s="294">
        <f>IF(NFI_Expiration=1,IF($A670&lt;VLOOKUP(L$5,NFI,5,0),1,0)*Table_NFI[[#This Row],[Tarpaulin]],Table_NFI[[#This Row],[Tarpaulin]])</f>
        <v>0</v>
      </c>
      <c r="AD670" s="294">
        <f>IF(NFI_Expiration=1,IF($A670&lt;VLOOKUP(M$5,NFI,5,0),1,0)*Table_NFI[[#This Row],[Blanket]],Table_NFI[[#This Row],[Blanket]])</f>
        <v>0</v>
      </c>
      <c r="AE670" s="294">
        <f>IF(NFI_Expiration=1,IF($A670&lt;VLOOKUP(N$5,NFI,5,0),1,0)*Table_NFI[[#This Row],[Kitchen Set]],Table_NFI[Kitchen Set])</f>
        <v>0</v>
      </c>
      <c r="AF670" s="294">
        <f>IF(NFI_Expiration=1,IF($A670&lt;VLOOKUP(O$5,NFI,5,0),1,0)*Table_NFI[[#This Row],[Clothes Kit]],Table_NFI[Clothes Kit])</f>
        <v>0</v>
      </c>
      <c r="AG670" s="294">
        <f>IF(NFI_Expiration=1,IF($A670&lt;VLOOKUP(P$5,NFI,5,0),1,0)*Table_NFI[[#This Row],[Plastic Bucket]],Table_NFI[Plastic Bucket])</f>
        <v>0</v>
      </c>
      <c r="AH670" s="294">
        <f>IF(NFI_Expiration=1,IF($A670&lt;VLOOKUP(Q$5,NFI,5,0),1,0)*Table_NFI[[#This Row],[Plastic Mat]],Table_NFI[Plastic Mat])*IF(Table_NFI[[#This Row],[Distribution Date]]&gt;"2014-04-01",1,2.5)</f>
        <v>0</v>
      </c>
      <c r="AI670" s="294">
        <f>IF(NFI_Expiration=1,IF($A670&lt;VLOOKUP(R$5,NFI,5,0),1,0)*Table_NFI[[#This Row],[Winter Clothes Adult]],Table_NFI[Winter Clothes Adult])</f>
        <v>0</v>
      </c>
      <c r="AJ670" s="294">
        <f>IF(NFI_Expiration=1,IF($A670&lt;VLOOKUP(S$5,NFI,5,0),1,0)*Table_NFI[[#This Row],[Winter Clothes Children]],Table_NFI[Winter Clothes Children])</f>
        <v>0</v>
      </c>
      <c r="AK670" s="294">
        <f>IF(NFI_Expiration=1,IF($A670&lt;VLOOKUP(T$5,NFI,5,0),1,0)*Table_NFI[[#This Row],[Winter Items Other]],Table_NFI[Winter Items Other])</f>
        <v>0</v>
      </c>
      <c r="AL670" s="294">
        <f>IF(NFI_Expiration=1,IF($A670&lt;VLOOKUP(M$5,NFI,5,0),1,0)*Table_NFI[[#This Row],[Winter Blanket]],Table_NFI[[#This Row],[Winter Blanket]])</f>
        <v>0</v>
      </c>
      <c r="AM670" s="294">
        <f>IF(Table_NFI[[#This Row],[Winter Clothes Adult]]+Table_NFI[[#This Row],[Winter Clothes Children]]+Table_NFI[[#This Row],[Winter Items Other]]+Table_NFI[[#This Row],[Winter Blanket]]&gt;0,1,0)</f>
        <v>0</v>
      </c>
      <c r="AN670" s="331">
        <f>IF(NFI_Expiration=1,IF($A670&lt;VLOOKUP(V$5,NFI,5,0),1,0)*Table_NFI[[#This Row],[Jerry Can]],Table_NFI[Jerry Can])</f>
        <v>0</v>
      </c>
      <c r="AO670" s="331">
        <f>IF(NFI_Expiration=1,IF($A670&lt;VLOOKUP(V$5,NFI,5,0),1,0)*Table_NFI[[#This Row],[Shelter Tool kit]],Table_NFI[Shelter Tool kit])</f>
        <v>0</v>
      </c>
      <c r="AP670" s="331">
        <f>IF(NFI_Expiration=1,IF($A670&lt;VLOOKUP(V$5,NFI,5,0),1,0)*Table_NFI[[#This Row],[Tent]],Table_NFI[Tent])</f>
        <v>0</v>
      </c>
      <c r="AQ670" s="473" t="str">
        <f>IFERROR(VLOOKUP(Table_NFI[[#This Row],[Camp Name]],CL,2,0),"")</f>
        <v>MMR001CMP126</v>
      </c>
      <c r="AR670" s="468">
        <f ca="1">IF(Table_NFI[[#This Row],[Pcode]]="","",IF(OFFSET(CampList[Opening Date],MATCH(Table_NFI[[#This Row],[Pcode]],CampList[CP_Pcode],0)-1,0,1,1)&gt;=NFI_Monitor_Date,1,0))</f>
        <v>0</v>
      </c>
      <c r="AS670" s="473" t="str">
        <f>IFERROR(VLOOKUP(Table_NFI[[#This Row],[Camp Name]],CL,3,0),"")</f>
        <v>Open</v>
      </c>
      <c r="AT670" s="294" t="str">
        <f ca="1">IF(Table_NFI[[#This Row],[Pcode]]="","",OFFSET(CampList[Priority],MATCH(Table_NFI[[#This Row],[Pcode]],CampList[CP_Pcode],0)-1,0,1,1))</f>
        <v>P2</v>
      </c>
      <c r="AU670" s="293">
        <f>IFERROR(Table_NFI[[#This Row],[Kitchen Set]]/VLOOKUP(Table_NFI[[#This Row],[Camp Name]],CL,4,0),"")</f>
        <v>3.1390134529147982E-2</v>
      </c>
      <c r="AV670" s="466" t="s">
        <v>1092</v>
      </c>
      <c r="AW670" s="469"/>
    </row>
    <row r="671" spans="1:49" ht="14.45" customHeight="1" x14ac:dyDescent="0.25">
      <c r="A671" s="297">
        <f t="shared" si="10"/>
        <v>41.233333333333334</v>
      </c>
      <c r="B671" s="465">
        <v>41438</v>
      </c>
      <c r="C671" s="466" t="s">
        <v>452</v>
      </c>
      <c r="D671" s="467" t="s">
        <v>452</v>
      </c>
      <c r="E671" s="466" t="s">
        <v>380</v>
      </c>
      <c r="F671" s="290" t="s">
        <v>185</v>
      </c>
      <c r="G671" s="290" t="s">
        <v>186</v>
      </c>
      <c r="H671" s="291"/>
      <c r="I671" s="291"/>
      <c r="J671" s="291">
        <v>152</v>
      </c>
      <c r="K671" s="291">
        <v>11</v>
      </c>
      <c r="L671" s="292">
        <v>4</v>
      </c>
      <c r="M671" s="292">
        <v>11</v>
      </c>
      <c r="N671" s="292">
        <v>4</v>
      </c>
      <c r="O671" s="292">
        <v>4</v>
      </c>
      <c r="P671" s="294">
        <v>4</v>
      </c>
      <c r="Q671" s="294">
        <v>4</v>
      </c>
      <c r="R671" s="294"/>
      <c r="S671" s="294"/>
      <c r="T671" s="294"/>
      <c r="U671" s="294"/>
      <c r="V671" s="431"/>
      <c r="W671" s="294"/>
      <c r="X671" s="294"/>
      <c r="Y671" s="294">
        <f>IF(NFI_Expiration=1,IF($A671&lt;VLOOKUP(H$5,NFI,5,0),1,0)*Table_NFI[[#This Row],[Hygiene Kit]],Table_NFI[Hygiene Kit])</f>
        <v>0</v>
      </c>
      <c r="Z671" s="294">
        <f>IF(NFI_Expiration=1,IF($A671&lt;VLOOKUP(I$5,NFI,5,0),1,0)*Table_NFI[[#This Row],[NFI Core Kit]],Table_NFI[NFI Core Kit])</f>
        <v>0</v>
      </c>
      <c r="AA671" s="294">
        <f>IF(NFI_Expiration=1,IF($A671&lt;VLOOKUP(J$5,NFI,5,0),1,0)*Table_NFI[[#This Row],[Sanitary Kit]],Table_NFI[Sanitary Kit])</f>
        <v>0</v>
      </c>
      <c r="AB671" s="294">
        <f>IF(NFI_Expiration=1,IF($A671&lt;VLOOKUP(K$5,NFI,5,0),1,0)*Table_NFI[[#This Row],[Mosquito net]],Table_NFI[Mosquito net])</f>
        <v>0</v>
      </c>
      <c r="AC671" s="294">
        <f>IF(NFI_Expiration=1,IF($A671&lt;VLOOKUP(L$5,NFI,5,0),1,0)*Table_NFI[[#This Row],[Tarpaulin]],Table_NFI[[#This Row],[Tarpaulin]])</f>
        <v>0</v>
      </c>
      <c r="AD671" s="294">
        <f>IF(NFI_Expiration=1,IF($A671&lt;VLOOKUP(M$5,NFI,5,0),1,0)*Table_NFI[[#This Row],[Blanket]],Table_NFI[[#This Row],[Blanket]])</f>
        <v>0</v>
      </c>
      <c r="AE671" s="294">
        <f>IF(NFI_Expiration=1,IF($A671&lt;VLOOKUP(N$5,NFI,5,0),1,0)*Table_NFI[[#This Row],[Kitchen Set]],Table_NFI[Kitchen Set])</f>
        <v>0</v>
      </c>
      <c r="AF671" s="294">
        <f>IF(NFI_Expiration=1,IF($A671&lt;VLOOKUP(O$5,NFI,5,0),1,0)*Table_NFI[[#This Row],[Clothes Kit]],Table_NFI[Clothes Kit])</f>
        <v>0</v>
      </c>
      <c r="AG671" s="294">
        <f>IF(NFI_Expiration=1,IF($A671&lt;VLOOKUP(P$5,NFI,5,0),1,0)*Table_NFI[[#This Row],[Plastic Bucket]],Table_NFI[Plastic Bucket])</f>
        <v>0</v>
      </c>
      <c r="AH671" s="294">
        <f>IF(NFI_Expiration=1,IF($A671&lt;VLOOKUP(Q$5,NFI,5,0),1,0)*Table_NFI[[#This Row],[Plastic Mat]],Table_NFI[Plastic Mat])*IF(Table_NFI[[#This Row],[Distribution Date]]&gt;"2014-04-01",1,2.5)</f>
        <v>0</v>
      </c>
      <c r="AI671" s="294">
        <f>IF(NFI_Expiration=1,IF($A671&lt;VLOOKUP(R$5,NFI,5,0),1,0)*Table_NFI[[#This Row],[Winter Clothes Adult]],Table_NFI[Winter Clothes Adult])</f>
        <v>0</v>
      </c>
      <c r="AJ671" s="294">
        <f>IF(NFI_Expiration=1,IF($A671&lt;VLOOKUP(S$5,NFI,5,0),1,0)*Table_NFI[[#This Row],[Winter Clothes Children]],Table_NFI[Winter Clothes Children])</f>
        <v>0</v>
      </c>
      <c r="AK671" s="294">
        <f>IF(NFI_Expiration=1,IF($A671&lt;VLOOKUP(T$5,NFI,5,0),1,0)*Table_NFI[[#This Row],[Winter Items Other]],Table_NFI[Winter Items Other])</f>
        <v>0</v>
      </c>
      <c r="AL671" s="294">
        <f>IF(NFI_Expiration=1,IF($A671&lt;VLOOKUP(M$5,NFI,5,0),1,0)*Table_NFI[[#This Row],[Winter Blanket]],Table_NFI[[#This Row],[Winter Blanket]])</f>
        <v>0</v>
      </c>
      <c r="AM671" s="294">
        <f>IF(Table_NFI[[#This Row],[Winter Clothes Adult]]+Table_NFI[[#This Row],[Winter Clothes Children]]+Table_NFI[[#This Row],[Winter Items Other]]+Table_NFI[[#This Row],[Winter Blanket]]&gt;0,1,0)</f>
        <v>0</v>
      </c>
      <c r="AN671" s="331">
        <f>IF(NFI_Expiration=1,IF($A671&lt;VLOOKUP(V$5,NFI,5,0),1,0)*Table_NFI[[#This Row],[Jerry Can]],Table_NFI[Jerry Can])</f>
        <v>0</v>
      </c>
      <c r="AO671" s="331">
        <f>IF(NFI_Expiration=1,IF($A671&lt;VLOOKUP(V$5,NFI,5,0),1,0)*Table_NFI[[#This Row],[Shelter Tool kit]],Table_NFI[Shelter Tool kit])</f>
        <v>0</v>
      </c>
      <c r="AP671" s="331">
        <f>IF(NFI_Expiration=1,IF($A671&lt;VLOOKUP(V$5,NFI,5,0),1,0)*Table_NFI[[#This Row],[Tent]],Table_NFI[Tent])</f>
        <v>0</v>
      </c>
      <c r="AQ671" s="473" t="str">
        <f>IFERROR(VLOOKUP(Table_NFI[[#This Row],[Camp Name]],CL,2,0),"")</f>
        <v>MMR001CMP071</v>
      </c>
      <c r="AR671" s="468">
        <f ca="1">IF(Table_NFI[[#This Row],[Pcode]]="","",IF(OFFSET(CampList[Opening Date],MATCH(Table_NFI[[#This Row],[Pcode]],CampList[CP_Pcode],0)-1,0,1,1)&gt;=NFI_Monitor_Date,1,0))</f>
        <v>0</v>
      </c>
      <c r="AS671" s="473" t="str">
        <f>IFERROR(VLOOKUP(Table_NFI[[#This Row],[Camp Name]],CL,3,0),"")</f>
        <v>Open</v>
      </c>
      <c r="AT671" s="294" t="str">
        <f ca="1">IF(Table_NFI[[#This Row],[Pcode]]="","",OFFSET(CampList[Priority],MATCH(Table_NFI[[#This Row],[Pcode]],CampList[CP_Pcode],0)-1,0,1,1))</f>
        <v>P3</v>
      </c>
      <c r="AU671" s="293">
        <f>IFERROR(Table_NFI[[#This Row],[Kitchen Set]]/VLOOKUP(Table_NFI[[#This Row],[Camp Name]],CL,4,0),"")</f>
        <v>0.10256410256410256</v>
      </c>
      <c r="AV671" s="466" t="s">
        <v>1092</v>
      </c>
      <c r="AW671" s="469"/>
    </row>
    <row r="672" spans="1:49" ht="14.45" customHeight="1" x14ac:dyDescent="0.25">
      <c r="A672" s="297">
        <f t="shared" si="10"/>
        <v>41.233333333333334</v>
      </c>
      <c r="B672" s="465">
        <v>41438</v>
      </c>
      <c r="C672" s="466" t="s">
        <v>452</v>
      </c>
      <c r="D672" s="467" t="s">
        <v>452</v>
      </c>
      <c r="E672" s="466" t="s">
        <v>380</v>
      </c>
      <c r="F672" s="290" t="s">
        <v>185</v>
      </c>
      <c r="G672" s="290" t="s">
        <v>223</v>
      </c>
      <c r="H672" s="291"/>
      <c r="I672" s="291"/>
      <c r="J672" s="291">
        <v>425</v>
      </c>
      <c r="K672" s="291">
        <v>30</v>
      </c>
      <c r="L672" s="292">
        <v>11</v>
      </c>
      <c r="M672" s="292">
        <v>30</v>
      </c>
      <c r="N672" s="292">
        <v>11</v>
      </c>
      <c r="O672" s="292">
        <v>11</v>
      </c>
      <c r="P672" s="294">
        <v>11</v>
      </c>
      <c r="Q672" s="294">
        <v>11</v>
      </c>
      <c r="R672" s="294"/>
      <c r="S672" s="294"/>
      <c r="T672" s="294"/>
      <c r="U672" s="294"/>
      <c r="V672" s="431"/>
      <c r="W672" s="294"/>
      <c r="X672" s="294"/>
      <c r="Y672" s="294">
        <f>IF(NFI_Expiration=1,IF($A672&lt;VLOOKUP(H$5,NFI,5,0),1,0)*Table_NFI[[#This Row],[Hygiene Kit]],Table_NFI[Hygiene Kit])</f>
        <v>0</v>
      </c>
      <c r="Z672" s="294">
        <f>IF(NFI_Expiration=1,IF($A672&lt;VLOOKUP(I$5,NFI,5,0),1,0)*Table_NFI[[#This Row],[NFI Core Kit]],Table_NFI[NFI Core Kit])</f>
        <v>0</v>
      </c>
      <c r="AA672" s="294">
        <f>IF(NFI_Expiration=1,IF($A672&lt;VLOOKUP(J$5,NFI,5,0),1,0)*Table_NFI[[#This Row],[Sanitary Kit]],Table_NFI[Sanitary Kit])</f>
        <v>0</v>
      </c>
      <c r="AB672" s="294">
        <f>IF(NFI_Expiration=1,IF($A672&lt;VLOOKUP(K$5,NFI,5,0),1,0)*Table_NFI[[#This Row],[Mosquito net]],Table_NFI[Mosquito net])</f>
        <v>0</v>
      </c>
      <c r="AC672" s="294">
        <f>IF(NFI_Expiration=1,IF($A672&lt;VLOOKUP(L$5,NFI,5,0),1,0)*Table_NFI[[#This Row],[Tarpaulin]],Table_NFI[[#This Row],[Tarpaulin]])</f>
        <v>0</v>
      </c>
      <c r="AD672" s="294">
        <f>IF(NFI_Expiration=1,IF($A672&lt;VLOOKUP(M$5,NFI,5,0),1,0)*Table_NFI[[#This Row],[Blanket]],Table_NFI[[#This Row],[Blanket]])</f>
        <v>0</v>
      </c>
      <c r="AE672" s="294">
        <f>IF(NFI_Expiration=1,IF($A672&lt;VLOOKUP(N$5,NFI,5,0),1,0)*Table_NFI[[#This Row],[Kitchen Set]],Table_NFI[Kitchen Set])</f>
        <v>0</v>
      </c>
      <c r="AF672" s="294">
        <f>IF(NFI_Expiration=1,IF($A672&lt;VLOOKUP(O$5,NFI,5,0),1,0)*Table_NFI[[#This Row],[Clothes Kit]],Table_NFI[Clothes Kit])</f>
        <v>0</v>
      </c>
      <c r="AG672" s="294">
        <f>IF(NFI_Expiration=1,IF($A672&lt;VLOOKUP(P$5,NFI,5,0),1,0)*Table_NFI[[#This Row],[Plastic Bucket]],Table_NFI[Plastic Bucket])</f>
        <v>0</v>
      </c>
      <c r="AH672" s="294">
        <f>IF(NFI_Expiration=1,IF($A672&lt;VLOOKUP(Q$5,NFI,5,0),1,0)*Table_NFI[[#This Row],[Plastic Mat]],Table_NFI[Plastic Mat])*IF(Table_NFI[[#This Row],[Distribution Date]]&gt;"2014-04-01",1,2.5)</f>
        <v>0</v>
      </c>
      <c r="AI672" s="294">
        <f>IF(NFI_Expiration=1,IF($A672&lt;VLOOKUP(R$5,NFI,5,0),1,0)*Table_NFI[[#This Row],[Winter Clothes Adult]],Table_NFI[Winter Clothes Adult])</f>
        <v>0</v>
      </c>
      <c r="AJ672" s="294">
        <f>IF(NFI_Expiration=1,IF($A672&lt;VLOOKUP(S$5,NFI,5,0),1,0)*Table_NFI[[#This Row],[Winter Clothes Children]],Table_NFI[Winter Clothes Children])</f>
        <v>0</v>
      </c>
      <c r="AK672" s="294">
        <f>IF(NFI_Expiration=1,IF($A672&lt;VLOOKUP(T$5,NFI,5,0),1,0)*Table_NFI[[#This Row],[Winter Items Other]],Table_NFI[Winter Items Other])</f>
        <v>0</v>
      </c>
      <c r="AL672" s="294">
        <f>IF(NFI_Expiration=1,IF($A672&lt;VLOOKUP(M$5,NFI,5,0),1,0)*Table_NFI[[#This Row],[Winter Blanket]],Table_NFI[[#This Row],[Winter Blanket]])</f>
        <v>0</v>
      </c>
      <c r="AM672" s="294">
        <f>IF(Table_NFI[[#This Row],[Winter Clothes Adult]]+Table_NFI[[#This Row],[Winter Clothes Children]]+Table_NFI[[#This Row],[Winter Items Other]]+Table_NFI[[#This Row],[Winter Blanket]]&gt;0,1,0)</f>
        <v>0</v>
      </c>
      <c r="AN672" s="331">
        <f>IF(NFI_Expiration=1,IF($A672&lt;VLOOKUP(V$5,NFI,5,0),1,0)*Table_NFI[[#This Row],[Jerry Can]],Table_NFI[Jerry Can])</f>
        <v>0</v>
      </c>
      <c r="AO672" s="331">
        <f>IF(NFI_Expiration=1,IF($A672&lt;VLOOKUP(V$5,NFI,5,0),1,0)*Table_NFI[[#This Row],[Shelter Tool kit]],Table_NFI[Shelter Tool kit])</f>
        <v>0</v>
      </c>
      <c r="AP672" s="331">
        <f>IF(NFI_Expiration=1,IF($A672&lt;VLOOKUP(V$5,NFI,5,0),1,0)*Table_NFI[[#This Row],[Tent]],Table_NFI[Tent])</f>
        <v>0</v>
      </c>
      <c r="AQ672" s="473" t="str">
        <f>IFERROR(VLOOKUP(Table_NFI[[#This Row],[Camp Name]],CL,2,0),"")</f>
        <v>MMR001CMP069</v>
      </c>
      <c r="AR672" s="468">
        <f ca="1">IF(Table_NFI[[#This Row],[Pcode]]="","",IF(OFFSET(CampList[Opening Date],MATCH(Table_NFI[[#This Row],[Pcode]],CampList[CP_Pcode],0)-1,0,1,1)&gt;=NFI_Monitor_Date,1,0))</f>
        <v>0</v>
      </c>
      <c r="AS672" s="473" t="str">
        <f>IFERROR(VLOOKUP(Table_NFI[[#This Row],[Camp Name]],CL,3,0),"")</f>
        <v>Open</v>
      </c>
      <c r="AT672" s="294" t="str">
        <f ca="1">IF(Table_NFI[[#This Row],[Pcode]]="","",OFFSET(CampList[Priority],MATCH(Table_NFI[[#This Row],[Pcode]],CampList[CP_Pcode],0)-1,0,1,1))</f>
        <v>P3</v>
      </c>
      <c r="AU672" s="293">
        <f>IFERROR(Table_NFI[[#This Row],[Kitchen Set]]/VLOOKUP(Table_NFI[[#This Row],[Camp Name]],CL,4,0),"")</f>
        <v>8.8709677419354843E-2</v>
      </c>
      <c r="AV672" s="466" t="s">
        <v>1092</v>
      </c>
      <c r="AW672" s="469"/>
    </row>
    <row r="673" spans="1:49" ht="14.45" customHeight="1" x14ac:dyDescent="0.25">
      <c r="A673" s="297">
        <f t="shared" si="10"/>
        <v>41.233333333333334</v>
      </c>
      <c r="B673" s="465">
        <v>41438</v>
      </c>
      <c r="C673" s="466" t="s">
        <v>452</v>
      </c>
      <c r="D673" s="467" t="s">
        <v>452</v>
      </c>
      <c r="E673" s="466" t="s">
        <v>380</v>
      </c>
      <c r="F673" s="290" t="s">
        <v>185</v>
      </c>
      <c r="G673" s="290" t="s">
        <v>190</v>
      </c>
      <c r="H673" s="291"/>
      <c r="I673" s="291"/>
      <c r="J673" s="291">
        <v>941</v>
      </c>
      <c r="K673" s="291">
        <v>67</v>
      </c>
      <c r="L673" s="292">
        <v>24</v>
      </c>
      <c r="M673" s="292">
        <v>67</v>
      </c>
      <c r="N673" s="292">
        <v>24</v>
      </c>
      <c r="O673" s="292">
        <v>24</v>
      </c>
      <c r="P673" s="294">
        <v>24</v>
      </c>
      <c r="Q673" s="294">
        <v>24</v>
      </c>
      <c r="R673" s="294"/>
      <c r="S673" s="294"/>
      <c r="T673" s="294"/>
      <c r="U673" s="294"/>
      <c r="V673" s="431"/>
      <c r="W673" s="294"/>
      <c r="X673" s="294"/>
      <c r="Y673" s="294">
        <f>IF(NFI_Expiration=1,IF($A673&lt;VLOOKUP(H$5,NFI,5,0),1,0)*Table_NFI[[#This Row],[Hygiene Kit]],Table_NFI[Hygiene Kit])</f>
        <v>0</v>
      </c>
      <c r="Z673" s="294">
        <f>IF(NFI_Expiration=1,IF($A673&lt;VLOOKUP(I$5,NFI,5,0),1,0)*Table_NFI[[#This Row],[NFI Core Kit]],Table_NFI[NFI Core Kit])</f>
        <v>0</v>
      </c>
      <c r="AA673" s="294">
        <f>IF(NFI_Expiration=1,IF($A673&lt;VLOOKUP(J$5,NFI,5,0),1,0)*Table_NFI[[#This Row],[Sanitary Kit]],Table_NFI[Sanitary Kit])</f>
        <v>0</v>
      </c>
      <c r="AB673" s="294">
        <f>IF(NFI_Expiration=1,IF($A673&lt;VLOOKUP(K$5,NFI,5,0),1,0)*Table_NFI[[#This Row],[Mosquito net]],Table_NFI[Mosquito net])</f>
        <v>0</v>
      </c>
      <c r="AC673" s="294">
        <f>IF(NFI_Expiration=1,IF($A673&lt;VLOOKUP(L$5,NFI,5,0),1,0)*Table_NFI[[#This Row],[Tarpaulin]],Table_NFI[[#This Row],[Tarpaulin]])</f>
        <v>0</v>
      </c>
      <c r="AD673" s="294">
        <f>IF(NFI_Expiration=1,IF($A673&lt;VLOOKUP(M$5,NFI,5,0),1,0)*Table_NFI[[#This Row],[Blanket]],Table_NFI[[#This Row],[Blanket]])</f>
        <v>0</v>
      </c>
      <c r="AE673" s="294">
        <f>IF(NFI_Expiration=1,IF($A673&lt;VLOOKUP(N$5,NFI,5,0),1,0)*Table_NFI[[#This Row],[Kitchen Set]],Table_NFI[Kitchen Set])</f>
        <v>0</v>
      </c>
      <c r="AF673" s="294">
        <f>IF(NFI_Expiration=1,IF($A673&lt;VLOOKUP(O$5,NFI,5,0),1,0)*Table_NFI[[#This Row],[Clothes Kit]],Table_NFI[Clothes Kit])</f>
        <v>0</v>
      </c>
      <c r="AG673" s="294">
        <f>IF(NFI_Expiration=1,IF($A673&lt;VLOOKUP(P$5,NFI,5,0),1,0)*Table_NFI[[#This Row],[Plastic Bucket]],Table_NFI[Plastic Bucket])</f>
        <v>0</v>
      </c>
      <c r="AH673" s="294">
        <f>IF(NFI_Expiration=1,IF($A673&lt;VLOOKUP(Q$5,NFI,5,0),1,0)*Table_NFI[[#This Row],[Plastic Mat]],Table_NFI[Plastic Mat])*IF(Table_NFI[[#This Row],[Distribution Date]]&gt;"2014-04-01",1,2.5)</f>
        <v>0</v>
      </c>
      <c r="AI673" s="294">
        <f>IF(NFI_Expiration=1,IF($A673&lt;VLOOKUP(R$5,NFI,5,0),1,0)*Table_NFI[[#This Row],[Winter Clothes Adult]],Table_NFI[Winter Clothes Adult])</f>
        <v>0</v>
      </c>
      <c r="AJ673" s="294">
        <f>IF(NFI_Expiration=1,IF($A673&lt;VLOOKUP(S$5,NFI,5,0),1,0)*Table_NFI[[#This Row],[Winter Clothes Children]],Table_NFI[Winter Clothes Children])</f>
        <v>0</v>
      </c>
      <c r="AK673" s="294">
        <f>IF(NFI_Expiration=1,IF($A673&lt;VLOOKUP(T$5,NFI,5,0),1,0)*Table_NFI[[#This Row],[Winter Items Other]],Table_NFI[Winter Items Other])</f>
        <v>0</v>
      </c>
      <c r="AL673" s="294">
        <f>IF(NFI_Expiration=1,IF($A673&lt;VLOOKUP(M$5,NFI,5,0),1,0)*Table_NFI[[#This Row],[Winter Blanket]],Table_NFI[[#This Row],[Winter Blanket]])</f>
        <v>0</v>
      </c>
      <c r="AM673" s="294">
        <f>IF(Table_NFI[[#This Row],[Winter Clothes Adult]]+Table_NFI[[#This Row],[Winter Clothes Children]]+Table_NFI[[#This Row],[Winter Items Other]]+Table_NFI[[#This Row],[Winter Blanket]]&gt;0,1,0)</f>
        <v>0</v>
      </c>
      <c r="AN673" s="331">
        <f>IF(NFI_Expiration=1,IF($A673&lt;VLOOKUP(V$5,NFI,5,0),1,0)*Table_NFI[[#This Row],[Jerry Can]],Table_NFI[Jerry Can])</f>
        <v>0</v>
      </c>
      <c r="AO673" s="331">
        <f>IF(NFI_Expiration=1,IF($A673&lt;VLOOKUP(V$5,NFI,5,0),1,0)*Table_NFI[[#This Row],[Shelter Tool kit]],Table_NFI[Shelter Tool kit])</f>
        <v>0</v>
      </c>
      <c r="AP673" s="331">
        <f>IF(NFI_Expiration=1,IF($A673&lt;VLOOKUP(V$5,NFI,5,0),1,0)*Table_NFI[[#This Row],[Tent]],Table_NFI[Tent])</f>
        <v>0</v>
      </c>
      <c r="AQ673" s="473" t="str">
        <f>IFERROR(VLOOKUP(Table_NFI[[#This Row],[Camp Name]],CL,2,0),"")</f>
        <v>MMR001CMP070</v>
      </c>
      <c r="AR673" s="468">
        <f ca="1">IF(Table_NFI[[#This Row],[Pcode]]="","",IF(OFFSET(CampList[Opening Date],MATCH(Table_NFI[[#This Row],[Pcode]],CampList[CP_Pcode],0)-1,0,1,1)&gt;=NFI_Monitor_Date,1,0))</f>
        <v>0</v>
      </c>
      <c r="AS673" s="473" t="str">
        <f>IFERROR(VLOOKUP(Table_NFI[[#This Row],[Camp Name]],CL,3,0),"")</f>
        <v>Open</v>
      </c>
      <c r="AT673" s="294" t="str">
        <f ca="1">IF(Table_NFI[[#This Row],[Pcode]]="","",OFFSET(CampList[Priority],MATCH(Table_NFI[[#This Row],[Pcode]],CampList[CP_Pcode],0)-1,0,1,1))</f>
        <v>P3</v>
      </c>
      <c r="AU673" s="293">
        <f>IFERROR(Table_NFI[[#This Row],[Kitchen Set]]/VLOOKUP(Table_NFI[[#This Row],[Camp Name]],CL,4,0),"")</f>
        <v>0.125</v>
      </c>
      <c r="AV673" s="466" t="s">
        <v>1092</v>
      </c>
      <c r="AW673" s="469"/>
    </row>
    <row r="674" spans="1:49" ht="14.45" customHeight="1" x14ac:dyDescent="0.25">
      <c r="A674" s="297">
        <f t="shared" si="10"/>
        <v>41.966666666666669</v>
      </c>
      <c r="B674" s="465">
        <v>41416</v>
      </c>
      <c r="C674" s="466" t="s">
        <v>901</v>
      </c>
      <c r="D674" s="467" t="s">
        <v>506</v>
      </c>
      <c r="E674" s="466" t="s">
        <v>380</v>
      </c>
      <c r="F674" s="290" t="s">
        <v>27</v>
      </c>
      <c r="G674" s="290" t="s">
        <v>28</v>
      </c>
      <c r="H674" s="291">
        <v>510</v>
      </c>
      <c r="I674" s="291"/>
      <c r="J674" s="291"/>
      <c r="K674" s="291"/>
      <c r="L674" s="292"/>
      <c r="M674" s="292"/>
      <c r="N674" s="292"/>
      <c r="O674" s="292"/>
      <c r="P674" s="294"/>
      <c r="Q674" s="294"/>
      <c r="R674" s="294"/>
      <c r="S674" s="294"/>
      <c r="T674" s="294"/>
      <c r="U674" s="294"/>
      <c r="V674" s="431"/>
      <c r="W674" s="294"/>
      <c r="X674" s="294"/>
      <c r="Y674" s="294">
        <f>IF(NFI_Expiration=1,IF($A674&lt;VLOOKUP(H$5,NFI,5,0),1,0)*Table_NFI[[#This Row],[Hygiene Kit]],Table_NFI[Hygiene Kit])</f>
        <v>0</v>
      </c>
      <c r="Z674" s="294">
        <f>IF(NFI_Expiration=1,IF($A674&lt;VLOOKUP(I$5,NFI,5,0),1,0)*Table_NFI[[#This Row],[NFI Core Kit]],Table_NFI[NFI Core Kit])</f>
        <v>0</v>
      </c>
      <c r="AA674" s="294">
        <f>IF(NFI_Expiration=1,IF($A674&lt;VLOOKUP(J$5,NFI,5,0),1,0)*Table_NFI[[#This Row],[Sanitary Kit]],Table_NFI[Sanitary Kit])</f>
        <v>0</v>
      </c>
      <c r="AB674" s="294">
        <f>IF(NFI_Expiration=1,IF($A674&lt;VLOOKUP(K$5,NFI,5,0),1,0)*Table_NFI[[#This Row],[Mosquito net]],Table_NFI[Mosquito net])</f>
        <v>0</v>
      </c>
      <c r="AC674" s="294">
        <f>IF(NFI_Expiration=1,IF($A674&lt;VLOOKUP(L$5,NFI,5,0),1,0)*Table_NFI[[#This Row],[Tarpaulin]],Table_NFI[[#This Row],[Tarpaulin]])</f>
        <v>0</v>
      </c>
      <c r="AD674" s="294">
        <f>IF(NFI_Expiration=1,IF($A674&lt;VLOOKUP(M$5,NFI,5,0),1,0)*Table_NFI[[#This Row],[Blanket]],Table_NFI[[#This Row],[Blanket]])</f>
        <v>0</v>
      </c>
      <c r="AE674" s="294">
        <f>IF(NFI_Expiration=1,IF($A674&lt;VLOOKUP(N$5,NFI,5,0),1,0)*Table_NFI[[#This Row],[Kitchen Set]],Table_NFI[Kitchen Set])</f>
        <v>0</v>
      </c>
      <c r="AF674" s="294">
        <f>IF(NFI_Expiration=1,IF($A674&lt;VLOOKUP(O$5,NFI,5,0),1,0)*Table_NFI[[#This Row],[Clothes Kit]],Table_NFI[Clothes Kit])</f>
        <v>0</v>
      </c>
      <c r="AG674" s="294">
        <f>IF(NFI_Expiration=1,IF($A674&lt;VLOOKUP(P$5,NFI,5,0),1,0)*Table_NFI[[#This Row],[Plastic Bucket]],Table_NFI[Plastic Bucket])</f>
        <v>0</v>
      </c>
      <c r="AH674" s="294">
        <f>IF(NFI_Expiration=1,IF($A674&lt;VLOOKUP(Q$5,NFI,5,0),1,0)*Table_NFI[[#This Row],[Plastic Mat]],Table_NFI[Plastic Mat])*IF(Table_NFI[[#This Row],[Distribution Date]]&gt;"2014-04-01",1,2.5)</f>
        <v>0</v>
      </c>
      <c r="AI674" s="294">
        <f>IF(NFI_Expiration=1,IF($A674&lt;VLOOKUP(R$5,NFI,5,0),1,0)*Table_NFI[[#This Row],[Winter Clothes Adult]],Table_NFI[Winter Clothes Adult])</f>
        <v>0</v>
      </c>
      <c r="AJ674" s="294">
        <f>IF(NFI_Expiration=1,IF($A674&lt;VLOOKUP(S$5,NFI,5,0),1,0)*Table_NFI[[#This Row],[Winter Clothes Children]],Table_NFI[Winter Clothes Children])</f>
        <v>0</v>
      </c>
      <c r="AK674" s="294">
        <f>IF(NFI_Expiration=1,IF($A674&lt;VLOOKUP(T$5,NFI,5,0),1,0)*Table_NFI[[#This Row],[Winter Items Other]],Table_NFI[Winter Items Other])</f>
        <v>0</v>
      </c>
      <c r="AL674" s="294">
        <f>IF(NFI_Expiration=1,IF($A674&lt;VLOOKUP(M$5,NFI,5,0),1,0)*Table_NFI[[#This Row],[Winter Blanket]],Table_NFI[[#This Row],[Winter Blanket]])</f>
        <v>0</v>
      </c>
      <c r="AM674" s="294">
        <f>IF(Table_NFI[[#This Row],[Winter Clothes Adult]]+Table_NFI[[#This Row],[Winter Clothes Children]]+Table_NFI[[#This Row],[Winter Items Other]]+Table_NFI[[#This Row],[Winter Blanket]]&gt;0,1,0)</f>
        <v>0</v>
      </c>
      <c r="AN674" s="331">
        <f>IF(NFI_Expiration=1,IF($A674&lt;VLOOKUP(V$5,NFI,5,0),1,0)*Table_NFI[[#This Row],[Jerry Can]],Table_NFI[Jerry Can])</f>
        <v>0</v>
      </c>
      <c r="AO674" s="331">
        <f>IF(NFI_Expiration=1,IF($A674&lt;VLOOKUP(V$5,NFI,5,0),1,0)*Table_NFI[[#This Row],[Shelter Tool kit]],Table_NFI[Shelter Tool kit])</f>
        <v>0</v>
      </c>
      <c r="AP674" s="331">
        <f>IF(NFI_Expiration=1,IF($A674&lt;VLOOKUP(V$5,NFI,5,0),1,0)*Table_NFI[[#This Row],[Tent]],Table_NFI[Tent])</f>
        <v>0</v>
      </c>
      <c r="AQ674" s="473" t="str">
        <f>IFERROR(VLOOKUP(Table_NFI[[#This Row],[Camp Name]],CL,2,0),"")</f>
        <v>MMR001CMP042</v>
      </c>
      <c r="AR674" s="468">
        <f ca="1">IF(Table_NFI[[#This Row],[Pcode]]="","",IF(OFFSET(CampList[Opening Date],MATCH(Table_NFI[[#This Row],[Pcode]],CampList[CP_Pcode],0)-1,0,1,1)&gt;=NFI_Monitor_Date,1,0))</f>
        <v>0</v>
      </c>
      <c r="AS674" s="473" t="str">
        <f>IFERROR(VLOOKUP(Table_NFI[[#This Row],[Camp Name]],CL,3,0),"")</f>
        <v>Open</v>
      </c>
      <c r="AT674" s="294" t="str">
        <f ca="1">IF(Table_NFI[[#This Row],[Pcode]]="","",OFFSET(CampList[Priority],MATCH(Table_NFI[[#This Row],[Pcode]],CampList[CP_Pcode],0)-1,0,1,1))</f>
        <v>P1</v>
      </c>
      <c r="AU674" s="293">
        <f>IFERROR(Table_NFI[[#This Row],[Kitchen Set]]/VLOOKUP(Table_NFI[[#This Row],[Camp Name]],CL,4,0),"")</f>
        <v>0</v>
      </c>
      <c r="AV674" s="466" t="s">
        <v>1092</v>
      </c>
      <c r="AW674" s="469"/>
    </row>
    <row r="675" spans="1:49" ht="14.45" customHeight="1" x14ac:dyDescent="0.25">
      <c r="A675" s="297">
        <f t="shared" si="10"/>
        <v>41.966666666666669</v>
      </c>
      <c r="B675" s="465">
        <v>41416</v>
      </c>
      <c r="C675" s="466" t="s">
        <v>452</v>
      </c>
      <c r="D675" s="467" t="s">
        <v>452</v>
      </c>
      <c r="E675" s="466" t="s">
        <v>380</v>
      </c>
      <c r="F675" s="290" t="s">
        <v>27</v>
      </c>
      <c r="G675" s="290" t="s">
        <v>28</v>
      </c>
      <c r="H675" s="291"/>
      <c r="I675" s="291"/>
      <c r="J675" s="291">
        <v>80</v>
      </c>
      <c r="K675" s="291">
        <v>84</v>
      </c>
      <c r="L675" s="292">
        <v>41</v>
      </c>
      <c r="M675" s="292">
        <v>84</v>
      </c>
      <c r="N675" s="292">
        <v>41</v>
      </c>
      <c r="O675" s="292">
        <v>41</v>
      </c>
      <c r="P675" s="294">
        <v>41</v>
      </c>
      <c r="Q675" s="294">
        <v>41</v>
      </c>
      <c r="R675" s="294"/>
      <c r="S675" s="294"/>
      <c r="T675" s="294"/>
      <c r="U675" s="294"/>
      <c r="V675" s="431"/>
      <c r="W675" s="294"/>
      <c r="X675" s="294"/>
      <c r="Y675" s="294">
        <f>IF(NFI_Expiration=1,IF($A675&lt;VLOOKUP(H$5,NFI,5,0),1,0)*Table_NFI[[#This Row],[Hygiene Kit]],Table_NFI[Hygiene Kit])</f>
        <v>0</v>
      </c>
      <c r="Z675" s="294">
        <f>IF(NFI_Expiration=1,IF($A675&lt;VLOOKUP(I$5,NFI,5,0),1,0)*Table_NFI[[#This Row],[NFI Core Kit]],Table_NFI[NFI Core Kit])</f>
        <v>0</v>
      </c>
      <c r="AA675" s="294">
        <f>IF(NFI_Expiration=1,IF($A675&lt;VLOOKUP(J$5,NFI,5,0),1,0)*Table_NFI[[#This Row],[Sanitary Kit]],Table_NFI[Sanitary Kit])</f>
        <v>0</v>
      </c>
      <c r="AB675" s="294">
        <f>IF(NFI_Expiration=1,IF($A675&lt;VLOOKUP(K$5,NFI,5,0),1,0)*Table_NFI[[#This Row],[Mosquito net]],Table_NFI[Mosquito net])</f>
        <v>0</v>
      </c>
      <c r="AC675" s="294">
        <f>IF(NFI_Expiration=1,IF($A675&lt;VLOOKUP(L$5,NFI,5,0),1,0)*Table_NFI[[#This Row],[Tarpaulin]],Table_NFI[[#This Row],[Tarpaulin]])</f>
        <v>0</v>
      </c>
      <c r="AD675" s="294">
        <f>IF(NFI_Expiration=1,IF($A675&lt;VLOOKUP(M$5,NFI,5,0),1,0)*Table_NFI[[#This Row],[Blanket]],Table_NFI[[#This Row],[Blanket]])</f>
        <v>0</v>
      </c>
      <c r="AE675" s="294">
        <f>IF(NFI_Expiration=1,IF($A675&lt;VLOOKUP(N$5,NFI,5,0),1,0)*Table_NFI[[#This Row],[Kitchen Set]],Table_NFI[Kitchen Set])</f>
        <v>0</v>
      </c>
      <c r="AF675" s="294">
        <f>IF(NFI_Expiration=1,IF($A675&lt;VLOOKUP(O$5,NFI,5,0),1,0)*Table_NFI[[#This Row],[Clothes Kit]],Table_NFI[Clothes Kit])</f>
        <v>0</v>
      </c>
      <c r="AG675" s="294">
        <f>IF(NFI_Expiration=1,IF($A675&lt;VLOOKUP(P$5,NFI,5,0),1,0)*Table_NFI[[#This Row],[Plastic Bucket]],Table_NFI[Plastic Bucket])</f>
        <v>0</v>
      </c>
      <c r="AH675" s="294">
        <f>IF(NFI_Expiration=1,IF($A675&lt;VLOOKUP(Q$5,NFI,5,0),1,0)*Table_NFI[[#This Row],[Plastic Mat]],Table_NFI[Plastic Mat])*IF(Table_NFI[[#This Row],[Distribution Date]]&gt;"2014-04-01",1,2.5)</f>
        <v>0</v>
      </c>
      <c r="AI675" s="294">
        <f>IF(NFI_Expiration=1,IF($A675&lt;VLOOKUP(R$5,NFI,5,0),1,0)*Table_NFI[[#This Row],[Winter Clothes Adult]],Table_NFI[Winter Clothes Adult])</f>
        <v>0</v>
      </c>
      <c r="AJ675" s="294">
        <f>IF(NFI_Expiration=1,IF($A675&lt;VLOOKUP(S$5,NFI,5,0),1,0)*Table_NFI[[#This Row],[Winter Clothes Children]],Table_NFI[Winter Clothes Children])</f>
        <v>0</v>
      </c>
      <c r="AK675" s="294">
        <f>IF(NFI_Expiration=1,IF($A675&lt;VLOOKUP(T$5,NFI,5,0),1,0)*Table_NFI[[#This Row],[Winter Items Other]],Table_NFI[Winter Items Other])</f>
        <v>0</v>
      </c>
      <c r="AL675" s="294">
        <f>IF(NFI_Expiration=1,IF($A675&lt;VLOOKUP(M$5,NFI,5,0),1,0)*Table_NFI[[#This Row],[Winter Blanket]],Table_NFI[[#This Row],[Winter Blanket]])</f>
        <v>0</v>
      </c>
      <c r="AM675" s="294">
        <f>IF(Table_NFI[[#This Row],[Winter Clothes Adult]]+Table_NFI[[#This Row],[Winter Clothes Children]]+Table_NFI[[#This Row],[Winter Items Other]]+Table_NFI[[#This Row],[Winter Blanket]]&gt;0,1,0)</f>
        <v>0</v>
      </c>
      <c r="AN675" s="331">
        <f>IF(NFI_Expiration=1,IF($A675&lt;VLOOKUP(V$5,NFI,5,0),1,0)*Table_NFI[[#This Row],[Jerry Can]],Table_NFI[Jerry Can])</f>
        <v>0</v>
      </c>
      <c r="AO675" s="331">
        <f>IF(NFI_Expiration=1,IF($A675&lt;VLOOKUP(V$5,NFI,5,0),1,0)*Table_NFI[[#This Row],[Shelter Tool kit]],Table_NFI[Shelter Tool kit])</f>
        <v>0</v>
      </c>
      <c r="AP675" s="331">
        <f>IF(NFI_Expiration=1,IF($A675&lt;VLOOKUP(V$5,NFI,5,0),1,0)*Table_NFI[[#This Row],[Tent]],Table_NFI[Tent])</f>
        <v>0</v>
      </c>
      <c r="AQ675" s="473" t="str">
        <f>IFERROR(VLOOKUP(Table_NFI[[#This Row],[Camp Name]],CL,2,0),"")</f>
        <v>MMR001CMP042</v>
      </c>
      <c r="AR675" s="468">
        <f ca="1">IF(Table_NFI[[#This Row],[Pcode]]="","",IF(OFFSET(CampList[Opening Date],MATCH(Table_NFI[[#This Row],[Pcode]],CampList[CP_Pcode],0)-1,0,1,1)&gt;=NFI_Monitor_Date,1,0))</f>
        <v>0</v>
      </c>
      <c r="AS675" s="473" t="str">
        <f>IFERROR(VLOOKUP(Table_NFI[[#This Row],[Camp Name]],CL,3,0),"")</f>
        <v>Open</v>
      </c>
      <c r="AT675" s="294" t="str">
        <f ca="1">IF(Table_NFI[[#This Row],[Pcode]]="","",OFFSET(CampList[Priority],MATCH(Table_NFI[[#This Row],[Pcode]],CampList[CP_Pcode],0)-1,0,1,1))</f>
        <v>P1</v>
      </c>
      <c r="AU675" s="293">
        <f>IFERROR(Table_NFI[[#This Row],[Kitchen Set]]/VLOOKUP(Table_NFI[[#This Row],[Camp Name]],CL,4,0),"")</f>
        <v>0.37272727272727274</v>
      </c>
      <c r="AV675" s="466" t="s">
        <v>1092</v>
      </c>
      <c r="AW675" s="469"/>
    </row>
    <row r="676" spans="1:49" ht="14.45" customHeight="1" x14ac:dyDescent="0.25">
      <c r="A676" s="297">
        <f t="shared" si="10"/>
        <v>41.966666666666669</v>
      </c>
      <c r="B676" s="465">
        <v>41416</v>
      </c>
      <c r="C676" s="466" t="s">
        <v>901</v>
      </c>
      <c r="D676" s="467" t="s">
        <v>506</v>
      </c>
      <c r="E676" s="466" t="s">
        <v>380</v>
      </c>
      <c r="F676" s="290" t="s">
        <v>27</v>
      </c>
      <c r="G676" s="290" t="s">
        <v>365</v>
      </c>
      <c r="H676" s="291">
        <v>35</v>
      </c>
      <c r="I676" s="291"/>
      <c r="J676" s="291"/>
      <c r="K676" s="291"/>
      <c r="L676" s="292"/>
      <c r="M676" s="292"/>
      <c r="N676" s="292"/>
      <c r="O676" s="292"/>
      <c r="P676" s="294"/>
      <c r="Q676" s="294"/>
      <c r="R676" s="294"/>
      <c r="S676" s="294"/>
      <c r="T676" s="294"/>
      <c r="U676" s="294"/>
      <c r="V676" s="431"/>
      <c r="W676" s="294"/>
      <c r="X676" s="294"/>
      <c r="Y676" s="294">
        <f>IF(NFI_Expiration=1,IF($A676&lt;VLOOKUP(H$5,NFI,5,0),1,0)*Table_NFI[[#This Row],[Hygiene Kit]],Table_NFI[Hygiene Kit])</f>
        <v>0</v>
      </c>
      <c r="Z676" s="294">
        <f>IF(NFI_Expiration=1,IF($A676&lt;VLOOKUP(I$5,NFI,5,0),1,0)*Table_NFI[[#This Row],[NFI Core Kit]],Table_NFI[NFI Core Kit])</f>
        <v>0</v>
      </c>
      <c r="AA676" s="294">
        <f>IF(NFI_Expiration=1,IF($A676&lt;VLOOKUP(J$5,NFI,5,0),1,0)*Table_NFI[[#This Row],[Sanitary Kit]],Table_NFI[Sanitary Kit])</f>
        <v>0</v>
      </c>
      <c r="AB676" s="294">
        <f>IF(NFI_Expiration=1,IF($A676&lt;VLOOKUP(K$5,NFI,5,0),1,0)*Table_NFI[[#This Row],[Mosquito net]],Table_NFI[Mosquito net])</f>
        <v>0</v>
      </c>
      <c r="AC676" s="294">
        <f>IF(NFI_Expiration=1,IF($A676&lt;VLOOKUP(L$5,NFI,5,0),1,0)*Table_NFI[[#This Row],[Tarpaulin]],Table_NFI[[#This Row],[Tarpaulin]])</f>
        <v>0</v>
      </c>
      <c r="AD676" s="294">
        <f>IF(NFI_Expiration=1,IF($A676&lt;VLOOKUP(M$5,NFI,5,0),1,0)*Table_NFI[[#This Row],[Blanket]],Table_NFI[[#This Row],[Blanket]])</f>
        <v>0</v>
      </c>
      <c r="AE676" s="294">
        <f>IF(NFI_Expiration=1,IF($A676&lt;VLOOKUP(N$5,NFI,5,0),1,0)*Table_NFI[[#This Row],[Kitchen Set]],Table_NFI[Kitchen Set])</f>
        <v>0</v>
      </c>
      <c r="AF676" s="294">
        <f>IF(NFI_Expiration=1,IF($A676&lt;VLOOKUP(O$5,NFI,5,0),1,0)*Table_NFI[[#This Row],[Clothes Kit]],Table_NFI[Clothes Kit])</f>
        <v>0</v>
      </c>
      <c r="AG676" s="294">
        <f>IF(NFI_Expiration=1,IF($A676&lt;VLOOKUP(P$5,NFI,5,0),1,0)*Table_NFI[[#This Row],[Plastic Bucket]],Table_NFI[Plastic Bucket])</f>
        <v>0</v>
      </c>
      <c r="AH676" s="294">
        <f>IF(NFI_Expiration=1,IF($A676&lt;VLOOKUP(Q$5,NFI,5,0),1,0)*Table_NFI[[#This Row],[Plastic Mat]],Table_NFI[Plastic Mat])*IF(Table_NFI[[#This Row],[Distribution Date]]&gt;"2014-04-01",1,2.5)</f>
        <v>0</v>
      </c>
      <c r="AI676" s="294">
        <f>IF(NFI_Expiration=1,IF($A676&lt;VLOOKUP(R$5,NFI,5,0),1,0)*Table_NFI[[#This Row],[Winter Clothes Adult]],Table_NFI[Winter Clothes Adult])</f>
        <v>0</v>
      </c>
      <c r="AJ676" s="294">
        <f>IF(NFI_Expiration=1,IF($A676&lt;VLOOKUP(S$5,NFI,5,0),1,0)*Table_NFI[[#This Row],[Winter Clothes Children]],Table_NFI[Winter Clothes Children])</f>
        <v>0</v>
      </c>
      <c r="AK676" s="294">
        <f>IF(NFI_Expiration=1,IF($A676&lt;VLOOKUP(T$5,NFI,5,0),1,0)*Table_NFI[[#This Row],[Winter Items Other]],Table_NFI[Winter Items Other])</f>
        <v>0</v>
      </c>
      <c r="AL676" s="294">
        <f>IF(NFI_Expiration=1,IF($A676&lt;VLOOKUP(M$5,NFI,5,0),1,0)*Table_NFI[[#This Row],[Winter Blanket]],Table_NFI[[#This Row],[Winter Blanket]])</f>
        <v>0</v>
      </c>
      <c r="AM676" s="294">
        <f>IF(Table_NFI[[#This Row],[Winter Clothes Adult]]+Table_NFI[[#This Row],[Winter Clothes Children]]+Table_NFI[[#This Row],[Winter Items Other]]+Table_NFI[[#This Row],[Winter Blanket]]&gt;0,1,0)</f>
        <v>0</v>
      </c>
      <c r="AN676" s="331">
        <f>IF(NFI_Expiration=1,IF($A676&lt;VLOOKUP(V$5,NFI,5,0),1,0)*Table_NFI[[#This Row],[Jerry Can]],Table_NFI[Jerry Can])</f>
        <v>0</v>
      </c>
      <c r="AO676" s="331">
        <f>IF(NFI_Expiration=1,IF($A676&lt;VLOOKUP(V$5,NFI,5,0),1,0)*Table_NFI[[#This Row],[Shelter Tool kit]],Table_NFI[Shelter Tool kit])</f>
        <v>0</v>
      </c>
      <c r="AP676" s="331">
        <f>IF(NFI_Expiration=1,IF($A676&lt;VLOOKUP(V$5,NFI,5,0),1,0)*Table_NFI[[#This Row],[Tent]],Table_NFI[Tent])</f>
        <v>0</v>
      </c>
      <c r="AQ676" s="473" t="str">
        <f>IFERROR(VLOOKUP(Table_NFI[[#This Row],[Camp Name]],CL,2,0),"")</f>
        <v>MMR001CMP195</v>
      </c>
      <c r="AR676" s="468">
        <f ca="1">IF(Table_NFI[[#This Row],[Pcode]]="","",IF(OFFSET(CampList[Opening Date],MATCH(Table_NFI[[#This Row],[Pcode]],CampList[CP_Pcode],0)-1,0,1,1)&gt;=NFI_Monitor_Date,1,0))</f>
        <v>0</v>
      </c>
      <c r="AS676" s="473" t="str">
        <f>IFERROR(VLOOKUP(Table_NFI[[#This Row],[Camp Name]],CL,3,0),"")</f>
        <v>Open</v>
      </c>
      <c r="AT676" s="294" t="str">
        <f ca="1">IF(Table_NFI[[#This Row],[Pcode]]="","",OFFSET(CampList[Priority],MATCH(Table_NFI[[#This Row],[Pcode]],CampList[CP_Pcode],0)-1,0,1,1))</f>
        <v>P1</v>
      </c>
      <c r="AU676" s="293">
        <f>IFERROR(Table_NFI[[#This Row],[Kitchen Set]]/VLOOKUP(Table_NFI[[#This Row],[Camp Name]],CL,4,0),"")</f>
        <v>0</v>
      </c>
      <c r="AV676" s="466" t="s">
        <v>1092</v>
      </c>
      <c r="AW676" s="469"/>
    </row>
    <row r="677" spans="1:49" ht="14.45" customHeight="1" x14ac:dyDescent="0.25">
      <c r="A677" s="297">
        <f t="shared" si="10"/>
        <v>41.966666666666669</v>
      </c>
      <c r="B677" s="465">
        <v>41416</v>
      </c>
      <c r="C677" s="466" t="s">
        <v>452</v>
      </c>
      <c r="D677" s="466" t="s">
        <v>452</v>
      </c>
      <c r="E677" s="466" t="s">
        <v>380</v>
      </c>
      <c r="F677" s="290" t="s">
        <v>527</v>
      </c>
      <c r="G677" s="290" t="s">
        <v>54</v>
      </c>
      <c r="H677" s="291"/>
      <c r="I677" s="291"/>
      <c r="J677" s="291">
        <v>48</v>
      </c>
      <c r="K677" s="291">
        <v>74</v>
      </c>
      <c r="L677" s="292">
        <v>31</v>
      </c>
      <c r="M677" s="292">
        <v>74</v>
      </c>
      <c r="N677" s="292">
        <v>31</v>
      </c>
      <c r="O677" s="292">
        <v>31</v>
      </c>
      <c r="P677" s="294">
        <v>31</v>
      </c>
      <c r="Q677" s="294">
        <v>31</v>
      </c>
      <c r="R677" s="294"/>
      <c r="S677" s="294"/>
      <c r="T677" s="294"/>
      <c r="U677" s="294"/>
      <c r="V677" s="431"/>
      <c r="W677" s="294"/>
      <c r="X677" s="294"/>
      <c r="Y677" s="294">
        <f>IF(NFI_Expiration=1,IF($A677&lt;VLOOKUP(H$5,NFI,5,0),1,0)*Table_NFI[[#This Row],[Hygiene Kit]],Table_NFI[Hygiene Kit])</f>
        <v>0</v>
      </c>
      <c r="Z677" s="294">
        <f>IF(NFI_Expiration=1,IF($A677&lt;VLOOKUP(I$5,NFI,5,0),1,0)*Table_NFI[[#This Row],[NFI Core Kit]],Table_NFI[NFI Core Kit])</f>
        <v>0</v>
      </c>
      <c r="AA677" s="294">
        <f>IF(NFI_Expiration=1,IF($A677&lt;VLOOKUP(J$5,NFI,5,0),1,0)*Table_NFI[[#This Row],[Sanitary Kit]],Table_NFI[Sanitary Kit])</f>
        <v>0</v>
      </c>
      <c r="AB677" s="294">
        <f>IF(NFI_Expiration=1,IF($A677&lt;VLOOKUP(K$5,NFI,5,0),1,0)*Table_NFI[[#This Row],[Mosquito net]],Table_NFI[Mosquito net])</f>
        <v>0</v>
      </c>
      <c r="AC677" s="294">
        <f>IF(NFI_Expiration=1,IF($A677&lt;VLOOKUP(L$5,NFI,5,0),1,0)*Table_NFI[[#This Row],[Tarpaulin]],Table_NFI[[#This Row],[Tarpaulin]])</f>
        <v>0</v>
      </c>
      <c r="AD677" s="294">
        <f>IF(NFI_Expiration=1,IF($A677&lt;VLOOKUP(M$5,NFI,5,0),1,0)*Table_NFI[[#This Row],[Blanket]],Table_NFI[[#This Row],[Blanket]])</f>
        <v>0</v>
      </c>
      <c r="AE677" s="294">
        <f>IF(NFI_Expiration=1,IF($A677&lt;VLOOKUP(N$5,NFI,5,0),1,0)*Table_NFI[[#This Row],[Kitchen Set]],Table_NFI[Kitchen Set])</f>
        <v>0</v>
      </c>
      <c r="AF677" s="294">
        <f>IF(NFI_Expiration=1,IF($A677&lt;VLOOKUP(O$5,NFI,5,0),1,0)*Table_NFI[[#This Row],[Clothes Kit]],Table_NFI[Clothes Kit])</f>
        <v>0</v>
      </c>
      <c r="AG677" s="294">
        <f>IF(NFI_Expiration=1,IF($A677&lt;VLOOKUP(P$5,NFI,5,0),1,0)*Table_NFI[[#This Row],[Plastic Bucket]],Table_NFI[Plastic Bucket])</f>
        <v>0</v>
      </c>
      <c r="AH677" s="294">
        <f>IF(NFI_Expiration=1,IF($A677&lt;VLOOKUP(Q$5,NFI,5,0),1,0)*Table_NFI[[#This Row],[Plastic Mat]],Table_NFI[Plastic Mat])*IF(Table_NFI[[#This Row],[Distribution Date]]&gt;"2014-04-01",1,2.5)</f>
        <v>0</v>
      </c>
      <c r="AI677" s="294">
        <f>IF(NFI_Expiration=1,IF($A677&lt;VLOOKUP(R$5,NFI,5,0),1,0)*Table_NFI[[#This Row],[Winter Clothes Adult]],Table_NFI[Winter Clothes Adult])</f>
        <v>0</v>
      </c>
      <c r="AJ677" s="294">
        <f>IF(NFI_Expiration=1,IF($A677&lt;VLOOKUP(S$5,NFI,5,0),1,0)*Table_NFI[[#This Row],[Winter Clothes Children]],Table_NFI[Winter Clothes Children])</f>
        <v>0</v>
      </c>
      <c r="AK677" s="294">
        <f>IF(NFI_Expiration=1,IF($A677&lt;VLOOKUP(T$5,NFI,5,0),1,0)*Table_NFI[[#This Row],[Winter Items Other]],Table_NFI[Winter Items Other])</f>
        <v>0</v>
      </c>
      <c r="AL677" s="294">
        <f>IF(NFI_Expiration=1,IF($A677&lt;VLOOKUP(M$5,NFI,5,0),1,0)*Table_NFI[[#This Row],[Winter Blanket]],Table_NFI[[#This Row],[Winter Blanket]])</f>
        <v>0</v>
      </c>
      <c r="AM677" s="294">
        <f>IF(Table_NFI[[#This Row],[Winter Clothes Adult]]+Table_NFI[[#This Row],[Winter Clothes Children]]+Table_NFI[[#This Row],[Winter Items Other]]+Table_NFI[[#This Row],[Winter Blanket]]&gt;0,1,0)</f>
        <v>0</v>
      </c>
      <c r="AN677" s="331">
        <f>IF(NFI_Expiration=1,IF($A677&lt;VLOOKUP(V$5,NFI,5,0),1,0)*Table_NFI[[#This Row],[Jerry Can]],Table_NFI[Jerry Can])</f>
        <v>0</v>
      </c>
      <c r="AO677" s="331">
        <f>IF(NFI_Expiration=1,IF($A677&lt;VLOOKUP(V$5,NFI,5,0),1,0)*Table_NFI[[#This Row],[Shelter Tool kit]],Table_NFI[Shelter Tool kit])</f>
        <v>0</v>
      </c>
      <c r="AP677" s="331">
        <f>IF(NFI_Expiration=1,IF($A677&lt;VLOOKUP(V$5,NFI,5,0),1,0)*Table_NFI[[#This Row],[Tent]],Table_NFI[Tent])</f>
        <v>0</v>
      </c>
      <c r="AQ677" s="473" t="str">
        <f>IFERROR(VLOOKUP(Table_NFI[[#This Row],[Camp Name]],CL,2,0),"")</f>
        <v>MMR001CMP094</v>
      </c>
      <c r="AR677" s="468">
        <f ca="1">IF(Table_NFI[[#This Row],[Pcode]]="","",IF(OFFSET(CampList[Opening Date],MATCH(Table_NFI[[#This Row],[Pcode]],CampList[CP_Pcode],0)-1,0,1,1)&gt;=NFI_Monitor_Date,1,0))</f>
        <v>0</v>
      </c>
      <c r="AS677" s="473" t="str">
        <f>IFERROR(VLOOKUP(Table_NFI[[#This Row],[Camp Name]],CL,3,0),"")</f>
        <v>Closed</v>
      </c>
      <c r="AT677" s="294" t="str">
        <f ca="1">IF(Table_NFI[[#This Row],[Pcode]]="","",OFFSET(CampList[Priority],MATCH(Table_NFI[[#This Row],[Pcode]],CampList[CP_Pcode],0)-1,0,1,1))</f>
        <v/>
      </c>
      <c r="AU677" s="293" t="str">
        <f>IFERROR(Table_NFI[[#This Row],[Kitchen Set]]/VLOOKUP(Table_NFI[[#This Row],[Camp Name]],CL,4,0),"")</f>
        <v/>
      </c>
      <c r="AV677" s="466" t="s">
        <v>1092</v>
      </c>
      <c r="AW677" s="469"/>
    </row>
    <row r="678" spans="1:49" ht="14.45" customHeight="1" x14ac:dyDescent="0.25">
      <c r="A678" s="297">
        <f t="shared" si="10"/>
        <v>41.966666666666669</v>
      </c>
      <c r="B678" s="465">
        <v>41416</v>
      </c>
      <c r="C678" s="466" t="s">
        <v>452</v>
      </c>
      <c r="D678" s="467" t="s">
        <v>452</v>
      </c>
      <c r="E678" s="466" t="s">
        <v>380</v>
      </c>
      <c r="F678" s="290" t="s">
        <v>527</v>
      </c>
      <c r="G678" s="290" t="s">
        <v>611</v>
      </c>
      <c r="H678" s="291"/>
      <c r="I678" s="291"/>
      <c r="J678" s="291">
        <v>34</v>
      </c>
      <c r="K678" s="291">
        <v>61</v>
      </c>
      <c r="L678" s="292">
        <v>30</v>
      </c>
      <c r="M678" s="292">
        <v>61</v>
      </c>
      <c r="N678" s="292">
        <v>30</v>
      </c>
      <c r="O678" s="292">
        <v>30</v>
      </c>
      <c r="P678" s="294">
        <v>30</v>
      </c>
      <c r="Q678" s="294">
        <v>30</v>
      </c>
      <c r="R678" s="294"/>
      <c r="S678" s="294"/>
      <c r="T678" s="294"/>
      <c r="U678" s="294"/>
      <c r="V678" s="431"/>
      <c r="W678" s="294"/>
      <c r="X678" s="294"/>
      <c r="Y678" s="294">
        <f>IF(NFI_Expiration=1,IF($A678&lt;VLOOKUP(H$5,NFI,5,0),1,0)*Table_NFI[[#This Row],[Hygiene Kit]],Table_NFI[Hygiene Kit])</f>
        <v>0</v>
      </c>
      <c r="Z678" s="294">
        <f>IF(NFI_Expiration=1,IF($A678&lt;VLOOKUP(I$5,NFI,5,0),1,0)*Table_NFI[[#This Row],[NFI Core Kit]],Table_NFI[NFI Core Kit])</f>
        <v>0</v>
      </c>
      <c r="AA678" s="294">
        <f>IF(NFI_Expiration=1,IF($A678&lt;VLOOKUP(J$5,NFI,5,0),1,0)*Table_NFI[[#This Row],[Sanitary Kit]],Table_NFI[Sanitary Kit])</f>
        <v>0</v>
      </c>
      <c r="AB678" s="294">
        <f>IF(NFI_Expiration=1,IF($A678&lt;VLOOKUP(K$5,NFI,5,0),1,0)*Table_NFI[[#This Row],[Mosquito net]],Table_NFI[Mosquito net])</f>
        <v>0</v>
      </c>
      <c r="AC678" s="294">
        <f>IF(NFI_Expiration=1,IF($A678&lt;VLOOKUP(L$5,NFI,5,0),1,0)*Table_NFI[[#This Row],[Tarpaulin]],Table_NFI[[#This Row],[Tarpaulin]])</f>
        <v>0</v>
      </c>
      <c r="AD678" s="294">
        <f>IF(NFI_Expiration=1,IF($A678&lt;VLOOKUP(M$5,NFI,5,0),1,0)*Table_NFI[[#This Row],[Blanket]],Table_NFI[[#This Row],[Blanket]])</f>
        <v>0</v>
      </c>
      <c r="AE678" s="294">
        <f>IF(NFI_Expiration=1,IF($A678&lt;VLOOKUP(N$5,NFI,5,0),1,0)*Table_NFI[[#This Row],[Kitchen Set]],Table_NFI[Kitchen Set])</f>
        <v>0</v>
      </c>
      <c r="AF678" s="294">
        <f>IF(NFI_Expiration=1,IF($A678&lt;VLOOKUP(O$5,NFI,5,0),1,0)*Table_NFI[[#This Row],[Clothes Kit]],Table_NFI[Clothes Kit])</f>
        <v>0</v>
      </c>
      <c r="AG678" s="294">
        <f>IF(NFI_Expiration=1,IF($A678&lt;VLOOKUP(P$5,NFI,5,0),1,0)*Table_NFI[[#This Row],[Plastic Bucket]],Table_NFI[Plastic Bucket])</f>
        <v>0</v>
      </c>
      <c r="AH678" s="294">
        <f>IF(NFI_Expiration=1,IF($A678&lt;VLOOKUP(Q$5,NFI,5,0),1,0)*Table_NFI[[#This Row],[Plastic Mat]],Table_NFI[Plastic Mat])*IF(Table_NFI[[#This Row],[Distribution Date]]&gt;"2014-04-01",1,2.5)</f>
        <v>0</v>
      </c>
      <c r="AI678" s="294">
        <f>IF(NFI_Expiration=1,IF($A678&lt;VLOOKUP(R$5,NFI,5,0),1,0)*Table_NFI[[#This Row],[Winter Clothes Adult]],Table_NFI[Winter Clothes Adult])</f>
        <v>0</v>
      </c>
      <c r="AJ678" s="294">
        <f>IF(NFI_Expiration=1,IF($A678&lt;VLOOKUP(S$5,NFI,5,0),1,0)*Table_NFI[[#This Row],[Winter Clothes Children]],Table_NFI[Winter Clothes Children])</f>
        <v>0</v>
      </c>
      <c r="AK678" s="294">
        <f>IF(NFI_Expiration=1,IF($A678&lt;VLOOKUP(T$5,NFI,5,0),1,0)*Table_NFI[[#This Row],[Winter Items Other]],Table_NFI[Winter Items Other])</f>
        <v>0</v>
      </c>
      <c r="AL678" s="294">
        <f>IF(NFI_Expiration=1,IF($A678&lt;VLOOKUP(M$5,NFI,5,0),1,0)*Table_NFI[[#This Row],[Winter Blanket]],Table_NFI[[#This Row],[Winter Blanket]])</f>
        <v>0</v>
      </c>
      <c r="AM678" s="294">
        <f>IF(Table_NFI[[#This Row],[Winter Clothes Adult]]+Table_NFI[[#This Row],[Winter Clothes Children]]+Table_NFI[[#This Row],[Winter Items Other]]+Table_NFI[[#This Row],[Winter Blanket]]&gt;0,1,0)</f>
        <v>0</v>
      </c>
      <c r="AN678" s="331">
        <f>IF(NFI_Expiration=1,IF($A678&lt;VLOOKUP(V$5,NFI,5,0),1,0)*Table_NFI[[#This Row],[Jerry Can]],Table_NFI[Jerry Can])</f>
        <v>0</v>
      </c>
      <c r="AO678" s="331">
        <f>IF(NFI_Expiration=1,IF($A678&lt;VLOOKUP(V$5,NFI,5,0),1,0)*Table_NFI[[#This Row],[Shelter Tool kit]],Table_NFI[Shelter Tool kit])</f>
        <v>0</v>
      </c>
      <c r="AP678" s="331">
        <f>IF(NFI_Expiration=1,IF($A678&lt;VLOOKUP(V$5,NFI,5,0),1,0)*Table_NFI[[#This Row],[Tent]],Table_NFI[Tent])</f>
        <v>0</v>
      </c>
      <c r="AQ678" s="473" t="str">
        <f>IFERROR(VLOOKUP(Table_NFI[[#This Row],[Camp Name]],CL,2,0),"")</f>
        <v>MMR001CMP192</v>
      </c>
      <c r="AR678" s="468">
        <f ca="1">IF(Table_NFI[[#This Row],[Pcode]]="","",IF(OFFSET(CampList[Opening Date],MATCH(Table_NFI[[#This Row],[Pcode]],CampList[CP_Pcode],0)-1,0,1,1)&gt;=NFI_Monitor_Date,1,0))</f>
        <v>0</v>
      </c>
      <c r="AS678" s="473" t="str">
        <f>IFERROR(VLOOKUP(Table_NFI[[#This Row],[Camp Name]],CL,3,0),"")</f>
        <v>Open</v>
      </c>
      <c r="AT678" s="294" t="str">
        <f ca="1">IF(Table_NFI[[#This Row],[Pcode]]="","",OFFSET(CampList[Priority],MATCH(Table_NFI[[#This Row],[Pcode]],CampList[CP_Pcode],0)-1,0,1,1))</f>
        <v>P4</v>
      </c>
      <c r="AU678" s="293">
        <f>IFERROR(Table_NFI[[#This Row],[Kitchen Set]]/VLOOKUP(Table_NFI[[#This Row],[Camp Name]],CL,4,0),"")</f>
        <v>2.5</v>
      </c>
      <c r="AV678" s="466" t="s">
        <v>1092</v>
      </c>
      <c r="AW678" s="469"/>
    </row>
    <row r="679" spans="1:49" ht="14.45" customHeight="1" x14ac:dyDescent="0.25">
      <c r="A679" s="297">
        <f t="shared" si="10"/>
        <v>41.966666666666669</v>
      </c>
      <c r="B679" s="465">
        <v>41416</v>
      </c>
      <c r="C679" s="466" t="s">
        <v>452</v>
      </c>
      <c r="D679" s="466" t="s">
        <v>452</v>
      </c>
      <c r="E679" s="466" t="s">
        <v>380</v>
      </c>
      <c r="F679" s="466" t="s">
        <v>527</v>
      </c>
      <c r="G679" s="290" t="s">
        <v>110</v>
      </c>
      <c r="H679" s="291"/>
      <c r="I679" s="291"/>
      <c r="J679" s="291">
        <v>273</v>
      </c>
      <c r="K679" s="291">
        <v>339</v>
      </c>
      <c r="L679" s="292">
        <v>151</v>
      </c>
      <c r="M679" s="292">
        <v>339</v>
      </c>
      <c r="N679" s="292">
        <v>151</v>
      </c>
      <c r="O679" s="292">
        <v>151</v>
      </c>
      <c r="P679" s="294">
        <v>151</v>
      </c>
      <c r="Q679" s="294">
        <v>151</v>
      </c>
      <c r="R679" s="294"/>
      <c r="S679" s="294"/>
      <c r="T679" s="294"/>
      <c r="U679" s="294"/>
      <c r="V679" s="431"/>
      <c r="W679" s="294"/>
      <c r="X679" s="294"/>
      <c r="Y679" s="294">
        <f>IF(NFI_Expiration=1,IF($A679&lt;VLOOKUP(H$5,NFI,5,0),1,0)*Table_NFI[[#This Row],[Hygiene Kit]],Table_NFI[Hygiene Kit])</f>
        <v>0</v>
      </c>
      <c r="Z679" s="294">
        <f>IF(NFI_Expiration=1,IF($A679&lt;VLOOKUP(I$5,NFI,5,0),1,0)*Table_NFI[[#This Row],[NFI Core Kit]],Table_NFI[NFI Core Kit])</f>
        <v>0</v>
      </c>
      <c r="AA679" s="294">
        <f>IF(NFI_Expiration=1,IF($A679&lt;VLOOKUP(J$5,NFI,5,0),1,0)*Table_NFI[[#This Row],[Sanitary Kit]],Table_NFI[Sanitary Kit])</f>
        <v>0</v>
      </c>
      <c r="AB679" s="294">
        <f>IF(NFI_Expiration=1,IF($A679&lt;VLOOKUP(K$5,NFI,5,0),1,0)*Table_NFI[[#This Row],[Mosquito net]],Table_NFI[Mosquito net])</f>
        <v>0</v>
      </c>
      <c r="AC679" s="294">
        <f>IF(NFI_Expiration=1,IF($A679&lt;VLOOKUP(L$5,NFI,5,0),1,0)*Table_NFI[[#This Row],[Tarpaulin]],Table_NFI[[#This Row],[Tarpaulin]])</f>
        <v>0</v>
      </c>
      <c r="AD679" s="294">
        <f>IF(NFI_Expiration=1,IF($A679&lt;VLOOKUP(M$5,NFI,5,0),1,0)*Table_NFI[[#This Row],[Blanket]],Table_NFI[[#This Row],[Blanket]])</f>
        <v>0</v>
      </c>
      <c r="AE679" s="294">
        <f>IF(NFI_Expiration=1,IF($A679&lt;VLOOKUP(N$5,NFI,5,0),1,0)*Table_NFI[[#This Row],[Kitchen Set]],Table_NFI[Kitchen Set])</f>
        <v>0</v>
      </c>
      <c r="AF679" s="294">
        <f>IF(NFI_Expiration=1,IF($A679&lt;VLOOKUP(O$5,NFI,5,0),1,0)*Table_NFI[[#This Row],[Clothes Kit]],Table_NFI[Clothes Kit])</f>
        <v>0</v>
      </c>
      <c r="AG679" s="294">
        <f>IF(NFI_Expiration=1,IF($A679&lt;VLOOKUP(P$5,NFI,5,0),1,0)*Table_NFI[[#This Row],[Plastic Bucket]],Table_NFI[Plastic Bucket])</f>
        <v>0</v>
      </c>
      <c r="AH679" s="294">
        <f>IF(NFI_Expiration=1,IF($A679&lt;VLOOKUP(Q$5,NFI,5,0),1,0)*Table_NFI[[#This Row],[Plastic Mat]],Table_NFI[Plastic Mat])*IF(Table_NFI[[#This Row],[Distribution Date]]&gt;"2014-04-01",1,2.5)</f>
        <v>0</v>
      </c>
      <c r="AI679" s="294">
        <f>IF(NFI_Expiration=1,IF($A679&lt;VLOOKUP(R$5,NFI,5,0),1,0)*Table_NFI[[#This Row],[Winter Clothes Adult]],Table_NFI[Winter Clothes Adult])</f>
        <v>0</v>
      </c>
      <c r="AJ679" s="294">
        <f>IF(NFI_Expiration=1,IF($A679&lt;VLOOKUP(S$5,NFI,5,0),1,0)*Table_NFI[[#This Row],[Winter Clothes Children]],Table_NFI[Winter Clothes Children])</f>
        <v>0</v>
      </c>
      <c r="AK679" s="294">
        <f>IF(NFI_Expiration=1,IF($A679&lt;VLOOKUP(T$5,NFI,5,0),1,0)*Table_NFI[[#This Row],[Winter Items Other]],Table_NFI[Winter Items Other])</f>
        <v>0</v>
      </c>
      <c r="AL679" s="294">
        <f>IF(NFI_Expiration=1,IF($A679&lt;VLOOKUP(M$5,NFI,5,0),1,0)*Table_NFI[[#This Row],[Winter Blanket]],Table_NFI[[#This Row],[Winter Blanket]])</f>
        <v>0</v>
      </c>
      <c r="AM679" s="294">
        <f>IF(Table_NFI[[#This Row],[Winter Clothes Adult]]+Table_NFI[[#This Row],[Winter Clothes Children]]+Table_NFI[[#This Row],[Winter Items Other]]+Table_NFI[[#This Row],[Winter Blanket]]&gt;0,1,0)</f>
        <v>0</v>
      </c>
      <c r="AN679" s="331">
        <f>IF(NFI_Expiration=1,IF($A679&lt;VLOOKUP(V$5,NFI,5,0),1,0)*Table_NFI[[#This Row],[Jerry Can]],Table_NFI[Jerry Can])</f>
        <v>0</v>
      </c>
      <c r="AO679" s="331">
        <f>IF(NFI_Expiration=1,IF($A679&lt;VLOOKUP(V$5,NFI,5,0),1,0)*Table_NFI[[#This Row],[Shelter Tool kit]],Table_NFI[Shelter Tool kit])</f>
        <v>0</v>
      </c>
      <c r="AP679" s="331">
        <f>IF(NFI_Expiration=1,IF($A679&lt;VLOOKUP(V$5,NFI,5,0),1,0)*Table_NFI[[#This Row],[Tent]],Table_NFI[Tent])</f>
        <v>0</v>
      </c>
      <c r="AQ679" s="473" t="str">
        <f>IFERROR(VLOOKUP(Table_NFI[[#This Row],[Camp Name]],CL,2,0),"")</f>
        <v>MMR001CMP082</v>
      </c>
      <c r="AR679" s="468">
        <f ca="1">IF(Table_NFI[[#This Row],[Pcode]]="","",IF(OFFSET(CampList[Opening Date],MATCH(Table_NFI[[#This Row],[Pcode]],CampList[CP_Pcode],0)-1,0,1,1)&gt;=NFI_Monitor_Date,1,0))</f>
        <v>0</v>
      </c>
      <c r="AS679" s="473" t="str">
        <f>IFERROR(VLOOKUP(Table_NFI[[#This Row],[Camp Name]],CL,3,0),"")</f>
        <v>Closed</v>
      </c>
      <c r="AT679" s="294" t="str">
        <f ca="1">IF(Table_NFI[[#This Row],[Pcode]]="","",OFFSET(CampList[Priority],MATCH(Table_NFI[[#This Row],[Pcode]],CampList[CP_Pcode],0)-1,0,1,1))</f>
        <v/>
      </c>
      <c r="AU679" s="293" t="str">
        <f>IFERROR(Table_NFI[[#This Row],[Kitchen Set]]/VLOOKUP(Table_NFI[[#This Row],[Camp Name]],CL,4,0),"")</f>
        <v/>
      </c>
      <c r="AV679" s="466" t="s">
        <v>1092</v>
      </c>
      <c r="AW679" s="469"/>
    </row>
    <row r="680" spans="1:49" ht="14.45" customHeight="1" x14ac:dyDescent="0.25">
      <c r="A680" s="297">
        <f t="shared" si="10"/>
        <v>41.966666666666669</v>
      </c>
      <c r="B680" s="465">
        <v>41416</v>
      </c>
      <c r="C680" s="466" t="s">
        <v>452</v>
      </c>
      <c r="D680" s="466" t="s">
        <v>452</v>
      </c>
      <c r="E680" s="466" t="s">
        <v>380</v>
      </c>
      <c r="F680" s="290" t="s">
        <v>310</v>
      </c>
      <c r="G680" s="290" t="s">
        <v>318</v>
      </c>
      <c r="H680" s="291"/>
      <c r="I680" s="291"/>
      <c r="J680" s="291">
        <v>18</v>
      </c>
      <c r="K680" s="291">
        <v>20</v>
      </c>
      <c r="L680" s="292">
        <v>14</v>
      </c>
      <c r="M680" s="292">
        <v>20</v>
      </c>
      <c r="N680" s="292">
        <v>10</v>
      </c>
      <c r="O680" s="292">
        <v>10</v>
      </c>
      <c r="P680" s="294">
        <v>10</v>
      </c>
      <c r="Q680" s="294">
        <v>10</v>
      </c>
      <c r="R680" s="294"/>
      <c r="S680" s="294"/>
      <c r="T680" s="294"/>
      <c r="U680" s="294"/>
      <c r="V680" s="431"/>
      <c r="W680" s="294"/>
      <c r="X680" s="294"/>
      <c r="Y680" s="294">
        <f>IF(NFI_Expiration=1,IF($A680&lt;VLOOKUP(H$5,NFI,5,0),1,0)*Table_NFI[[#This Row],[Hygiene Kit]],Table_NFI[Hygiene Kit])</f>
        <v>0</v>
      </c>
      <c r="Z680" s="294">
        <f>IF(NFI_Expiration=1,IF($A680&lt;VLOOKUP(I$5,NFI,5,0),1,0)*Table_NFI[[#This Row],[NFI Core Kit]],Table_NFI[NFI Core Kit])</f>
        <v>0</v>
      </c>
      <c r="AA680" s="294">
        <f>IF(NFI_Expiration=1,IF($A680&lt;VLOOKUP(J$5,NFI,5,0),1,0)*Table_NFI[[#This Row],[Sanitary Kit]],Table_NFI[Sanitary Kit])</f>
        <v>0</v>
      </c>
      <c r="AB680" s="294">
        <f>IF(NFI_Expiration=1,IF($A680&lt;VLOOKUP(K$5,NFI,5,0),1,0)*Table_NFI[[#This Row],[Mosquito net]],Table_NFI[Mosquito net])</f>
        <v>0</v>
      </c>
      <c r="AC680" s="294">
        <f>IF(NFI_Expiration=1,IF($A680&lt;VLOOKUP(L$5,NFI,5,0),1,0)*Table_NFI[[#This Row],[Tarpaulin]],Table_NFI[[#This Row],[Tarpaulin]])</f>
        <v>0</v>
      </c>
      <c r="AD680" s="294">
        <f>IF(NFI_Expiration=1,IF($A680&lt;VLOOKUP(M$5,NFI,5,0),1,0)*Table_NFI[[#This Row],[Blanket]],Table_NFI[[#This Row],[Blanket]])</f>
        <v>0</v>
      </c>
      <c r="AE680" s="294">
        <f>IF(NFI_Expiration=1,IF($A680&lt;VLOOKUP(N$5,NFI,5,0),1,0)*Table_NFI[[#This Row],[Kitchen Set]],Table_NFI[Kitchen Set])</f>
        <v>0</v>
      </c>
      <c r="AF680" s="294">
        <f>IF(NFI_Expiration=1,IF($A680&lt;VLOOKUP(O$5,NFI,5,0),1,0)*Table_NFI[[#This Row],[Clothes Kit]],Table_NFI[Clothes Kit])</f>
        <v>0</v>
      </c>
      <c r="AG680" s="294">
        <f>IF(NFI_Expiration=1,IF($A680&lt;VLOOKUP(P$5,NFI,5,0),1,0)*Table_NFI[[#This Row],[Plastic Bucket]],Table_NFI[Plastic Bucket])</f>
        <v>0</v>
      </c>
      <c r="AH680" s="294">
        <f>IF(NFI_Expiration=1,IF($A680&lt;VLOOKUP(Q$5,NFI,5,0),1,0)*Table_NFI[[#This Row],[Plastic Mat]],Table_NFI[Plastic Mat])*IF(Table_NFI[[#This Row],[Distribution Date]]&gt;"2014-04-01",1,2.5)</f>
        <v>0</v>
      </c>
      <c r="AI680" s="294">
        <f>IF(NFI_Expiration=1,IF($A680&lt;VLOOKUP(R$5,NFI,5,0),1,0)*Table_NFI[[#This Row],[Winter Clothes Adult]],Table_NFI[Winter Clothes Adult])</f>
        <v>0</v>
      </c>
      <c r="AJ680" s="294">
        <f>IF(NFI_Expiration=1,IF($A680&lt;VLOOKUP(S$5,NFI,5,0),1,0)*Table_NFI[[#This Row],[Winter Clothes Children]],Table_NFI[Winter Clothes Children])</f>
        <v>0</v>
      </c>
      <c r="AK680" s="294">
        <f>IF(NFI_Expiration=1,IF($A680&lt;VLOOKUP(T$5,NFI,5,0),1,0)*Table_NFI[[#This Row],[Winter Items Other]],Table_NFI[Winter Items Other])</f>
        <v>0</v>
      </c>
      <c r="AL680" s="294">
        <f>IF(NFI_Expiration=1,IF($A680&lt;VLOOKUP(M$5,NFI,5,0),1,0)*Table_NFI[[#This Row],[Winter Blanket]],Table_NFI[[#This Row],[Winter Blanket]])</f>
        <v>0</v>
      </c>
      <c r="AM680" s="294">
        <f>IF(Table_NFI[[#This Row],[Winter Clothes Adult]]+Table_NFI[[#This Row],[Winter Clothes Children]]+Table_NFI[[#This Row],[Winter Items Other]]+Table_NFI[[#This Row],[Winter Blanket]]&gt;0,1,0)</f>
        <v>0</v>
      </c>
      <c r="AN680" s="331">
        <f>IF(NFI_Expiration=1,IF($A680&lt;VLOOKUP(V$5,NFI,5,0),1,0)*Table_NFI[[#This Row],[Jerry Can]],Table_NFI[Jerry Can])</f>
        <v>0</v>
      </c>
      <c r="AO680" s="331">
        <f>IF(NFI_Expiration=1,IF($A680&lt;VLOOKUP(V$5,NFI,5,0),1,0)*Table_NFI[[#This Row],[Shelter Tool kit]],Table_NFI[Shelter Tool kit])</f>
        <v>0</v>
      </c>
      <c r="AP680" s="331">
        <f>IF(NFI_Expiration=1,IF($A680&lt;VLOOKUP(V$5,NFI,5,0),1,0)*Table_NFI[[#This Row],[Tent]],Table_NFI[Tent])</f>
        <v>0</v>
      </c>
      <c r="AQ680" s="473" t="str">
        <f>IFERROR(VLOOKUP(Table_NFI[[#This Row],[Camp Name]],CL,2,0),"")</f>
        <v>MMR001CMP032</v>
      </c>
      <c r="AR680" s="468">
        <f ca="1">IF(Table_NFI[[#This Row],[Pcode]]="","",IF(OFFSET(CampList[Opening Date],MATCH(Table_NFI[[#This Row],[Pcode]],CampList[CP_Pcode],0)-1,0,1,1)&gt;=NFI_Monitor_Date,1,0))</f>
        <v>0</v>
      </c>
      <c r="AS680" s="473" t="str">
        <f>IFERROR(VLOOKUP(Table_NFI[[#This Row],[Camp Name]],CL,3,0),"")</f>
        <v>Open</v>
      </c>
      <c r="AT680" s="294" t="str">
        <f ca="1">IF(Table_NFI[[#This Row],[Pcode]]="","",OFFSET(CampList[Priority],MATCH(Table_NFI[[#This Row],[Pcode]],CampList[CP_Pcode],0)-1,0,1,1))</f>
        <v>P4</v>
      </c>
      <c r="AU680" s="293">
        <f>IFERROR(Table_NFI[[#This Row],[Kitchen Set]]/VLOOKUP(Table_NFI[[#This Row],[Camp Name]],CL,4,0),"")</f>
        <v>0.10989010989010989</v>
      </c>
      <c r="AV680" s="466" t="s">
        <v>1092</v>
      </c>
      <c r="AW680" s="469"/>
    </row>
    <row r="681" spans="1:49" ht="14.45" customHeight="1" x14ac:dyDescent="0.25">
      <c r="A681" s="297">
        <f t="shared" si="10"/>
        <v>41.966666666666669</v>
      </c>
      <c r="B681" s="465">
        <v>41416</v>
      </c>
      <c r="C681" s="466" t="s">
        <v>452</v>
      </c>
      <c r="D681" s="466" t="s">
        <v>452</v>
      </c>
      <c r="E681" s="466" t="s">
        <v>380</v>
      </c>
      <c r="F681" s="290" t="s">
        <v>527</v>
      </c>
      <c r="G681" s="290" t="s">
        <v>140</v>
      </c>
      <c r="H681" s="291"/>
      <c r="I681" s="291"/>
      <c r="J681" s="291">
        <v>42</v>
      </c>
      <c r="K681" s="291">
        <v>66</v>
      </c>
      <c r="L681" s="292">
        <v>28</v>
      </c>
      <c r="M681" s="292">
        <v>66</v>
      </c>
      <c r="N681" s="292">
        <v>28</v>
      </c>
      <c r="O681" s="292">
        <v>28</v>
      </c>
      <c r="P681" s="294">
        <v>28</v>
      </c>
      <c r="Q681" s="294">
        <v>28</v>
      </c>
      <c r="R681" s="294"/>
      <c r="S681" s="294"/>
      <c r="T681" s="294"/>
      <c r="U681" s="294"/>
      <c r="V681" s="431"/>
      <c r="W681" s="294"/>
      <c r="X681" s="294"/>
      <c r="Y681" s="294">
        <f>IF(NFI_Expiration=1,IF($A681&lt;VLOOKUP(H$5,NFI,5,0),1,0)*Table_NFI[[#This Row],[Hygiene Kit]],Table_NFI[Hygiene Kit])</f>
        <v>0</v>
      </c>
      <c r="Z681" s="294">
        <f>IF(NFI_Expiration=1,IF($A681&lt;VLOOKUP(I$5,NFI,5,0),1,0)*Table_NFI[[#This Row],[NFI Core Kit]],Table_NFI[NFI Core Kit])</f>
        <v>0</v>
      </c>
      <c r="AA681" s="294">
        <f>IF(NFI_Expiration=1,IF($A681&lt;VLOOKUP(J$5,NFI,5,0),1,0)*Table_NFI[[#This Row],[Sanitary Kit]],Table_NFI[Sanitary Kit])</f>
        <v>0</v>
      </c>
      <c r="AB681" s="294">
        <f>IF(NFI_Expiration=1,IF($A681&lt;VLOOKUP(K$5,NFI,5,0),1,0)*Table_NFI[[#This Row],[Mosquito net]],Table_NFI[Mosquito net])</f>
        <v>0</v>
      </c>
      <c r="AC681" s="294">
        <f>IF(NFI_Expiration=1,IF($A681&lt;VLOOKUP(L$5,NFI,5,0),1,0)*Table_NFI[[#This Row],[Tarpaulin]],Table_NFI[[#This Row],[Tarpaulin]])</f>
        <v>0</v>
      </c>
      <c r="AD681" s="294">
        <f>IF(NFI_Expiration=1,IF($A681&lt;VLOOKUP(M$5,NFI,5,0),1,0)*Table_NFI[[#This Row],[Blanket]],Table_NFI[[#This Row],[Blanket]])</f>
        <v>0</v>
      </c>
      <c r="AE681" s="294">
        <f>IF(NFI_Expiration=1,IF($A681&lt;VLOOKUP(N$5,NFI,5,0),1,0)*Table_NFI[[#This Row],[Kitchen Set]],Table_NFI[Kitchen Set])</f>
        <v>0</v>
      </c>
      <c r="AF681" s="294">
        <f>IF(NFI_Expiration=1,IF($A681&lt;VLOOKUP(O$5,NFI,5,0),1,0)*Table_NFI[[#This Row],[Clothes Kit]],Table_NFI[Clothes Kit])</f>
        <v>0</v>
      </c>
      <c r="AG681" s="294">
        <f>IF(NFI_Expiration=1,IF($A681&lt;VLOOKUP(P$5,NFI,5,0),1,0)*Table_NFI[[#This Row],[Plastic Bucket]],Table_NFI[Plastic Bucket])</f>
        <v>0</v>
      </c>
      <c r="AH681" s="294">
        <f>IF(NFI_Expiration=1,IF($A681&lt;VLOOKUP(Q$5,NFI,5,0),1,0)*Table_NFI[[#This Row],[Plastic Mat]],Table_NFI[Plastic Mat])*IF(Table_NFI[[#This Row],[Distribution Date]]&gt;"2014-04-01",1,2.5)</f>
        <v>0</v>
      </c>
      <c r="AI681" s="294">
        <f>IF(NFI_Expiration=1,IF($A681&lt;VLOOKUP(R$5,NFI,5,0),1,0)*Table_NFI[[#This Row],[Winter Clothes Adult]],Table_NFI[Winter Clothes Adult])</f>
        <v>0</v>
      </c>
      <c r="AJ681" s="294">
        <f>IF(NFI_Expiration=1,IF($A681&lt;VLOOKUP(S$5,NFI,5,0),1,0)*Table_NFI[[#This Row],[Winter Clothes Children]],Table_NFI[Winter Clothes Children])</f>
        <v>0</v>
      </c>
      <c r="AK681" s="294">
        <f>IF(NFI_Expiration=1,IF($A681&lt;VLOOKUP(T$5,NFI,5,0),1,0)*Table_NFI[[#This Row],[Winter Items Other]],Table_NFI[Winter Items Other])</f>
        <v>0</v>
      </c>
      <c r="AL681" s="294">
        <f>IF(NFI_Expiration=1,IF($A681&lt;VLOOKUP(M$5,NFI,5,0),1,0)*Table_NFI[[#This Row],[Winter Blanket]],Table_NFI[[#This Row],[Winter Blanket]])</f>
        <v>0</v>
      </c>
      <c r="AM681" s="294">
        <f>IF(Table_NFI[[#This Row],[Winter Clothes Adult]]+Table_NFI[[#This Row],[Winter Clothes Children]]+Table_NFI[[#This Row],[Winter Items Other]]+Table_NFI[[#This Row],[Winter Blanket]]&gt;0,1,0)</f>
        <v>0</v>
      </c>
      <c r="AN681" s="331">
        <f>IF(NFI_Expiration=1,IF($A681&lt;VLOOKUP(V$5,NFI,5,0),1,0)*Table_NFI[[#This Row],[Jerry Can]],Table_NFI[Jerry Can])</f>
        <v>0</v>
      </c>
      <c r="AO681" s="331">
        <f>IF(NFI_Expiration=1,IF($A681&lt;VLOOKUP(V$5,NFI,5,0),1,0)*Table_NFI[[#This Row],[Shelter Tool kit]],Table_NFI[Shelter Tool kit])</f>
        <v>0</v>
      </c>
      <c r="AP681" s="331">
        <f>IF(NFI_Expiration=1,IF($A681&lt;VLOOKUP(V$5,NFI,5,0),1,0)*Table_NFI[[#This Row],[Tent]],Table_NFI[Tent])</f>
        <v>0</v>
      </c>
      <c r="AQ681" s="473" t="str">
        <f>IFERROR(VLOOKUP(Table_NFI[[#This Row],[Camp Name]],CL,2,0),"")</f>
        <v>MMR001CMP105</v>
      </c>
      <c r="AR681" s="468">
        <f ca="1">IF(Table_NFI[[#This Row],[Pcode]]="","",IF(OFFSET(CampList[Opening Date],MATCH(Table_NFI[[#This Row],[Pcode]],CampList[CP_Pcode],0)-1,0,1,1)&gt;=NFI_Monitor_Date,1,0))</f>
        <v>0</v>
      </c>
      <c r="AS681" s="473" t="str">
        <f>IFERROR(VLOOKUP(Table_NFI[[#This Row],[Camp Name]],CL,3,0),"")</f>
        <v>Open</v>
      </c>
      <c r="AT681" s="294" t="str">
        <f ca="1">IF(Table_NFI[[#This Row],[Pcode]]="","",OFFSET(CampList[Priority],MATCH(Table_NFI[[#This Row],[Pcode]],CampList[CP_Pcode],0)-1,0,1,1))</f>
        <v>P4</v>
      </c>
      <c r="AU681" s="293">
        <f>IFERROR(Table_NFI[[#This Row],[Kitchen Set]]/VLOOKUP(Table_NFI[[#This Row],[Camp Name]],CL,4,0),"")</f>
        <v>2.3333333333333335</v>
      </c>
      <c r="AV681" s="466" t="s">
        <v>1092</v>
      </c>
      <c r="AW681" s="469"/>
    </row>
    <row r="682" spans="1:49" ht="14.45" customHeight="1" x14ac:dyDescent="0.25">
      <c r="A682" s="297">
        <f t="shared" si="10"/>
        <v>42.166666666666664</v>
      </c>
      <c r="B682" s="465">
        <v>41410</v>
      </c>
      <c r="C682" s="466" t="s">
        <v>901</v>
      </c>
      <c r="D682" s="466" t="s">
        <v>506</v>
      </c>
      <c r="E682" s="466" t="s">
        <v>380</v>
      </c>
      <c r="F682" s="466" t="s">
        <v>527</v>
      </c>
      <c r="G682" s="290" t="s">
        <v>909</v>
      </c>
      <c r="H682" s="291">
        <v>394</v>
      </c>
      <c r="I682" s="291"/>
      <c r="J682" s="291"/>
      <c r="K682" s="291"/>
      <c r="L682" s="292"/>
      <c r="M682" s="292"/>
      <c r="N682" s="292"/>
      <c r="O682" s="292"/>
      <c r="P682" s="294"/>
      <c r="Q682" s="294"/>
      <c r="R682" s="294"/>
      <c r="S682" s="294"/>
      <c r="T682" s="294"/>
      <c r="U682" s="294"/>
      <c r="V682" s="431"/>
      <c r="W682" s="294"/>
      <c r="X682" s="294"/>
      <c r="Y682" s="294">
        <f>IF(NFI_Expiration=1,IF($A682&lt;VLOOKUP(H$5,NFI,5,0),1,0)*Table_NFI[[#This Row],[Hygiene Kit]],Table_NFI[Hygiene Kit])</f>
        <v>0</v>
      </c>
      <c r="Z682" s="294">
        <f>IF(NFI_Expiration=1,IF($A682&lt;VLOOKUP(I$5,NFI,5,0),1,0)*Table_NFI[[#This Row],[NFI Core Kit]],Table_NFI[NFI Core Kit])</f>
        <v>0</v>
      </c>
      <c r="AA682" s="294">
        <f>IF(NFI_Expiration=1,IF($A682&lt;VLOOKUP(J$5,NFI,5,0),1,0)*Table_NFI[[#This Row],[Sanitary Kit]],Table_NFI[Sanitary Kit])</f>
        <v>0</v>
      </c>
      <c r="AB682" s="294">
        <f>IF(NFI_Expiration=1,IF($A682&lt;VLOOKUP(K$5,NFI,5,0),1,0)*Table_NFI[[#This Row],[Mosquito net]],Table_NFI[Mosquito net])</f>
        <v>0</v>
      </c>
      <c r="AC682" s="294">
        <f>IF(NFI_Expiration=1,IF($A682&lt;VLOOKUP(L$5,NFI,5,0),1,0)*Table_NFI[[#This Row],[Tarpaulin]],Table_NFI[[#This Row],[Tarpaulin]])</f>
        <v>0</v>
      </c>
      <c r="AD682" s="294">
        <f>IF(NFI_Expiration=1,IF($A682&lt;VLOOKUP(M$5,NFI,5,0),1,0)*Table_NFI[[#This Row],[Blanket]],Table_NFI[[#This Row],[Blanket]])</f>
        <v>0</v>
      </c>
      <c r="AE682" s="294">
        <f>IF(NFI_Expiration=1,IF($A682&lt;VLOOKUP(N$5,NFI,5,0),1,0)*Table_NFI[[#This Row],[Kitchen Set]],Table_NFI[Kitchen Set])</f>
        <v>0</v>
      </c>
      <c r="AF682" s="294">
        <f>IF(NFI_Expiration=1,IF($A682&lt;VLOOKUP(O$5,NFI,5,0),1,0)*Table_NFI[[#This Row],[Clothes Kit]],Table_NFI[Clothes Kit])</f>
        <v>0</v>
      </c>
      <c r="AG682" s="294">
        <f>IF(NFI_Expiration=1,IF($A682&lt;VLOOKUP(P$5,NFI,5,0),1,0)*Table_NFI[[#This Row],[Plastic Bucket]],Table_NFI[Plastic Bucket])</f>
        <v>0</v>
      </c>
      <c r="AH682" s="294">
        <f>IF(NFI_Expiration=1,IF($A682&lt;VLOOKUP(Q$5,NFI,5,0),1,0)*Table_NFI[[#This Row],[Plastic Mat]],Table_NFI[Plastic Mat])*IF(Table_NFI[[#This Row],[Distribution Date]]&gt;"2014-04-01",1,2.5)</f>
        <v>0</v>
      </c>
      <c r="AI682" s="294">
        <f>IF(NFI_Expiration=1,IF($A682&lt;VLOOKUP(R$5,NFI,5,0),1,0)*Table_NFI[[#This Row],[Winter Clothes Adult]],Table_NFI[Winter Clothes Adult])</f>
        <v>0</v>
      </c>
      <c r="AJ682" s="294">
        <f>IF(NFI_Expiration=1,IF($A682&lt;VLOOKUP(S$5,NFI,5,0),1,0)*Table_NFI[[#This Row],[Winter Clothes Children]],Table_NFI[Winter Clothes Children])</f>
        <v>0</v>
      </c>
      <c r="AK682" s="294">
        <f>IF(NFI_Expiration=1,IF($A682&lt;VLOOKUP(T$5,NFI,5,0),1,0)*Table_NFI[[#This Row],[Winter Items Other]],Table_NFI[Winter Items Other])</f>
        <v>0</v>
      </c>
      <c r="AL682" s="294">
        <f>IF(NFI_Expiration=1,IF($A682&lt;VLOOKUP(M$5,NFI,5,0),1,0)*Table_NFI[[#This Row],[Winter Blanket]],Table_NFI[[#This Row],[Winter Blanket]])</f>
        <v>0</v>
      </c>
      <c r="AM682" s="294">
        <f>IF(Table_NFI[[#This Row],[Winter Clothes Adult]]+Table_NFI[[#This Row],[Winter Clothes Children]]+Table_NFI[[#This Row],[Winter Items Other]]+Table_NFI[[#This Row],[Winter Blanket]]&gt;0,1,0)</f>
        <v>0</v>
      </c>
      <c r="AN682" s="331">
        <f>IF(NFI_Expiration=1,IF($A682&lt;VLOOKUP(V$5,NFI,5,0),1,0)*Table_NFI[[#This Row],[Jerry Can]],Table_NFI[Jerry Can])</f>
        <v>0</v>
      </c>
      <c r="AO682" s="331">
        <f>IF(NFI_Expiration=1,IF($A682&lt;VLOOKUP(V$5,NFI,5,0),1,0)*Table_NFI[[#This Row],[Shelter Tool kit]],Table_NFI[Shelter Tool kit])</f>
        <v>0</v>
      </c>
      <c r="AP682" s="331">
        <f>IF(NFI_Expiration=1,IF($A682&lt;VLOOKUP(V$5,NFI,5,0),1,0)*Table_NFI[[#This Row],[Tent]],Table_NFI[Tent])</f>
        <v>0</v>
      </c>
      <c r="AQ682" s="473" t="str">
        <f>IFERROR(VLOOKUP(Table_NFI[[#This Row],[Camp Name]],CL,2,0),"")</f>
        <v/>
      </c>
      <c r="AR682" s="468" t="str">
        <f ca="1">IF(Table_NFI[[#This Row],[Pcode]]="","",IF(OFFSET(CampList[Opening Date],MATCH(Table_NFI[[#This Row],[Pcode]],CampList[CP_Pcode],0)-1,0,1,1)&gt;=NFI_Monitor_Date,1,0))</f>
        <v/>
      </c>
      <c r="AS682" s="473" t="str">
        <f>IFERROR(VLOOKUP(Table_NFI[[#This Row],[Camp Name]],CL,3,0),"")</f>
        <v/>
      </c>
      <c r="AT682" s="294" t="str">
        <f ca="1">IF(Table_NFI[[#This Row],[Pcode]]="","",OFFSET(CampList[Priority],MATCH(Table_NFI[[#This Row],[Pcode]],CampList[CP_Pcode],0)-1,0,1,1))</f>
        <v/>
      </c>
      <c r="AU682" s="293" t="str">
        <f>IFERROR(Table_NFI[[#This Row],[Kitchen Set]]/VLOOKUP(Table_NFI[[#This Row],[Camp Name]],CL,4,0),"")</f>
        <v/>
      </c>
      <c r="AV682" s="466" t="s">
        <v>1092</v>
      </c>
      <c r="AW682" s="469"/>
    </row>
    <row r="683" spans="1:49" ht="14.45" customHeight="1" x14ac:dyDescent="0.25">
      <c r="A683" s="297">
        <f t="shared" si="10"/>
        <v>42.166666666666664</v>
      </c>
      <c r="B683" s="465">
        <v>41410</v>
      </c>
      <c r="C683" s="466" t="s">
        <v>901</v>
      </c>
      <c r="D683" s="466" t="s">
        <v>506</v>
      </c>
      <c r="E683" s="466" t="s">
        <v>380</v>
      </c>
      <c r="F683" s="290" t="s">
        <v>527</v>
      </c>
      <c r="G683" s="290" t="s">
        <v>108</v>
      </c>
      <c r="H683" s="291">
        <v>423</v>
      </c>
      <c r="I683" s="291"/>
      <c r="J683" s="291"/>
      <c r="K683" s="291"/>
      <c r="L683" s="292"/>
      <c r="M683" s="292"/>
      <c r="N683" s="292"/>
      <c r="O683" s="292"/>
      <c r="P683" s="294"/>
      <c r="Q683" s="294"/>
      <c r="R683" s="294"/>
      <c r="S683" s="294"/>
      <c r="T683" s="294"/>
      <c r="U683" s="294"/>
      <c r="V683" s="431"/>
      <c r="W683" s="294"/>
      <c r="X683" s="294"/>
      <c r="Y683" s="294">
        <f>IF(NFI_Expiration=1,IF($A683&lt;VLOOKUP(H$5,NFI,5,0),1,0)*Table_NFI[[#This Row],[Hygiene Kit]],Table_NFI[Hygiene Kit])</f>
        <v>0</v>
      </c>
      <c r="Z683" s="294">
        <f>IF(NFI_Expiration=1,IF($A683&lt;VLOOKUP(I$5,NFI,5,0),1,0)*Table_NFI[[#This Row],[NFI Core Kit]],Table_NFI[NFI Core Kit])</f>
        <v>0</v>
      </c>
      <c r="AA683" s="294">
        <f>IF(NFI_Expiration=1,IF($A683&lt;VLOOKUP(J$5,NFI,5,0),1,0)*Table_NFI[[#This Row],[Sanitary Kit]],Table_NFI[Sanitary Kit])</f>
        <v>0</v>
      </c>
      <c r="AB683" s="294">
        <f>IF(NFI_Expiration=1,IF($A683&lt;VLOOKUP(K$5,NFI,5,0),1,0)*Table_NFI[[#This Row],[Mosquito net]],Table_NFI[Mosquito net])</f>
        <v>0</v>
      </c>
      <c r="AC683" s="294">
        <f>IF(NFI_Expiration=1,IF($A683&lt;VLOOKUP(L$5,NFI,5,0),1,0)*Table_NFI[[#This Row],[Tarpaulin]],Table_NFI[[#This Row],[Tarpaulin]])</f>
        <v>0</v>
      </c>
      <c r="AD683" s="294">
        <f>IF(NFI_Expiration=1,IF($A683&lt;VLOOKUP(M$5,NFI,5,0),1,0)*Table_NFI[[#This Row],[Blanket]],Table_NFI[[#This Row],[Blanket]])</f>
        <v>0</v>
      </c>
      <c r="AE683" s="294">
        <f>IF(NFI_Expiration=1,IF($A683&lt;VLOOKUP(N$5,NFI,5,0),1,0)*Table_NFI[[#This Row],[Kitchen Set]],Table_NFI[Kitchen Set])</f>
        <v>0</v>
      </c>
      <c r="AF683" s="294">
        <f>IF(NFI_Expiration=1,IF($A683&lt;VLOOKUP(O$5,NFI,5,0),1,0)*Table_NFI[[#This Row],[Clothes Kit]],Table_NFI[Clothes Kit])</f>
        <v>0</v>
      </c>
      <c r="AG683" s="294">
        <f>IF(NFI_Expiration=1,IF($A683&lt;VLOOKUP(P$5,NFI,5,0),1,0)*Table_NFI[[#This Row],[Plastic Bucket]],Table_NFI[Plastic Bucket])</f>
        <v>0</v>
      </c>
      <c r="AH683" s="294">
        <f>IF(NFI_Expiration=1,IF($A683&lt;VLOOKUP(Q$5,NFI,5,0),1,0)*Table_NFI[[#This Row],[Plastic Mat]],Table_NFI[Plastic Mat])*IF(Table_NFI[[#This Row],[Distribution Date]]&gt;"2014-04-01",1,2.5)</f>
        <v>0</v>
      </c>
      <c r="AI683" s="294">
        <f>IF(NFI_Expiration=1,IF($A683&lt;VLOOKUP(R$5,NFI,5,0),1,0)*Table_NFI[[#This Row],[Winter Clothes Adult]],Table_NFI[Winter Clothes Adult])</f>
        <v>0</v>
      </c>
      <c r="AJ683" s="294">
        <f>IF(NFI_Expiration=1,IF($A683&lt;VLOOKUP(S$5,NFI,5,0),1,0)*Table_NFI[[#This Row],[Winter Clothes Children]],Table_NFI[Winter Clothes Children])</f>
        <v>0</v>
      </c>
      <c r="AK683" s="294">
        <f>IF(NFI_Expiration=1,IF($A683&lt;VLOOKUP(T$5,NFI,5,0),1,0)*Table_NFI[[#This Row],[Winter Items Other]],Table_NFI[Winter Items Other])</f>
        <v>0</v>
      </c>
      <c r="AL683" s="294">
        <f>IF(NFI_Expiration=1,IF($A683&lt;VLOOKUP(M$5,NFI,5,0),1,0)*Table_NFI[[#This Row],[Winter Blanket]],Table_NFI[[#This Row],[Winter Blanket]])</f>
        <v>0</v>
      </c>
      <c r="AM683" s="294">
        <f>IF(Table_NFI[[#This Row],[Winter Clothes Adult]]+Table_NFI[[#This Row],[Winter Clothes Children]]+Table_NFI[[#This Row],[Winter Items Other]]+Table_NFI[[#This Row],[Winter Blanket]]&gt;0,1,0)</f>
        <v>0</v>
      </c>
      <c r="AN683" s="331">
        <f>IF(NFI_Expiration=1,IF($A683&lt;VLOOKUP(V$5,NFI,5,0),1,0)*Table_NFI[[#This Row],[Jerry Can]],Table_NFI[Jerry Can])</f>
        <v>0</v>
      </c>
      <c r="AO683" s="331">
        <f>IF(NFI_Expiration=1,IF($A683&lt;VLOOKUP(V$5,NFI,5,0),1,0)*Table_NFI[[#This Row],[Shelter Tool kit]],Table_NFI[Shelter Tool kit])</f>
        <v>0</v>
      </c>
      <c r="AP683" s="331">
        <f>IF(NFI_Expiration=1,IF($A683&lt;VLOOKUP(V$5,NFI,5,0),1,0)*Table_NFI[[#This Row],[Tent]],Table_NFI[Tent])</f>
        <v>0</v>
      </c>
      <c r="AQ683" s="473" t="str">
        <f>IFERROR(VLOOKUP(Table_NFI[[#This Row],[Camp Name]],CL,2,0),"")</f>
        <v>MMR001CMP103</v>
      </c>
      <c r="AR683" s="468">
        <f ca="1">IF(Table_NFI[[#This Row],[Pcode]]="","",IF(OFFSET(CampList[Opening Date],MATCH(Table_NFI[[#This Row],[Pcode]],CampList[CP_Pcode],0)-1,0,1,1)&gt;=NFI_Monitor_Date,1,0))</f>
        <v>0</v>
      </c>
      <c r="AS683" s="473" t="str">
        <f>IFERROR(VLOOKUP(Table_NFI[[#This Row],[Camp Name]],CL,3,0),"")</f>
        <v>Open</v>
      </c>
      <c r="AT683" s="294" t="str">
        <f ca="1">IF(Table_NFI[[#This Row],[Pcode]]="","",OFFSET(CampList[Priority],MATCH(Table_NFI[[#This Row],[Pcode]],CampList[CP_Pcode],0)-1,0,1,1))</f>
        <v>P4</v>
      </c>
      <c r="AU683" s="293">
        <f>IFERROR(Table_NFI[[#This Row],[Kitchen Set]]/VLOOKUP(Table_NFI[[#This Row],[Camp Name]],CL,4,0),"")</f>
        <v>0</v>
      </c>
      <c r="AV683" s="466" t="s">
        <v>1092</v>
      </c>
      <c r="AW683" s="469"/>
    </row>
    <row r="684" spans="1:49" ht="14.45" customHeight="1" x14ac:dyDescent="0.25">
      <c r="A684" s="297">
        <f t="shared" si="10"/>
        <v>42.166666666666664</v>
      </c>
      <c r="B684" s="465">
        <v>41410</v>
      </c>
      <c r="C684" s="466" t="s">
        <v>901</v>
      </c>
      <c r="D684" s="467" t="s">
        <v>506</v>
      </c>
      <c r="E684" s="466" t="s">
        <v>380</v>
      </c>
      <c r="F684" s="290" t="s">
        <v>527</v>
      </c>
      <c r="G684" s="290" t="s">
        <v>64</v>
      </c>
      <c r="H684" s="291">
        <v>103</v>
      </c>
      <c r="I684" s="291"/>
      <c r="J684" s="291"/>
      <c r="K684" s="291"/>
      <c r="L684" s="292"/>
      <c r="M684" s="292"/>
      <c r="N684" s="292"/>
      <c r="O684" s="292"/>
      <c r="P684" s="294"/>
      <c r="Q684" s="294"/>
      <c r="R684" s="294"/>
      <c r="S684" s="294"/>
      <c r="T684" s="294"/>
      <c r="U684" s="294"/>
      <c r="V684" s="431"/>
      <c r="W684" s="294"/>
      <c r="X684" s="294"/>
      <c r="Y684" s="294">
        <f>IF(NFI_Expiration=1,IF($A684&lt;VLOOKUP(H$5,NFI,5,0),1,0)*Table_NFI[[#This Row],[Hygiene Kit]],Table_NFI[Hygiene Kit])</f>
        <v>0</v>
      </c>
      <c r="Z684" s="294">
        <f>IF(NFI_Expiration=1,IF($A684&lt;VLOOKUP(I$5,NFI,5,0),1,0)*Table_NFI[[#This Row],[NFI Core Kit]],Table_NFI[NFI Core Kit])</f>
        <v>0</v>
      </c>
      <c r="AA684" s="294">
        <f>IF(NFI_Expiration=1,IF($A684&lt;VLOOKUP(J$5,NFI,5,0),1,0)*Table_NFI[[#This Row],[Sanitary Kit]],Table_NFI[Sanitary Kit])</f>
        <v>0</v>
      </c>
      <c r="AB684" s="294">
        <f>IF(NFI_Expiration=1,IF($A684&lt;VLOOKUP(K$5,NFI,5,0),1,0)*Table_NFI[[#This Row],[Mosquito net]],Table_NFI[Mosquito net])</f>
        <v>0</v>
      </c>
      <c r="AC684" s="294">
        <f>IF(NFI_Expiration=1,IF($A684&lt;VLOOKUP(L$5,NFI,5,0),1,0)*Table_NFI[[#This Row],[Tarpaulin]],Table_NFI[[#This Row],[Tarpaulin]])</f>
        <v>0</v>
      </c>
      <c r="AD684" s="294">
        <f>IF(NFI_Expiration=1,IF($A684&lt;VLOOKUP(M$5,NFI,5,0),1,0)*Table_NFI[[#This Row],[Blanket]],Table_NFI[[#This Row],[Blanket]])</f>
        <v>0</v>
      </c>
      <c r="AE684" s="294">
        <f>IF(NFI_Expiration=1,IF($A684&lt;VLOOKUP(N$5,NFI,5,0),1,0)*Table_NFI[[#This Row],[Kitchen Set]],Table_NFI[Kitchen Set])</f>
        <v>0</v>
      </c>
      <c r="AF684" s="294">
        <f>IF(NFI_Expiration=1,IF($A684&lt;VLOOKUP(O$5,NFI,5,0),1,0)*Table_NFI[[#This Row],[Clothes Kit]],Table_NFI[Clothes Kit])</f>
        <v>0</v>
      </c>
      <c r="AG684" s="294">
        <f>IF(NFI_Expiration=1,IF($A684&lt;VLOOKUP(P$5,NFI,5,0),1,0)*Table_NFI[[#This Row],[Plastic Bucket]],Table_NFI[Plastic Bucket])</f>
        <v>0</v>
      </c>
      <c r="AH684" s="294">
        <f>IF(NFI_Expiration=1,IF($A684&lt;VLOOKUP(Q$5,NFI,5,0),1,0)*Table_NFI[[#This Row],[Plastic Mat]],Table_NFI[Plastic Mat])*IF(Table_NFI[[#This Row],[Distribution Date]]&gt;"2014-04-01",1,2.5)</f>
        <v>0</v>
      </c>
      <c r="AI684" s="294">
        <f>IF(NFI_Expiration=1,IF($A684&lt;VLOOKUP(R$5,NFI,5,0),1,0)*Table_NFI[[#This Row],[Winter Clothes Adult]],Table_NFI[Winter Clothes Adult])</f>
        <v>0</v>
      </c>
      <c r="AJ684" s="294">
        <f>IF(NFI_Expiration=1,IF($A684&lt;VLOOKUP(S$5,NFI,5,0),1,0)*Table_NFI[[#This Row],[Winter Clothes Children]],Table_NFI[Winter Clothes Children])</f>
        <v>0</v>
      </c>
      <c r="AK684" s="294">
        <f>IF(NFI_Expiration=1,IF($A684&lt;VLOOKUP(T$5,NFI,5,0),1,0)*Table_NFI[[#This Row],[Winter Items Other]],Table_NFI[Winter Items Other])</f>
        <v>0</v>
      </c>
      <c r="AL684" s="294">
        <f>IF(NFI_Expiration=1,IF($A684&lt;VLOOKUP(M$5,NFI,5,0),1,0)*Table_NFI[[#This Row],[Winter Blanket]],Table_NFI[[#This Row],[Winter Blanket]])</f>
        <v>0</v>
      </c>
      <c r="AM684" s="294">
        <f>IF(Table_NFI[[#This Row],[Winter Clothes Adult]]+Table_NFI[[#This Row],[Winter Clothes Children]]+Table_NFI[[#This Row],[Winter Items Other]]+Table_NFI[[#This Row],[Winter Blanket]]&gt;0,1,0)</f>
        <v>0</v>
      </c>
      <c r="AN684" s="331">
        <f>IF(NFI_Expiration=1,IF($A684&lt;VLOOKUP(V$5,NFI,5,0),1,0)*Table_NFI[[#This Row],[Jerry Can]],Table_NFI[Jerry Can])</f>
        <v>0</v>
      </c>
      <c r="AO684" s="331">
        <f>IF(NFI_Expiration=1,IF($A684&lt;VLOOKUP(V$5,NFI,5,0),1,0)*Table_NFI[[#This Row],[Shelter Tool kit]],Table_NFI[Shelter Tool kit])</f>
        <v>0</v>
      </c>
      <c r="AP684" s="331">
        <f>IF(NFI_Expiration=1,IF($A684&lt;VLOOKUP(V$5,NFI,5,0),1,0)*Table_NFI[[#This Row],[Tent]],Table_NFI[Tent])</f>
        <v>0</v>
      </c>
      <c r="AQ684" s="473" t="str">
        <f>IFERROR(VLOOKUP(Table_NFI[[#This Row],[Camp Name]],CL,2,0),"")</f>
        <v>MMR001CMP185</v>
      </c>
      <c r="AR684" s="468">
        <f ca="1">IF(Table_NFI[[#This Row],[Pcode]]="","",IF(OFFSET(CampList[Opening Date],MATCH(Table_NFI[[#This Row],[Pcode]],CampList[CP_Pcode],0)-1,0,1,1)&gt;=NFI_Monitor_Date,1,0))</f>
        <v>0</v>
      </c>
      <c r="AS684" s="473" t="str">
        <f>IFERROR(VLOOKUP(Table_NFI[[#This Row],[Camp Name]],CL,3,0),"")</f>
        <v>Closed</v>
      </c>
      <c r="AT684" s="294" t="str">
        <f ca="1">IF(Table_NFI[[#This Row],[Pcode]]="","",OFFSET(CampList[Priority],MATCH(Table_NFI[[#This Row],[Pcode]],CampList[CP_Pcode],0)-1,0,1,1))</f>
        <v/>
      </c>
      <c r="AU684" s="293" t="str">
        <f>IFERROR(Table_NFI[[#This Row],[Kitchen Set]]/VLOOKUP(Table_NFI[[#This Row],[Camp Name]],CL,4,0),"")</f>
        <v/>
      </c>
      <c r="AV684" s="466" t="s">
        <v>1092</v>
      </c>
      <c r="AW684" s="469"/>
    </row>
    <row r="685" spans="1:49" ht="14.45" customHeight="1" x14ac:dyDescent="0.25">
      <c r="A685" s="297">
        <f t="shared" si="10"/>
        <v>42.233333333333334</v>
      </c>
      <c r="B685" s="465">
        <v>41408</v>
      </c>
      <c r="C685" s="466" t="s">
        <v>901</v>
      </c>
      <c r="D685" s="466" t="s">
        <v>506</v>
      </c>
      <c r="E685" s="466" t="s">
        <v>380</v>
      </c>
      <c r="F685" s="466" t="s">
        <v>310</v>
      </c>
      <c r="G685" s="290" t="s">
        <v>334</v>
      </c>
      <c r="H685" s="291">
        <v>604</v>
      </c>
      <c r="I685" s="291"/>
      <c r="J685" s="291"/>
      <c r="K685" s="291"/>
      <c r="L685" s="292"/>
      <c r="M685" s="292"/>
      <c r="N685" s="292"/>
      <c r="O685" s="292"/>
      <c r="P685" s="294"/>
      <c r="Q685" s="294"/>
      <c r="R685" s="294"/>
      <c r="S685" s="294"/>
      <c r="T685" s="294"/>
      <c r="U685" s="294"/>
      <c r="V685" s="431"/>
      <c r="W685" s="294"/>
      <c r="X685" s="294"/>
      <c r="Y685" s="294">
        <f>IF(NFI_Expiration=1,IF($A685&lt;VLOOKUP(H$5,NFI,5,0),1,0)*Table_NFI[[#This Row],[Hygiene Kit]],Table_NFI[Hygiene Kit])</f>
        <v>0</v>
      </c>
      <c r="Z685" s="294">
        <f>IF(NFI_Expiration=1,IF($A685&lt;VLOOKUP(I$5,NFI,5,0),1,0)*Table_NFI[[#This Row],[NFI Core Kit]],Table_NFI[NFI Core Kit])</f>
        <v>0</v>
      </c>
      <c r="AA685" s="294">
        <f>IF(NFI_Expiration=1,IF($A685&lt;VLOOKUP(J$5,NFI,5,0),1,0)*Table_NFI[[#This Row],[Sanitary Kit]],Table_NFI[Sanitary Kit])</f>
        <v>0</v>
      </c>
      <c r="AB685" s="294">
        <f>IF(NFI_Expiration=1,IF($A685&lt;VLOOKUP(K$5,NFI,5,0),1,0)*Table_NFI[[#This Row],[Mosquito net]],Table_NFI[Mosquito net])</f>
        <v>0</v>
      </c>
      <c r="AC685" s="294">
        <f>IF(NFI_Expiration=1,IF($A685&lt;VLOOKUP(L$5,NFI,5,0),1,0)*Table_NFI[[#This Row],[Tarpaulin]],Table_NFI[[#This Row],[Tarpaulin]])</f>
        <v>0</v>
      </c>
      <c r="AD685" s="294">
        <f>IF(NFI_Expiration=1,IF($A685&lt;VLOOKUP(M$5,NFI,5,0),1,0)*Table_NFI[[#This Row],[Blanket]],Table_NFI[[#This Row],[Blanket]])</f>
        <v>0</v>
      </c>
      <c r="AE685" s="294">
        <f>IF(NFI_Expiration=1,IF($A685&lt;VLOOKUP(N$5,NFI,5,0),1,0)*Table_NFI[[#This Row],[Kitchen Set]],Table_NFI[Kitchen Set])</f>
        <v>0</v>
      </c>
      <c r="AF685" s="294">
        <f>IF(NFI_Expiration=1,IF($A685&lt;VLOOKUP(O$5,NFI,5,0),1,0)*Table_NFI[[#This Row],[Clothes Kit]],Table_NFI[Clothes Kit])</f>
        <v>0</v>
      </c>
      <c r="AG685" s="294">
        <f>IF(NFI_Expiration=1,IF($A685&lt;VLOOKUP(P$5,NFI,5,0),1,0)*Table_NFI[[#This Row],[Plastic Bucket]],Table_NFI[Plastic Bucket])</f>
        <v>0</v>
      </c>
      <c r="AH685" s="294">
        <f>IF(NFI_Expiration=1,IF($A685&lt;VLOOKUP(Q$5,NFI,5,0),1,0)*Table_NFI[[#This Row],[Plastic Mat]],Table_NFI[Plastic Mat])*IF(Table_NFI[[#This Row],[Distribution Date]]&gt;"2014-04-01",1,2.5)</f>
        <v>0</v>
      </c>
      <c r="AI685" s="294">
        <f>IF(NFI_Expiration=1,IF($A685&lt;VLOOKUP(R$5,NFI,5,0),1,0)*Table_NFI[[#This Row],[Winter Clothes Adult]],Table_NFI[Winter Clothes Adult])</f>
        <v>0</v>
      </c>
      <c r="AJ685" s="294">
        <f>IF(NFI_Expiration=1,IF($A685&lt;VLOOKUP(S$5,NFI,5,0),1,0)*Table_NFI[[#This Row],[Winter Clothes Children]],Table_NFI[Winter Clothes Children])</f>
        <v>0</v>
      </c>
      <c r="AK685" s="294">
        <f>IF(NFI_Expiration=1,IF($A685&lt;VLOOKUP(T$5,NFI,5,0),1,0)*Table_NFI[[#This Row],[Winter Items Other]],Table_NFI[Winter Items Other])</f>
        <v>0</v>
      </c>
      <c r="AL685" s="294">
        <f>IF(NFI_Expiration=1,IF($A685&lt;VLOOKUP(M$5,NFI,5,0),1,0)*Table_NFI[[#This Row],[Winter Blanket]],Table_NFI[[#This Row],[Winter Blanket]])</f>
        <v>0</v>
      </c>
      <c r="AM685" s="294">
        <f>IF(Table_NFI[[#This Row],[Winter Clothes Adult]]+Table_NFI[[#This Row],[Winter Clothes Children]]+Table_NFI[[#This Row],[Winter Items Other]]+Table_NFI[[#This Row],[Winter Blanket]]&gt;0,1,0)</f>
        <v>0</v>
      </c>
      <c r="AN685" s="331">
        <f>IF(NFI_Expiration=1,IF($A685&lt;VLOOKUP(V$5,NFI,5,0),1,0)*Table_NFI[[#This Row],[Jerry Can]],Table_NFI[Jerry Can])</f>
        <v>0</v>
      </c>
      <c r="AO685" s="331">
        <f>IF(NFI_Expiration=1,IF($A685&lt;VLOOKUP(V$5,NFI,5,0),1,0)*Table_NFI[[#This Row],[Shelter Tool kit]],Table_NFI[Shelter Tool kit])</f>
        <v>0</v>
      </c>
      <c r="AP685" s="331">
        <f>IF(NFI_Expiration=1,IF($A685&lt;VLOOKUP(V$5,NFI,5,0),1,0)*Table_NFI[[#This Row],[Tent]],Table_NFI[Tent])</f>
        <v>0</v>
      </c>
      <c r="AQ685" s="473" t="str">
        <f>IFERROR(VLOOKUP(Table_NFI[[#This Row],[Camp Name]],CL,2,0),"")</f>
        <v>MMR001CMP113</v>
      </c>
      <c r="AR685" s="468">
        <f ca="1">IF(Table_NFI[[#This Row],[Pcode]]="","",IF(OFFSET(CampList[Opening Date],MATCH(Table_NFI[[#This Row],[Pcode]],CampList[CP_Pcode],0)-1,0,1,1)&gt;=NFI_Monitor_Date,1,0))</f>
        <v>0</v>
      </c>
      <c r="AS685" s="473" t="str">
        <f>IFERROR(VLOOKUP(Table_NFI[[#This Row],[Camp Name]],CL,3,0),"")</f>
        <v>Open</v>
      </c>
      <c r="AT685" s="294" t="str">
        <f ca="1">IF(Table_NFI[[#This Row],[Pcode]]="","",OFFSET(CampList[Priority],MATCH(Table_NFI[[#This Row],[Pcode]],CampList[CP_Pcode],0)-1,0,1,1))</f>
        <v>P1</v>
      </c>
      <c r="AU685" s="293">
        <f>IFERROR(Table_NFI[[#This Row],[Kitchen Set]]/VLOOKUP(Table_NFI[[#This Row],[Camp Name]],CL,4,0),"")</f>
        <v>0</v>
      </c>
      <c r="AV685" s="466" t="s">
        <v>1092</v>
      </c>
      <c r="AW685" s="469"/>
    </row>
    <row r="686" spans="1:49" ht="14.45" customHeight="1" x14ac:dyDescent="0.25">
      <c r="A686" s="297">
        <f t="shared" si="10"/>
        <v>42.333333333333336</v>
      </c>
      <c r="B686" s="465">
        <v>41405</v>
      </c>
      <c r="C686" s="466" t="s">
        <v>901</v>
      </c>
      <c r="D686" s="467" t="s">
        <v>506</v>
      </c>
      <c r="E686" s="466" t="s">
        <v>380</v>
      </c>
      <c r="F686" s="290" t="s">
        <v>310</v>
      </c>
      <c r="G686" s="290" t="s">
        <v>355</v>
      </c>
      <c r="H686" s="291">
        <v>490</v>
      </c>
      <c r="I686" s="291"/>
      <c r="J686" s="291"/>
      <c r="K686" s="291"/>
      <c r="L686" s="292"/>
      <c r="M686" s="292"/>
      <c r="N686" s="292"/>
      <c r="O686" s="292"/>
      <c r="P686" s="294"/>
      <c r="Q686" s="294"/>
      <c r="R686" s="294"/>
      <c r="S686" s="294"/>
      <c r="T686" s="294"/>
      <c r="U686" s="294"/>
      <c r="V686" s="431"/>
      <c r="W686" s="294"/>
      <c r="X686" s="294"/>
      <c r="Y686" s="294">
        <f>IF(NFI_Expiration=1,IF($A686&lt;VLOOKUP(H$5,NFI,5,0),1,0)*Table_NFI[[#This Row],[Hygiene Kit]],Table_NFI[Hygiene Kit])</f>
        <v>0</v>
      </c>
      <c r="Z686" s="294">
        <f>IF(NFI_Expiration=1,IF($A686&lt;VLOOKUP(I$5,NFI,5,0),1,0)*Table_NFI[[#This Row],[NFI Core Kit]],Table_NFI[NFI Core Kit])</f>
        <v>0</v>
      </c>
      <c r="AA686" s="294">
        <f>IF(NFI_Expiration=1,IF($A686&lt;VLOOKUP(J$5,NFI,5,0),1,0)*Table_NFI[[#This Row],[Sanitary Kit]],Table_NFI[Sanitary Kit])</f>
        <v>0</v>
      </c>
      <c r="AB686" s="294">
        <f>IF(NFI_Expiration=1,IF($A686&lt;VLOOKUP(K$5,NFI,5,0),1,0)*Table_NFI[[#This Row],[Mosquito net]],Table_NFI[Mosquito net])</f>
        <v>0</v>
      </c>
      <c r="AC686" s="294">
        <f>IF(NFI_Expiration=1,IF($A686&lt;VLOOKUP(L$5,NFI,5,0),1,0)*Table_NFI[[#This Row],[Tarpaulin]],Table_NFI[[#This Row],[Tarpaulin]])</f>
        <v>0</v>
      </c>
      <c r="AD686" s="294">
        <f>IF(NFI_Expiration=1,IF($A686&lt;VLOOKUP(M$5,NFI,5,0),1,0)*Table_NFI[[#This Row],[Blanket]],Table_NFI[[#This Row],[Blanket]])</f>
        <v>0</v>
      </c>
      <c r="AE686" s="294">
        <f>IF(NFI_Expiration=1,IF($A686&lt;VLOOKUP(N$5,NFI,5,0),1,0)*Table_NFI[[#This Row],[Kitchen Set]],Table_NFI[Kitchen Set])</f>
        <v>0</v>
      </c>
      <c r="AF686" s="294">
        <f>IF(NFI_Expiration=1,IF($A686&lt;VLOOKUP(O$5,NFI,5,0),1,0)*Table_NFI[[#This Row],[Clothes Kit]],Table_NFI[Clothes Kit])</f>
        <v>0</v>
      </c>
      <c r="AG686" s="294">
        <f>IF(NFI_Expiration=1,IF($A686&lt;VLOOKUP(P$5,NFI,5,0),1,0)*Table_NFI[[#This Row],[Plastic Bucket]],Table_NFI[Plastic Bucket])</f>
        <v>0</v>
      </c>
      <c r="AH686" s="294">
        <f>IF(NFI_Expiration=1,IF($A686&lt;VLOOKUP(Q$5,NFI,5,0),1,0)*Table_NFI[[#This Row],[Plastic Mat]],Table_NFI[Plastic Mat])*IF(Table_NFI[[#This Row],[Distribution Date]]&gt;"2014-04-01",1,2.5)</f>
        <v>0</v>
      </c>
      <c r="AI686" s="294">
        <f>IF(NFI_Expiration=1,IF($A686&lt;VLOOKUP(R$5,NFI,5,0),1,0)*Table_NFI[[#This Row],[Winter Clothes Adult]],Table_NFI[Winter Clothes Adult])</f>
        <v>0</v>
      </c>
      <c r="AJ686" s="294">
        <f>IF(NFI_Expiration=1,IF($A686&lt;VLOOKUP(S$5,NFI,5,0),1,0)*Table_NFI[[#This Row],[Winter Clothes Children]],Table_NFI[Winter Clothes Children])</f>
        <v>0</v>
      </c>
      <c r="AK686" s="294">
        <f>IF(NFI_Expiration=1,IF($A686&lt;VLOOKUP(T$5,NFI,5,0),1,0)*Table_NFI[[#This Row],[Winter Items Other]],Table_NFI[Winter Items Other])</f>
        <v>0</v>
      </c>
      <c r="AL686" s="294">
        <f>IF(NFI_Expiration=1,IF($A686&lt;VLOOKUP(M$5,NFI,5,0),1,0)*Table_NFI[[#This Row],[Winter Blanket]],Table_NFI[[#This Row],[Winter Blanket]])</f>
        <v>0</v>
      </c>
      <c r="AM686" s="294">
        <f>IF(Table_NFI[[#This Row],[Winter Clothes Adult]]+Table_NFI[[#This Row],[Winter Clothes Children]]+Table_NFI[[#This Row],[Winter Items Other]]+Table_NFI[[#This Row],[Winter Blanket]]&gt;0,1,0)</f>
        <v>0</v>
      </c>
      <c r="AN686" s="331">
        <f>IF(NFI_Expiration=1,IF($A686&lt;VLOOKUP(V$5,NFI,5,0),1,0)*Table_NFI[[#This Row],[Jerry Can]],Table_NFI[Jerry Can])</f>
        <v>0</v>
      </c>
      <c r="AO686" s="331">
        <f>IF(NFI_Expiration=1,IF($A686&lt;VLOOKUP(V$5,NFI,5,0),1,0)*Table_NFI[[#This Row],[Shelter Tool kit]],Table_NFI[Shelter Tool kit])</f>
        <v>0</v>
      </c>
      <c r="AP686" s="331">
        <f>IF(NFI_Expiration=1,IF($A686&lt;VLOOKUP(V$5,NFI,5,0),1,0)*Table_NFI[[#This Row],[Tent]],Table_NFI[Tent])</f>
        <v>0</v>
      </c>
      <c r="AQ686" s="473" t="str">
        <f>IFERROR(VLOOKUP(Table_NFI[[#This Row],[Camp Name]],CL,2,0),"")</f>
        <v>MMR001CMP160</v>
      </c>
      <c r="AR686" s="468">
        <f ca="1">IF(Table_NFI[[#This Row],[Pcode]]="","",IF(OFFSET(CampList[Opening Date],MATCH(Table_NFI[[#This Row],[Pcode]],CampList[CP_Pcode],0)-1,0,1,1)&gt;=NFI_Monitor_Date,1,0))</f>
        <v>0</v>
      </c>
      <c r="AS686" s="473" t="str">
        <f>IFERROR(VLOOKUP(Table_NFI[[#This Row],[Camp Name]],CL,3,0),"")</f>
        <v>Open</v>
      </c>
      <c r="AT686" s="294" t="str">
        <f ca="1">IF(Table_NFI[[#This Row],[Pcode]]="","",OFFSET(CampList[Priority],MATCH(Table_NFI[[#This Row],[Pcode]],CampList[CP_Pcode],0)-1,0,1,1))</f>
        <v>P1</v>
      </c>
      <c r="AU686" s="293">
        <f>IFERROR(Table_NFI[[#This Row],[Kitchen Set]]/VLOOKUP(Table_NFI[[#This Row],[Camp Name]],CL,4,0),"")</f>
        <v>0</v>
      </c>
      <c r="AV686" s="466" t="s">
        <v>1092</v>
      </c>
      <c r="AW686" s="469"/>
    </row>
    <row r="687" spans="1:49" ht="14.45" customHeight="1" x14ac:dyDescent="0.25">
      <c r="A687" s="297">
        <f t="shared" si="10"/>
        <v>42.4</v>
      </c>
      <c r="B687" s="465">
        <v>41403</v>
      </c>
      <c r="C687" s="466" t="s">
        <v>901</v>
      </c>
      <c r="D687" s="467" t="s">
        <v>506</v>
      </c>
      <c r="E687" s="466" t="s">
        <v>380</v>
      </c>
      <c r="F687" s="290" t="s">
        <v>237</v>
      </c>
      <c r="G687" s="290" t="s">
        <v>255</v>
      </c>
      <c r="H687" s="291">
        <v>460</v>
      </c>
      <c r="I687" s="291"/>
      <c r="J687" s="291"/>
      <c r="K687" s="291"/>
      <c r="L687" s="292"/>
      <c r="M687" s="292"/>
      <c r="N687" s="292"/>
      <c r="O687" s="292"/>
      <c r="P687" s="294"/>
      <c r="Q687" s="294"/>
      <c r="R687" s="294"/>
      <c r="S687" s="294"/>
      <c r="T687" s="294"/>
      <c r="U687" s="294"/>
      <c r="V687" s="431"/>
      <c r="W687" s="294"/>
      <c r="X687" s="294"/>
      <c r="Y687" s="294">
        <f>IF(NFI_Expiration=1,IF($A687&lt;VLOOKUP(H$5,NFI,5,0),1,0)*Table_NFI[[#This Row],[Hygiene Kit]],Table_NFI[Hygiene Kit])</f>
        <v>0</v>
      </c>
      <c r="Z687" s="294">
        <f>IF(NFI_Expiration=1,IF($A687&lt;VLOOKUP(I$5,NFI,5,0),1,0)*Table_NFI[[#This Row],[NFI Core Kit]],Table_NFI[NFI Core Kit])</f>
        <v>0</v>
      </c>
      <c r="AA687" s="294">
        <f>IF(NFI_Expiration=1,IF($A687&lt;VLOOKUP(J$5,NFI,5,0),1,0)*Table_NFI[[#This Row],[Sanitary Kit]],Table_NFI[Sanitary Kit])</f>
        <v>0</v>
      </c>
      <c r="AB687" s="294">
        <f>IF(NFI_Expiration=1,IF($A687&lt;VLOOKUP(K$5,NFI,5,0),1,0)*Table_NFI[[#This Row],[Mosquito net]],Table_NFI[Mosquito net])</f>
        <v>0</v>
      </c>
      <c r="AC687" s="294">
        <f>IF(NFI_Expiration=1,IF($A687&lt;VLOOKUP(L$5,NFI,5,0),1,0)*Table_NFI[[#This Row],[Tarpaulin]],Table_NFI[[#This Row],[Tarpaulin]])</f>
        <v>0</v>
      </c>
      <c r="AD687" s="294">
        <f>IF(NFI_Expiration=1,IF($A687&lt;VLOOKUP(M$5,NFI,5,0),1,0)*Table_NFI[[#This Row],[Blanket]],Table_NFI[[#This Row],[Blanket]])</f>
        <v>0</v>
      </c>
      <c r="AE687" s="294">
        <f>IF(NFI_Expiration=1,IF($A687&lt;VLOOKUP(N$5,NFI,5,0),1,0)*Table_NFI[[#This Row],[Kitchen Set]],Table_NFI[Kitchen Set])</f>
        <v>0</v>
      </c>
      <c r="AF687" s="294">
        <f>IF(NFI_Expiration=1,IF($A687&lt;VLOOKUP(O$5,NFI,5,0),1,0)*Table_NFI[[#This Row],[Clothes Kit]],Table_NFI[Clothes Kit])</f>
        <v>0</v>
      </c>
      <c r="AG687" s="294">
        <f>IF(NFI_Expiration=1,IF($A687&lt;VLOOKUP(P$5,NFI,5,0),1,0)*Table_NFI[[#This Row],[Plastic Bucket]],Table_NFI[Plastic Bucket])</f>
        <v>0</v>
      </c>
      <c r="AH687" s="294">
        <f>IF(NFI_Expiration=1,IF($A687&lt;VLOOKUP(Q$5,NFI,5,0),1,0)*Table_NFI[[#This Row],[Plastic Mat]],Table_NFI[Plastic Mat])*IF(Table_NFI[[#This Row],[Distribution Date]]&gt;"2014-04-01",1,2.5)</f>
        <v>0</v>
      </c>
      <c r="AI687" s="294">
        <f>IF(NFI_Expiration=1,IF($A687&lt;VLOOKUP(R$5,NFI,5,0),1,0)*Table_NFI[[#This Row],[Winter Clothes Adult]],Table_NFI[Winter Clothes Adult])</f>
        <v>0</v>
      </c>
      <c r="AJ687" s="294">
        <f>IF(NFI_Expiration=1,IF($A687&lt;VLOOKUP(S$5,NFI,5,0),1,0)*Table_NFI[[#This Row],[Winter Clothes Children]],Table_NFI[Winter Clothes Children])</f>
        <v>0</v>
      </c>
      <c r="AK687" s="294">
        <f>IF(NFI_Expiration=1,IF($A687&lt;VLOOKUP(T$5,NFI,5,0),1,0)*Table_NFI[[#This Row],[Winter Items Other]],Table_NFI[Winter Items Other])</f>
        <v>0</v>
      </c>
      <c r="AL687" s="294">
        <f>IF(NFI_Expiration=1,IF($A687&lt;VLOOKUP(M$5,NFI,5,0),1,0)*Table_NFI[[#This Row],[Winter Blanket]],Table_NFI[[#This Row],[Winter Blanket]])</f>
        <v>0</v>
      </c>
      <c r="AM687" s="294">
        <f>IF(Table_NFI[[#This Row],[Winter Clothes Adult]]+Table_NFI[[#This Row],[Winter Clothes Children]]+Table_NFI[[#This Row],[Winter Items Other]]+Table_NFI[[#This Row],[Winter Blanket]]&gt;0,1,0)</f>
        <v>0</v>
      </c>
      <c r="AN687" s="331">
        <f>IF(NFI_Expiration=1,IF($A687&lt;VLOOKUP(V$5,NFI,5,0),1,0)*Table_NFI[[#This Row],[Jerry Can]],Table_NFI[Jerry Can])</f>
        <v>0</v>
      </c>
      <c r="AO687" s="331">
        <f>IF(NFI_Expiration=1,IF($A687&lt;VLOOKUP(V$5,NFI,5,0),1,0)*Table_NFI[[#This Row],[Shelter Tool kit]],Table_NFI[Shelter Tool kit])</f>
        <v>0</v>
      </c>
      <c r="AP687" s="331">
        <f>IF(NFI_Expiration=1,IF($A687&lt;VLOOKUP(V$5,NFI,5,0),1,0)*Table_NFI[[#This Row],[Tent]],Table_NFI[Tent])</f>
        <v>0</v>
      </c>
      <c r="AQ687" s="473" t="str">
        <f>IFERROR(VLOOKUP(Table_NFI[[#This Row],[Camp Name]],CL,2,0),"")</f>
        <v>MMR001CMP019</v>
      </c>
      <c r="AR687" s="468">
        <f ca="1">IF(Table_NFI[[#This Row],[Pcode]]="","",IF(OFFSET(CampList[Opening Date],MATCH(Table_NFI[[#This Row],[Pcode]],CampList[CP_Pcode],0)-1,0,1,1)&gt;=NFI_Monitor_Date,1,0))</f>
        <v>0</v>
      </c>
      <c r="AS687" s="473" t="str">
        <f>IFERROR(VLOOKUP(Table_NFI[[#This Row],[Camp Name]],CL,3,0),"")</f>
        <v>Open</v>
      </c>
      <c r="AT687" s="294" t="str">
        <f ca="1">IF(Table_NFI[[#This Row],[Pcode]]="","",OFFSET(CampList[Priority],MATCH(Table_NFI[[#This Row],[Pcode]],CampList[CP_Pcode],0)-1,0,1,1))</f>
        <v>P4</v>
      </c>
      <c r="AU687" s="293">
        <f>IFERROR(Table_NFI[[#This Row],[Kitchen Set]]/VLOOKUP(Table_NFI[[#This Row],[Camp Name]],CL,4,0),"")</f>
        <v>0</v>
      </c>
      <c r="AV687" s="466" t="s">
        <v>1092</v>
      </c>
      <c r="AW687" s="469"/>
    </row>
    <row r="688" spans="1:49" ht="14.45" customHeight="1" x14ac:dyDescent="0.25">
      <c r="A688" s="297">
        <f t="shared" si="10"/>
        <v>42.4</v>
      </c>
      <c r="B688" s="465">
        <v>41403</v>
      </c>
      <c r="C688" s="466" t="s">
        <v>901</v>
      </c>
      <c r="D688" s="466" t="s">
        <v>506</v>
      </c>
      <c r="E688" s="466" t="s">
        <v>380</v>
      </c>
      <c r="F688" s="290" t="s">
        <v>237</v>
      </c>
      <c r="G688" s="290" t="s">
        <v>271</v>
      </c>
      <c r="H688" s="291">
        <v>324</v>
      </c>
      <c r="I688" s="291"/>
      <c r="J688" s="291"/>
      <c r="K688" s="291"/>
      <c r="L688" s="292"/>
      <c r="M688" s="292"/>
      <c r="N688" s="292"/>
      <c r="O688" s="292"/>
      <c r="P688" s="294"/>
      <c r="Q688" s="294"/>
      <c r="R688" s="294"/>
      <c r="S688" s="294"/>
      <c r="T688" s="294"/>
      <c r="U688" s="294"/>
      <c r="V688" s="431"/>
      <c r="W688" s="294"/>
      <c r="X688" s="294"/>
      <c r="Y688" s="294">
        <f>IF(NFI_Expiration=1,IF($A688&lt;VLOOKUP(H$5,NFI,5,0),1,0)*Table_NFI[[#This Row],[Hygiene Kit]],Table_NFI[Hygiene Kit])</f>
        <v>0</v>
      </c>
      <c r="Z688" s="294">
        <f>IF(NFI_Expiration=1,IF($A688&lt;VLOOKUP(I$5,NFI,5,0),1,0)*Table_NFI[[#This Row],[NFI Core Kit]],Table_NFI[NFI Core Kit])</f>
        <v>0</v>
      </c>
      <c r="AA688" s="294">
        <f>IF(NFI_Expiration=1,IF($A688&lt;VLOOKUP(J$5,NFI,5,0),1,0)*Table_NFI[[#This Row],[Sanitary Kit]],Table_NFI[Sanitary Kit])</f>
        <v>0</v>
      </c>
      <c r="AB688" s="294">
        <f>IF(NFI_Expiration=1,IF($A688&lt;VLOOKUP(K$5,NFI,5,0),1,0)*Table_NFI[[#This Row],[Mosquito net]],Table_NFI[Mosquito net])</f>
        <v>0</v>
      </c>
      <c r="AC688" s="294">
        <f>IF(NFI_Expiration=1,IF($A688&lt;VLOOKUP(L$5,NFI,5,0),1,0)*Table_NFI[[#This Row],[Tarpaulin]],Table_NFI[[#This Row],[Tarpaulin]])</f>
        <v>0</v>
      </c>
      <c r="AD688" s="294">
        <f>IF(NFI_Expiration=1,IF($A688&lt;VLOOKUP(M$5,NFI,5,0),1,0)*Table_NFI[[#This Row],[Blanket]],Table_NFI[[#This Row],[Blanket]])</f>
        <v>0</v>
      </c>
      <c r="AE688" s="294">
        <f>IF(NFI_Expiration=1,IF($A688&lt;VLOOKUP(N$5,NFI,5,0),1,0)*Table_NFI[[#This Row],[Kitchen Set]],Table_NFI[Kitchen Set])</f>
        <v>0</v>
      </c>
      <c r="AF688" s="294">
        <f>IF(NFI_Expiration=1,IF($A688&lt;VLOOKUP(O$5,NFI,5,0),1,0)*Table_NFI[[#This Row],[Clothes Kit]],Table_NFI[Clothes Kit])</f>
        <v>0</v>
      </c>
      <c r="AG688" s="294">
        <f>IF(NFI_Expiration=1,IF($A688&lt;VLOOKUP(P$5,NFI,5,0),1,0)*Table_NFI[[#This Row],[Plastic Bucket]],Table_NFI[Plastic Bucket])</f>
        <v>0</v>
      </c>
      <c r="AH688" s="294">
        <f>IF(NFI_Expiration=1,IF($A688&lt;VLOOKUP(Q$5,NFI,5,0),1,0)*Table_NFI[[#This Row],[Plastic Mat]],Table_NFI[Plastic Mat])*IF(Table_NFI[[#This Row],[Distribution Date]]&gt;"2014-04-01",1,2.5)</f>
        <v>0</v>
      </c>
      <c r="AI688" s="294">
        <f>IF(NFI_Expiration=1,IF($A688&lt;VLOOKUP(R$5,NFI,5,0),1,0)*Table_NFI[[#This Row],[Winter Clothes Adult]],Table_NFI[Winter Clothes Adult])</f>
        <v>0</v>
      </c>
      <c r="AJ688" s="294">
        <f>IF(NFI_Expiration=1,IF($A688&lt;VLOOKUP(S$5,NFI,5,0),1,0)*Table_NFI[[#This Row],[Winter Clothes Children]],Table_NFI[Winter Clothes Children])</f>
        <v>0</v>
      </c>
      <c r="AK688" s="294">
        <f>IF(NFI_Expiration=1,IF($A688&lt;VLOOKUP(T$5,NFI,5,0),1,0)*Table_NFI[[#This Row],[Winter Items Other]],Table_NFI[Winter Items Other])</f>
        <v>0</v>
      </c>
      <c r="AL688" s="294">
        <f>IF(NFI_Expiration=1,IF($A688&lt;VLOOKUP(M$5,NFI,5,0),1,0)*Table_NFI[[#This Row],[Winter Blanket]],Table_NFI[[#This Row],[Winter Blanket]])</f>
        <v>0</v>
      </c>
      <c r="AM688" s="294">
        <f>IF(Table_NFI[[#This Row],[Winter Clothes Adult]]+Table_NFI[[#This Row],[Winter Clothes Children]]+Table_NFI[[#This Row],[Winter Items Other]]+Table_NFI[[#This Row],[Winter Blanket]]&gt;0,1,0)</f>
        <v>0</v>
      </c>
      <c r="AN688" s="331">
        <f>IF(NFI_Expiration=1,IF($A688&lt;VLOOKUP(V$5,NFI,5,0),1,0)*Table_NFI[[#This Row],[Jerry Can]],Table_NFI[Jerry Can])</f>
        <v>0</v>
      </c>
      <c r="AO688" s="331">
        <f>IF(NFI_Expiration=1,IF($A688&lt;VLOOKUP(V$5,NFI,5,0),1,0)*Table_NFI[[#This Row],[Shelter Tool kit]],Table_NFI[Shelter Tool kit])</f>
        <v>0</v>
      </c>
      <c r="AP688" s="331">
        <f>IF(NFI_Expiration=1,IF($A688&lt;VLOOKUP(V$5,NFI,5,0),1,0)*Table_NFI[[#This Row],[Tent]],Table_NFI[Tent])</f>
        <v>0</v>
      </c>
      <c r="AQ688" s="473" t="str">
        <f>IFERROR(VLOOKUP(Table_NFI[[#This Row],[Camp Name]],CL,2,0),"")</f>
        <v>MMR001CMP024</v>
      </c>
      <c r="AR688" s="468">
        <f ca="1">IF(Table_NFI[[#This Row],[Pcode]]="","",IF(OFFSET(CampList[Opening Date],MATCH(Table_NFI[[#This Row],[Pcode]],CampList[CP_Pcode],0)-1,0,1,1)&gt;=NFI_Monitor_Date,1,0))</f>
        <v>0</v>
      </c>
      <c r="AS688" s="473" t="str">
        <f>IFERROR(VLOOKUP(Table_NFI[[#This Row],[Camp Name]],CL,3,0),"")</f>
        <v>Open</v>
      </c>
      <c r="AT688" s="294" t="str">
        <f ca="1">IF(Table_NFI[[#This Row],[Pcode]]="","",OFFSET(CampList[Priority],MATCH(Table_NFI[[#This Row],[Pcode]],CampList[CP_Pcode],0)-1,0,1,1))</f>
        <v>P4</v>
      </c>
      <c r="AU688" s="293">
        <f>IFERROR(Table_NFI[[#This Row],[Kitchen Set]]/VLOOKUP(Table_NFI[[#This Row],[Camp Name]],CL,4,0),"")</f>
        <v>0</v>
      </c>
      <c r="AV688" s="466" t="s">
        <v>1092</v>
      </c>
      <c r="AW688" s="469"/>
    </row>
    <row r="689" spans="1:49" ht="14.45" customHeight="1" x14ac:dyDescent="0.25">
      <c r="A689" s="297">
        <f t="shared" si="10"/>
        <v>42.43333333333333</v>
      </c>
      <c r="B689" s="465">
        <v>41402</v>
      </c>
      <c r="C689" s="466" t="s">
        <v>901</v>
      </c>
      <c r="D689" s="467" t="s">
        <v>506</v>
      </c>
      <c r="E689" s="466" t="s">
        <v>380</v>
      </c>
      <c r="F689" s="290" t="s">
        <v>310</v>
      </c>
      <c r="G689" s="290" t="s">
        <v>330</v>
      </c>
      <c r="H689" s="291">
        <v>1062</v>
      </c>
      <c r="I689" s="291"/>
      <c r="J689" s="291"/>
      <c r="K689" s="291"/>
      <c r="L689" s="292"/>
      <c r="M689" s="292"/>
      <c r="N689" s="292"/>
      <c r="O689" s="292"/>
      <c r="P689" s="294"/>
      <c r="Q689" s="294"/>
      <c r="R689" s="294"/>
      <c r="S689" s="294"/>
      <c r="T689" s="294"/>
      <c r="U689" s="294"/>
      <c r="V689" s="431"/>
      <c r="W689" s="294"/>
      <c r="X689" s="294"/>
      <c r="Y689" s="294">
        <f>IF(NFI_Expiration=1,IF($A689&lt;VLOOKUP(H$5,NFI,5,0),1,0)*Table_NFI[[#This Row],[Hygiene Kit]],Table_NFI[Hygiene Kit])</f>
        <v>0</v>
      </c>
      <c r="Z689" s="294">
        <f>IF(NFI_Expiration=1,IF($A689&lt;VLOOKUP(I$5,NFI,5,0),1,0)*Table_NFI[[#This Row],[NFI Core Kit]],Table_NFI[NFI Core Kit])</f>
        <v>0</v>
      </c>
      <c r="AA689" s="294">
        <f>IF(NFI_Expiration=1,IF($A689&lt;VLOOKUP(J$5,NFI,5,0),1,0)*Table_NFI[[#This Row],[Sanitary Kit]],Table_NFI[Sanitary Kit])</f>
        <v>0</v>
      </c>
      <c r="AB689" s="294">
        <f>IF(NFI_Expiration=1,IF($A689&lt;VLOOKUP(K$5,NFI,5,0),1,0)*Table_NFI[[#This Row],[Mosquito net]],Table_NFI[Mosquito net])</f>
        <v>0</v>
      </c>
      <c r="AC689" s="294">
        <f>IF(NFI_Expiration=1,IF($A689&lt;VLOOKUP(L$5,NFI,5,0),1,0)*Table_NFI[[#This Row],[Tarpaulin]],Table_NFI[[#This Row],[Tarpaulin]])</f>
        <v>0</v>
      </c>
      <c r="AD689" s="294">
        <f>IF(NFI_Expiration=1,IF($A689&lt;VLOOKUP(M$5,NFI,5,0),1,0)*Table_NFI[[#This Row],[Blanket]],Table_NFI[[#This Row],[Blanket]])</f>
        <v>0</v>
      </c>
      <c r="AE689" s="294">
        <f>IF(NFI_Expiration=1,IF($A689&lt;VLOOKUP(N$5,NFI,5,0),1,0)*Table_NFI[[#This Row],[Kitchen Set]],Table_NFI[Kitchen Set])</f>
        <v>0</v>
      </c>
      <c r="AF689" s="294">
        <f>IF(NFI_Expiration=1,IF($A689&lt;VLOOKUP(O$5,NFI,5,0),1,0)*Table_NFI[[#This Row],[Clothes Kit]],Table_NFI[Clothes Kit])</f>
        <v>0</v>
      </c>
      <c r="AG689" s="294">
        <f>IF(NFI_Expiration=1,IF($A689&lt;VLOOKUP(P$5,NFI,5,0),1,0)*Table_NFI[[#This Row],[Plastic Bucket]],Table_NFI[Plastic Bucket])</f>
        <v>0</v>
      </c>
      <c r="AH689" s="294">
        <f>IF(NFI_Expiration=1,IF($A689&lt;VLOOKUP(Q$5,NFI,5,0),1,0)*Table_NFI[[#This Row],[Plastic Mat]],Table_NFI[Plastic Mat])*IF(Table_NFI[[#This Row],[Distribution Date]]&gt;"2014-04-01",1,2.5)</f>
        <v>0</v>
      </c>
      <c r="AI689" s="294">
        <f>IF(NFI_Expiration=1,IF($A689&lt;VLOOKUP(R$5,NFI,5,0),1,0)*Table_NFI[[#This Row],[Winter Clothes Adult]],Table_NFI[Winter Clothes Adult])</f>
        <v>0</v>
      </c>
      <c r="AJ689" s="294">
        <f>IF(NFI_Expiration=1,IF($A689&lt;VLOOKUP(S$5,NFI,5,0),1,0)*Table_NFI[[#This Row],[Winter Clothes Children]],Table_NFI[Winter Clothes Children])</f>
        <v>0</v>
      </c>
      <c r="AK689" s="294">
        <f>IF(NFI_Expiration=1,IF($A689&lt;VLOOKUP(T$5,NFI,5,0),1,0)*Table_NFI[[#This Row],[Winter Items Other]],Table_NFI[Winter Items Other])</f>
        <v>0</v>
      </c>
      <c r="AL689" s="294">
        <f>IF(NFI_Expiration=1,IF($A689&lt;VLOOKUP(M$5,NFI,5,0),1,0)*Table_NFI[[#This Row],[Winter Blanket]],Table_NFI[[#This Row],[Winter Blanket]])</f>
        <v>0</v>
      </c>
      <c r="AM689" s="294">
        <f>IF(Table_NFI[[#This Row],[Winter Clothes Adult]]+Table_NFI[[#This Row],[Winter Clothes Children]]+Table_NFI[[#This Row],[Winter Items Other]]+Table_NFI[[#This Row],[Winter Blanket]]&gt;0,1,0)</f>
        <v>0</v>
      </c>
      <c r="AN689" s="331">
        <f>IF(NFI_Expiration=1,IF($A689&lt;VLOOKUP(V$5,NFI,5,0),1,0)*Table_NFI[[#This Row],[Jerry Can]],Table_NFI[Jerry Can])</f>
        <v>0</v>
      </c>
      <c r="AO689" s="331">
        <f>IF(NFI_Expiration=1,IF($A689&lt;VLOOKUP(V$5,NFI,5,0),1,0)*Table_NFI[[#This Row],[Shelter Tool kit]],Table_NFI[Shelter Tool kit])</f>
        <v>0</v>
      </c>
      <c r="AP689" s="331">
        <f>IF(NFI_Expiration=1,IF($A689&lt;VLOOKUP(V$5,NFI,5,0),1,0)*Table_NFI[[#This Row],[Tent]],Table_NFI[Tent])</f>
        <v>0</v>
      </c>
      <c r="AQ689" s="473" t="str">
        <f>IFERROR(VLOOKUP(Table_NFI[[#This Row],[Camp Name]],CL,2,0),"")</f>
        <v>MMR001CMP029</v>
      </c>
      <c r="AR689" s="468">
        <f ca="1">IF(Table_NFI[[#This Row],[Pcode]]="","",IF(OFFSET(CampList[Opening Date],MATCH(Table_NFI[[#This Row],[Pcode]],CampList[CP_Pcode],0)-1,0,1,1)&gt;=NFI_Monitor_Date,1,0))</f>
        <v>0</v>
      </c>
      <c r="AS689" s="473" t="str">
        <f>IFERROR(VLOOKUP(Table_NFI[[#This Row],[Camp Name]],CL,3,0),"")</f>
        <v>Open</v>
      </c>
      <c r="AT689" s="294" t="str">
        <f ca="1">IF(Table_NFI[[#This Row],[Pcode]]="","",OFFSET(CampList[Priority],MATCH(Table_NFI[[#This Row],[Pcode]],CampList[CP_Pcode],0)-1,0,1,1))</f>
        <v>P4</v>
      </c>
      <c r="AU689" s="293">
        <f>IFERROR(Table_NFI[[#This Row],[Kitchen Set]]/VLOOKUP(Table_NFI[[#This Row],[Camp Name]],CL,4,0),"")</f>
        <v>0</v>
      </c>
      <c r="AV689" s="466" t="s">
        <v>1092</v>
      </c>
      <c r="AW689" s="469"/>
    </row>
    <row r="690" spans="1:49" x14ac:dyDescent="0.25">
      <c r="A690" s="297">
        <f t="shared" si="10"/>
        <v>42.466666666666669</v>
      </c>
      <c r="B690" s="465">
        <v>41401</v>
      </c>
      <c r="C690" s="466" t="s">
        <v>901</v>
      </c>
      <c r="D690" s="467" t="s">
        <v>506</v>
      </c>
      <c r="E690" s="466" t="s">
        <v>380</v>
      </c>
      <c r="F690" s="290" t="s">
        <v>237</v>
      </c>
      <c r="G690" s="290" t="s">
        <v>273</v>
      </c>
      <c r="H690" s="291">
        <v>149</v>
      </c>
      <c r="I690" s="291"/>
      <c r="J690" s="291"/>
      <c r="K690" s="291"/>
      <c r="L690" s="292"/>
      <c r="M690" s="292"/>
      <c r="N690" s="292"/>
      <c r="O690" s="292"/>
      <c r="P690" s="294"/>
      <c r="Q690" s="294"/>
      <c r="R690" s="294"/>
      <c r="S690" s="294"/>
      <c r="T690" s="294"/>
      <c r="U690" s="294"/>
      <c r="V690" s="431"/>
      <c r="W690" s="294"/>
      <c r="X690" s="294"/>
      <c r="Y690" s="294">
        <f>IF(NFI_Expiration=1,IF($A690&lt;VLOOKUP(H$5,NFI,5,0),1,0)*Table_NFI[[#This Row],[Hygiene Kit]],Table_NFI[Hygiene Kit])</f>
        <v>0</v>
      </c>
      <c r="Z690" s="294">
        <f>IF(NFI_Expiration=1,IF($A690&lt;VLOOKUP(I$5,NFI,5,0),1,0)*Table_NFI[[#This Row],[NFI Core Kit]],Table_NFI[NFI Core Kit])</f>
        <v>0</v>
      </c>
      <c r="AA690" s="294">
        <f>IF(NFI_Expiration=1,IF($A690&lt;VLOOKUP(J$5,NFI,5,0),1,0)*Table_NFI[[#This Row],[Sanitary Kit]],Table_NFI[Sanitary Kit])</f>
        <v>0</v>
      </c>
      <c r="AB690" s="294">
        <f>IF(NFI_Expiration=1,IF($A690&lt;VLOOKUP(K$5,NFI,5,0),1,0)*Table_NFI[[#This Row],[Mosquito net]],Table_NFI[Mosquito net])</f>
        <v>0</v>
      </c>
      <c r="AC690" s="294">
        <f>IF(NFI_Expiration=1,IF($A690&lt;VLOOKUP(L$5,NFI,5,0),1,0)*Table_NFI[[#This Row],[Tarpaulin]],Table_NFI[[#This Row],[Tarpaulin]])</f>
        <v>0</v>
      </c>
      <c r="AD690" s="294">
        <f>IF(NFI_Expiration=1,IF($A690&lt;VLOOKUP(M$5,NFI,5,0),1,0)*Table_NFI[[#This Row],[Blanket]],Table_NFI[[#This Row],[Blanket]])</f>
        <v>0</v>
      </c>
      <c r="AE690" s="294">
        <f>IF(NFI_Expiration=1,IF($A690&lt;VLOOKUP(N$5,NFI,5,0),1,0)*Table_NFI[[#This Row],[Kitchen Set]],Table_NFI[Kitchen Set])</f>
        <v>0</v>
      </c>
      <c r="AF690" s="294">
        <f>IF(NFI_Expiration=1,IF($A690&lt;VLOOKUP(O$5,NFI,5,0),1,0)*Table_NFI[[#This Row],[Clothes Kit]],Table_NFI[Clothes Kit])</f>
        <v>0</v>
      </c>
      <c r="AG690" s="294">
        <f>IF(NFI_Expiration=1,IF($A690&lt;VLOOKUP(P$5,NFI,5,0),1,0)*Table_NFI[[#This Row],[Plastic Bucket]],Table_NFI[Plastic Bucket])</f>
        <v>0</v>
      </c>
      <c r="AH690" s="294">
        <f>IF(NFI_Expiration=1,IF($A690&lt;VLOOKUP(Q$5,NFI,5,0),1,0)*Table_NFI[[#This Row],[Plastic Mat]],Table_NFI[Plastic Mat])*IF(Table_NFI[[#This Row],[Distribution Date]]&gt;"2014-04-01",1,2.5)</f>
        <v>0</v>
      </c>
      <c r="AI690" s="294">
        <f>IF(NFI_Expiration=1,IF($A690&lt;VLOOKUP(R$5,NFI,5,0),1,0)*Table_NFI[[#This Row],[Winter Clothes Adult]],Table_NFI[Winter Clothes Adult])</f>
        <v>0</v>
      </c>
      <c r="AJ690" s="294">
        <f>IF(NFI_Expiration=1,IF($A690&lt;VLOOKUP(S$5,NFI,5,0),1,0)*Table_NFI[[#This Row],[Winter Clothes Children]],Table_NFI[Winter Clothes Children])</f>
        <v>0</v>
      </c>
      <c r="AK690" s="294">
        <f>IF(NFI_Expiration=1,IF($A690&lt;VLOOKUP(T$5,NFI,5,0),1,0)*Table_NFI[[#This Row],[Winter Items Other]],Table_NFI[Winter Items Other])</f>
        <v>0</v>
      </c>
      <c r="AL690" s="294">
        <f>IF(NFI_Expiration=1,IF($A690&lt;VLOOKUP(M$5,NFI,5,0),1,0)*Table_NFI[[#This Row],[Winter Blanket]],Table_NFI[[#This Row],[Winter Blanket]])</f>
        <v>0</v>
      </c>
      <c r="AM690" s="294">
        <f>IF(Table_NFI[[#This Row],[Winter Clothes Adult]]+Table_NFI[[#This Row],[Winter Clothes Children]]+Table_NFI[[#This Row],[Winter Items Other]]+Table_NFI[[#This Row],[Winter Blanket]]&gt;0,1,0)</f>
        <v>0</v>
      </c>
      <c r="AN690" s="331">
        <f>IF(NFI_Expiration=1,IF($A690&lt;VLOOKUP(V$5,NFI,5,0),1,0)*Table_NFI[[#This Row],[Jerry Can]],Table_NFI[Jerry Can])</f>
        <v>0</v>
      </c>
      <c r="AO690" s="331">
        <f>IF(NFI_Expiration=1,IF($A690&lt;VLOOKUP(V$5,NFI,5,0),1,0)*Table_NFI[[#This Row],[Shelter Tool kit]],Table_NFI[Shelter Tool kit])</f>
        <v>0</v>
      </c>
      <c r="AP690" s="331">
        <f>IF(NFI_Expiration=1,IF($A690&lt;VLOOKUP(V$5,NFI,5,0),1,0)*Table_NFI[[#This Row],[Tent]],Table_NFI[Tent])</f>
        <v>0</v>
      </c>
      <c r="AQ690" s="473" t="str">
        <f>IFERROR(VLOOKUP(Table_NFI[[#This Row],[Camp Name]],CL,2,0),"")</f>
        <v>MMR001CMP162</v>
      </c>
      <c r="AR690" s="468">
        <f ca="1">IF(Table_NFI[[#This Row],[Pcode]]="","",IF(OFFSET(CampList[Opening Date],MATCH(Table_NFI[[#This Row],[Pcode]],CampList[CP_Pcode],0)-1,0,1,1)&gt;=NFI_Monitor_Date,1,0))</f>
        <v>0</v>
      </c>
      <c r="AS690" s="473" t="str">
        <f>IFERROR(VLOOKUP(Table_NFI[[#This Row],[Camp Name]],CL,3,0),"")</f>
        <v>Open</v>
      </c>
      <c r="AT690" s="294" t="str">
        <f ca="1">IF(Table_NFI[[#This Row],[Pcode]]="","",OFFSET(CampList[Priority],MATCH(Table_NFI[[#This Row],[Pcode]],CampList[CP_Pcode],0)-1,0,1,1))</f>
        <v>P4</v>
      </c>
      <c r="AU690" s="293">
        <f>IFERROR(Table_NFI[[#This Row],[Kitchen Set]]/VLOOKUP(Table_NFI[[#This Row],[Camp Name]],CL,4,0),"")</f>
        <v>0</v>
      </c>
      <c r="AV690" s="466" t="s">
        <v>1092</v>
      </c>
      <c r="AW690" s="469"/>
    </row>
    <row r="691" spans="1:49" x14ac:dyDescent="0.25">
      <c r="A691" s="297">
        <f t="shared" si="10"/>
        <v>43.6</v>
      </c>
      <c r="B691" s="465">
        <v>41367</v>
      </c>
      <c r="C691" s="466" t="s">
        <v>452</v>
      </c>
      <c r="D691" s="466" t="s">
        <v>452</v>
      </c>
      <c r="E691" s="466" t="s">
        <v>380</v>
      </c>
      <c r="F691" s="290" t="s">
        <v>310</v>
      </c>
      <c r="G691" s="290" t="s">
        <v>328</v>
      </c>
      <c r="H691" s="291"/>
      <c r="I691" s="291"/>
      <c r="J691" s="291">
        <v>15</v>
      </c>
      <c r="K691" s="291">
        <v>22</v>
      </c>
      <c r="L691" s="292">
        <v>11</v>
      </c>
      <c r="M691" s="292">
        <v>22</v>
      </c>
      <c r="N691" s="292">
        <v>11</v>
      </c>
      <c r="O691" s="292">
        <v>11</v>
      </c>
      <c r="P691" s="294">
        <v>11</v>
      </c>
      <c r="Q691" s="294">
        <v>11</v>
      </c>
      <c r="R691" s="294"/>
      <c r="S691" s="294"/>
      <c r="T691" s="294"/>
      <c r="U691" s="294"/>
      <c r="V691" s="431"/>
      <c r="W691" s="294"/>
      <c r="X691" s="294"/>
      <c r="Y691" s="294">
        <f>IF(NFI_Expiration=1,IF($A691&lt;VLOOKUP(H$5,NFI,5,0),1,0)*Table_NFI[[#This Row],[Hygiene Kit]],Table_NFI[Hygiene Kit])</f>
        <v>0</v>
      </c>
      <c r="Z691" s="294">
        <f>IF(NFI_Expiration=1,IF($A691&lt;VLOOKUP(I$5,NFI,5,0),1,0)*Table_NFI[[#This Row],[NFI Core Kit]],Table_NFI[NFI Core Kit])</f>
        <v>0</v>
      </c>
      <c r="AA691" s="294">
        <f>IF(NFI_Expiration=1,IF($A691&lt;VLOOKUP(J$5,NFI,5,0),1,0)*Table_NFI[[#This Row],[Sanitary Kit]],Table_NFI[Sanitary Kit])</f>
        <v>0</v>
      </c>
      <c r="AB691" s="294">
        <f>IF(NFI_Expiration=1,IF($A691&lt;VLOOKUP(K$5,NFI,5,0),1,0)*Table_NFI[[#This Row],[Mosquito net]],Table_NFI[Mosquito net])</f>
        <v>0</v>
      </c>
      <c r="AC691" s="294">
        <f>IF(NFI_Expiration=1,IF($A691&lt;VLOOKUP(L$5,NFI,5,0),1,0)*Table_NFI[[#This Row],[Tarpaulin]],Table_NFI[[#This Row],[Tarpaulin]])</f>
        <v>0</v>
      </c>
      <c r="AD691" s="294">
        <f>IF(NFI_Expiration=1,IF($A691&lt;VLOOKUP(M$5,NFI,5,0),1,0)*Table_NFI[[#This Row],[Blanket]],Table_NFI[[#This Row],[Blanket]])</f>
        <v>0</v>
      </c>
      <c r="AE691" s="294">
        <f>IF(NFI_Expiration=1,IF($A691&lt;VLOOKUP(N$5,NFI,5,0),1,0)*Table_NFI[[#This Row],[Kitchen Set]],Table_NFI[Kitchen Set])</f>
        <v>0</v>
      </c>
      <c r="AF691" s="294">
        <f>IF(NFI_Expiration=1,IF($A691&lt;VLOOKUP(O$5,NFI,5,0),1,0)*Table_NFI[[#This Row],[Clothes Kit]],Table_NFI[Clothes Kit])</f>
        <v>0</v>
      </c>
      <c r="AG691" s="294">
        <f>IF(NFI_Expiration=1,IF($A691&lt;VLOOKUP(P$5,NFI,5,0),1,0)*Table_NFI[[#This Row],[Plastic Bucket]],Table_NFI[Plastic Bucket])</f>
        <v>0</v>
      </c>
      <c r="AH691" s="294">
        <f>IF(NFI_Expiration=1,IF($A691&lt;VLOOKUP(Q$5,NFI,5,0),1,0)*Table_NFI[[#This Row],[Plastic Mat]],Table_NFI[Plastic Mat])*IF(Table_NFI[[#This Row],[Distribution Date]]&gt;"2014-04-01",1,2.5)</f>
        <v>0</v>
      </c>
      <c r="AI691" s="294">
        <f>IF(NFI_Expiration=1,IF($A691&lt;VLOOKUP(R$5,NFI,5,0),1,0)*Table_NFI[[#This Row],[Winter Clothes Adult]],Table_NFI[Winter Clothes Adult])</f>
        <v>0</v>
      </c>
      <c r="AJ691" s="294">
        <f>IF(NFI_Expiration=1,IF($A691&lt;VLOOKUP(S$5,NFI,5,0),1,0)*Table_NFI[[#This Row],[Winter Clothes Children]],Table_NFI[Winter Clothes Children])</f>
        <v>0</v>
      </c>
      <c r="AK691" s="294">
        <f>IF(NFI_Expiration=1,IF($A691&lt;VLOOKUP(T$5,NFI,5,0),1,0)*Table_NFI[[#This Row],[Winter Items Other]],Table_NFI[Winter Items Other])</f>
        <v>0</v>
      </c>
      <c r="AL691" s="294">
        <f>IF(NFI_Expiration=1,IF($A691&lt;VLOOKUP(M$5,NFI,5,0),1,0)*Table_NFI[[#This Row],[Winter Blanket]],Table_NFI[[#This Row],[Winter Blanket]])</f>
        <v>0</v>
      </c>
      <c r="AM691" s="294">
        <f>IF(Table_NFI[[#This Row],[Winter Clothes Adult]]+Table_NFI[[#This Row],[Winter Clothes Children]]+Table_NFI[[#This Row],[Winter Items Other]]+Table_NFI[[#This Row],[Winter Blanket]]&gt;0,1,0)</f>
        <v>0</v>
      </c>
      <c r="AN691" s="331">
        <f>IF(NFI_Expiration=1,IF($A691&lt;VLOOKUP(V$5,NFI,5,0),1,0)*Table_NFI[[#This Row],[Jerry Can]],Table_NFI[Jerry Can])</f>
        <v>0</v>
      </c>
      <c r="AO691" s="331">
        <f>IF(NFI_Expiration=1,IF($A691&lt;VLOOKUP(V$5,NFI,5,0),1,0)*Table_NFI[[#This Row],[Shelter Tool kit]],Table_NFI[Shelter Tool kit])</f>
        <v>0</v>
      </c>
      <c r="AP691" s="331">
        <f>IF(NFI_Expiration=1,IF($A691&lt;VLOOKUP(V$5,NFI,5,0),1,0)*Table_NFI[[#This Row],[Tent]],Table_NFI[Tent])</f>
        <v>0</v>
      </c>
      <c r="AQ691" s="473" t="str">
        <f>IFERROR(VLOOKUP(Table_NFI[[#This Row],[Camp Name]],CL,2,0),"")</f>
        <v>MMR001CMP031</v>
      </c>
      <c r="AR691" s="468">
        <f ca="1">IF(Table_NFI[[#This Row],[Pcode]]="","",IF(OFFSET(CampList[Opening Date],MATCH(Table_NFI[[#This Row],[Pcode]],CampList[CP_Pcode],0)-1,0,1,1)&gt;=NFI_Monitor_Date,1,0))</f>
        <v>0</v>
      </c>
      <c r="AS691" s="473" t="str">
        <f>IFERROR(VLOOKUP(Table_NFI[[#This Row],[Camp Name]],CL,3,0),"")</f>
        <v>Open</v>
      </c>
      <c r="AT691" s="294" t="str">
        <f ca="1">IF(Table_NFI[[#This Row],[Pcode]]="","",OFFSET(CampList[Priority],MATCH(Table_NFI[[#This Row],[Pcode]],CampList[CP_Pcode],0)-1,0,1,1))</f>
        <v>P4</v>
      </c>
      <c r="AU691" s="293">
        <f>IFERROR(Table_NFI[[#This Row],[Kitchen Set]]/VLOOKUP(Table_NFI[[#This Row],[Camp Name]],CL,4,0),"")</f>
        <v>7.3825503355704702E-2</v>
      </c>
      <c r="AV691" s="466" t="s">
        <v>1092</v>
      </c>
      <c r="AW691" s="469"/>
    </row>
    <row r="692" spans="1:49" ht="14.45" customHeight="1" x14ac:dyDescent="0.25">
      <c r="A692" s="297">
        <f t="shared" si="10"/>
        <v>43.6</v>
      </c>
      <c r="B692" s="465">
        <v>41367</v>
      </c>
      <c r="C692" s="466" t="s">
        <v>452</v>
      </c>
      <c r="D692" s="467" t="s">
        <v>452</v>
      </c>
      <c r="E692" s="466" t="s">
        <v>380</v>
      </c>
      <c r="F692" s="290" t="s">
        <v>310</v>
      </c>
      <c r="G692" s="290" t="s">
        <v>316</v>
      </c>
      <c r="H692" s="291"/>
      <c r="I692" s="291"/>
      <c r="J692" s="291">
        <v>4</v>
      </c>
      <c r="K692" s="291">
        <v>7</v>
      </c>
      <c r="L692" s="292">
        <v>3</v>
      </c>
      <c r="M692" s="292">
        <v>7</v>
      </c>
      <c r="N692" s="292">
        <v>3</v>
      </c>
      <c r="O692" s="292">
        <v>3</v>
      </c>
      <c r="P692" s="294">
        <v>3</v>
      </c>
      <c r="Q692" s="294">
        <v>3</v>
      </c>
      <c r="R692" s="294"/>
      <c r="S692" s="294"/>
      <c r="T692" s="294"/>
      <c r="U692" s="294"/>
      <c r="V692" s="431"/>
      <c r="W692" s="294"/>
      <c r="X692" s="294"/>
      <c r="Y692" s="294">
        <f>IF(NFI_Expiration=1,IF($A692&lt;VLOOKUP(H$5,NFI,5,0),1,0)*Table_NFI[[#This Row],[Hygiene Kit]],Table_NFI[Hygiene Kit])</f>
        <v>0</v>
      </c>
      <c r="Z692" s="294">
        <f>IF(NFI_Expiration=1,IF($A692&lt;VLOOKUP(I$5,NFI,5,0),1,0)*Table_NFI[[#This Row],[NFI Core Kit]],Table_NFI[NFI Core Kit])</f>
        <v>0</v>
      </c>
      <c r="AA692" s="294">
        <f>IF(NFI_Expiration=1,IF($A692&lt;VLOOKUP(J$5,NFI,5,0),1,0)*Table_NFI[[#This Row],[Sanitary Kit]],Table_NFI[Sanitary Kit])</f>
        <v>0</v>
      </c>
      <c r="AB692" s="294">
        <f>IF(NFI_Expiration=1,IF($A692&lt;VLOOKUP(K$5,NFI,5,0),1,0)*Table_NFI[[#This Row],[Mosquito net]],Table_NFI[Mosquito net])</f>
        <v>0</v>
      </c>
      <c r="AC692" s="294">
        <f>IF(NFI_Expiration=1,IF($A692&lt;VLOOKUP(L$5,NFI,5,0),1,0)*Table_NFI[[#This Row],[Tarpaulin]],Table_NFI[[#This Row],[Tarpaulin]])</f>
        <v>0</v>
      </c>
      <c r="AD692" s="294">
        <f>IF(NFI_Expiration=1,IF($A692&lt;VLOOKUP(M$5,NFI,5,0),1,0)*Table_NFI[[#This Row],[Blanket]],Table_NFI[[#This Row],[Blanket]])</f>
        <v>0</v>
      </c>
      <c r="AE692" s="294">
        <f>IF(NFI_Expiration=1,IF($A692&lt;VLOOKUP(N$5,NFI,5,0),1,0)*Table_NFI[[#This Row],[Kitchen Set]],Table_NFI[Kitchen Set])</f>
        <v>0</v>
      </c>
      <c r="AF692" s="294">
        <f>IF(NFI_Expiration=1,IF($A692&lt;VLOOKUP(O$5,NFI,5,0),1,0)*Table_NFI[[#This Row],[Clothes Kit]],Table_NFI[Clothes Kit])</f>
        <v>0</v>
      </c>
      <c r="AG692" s="294">
        <f>IF(NFI_Expiration=1,IF($A692&lt;VLOOKUP(P$5,NFI,5,0),1,0)*Table_NFI[[#This Row],[Plastic Bucket]],Table_NFI[Plastic Bucket])</f>
        <v>0</v>
      </c>
      <c r="AH692" s="294">
        <f>IF(NFI_Expiration=1,IF($A692&lt;VLOOKUP(Q$5,NFI,5,0),1,0)*Table_NFI[[#This Row],[Plastic Mat]],Table_NFI[Plastic Mat])*IF(Table_NFI[[#This Row],[Distribution Date]]&gt;"2014-04-01",1,2.5)</f>
        <v>0</v>
      </c>
      <c r="AI692" s="294">
        <f>IF(NFI_Expiration=1,IF($A692&lt;VLOOKUP(R$5,NFI,5,0),1,0)*Table_NFI[[#This Row],[Winter Clothes Adult]],Table_NFI[Winter Clothes Adult])</f>
        <v>0</v>
      </c>
      <c r="AJ692" s="294">
        <f>IF(NFI_Expiration=1,IF($A692&lt;VLOOKUP(S$5,NFI,5,0),1,0)*Table_NFI[[#This Row],[Winter Clothes Children]],Table_NFI[Winter Clothes Children])</f>
        <v>0</v>
      </c>
      <c r="AK692" s="294">
        <f>IF(NFI_Expiration=1,IF($A692&lt;VLOOKUP(T$5,NFI,5,0),1,0)*Table_NFI[[#This Row],[Winter Items Other]],Table_NFI[Winter Items Other])</f>
        <v>0</v>
      </c>
      <c r="AL692" s="294">
        <f>IF(NFI_Expiration=1,IF($A692&lt;VLOOKUP(M$5,NFI,5,0),1,0)*Table_NFI[[#This Row],[Winter Blanket]],Table_NFI[[#This Row],[Winter Blanket]])</f>
        <v>0</v>
      </c>
      <c r="AM692" s="294">
        <f>IF(Table_NFI[[#This Row],[Winter Clothes Adult]]+Table_NFI[[#This Row],[Winter Clothes Children]]+Table_NFI[[#This Row],[Winter Items Other]]+Table_NFI[[#This Row],[Winter Blanket]]&gt;0,1,0)</f>
        <v>0</v>
      </c>
      <c r="AN692" s="331">
        <f>IF(NFI_Expiration=1,IF($A692&lt;VLOOKUP(V$5,NFI,5,0),1,0)*Table_NFI[[#This Row],[Jerry Can]],Table_NFI[Jerry Can])</f>
        <v>0</v>
      </c>
      <c r="AO692" s="331">
        <f>IF(NFI_Expiration=1,IF($A692&lt;VLOOKUP(V$5,NFI,5,0),1,0)*Table_NFI[[#This Row],[Shelter Tool kit]],Table_NFI[Shelter Tool kit])</f>
        <v>0</v>
      </c>
      <c r="AP692" s="331">
        <f>IF(NFI_Expiration=1,IF($A692&lt;VLOOKUP(V$5,NFI,5,0),1,0)*Table_NFI[[#This Row],[Tent]],Table_NFI[Tent])</f>
        <v>0</v>
      </c>
      <c r="AQ692" s="473" t="str">
        <f>IFERROR(VLOOKUP(Table_NFI[[#This Row],[Camp Name]],CL,2,0),"")</f>
        <v>MMR001CMP038</v>
      </c>
      <c r="AR692" s="468">
        <f ca="1">IF(Table_NFI[[#This Row],[Pcode]]="","",IF(OFFSET(CampList[Opening Date],MATCH(Table_NFI[[#This Row],[Pcode]],CampList[CP_Pcode],0)-1,0,1,1)&gt;=NFI_Monitor_Date,1,0))</f>
        <v>0</v>
      </c>
      <c r="AS692" s="473" t="str">
        <f>IFERROR(VLOOKUP(Table_NFI[[#This Row],[Camp Name]],CL,3,0),"")</f>
        <v>Open</v>
      </c>
      <c r="AT692" s="294" t="str">
        <f ca="1">IF(Table_NFI[[#This Row],[Pcode]]="","",OFFSET(CampList[Priority],MATCH(Table_NFI[[#This Row],[Pcode]],CampList[CP_Pcode],0)-1,0,1,1))</f>
        <v>P4</v>
      </c>
      <c r="AU692" s="293">
        <f>IFERROR(Table_NFI[[#This Row],[Kitchen Set]]/VLOOKUP(Table_NFI[[#This Row],[Camp Name]],CL,4,0),"")</f>
        <v>4.2857142857142858E-2</v>
      </c>
      <c r="AV692" s="466" t="s">
        <v>1092</v>
      </c>
      <c r="AW692" s="469"/>
    </row>
    <row r="693" spans="1:49" ht="14.45" customHeight="1" x14ac:dyDescent="0.25">
      <c r="A693" s="297">
        <f t="shared" si="10"/>
        <v>43.766666666666666</v>
      </c>
      <c r="B693" s="465">
        <v>41362</v>
      </c>
      <c r="C693" s="466" t="s">
        <v>900</v>
      </c>
      <c r="D693" s="466" t="s">
        <v>900</v>
      </c>
      <c r="E693" s="466" t="s">
        <v>380</v>
      </c>
      <c r="F693" s="466" t="s">
        <v>808</v>
      </c>
      <c r="G693" s="290" t="s">
        <v>808</v>
      </c>
      <c r="H693" s="291"/>
      <c r="I693" s="291"/>
      <c r="J693" s="291">
        <v>6</v>
      </c>
      <c r="K693" s="291"/>
      <c r="L693" s="292"/>
      <c r="M693" s="292"/>
      <c r="N693" s="292">
        <v>6</v>
      </c>
      <c r="O693" s="292"/>
      <c r="P693" s="294">
        <v>0</v>
      </c>
      <c r="Q693" s="294">
        <v>0</v>
      </c>
      <c r="R693" s="294"/>
      <c r="S693" s="294"/>
      <c r="T693" s="294"/>
      <c r="U693" s="294"/>
      <c r="V693" s="431"/>
      <c r="W693" s="294"/>
      <c r="X693" s="294"/>
      <c r="Y693" s="294">
        <f>IF(NFI_Expiration=1,IF($A693&lt;VLOOKUP(H$5,NFI,5,0),1,0)*Table_NFI[[#This Row],[Hygiene Kit]],Table_NFI[Hygiene Kit])</f>
        <v>0</v>
      </c>
      <c r="Z693" s="294">
        <f>IF(NFI_Expiration=1,IF($A693&lt;VLOOKUP(I$5,NFI,5,0),1,0)*Table_NFI[[#This Row],[NFI Core Kit]],Table_NFI[NFI Core Kit])</f>
        <v>0</v>
      </c>
      <c r="AA693" s="294">
        <f>IF(NFI_Expiration=1,IF($A693&lt;VLOOKUP(J$5,NFI,5,0),1,0)*Table_NFI[[#This Row],[Sanitary Kit]],Table_NFI[Sanitary Kit])</f>
        <v>0</v>
      </c>
      <c r="AB693" s="294">
        <f>IF(NFI_Expiration=1,IF($A693&lt;VLOOKUP(K$5,NFI,5,0),1,0)*Table_NFI[[#This Row],[Mosquito net]],Table_NFI[Mosquito net])</f>
        <v>0</v>
      </c>
      <c r="AC693" s="294">
        <f>IF(NFI_Expiration=1,IF($A693&lt;VLOOKUP(L$5,NFI,5,0),1,0)*Table_NFI[[#This Row],[Tarpaulin]],Table_NFI[[#This Row],[Tarpaulin]])</f>
        <v>0</v>
      </c>
      <c r="AD693" s="294">
        <f>IF(NFI_Expiration=1,IF($A693&lt;VLOOKUP(M$5,NFI,5,0),1,0)*Table_NFI[[#This Row],[Blanket]],Table_NFI[[#This Row],[Blanket]])</f>
        <v>0</v>
      </c>
      <c r="AE693" s="294">
        <f>IF(NFI_Expiration=1,IF($A693&lt;VLOOKUP(N$5,NFI,5,0),1,0)*Table_NFI[[#This Row],[Kitchen Set]],Table_NFI[Kitchen Set])</f>
        <v>0</v>
      </c>
      <c r="AF693" s="294">
        <f>IF(NFI_Expiration=1,IF($A693&lt;VLOOKUP(O$5,NFI,5,0),1,0)*Table_NFI[[#This Row],[Clothes Kit]],Table_NFI[Clothes Kit])</f>
        <v>0</v>
      </c>
      <c r="AG693" s="294">
        <f>IF(NFI_Expiration=1,IF($A693&lt;VLOOKUP(P$5,NFI,5,0),1,0)*Table_NFI[[#This Row],[Plastic Bucket]],Table_NFI[Plastic Bucket])</f>
        <v>0</v>
      </c>
      <c r="AH693" s="294">
        <f>IF(NFI_Expiration=1,IF($A693&lt;VLOOKUP(Q$5,NFI,5,0),1,0)*Table_NFI[[#This Row],[Plastic Mat]],Table_NFI[Plastic Mat])*IF(Table_NFI[[#This Row],[Distribution Date]]&gt;"2014-04-01",1,2.5)</f>
        <v>0</v>
      </c>
      <c r="AI693" s="294">
        <f>IF(NFI_Expiration=1,IF($A693&lt;VLOOKUP(R$5,NFI,5,0),1,0)*Table_NFI[[#This Row],[Winter Clothes Adult]],Table_NFI[Winter Clothes Adult])</f>
        <v>0</v>
      </c>
      <c r="AJ693" s="294">
        <f>IF(NFI_Expiration=1,IF($A693&lt;VLOOKUP(S$5,NFI,5,0),1,0)*Table_NFI[[#This Row],[Winter Clothes Children]],Table_NFI[Winter Clothes Children])</f>
        <v>0</v>
      </c>
      <c r="AK693" s="294">
        <f>IF(NFI_Expiration=1,IF($A693&lt;VLOOKUP(T$5,NFI,5,0),1,0)*Table_NFI[[#This Row],[Winter Items Other]],Table_NFI[Winter Items Other])</f>
        <v>0</v>
      </c>
      <c r="AL693" s="294">
        <f>IF(NFI_Expiration=1,IF($A693&lt;VLOOKUP(M$5,NFI,5,0),1,0)*Table_NFI[[#This Row],[Winter Blanket]],Table_NFI[[#This Row],[Winter Blanket]])</f>
        <v>0</v>
      </c>
      <c r="AM693" s="294">
        <f>IF(Table_NFI[[#This Row],[Winter Clothes Adult]]+Table_NFI[[#This Row],[Winter Clothes Children]]+Table_NFI[[#This Row],[Winter Items Other]]+Table_NFI[[#This Row],[Winter Blanket]]&gt;0,1,0)</f>
        <v>0</v>
      </c>
      <c r="AN693" s="331">
        <f>IF(NFI_Expiration=1,IF($A693&lt;VLOOKUP(V$5,NFI,5,0),1,0)*Table_NFI[[#This Row],[Jerry Can]],Table_NFI[Jerry Can])</f>
        <v>0</v>
      </c>
      <c r="AO693" s="331">
        <f>IF(NFI_Expiration=1,IF($A693&lt;VLOOKUP(V$5,NFI,5,0),1,0)*Table_NFI[[#This Row],[Shelter Tool kit]],Table_NFI[Shelter Tool kit])</f>
        <v>0</v>
      </c>
      <c r="AP693" s="331">
        <f>IF(NFI_Expiration=1,IF($A693&lt;VLOOKUP(V$5,NFI,5,0),1,0)*Table_NFI[[#This Row],[Tent]],Table_NFI[Tent])</f>
        <v>0</v>
      </c>
      <c r="AQ693" s="473" t="str">
        <f>IFERROR(VLOOKUP(Table_NFI[[#This Row],[Camp Name]],CL,2,0),"")</f>
        <v>MMR001CMP206</v>
      </c>
      <c r="AR693" s="468">
        <f ca="1">IF(Table_NFI[[#This Row],[Pcode]]="","",IF(OFFSET(CampList[Opening Date],MATCH(Table_NFI[[#This Row],[Pcode]],CampList[CP_Pcode],0)-1,0,1,1)&gt;=NFI_Monitor_Date,1,0))</f>
        <v>0</v>
      </c>
      <c r="AS693" s="473" t="str">
        <f>IFERROR(VLOOKUP(Table_NFI[[#This Row],[Camp Name]],CL,3,0),"")</f>
        <v>Open</v>
      </c>
      <c r="AT693" s="294" t="str">
        <f ca="1">IF(Table_NFI[[#This Row],[Pcode]]="","",OFFSET(CampList[Priority],MATCH(Table_NFI[[#This Row],[Pcode]],CampList[CP_Pcode],0)-1,0,1,1))</f>
        <v>P4</v>
      </c>
      <c r="AU693" s="293">
        <f>IFERROR(Table_NFI[[#This Row],[Kitchen Set]]/VLOOKUP(Table_NFI[[#This Row],[Camp Name]],CL,4,0),"")</f>
        <v>1.2</v>
      </c>
      <c r="AV693" s="466" t="s">
        <v>1092</v>
      </c>
      <c r="AW693" s="469"/>
    </row>
    <row r="694" spans="1:49" ht="14.45" customHeight="1" x14ac:dyDescent="0.25">
      <c r="A694" s="297">
        <f t="shared" si="10"/>
        <v>44.033333333333331</v>
      </c>
      <c r="B694" s="465">
        <v>41354</v>
      </c>
      <c r="C694" s="466" t="s">
        <v>452</v>
      </c>
      <c r="D694" s="467" t="s">
        <v>452</v>
      </c>
      <c r="E694" s="466" t="s">
        <v>380</v>
      </c>
      <c r="F694" s="290" t="s">
        <v>527</v>
      </c>
      <c r="G694" s="290" t="s">
        <v>90</v>
      </c>
      <c r="H694" s="291"/>
      <c r="I694" s="291"/>
      <c r="J694" s="291">
        <v>34</v>
      </c>
      <c r="K694" s="291">
        <v>40</v>
      </c>
      <c r="L694" s="292">
        <v>40</v>
      </c>
      <c r="M694" s="292">
        <v>75</v>
      </c>
      <c r="N694" s="292">
        <v>40</v>
      </c>
      <c r="O694" s="292">
        <v>75</v>
      </c>
      <c r="P694" s="294">
        <v>75</v>
      </c>
      <c r="Q694" s="294">
        <v>75</v>
      </c>
      <c r="R694" s="294"/>
      <c r="S694" s="294"/>
      <c r="T694" s="294"/>
      <c r="U694" s="294"/>
      <c r="V694" s="431"/>
      <c r="W694" s="294"/>
      <c r="X694" s="294"/>
      <c r="Y694" s="294">
        <f>IF(NFI_Expiration=1,IF($A694&lt;VLOOKUP(H$5,NFI,5,0),1,0)*Table_NFI[[#This Row],[Hygiene Kit]],Table_NFI[Hygiene Kit])</f>
        <v>0</v>
      </c>
      <c r="Z694" s="294">
        <f>IF(NFI_Expiration=1,IF($A694&lt;VLOOKUP(I$5,NFI,5,0),1,0)*Table_NFI[[#This Row],[NFI Core Kit]],Table_NFI[NFI Core Kit])</f>
        <v>0</v>
      </c>
      <c r="AA694" s="294">
        <f>IF(NFI_Expiration=1,IF($A694&lt;VLOOKUP(J$5,NFI,5,0),1,0)*Table_NFI[[#This Row],[Sanitary Kit]],Table_NFI[Sanitary Kit])</f>
        <v>0</v>
      </c>
      <c r="AB694" s="294">
        <f>IF(NFI_Expiration=1,IF($A694&lt;VLOOKUP(K$5,NFI,5,0),1,0)*Table_NFI[[#This Row],[Mosquito net]],Table_NFI[Mosquito net])</f>
        <v>0</v>
      </c>
      <c r="AC694" s="294">
        <f>IF(NFI_Expiration=1,IF($A694&lt;VLOOKUP(L$5,NFI,5,0),1,0)*Table_NFI[[#This Row],[Tarpaulin]],Table_NFI[[#This Row],[Tarpaulin]])</f>
        <v>0</v>
      </c>
      <c r="AD694" s="294">
        <f>IF(NFI_Expiration=1,IF($A694&lt;VLOOKUP(M$5,NFI,5,0),1,0)*Table_NFI[[#This Row],[Blanket]],Table_NFI[[#This Row],[Blanket]])</f>
        <v>0</v>
      </c>
      <c r="AE694" s="294">
        <f>IF(NFI_Expiration=1,IF($A694&lt;VLOOKUP(N$5,NFI,5,0),1,0)*Table_NFI[[#This Row],[Kitchen Set]],Table_NFI[Kitchen Set])</f>
        <v>0</v>
      </c>
      <c r="AF694" s="294">
        <f>IF(NFI_Expiration=1,IF($A694&lt;VLOOKUP(O$5,NFI,5,0),1,0)*Table_NFI[[#This Row],[Clothes Kit]],Table_NFI[Clothes Kit])</f>
        <v>0</v>
      </c>
      <c r="AG694" s="294">
        <f>IF(NFI_Expiration=1,IF($A694&lt;VLOOKUP(P$5,NFI,5,0),1,0)*Table_NFI[[#This Row],[Plastic Bucket]],Table_NFI[Plastic Bucket])</f>
        <v>0</v>
      </c>
      <c r="AH694" s="294">
        <f>IF(NFI_Expiration=1,IF($A694&lt;VLOOKUP(Q$5,NFI,5,0),1,0)*Table_NFI[[#This Row],[Plastic Mat]],Table_NFI[Plastic Mat])*IF(Table_NFI[[#This Row],[Distribution Date]]&gt;"2014-04-01",1,2.5)</f>
        <v>0</v>
      </c>
      <c r="AI694" s="294">
        <f>IF(NFI_Expiration=1,IF($A694&lt;VLOOKUP(R$5,NFI,5,0),1,0)*Table_NFI[[#This Row],[Winter Clothes Adult]],Table_NFI[Winter Clothes Adult])</f>
        <v>0</v>
      </c>
      <c r="AJ694" s="294">
        <f>IF(NFI_Expiration=1,IF($A694&lt;VLOOKUP(S$5,NFI,5,0),1,0)*Table_NFI[[#This Row],[Winter Clothes Children]],Table_NFI[Winter Clothes Children])</f>
        <v>0</v>
      </c>
      <c r="AK694" s="294">
        <f>IF(NFI_Expiration=1,IF($A694&lt;VLOOKUP(T$5,NFI,5,0),1,0)*Table_NFI[[#This Row],[Winter Items Other]],Table_NFI[Winter Items Other])</f>
        <v>0</v>
      </c>
      <c r="AL694" s="294">
        <f>IF(NFI_Expiration=1,IF($A694&lt;VLOOKUP(M$5,NFI,5,0),1,0)*Table_NFI[[#This Row],[Winter Blanket]],Table_NFI[[#This Row],[Winter Blanket]])</f>
        <v>0</v>
      </c>
      <c r="AM694" s="294">
        <f>IF(Table_NFI[[#This Row],[Winter Clothes Adult]]+Table_NFI[[#This Row],[Winter Clothes Children]]+Table_NFI[[#This Row],[Winter Items Other]]+Table_NFI[[#This Row],[Winter Blanket]]&gt;0,1,0)</f>
        <v>0</v>
      </c>
      <c r="AN694" s="331">
        <f>IF(NFI_Expiration=1,IF($A694&lt;VLOOKUP(V$5,NFI,5,0),1,0)*Table_NFI[[#This Row],[Jerry Can]],Table_NFI[Jerry Can])</f>
        <v>0</v>
      </c>
      <c r="AO694" s="331">
        <f>IF(NFI_Expiration=1,IF($A694&lt;VLOOKUP(V$5,NFI,5,0),1,0)*Table_NFI[[#This Row],[Shelter Tool kit]],Table_NFI[Shelter Tool kit])</f>
        <v>0</v>
      </c>
      <c r="AP694" s="331">
        <f>IF(NFI_Expiration=1,IF($A694&lt;VLOOKUP(V$5,NFI,5,0),1,0)*Table_NFI[[#This Row],[Tent]],Table_NFI[Tent])</f>
        <v>0</v>
      </c>
      <c r="AQ694" s="473" t="str">
        <f>IFERROR(VLOOKUP(Table_NFI[[#This Row],[Camp Name]],CL,2,0),"")</f>
        <v>MMR001CMP181</v>
      </c>
      <c r="AR694" s="468">
        <f ca="1">IF(Table_NFI[[#This Row],[Pcode]]="","",IF(OFFSET(CampList[Opening Date],MATCH(Table_NFI[[#This Row],[Pcode]],CampList[CP_Pcode],0)-1,0,1,1)&gt;=NFI_Monitor_Date,1,0))</f>
        <v>0</v>
      </c>
      <c r="AS694" s="473" t="str">
        <f>IFERROR(VLOOKUP(Table_NFI[[#This Row],[Camp Name]],CL,3,0),"")</f>
        <v>Open</v>
      </c>
      <c r="AT694" s="294" t="str">
        <f ca="1">IF(Table_NFI[[#This Row],[Pcode]]="","",OFFSET(CampList[Priority],MATCH(Table_NFI[[#This Row],[Pcode]],CampList[CP_Pcode],0)-1,0,1,1))</f>
        <v>P4</v>
      </c>
      <c r="AU694" s="293">
        <f>IFERROR(Table_NFI[[#This Row],[Kitchen Set]]/VLOOKUP(Table_NFI[[#This Row],[Camp Name]],CL,4,0),"")</f>
        <v>1.6</v>
      </c>
      <c r="AV694" s="466" t="s">
        <v>1092</v>
      </c>
      <c r="AW694" s="469"/>
    </row>
    <row r="695" spans="1:49" ht="14.45" customHeight="1" x14ac:dyDescent="0.25">
      <c r="A695" s="297">
        <f t="shared" si="10"/>
        <v>44.033333333333331</v>
      </c>
      <c r="B695" s="465">
        <v>41354</v>
      </c>
      <c r="C695" s="466" t="s">
        <v>452</v>
      </c>
      <c r="D695" s="467" t="s">
        <v>452</v>
      </c>
      <c r="E695" s="466" t="s">
        <v>380</v>
      </c>
      <c r="F695" s="290" t="s">
        <v>527</v>
      </c>
      <c r="G695" s="290" t="s">
        <v>118</v>
      </c>
      <c r="H695" s="291"/>
      <c r="I695" s="291"/>
      <c r="J695" s="291">
        <v>15</v>
      </c>
      <c r="K695" s="291">
        <v>8</v>
      </c>
      <c r="L695" s="292">
        <v>8</v>
      </c>
      <c r="M695" s="292">
        <v>17</v>
      </c>
      <c r="N695" s="292">
        <v>8</v>
      </c>
      <c r="O695" s="292">
        <v>17</v>
      </c>
      <c r="P695" s="294">
        <v>17</v>
      </c>
      <c r="Q695" s="294">
        <v>17</v>
      </c>
      <c r="R695" s="294"/>
      <c r="S695" s="294"/>
      <c r="T695" s="294"/>
      <c r="U695" s="294"/>
      <c r="V695" s="431"/>
      <c r="W695" s="294"/>
      <c r="X695" s="294"/>
      <c r="Y695" s="294">
        <f>IF(NFI_Expiration=1,IF($A695&lt;VLOOKUP(H$5,NFI,5,0),1,0)*Table_NFI[[#This Row],[Hygiene Kit]],Table_NFI[Hygiene Kit])</f>
        <v>0</v>
      </c>
      <c r="Z695" s="294">
        <f>IF(NFI_Expiration=1,IF($A695&lt;VLOOKUP(I$5,NFI,5,0),1,0)*Table_NFI[[#This Row],[NFI Core Kit]],Table_NFI[NFI Core Kit])</f>
        <v>0</v>
      </c>
      <c r="AA695" s="294">
        <f>IF(NFI_Expiration=1,IF($A695&lt;VLOOKUP(J$5,NFI,5,0),1,0)*Table_NFI[[#This Row],[Sanitary Kit]],Table_NFI[Sanitary Kit])</f>
        <v>0</v>
      </c>
      <c r="AB695" s="294">
        <f>IF(NFI_Expiration=1,IF($A695&lt;VLOOKUP(K$5,NFI,5,0),1,0)*Table_NFI[[#This Row],[Mosquito net]],Table_NFI[Mosquito net])</f>
        <v>0</v>
      </c>
      <c r="AC695" s="294">
        <f>IF(NFI_Expiration=1,IF($A695&lt;VLOOKUP(L$5,NFI,5,0),1,0)*Table_NFI[[#This Row],[Tarpaulin]],Table_NFI[[#This Row],[Tarpaulin]])</f>
        <v>0</v>
      </c>
      <c r="AD695" s="294">
        <f>IF(NFI_Expiration=1,IF($A695&lt;VLOOKUP(M$5,NFI,5,0),1,0)*Table_NFI[[#This Row],[Blanket]],Table_NFI[[#This Row],[Blanket]])</f>
        <v>0</v>
      </c>
      <c r="AE695" s="294">
        <f>IF(NFI_Expiration=1,IF($A695&lt;VLOOKUP(N$5,NFI,5,0),1,0)*Table_NFI[[#This Row],[Kitchen Set]],Table_NFI[Kitchen Set])</f>
        <v>0</v>
      </c>
      <c r="AF695" s="294">
        <f>IF(NFI_Expiration=1,IF($A695&lt;VLOOKUP(O$5,NFI,5,0),1,0)*Table_NFI[[#This Row],[Clothes Kit]],Table_NFI[Clothes Kit])</f>
        <v>0</v>
      </c>
      <c r="AG695" s="294">
        <f>IF(NFI_Expiration=1,IF($A695&lt;VLOOKUP(P$5,NFI,5,0),1,0)*Table_NFI[[#This Row],[Plastic Bucket]],Table_NFI[Plastic Bucket])</f>
        <v>0</v>
      </c>
      <c r="AH695" s="294">
        <f>IF(NFI_Expiration=1,IF($A695&lt;VLOOKUP(Q$5,NFI,5,0),1,0)*Table_NFI[[#This Row],[Plastic Mat]],Table_NFI[Plastic Mat])*IF(Table_NFI[[#This Row],[Distribution Date]]&gt;"2014-04-01",1,2.5)</f>
        <v>0</v>
      </c>
      <c r="AI695" s="294">
        <f>IF(NFI_Expiration=1,IF($A695&lt;VLOOKUP(R$5,NFI,5,0),1,0)*Table_NFI[[#This Row],[Winter Clothes Adult]],Table_NFI[Winter Clothes Adult])</f>
        <v>0</v>
      </c>
      <c r="AJ695" s="294">
        <f>IF(NFI_Expiration=1,IF($A695&lt;VLOOKUP(S$5,NFI,5,0),1,0)*Table_NFI[[#This Row],[Winter Clothes Children]],Table_NFI[Winter Clothes Children])</f>
        <v>0</v>
      </c>
      <c r="AK695" s="294">
        <f>IF(NFI_Expiration=1,IF($A695&lt;VLOOKUP(T$5,NFI,5,0),1,0)*Table_NFI[[#This Row],[Winter Items Other]],Table_NFI[Winter Items Other])</f>
        <v>0</v>
      </c>
      <c r="AL695" s="294">
        <f>IF(NFI_Expiration=1,IF($A695&lt;VLOOKUP(M$5,NFI,5,0),1,0)*Table_NFI[[#This Row],[Winter Blanket]],Table_NFI[[#This Row],[Winter Blanket]])</f>
        <v>0</v>
      </c>
      <c r="AM695" s="294">
        <f>IF(Table_NFI[[#This Row],[Winter Clothes Adult]]+Table_NFI[[#This Row],[Winter Clothes Children]]+Table_NFI[[#This Row],[Winter Items Other]]+Table_NFI[[#This Row],[Winter Blanket]]&gt;0,1,0)</f>
        <v>0</v>
      </c>
      <c r="AN695" s="331">
        <f>IF(NFI_Expiration=1,IF($A695&lt;VLOOKUP(V$5,NFI,5,0),1,0)*Table_NFI[[#This Row],[Jerry Can]],Table_NFI[Jerry Can])</f>
        <v>0</v>
      </c>
      <c r="AO695" s="331">
        <f>IF(NFI_Expiration=1,IF($A695&lt;VLOOKUP(V$5,NFI,5,0),1,0)*Table_NFI[[#This Row],[Shelter Tool kit]],Table_NFI[Shelter Tool kit])</f>
        <v>0</v>
      </c>
      <c r="AP695" s="331">
        <f>IF(NFI_Expiration=1,IF($A695&lt;VLOOKUP(V$5,NFI,5,0),1,0)*Table_NFI[[#This Row],[Tent]],Table_NFI[Tent])</f>
        <v>0</v>
      </c>
      <c r="AQ695" s="473" t="str">
        <f>IFERROR(VLOOKUP(Table_NFI[[#This Row],[Camp Name]],CL,2,0),"")</f>
        <v>MMR001CMP182</v>
      </c>
      <c r="AR695" s="468">
        <f ca="1">IF(Table_NFI[[#This Row],[Pcode]]="","",IF(OFFSET(CampList[Opening Date],MATCH(Table_NFI[[#This Row],[Pcode]],CampList[CP_Pcode],0)-1,0,1,1)&gt;=NFI_Monitor_Date,1,0))</f>
        <v>0</v>
      </c>
      <c r="AS695" s="473" t="str">
        <f>IFERROR(VLOOKUP(Table_NFI[[#This Row],[Camp Name]],CL,3,0),"")</f>
        <v>Open</v>
      </c>
      <c r="AT695" s="294" t="str">
        <f ca="1">IF(Table_NFI[[#This Row],[Pcode]]="","",OFFSET(CampList[Priority],MATCH(Table_NFI[[#This Row],[Pcode]],CampList[CP_Pcode],0)-1,0,1,1))</f>
        <v>P4</v>
      </c>
      <c r="AU695" s="293">
        <f>IFERROR(Table_NFI[[#This Row],[Kitchen Set]]/VLOOKUP(Table_NFI[[#This Row],[Camp Name]],CL,4,0),"")</f>
        <v>0.8</v>
      </c>
      <c r="AV695" s="466" t="s">
        <v>1092</v>
      </c>
      <c r="AW695" s="469"/>
    </row>
    <row r="696" spans="1:49" ht="14.45" customHeight="1" x14ac:dyDescent="0.25">
      <c r="A696" s="297">
        <f t="shared" si="10"/>
        <v>44.06666666666667</v>
      </c>
      <c r="B696" s="465">
        <v>41353</v>
      </c>
      <c r="C696" s="466" t="s">
        <v>452</v>
      </c>
      <c r="D696" s="466" t="s">
        <v>452</v>
      </c>
      <c r="E696" s="466" t="s">
        <v>380</v>
      </c>
      <c r="F696" s="466" t="s">
        <v>527</v>
      </c>
      <c r="G696" s="290" t="s">
        <v>43</v>
      </c>
      <c r="H696" s="291"/>
      <c r="I696" s="291"/>
      <c r="J696" s="291">
        <v>24</v>
      </c>
      <c r="K696" s="291">
        <v>17</v>
      </c>
      <c r="L696" s="292">
        <v>17</v>
      </c>
      <c r="M696" s="292">
        <v>41</v>
      </c>
      <c r="N696" s="292">
        <v>17</v>
      </c>
      <c r="O696" s="292">
        <v>41</v>
      </c>
      <c r="P696" s="294">
        <v>41</v>
      </c>
      <c r="Q696" s="294">
        <v>41</v>
      </c>
      <c r="R696" s="294"/>
      <c r="S696" s="294"/>
      <c r="T696" s="294"/>
      <c r="U696" s="294"/>
      <c r="V696" s="431"/>
      <c r="W696" s="294"/>
      <c r="X696" s="294"/>
      <c r="Y696" s="294">
        <f>IF(NFI_Expiration=1,IF($A696&lt;VLOOKUP(H$5,NFI,5,0),1,0)*Table_NFI[[#This Row],[Hygiene Kit]],Table_NFI[Hygiene Kit])</f>
        <v>0</v>
      </c>
      <c r="Z696" s="294">
        <f>IF(NFI_Expiration=1,IF($A696&lt;VLOOKUP(I$5,NFI,5,0),1,0)*Table_NFI[[#This Row],[NFI Core Kit]],Table_NFI[NFI Core Kit])</f>
        <v>0</v>
      </c>
      <c r="AA696" s="294">
        <f>IF(NFI_Expiration=1,IF($A696&lt;VLOOKUP(J$5,NFI,5,0),1,0)*Table_NFI[[#This Row],[Sanitary Kit]],Table_NFI[Sanitary Kit])</f>
        <v>0</v>
      </c>
      <c r="AB696" s="294">
        <f>IF(NFI_Expiration=1,IF($A696&lt;VLOOKUP(K$5,NFI,5,0),1,0)*Table_NFI[[#This Row],[Mosquito net]],Table_NFI[Mosquito net])</f>
        <v>0</v>
      </c>
      <c r="AC696" s="294">
        <f>IF(NFI_Expiration=1,IF($A696&lt;VLOOKUP(L$5,NFI,5,0),1,0)*Table_NFI[[#This Row],[Tarpaulin]],Table_NFI[[#This Row],[Tarpaulin]])</f>
        <v>0</v>
      </c>
      <c r="AD696" s="294">
        <f>IF(NFI_Expiration=1,IF($A696&lt;VLOOKUP(M$5,NFI,5,0),1,0)*Table_NFI[[#This Row],[Blanket]],Table_NFI[[#This Row],[Blanket]])</f>
        <v>0</v>
      </c>
      <c r="AE696" s="294">
        <f>IF(NFI_Expiration=1,IF($A696&lt;VLOOKUP(N$5,NFI,5,0),1,0)*Table_NFI[[#This Row],[Kitchen Set]],Table_NFI[Kitchen Set])</f>
        <v>0</v>
      </c>
      <c r="AF696" s="294">
        <f>IF(NFI_Expiration=1,IF($A696&lt;VLOOKUP(O$5,NFI,5,0),1,0)*Table_NFI[[#This Row],[Clothes Kit]],Table_NFI[Clothes Kit])</f>
        <v>0</v>
      </c>
      <c r="AG696" s="294">
        <f>IF(NFI_Expiration=1,IF($A696&lt;VLOOKUP(P$5,NFI,5,0),1,0)*Table_NFI[[#This Row],[Plastic Bucket]],Table_NFI[Plastic Bucket])</f>
        <v>0</v>
      </c>
      <c r="AH696" s="294">
        <f>IF(NFI_Expiration=1,IF($A696&lt;VLOOKUP(Q$5,NFI,5,0),1,0)*Table_NFI[[#This Row],[Plastic Mat]],Table_NFI[Plastic Mat])*IF(Table_NFI[[#This Row],[Distribution Date]]&gt;"2014-04-01",1,2.5)</f>
        <v>0</v>
      </c>
      <c r="AI696" s="294">
        <f>IF(NFI_Expiration=1,IF($A696&lt;VLOOKUP(R$5,NFI,5,0),1,0)*Table_NFI[[#This Row],[Winter Clothes Adult]],Table_NFI[Winter Clothes Adult])</f>
        <v>0</v>
      </c>
      <c r="AJ696" s="294">
        <f>IF(NFI_Expiration=1,IF($A696&lt;VLOOKUP(S$5,NFI,5,0),1,0)*Table_NFI[[#This Row],[Winter Clothes Children]],Table_NFI[Winter Clothes Children])</f>
        <v>0</v>
      </c>
      <c r="AK696" s="294">
        <f>IF(NFI_Expiration=1,IF($A696&lt;VLOOKUP(T$5,NFI,5,0),1,0)*Table_NFI[[#This Row],[Winter Items Other]],Table_NFI[Winter Items Other])</f>
        <v>0</v>
      </c>
      <c r="AL696" s="294">
        <f>IF(NFI_Expiration=1,IF($A696&lt;VLOOKUP(M$5,NFI,5,0),1,0)*Table_NFI[[#This Row],[Winter Blanket]],Table_NFI[[#This Row],[Winter Blanket]])</f>
        <v>0</v>
      </c>
      <c r="AM696" s="294">
        <f>IF(Table_NFI[[#This Row],[Winter Clothes Adult]]+Table_NFI[[#This Row],[Winter Clothes Children]]+Table_NFI[[#This Row],[Winter Items Other]]+Table_NFI[[#This Row],[Winter Blanket]]&gt;0,1,0)</f>
        <v>0</v>
      </c>
      <c r="AN696" s="331">
        <f>IF(NFI_Expiration=1,IF($A696&lt;VLOOKUP(V$5,NFI,5,0),1,0)*Table_NFI[[#This Row],[Jerry Can]],Table_NFI[Jerry Can])</f>
        <v>0</v>
      </c>
      <c r="AO696" s="331">
        <f>IF(NFI_Expiration=1,IF($A696&lt;VLOOKUP(V$5,NFI,5,0),1,0)*Table_NFI[[#This Row],[Shelter Tool kit]],Table_NFI[Shelter Tool kit])</f>
        <v>0</v>
      </c>
      <c r="AP696" s="331">
        <f>IF(NFI_Expiration=1,IF($A696&lt;VLOOKUP(V$5,NFI,5,0),1,0)*Table_NFI[[#This Row],[Tent]],Table_NFI[Tent])</f>
        <v>0</v>
      </c>
      <c r="AQ696" s="473" t="str">
        <f>IFERROR(VLOOKUP(Table_NFI[[#This Row],[Camp Name]],CL,2,0),"")</f>
        <v>MMR001CMP190</v>
      </c>
      <c r="AR696" s="468">
        <f ca="1">IF(Table_NFI[[#This Row],[Pcode]]="","",IF(OFFSET(CampList[Opening Date],MATCH(Table_NFI[[#This Row],[Pcode]],CampList[CP_Pcode],0)-1,0,1,1)&gt;=NFI_Monitor_Date,1,0))</f>
        <v>0</v>
      </c>
      <c r="AS696" s="473" t="str">
        <f>IFERROR(VLOOKUP(Table_NFI[[#This Row],[Camp Name]],CL,3,0),"")</f>
        <v>Open</v>
      </c>
      <c r="AT696" s="294" t="str">
        <f ca="1">IF(Table_NFI[[#This Row],[Pcode]]="","",OFFSET(CampList[Priority],MATCH(Table_NFI[[#This Row],[Pcode]],CampList[CP_Pcode],0)-1,0,1,1))</f>
        <v>P4</v>
      </c>
      <c r="AU696" s="293">
        <f>IFERROR(Table_NFI[[#This Row],[Kitchen Set]]/VLOOKUP(Table_NFI[[#This Row],[Camp Name]],CL,4,0),"")</f>
        <v>1.2142857142857142</v>
      </c>
      <c r="AV696" s="466" t="s">
        <v>1092</v>
      </c>
      <c r="AW696" s="469"/>
    </row>
    <row r="697" spans="1:49" ht="14.45" customHeight="1" x14ac:dyDescent="0.25">
      <c r="A697" s="297">
        <f t="shared" si="10"/>
        <v>44.06666666666667</v>
      </c>
      <c r="B697" s="465">
        <v>41353</v>
      </c>
      <c r="C697" s="466" t="s">
        <v>452</v>
      </c>
      <c r="D697" s="466" t="s">
        <v>452</v>
      </c>
      <c r="E697" s="466" t="s">
        <v>380</v>
      </c>
      <c r="F697" s="290" t="s">
        <v>527</v>
      </c>
      <c r="G697" s="290" t="s">
        <v>39</v>
      </c>
      <c r="H697" s="291"/>
      <c r="I697" s="291"/>
      <c r="J697" s="291">
        <v>38</v>
      </c>
      <c r="K697" s="291">
        <v>11</v>
      </c>
      <c r="L697" s="292">
        <v>11</v>
      </c>
      <c r="M697" s="292">
        <v>87</v>
      </c>
      <c r="N697" s="292">
        <v>11</v>
      </c>
      <c r="O697" s="292">
        <v>26</v>
      </c>
      <c r="P697" s="294">
        <v>26</v>
      </c>
      <c r="Q697" s="294">
        <v>26</v>
      </c>
      <c r="R697" s="294"/>
      <c r="S697" s="294"/>
      <c r="T697" s="294"/>
      <c r="U697" s="294"/>
      <c r="V697" s="431"/>
      <c r="W697" s="294"/>
      <c r="X697" s="294"/>
      <c r="Y697" s="294">
        <f>IF(NFI_Expiration=1,IF($A697&lt;VLOOKUP(H$5,NFI,5,0),1,0)*Table_NFI[[#This Row],[Hygiene Kit]],Table_NFI[Hygiene Kit])</f>
        <v>0</v>
      </c>
      <c r="Z697" s="294">
        <f>IF(NFI_Expiration=1,IF($A697&lt;VLOOKUP(I$5,NFI,5,0),1,0)*Table_NFI[[#This Row],[NFI Core Kit]],Table_NFI[NFI Core Kit])</f>
        <v>0</v>
      </c>
      <c r="AA697" s="294">
        <f>IF(NFI_Expiration=1,IF($A697&lt;VLOOKUP(J$5,NFI,5,0),1,0)*Table_NFI[[#This Row],[Sanitary Kit]],Table_NFI[Sanitary Kit])</f>
        <v>0</v>
      </c>
      <c r="AB697" s="294">
        <f>IF(NFI_Expiration=1,IF($A697&lt;VLOOKUP(K$5,NFI,5,0),1,0)*Table_NFI[[#This Row],[Mosquito net]],Table_NFI[Mosquito net])</f>
        <v>0</v>
      </c>
      <c r="AC697" s="294">
        <f>IF(NFI_Expiration=1,IF($A697&lt;VLOOKUP(L$5,NFI,5,0),1,0)*Table_NFI[[#This Row],[Tarpaulin]],Table_NFI[[#This Row],[Tarpaulin]])</f>
        <v>0</v>
      </c>
      <c r="AD697" s="294">
        <f>IF(NFI_Expiration=1,IF($A697&lt;VLOOKUP(M$5,NFI,5,0),1,0)*Table_NFI[[#This Row],[Blanket]],Table_NFI[[#This Row],[Blanket]])</f>
        <v>0</v>
      </c>
      <c r="AE697" s="294">
        <f>IF(NFI_Expiration=1,IF($A697&lt;VLOOKUP(N$5,NFI,5,0),1,0)*Table_NFI[[#This Row],[Kitchen Set]],Table_NFI[Kitchen Set])</f>
        <v>0</v>
      </c>
      <c r="AF697" s="294">
        <f>IF(NFI_Expiration=1,IF($A697&lt;VLOOKUP(O$5,NFI,5,0),1,0)*Table_NFI[[#This Row],[Clothes Kit]],Table_NFI[Clothes Kit])</f>
        <v>0</v>
      </c>
      <c r="AG697" s="294">
        <f>IF(NFI_Expiration=1,IF($A697&lt;VLOOKUP(P$5,NFI,5,0),1,0)*Table_NFI[[#This Row],[Plastic Bucket]],Table_NFI[Plastic Bucket])</f>
        <v>0</v>
      </c>
      <c r="AH697" s="294">
        <f>IF(NFI_Expiration=1,IF($A697&lt;VLOOKUP(Q$5,NFI,5,0),1,0)*Table_NFI[[#This Row],[Plastic Mat]],Table_NFI[Plastic Mat])*IF(Table_NFI[[#This Row],[Distribution Date]]&gt;"2014-04-01",1,2.5)</f>
        <v>0</v>
      </c>
      <c r="AI697" s="294">
        <f>IF(NFI_Expiration=1,IF($A697&lt;VLOOKUP(R$5,NFI,5,0),1,0)*Table_NFI[[#This Row],[Winter Clothes Adult]],Table_NFI[Winter Clothes Adult])</f>
        <v>0</v>
      </c>
      <c r="AJ697" s="294">
        <f>IF(NFI_Expiration=1,IF($A697&lt;VLOOKUP(S$5,NFI,5,0),1,0)*Table_NFI[[#This Row],[Winter Clothes Children]],Table_NFI[Winter Clothes Children])</f>
        <v>0</v>
      </c>
      <c r="AK697" s="294">
        <f>IF(NFI_Expiration=1,IF($A697&lt;VLOOKUP(T$5,NFI,5,0),1,0)*Table_NFI[[#This Row],[Winter Items Other]],Table_NFI[Winter Items Other])</f>
        <v>0</v>
      </c>
      <c r="AL697" s="294">
        <f>IF(NFI_Expiration=1,IF($A697&lt;VLOOKUP(M$5,NFI,5,0),1,0)*Table_NFI[[#This Row],[Winter Blanket]],Table_NFI[[#This Row],[Winter Blanket]])</f>
        <v>0</v>
      </c>
      <c r="AM697" s="294">
        <f>IF(Table_NFI[[#This Row],[Winter Clothes Adult]]+Table_NFI[[#This Row],[Winter Clothes Children]]+Table_NFI[[#This Row],[Winter Items Other]]+Table_NFI[[#This Row],[Winter Blanket]]&gt;0,1,0)</f>
        <v>0</v>
      </c>
      <c r="AN697" s="331">
        <f>IF(NFI_Expiration=1,IF($A697&lt;VLOOKUP(V$5,NFI,5,0),1,0)*Table_NFI[[#This Row],[Jerry Can]],Table_NFI[Jerry Can])</f>
        <v>0</v>
      </c>
      <c r="AO697" s="331">
        <f>IF(NFI_Expiration=1,IF($A697&lt;VLOOKUP(V$5,NFI,5,0),1,0)*Table_NFI[[#This Row],[Shelter Tool kit]],Table_NFI[Shelter Tool kit])</f>
        <v>0</v>
      </c>
      <c r="AP697" s="331">
        <f>IF(NFI_Expiration=1,IF($A697&lt;VLOOKUP(V$5,NFI,5,0),1,0)*Table_NFI[[#This Row],[Tent]],Table_NFI[Tent])</f>
        <v>0</v>
      </c>
      <c r="AQ697" s="473" t="str">
        <f>IFERROR(VLOOKUP(Table_NFI[[#This Row],[Camp Name]],CL,2,0),"")</f>
        <v>MMR001CMP173</v>
      </c>
      <c r="AR697" s="468">
        <f ca="1">IF(Table_NFI[[#This Row],[Pcode]]="","",IF(OFFSET(CampList[Opening Date],MATCH(Table_NFI[[#This Row],[Pcode]],CampList[CP_Pcode],0)-1,0,1,1)&gt;=NFI_Monitor_Date,1,0))</f>
        <v>0</v>
      </c>
      <c r="AS697" s="473" t="str">
        <f>IFERROR(VLOOKUP(Table_NFI[[#This Row],[Camp Name]],CL,3,0),"")</f>
        <v>Closed</v>
      </c>
      <c r="AT697" s="294" t="str">
        <f ca="1">IF(Table_NFI[[#This Row],[Pcode]]="","",OFFSET(CampList[Priority],MATCH(Table_NFI[[#This Row],[Pcode]],CampList[CP_Pcode],0)-1,0,1,1))</f>
        <v/>
      </c>
      <c r="AU697" s="293" t="str">
        <f>IFERROR(Table_NFI[[#This Row],[Kitchen Set]]/VLOOKUP(Table_NFI[[#This Row],[Camp Name]],CL,4,0),"")</f>
        <v/>
      </c>
      <c r="AV697" s="466" t="s">
        <v>1092</v>
      </c>
      <c r="AW697" s="469"/>
    </row>
    <row r="698" spans="1:49" ht="14.45" customHeight="1" x14ac:dyDescent="0.25">
      <c r="A698" s="297">
        <f t="shared" si="10"/>
        <v>44.06666666666667</v>
      </c>
      <c r="B698" s="465">
        <v>41353</v>
      </c>
      <c r="C698" s="466" t="s">
        <v>452</v>
      </c>
      <c r="D698" s="467" t="s">
        <v>452</v>
      </c>
      <c r="E698" s="466" t="s">
        <v>380</v>
      </c>
      <c r="F698" s="290" t="s">
        <v>527</v>
      </c>
      <c r="G698" s="290" t="s">
        <v>72</v>
      </c>
      <c r="H698" s="291"/>
      <c r="I698" s="291"/>
      <c r="J698" s="291">
        <v>3</v>
      </c>
      <c r="K698" s="291">
        <v>8</v>
      </c>
      <c r="L698" s="292">
        <v>8</v>
      </c>
      <c r="M698" s="292">
        <v>15</v>
      </c>
      <c r="N698" s="292">
        <v>8</v>
      </c>
      <c r="O698" s="292">
        <v>15</v>
      </c>
      <c r="P698" s="294">
        <v>15</v>
      </c>
      <c r="Q698" s="294">
        <v>15</v>
      </c>
      <c r="R698" s="294"/>
      <c r="S698" s="294"/>
      <c r="T698" s="294"/>
      <c r="U698" s="294"/>
      <c r="V698" s="431"/>
      <c r="W698" s="294"/>
      <c r="X698" s="294"/>
      <c r="Y698" s="294">
        <f>IF(NFI_Expiration=1,IF($A698&lt;VLOOKUP(H$5,NFI,5,0),1,0)*Table_NFI[[#This Row],[Hygiene Kit]],Table_NFI[Hygiene Kit])</f>
        <v>0</v>
      </c>
      <c r="Z698" s="294">
        <f>IF(NFI_Expiration=1,IF($A698&lt;VLOOKUP(I$5,NFI,5,0),1,0)*Table_NFI[[#This Row],[NFI Core Kit]],Table_NFI[NFI Core Kit])</f>
        <v>0</v>
      </c>
      <c r="AA698" s="294">
        <f>IF(NFI_Expiration=1,IF($A698&lt;VLOOKUP(J$5,NFI,5,0),1,0)*Table_NFI[[#This Row],[Sanitary Kit]],Table_NFI[Sanitary Kit])</f>
        <v>0</v>
      </c>
      <c r="AB698" s="294">
        <f>IF(NFI_Expiration=1,IF($A698&lt;VLOOKUP(K$5,NFI,5,0),1,0)*Table_NFI[[#This Row],[Mosquito net]],Table_NFI[Mosquito net])</f>
        <v>0</v>
      </c>
      <c r="AC698" s="294">
        <f>IF(NFI_Expiration=1,IF($A698&lt;VLOOKUP(L$5,NFI,5,0),1,0)*Table_NFI[[#This Row],[Tarpaulin]],Table_NFI[[#This Row],[Tarpaulin]])</f>
        <v>0</v>
      </c>
      <c r="AD698" s="294">
        <f>IF(NFI_Expiration=1,IF($A698&lt;VLOOKUP(M$5,NFI,5,0),1,0)*Table_NFI[[#This Row],[Blanket]],Table_NFI[[#This Row],[Blanket]])</f>
        <v>0</v>
      </c>
      <c r="AE698" s="294">
        <f>IF(NFI_Expiration=1,IF($A698&lt;VLOOKUP(N$5,NFI,5,0),1,0)*Table_NFI[[#This Row],[Kitchen Set]],Table_NFI[Kitchen Set])</f>
        <v>0</v>
      </c>
      <c r="AF698" s="294">
        <f>IF(NFI_Expiration=1,IF($A698&lt;VLOOKUP(O$5,NFI,5,0),1,0)*Table_NFI[[#This Row],[Clothes Kit]],Table_NFI[Clothes Kit])</f>
        <v>0</v>
      </c>
      <c r="AG698" s="294">
        <f>IF(NFI_Expiration=1,IF($A698&lt;VLOOKUP(P$5,NFI,5,0),1,0)*Table_NFI[[#This Row],[Plastic Bucket]],Table_NFI[Plastic Bucket])</f>
        <v>0</v>
      </c>
      <c r="AH698" s="294">
        <f>IF(NFI_Expiration=1,IF($A698&lt;VLOOKUP(Q$5,NFI,5,0),1,0)*Table_NFI[[#This Row],[Plastic Mat]],Table_NFI[Plastic Mat])*IF(Table_NFI[[#This Row],[Distribution Date]]&gt;"2014-04-01",1,2.5)</f>
        <v>0</v>
      </c>
      <c r="AI698" s="294">
        <f>IF(NFI_Expiration=1,IF($A698&lt;VLOOKUP(R$5,NFI,5,0),1,0)*Table_NFI[[#This Row],[Winter Clothes Adult]],Table_NFI[Winter Clothes Adult])</f>
        <v>0</v>
      </c>
      <c r="AJ698" s="294">
        <f>IF(NFI_Expiration=1,IF($A698&lt;VLOOKUP(S$5,NFI,5,0),1,0)*Table_NFI[[#This Row],[Winter Clothes Children]],Table_NFI[Winter Clothes Children])</f>
        <v>0</v>
      </c>
      <c r="AK698" s="294">
        <f>IF(NFI_Expiration=1,IF($A698&lt;VLOOKUP(T$5,NFI,5,0),1,0)*Table_NFI[[#This Row],[Winter Items Other]],Table_NFI[Winter Items Other])</f>
        <v>0</v>
      </c>
      <c r="AL698" s="294">
        <f>IF(NFI_Expiration=1,IF($A698&lt;VLOOKUP(M$5,NFI,5,0),1,0)*Table_NFI[[#This Row],[Winter Blanket]],Table_NFI[[#This Row],[Winter Blanket]])</f>
        <v>0</v>
      </c>
      <c r="AM698" s="294">
        <f>IF(Table_NFI[[#This Row],[Winter Clothes Adult]]+Table_NFI[[#This Row],[Winter Clothes Children]]+Table_NFI[[#This Row],[Winter Items Other]]+Table_NFI[[#This Row],[Winter Blanket]]&gt;0,1,0)</f>
        <v>0</v>
      </c>
      <c r="AN698" s="331">
        <f>IF(NFI_Expiration=1,IF($A698&lt;VLOOKUP(V$5,NFI,5,0),1,0)*Table_NFI[[#This Row],[Jerry Can]],Table_NFI[Jerry Can])</f>
        <v>0</v>
      </c>
      <c r="AO698" s="331">
        <f>IF(NFI_Expiration=1,IF($A698&lt;VLOOKUP(V$5,NFI,5,0),1,0)*Table_NFI[[#This Row],[Shelter Tool kit]],Table_NFI[Shelter Tool kit])</f>
        <v>0</v>
      </c>
      <c r="AP698" s="331">
        <f>IF(NFI_Expiration=1,IF($A698&lt;VLOOKUP(V$5,NFI,5,0),1,0)*Table_NFI[[#This Row],[Tent]],Table_NFI[Tent])</f>
        <v>0</v>
      </c>
      <c r="AQ698" s="473" t="str">
        <f>IFERROR(VLOOKUP(Table_NFI[[#This Row],[Camp Name]],CL,2,0),"")</f>
        <v>MMR001CMP109</v>
      </c>
      <c r="AR698" s="468">
        <f ca="1">IF(Table_NFI[[#This Row],[Pcode]]="","",IF(OFFSET(CampList[Opening Date],MATCH(Table_NFI[[#This Row],[Pcode]],CampList[CP_Pcode],0)-1,0,1,1)&gt;=NFI_Monitor_Date,1,0))</f>
        <v>0</v>
      </c>
      <c r="AS698" s="473" t="str">
        <f>IFERROR(VLOOKUP(Table_NFI[[#This Row],[Camp Name]],CL,3,0),"")</f>
        <v>Open</v>
      </c>
      <c r="AT698" s="294" t="str">
        <f ca="1">IF(Table_NFI[[#This Row],[Pcode]]="","",OFFSET(CampList[Priority],MATCH(Table_NFI[[#This Row],[Pcode]],CampList[CP_Pcode],0)-1,0,1,1))</f>
        <v>P4</v>
      </c>
      <c r="AU698" s="293">
        <f>IFERROR(Table_NFI[[#This Row],[Kitchen Set]]/VLOOKUP(Table_NFI[[#This Row],[Camp Name]],CL,4,0),"")</f>
        <v>1.3333333333333333</v>
      </c>
      <c r="AV698" s="466" t="s">
        <v>1092</v>
      </c>
      <c r="AW698" s="469"/>
    </row>
    <row r="699" spans="1:49" ht="14.45" customHeight="1" x14ac:dyDescent="0.25">
      <c r="A699" s="297">
        <f t="shared" si="10"/>
        <v>44.06666666666667</v>
      </c>
      <c r="B699" s="465">
        <v>41353</v>
      </c>
      <c r="C699" s="466" t="s">
        <v>452</v>
      </c>
      <c r="D699" s="467" t="s">
        <v>452</v>
      </c>
      <c r="E699" s="466" t="s">
        <v>380</v>
      </c>
      <c r="F699" s="290" t="s">
        <v>527</v>
      </c>
      <c r="G699" s="290" t="s">
        <v>70</v>
      </c>
      <c r="H699" s="291"/>
      <c r="I699" s="291"/>
      <c r="J699" s="291">
        <v>9</v>
      </c>
      <c r="K699" s="291">
        <v>6</v>
      </c>
      <c r="L699" s="292">
        <v>6</v>
      </c>
      <c r="M699" s="292">
        <v>15</v>
      </c>
      <c r="N699" s="292">
        <v>6</v>
      </c>
      <c r="O699" s="292">
        <v>15</v>
      </c>
      <c r="P699" s="294">
        <v>15</v>
      </c>
      <c r="Q699" s="294">
        <v>15</v>
      </c>
      <c r="R699" s="294"/>
      <c r="S699" s="294"/>
      <c r="T699" s="294"/>
      <c r="U699" s="294"/>
      <c r="V699" s="431"/>
      <c r="W699" s="331"/>
      <c r="X699" s="331"/>
      <c r="Y699" s="294">
        <f>IF(NFI_Expiration=1,IF($A699&lt;VLOOKUP(H$5,NFI,5,0),1,0)*Table_NFI[[#This Row],[Hygiene Kit]],Table_NFI[Hygiene Kit])</f>
        <v>0</v>
      </c>
      <c r="Z699" s="294">
        <f>IF(NFI_Expiration=1,IF($A699&lt;VLOOKUP(I$5,NFI,5,0),1,0)*Table_NFI[[#This Row],[NFI Core Kit]],Table_NFI[NFI Core Kit])</f>
        <v>0</v>
      </c>
      <c r="AA699" s="294">
        <f>IF(NFI_Expiration=1,IF($A699&lt;VLOOKUP(J$5,NFI,5,0),1,0)*Table_NFI[[#This Row],[Sanitary Kit]],Table_NFI[Sanitary Kit])</f>
        <v>0</v>
      </c>
      <c r="AB699" s="294">
        <f>IF(NFI_Expiration=1,IF($A699&lt;VLOOKUP(K$5,NFI,5,0),1,0)*Table_NFI[[#This Row],[Mosquito net]],Table_NFI[Mosquito net])</f>
        <v>0</v>
      </c>
      <c r="AC699" s="294">
        <f>IF(NFI_Expiration=1,IF($A699&lt;VLOOKUP(L$5,NFI,5,0),1,0)*Table_NFI[[#This Row],[Tarpaulin]],Table_NFI[[#This Row],[Tarpaulin]])</f>
        <v>0</v>
      </c>
      <c r="AD699" s="294">
        <f>IF(NFI_Expiration=1,IF($A699&lt;VLOOKUP(M$5,NFI,5,0),1,0)*Table_NFI[[#This Row],[Blanket]],Table_NFI[[#This Row],[Blanket]])</f>
        <v>0</v>
      </c>
      <c r="AE699" s="294">
        <f>IF(NFI_Expiration=1,IF($A699&lt;VLOOKUP(N$5,NFI,5,0),1,0)*Table_NFI[[#This Row],[Kitchen Set]],Table_NFI[Kitchen Set])</f>
        <v>0</v>
      </c>
      <c r="AF699" s="294">
        <f>IF(NFI_Expiration=1,IF($A699&lt;VLOOKUP(O$5,NFI,5,0),1,0)*Table_NFI[[#This Row],[Clothes Kit]],Table_NFI[Clothes Kit])</f>
        <v>0</v>
      </c>
      <c r="AG699" s="294">
        <f>IF(NFI_Expiration=1,IF($A699&lt;VLOOKUP(P$5,NFI,5,0),1,0)*Table_NFI[[#This Row],[Plastic Bucket]],Table_NFI[Plastic Bucket])</f>
        <v>0</v>
      </c>
      <c r="AH699" s="294">
        <f>IF(NFI_Expiration=1,IF($A699&lt;VLOOKUP(Q$5,NFI,5,0),1,0)*Table_NFI[[#This Row],[Plastic Mat]],Table_NFI[Plastic Mat])*IF(Table_NFI[[#This Row],[Distribution Date]]&gt;"2014-04-01",1,2.5)</f>
        <v>0</v>
      </c>
      <c r="AI699" s="294">
        <f>IF(NFI_Expiration=1,IF($A699&lt;VLOOKUP(R$5,NFI,5,0),1,0)*Table_NFI[[#This Row],[Winter Clothes Adult]],Table_NFI[Winter Clothes Adult])</f>
        <v>0</v>
      </c>
      <c r="AJ699" s="294">
        <f>IF(NFI_Expiration=1,IF($A699&lt;VLOOKUP(S$5,NFI,5,0),1,0)*Table_NFI[[#This Row],[Winter Clothes Children]],Table_NFI[Winter Clothes Children])</f>
        <v>0</v>
      </c>
      <c r="AK699" s="294">
        <f>IF(NFI_Expiration=1,IF($A699&lt;VLOOKUP(T$5,NFI,5,0),1,0)*Table_NFI[[#This Row],[Winter Items Other]],Table_NFI[Winter Items Other])</f>
        <v>0</v>
      </c>
      <c r="AL699" s="294">
        <f>IF(NFI_Expiration=1,IF($A699&lt;VLOOKUP(M$5,NFI,5,0),1,0)*Table_NFI[[#This Row],[Winter Blanket]],Table_NFI[[#This Row],[Winter Blanket]])</f>
        <v>0</v>
      </c>
      <c r="AM699" s="294">
        <f>IF(Table_NFI[[#This Row],[Winter Clothes Adult]]+Table_NFI[[#This Row],[Winter Clothes Children]]+Table_NFI[[#This Row],[Winter Items Other]]+Table_NFI[[#This Row],[Winter Blanket]]&gt;0,1,0)</f>
        <v>0</v>
      </c>
      <c r="AN699" s="331">
        <f>IF(NFI_Expiration=1,IF($A699&lt;VLOOKUP(V$5,NFI,5,0),1,0)*Table_NFI[[#This Row],[Jerry Can]],Table_NFI[Jerry Can])</f>
        <v>0</v>
      </c>
      <c r="AO699" s="331">
        <f>IF(NFI_Expiration=1,IF($A699&lt;VLOOKUP(V$5,NFI,5,0),1,0)*Table_NFI[[#This Row],[Shelter Tool kit]],Table_NFI[Shelter Tool kit])</f>
        <v>0</v>
      </c>
      <c r="AP699" s="331">
        <f>IF(NFI_Expiration=1,IF($A699&lt;VLOOKUP(V$5,NFI,5,0),1,0)*Table_NFI[[#This Row],[Tent]],Table_NFI[Tent])</f>
        <v>0</v>
      </c>
      <c r="AQ699" s="473" t="str">
        <f>IFERROR(VLOOKUP(Table_NFI[[#This Row],[Camp Name]],CL,2,0),"")</f>
        <v>MMR001CMP086</v>
      </c>
      <c r="AR699" s="468">
        <f ca="1">IF(Table_NFI[[#This Row],[Pcode]]="","",IF(OFFSET(CampList[Opening Date],MATCH(Table_NFI[[#This Row],[Pcode]],CampList[CP_Pcode],0)-1,0,1,1)&gt;=NFI_Monitor_Date,1,0))</f>
        <v>0</v>
      </c>
      <c r="AS699" s="473" t="str">
        <f>IFERROR(VLOOKUP(Table_NFI[[#This Row],[Camp Name]],CL,3,0),"")</f>
        <v>Closed</v>
      </c>
      <c r="AT699" s="294" t="str">
        <f ca="1">IF(Table_NFI[[#This Row],[Pcode]]="","",OFFSET(CampList[Priority],MATCH(Table_NFI[[#This Row],[Pcode]],CampList[CP_Pcode],0)-1,0,1,1))</f>
        <v/>
      </c>
      <c r="AU699" s="293" t="str">
        <f>IFERROR(Table_NFI[[#This Row],[Kitchen Set]]/VLOOKUP(Table_NFI[[#This Row],[Camp Name]],CL,4,0),"")</f>
        <v/>
      </c>
      <c r="AV699" s="466" t="s">
        <v>1092</v>
      </c>
      <c r="AW699" s="469"/>
    </row>
    <row r="700" spans="1:49" ht="14.45" customHeight="1" x14ac:dyDescent="0.25">
      <c r="A700" s="297">
        <f t="shared" si="10"/>
        <v>44.06666666666667</v>
      </c>
      <c r="B700" s="465">
        <v>41353</v>
      </c>
      <c r="C700" s="466" t="s">
        <v>452</v>
      </c>
      <c r="D700" s="467" t="s">
        <v>452</v>
      </c>
      <c r="E700" s="466" t="s">
        <v>380</v>
      </c>
      <c r="F700" s="290" t="s">
        <v>527</v>
      </c>
      <c r="G700" s="290" t="s">
        <v>92</v>
      </c>
      <c r="H700" s="291"/>
      <c r="I700" s="291"/>
      <c r="J700" s="291">
        <v>32</v>
      </c>
      <c r="K700" s="291">
        <v>27</v>
      </c>
      <c r="L700" s="292">
        <v>27</v>
      </c>
      <c r="M700" s="292">
        <v>66</v>
      </c>
      <c r="N700" s="292">
        <v>27</v>
      </c>
      <c r="O700" s="292">
        <v>66</v>
      </c>
      <c r="P700" s="294">
        <v>66</v>
      </c>
      <c r="Q700" s="294">
        <v>66</v>
      </c>
      <c r="R700" s="294"/>
      <c r="S700" s="294"/>
      <c r="T700" s="294"/>
      <c r="U700" s="294"/>
      <c r="V700" s="431"/>
      <c r="W700" s="294"/>
      <c r="X700" s="294"/>
      <c r="Y700" s="294">
        <f>IF(NFI_Expiration=1,IF($A700&lt;VLOOKUP(H$5,NFI,5,0),1,0)*Table_NFI[[#This Row],[Hygiene Kit]],Table_NFI[Hygiene Kit])</f>
        <v>0</v>
      </c>
      <c r="Z700" s="294">
        <f>IF(NFI_Expiration=1,IF($A700&lt;VLOOKUP(I$5,NFI,5,0),1,0)*Table_NFI[[#This Row],[NFI Core Kit]],Table_NFI[NFI Core Kit])</f>
        <v>0</v>
      </c>
      <c r="AA700" s="294">
        <f>IF(NFI_Expiration=1,IF($A700&lt;VLOOKUP(J$5,NFI,5,0),1,0)*Table_NFI[[#This Row],[Sanitary Kit]],Table_NFI[Sanitary Kit])</f>
        <v>0</v>
      </c>
      <c r="AB700" s="294">
        <f>IF(NFI_Expiration=1,IF($A700&lt;VLOOKUP(K$5,NFI,5,0),1,0)*Table_NFI[[#This Row],[Mosquito net]],Table_NFI[Mosquito net])</f>
        <v>0</v>
      </c>
      <c r="AC700" s="294">
        <f>IF(NFI_Expiration=1,IF($A700&lt;VLOOKUP(L$5,NFI,5,0),1,0)*Table_NFI[[#This Row],[Tarpaulin]],Table_NFI[[#This Row],[Tarpaulin]])</f>
        <v>0</v>
      </c>
      <c r="AD700" s="294">
        <f>IF(NFI_Expiration=1,IF($A700&lt;VLOOKUP(M$5,NFI,5,0),1,0)*Table_NFI[[#This Row],[Blanket]],Table_NFI[[#This Row],[Blanket]])</f>
        <v>0</v>
      </c>
      <c r="AE700" s="294">
        <f>IF(NFI_Expiration=1,IF($A700&lt;VLOOKUP(N$5,NFI,5,0),1,0)*Table_NFI[[#This Row],[Kitchen Set]],Table_NFI[Kitchen Set])</f>
        <v>0</v>
      </c>
      <c r="AF700" s="294">
        <f>IF(NFI_Expiration=1,IF($A700&lt;VLOOKUP(O$5,NFI,5,0),1,0)*Table_NFI[[#This Row],[Clothes Kit]],Table_NFI[Clothes Kit])</f>
        <v>0</v>
      </c>
      <c r="AG700" s="294">
        <f>IF(NFI_Expiration=1,IF($A700&lt;VLOOKUP(P$5,NFI,5,0),1,0)*Table_NFI[[#This Row],[Plastic Bucket]],Table_NFI[Plastic Bucket])</f>
        <v>0</v>
      </c>
      <c r="AH700" s="294">
        <f>IF(NFI_Expiration=1,IF($A700&lt;VLOOKUP(Q$5,NFI,5,0),1,0)*Table_NFI[[#This Row],[Plastic Mat]],Table_NFI[Plastic Mat])*IF(Table_NFI[[#This Row],[Distribution Date]]&gt;"2014-04-01",1,2.5)</f>
        <v>0</v>
      </c>
      <c r="AI700" s="294">
        <f>IF(NFI_Expiration=1,IF($A700&lt;VLOOKUP(R$5,NFI,5,0),1,0)*Table_NFI[[#This Row],[Winter Clothes Adult]],Table_NFI[Winter Clothes Adult])</f>
        <v>0</v>
      </c>
      <c r="AJ700" s="294">
        <f>IF(NFI_Expiration=1,IF($A700&lt;VLOOKUP(S$5,NFI,5,0),1,0)*Table_NFI[[#This Row],[Winter Clothes Children]],Table_NFI[Winter Clothes Children])</f>
        <v>0</v>
      </c>
      <c r="AK700" s="294">
        <f>IF(NFI_Expiration=1,IF($A700&lt;VLOOKUP(T$5,NFI,5,0),1,0)*Table_NFI[[#This Row],[Winter Items Other]],Table_NFI[Winter Items Other])</f>
        <v>0</v>
      </c>
      <c r="AL700" s="294">
        <f>IF(NFI_Expiration=1,IF($A700&lt;VLOOKUP(M$5,NFI,5,0),1,0)*Table_NFI[[#This Row],[Winter Blanket]],Table_NFI[[#This Row],[Winter Blanket]])</f>
        <v>0</v>
      </c>
      <c r="AM700" s="294">
        <f>IF(Table_NFI[[#This Row],[Winter Clothes Adult]]+Table_NFI[[#This Row],[Winter Clothes Children]]+Table_NFI[[#This Row],[Winter Items Other]]+Table_NFI[[#This Row],[Winter Blanket]]&gt;0,1,0)</f>
        <v>0</v>
      </c>
      <c r="AN700" s="331">
        <f>IF(NFI_Expiration=1,IF($A700&lt;VLOOKUP(V$5,NFI,5,0),1,0)*Table_NFI[[#This Row],[Jerry Can]],Table_NFI[Jerry Can])</f>
        <v>0</v>
      </c>
      <c r="AO700" s="331">
        <f>IF(NFI_Expiration=1,IF($A700&lt;VLOOKUP(V$5,NFI,5,0),1,0)*Table_NFI[[#This Row],[Shelter Tool kit]],Table_NFI[Shelter Tool kit])</f>
        <v>0</v>
      </c>
      <c r="AP700" s="331">
        <f>IF(NFI_Expiration=1,IF($A700&lt;VLOOKUP(V$5,NFI,5,0),1,0)*Table_NFI[[#This Row],[Tent]],Table_NFI[Tent])</f>
        <v>0</v>
      </c>
      <c r="AQ700" s="473" t="str">
        <f>IFERROR(VLOOKUP(Table_NFI[[#This Row],[Camp Name]],CL,2,0),"")</f>
        <v>MMR001CMP167</v>
      </c>
      <c r="AR700" s="468">
        <f ca="1">IF(Table_NFI[[#This Row],[Pcode]]="","",IF(OFFSET(CampList[Opening Date],MATCH(Table_NFI[[#This Row],[Pcode]],CampList[CP_Pcode],0)-1,0,1,1)&gt;=NFI_Monitor_Date,1,0))</f>
        <v>0</v>
      </c>
      <c r="AS700" s="473" t="str">
        <f>IFERROR(VLOOKUP(Table_NFI[[#This Row],[Camp Name]],CL,3,0),"")</f>
        <v>Open</v>
      </c>
      <c r="AT700" s="294" t="str">
        <f ca="1">IF(Table_NFI[[#This Row],[Pcode]]="","",OFFSET(CampList[Priority],MATCH(Table_NFI[[#This Row],[Pcode]],CampList[CP_Pcode],0)-1,0,1,1))</f>
        <v>P4</v>
      </c>
      <c r="AU700" s="293">
        <f>IFERROR(Table_NFI[[#This Row],[Kitchen Set]]/VLOOKUP(Table_NFI[[#This Row],[Camp Name]],CL,4,0),"")</f>
        <v>1.8</v>
      </c>
      <c r="AV700" s="466" t="s">
        <v>1092</v>
      </c>
      <c r="AW700" s="469"/>
    </row>
    <row r="701" spans="1:49" x14ac:dyDescent="0.25">
      <c r="A701" s="297">
        <f t="shared" si="10"/>
        <v>44.06666666666667</v>
      </c>
      <c r="B701" s="465">
        <v>41353</v>
      </c>
      <c r="C701" s="466" t="s">
        <v>452</v>
      </c>
      <c r="D701" s="466" t="s">
        <v>452</v>
      </c>
      <c r="E701" s="466" t="s">
        <v>380</v>
      </c>
      <c r="F701" s="466" t="s">
        <v>527</v>
      </c>
      <c r="G701" s="290" t="s">
        <v>84</v>
      </c>
      <c r="H701" s="291"/>
      <c r="I701" s="291"/>
      <c r="J701" s="291">
        <v>18</v>
      </c>
      <c r="K701" s="291">
        <v>17</v>
      </c>
      <c r="L701" s="292">
        <v>17</v>
      </c>
      <c r="M701" s="292">
        <v>42</v>
      </c>
      <c r="N701" s="292">
        <v>17</v>
      </c>
      <c r="O701" s="292">
        <v>42</v>
      </c>
      <c r="P701" s="294">
        <v>42</v>
      </c>
      <c r="Q701" s="294">
        <v>42</v>
      </c>
      <c r="R701" s="294"/>
      <c r="S701" s="294"/>
      <c r="T701" s="294"/>
      <c r="U701" s="294"/>
      <c r="V701" s="431"/>
      <c r="W701" s="331"/>
      <c r="X701" s="331"/>
      <c r="Y701" s="294">
        <f>IF(NFI_Expiration=1,IF($A701&lt;VLOOKUP(H$5,NFI,5,0),1,0)*Table_NFI[[#This Row],[Hygiene Kit]],Table_NFI[Hygiene Kit])</f>
        <v>0</v>
      </c>
      <c r="Z701" s="294">
        <f>IF(NFI_Expiration=1,IF($A701&lt;VLOOKUP(I$5,NFI,5,0),1,0)*Table_NFI[[#This Row],[NFI Core Kit]],Table_NFI[NFI Core Kit])</f>
        <v>0</v>
      </c>
      <c r="AA701" s="294">
        <f>IF(NFI_Expiration=1,IF($A701&lt;VLOOKUP(J$5,NFI,5,0),1,0)*Table_NFI[[#This Row],[Sanitary Kit]],Table_NFI[Sanitary Kit])</f>
        <v>0</v>
      </c>
      <c r="AB701" s="294">
        <f>IF(NFI_Expiration=1,IF($A701&lt;VLOOKUP(K$5,NFI,5,0),1,0)*Table_NFI[[#This Row],[Mosquito net]],Table_NFI[Mosquito net])</f>
        <v>0</v>
      </c>
      <c r="AC701" s="294">
        <f>IF(NFI_Expiration=1,IF($A701&lt;VLOOKUP(L$5,NFI,5,0),1,0)*Table_NFI[[#This Row],[Tarpaulin]],Table_NFI[[#This Row],[Tarpaulin]])</f>
        <v>0</v>
      </c>
      <c r="AD701" s="294">
        <f>IF(NFI_Expiration=1,IF($A701&lt;VLOOKUP(M$5,NFI,5,0),1,0)*Table_NFI[[#This Row],[Blanket]],Table_NFI[[#This Row],[Blanket]])</f>
        <v>0</v>
      </c>
      <c r="AE701" s="294">
        <f>IF(NFI_Expiration=1,IF($A701&lt;VLOOKUP(N$5,NFI,5,0),1,0)*Table_NFI[[#This Row],[Kitchen Set]],Table_NFI[Kitchen Set])</f>
        <v>0</v>
      </c>
      <c r="AF701" s="294">
        <f>IF(NFI_Expiration=1,IF($A701&lt;VLOOKUP(O$5,NFI,5,0),1,0)*Table_NFI[[#This Row],[Clothes Kit]],Table_NFI[Clothes Kit])</f>
        <v>0</v>
      </c>
      <c r="AG701" s="294">
        <f>IF(NFI_Expiration=1,IF($A701&lt;VLOOKUP(P$5,NFI,5,0),1,0)*Table_NFI[[#This Row],[Plastic Bucket]],Table_NFI[Plastic Bucket])</f>
        <v>0</v>
      </c>
      <c r="AH701" s="294">
        <f>IF(NFI_Expiration=1,IF($A701&lt;VLOOKUP(Q$5,NFI,5,0),1,0)*Table_NFI[[#This Row],[Plastic Mat]],Table_NFI[Plastic Mat])*IF(Table_NFI[[#This Row],[Distribution Date]]&gt;"2014-04-01",1,2.5)</f>
        <v>0</v>
      </c>
      <c r="AI701" s="294">
        <f>IF(NFI_Expiration=1,IF($A701&lt;VLOOKUP(R$5,NFI,5,0),1,0)*Table_NFI[[#This Row],[Winter Clothes Adult]],Table_NFI[Winter Clothes Adult])</f>
        <v>0</v>
      </c>
      <c r="AJ701" s="294">
        <f>IF(NFI_Expiration=1,IF($A701&lt;VLOOKUP(S$5,NFI,5,0),1,0)*Table_NFI[[#This Row],[Winter Clothes Children]],Table_NFI[Winter Clothes Children])</f>
        <v>0</v>
      </c>
      <c r="AK701" s="294">
        <f>IF(NFI_Expiration=1,IF($A701&lt;VLOOKUP(T$5,NFI,5,0),1,0)*Table_NFI[[#This Row],[Winter Items Other]],Table_NFI[Winter Items Other])</f>
        <v>0</v>
      </c>
      <c r="AL701" s="294">
        <f>IF(NFI_Expiration=1,IF($A701&lt;VLOOKUP(M$5,NFI,5,0),1,0)*Table_NFI[[#This Row],[Winter Blanket]],Table_NFI[[#This Row],[Winter Blanket]])</f>
        <v>0</v>
      </c>
      <c r="AM701" s="294">
        <f>IF(Table_NFI[[#This Row],[Winter Clothes Adult]]+Table_NFI[[#This Row],[Winter Clothes Children]]+Table_NFI[[#This Row],[Winter Items Other]]+Table_NFI[[#This Row],[Winter Blanket]]&gt;0,1,0)</f>
        <v>0</v>
      </c>
      <c r="AN701" s="331">
        <f>IF(NFI_Expiration=1,IF($A701&lt;VLOOKUP(V$5,NFI,5,0),1,0)*Table_NFI[[#This Row],[Jerry Can]],Table_NFI[Jerry Can])</f>
        <v>0</v>
      </c>
      <c r="AO701" s="331">
        <f>IF(NFI_Expiration=1,IF($A701&lt;VLOOKUP(V$5,NFI,5,0),1,0)*Table_NFI[[#This Row],[Shelter Tool kit]],Table_NFI[Shelter Tool kit])</f>
        <v>0</v>
      </c>
      <c r="AP701" s="331">
        <f>IF(NFI_Expiration=1,IF($A701&lt;VLOOKUP(V$5,NFI,5,0),1,0)*Table_NFI[[#This Row],[Tent]],Table_NFI[Tent])</f>
        <v>0</v>
      </c>
      <c r="AQ701" s="473" t="str">
        <f>IFERROR(VLOOKUP(Table_NFI[[#This Row],[Camp Name]],CL,2,0),"")</f>
        <v>MMR001CMP085</v>
      </c>
      <c r="AR701" s="468">
        <f ca="1">IF(Table_NFI[[#This Row],[Pcode]]="","",IF(OFFSET(CampList[Opening Date],MATCH(Table_NFI[[#This Row],[Pcode]],CampList[CP_Pcode],0)-1,0,1,1)&gt;=NFI_Monitor_Date,1,0))</f>
        <v>0</v>
      </c>
      <c r="AS701" s="473" t="str">
        <f>IFERROR(VLOOKUP(Table_NFI[[#This Row],[Camp Name]],CL,3,0),"")</f>
        <v>Closed</v>
      </c>
      <c r="AT701" s="294" t="str">
        <f ca="1">IF(Table_NFI[[#This Row],[Pcode]]="","",OFFSET(CampList[Priority],MATCH(Table_NFI[[#This Row],[Pcode]],CampList[CP_Pcode],0)-1,0,1,1))</f>
        <v/>
      </c>
      <c r="AU701" s="293" t="str">
        <f>IFERROR(Table_NFI[[#This Row],[Kitchen Set]]/VLOOKUP(Table_NFI[[#This Row],[Camp Name]],CL,4,0),"")</f>
        <v/>
      </c>
      <c r="AV701" s="466" t="s">
        <v>1092</v>
      </c>
      <c r="AW701" s="469"/>
    </row>
    <row r="702" spans="1:49" x14ac:dyDescent="0.25">
      <c r="A702" s="297">
        <f t="shared" si="10"/>
        <v>44.06666666666667</v>
      </c>
      <c r="B702" s="465">
        <v>41353</v>
      </c>
      <c r="C702" s="466" t="s">
        <v>452</v>
      </c>
      <c r="D702" s="467" t="s">
        <v>452</v>
      </c>
      <c r="E702" s="466" t="s">
        <v>380</v>
      </c>
      <c r="F702" s="290" t="s">
        <v>527</v>
      </c>
      <c r="G702" s="290" t="s">
        <v>100</v>
      </c>
      <c r="H702" s="291"/>
      <c r="I702" s="291"/>
      <c r="J702" s="291">
        <v>17</v>
      </c>
      <c r="K702" s="291">
        <v>17</v>
      </c>
      <c r="L702" s="292">
        <v>17</v>
      </c>
      <c r="M702" s="292">
        <v>41</v>
      </c>
      <c r="N702" s="292">
        <v>17</v>
      </c>
      <c r="O702" s="292">
        <v>41</v>
      </c>
      <c r="P702" s="294">
        <v>41</v>
      </c>
      <c r="Q702" s="294">
        <v>41</v>
      </c>
      <c r="R702" s="294"/>
      <c r="S702" s="294"/>
      <c r="T702" s="294"/>
      <c r="U702" s="294"/>
      <c r="V702" s="431"/>
      <c r="W702" s="331"/>
      <c r="X702" s="331"/>
      <c r="Y702" s="294">
        <f>IF(NFI_Expiration=1,IF($A702&lt;VLOOKUP(H$5,NFI,5,0),1,0)*Table_NFI[[#This Row],[Hygiene Kit]],Table_NFI[Hygiene Kit])</f>
        <v>0</v>
      </c>
      <c r="Z702" s="294">
        <f>IF(NFI_Expiration=1,IF($A702&lt;VLOOKUP(I$5,NFI,5,0),1,0)*Table_NFI[[#This Row],[NFI Core Kit]],Table_NFI[NFI Core Kit])</f>
        <v>0</v>
      </c>
      <c r="AA702" s="294">
        <f>IF(NFI_Expiration=1,IF($A702&lt;VLOOKUP(J$5,NFI,5,0),1,0)*Table_NFI[[#This Row],[Sanitary Kit]],Table_NFI[Sanitary Kit])</f>
        <v>0</v>
      </c>
      <c r="AB702" s="294">
        <f>IF(NFI_Expiration=1,IF($A702&lt;VLOOKUP(K$5,NFI,5,0),1,0)*Table_NFI[[#This Row],[Mosquito net]],Table_NFI[Mosquito net])</f>
        <v>0</v>
      </c>
      <c r="AC702" s="294">
        <f>IF(NFI_Expiration=1,IF($A702&lt;VLOOKUP(L$5,NFI,5,0),1,0)*Table_NFI[[#This Row],[Tarpaulin]],Table_NFI[[#This Row],[Tarpaulin]])</f>
        <v>0</v>
      </c>
      <c r="AD702" s="294">
        <f>IF(NFI_Expiration=1,IF($A702&lt;VLOOKUP(M$5,NFI,5,0),1,0)*Table_NFI[[#This Row],[Blanket]],Table_NFI[[#This Row],[Blanket]])</f>
        <v>0</v>
      </c>
      <c r="AE702" s="294">
        <f>IF(NFI_Expiration=1,IF($A702&lt;VLOOKUP(N$5,NFI,5,0),1,0)*Table_NFI[[#This Row],[Kitchen Set]],Table_NFI[Kitchen Set])</f>
        <v>0</v>
      </c>
      <c r="AF702" s="294">
        <f>IF(NFI_Expiration=1,IF($A702&lt;VLOOKUP(O$5,NFI,5,0),1,0)*Table_NFI[[#This Row],[Clothes Kit]],Table_NFI[Clothes Kit])</f>
        <v>0</v>
      </c>
      <c r="AG702" s="294">
        <f>IF(NFI_Expiration=1,IF($A702&lt;VLOOKUP(P$5,NFI,5,0),1,0)*Table_NFI[[#This Row],[Plastic Bucket]],Table_NFI[Plastic Bucket])</f>
        <v>0</v>
      </c>
      <c r="AH702" s="294">
        <f>IF(NFI_Expiration=1,IF($A702&lt;VLOOKUP(Q$5,NFI,5,0),1,0)*Table_NFI[[#This Row],[Plastic Mat]],Table_NFI[Plastic Mat])*IF(Table_NFI[[#This Row],[Distribution Date]]&gt;"2014-04-01",1,2.5)</f>
        <v>0</v>
      </c>
      <c r="AI702" s="294">
        <f>IF(NFI_Expiration=1,IF($A702&lt;VLOOKUP(R$5,NFI,5,0),1,0)*Table_NFI[[#This Row],[Winter Clothes Adult]],Table_NFI[Winter Clothes Adult])</f>
        <v>0</v>
      </c>
      <c r="AJ702" s="294">
        <f>IF(NFI_Expiration=1,IF($A702&lt;VLOOKUP(S$5,NFI,5,0),1,0)*Table_NFI[[#This Row],[Winter Clothes Children]],Table_NFI[Winter Clothes Children])</f>
        <v>0</v>
      </c>
      <c r="AK702" s="294">
        <f>IF(NFI_Expiration=1,IF($A702&lt;VLOOKUP(T$5,NFI,5,0),1,0)*Table_NFI[[#This Row],[Winter Items Other]],Table_NFI[Winter Items Other])</f>
        <v>0</v>
      </c>
      <c r="AL702" s="294">
        <f>IF(NFI_Expiration=1,IF($A702&lt;VLOOKUP(M$5,NFI,5,0),1,0)*Table_NFI[[#This Row],[Winter Blanket]],Table_NFI[[#This Row],[Winter Blanket]])</f>
        <v>0</v>
      </c>
      <c r="AM702" s="294">
        <f>IF(Table_NFI[[#This Row],[Winter Clothes Adult]]+Table_NFI[[#This Row],[Winter Clothes Children]]+Table_NFI[[#This Row],[Winter Items Other]]+Table_NFI[[#This Row],[Winter Blanket]]&gt;0,1,0)</f>
        <v>0</v>
      </c>
      <c r="AN702" s="331">
        <f>IF(NFI_Expiration=1,IF($A702&lt;VLOOKUP(V$5,NFI,5,0),1,0)*Table_NFI[[#This Row],[Jerry Can]],Table_NFI[Jerry Can])</f>
        <v>0</v>
      </c>
      <c r="AO702" s="331">
        <f>IF(NFI_Expiration=1,IF($A702&lt;VLOOKUP(V$5,NFI,5,0),1,0)*Table_NFI[[#This Row],[Shelter Tool kit]],Table_NFI[Shelter Tool kit])</f>
        <v>0</v>
      </c>
      <c r="AP702" s="331">
        <f>IF(NFI_Expiration=1,IF($A702&lt;VLOOKUP(V$5,NFI,5,0),1,0)*Table_NFI[[#This Row],[Tent]],Table_NFI[Tent])</f>
        <v>0</v>
      </c>
      <c r="AQ702" s="473" t="str">
        <f>IFERROR(VLOOKUP(Table_NFI[[#This Row],[Camp Name]],CL,2,0),"")</f>
        <v>MMR001CMP091</v>
      </c>
      <c r="AR702" s="468">
        <f ca="1">IF(Table_NFI[[#This Row],[Pcode]]="","",IF(OFFSET(CampList[Opening Date],MATCH(Table_NFI[[#This Row],[Pcode]],CampList[CP_Pcode],0)-1,0,1,1)&gt;=NFI_Monitor_Date,1,0))</f>
        <v>0</v>
      </c>
      <c r="AS702" s="473" t="str">
        <f>IFERROR(VLOOKUP(Table_NFI[[#This Row],[Camp Name]],CL,3,0),"")</f>
        <v>Open</v>
      </c>
      <c r="AT702" s="294" t="str">
        <f ca="1">IF(Table_NFI[[#This Row],[Pcode]]="","",OFFSET(CampList[Priority],MATCH(Table_NFI[[#This Row],[Pcode]],CampList[CP_Pcode],0)-1,0,1,1))</f>
        <v>P4</v>
      </c>
      <c r="AU702" s="293">
        <f>IFERROR(Table_NFI[[#This Row],[Kitchen Set]]/VLOOKUP(Table_NFI[[#This Row],[Camp Name]],CL,4,0),"")</f>
        <v>4.25</v>
      </c>
      <c r="AV702" s="466" t="s">
        <v>1092</v>
      </c>
      <c r="AW702" s="469"/>
    </row>
    <row r="703" spans="1:49" x14ac:dyDescent="0.25">
      <c r="A703" s="297">
        <f t="shared" si="10"/>
        <v>44.06666666666667</v>
      </c>
      <c r="B703" s="465">
        <v>41353</v>
      </c>
      <c r="C703" s="466" t="s">
        <v>452</v>
      </c>
      <c r="D703" s="467" t="s">
        <v>452</v>
      </c>
      <c r="E703" s="466" t="s">
        <v>380</v>
      </c>
      <c r="F703" s="290" t="s">
        <v>527</v>
      </c>
      <c r="G703" s="290" t="s">
        <v>142</v>
      </c>
      <c r="H703" s="291"/>
      <c r="I703" s="291"/>
      <c r="J703" s="291">
        <v>48</v>
      </c>
      <c r="K703" s="291">
        <v>48</v>
      </c>
      <c r="L703" s="292">
        <v>48</v>
      </c>
      <c r="M703" s="292">
        <v>98</v>
      </c>
      <c r="N703" s="292">
        <v>48</v>
      </c>
      <c r="O703" s="292">
        <v>98</v>
      </c>
      <c r="P703" s="294">
        <v>98</v>
      </c>
      <c r="Q703" s="294">
        <v>98</v>
      </c>
      <c r="R703" s="294"/>
      <c r="S703" s="294"/>
      <c r="T703" s="294"/>
      <c r="U703" s="294"/>
      <c r="V703" s="431"/>
      <c r="W703" s="331"/>
      <c r="X703" s="331"/>
      <c r="Y703" s="294">
        <f>IF(NFI_Expiration=1,IF($A703&lt;VLOOKUP(H$5,NFI,5,0),1,0)*Table_NFI[[#This Row],[Hygiene Kit]],Table_NFI[Hygiene Kit])</f>
        <v>0</v>
      </c>
      <c r="Z703" s="294">
        <f>IF(NFI_Expiration=1,IF($A703&lt;VLOOKUP(I$5,NFI,5,0),1,0)*Table_NFI[[#This Row],[NFI Core Kit]],Table_NFI[NFI Core Kit])</f>
        <v>0</v>
      </c>
      <c r="AA703" s="294">
        <f>IF(NFI_Expiration=1,IF($A703&lt;VLOOKUP(J$5,NFI,5,0),1,0)*Table_NFI[[#This Row],[Sanitary Kit]],Table_NFI[Sanitary Kit])</f>
        <v>0</v>
      </c>
      <c r="AB703" s="294">
        <f>IF(NFI_Expiration=1,IF($A703&lt;VLOOKUP(K$5,NFI,5,0),1,0)*Table_NFI[[#This Row],[Mosquito net]],Table_NFI[Mosquito net])</f>
        <v>0</v>
      </c>
      <c r="AC703" s="294">
        <f>IF(NFI_Expiration=1,IF($A703&lt;VLOOKUP(L$5,NFI,5,0),1,0)*Table_NFI[[#This Row],[Tarpaulin]],Table_NFI[[#This Row],[Tarpaulin]])</f>
        <v>0</v>
      </c>
      <c r="AD703" s="294">
        <f>IF(NFI_Expiration=1,IF($A703&lt;VLOOKUP(M$5,NFI,5,0),1,0)*Table_NFI[[#This Row],[Blanket]],Table_NFI[[#This Row],[Blanket]])</f>
        <v>0</v>
      </c>
      <c r="AE703" s="294">
        <f>IF(NFI_Expiration=1,IF($A703&lt;VLOOKUP(N$5,NFI,5,0),1,0)*Table_NFI[[#This Row],[Kitchen Set]],Table_NFI[Kitchen Set])</f>
        <v>0</v>
      </c>
      <c r="AF703" s="294">
        <f>IF(NFI_Expiration=1,IF($A703&lt;VLOOKUP(O$5,NFI,5,0),1,0)*Table_NFI[[#This Row],[Clothes Kit]],Table_NFI[Clothes Kit])</f>
        <v>0</v>
      </c>
      <c r="AG703" s="294">
        <f>IF(NFI_Expiration=1,IF($A703&lt;VLOOKUP(P$5,NFI,5,0),1,0)*Table_NFI[[#This Row],[Plastic Bucket]],Table_NFI[Plastic Bucket])</f>
        <v>0</v>
      </c>
      <c r="AH703" s="294">
        <f>IF(NFI_Expiration=1,IF($A703&lt;VLOOKUP(Q$5,NFI,5,0),1,0)*Table_NFI[[#This Row],[Plastic Mat]],Table_NFI[Plastic Mat])*IF(Table_NFI[[#This Row],[Distribution Date]]&gt;"2014-04-01",1,2.5)</f>
        <v>0</v>
      </c>
      <c r="AI703" s="294">
        <f>IF(NFI_Expiration=1,IF($A703&lt;VLOOKUP(R$5,NFI,5,0),1,0)*Table_NFI[[#This Row],[Winter Clothes Adult]],Table_NFI[Winter Clothes Adult])</f>
        <v>0</v>
      </c>
      <c r="AJ703" s="294">
        <f>IF(NFI_Expiration=1,IF($A703&lt;VLOOKUP(S$5,NFI,5,0),1,0)*Table_NFI[[#This Row],[Winter Clothes Children]],Table_NFI[Winter Clothes Children])</f>
        <v>0</v>
      </c>
      <c r="AK703" s="294">
        <f>IF(NFI_Expiration=1,IF($A703&lt;VLOOKUP(T$5,NFI,5,0),1,0)*Table_NFI[[#This Row],[Winter Items Other]],Table_NFI[Winter Items Other])</f>
        <v>0</v>
      </c>
      <c r="AL703" s="294">
        <f>IF(NFI_Expiration=1,IF($A703&lt;VLOOKUP(M$5,NFI,5,0),1,0)*Table_NFI[[#This Row],[Winter Blanket]],Table_NFI[[#This Row],[Winter Blanket]])</f>
        <v>0</v>
      </c>
      <c r="AM703" s="294">
        <f>IF(Table_NFI[[#This Row],[Winter Clothes Adult]]+Table_NFI[[#This Row],[Winter Clothes Children]]+Table_NFI[[#This Row],[Winter Items Other]]+Table_NFI[[#This Row],[Winter Blanket]]&gt;0,1,0)</f>
        <v>0</v>
      </c>
      <c r="AN703" s="331">
        <f>IF(NFI_Expiration=1,IF($A703&lt;VLOOKUP(V$5,NFI,5,0),1,0)*Table_NFI[[#This Row],[Jerry Can]],Table_NFI[Jerry Can])</f>
        <v>0</v>
      </c>
      <c r="AO703" s="331">
        <f>IF(NFI_Expiration=1,IF($A703&lt;VLOOKUP(V$5,NFI,5,0),1,0)*Table_NFI[[#This Row],[Shelter Tool kit]],Table_NFI[Shelter Tool kit])</f>
        <v>0</v>
      </c>
      <c r="AP703" s="331">
        <f>IF(NFI_Expiration=1,IF($A703&lt;VLOOKUP(V$5,NFI,5,0),1,0)*Table_NFI[[#This Row],[Tent]],Table_NFI[Tent])</f>
        <v>0</v>
      </c>
      <c r="AQ703" s="473" t="str">
        <f>IFERROR(VLOOKUP(Table_NFI[[#This Row],[Camp Name]],CL,2,0),"")</f>
        <v>MMR001CMP177</v>
      </c>
      <c r="AR703" s="468">
        <f ca="1">IF(Table_NFI[[#This Row],[Pcode]]="","",IF(OFFSET(CampList[Opening Date],MATCH(Table_NFI[[#This Row],[Pcode]],CampList[CP_Pcode],0)-1,0,1,1)&gt;=NFI_Monitor_Date,1,0))</f>
        <v>0</v>
      </c>
      <c r="AS703" s="473" t="str">
        <f>IFERROR(VLOOKUP(Table_NFI[[#This Row],[Camp Name]],CL,3,0),"")</f>
        <v>Closed</v>
      </c>
      <c r="AT703" s="294" t="str">
        <f ca="1">IF(Table_NFI[[#This Row],[Pcode]]="","",OFFSET(CampList[Priority],MATCH(Table_NFI[[#This Row],[Pcode]],CampList[CP_Pcode],0)-1,0,1,1))</f>
        <v/>
      </c>
      <c r="AU703" s="293" t="str">
        <f>IFERROR(Table_NFI[[#This Row],[Kitchen Set]]/VLOOKUP(Table_NFI[[#This Row],[Camp Name]],CL,4,0),"")</f>
        <v/>
      </c>
      <c r="AV703" s="466" t="s">
        <v>1092</v>
      </c>
      <c r="AW703" s="469"/>
    </row>
    <row r="704" spans="1:49" x14ac:dyDescent="0.25">
      <c r="A704" s="297">
        <f t="shared" si="10"/>
        <v>44.06666666666667</v>
      </c>
      <c r="B704" s="465">
        <v>41353</v>
      </c>
      <c r="C704" s="466" t="s">
        <v>452</v>
      </c>
      <c r="D704" s="467" t="s">
        <v>452</v>
      </c>
      <c r="E704" s="466" t="s">
        <v>380</v>
      </c>
      <c r="F704" s="290" t="s">
        <v>527</v>
      </c>
      <c r="G704" s="290" t="s">
        <v>126</v>
      </c>
      <c r="H704" s="291"/>
      <c r="I704" s="291"/>
      <c r="J704" s="291">
        <v>124</v>
      </c>
      <c r="K704" s="291">
        <v>117</v>
      </c>
      <c r="L704" s="292">
        <v>121</v>
      </c>
      <c r="M704" s="292">
        <v>227</v>
      </c>
      <c r="N704" s="292">
        <v>122</v>
      </c>
      <c r="O704" s="292">
        <v>263</v>
      </c>
      <c r="P704" s="294">
        <v>263</v>
      </c>
      <c r="Q704" s="294">
        <v>263</v>
      </c>
      <c r="R704" s="294"/>
      <c r="S704" s="294"/>
      <c r="T704" s="294"/>
      <c r="U704" s="294"/>
      <c r="V704" s="431"/>
      <c r="W704" s="331"/>
      <c r="X704" s="331"/>
      <c r="Y704" s="294">
        <f>IF(NFI_Expiration=1,IF($A704&lt;VLOOKUP(H$5,NFI,5,0),1,0)*Table_NFI[[#This Row],[Hygiene Kit]],Table_NFI[Hygiene Kit])</f>
        <v>0</v>
      </c>
      <c r="Z704" s="294">
        <f>IF(NFI_Expiration=1,IF($A704&lt;VLOOKUP(I$5,NFI,5,0),1,0)*Table_NFI[[#This Row],[NFI Core Kit]],Table_NFI[NFI Core Kit])</f>
        <v>0</v>
      </c>
      <c r="AA704" s="294">
        <f>IF(NFI_Expiration=1,IF($A704&lt;VLOOKUP(J$5,NFI,5,0),1,0)*Table_NFI[[#This Row],[Sanitary Kit]],Table_NFI[Sanitary Kit])</f>
        <v>0</v>
      </c>
      <c r="AB704" s="294">
        <f>IF(NFI_Expiration=1,IF($A704&lt;VLOOKUP(K$5,NFI,5,0),1,0)*Table_NFI[[#This Row],[Mosquito net]],Table_NFI[Mosquito net])</f>
        <v>0</v>
      </c>
      <c r="AC704" s="294">
        <f>IF(NFI_Expiration=1,IF($A704&lt;VLOOKUP(L$5,NFI,5,0),1,0)*Table_NFI[[#This Row],[Tarpaulin]],Table_NFI[[#This Row],[Tarpaulin]])</f>
        <v>0</v>
      </c>
      <c r="AD704" s="294">
        <f>IF(NFI_Expiration=1,IF($A704&lt;VLOOKUP(M$5,NFI,5,0),1,0)*Table_NFI[[#This Row],[Blanket]],Table_NFI[[#This Row],[Blanket]])</f>
        <v>0</v>
      </c>
      <c r="AE704" s="294">
        <f>IF(NFI_Expiration=1,IF($A704&lt;VLOOKUP(N$5,NFI,5,0),1,0)*Table_NFI[[#This Row],[Kitchen Set]],Table_NFI[Kitchen Set])</f>
        <v>0</v>
      </c>
      <c r="AF704" s="294">
        <f>IF(NFI_Expiration=1,IF($A704&lt;VLOOKUP(O$5,NFI,5,0),1,0)*Table_NFI[[#This Row],[Clothes Kit]],Table_NFI[Clothes Kit])</f>
        <v>0</v>
      </c>
      <c r="AG704" s="294">
        <f>IF(NFI_Expiration=1,IF($A704&lt;VLOOKUP(P$5,NFI,5,0),1,0)*Table_NFI[[#This Row],[Plastic Bucket]],Table_NFI[Plastic Bucket])</f>
        <v>0</v>
      </c>
      <c r="AH704" s="294">
        <f>IF(NFI_Expiration=1,IF($A704&lt;VLOOKUP(Q$5,NFI,5,0),1,0)*Table_NFI[[#This Row],[Plastic Mat]],Table_NFI[Plastic Mat])*IF(Table_NFI[[#This Row],[Distribution Date]]&gt;"2014-04-01",1,2.5)</f>
        <v>0</v>
      </c>
      <c r="AI704" s="294">
        <f>IF(NFI_Expiration=1,IF($A704&lt;VLOOKUP(R$5,NFI,5,0),1,0)*Table_NFI[[#This Row],[Winter Clothes Adult]],Table_NFI[Winter Clothes Adult])</f>
        <v>0</v>
      </c>
      <c r="AJ704" s="294">
        <f>IF(NFI_Expiration=1,IF($A704&lt;VLOOKUP(S$5,NFI,5,0),1,0)*Table_NFI[[#This Row],[Winter Clothes Children]],Table_NFI[Winter Clothes Children])</f>
        <v>0</v>
      </c>
      <c r="AK704" s="294">
        <f>IF(NFI_Expiration=1,IF($A704&lt;VLOOKUP(T$5,NFI,5,0),1,0)*Table_NFI[[#This Row],[Winter Items Other]],Table_NFI[Winter Items Other])</f>
        <v>0</v>
      </c>
      <c r="AL704" s="294">
        <f>IF(NFI_Expiration=1,IF($A704&lt;VLOOKUP(M$5,NFI,5,0),1,0)*Table_NFI[[#This Row],[Winter Blanket]],Table_NFI[[#This Row],[Winter Blanket]])</f>
        <v>0</v>
      </c>
      <c r="AM704" s="294">
        <f>IF(Table_NFI[[#This Row],[Winter Clothes Adult]]+Table_NFI[[#This Row],[Winter Clothes Children]]+Table_NFI[[#This Row],[Winter Items Other]]+Table_NFI[[#This Row],[Winter Blanket]]&gt;0,1,0)</f>
        <v>0</v>
      </c>
      <c r="AN704" s="331">
        <f>IF(NFI_Expiration=1,IF($A704&lt;VLOOKUP(V$5,NFI,5,0),1,0)*Table_NFI[[#This Row],[Jerry Can]],Table_NFI[Jerry Can])</f>
        <v>0</v>
      </c>
      <c r="AO704" s="331">
        <f>IF(NFI_Expiration=1,IF($A704&lt;VLOOKUP(V$5,NFI,5,0),1,0)*Table_NFI[[#This Row],[Shelter Tool kit]],Table_NFI[Shelter Tool kit])</f>
        <v>0</v>
      </c>
      <c r="AP704" s="331">
        <f>IF(NFI_Expiration=1,IF($A704&lt;VLOOKUP(V$5,NFI,5,0),1,0)*Table_NFI[[#This Row],[Tent]],Table_NFI[Tent])</f>
        <v>0</v>
      </c>
      <c r="AQ704" s="473" t="str">
        <f>IFERROR(VLOOKUP(Table_NFI[[#This Row],[Camp Name]],CL,2,0),"")</f>
        <v>MMR001CMP184</v>
      </c>
      <c r="AR704" s="468">
        <f ca="1">IF(Table_NFI[[#This Row],[Pcode]]="","",IF(OFFSET(CampList[Opening Date],MATCH(Table_NFI[[#This Row],[Pcode]],CampList[CP_Pcode],0)-1,0,1,1)&gt;=NFI_Monitor_Date,1,0))</f>
        <v>0</v>
      </c>
      <c r="AS704" s="473" t="str">
        <f>IFERROR(VLOOKUP(Table_NFI[[#This Row],[Camp Name]],CL,3,0),"")</f>
        <v>Open</v>
      </c>
      <c r="AT704" s="294" t="str">
        <f ca="1">IF(Table_NFI[[#This Row],[Pcode]]="","",OFFSET(CampList[Priority],MATCH(Table_NFI[[#This Row],[Pcode]],CampList[CP_Pcode],0)-1,0,1,1))</f>
        <v>P4</v>
      </c>
      <c r="AU704" s="293">
        <f>IFERROR(Table_NFI[[#This Row],[Kitchen Set]]/VLOOKUP(Table_NFI[[#This Row],[Camp Name]],CL,4,0),"")</f>
        <v>3.4857142857142858</v>
      </c>
      <c r="AV704" s="466" t="s">
        <v>1092</v>
      </c>
      <c r="AW704" s="469"/>
    </row>
    <row r="705" spans="1:49" x14ac:dyDescent="0.25">
      <c r="A705" s="297">
        <f t="shared" si="10"/>
        <v>44.06666666666667</v>
      </c>
      <c r="B705" s="465">
        <v>41353</v>
      </c>
      <c r="C705" s="466" t="s">
        <v>452</v>
      </c>
      <c r="D705" s="467" t="s">
        <v>452</v>
      </c>
      <c r="E705" s="466" t="s">
        <v>380</v>
      </c>
      <c r="F705" s="290" t="s">
        <v>527</v>
      </c>
      <c r="G705" s="290" t="s">
        <v>74</v>
      </c>
      <c r="H705" s="291"/>
      <c r="I705" s="291"/>
      <c r="J705" s="291">
        <v>34</v>
      </c>
      <c r="K705" s="291">
        <v>26</v>
      </c>
      <c r="L705" s="292">
        <v>26</v>
      </c>
      <c r="M705" s="292">
        <v>60</v>
      </c>
      <c r="N705" s="292">
        <v>26</v>
      </c>
      <c r="O705" s="292">
        <v>60</v>
      </c>
      <c r="P705" s="294">
        <v>60</v>
      </c>
      <c r="Q705" s="294">
        <v>60</v>
      </c>
      <c r="R705" s="294"/>
      <c r="S705" s="294"/>
      <c r="T705" s="294"/>
      <c r="U705" s="294"/>
      <c r="V705" s="431"/>
      <c r="W705" s="331"/>
      <c r="X705" s="331"/>
      <c r="Y705" s="294">
        <f>IF(NFI_Expiration=1,IF($A705&lt;VLOOKUP(H$5,NFI,5,0),1,0)*Table_NFI[[#This Row],[Hygiene Kit]],Table_NFI[Hygiene Kit])</f>
        <v>0</v>
      </c>
      <c r="Z705" s="294">
        <f>IF(NFI_Expiration=1,IF($A705&lt;VLOOKUP(I$5,NFI,5,0),1,0)*Table_NFI[[#This Row],[NFI Core Kit]],Table_NFI[NFI Core Kit])</f>
        <v>0</v>
      </c>
      <c r="AA705" s="294">
        <f>IF(NFI_Expiration=1,IF($A705&lt;VLOOKUP(J$5,NFI,5,0),1,0)*Table_NFI[[#This Row],[Sanitary Kit]],Table_NFI[Sanitary Kit])</f>
        <v>0</v>
      </c>
      <c r="AB705" s="294">
        <f>IF(NFI_Expiration=1,IF($A705&lt;VLOOKUP(K$5,NFI,5,0),1,0)*Table_NFI[[#This Row],[Mosquito net]],Table_NFI[Mosquito net])</f>
        <v>0</v>
      </c>
      <c r="AC705" s="294">
        <f>IF(NFI_Expiration=1,IF($A705&lt;VLOOKUP(L$5,NFI,5,0),1,0)*Table_NFI[[#This Row],[Tarpaulin]],Table_NFI[[#This Row],[Tarpaulin]])</f>
        <v>0</v>
      </c>
      <c r="AD705" s="294">
        <f>IF(NFI_Expiration=1,IF($A705&lt;VLOOKUP(M$5,NFI,5,0),1,0)*Table_NFI[[#This Row],[Blanket]],Table_NFI[[#This Row],[Blanket]])</f>
        <v>0</v>
      </c>
      <c r="AE705" s="294">
        <f>IF(NFI_Expiration=1,IF($A705&lt;VLOOKUP(N$5,NFI,5,0),1,0)*Table_NFI[[#This Row],[Kitchen Set]],Table_NFI[Kitchen Set])</f>
        <v>0</v>
      </c>
      <c r="AF705" s="294">
        <f>IF(NFI_Expiration=1,IF($A705&lt;VLOOKUP(O$5,NFI,5,0),1,0)*Table_NFI[[#This Row],[Clothes Kit]],Table_NFI[Clothes Kit])</f>
        <v>0</v>
      </c>
      <c r="AG705" s="294">
        <f>IF(NFI_Expiration=1,IF($A705&lt;VLOOKUP(P$5,NFI,5,0),1,0)*Table_NFI[[#This Row],[Plastic Bucket]],Table_NFI[Plastic Bucket])</f>
        <v>0</v>
      </c>
      <c r="AH705" s="294">
        <f>IF(NFI_Expiration=1,IF($A705&lt;VLOOKUP(Q$5,NFI,5,0),1,0)*Table_NFI[[#This Row],[Plastic Mat]],Table_NFI[Plastic Mat])*IF(Table_NFI[[#This Row],[Distribution Date]]&gt;"2014-04-01",1,2.5)</f>
        <v>0</v>
      </c>
      <c r="AI705" s="294">
        <f>IF(NFI_Expiration=1,IF($A705&lt;VLOOKUP(R$5,NFI,5,0),1,0)*Table_NFI[[#This Row],[Winter Clothes Adult]],Table_NFI[Winter Clothes Adult])</f>
        <v>0</v>
      </c>
      <c r="AJ705" s="294">
        <f>IF(NFI_Expiration=1,IF($A705&lt;VLOOKUP(S$5,NFI,5,0),1,0)*Table_NFI[[#This Row],[Winter Clothes Children]],Table_NFI[Winter Clothes Children])</f>
        <v>0</v>
      </c>
      <c r="AK705" s="294">
        <f>IF(NFI_Expiration=1,IF($A705&lt;VLOOKUP(T$5,NFI,5,0),1,0)*Table_NFI[[#This Row],[Winter Items Other]],Table_NFI[Winter Items Other])</f>
        <v>0</v>
      </c>
      <c r="AL705" s="294">
        <f>IF(NFI_Expiration=1,IF($A705&lt;VLOOKUP(M$5,NFI,5,0),1,0)*Table_NFI[[#This Row],[Winter Blanket]],Table_NFI[[#This Row],[Winter Blanket]])</f>
        <v>0</v>
      </c>
      <c r="AM705" s="294">
        <f>IF(Table_NFI[[#This Row],[Winter Clothes Adult]]+Table_NFI[[#This Row],[Winter Clothes Children]]+Table_NFI[[#This Row],[Winter Items Other]]+Table_NFI[[#This Row],[Winter Blanket]]&gt;0,1,0)</f>
        <v>0</v>
      </c>
      <c r="AN705" s="331">
        <f>IF(NFI_Expiration=1,IF($A705&lt;VLOOKUP(V$5,NFI,5,0),1,0)*Table_NFI[[#This Row],[Jerry Can]],Table_NFI[Jerry Can])</f>
        <v>0</v>
      </c>
      <c r="AO705" s="331">
        <f>IF(NFI_Expiration=1,IF($A705&lt;VLOOKUP(V$5,NFI,5,0),1,0)*Table_NFI[[#This Row],[Shelter Tool kit]],Table_NFI[Shelter Tool kit])</f>
        <v>0</v>
      </c>
      <c r="AP705" s="331">
        <f>IF(NFI_Expiration=1,IF($A705&lt;VLOOKUP(V$5,NFI,5,0),1,0)*Table_NFI[[#This Row],[Tent]],Table_NFI[Tent])</f>
        <v>0</v>
      </c>
      <c r="AQ705" s="473" t="str">
        <f>IFERROR(VLOOKUP(Table_NFI[[#This Row],[Camp Name]],CL,2,0),"")</f>
        <v>MMR001CMP175</v>
      </c>
      <c r="AR705" s="468">
        <f ca="1">IF(Table_NFI[[#This Row],[Pcode]]="","",IF(OFFSET(CampList[Opening Date],MATCH(Table_NFI[[#This Row],[Pcode]],CampList[CP_Pcode],0)-1,0,1,1)&gt;=NFI_Monitor_Date,1,0))</f>
        <v>0</v>
      </c>
      <c r="AS705" s="473" t="str">
        <f>IFERROR(VLOOKUP(Table_NFI[[#This Row],[Camp Name]],CL,3,0),"")</f>
        <v>Closed</v>
      </c>
      <c r="AT705" s="294" t="str">
        <f ca="1">IF(Table_NFI[[#This Row],[Pcode]]="","",OFFSET(CampList[Priority],MATCH(Table_NFI[[#This Row],[Pcode]],CampList[CP_Pcode],0)-1,0,1,1))</f>
        <v/>
      </c>
      <c r="AU705" s="293" t="str">
        <f>IFERROR(Table_NFI[[#This Row],[Kitchen Set]]/VLOOKUP(Table_NFI[[#This Row],[Camp Name]],CL,4,0),"")</f>
        <v/>
      </c>
      <c r="AV705" s="466" t="s">
        <v>1092</v>
      </c>
      <c r="AW705" s="469"/>
    </row>
    <row r="706" spans="1:49" x14ac:dyDescent="0.25">
      <c r="A706" s="297">
        <f t="shared" si="10"/>
        <v>44.06666666666667</v>
      </c>
      <c r="B706" s="465">
        <v>41353</v>
      </c>
      <c r="C706" s="466" t="s">
        <v>452</v>
      </c>
      <c r="D706" s="466" t="s">
        <v>452</v>
      </c>
      <c r="E706" s="466" t="s">
        <v>380</v>
      </c>
      <c r="F706" s="290" t="s">
        <v>527</v>
      </c>
      <c r="G706" s="290" t="s">
        <v>514</v>
      </c>
      <c r="H706" s="291"/>
      <c r="I706" s="291"/>
      <c r="J706" s="291">
        <v>6</v>
      </c>
      <c r="K706" s="291">
        <v>0</v>
      </c>
      <c r="L706" s="292">
        <v>0</v>
      </c>
      <c r="M706" s="292">
        <v>11</v>
      </c>
      <c r="N706" s="292">
        <v>0</v>
      </c>
      <c r="O706" s="292">
        <v>0</v>
      </c>
      <c r="P706" s="294"/>
      <c r="Q706" s="294"/>
      <c r="R706" s="294"/>
      <c r="S706" s="294"/>
      <c r="T706" s="294"/>
      <c r="U706" s="294"/>
      <c r="V706" s="431"/>
      <c r="W706" s="294"/>
      <c r="X706" s="294"/>
      <c r="Y706" s="294">
        <f>IF(NFI_Expiration=1,IF($A706&lt;VLOOKUP(H$5,NFI,5,0),1,0)*Table_NFI[[#This Row],[Hygiene Kit]],Table_NFI[Hygiene Kit])</f>
        <v>0</v>
      </c>
      <c r="Z706" s="294">
        <f>IF(NFI_Expiration=1,IF($A706&lt;VLOOKUP(I$5,NFI,5,0),1,0)*Table_NFI[[#This Row],[NFI Core Kit]],Table_NFI[NFI Core Kit])</f>
        <v>0</v>
      </c>
      <c r="AA706" s="294">
        <f>IF(NFI_Expiration=1,IF($A706&lt;VLOOKUP(J$5,NFI,5,0),1,0)*Table_NFI[[#This Row],[Sanitary Kit]],Table_NFI[Sanitary Kit])</f>
        <v>0</v>
      </c>
      <c r="AB706" s="294">
        <f>IF(NFI_Expiration=1,IF($A706&lt;VLOOKUP(K$5,NFI,5,0),1,0)*Table_NFI[[#This Row],[Mosquito net]],Table_NFI[Mosquito net])</f>
        <v>0</v>
      </c>
      <c r="AC706" s="294">
        <f>IF(NFI_Expiration=1,IF($A706&lt;VLOOKUP(L$5,NFI,5,0),1,0)*Table_NFI[[#This Row],[Tarpaulin]],Table_NFI[[#This Row],[Tarpaulin]])</f>
        <v>0</v>
      </c>
      <c r="AD706" s="294">
        <f>IF(NFI_Expiration=1,IF($A706&lt;VLOOKUP(M$5,NFI,5,0),1,0)*Table_NFI[[#This Row],[Blanket]],Table_NFI[[#This Row],[Blanket]])</f>
        <v>0</v>
      </c>
      <c r="AE706" s="294">
        <f>IF(NFI_Expiration=1,IF($A706&lt;VLOOKUP(N$5,NFI,5,0),1,0)*Table_NFI[[#This Row],[Kitchen Set]],Table_NFI[Kitchen Set])</f>
        <v>0</v>
      </c>
      <c r="AF706" s="294">
        <f>IF(NFI_Expiration=1,IF($A706&lt;VLOOKUP(O$5,NFI,5,0),1,0)*Table_NFI[[#This Row],[Clothes Kit]],Table_NFI[Clothes Kit])</f>
        <v>0</v>
      </c>
      <c r="AG706" s="294">
        <f>IF(NFI_Expiration=1,IF($A706&lt;VLOOKUP(P$5,NFI,5,0),1,0)*Table_NFI[[#This Row],[Plastic Bucket]],Table_NFI[Plastic Bucket])</f>
        <v>0</v>
      </c>
      <c r="AH706" s="294">
        <f>IF(NFI_Expiration=1,IF($A706&lt;VLOOKUP(Q$5,NFI,5,0),1,0)*Table_NFI[[#This Row],[Plastic Mat]],Table_NFI[Plastic Mat])*IF(Table_NFI[[#This Row],[Distribution Date]]&gt;"2014-04-01",1,2.5)</f>
        <v>0</v>
      </c>
      <c r="AI706" s="294">
        <f>IF(NFI_Expiration=1,IF($A706&lt;VLOOKUP(R$5,NFI,5,0),1,0)*Table_NFI[[#This Row],[Winter Clothes Adult]],Table_NFI[Winter Clothes Adult])</f>
        <v>0</v>
      </c>
      <c r="AJ706" s="294">
        <f>IF(NFI_Expiration=1,IF($A706&lt;VLOOKUP(S$5,NFI,5,0),1,0)*Table_NFI[[#This Row],[Winter Clothes Children]],Table_NFI[Winter Clothes Children])</f>
        <v>0</v>
      </c>
      <c r="AK706" s="294">
        <f>IF(NFI_Expiration=1,IF($A706&lt;VLOOKUP(T$5,NFI,5,0),1,0)*Table_NFI[[#This Row],[Winter Items Other]],Table_NFI[Winter Items Other])</f>
        <v>0</v>
      </c>
      <c r="AL706" s="294">
        <f>IF(NFI_Expiration=1,IF($A706&lt;VLOOKUP(M$5,NFI,5,0),1,0)*Table_NFI[[#This Row],[Winter Blanket]],Table_NFI[[#This Row],[Winter Blanket]])</f>
        <v>0</v>
      </c>
      <c r="AM706" s="294">
        <f>IF(Table_NFI[[#This Row],[Winter Clothes Adult]]+Table_NFI[[#This Row],[Winter Clothes Children]]+Table_NFI[[#This Row],[Winter Items Other]]+Table_NFI[[#This Row],[Winter Blanket]]&gt;0,1,0)</f>
        <v>0</v>
      </c>
      <c r="AN706" s="331">
        <f>IF(NFI_Expiration=1,IF($A706&lt;VLOOKUP(V$5,NFI,5,0),1,0)*Table_NFI[[#This Row],[Jerry Can]],Table_NFI[Jerry Can])</f>
        <v>0</v>
      </c>
      <c r="AO706" s="331">
        <f>IF(NFI_Expiration=1,IF($A706&lt;VLOOKUP(V$5,NFI,5,0),1,0)*Table_NFI[[#This Row],[Shelter Tool kit]],Table_NFI[Shelter Tool kit])</f>
        <v>0</v>
      </c>
      <c r="AP706" s="331">
        <f>IF(NFI_Expiration=1,IF($A706&lt;VLOOKUP(V$5,NFI,5,0),1,0)*Table_NFI[[#This Row],[Tent]],Table_NFI[Tent])</f>
        <v>0</v>
      </c>
      <c r="AQ706" s="473" t="str">
        <f>IFERROR(VLOOKUP(Table_NFI[[#This Row],[Camp Name]],CL,2,0),"")</f>
        <v>MMR001CMP201</v>
      </c>
      <c r="AR706" s="468">
        <f ca="1">IF(Table_NFI[[#This Row],[Pcode]]="","",IF(OFFSET(CampList[Opening Date],MATCH(Table_NFI[[#This Row],[Pcode]],CampList[CP_Pcode],0)-1,0,1,1)&gt;=NFI_Monitor_Date,1,0))</f>
        <v>0</v>
      </c>
      <c r="AS706" s="473" t="str">
        <f>IFERROR(VLOOKUP(Table_NFI[[#This Row],[Camp Name]],CL,3,0),"")</f>
        <v>Closed</v>
      </c>
      <c r="AT706" s="294" t="str">
        <f ca="1">IF(Table_NFI[[#This Row],[Pcode]]="","",OFFSET(CampList[Priority],MATCH(Table_NFI[[#This Row],[Pcode]],CampList[CP_Pcode],0)-1,0,1,1))</f>
        <v/>
      </c>
      <c r="AU706" s="293" t="str">
        <f>IFERROR(Table_NFI[[#This Row],[Kitchen Set]]/VLOOKUP(Table_NFI[[#This Row],[Camp Name]],CL,4,0),"")</f>
        <v/>
      </c>
      <c r="AV706" s="466" t="s">
        <v>1092</v>
      </c>
      <c r="AW706" s="469"/>
    </row>
    <row r="707" spans="1:49" x14ac:dyDescent="0.25">
      <c r="A707" s="297">
        <f t="shared" si="10"/>
        <v>44.533333333333331</v>
      </c>
      <c r="B707" s="465">
        <v>41339</v>
      </c>
      <c r="C707" s="466" t="s">
        <v>452</v>
      </c>
      <c r="D707" s="466" t="s">
        <v>452</v>
      </c>
      <c r="E707" s="466" t="s">
        <v>380</v>
      </c>
      <c r="F707" s="466" t="s">
        <v>310</v>
      </c>
      <c r="G707" s="290" t="s">
        <v>324</v>
      </c>
      <c r="H707" s="291"/>
      <c r="I707" s="291"/>
      <c r="J707" s="291">
        <v>34</v>
      </c>
      <c r="K707" s="291">
        <v>73</v>
      </c>
      <c r="L707" s="292">
        <v>38</v>
      </c>
      <c r="M707" s="292">
        <v>73</v>
      </c>
      <c r="N707" s="292">
        <v>38</v>
      </c>
      <c r="O707" s="292">
        <v>33</v>
      </c>
      <c r="P707" s="294">
        <v>33</v>
      </c>
      <c r="Q707" s="294">
        <v>33</v>
      </c>
      <c r="R707" s="294"/>
      <c r="S707" s="294"/>
      <c r="T707" s="294"/>
      <c r="U707" s="294"/>
      <c r="V707" s="431"/>
      <c r="W707" s="331"/>
      <c r="X707" s="331"/>
      <c r="Y707" s="294">
        <f>IF(NFI_Expiration=1,IF($A707&lt;VLOOKUP(H$5,NFI,5,0),1,0)*Table_NFI[[#This Row],[Hygiene Kit]],Table_NFI[Hygiene Kit])</f>
        <v>0</v>
      </c>
      <c r="Z707" s="294">
        <f>IF(NFI_Expiration=1,IF($A707&lt;VLOOKUP(I$5,NFI,5,0),1,0)*Table_NFI[[#This Row],[NFI Core Kit]],Table_NFI[NFI Core Kit])</f>
        <v>0</v>
      </c>
      <c r="AA707" s="294">
        <f>IF(NFI_Expiration=1,IF($A707&lt;VLOOKUP(J$5,NFI,5,0),1,0)*Table_NFI[[#This Row],[Sanitary Kit]],Table_NFI[Sanitary Kit])</f>
        <v>0</v>
      </c>
      <c r="AB707" s="294">
        <f>IF(NFI_Expiration=1,IF($A707&lt;VLOOKUP(K$5,NFI,5,0),1,0)*Table_NFI[[#This Row],[Mosquito net]],Table_NFI[Mosquito net])</f>
        <v>0</v>
      </c>
      <c r="AC707" s="294">
        <f>IF(NFI_Expiration=1,IF($A707&lt;VLOOKUP(L$5,NFI,5,0),1,0)*Table_NFI[[#This Row],[Tarpaulin]],Table_NFI[[#This Row],[Tarpaulin]])</f>
        <v>0</v>
      </c>
      <c r="AD707" s="294">
        <f>IF(NFI_Expiration=1,IF($A707&lt;VLOOKUP(M$5,NFI,5,0),1,0)*Table_NFI[[#This Row],[Blanket]],Table_NFI[[#This Row],[Blanket]])</f>
        <v>0</v>
      </c>
      <c r="AE707" s="294">
        <f>IF(NFI_Expiration=1,IF($A707&lt;VLOOKUP(N$5,NFI,5,0),1,0)*Table_NFI[[#This Row],[Kitchen Set]],Table_NFI[Kitchen Set])</f>
        <v>0</v>
      </c>
      <c r="AF707" s="294">
        <f>IF(NFI_Expiration=1,IF($A707&lt;VLOOKUP(O$5,NFI,5,0),1,0)*Table_NFI[[#This Row],[Clothes Kit]],Table_NFI[Clothes Kit])</f>
        <v>0</v>
      </c>
      <c r="AG707" s="294">
        <f>IF(NFI_Expiration=1,IF($A707&lt;VLOOKUP(P$5,NFI,5,0),1,0)*Table_NFI[[#This Row],[Plastic Bucket]],Table_NFI[Plastic Bucket])</f>
        <v>0</v>
      </c>
      <c r="AH707" s="294">
        <f>IF(NFI_Expiration=1,IF($A707&lt;VLOOKUP(Q$5,NFI,5,0),1,0)*Table_NFI[[#This Row],[Plastic Mat]],Table_NFI[Plastic Mat])*IF(Table_NFI[[#This Row],[Distribution Date]]&gt;"2014-04-01",1,2.5)</f>
        <v>0</v>
      </c>
      <c r="AI707" s="294">
        <f>IF(NFI_Expiration=1,IF($A707&lt;VLOOKUP(R$5,NFI,5,0),1,0)*Table_NFI[[#This Row],[Winter Clothes Adult]],Table_NFI[Winter Clothes Adult])</f>
        <v>0</v>
      </c>
      <c r="AJ707" s="294">
        <f>IF(NFI_Expiration=1,IF($A707&lt;VLOOKUP(S$5,NFI,5,0),1,0)*Table_NFI[[#This Row],[Winter Clothes Children]],Table_NFI[Winter Clothes Children])</f>
        <v>0</v>
      </c>
      <c r="AK707" s="294">
        <f>IF(NFI_Expiration=1,IF($A707&lt;VLOOKUP(T$5,NFI,5,0),1,0)*Table_NFI[[#This Row],[Winter Items Other]],Table_NFI[Winter Items Other])</f>
        <v>0</v>
      </c>
      <c r="AL707" s="294">
        <f>IF(NFI_Expiration=1,IF($A707&lt;VLOOKUP(M$5,NFI,5,0),1,0)*Table_NFI[[#This Row],[Winter Blanket]],Table_NFI[[#This Row],[Winter Blanket]])</f>
        <v>0</v>
      </c>
      <c r="AM707" s="294">
        <f>IF(Table_NFI[[#This Row],[Winter Clothes Adult]]+Table_NFI[[#This Row],[Winter Clothes Children]]+Table_NFI[[#This Row],[Winter Items Other]]+Table_NFI[[#This Row],[Winter Blanket]]&gt;0,1,0)</f>
        <v>0</v>
      </c>
      <c r="AN707" s="331">
        <f>IF(NFI_Expiration=1,IF($A707&lt;VLOOKUP(V$5,NFI,5,0),1,0)*Table_NFI[[#This Row],[Jerry Can]],Table_NFI[Jerry Can])</f>
        <v>0</v>
      </c>
      <c r="AO707" s="331">
        <f>IF(NFI_Expiration=1,IF($A707&lt;VLOOKUP(V$5,NFI,5,0),1,0)*Table_NFI[[#This Row],[Shelter Tool kit]],Table_NFI[Shelter Tool kit])</f>
        <v>0</v>
      </c>
      <c r="AP707" s="331">
        <f>IF(NFI_Expiration=1,IF($A707&lt;VLOOKUP(V$5,NFI,5,0),1,0)*Table_NFI[[#This Row],[Tent]],Table_NFI[Tent])</f>
        <v>0</v>
      </c>
      <c r="AQ707" s="473" t="str">
        <f>IFERROR(VLOOKUP(Table_NFI[[#This Row],[Camp Name]],CL,2,0),"")</f>
        <v>MMR001CMP040</v>
      </c>
      <c r="AR707" s="468">
        <f ca="1">IF(Table_NFI[[#This Row],[Pcode]]="","",IF(OFFSET(CampList[Opening Date],MATCH(Table_NFI[[#This Row],[Pcode]],CampList[CP_Pcode],0)-1,0,1,1)&gt;=NFI_Monitor_Date,1,0))</f>
        <v>0</v>
      </c>
      <c r="AS707" s="473" t="str">
        <f>IFERROR(VLOOKUP(Table_NFI[[#This Row],[Camp Name]],CL,3,0),"")</f>
        <v>Open</v>
      </c>
      <c r="AT707" s="294" t="str">
        <f ca="1">IF(Table_NFI[[#This Row],[Pcode]]="","",OFFSET(CampList[Priority],MATCH(Table_NFI[[#This Row],[Pcode]],CampList[CP_Pcode],0)-1,0,1,1))</f>
        <v>P4</v>
      </c>
      <c r="AU707" s="293">
        <f>IFERROR(Table_NFI[[#This Row],[Kitchen Set]]/VLOOKUP(Table_NFI[[#This Row],[Camp Name]],CL,4,0),"")</f>
        <v>9.2682926829268292E-2</v>
      </c>
      <c r="AV707" s="466" t="s">
        <v>1092</v>
      </c>
      <c r="AW707" s="469"/>
    </row>
    <row r="708" spans="1:49" x14ac:dyDescent="0.25">
      <c r="A708" s="297">
        <f t="shared" si="10"/>
        <v>44.533333333333331</v>
      </c>
      <c r="B708" s="465">
        <v>41339</v>
      </c>
      <c r="C708" s="466" t="s">
        <v>452</v>
      </c>
      <c r="D708" s="467" t="s">
        <v>452</v>
      </c>
      <c r="E708" s="466" t="s">
        <v>380</v>
      </c>
      <c r="F708" s="290" t="s">
        <v>310</v>
      </c>
      <c r="G708" s="290" t="s">
        <v>318</v>
      </c>
      <c r="H708" s="291"/>
      <c r="I708" s="291"/>
      <c r="J708" s="291">
        <v>6</v>
      </c>
      <c r="K708" s="291">
        <v>11</v>
      </c>
      <c r="L708" s="292">
        <v>5</v>
      </c>
      <c r="M708" s="292">
        <v>11</v>
      </c>
      <c r="N708" s="292">
        <v>5</v>
      </c>
      <c r="O708" s="292">
        <v>5</v>
      </c>
      <c r="P708" s="294">
        <v>5</v>
      </c>
      <c r="Q708" s="294">
        <v>5</v>
      </c>
      <c r="R708" s="294"/>
      <c r="S708" s="294"/>
      <c r="T708" s="294"/>
      <c r="U708" s="294"/>
      <c r="V708" s="622"/>
      <c r="W708" s="331"/>
      <c r="X708" s="331"/>
      <c r="Y708" s="294">
        <f>IF(NFI_Expiration=1,IF($A708&lt;VLOOKUP(H$5,NFI,5,0),1,0)*Table_NFI[[#This Row],[Hygiene Kit]],Table_NFI[Hygiene Kit])</f>
        <v>0</v>
      </c>
      <c r="Z708" s="294">
        <f>IF(NFI_Expiration=1,IF($A708&lt;VLOOKUP(I$5,NFI,5,0),1,0)*Table_NFI[[#This Row],[NFI Core Kit]],Table_NFI[NFI Core Kit])</f>
        <v>0</v>
      </c>
      <c r="AA708" s="294">
        <f>IF(NFI_Expiration=1,IF($A708&lt;VLOOKUP(J$5,NFI,5,0),1,0)*Table_NFI[[#This Row],[Sanitary Kit]],Table_NFI[Sanitary Kit])</f>
        <v>0</v>
      </c>
      <c r="AB708" s="294">
        <f>IF(NFI_Expiration=1,IF($A708&lt;VLOOKUP(K$5,NFI,5,0),1,0)*Table_NFI[[#This Row],[Mosquito net]],Table_NFI[Mosquito net])</f>
        <v>0</v>
      </c>
      <c r="AC708" s="294">
        <f>IF(NFI_Expiration=1,IF($A708&lt;VLOOKUP(L$5,NFI,5,0),1,0)*Table_NFI[[#This Row],[Tarpaulin]],Table_NFI[[#This Row],[Tarpaulin]])</f>
        <v>0</v>
      </c>
      <c r="AD708" s="294">
        <f>IF(NFI_Expiration=1,IF($A708&lt;VLOOKUP(M$5,NFI,5,0),1,0)*Table_NFI[[#This Row],[Blanket]],Table_NFI[[#This Row],[Blanket]])</f>
        <v>0</v>
      </c>
      <c r="AE708" s="294">
        <f>IF(NFI_Expiration=1,IF($A708&lt;VLOOKUP(N$5,NFI,5,0),1,0)*Table_NFI[[#This Row],[Kitchen Set]],Table_NFI[Kitchen Set])</f>
        <v>0</v>
      </c>
      <c r="AF708" s="294">
        <f>IF(NFI_Expiration=1,IF($A708&lt;VLOOKUP(O$5,NFI,5,0),1,0)*Table_NFI[[#This Row],[Clothes Kit]],Table_NFI[Clothes Kit])</f>
        <v>0</v>
      </c>
      <c r="AG708" s="294">
        <f>IF(NFI_Expiration=1,IF($A708&lt;VLOOKUP(P$5,NFI,5,0),1,0)*Table_NFI[[#This Row],[Plastic Bucket]],Table_NFI[Plastic Bucket])</f>
        <v>0</v>
      </c>
      <c r="AH708" s="294">
        <f>IF(NFI_Expiration=1,IF($A708&lt;VLOOKUP(Q$5,NFI,5,0),1,0)*Table_NFI[[#This Row],[Plastic Mat]],Table_NFI[Plastic Mat])*IF(Table_NFI[[#This Row],[Distribution Date]]&gt;"2014-04-01",1,2.5)</f>
        <v>0</v>
      </c>
      <c r="AI708" s="294">
        <f>IF(NFI_Expiration=1,IF($A708&lt;VLOOKUP(R$5,NFI,5,0),1,0)*Table_NFI[[#This Row],[Winter Clothes Adult]],Table_NFI[Winter Clothes Adult])</f>
        <v>0</v>
      </c>
      <c r="AJ708" s="294">
        <f>IF(NFI_Expiration=1,IF($A708&lt;VLOOKUP(S$5,NFI,5,0),1,0)*Table_NFI[[#This Row],[Winter Clothes Children]],Table_NFI[Winter Clothes Children])</f>
        <v>0</v>
      </c>
      <c r="AK708" s="294">
        <f>IF(NFI_Expiration=1,IF($A708&lt;VLOOKUP(T$5,NFI,5,0),1,0)*Table_NFI[[#This Row],[Winter Items Other]],Table_NFI[Winter Items Other])</f>
        <v>0</v>
      </c>
      <c r="AL708" s="294">
        <f>IF(NFI_Expiration=1,IF($A708&lt;VLOOKUP(M$5,NFI,5,0),1,0)*Table_NFI[[#This Row],[Winter Blanket]],Table_NFI[[#This Row],[Winter Blanket]])</f>
        <v>0</v>
      </c>
      <c r="AM708" s="294">
        <f>IF(Table_NFI[[#This Row],[Winter Clothes Adult]]+Table_NFI[[#This Row],[Winter Clothes Children]]+Table_NFI[[#This Row],[Winter Items Other]]+Table_NFI[[#This Row],[Winter Blanket]]&gt;0,1,0)</f>
        <v>0</v>
      </c>
      <c r="AN708" s="331">
        <f>IF(NFI_Expiration=1,IF($A708&lt;VLOOKUP(V$5,NFI,5,0),1,0)*Table_NFI[[#This Row],[Jerry Can]],Table_NFI[Jerry Can])</f>
        <v>0</v>
      </c>
      <c r="AO708" s="331">
        <f>IF(NFI_Expiration=1,IF($A708&lt;VLOOKUP(V$5,NFI,5,0),1,0)*Table_NFI[[#This Row],[Shelter Tool kit]],Table_NFI[Shelter Tool kit])</f>
        <v>0</v>
      </c>
      <c r="AP708" s="331">
        <f>IF(NFI_Expiration=1,IF($A708&lt;VLOOKUP(V$5,NFI,5,0),1,0)*Table_NFI[[#This Row],[Tent]],Table_NFI[Tent])</f>
        <v>0</v>
      </c>
      <c r="AQ708" s="473" t="str">
        <f>IFERROR(VLOOKUP(Table_NFI[[#This Row],[Camp Name]],CL,2,0),"")</f>
        <v>MMR001CMP032</v>
      </c>
      <c r="AR708" s="468">
        <f ca="1">IF(Table_NFI[[#This Row],[Pcode]]="","",IF(OFFSET(CampList[Opening Date],MATCH(Table_NFI[[#This Row],[Pcode]],CampList[CP_Pcode],0)-1,0,1,1)&gt;=NFI_Monitor_Date,1,0))</f>
        <v>0</v>
      </c>
      <c r="AS708" s="473" t="str">
        <f>IFERROR(VLOOKUP(Table_NFI[[#This Row],[Camp Name]],CL,3,0),"")</f>
        <v>Open</v>
      </c>
      <c r="AT708" s="294" t="str">
        <f ca="1">IF(Table_NFI[[#This Row],[Pcode]]="","",OFFSET(CampList[Priority],MATCH(Table_NFI[[#This Row],[Pcode]],CampList[CP_Pcode],0)-1,0,1,1))</f>
        <v>P4</v>
      </c>
      <c r="AU708" s="293">
        <f>IFERROR(Table_NFI[[#This Row],[Kitchen Set]]/VLOOKUP(Table_NFI[[#This Row],[Camp Name]],CL,4,0),"")</f>
        <v>5.4945054945054944E-2</v>
      </c>
      <c r="AV708" s="466" t="s">
        <v>1092</v>
      </c>
      <c r="AW708" s="469"/>
    </row>
    <row r="709" spans="1:49" x14ac:dyDescent="0.25">
      <c r="A709" s="297">
        <f t="shared" si="10"/>
        <v>44.633333333333333</v>
      </c>
      <c r="B709" s="465">
        <v>41336</v>
      </c>
      <c r="C709" s="466" t="s">
        <v>905</v>
      </c>
      <c r="D709" s="467" t="s">
        <v>905</v>
      </c>
      <c r="E709" s="466" t="s">
        <v>380</v>
      </c>
      <c r="F709" s="290" t="s">
        <v>185</v>
      </c>
      <c r="G709" s="290" t="s">
        <v>225</v>
      </c>
      <c r="H709" s="291">
        <v>33</v>
      </c>
      <c r="I709" s="291"/>
      <c r="J709" s="291"/>
      <c r="K709" s="291"/>
      <c r="L709" s="292"/>
      <c r="M709" s="292"/>
      <c r="N709" s="292"/>
      <c r="O709" s="292"/>
      <c r="P709" s="294">
        <v>0</v>
      </c>
      <c r="Q709" s="294">
        <v>0</v>
      </c>
      <c r="R709" s="294"/>
      <c r="S709" s="294"/>
      <c r="T709" s="294"/>
      <c r="U709" s="294"/>
      <c r="V709" s="431"/>
      <c r="W709" s="331"/>
      <c r="X709" s="331"/>
      <c r="Y709" s="294">
        <f>IF(NFI_Expiration=1,IF($A709&lt;VLOOKUP(H$5,NFI,5,0),1,0)*Table_NFI[[#This Row],[Hygiene Kit]],Table_NFI[Hygiene Kit])</f>
        <v>0</v>
      </c>
      <c r="Z709" s="294">
        <f>IF(NFI_Expiration=1,IF($A709&lt;VLOOKUP(I$5,NFI,5,0),1,0)*Table_NFI[[#This Row],[NFI Core Kit]],Table_NFI[NFI Core Kit])</f>
        <v>0</v>
      </c>
      <c r="AA709" s="294">
        <f>IF(NFI_Expiration=1,IF($A709&lt;VLOOKUP(J$5,NFI,5,0),1,0)*Table_NFI[[#This Row],[Sanitary Kit]],Table_NFI[Sanitary Kit])</f>
        <v>0</v>
      </c>
      <c r="AB709" s="294">
        <f>IF(NFI_Expiration=1,IF($A709&lt;VLOOKUP(K$5,NFI,5,0),1,0)*Table_NFI[[#This Row],[Mosquito net]],Table_NFI[Mosquito net])</f>
        <v>0</v>
      </c>
      <c r="AC709" s="294">
        <f>IF(NFI_Expiration=1,IF($A709&lt;VLOOKUP(L$5,NFI,5,0),1,0)*Table_NFI[[#This Row],[Tarpaulin]],Table_NFI[[#This Row],[Tarpaulin]])</f>
        <v>0</v>
      </c>
      <c r="AD709" s="294">
        <f>IF(NFI_Expiration=1,IF($A709&lt;VLOOKUP(M$5,NFI,5,0),1,0)*Table_NFI[[#This Row],[Blanket]],Table_NFI[[#This Row],[Blanket]])</f>
        <v>0</v>
      </c>
      <c r="AE709" s="294">
        <f>IF(NFI_Expiration=1,IF($A709&lt;VLOOKUP(N$5,NFI,5,0),1,0)*Table_NFI[[#This Row],[Kitchen Set]],Table_NFI[Kitchen Set])</f>
        <v>0</v>
      </c>
      <c r="AF709" s="294">
        <f>IF(NFI_Expiration=1,IF($A709&lt;VLOOKUP(O$5,NFI,5,0),1,0)*Table_NFI[[#This Row],[Clothes Kit]],Table_NFI[Clothes Kit])</f>
        <v>0</v>
      </c>
      <c r="AG709" s="294">
        <f>IF(NFI_Expiration=1,IF($A709&lt;VLOOKUP(P$5,NFI,5,0),1,0)*Table_NFI[[#This Row],[Plastic Bucket]],Table_NFI[Plastic Bucket])</f>
        <v>0</v>
      </c>
      <c r="AH709" s="294">
        <f>IF(NFI_Expiration=1,IF($A709&lt;VLOOKUP(Q$5,NFI,5,0),1,0)*Table_NFI[[#This Row],[Plastic Mat]],Table_NFI[Plastic Mat])*IF(Table_NFI[[#This Row],[Distribution Date]]&gt;"2014-04-01",1,2.5)</f>
        <v>0</v>
      </c>
      <c r="AI709" s="294">
        <f>IF(NFI_Expiration=1,IF($A709&lt;VLOOKUP(R$5,NFI,5,0),1,0)*Table_NFI[[#This Row],[Winter Clothes Adult]],Table_NFI[Winter Clothes Adult])</f>
        <v>0</v>
      </c>
      <c r="AJ709" s="294">
        <f>IF(NFI_Expiration=1,IF($A709&lt;VLOOKUP(S$5,NFI,5,0),1,0)*Table_NFI[[#This Row],[Winter Clothes Children]],Table_NFI[Winter Clothes Children])</f>
        <v>0</v>
      </c>
      <c r="AK709" s="294">
        <f>IF(NFI_Expiration=1,IF($A709&lt;VLOOKUP(T$5,NFI,5,0),1,0)*Table_NFI[[#This Row],[Winter Items Other]],Table_NFI[Winter Items Other])</f>
        <v>0</v>
      </c>
      <c r="AL709" s="294">
        <f>IF(NFI_Expiration=1,IF($A709&lt;VLOOKUP(M$5,NFI,5,0),1,0)*Table_NFI[[#This Row],[Winter Blanket]],Table_NFI[[#This Row],[Winter Blanket]])</f>
        <v>0</v>
      </c>
      <c r="AM709" s="294">
        <f>IF(Table_NFI[[#This Row],[Winter Clothes Adult]]+Table_NFI[[#This Row],[Winter Clothes Children]]+Table_NFI[[#This Row],[Winter Items Other]]+Table_NFI[[#This Row],[Winter Blanket]]&gt;0,1,0)</f>
        <v>0</v>
      </c>
      <c r="AN709" s="331">
        <f>IF(NFI_Expiration=1,IF($A709&lt;VLOOKUP(V$5,NFI,5,0),1,0)*Table_NFI[[#This Row],[Jerry Can]],Table_NFI[Jerry Can])</f>
        <v>0</v>
      </c>
      <c r="AO709" s="331">
        <f>IF(NFI_Expiration=1,IF($A709&lt;VLOOKUP(V$5,NFI,5,0),1,0)*Table_NFI[[#This Row],[Shelter Tool kit]],Table_NFI[Shelter Tool kit])</f>
        <v>0</v>
      </c>
      <c r="AP709" s="331">
        <f>IF(NFI_Expiration=1,IF($A709&lt;VLOOKUP(V$5,NFI,5,0),1,0)*Table_NFI[[#This Row],[Tent]],Table_NFI[Tent])</f>
        <v>0</v>
      </c>
      <c r="AQ709" s="473" t="str">
        <f>IFERROR(VLOOKUP(Table_NFI[[#This Row],[Camp Name]],CL,2,0),"")</f>
        <v>MMR001CMP073</v>
      </c>
      <c r="AR709" s="468">
        <f ca="1">IF(Table_NFI[[#This Row],[Pcode]]="","",IF(OFFSET(CampList[Opening Date],MATCH(Table_NFI[[#This Row],[Pcode]],CampList[CP_Pcode],0)-1,0,1,1)&gt;=NFI_Monitor_Date,1,0))</f>
        <v>0</v>
      </c>
      <c r="AS709" s="473" t="str">
        <f>IFERROR(VLOOKUP(Table_NFI[[#This Row],[Camp Name]],CL,3,0),"")</f>
        <v>Open</v>
      </c>
      <c r="AT709" s="294" t="str">
        <f ca="1">IF(Table_NFI[[#This Row],[Pcode]]="","",OFFSET(CampList[Priority],MATCH(Table_NFI[[#This Row],[Pcode]],CampList[CP_Pcode],0)-1,0,1,1))</f>
        <v>P3</v>
      </c>
      <c r="AU709" s="293">
        <f>IFERROR(Table_NFI[[#This Row],[Kitchen Set]]/VLOOKUP(Table_NFI[[#This Row],[Camp Name]],CL,4,0),"")</f>
        <v>0</v>
      </c>
      <c r="AV709" s="466" t="s">
        <v>1092</v>
      </c>
      <c r="AW709" s="469"/>
    </row>
    <row r="710" spans="1:49" x14ac:dyDescent="0.25">
      <c r="A710" s="297">
        <f t="shared" ref="A710:A773" si="11">IF(ISBLANK(B710),"",(Report_Date-B710)/30)</f>
        <v>44.666666666666664</v>
      </c>
      <c r="B710" s="465">
        <v>41335</v>
      </c>
      <c r="C710" s="466" t="s">
        <v>905</v>
      </c>
      <c r="D710" s="467" t="s">
        <v>905</v>
      </c>
      <c r="E710" s="466" t="s">
        <v>380</v>
      </c>
      <c r="F710" s="290" t="s">
        <v>185</v>
      </c>
      <c r="G710" s="290" t="s">
        <v>186</v>
      </c>
      <c r="H710" s="291">
        <v>3</v>
      </c>
      <c r="I710" s="291"/>
      <c r="J710" s="291"/>
      <c r="K710" s="291"/>
      <c r="L710" s="292"/>
      <c r="M710" s="292"/>
      <c r="N710" s="292"/>
      <c r="O710" s="292"/>
      <c r="P710" s="294">
        <v>0</v>
      </c>
      <c r="Q710" s="294">
        <v>0</v>
      </c>
      <c r="R710" s="294"/>
      <c r="S710" s="294"/>
      <c r="T710" s="294"/>
      <c r="U710" s="294"/>
      <c r="V710" s="431"/>
      <c r="W710" s="331"/>
      <c r="X710" s="331"/>
      <c r="Y710" s="294">
        <f>IF(NFI_Expiration=1,IF($A710&lt;VLOOKUP(H$5,NFI,5,0),1,0)*Table_NFI[[#This Row],[Hygiene Kit]],Table_NFI[Hygiene Kit])</f>
        <v>0</v>
      </c>
      <c r="Z710" s="294">
        <f>IF(NFI_Expiration=1,IF($A710&lt;VLOOKUP(I$5,NFI,5,0),1,0)*Table_NFI[[#This Row],[NFI Core Kit]],Table_NFI[NFI Core Kit])</f>
        <v>0</v>
      </c>
      <c r="AA710" s="294">
        <f>IF(NFI_Expiration=1,IF($A710&lt;VLOOKUP(J$5,NFI,5,0),1,0)*Table_NFI[[#This Row],[Sanitary Kit]],Table_NFI[Sanitary Kit])</f>
        <v>0</v>
      </c>
      <c r="AB710" s="294">
        <f>IF(NFI_Expiration=1,IF($A710&lt;VLOOKUP(K$5,NFI,5,0),1,0)*Table_NFI[[#This Row],[Mosquito net]],Table_NFI[Mosquito net])</f>
        <v>0</v>
      </c>
      <c r="AC710" s="294">
        <f>IF(NFI_Expiration=1,IF($A710&lt;VLOOKUP(L$5,NFI,5,0),1,0)*Table_NFI[[#This Row],[Tarpaulin]],Table_NFI[[#This Row],[Tarpaulin]])</f>
        <v>0</v>
      </c>
      <c r="AD710" s="294">
        <f>IF(NFI_Expiration=1,IF($A710&lt;VLOOKUP(M$5,NFI,5,0),1,0)*Table_NFI[[#This Row],[Blanket]],Table_NFI[[#This Row],[Blanket]])</f>
        <v>0</v>
      </c>
      <c r="AE710" s="294">
        <f>IF(NFI_Expiration=1,IF($A710&lt;VLOOKUP(N$5,NFI,5,0),1,0)*Table_NFI[[#This Row],[Kitchen Set]],Table_NFI[Kitchen Set])</f>
        <v>0</v>
      </c>
      <c r="AF710" s="294">
        <f>IF(NFI_Expiration=1,IF($A710&lt;VLOOKUP(O$5,NFI,5,0),1,0)*Table_NFI[[#This Row],[Clothes Kit]],Table_NFI[Clothes Kit])</f>
        <v>0</v>
      </c>
      <c r="AG710" s="294">
        <f>IF(NFI_Expiration=1,IF($A710&lt;VLOOKUP(P$5,NFI,5,0),1,0)*Table_NFI[[#This Row],[Plastic Bucket]],Table_NFI[Plastic Bucket])</f>
        <v>0</v>
      </c>
      <c r="AH710" s="294">
        <f>IF(NFI_Expiration=1,IF($A710&lt;VLOOKUP(Q$5,NFI,5,0),1,0)*Table_NFI[[#This Row],[Plastic Mat]],Table_NFI[Plastic Mat])*IF(Table_NFI[[#This Row],[Distribution Date]]&gt;"2014-04-01",1,2.5)</f>
        <v>0</v>
      </c>
      <c r="AI710" s="294">
        <f>IF(NFI_Expiration=1,IF($A710&lt;VLOOKUP(R$5,NFI,5,0),1,0)*Table_NFI[[#This Row],[Winter Clothes Adult]],Table_NFI[Winter Clothes Adult])</f>
        <v>0</v>
      </c>
      <c r="AJ710" s="294">
        <f>IF(NFI_Expiration=1,IF($A710&lt;VLOOKUP(S$5,NFI,5,0),1,0)*Table_NFI[[#This Row],[Winter Clothes Children]],Table_NFI[Winter Clothes Children])</f>
        <v>0</v>
      </c>
      <c r="AK710" s="294">
        <f>IF(NFI_Expiration=1,IF($A710&lt;VLOOKUP(T$5,NFI,5,0),1,0)*Table_NFI[[#This Row],[Winter Items Other]],Table_NFI[Winter Items Other])</f>
        <v>0</v>
      </c>
      <c r="AL710" s="294">
        <f>IF(NFI_Expiration=1,IF($A710&lt;VLOOKUP(M$5,NFI,5,0),1,0)*Table_NFI[[#This Row],[Winter Blanket]],Table_NFI[[#This Row],[Winter Blanket]])</f>
        <v>0</v>
      </c>
      <c r="AM710" s="294">
        <f>IF(Table_NFI[[#This Row],[Winter Clothes Adult]]+Table_NFI[[#This Row],[Winter Clothes Children]]+Table_NFI[[#This Row],[Winter Items Other]]+Table_NFI[[#This Row],[Winter Blanket]]&gt;0,1,0)</f>
        <v>0</v>
      </c>
      <c r="AN710" s="331">
        <f>IF(NFI_Expiration=1,IF($A710&lt;VLOOKUP(V$5,NFI,5,0),1,0)*Table_NFI[[#This Row],[Jerry Can]],Table_NFI[Jerry Can])</f>
        <v>0</v>
      </c>
      <c r="AO710" s="331">
        <f>IF(NFI_Expiration=1,IF($A710&lt;VLOOKUP(V$5,NFI,5,0),1,0)*Table_NFI[[#This Row],[Shelter Tool kit]],Table_NFI[Shelter Tool kit])</f>
        <v>0</v>
      </c>
      <c r="AP710" s="331">
        <f>IF(NFI_Expiration=1,IF($A710&lt;VLOOKUP(V$5,NFI,5,0),1,0)*Table_NFI[[#This Row],[Tent]],Table_NFI[Tent])</f>
        <v>0</v>
      </c>
      <c r="AQ710" s="473" t="str">
        <f>IFERROR(VLOOKUP(Table_NFI[[#This Row],[Camp Name]],CL,2,0),"")</f>
        <v>MMR001CMP071</v>
      </c>
      <c r="AR710" s="468">
        <f ca="1">IF(Table_NFI[[#This Row],[Pcode]]="","",IF(OFFSET(CampList[Opening Date],MATCH(Table_NFI[[#This Row],[Pcode]],CampList[CP_Pcode],0)-1,0,1,1)&gt;=NFI_Monitor_Date,1,0))</f>
        <v>0</v>
      </c>
      <c r="AS710" s="473" t="str">
        <f>IFERROR(VLOOKUP(Table_NFI[[#This Row],[Camp Name]],CL,3,0),"")</f>
        <v>Open</v>
      </c>
      <c r="AT710" s="294" t="str">
        <f ca="1">IF(Table_NFI[[#This Row],[Pcode]]="","",OFFSET(CampList[Priority],MATCH(Table_NFI[[#This Row],[Pcode]],CampList[CP_Pcode],0)-1,0,1,1))</f>
        <v>P3</v>
      </c>
      <c r="AU710" s="293">
        <f>IFERROR(Table_NFI[[#This Row],[Kitchen Set]]/VLOOKUP(Table_NFI[[#This Row],[Camp Name]],CL,4,0),"")</f>
        <v>0</v>
      </c>
      <c r="AV710" s="466" t="s">
        <v>1092</v>
      </c>
      <c r="AW710" s="469"/>
    </row>
    <row r="711" spans="1:49" x14ac:dyDescent="0.25">
      <c r="A711" s="297">
        <f t="shared" si="11"/>
        <v>44.666666666666664</v>
      </c>
      <c r="B711" s="465">
        <v>41335</v>
      </c>
      <c r="C711" s="466" t="s">
        <v>905</v>
      </c>
      <c r="D711" s="467" t="s">
        <v>905</v>
      </c>
      <c r="E711" s="466" t="s">
        <v>380</v>
      </c>
      <c r="F711" s="290" t="s">
        <v>185</v>
      </c>
      <c r="G711" s="290" t="s">
        <v>190</v>
      </c>
      <c r="H711" s="291">
        <v>368</v>
      </c>
      <c r="I711" s="291"/>
      <c r="J711" s="291"/>
      <c r="K711" s="291"/>
      <c r="L711" s="292"/>
      <c r="M711" s="292"/>
      <c r="N711" s="292"/>
      <c r="O711" s="292"/>
      <c r="P711" s="294">
        <v>0</v>
      </c>
      <c r="Q711" s="294">
        <v>0</v>
      </c>
      <c r="R711" s="294"/>
      <c r="S711" s="294"/>
      <c r="T711" s="294"/>
      <c r="U711" s="294"/>
      <c r="V711" s="431"/>
      <c r="W711" s="294"/>
      <c r="X711" s="294"/>
      <c r="Y711" s="294">
        <f>IF(NFI_Expiration=1,IF($A711&lt;VLOOKUP(H$5,NFI,5,0),1,0)*Table_NFI[[#This Row],[Hygiene Kit]],Table_NFI[Hygiene Kit])</f>
        <v>0</v>
      </c>
      <c r="Z711" s="294">
        <f>IF(NFI_Expiration=1,IF($A711&lt;VLOOKUP(I$5,NFI,5,0),1,0)*Table_NFI[[#This Row],[NFI Core Kit]],Table_NFI[NFI Core Kit])</f>
        <v>0</v>
      </c>
      <c r="AA711" s="294">
        <f>IF(NFI_Expiration=1,IF($A711&lt;VLOOKUP(J$5,NFI,5,0),1,0)*Table_NFI[[#This Row],[Sanitary Kit]],Table_NFI[Sanitary Kit])</f>
        <v>0</v>
      </c>
      <c r="AB711" s="294">
        <f>IF(NFI_Expiration=1,IF($A711&lt;VLOOKUP(K$5,NFI,5,0),1,0)*Table_NFI[[#This Row],[Mosquito net]],Table_NFI[Mosquito net])</f>
        <v>0</v>
      </c>
      <c r="AC711" s="294">
        <f>IF(NFI_Expiration=1,IF($A711&lt;VLOOKUP(L$5,NFI,5,0),1,0)*Table_NFI[[#This Row],[Tarpaulin]],Table_NFI[[#This Row],[Tarpaulin]])</f>
        <v>0</v>
      </c>
      <c r="AD711" s="294">
        <f>IF(NFI_Expiration=1,IF($A711&lt;VLOOKUP(M$5,NFI,5,0),1,0)*Table_NFI[[#This Row],[Blanket]],Table_NFI[[#This Row],[Blanket]])</f>
        <v>0</v>
      </c>
      <c r="AE711" s="294">
        <f>IF(NFI_Expiration=1,IF($A711&lt;VLOOKUP(N$5,NFI,5,0),1,0)*Table_NFI[[#This Row],[Kitchen Set]],Table_NFI[Kitchen Set])</f>
        <v>0</v>
      </c>
      <c r="AF711" s="294">
        <f>IF(NFI_Expiration=1,IF($A711&lt;VLOOKUP(O$5,NFI,5,0),1,0)*Table_NFI[[#This Row],[Clothes Kit]],Table_NFI[Clothes Kit])</f>
        <v>0</v>
      </c>
      <c r="AG711" s="294">
        <f>IF(NFI_Expiration=1,IF($A711&lt;VLOOKUP(P$5,NFI,5,0),1,0)*Table_NFI[[#This Row],[Plastic Bucket]],Table_NFI[Plastic Bucket])</f>
        <v>0</v>
      </c>
      <c r="AH711" s="294">
        <f>IF(NFI_Expiration=1,IF($A711&lt;VLOOKUP(Q$5,NFI,5,0),1,0)*Table_NFI[[#This Row],[Plastic Mat]],Table_NFI[Plastic Mat])*IF(Table_NFI[[#This Row],[Distribution Date]]&gt;"2014-04-01",1,2.5)</f>
        <v>0</v>
      </c>
      <c r="AI711" s="294">
        <f>IF(NFI_Expiration=1,IF($A711&lt;VLOOKUP(R$5,NFI,5,0),1,0)*Table_NFI[[#This Row],[Winter Clothes Adult]],Table_NFI[Winter Clothes Adult])</f>
        <v>0</v>
      </c>
      <c r="AJ711" s="294">
        <f>IF(NFI_Expiration=1,IF($A711&lt;VLOOKUP(S$5,NFI,5,0),1,0)*Table_NFI[[#This Row],[Winter Clothes Children]],Table_NFI[Winter Clothes Children])</f>
        <v>0</v>
      </c>
      <c r="AK711" s="294">
        <f>IF(NFI_Expiration=1,IF($A711&lt;VLOOKUP(T$5,NFI,5,0),1,0)*Table_NFI[[#This Row],[Winter Items Other]],Table_NFI[Winter Items Other])</f>
        <v>0</v>
      </c>
      <c r="AL711" s="294">
        <f>IF(NFI_Expiration=1,IF($A711&lt;VLOOKUP(M$5,NFI,5,0),1,0)*Table_NFI[[#This Row],[Winter Blanket]],Table_NFI[[#This Row],[Winter Blanket]])</f>
        <v>0</v>
      </c>
      <c r="AM711" s="294">
        <f>IF(Table_NFI[[#This Row],[Winter Clothes Adult]]+Table_NFI[[#This Row],[Winter Clothes Children]]+Table_NFI[[#This Row],[Winter Items Other]]+Table_NFI[[#This Row],[Winter Blanket]]&gt;0,1,0)</f>
        <v>0</v>
      </c>
      <c r="AN711" s="331">
        <f>IF(NFI_Expiration=1,IF($A711&lt;VLOOKUP(V$5,NFI,5,0),1,0)*Table_NFI[[#This Row],[Jerry Can]],Table_NFI[Jerry Can])</f>
        <v>0</v>
      </c>
      <c r="AO711" s="331">
        <f>IF(NFI_Expiration=1,IF($A711&lt;VLOOKUP(V$5,NFI,5,0),1,0)*Table_NFI[[#This Row],[Shelter Tool kit]],Table_NFI[Shelter Tool kit])</f>
        <v>0</v>
      </c>
      <c r="AP711" s="331">
        <f>IF(NFI_Expiration=1,IF($A711&lt;VLOOKUP(V$5,NFI,5,0),1,0)*Table_NFI[[#This Row],[Tent]],Table_NFI[Tent])</f>
        <v>0</v>
      </c>
      <c r="AQ711" s="473" t="str">
        <f>IFERROR(VLOOKUP(Table_NFI[[#This Row],[Camp Name]],CL,2,0),"")</f>
        <v>MMR001CMP070</v>
      </c>
      <c r="AR711" s="468">
        <f ca="1">IF(Table_NFI[[#This Row],[Pcode]]="","",IF(OFFSET(CampList[Opening Date],MATCH(Table_NFI[[#This Row],[Pcode]],CampList[CP_Pcode],0)-1,0,1,1)&gt;=NFI_Monitor_Date,1,0))</f>
        <v>0</v>
      </c>
      <c r="AS711" s="473" t="str">
        <f>IFERROR(VLOOKUP(Table_NFI[[#This Row],[Camp Name]],CL,3,0),"")</f>
        <v>Open</v>
      </c>
      <c r="AT711" s="294" t="str">
        <f ca="1">IF(Table_NFI[[#This Row],[Pcode]]="","",OFFSET(CampList[Priority],MATCH(Table_NFI[[#This Row],[Pcode]],CampList[CP_Pcode],0)-1,0,1,1))</f>
        <v>P3</v>
      </c>
      <c r="AU711" s="293">
        <f>IFERROR(Table_NFI[[#This Row],[Kitchen Set]]/VLOOKUP(Table_NFI[[#This Row],[Camp Name]],CL,4,0),"")</f>
        <v>0</v>
      </c>
      <c r="AV711" s="466" t="s">
        <v>1092</v>
      </c>
      <c r="AW711" s="469"/>
    </row>
    <row r="712" spans="1:49" x14ac:dyDescent="0.25">
      <c r="A712" s="297">
        <f t="shared" si="11"/>
        <v>44.666666666666664</v>
      </c>
      <c r="B712" s="465">
        <v>41335</v>
      </c>
      <c r="C712" s="466" t="s">
        <v>905</v>
      </c>
      <c r="D712" s="466" t="s">
        <v>905</v>
      </c>
      <c r="E712" s="466" t="s">
        <v>380</v>
      </c>
      <c r="F712" s="290" t="s">
        <v>151</v>
      </c>
      <c r="G712" s="290" t="s">
        <v>154</v>
      </c>
      <c r="H712" s="291">
        <v>1542</v>
      </c>
      <c r="I712" s="291"/>
      <c r="J712" s="291"/>
      <c r="K712" s="291"/>
      <c r="L712" s="292"/>
      <c r="M712" s="292"/>
      <c r="N712" s="292"/>
      <c r="O712" s="292"/>
      <c r="P712" s="294">
        <v>0</v>
      </c>
      <c r="Q712" s="294">
        <v>0</v>
      </c>
      <c r="R712" s="294"/>
      <c r="S712" s="294"/>
      <c r="T712" s="294"/>
      <c r="U712" s="294"/>
      <c r="V712" s="431"/>
      <c r="W712" s="294"/>
      <c r="X712" s="294"/>
      <c r="Y712" s="294">
        <f>IF(NFI_Expiration=1,IF($A712&lt;VLOOKUP(H$5,NFI,5,0),1,0)*Table_NFI[[#This Row],[Hygiene Kit]],Table_NFI[Hygiene Kit])</f>
        <v>0</v>
      </c>
      <c r="Z712" s="294">
        <f>IF(NFI_Expiration=1,IF($A712&lt;VLOOKUP(I$5,NFI,5,0),1,0)*Table_NFI[[#This Row],[NFI Core Kit]],Table_NFI[NFI Core Kit])</f>
        <v>0</v>
      </c>
      <c r="AA712" s="294">
        <f>IF(NFI_Expiration=1,IF($A712&lt;VLOOKUP(J$5,NFI,5,0),1,0)*Table_NFI[[#This Row],[Sanitary Kit]],Table_NFI[Sanitary Kit])</f>
        <v>0</v>
      </c>
      <c r="AB712" s="294">
        <f>IF(NFI_Expiration=1,IF($A712&lt;VLOOKUP(K$5,NFI,5,0),1,0)*Table_NFI[[#This Row],[Mosquito net]],Table_NFI[Mosquito net])</f>
        <v>0</v>
      </c>
      <c r="AC712" s="294">
        <f>IF(NFI_Expiration=1,IF($A712&lt;VLOOKUP(L$5,NFI,5,0),1,0)*Table_NFI[[#This Row],[Tarpaulin]],Table_NFI[[#This Row],[Tarpaulin]])</f>
        <v>0</v>
      </c>
      <c r="AD712" s="294">
        <f>IF(NFI_Expiration=1,IF($A712&lt;VLOOKUP(M$5,NFI,5,0),1,0)*Table_NFI[[#This Row],[Blanket]],Table_NFI[[#This Row],[Blanket]])</f>
        <v>0</v>
      </c>
      <c r="AE712" s="294">
        <f>IF(NFI_Expiration=1,IF($A712&lt;VLOOKUP(N$5,NFI,5,0),1,0)*Table_NFI[[#This Row],[Kitchen Set]],Table_NFI[Kitchen Set])</f>
        <v>0</v>
      </c>
      <c r="AF712" s="294">
        <f>IF(NFI_Expiration=1,IF($A712&lt;VLOOKUP(O$5,NFI,5,0),1,0)*Table_NFI[[#This Row],[Clothes Kit]],Table_NFI[Clothes Kit])</f>
        <v>0</v>
      </c>
      <c r="AG712" s="294">
        <f>IF(NFI_Expiration=1,IF($A712&lt;VLOOKUP(P$5,NFI,5,0),1,0)*Table_NFI[[#This Row],[Plastic Bucket]],Table_NFI[Plastic Bucket])</f>
        <v>0</v>
      </c>
      <c r="AH712" s="294">
        <f>IF(NFI_Expiration=1,IF($A712&lt;VLOOKUP(Q$5,NFI,5,0),1,0)*Table_NFI[[#This Row],[Plastic Mat]],Table_NFI[Plastic Mat])*IF(Table_NFI[[#This Row],[Distribution Date]]&gt;"2014-04-01",1,2.5)</f>
        <v>0</v>
      </c>
      <c r="AI712" s="294">
        <f>IF(NFI_Expiration=1,IF($A712&lt;VLOOKUP(R$5,NFI,5,0),1,0)*Table_NFI[[#This Row],[Winter Clothes Adult]],Table_NFI[Winter Clothes Adult])</f>
        <v>0</v>
      </c>
      <c r="AJ712" s="294">
        <f>IF(NFI_Expiration=1,IF($A712&lt;VLOOKUP(S$5,NFI,5,0),1,0)*Table_NFI[[#This Row],[Winter Clothes Children]],Table_NFI[Winter Clothes Children])</f>
        <v>0</v>
      </c>
      <c r="AK712" s="294">
        <f>IF(NFI_Expiration=1,IF($A712&lt;VLOOKUP(T$5,NFI,5,0),1,0)*Table_NFI[[#This Row],[Winter Items Other]],Table_NFI[Winter Items Other])</f>
        <v>0</v>
      </c>
      <c r="AL712" s="294">
        <f>IF(NFI_Expiration=1,IF($A712&lt;VLOOKUP(M$5,NFI,5,0),1,0)*Table_NFI[[#This Row],[Winter Blanket]],Table_NFI[[#This Row],[Winter Blanket]])</f>
        <v>0</v>
      </c>
      <c r="AM712" s="294">
        <f>IF(Table_NFI[[#This Row],[Winter Clothes Adult]]+Table_NFI[[#This Row],[Winter Clothes Children]]+Table_NFI[[#This Row],[Winter Items Other]]+Table_NFI[[#This Row],[Winter Blanket]]&gt;0,1,0)</f>
        <v>0</v>
      </c>
      <c r="AN712" s="331">
        <f>IF(NFI_Expiration=1,IF($A712&lt;VLOOKUP(V$5,NFI,5,0),1,0)*Table_NFI[[#This Row],[Jerry Can]],Table_NFI[Jerry Can])</f>
        <v>0</v>
      </c>
      <c r="AO712" s="331">
        <f>IF(NFI_Expiration=1,IF($A712&lt;VLOOKUP(V$5,NFI,5,0),1,0)*Table_NFI[[#This Row],[Shelter Tool kit]],Table_NFI[Shelter Tool kit])</f>
        <v>0</v>
      </c>
      <c r="AP712" s="331">
        <f>IF(NFI_Expiration=1,IF($A712&lt;VLOOKUP(V$5,NFI,5,0),1,0)*Table_NFI[[#This Row],[Tent]],Table_NFI[Tent])</f>
        <v>0</v>
      </c>
      <c r="AQ712" s="473" t="str">
        <f>IFERROR(VLOOKUP(Table_NFI[[#This Row],[Camp Name]],CL,2,0),"")</f>
        <v>MMR001CMP132</v>
      </c>
      <c r="AR712" s="468">
        <f ca="1">IF(Table_NFI[[#This Row],[Pcode]]="","",IF(OFFSET(CampList[Opening Date],MATCH(Table_NFI[[#This Row],[Pcode]],CampList[CP_Pcode],0)-1,0,1,1)&gt;=NFI_Monitor_Date,1,0))</f>
        <v>0</v>
      </c>
      <c r="AS712" s="473" t="str">
        <f>IFERROR(VLOOKUP(Table_NFI[[#This Row],[Camp Name]],CL,3,0),"")</f>
        <v>Open</v>
      </c>
      <c r="AT712" s="294" t="str">
        <f ca="1">IF(Table_NFI[[#This Row],[Pcode]]="","",OFFSET(CampList[Priority],MATCH(Table_NFI[[#This Row],[Pcode]],CampList[CP_Pcode],0)-1,0,1,1))</f>
        <v>P4</v>
      </c>
      <c r="AU712" s="293">
        <f>IFERROR(Table_NFI[[#This Row],[Kitchen Set]]/VLOOKUP(Table_NFI[[#This Row],[Camp Name]],CL,4,0),"")</f>
        <v>0</v>
      </c>
      <c r="AV712" s="466" t="s">
        <v>1092</v>
      </c>
      <c r="AW712" s="469"/>
    </row>
    <row r="713" spans="1:49" ht="14.45" customHeight="1" x14ac:dyDescent="0.25">
      <c r="A713" s="297">
        <f t="shared" si="11"/>
        <v>44.766666666666666</v>
      </c>
      <c r="B713" s="465">
        <v>41332</v>
      </c>
      <c r="C713" s="466" t="s">
        <v>452</v>
      </c>
      <c r="D713" s="467" t="s">
        <v>452</v>
      </c>
      <c r="E713" s="466" t="s">
        <v>380</v>
      </c>
      <c r="F713" s="290" t="s">
        <v>310</v>
      </c>
      <c r="G713" s="290" t="s">
        <v>328</v>
      </c>
      <c r="H713" s="291"/>
      <c r="I713" s="291"/>
      <c r="J713" s="291">
        <v>23</v>
      </c>
      <c r="K713" s="291">
        <v>40</v>
      </c>
      <c r="L713" s="292">
        <v>18</v>
      </c>
      <c r="M713" s="292">
        <v>40</v>
      </c>
      <c r="N713" s="292">
        <v>18</v>
      </c>
      <c r="O713" s="292">
        <v>18</v>
      </c>
      <c r="P713" s="294">
        <v>18</v>
      </c>
      <c r="Q713" s="294">
        <v>18</v>
      </c>
      <c r="R713" s="294"/>
      <c r="S713" s="294"/>
      <c r="T713" s="294"/>
      <c r="U713" s="294"/>
      <c r="V713" s="431"/>
      <c r="W713" s="294"/>
      <c r="X713" s="294"/>
      <c r="Y713" s="294">
        <f>IF(NFI_Expiration=1,IF($A713&lt;VLOOKUP(H$5,NFI,5,0),1,0)*Table_NFI[[#This Row],[Hygiene Kit]],Table_NFI[Hygiene Kit])</f>
        <v>0</v>
      </c>
      <c r="Z713" s="294">
        <f>IF(NFI_Expiration=1,IF($A713&lt;VLOOKUP(I$5,NFI,5,0),1,0)*Table_NFI[[#This Row],[NFI Core Kit]],Table_NFI[NFI Core Kit])</f>
        <v>0</v>
      </c>
      <c r="AA713" s="294">
        <f>IF(NFI_Expiration=1,IF($A713&lt;VLOOKUP(J$5,NFI,5,0),1,0)*Table_NFI[[#This Row],[Sanitary Kit]],Table_NFI[Sanitary Kit])</f>
        <v>0</v>
      </c>
      <c r="AB713" s="294">
        <f>IF(NFI_Expiration=1,IF($A713&lt;VLOOKUP(K$5,NFI,5,0),1,0)*Table_NFI[[#This Row],[Mosquito net]],Table_NFI[Mosquito net])</f>
        <v>0</v>
      </c>
      <c r="AC713" s="294">
        <f>IF(NFI_Expiration=1,IF($A713&lt;VLOOKUP(L$5,NFI,5,0),1,0)*Table_NFI[[#This Row],[Tarpaulin]],Table_NFI[[#This Row],[Tarpaulin]])</f>
        <v>0</v>
      </c>
      <c r="AD713" s="294">
        <f>IF(NFI_Expiration=1,IF($A713&lt;VLOOKUP(M$5,NFI,5,0),1,0)*Table_NFI[[#This Row],[Blanket]],Table_NFI[[#This Row],[Blanket]])</f>
        <v>0</v>
      </c>
      <c r="AE713" s="294">
        <f>IF(NFI_Expiration=1,IF($A713&lt;VLOOKUP(N$5,NFI,5,0),1,0)*Table_NFI[[#This Row],[Kitchen Set]],Table_NFI[Kitchen Set])</f>
        <v>0</v>
      </c>
      <c r="AF713" s="294">
        <f>IF(NFI_Expiration=1,IF($A713&lt;VLOOKUP(O$5,NFI,5,0),1,0)*Table_NFI[[#This Row],[Clothes Kit]],Table_NFI[Clothes Kit])</f>
        <v>0</v>
      </c>
      <c r="AG713" s="294">
        <f>IF(NFI_Expiration=1,IF($A713&lt;VLOOKUP(P$5,NFI,5,0),1,0)*Table_NFI[[#This Row],[Plastic Bucket]],Table_NFI[Plastic Bucket])</f>
        <v>0</v>
      </c>
      <c r="AH713" s="294">
        <f>IF(NFI_Expiration=1,IF($A713&lt;VLOOKUP(Q$5,NFI,5,0),1,0)*Table_NFI[[#This Row],[Plastic Mat]],Table_NFI[Plastic Mat])*IF(Table_NFI[[#This Row],[Distribution Date]]&gt;"2014-04-01",1,2.5)</f>
        <v>0</v>
      </c>
      <c r="AI713" s="294">
        <f>IF(NFI_Expiration=1,IF($A713&lt;VLOOKUP(R$5,NFI,5,0),1,0)*Table_NFI[[#This Row],[Winter Clothes Adult]],Table_NFI[Winter Clothes Adult])</f>
        <v>0</v>
      </c>
      <c r="AJ713" s="294">
        <f>IF(NFI_Expiration=1,IF($A713&lt;VLOOKUP(S$5,NFI,5,0),1,0)*Table_NFI[[#This Row],[Winter Clothes Children]],Table_NFI[Winter Clothes Children])</f>
        <v>0</v>
      </c>
      <c r="AK713" s="294">
        <f>IF(NFI_Expiration=1,IF($A713&lt;VLOOKUP(T$5,NFI,5,0),1,0)*Table_NFI[[#This Row],[Winter Items Other]],Table_NFI[Winter Items Other])</f>
        <v>0</v>
      </c>
      <c r="AL713" s="294">
        <f>IF(NFI_Expiration=1,IF($A713&lt;VLOOKUP(M$5,NFI,5,0),1,0)*Table_NFI[[#This Row],[Winter Blanket]],Table_NFI[[#This Row],[Winter Blanket]])</f>
        <v>0</v>
      </c>
      <c r="AM713" s="294">
        <f>IF(Table_NFI[[#This Row],[Winter Clothes Adult]]+Table_NFI[[#This Row],[Winter Clothes Children]]+Table_NFI[[#This Row],[Winter Items Other]]+Table_NFI[[#This Row],[Winter Blanket]]&gt;0,1,0)</f>
        <v>0</v>
      </c>
      <c r="AN713" s="331">
        <f>IF(NFI_Expiration=1,IF($A713&lt;VLOOKUP(V$5,NFI,5,0),1,0)*Table_NFI[[#This Row],[Jerry Can]],Table_NFI[Jerry Can])</f>
        <v>0</v>
      </c>
      <c r="AO713" s="331">
        <f>IF(NFI_Expiration=1,IF($A713&lt;VLOOKUP(V$5,NFI,5,0),1,0)*Table_NFI[[#This Row],[Shelter Tool kit]],Table_NFI[Shelter Tool kit])</f>
        <v>0</v>
      </c>
      <c r="AP713" s="331">
        <f>IF(NFI_Expiration=1,IF($A713&lt;VLOOKUP(V$5,NFI,5,0),1,0)*Table_NFI[[#This Row],[Tent]],Table_NFI[Tent])</f>
        <v>0</v>
      </c>
      <c r="AQ713" s="473" t="str">
        <f>IFERROR(VLOOKUP(Table_NFI[[#This Row],[Camp Name]],CL,2,0),"")</f>
        <v>MMR001CMP031</v>
      </c>
      <c r="AR713" s="468">
        <f ca="1">IF(Table_NFI[[#This Row],[Pcode]]="","",IF(OFFSET(CampList[Opening Date],MATCH(Table_NFI[[#This Row],[Pcode]],CampList[CP_Pcode],0)-1,0,1,1)&gt;=NFI_Monitor_Date,1,0))</f>
        <v>0</v>
      </c>
      <c r="AS713" s="473" t="str">
        <f>IFERROR(VLOOKUP(Table_NFI[[#This Row],[Camp Name]],CL,3,0),"")</f>
        <v>Open</v>
      </c>
      <c r="AT713" s="294" t="str">
        <f ca="1">IF(Table_NFI[[#This Row],[Pcode]]="","",OFFSET(CampList[Priority],MATCH(Table_NFI[[#This Row],[Pcode]],CampList[CP_Pcode],0)-1,0,1,1))</f>
        <v>P4</v>
      </c>
      <c r="AU713" s="293">
        <f>IFERROR(Table_NFI[[#This Row],[Kitchen Set]]/VLOOKUP(Table_NFI[[#This Row],[Camp Name]],CL,4,0),"")</f>
        <v>0.12080536912751678</v>
      </c>
      <c r="AV713" s="466" t="s">
        <v>1092</v>
      </c>
      <c r="AW713" s="469"/>
    </row>
    <row r="714" spans="1:49" ht="14.45" customHeight="1" x14ac:dyDescent="0.25">
      <c r="A714" s="297">
        <f t="shared" si="11"/>
        <v>44.766666666666666</v>
      </c>
      <c r="B714" s="465">
        <v>41332</v>
      </c>
      <c r="C714" s="466" t="s">
        <v>905</v>
      </c>
      <c r="D714" s="467" t="s">
        <v>905</v>
      </c>
      <c r="E714" s="466" t="s">
        <v>380</v>
      </c>
      <c r="F714" s="290" t="s">
        <v>151</v>
      </c>
      <c r="G714" s="290" t="s">
        <v>160</v>
      </c>
      <c r="H714" s="291">
        <v>595</v>
      </c>
      <c r="I714" s="291"/>
      <c r="J714" s="291"/>
      <c r="K714" s="291"/>
      <c r="L714" s="292"/>
      <c r="M714" s="292"/>
      <c r="N714" s="292"/>
      <c r="O714" s="292"/>
      <c r="P714" s="294">
        <v>0</v>
      </c>
      <c r="Q714" s="294">
        <v>0</v>
      </c>
      <c r="R714" s="294"/>
      <c r="S714" s="294"/>
      <c r="T714" s="294"/>
      <c r="U714" s="294"/>
      <c r="V714" s="431"/>
      <c r="W714" s="294"/>
      <c r="X714" s="294"/>
      <c r="Y714" s="294">
        <f>IF(NFI_Expiration=1,IF($A714&lt;VLOOKUP(H$5,NFI,5,0),1,0)*Table_NFI[[#This Row],[Hygiene Kit]],Table_NFI[Hygiene Kit])</f>
        <v>0</v>
      </c>
      <c r="Z714" s="294">
        <f>IF(NFI_Expiration=1,IF($A714&lt;VLOOKUP(I$5,NFI,5,0),1,0)*Table_NFI[[#This Row],[NFI Core Kit]],Table_NFI[NFI Core Kit])</f>
        <v>0</v>
      </c>
      <c r="AA714" s="294">
        <f>IF(NFI_Expiration=1,IF($A714&lt;VLOOKUP(J$5,NFI,5,0),1,0)*Table_NFI[[#This Row],[Sanitary Kit]],Table_NFI[Sanitary Kit])</f>
        <v>0</v>
      </c>
      <c r="AB714" s="294">
        <f>IF(NFI_Expiration=1,IF($A714&lt;VLOOKUP(K$5,NFI,5,0),1,0)*Table_NFI[[#This Row],[Mosquito net]],Table_NFI[Mosquito net])</f>
        <v>0</v>
      </c>
      <c r="AC714" s="294">
        <f>IF(NFI_Expiration=1,IF($A714&lt;VLOOKUP(L$5,NFI,5,0),1,0)*Table_NFI[[#This Row],[Tarpaulin]],Table_NFI[[#This Row],[Tarpaulin]])</f>
        <v>0</v>
      </c>
      <c r="AD714" s="294">
        <f>IF(NFI_Expiration=1,IF($A714&lt;VLOOKUP(M$5,NFI,5,0),1,0)*Table_NFI[[#This Row],[Blanket]],Table_NFI[[#This Row],[Blanket]])</f>
        <v>0</v>
      </c>
      <c r="AE714" s="294">
        <f>IF(NFI_Expiration=1,IF($A714&lt;VLOOKUP(N$5,NFI,5,0),1,0)*Table_NFI[[#This Row],[Kitchen Set]],Table_NFI[Kitchen Set])</f>
        <v>0</v>
      </c>
      <c r="AF714" s="294">
        <f>IF(NFI_Expiration=1,IF($A714&lt;VLOOKUP(O$5,NFI,5,0),1,0)*Table_NFI[[#This Row],[Clothes Kit]],Table_NFI[Clothes Kit])</f>
        <v>0</v>
      </c>
      <c r="AG714" s="294">
        <f>IF(NFI_Expiration=1,IF($A714&lt;VLOOKUP(P$5,NFI,5,0),1,0)*Table_NFI[[#This Row],[Plastic Bucket]],Table_NFI[Plastic Bucket])</f>
        <v>0</v>
      </c>
      <c r="AH714" s="294">
        <f>IF(NFI_Expiration=1,IF($A714&lt;VLOOKUP(Q$5,NFI,5,0),1,0)*Table_NFI[[#This Row],[Plastic Mat]],Table_NFI[Plastic Mat])*IF(Table_NFI[[#This Row],[Distribution Date]]&gt;"2014-04-01",1,2.5)</f>
        <v>0</v>
      </c>
      <c r="AI714" s="294">
        <f>IF(NFI_Expiration=1,IF($A714&lt;VLOOKUP(R$5,NFI,5,0),1,0)*Table_NFI[[#This Row],[Winter Clothes Adult]],Table_NFI[Winter Clothes Adult])</f>
        <v>0</v>
      </c>
      <c r="AJ714" s="294">
        <f>IF(NFI_Expiration=1,IF($A714&lt;VLOOKUP(S$5,NFI,5,0),1,0)*Table_NFI[[#This Row],[Winter Clothes Children]],Table_NFI[Winter Clothes Children])</f>
        <v>0</v>
      </c>
      <c r="AK714" s="294">
        <f>IF(NFI_Expiration=1,IF($A714&lt;VLOOKUP(T$5,NFI,5,0),1,0)*Table_NFI[[#This Row],[Winter Items Other]],Table_NFI[Winter Items Other])</f>
        <v>0</v>
      </c>
      <c r="AL714" s="294">
        <f>IF(NFI_Expiration=1,IF($A714&lt;VLOOKUP(M$5,NFI,5,0),1,0)*Table_NFI[[#This Row],[Winter Blanket]],Table_NFI[[#This Row],[Winter Blanket]])</f>
        <v>0</v>
      </c>
      <c r="AM714" s="294">
        <f>IF(Table_NFI[[#This Row],[Winter Clothes Adult]]+Table_NFI[[#This Row],[Winter Clothes Children]]+Table_NFI[[#This Row],[Winter Items Other]]+Table_NFI[[#This Row],[Winter Blanket]]&gt;0,1,0)</f>
        <v>0</v>
      </c>
      <c r="AN714" s="331">
        <f>IF(NFI_Expiration=1,IF($A714&lt;VLOOKUP(V$5,NFI,5,0),1,0)*Table_NFI[[#This Row],[Jerry Can]],Table_NFI[Jerry Can])</f>
        <v>0</v>
      </c>
      <c r="AO714" s="331">
        <f>IF(NFI_Expiration=1,IF($A714&lt;VLOOKUP(V$5,NFI,5,0),1,0)*Table_NFI[[#This Row],[Shelter Tool kit]],Table_NFI[Shelter Tool kit])</f>
        <v>0</v>
      </c>
      <c r="AP714" s="331">
        <f>IF(NFI_Expiration=1,IF($A714&lt;VLOOKUP(V$5,NFI,5,0),1,0)*Table_NFI[[#This Row],[Tent]],Table_NFI[Tent])</f>
        <v>0</v>
      </c>
      <c r="AQ714" s="473" t="str">
        <f>IFERROR(VLOOKUP(Table_NFI[[#This Row],[Camp Name]],CL,2,0),"")</f>
        <v>MMR001CMP133</v>
      </c>
      <c r="AR714" s="468">
        <f ca="1">IF(Table_NFI[[#This Row],[Pcode]]="","",IF(OFFSET(CampList[Opening Date],MATCH(Table_NFI[[#This Row],[Pcode]],CampList[CP_Pcode],0)-1,0,1,1)&gt;=NFI_Monitor_Date,1,0))</f>
        <v>0</v>
      </c>
      <c r="AS714" s="473" t="str">
        <f>IFERROR(VLOOKUP(Table_NFI[[#This Row],[Camp Name]],CL,3,0),"")</f>
        <v>Open</v>
      </c>
      <c r="AT714" s="294" t="str">
        <f ca="1">IF(Table_NFI[[#This Row],[Pcode]]="","",OFFSET(CampList[Priority],MATCH(Table_NFI[[#This Row],[Pcode]],CampList[CP_Pcode],0)-1,0,1,1))</f>
        <v>P4</v>
      </c>
      <c r="AU714" s="293">
        <f>IFERROR(Table_NFI[[#This Row],[Kitchen Set]]/VLOOKUP(Table_NFI[[#This Row],[Camp Name]],CL,4,0),"")</f>
        <v>0</v>
      </c>
      <c r="AV714" s="466" t="s">
        <v>1092</v>
      </c>
      <c r="AW714" s="469"/>
    </row>
    <row r="715" spans="1:49" ht="14.45" customHeight="1" x14ac:dyDescent="0.25">
      <c r="A715" s="297">
        <f t="shared" si="11"/>
        <v>44.8</v>
      </c>
      <c r="B715" s="465">
        <v>41331</v>
      </c>
      <c r="C715" s="466" t="s">
        <v>900</v>
      </c>
      <c r="D715" s="467" t="s">
        <v>900</v>
      </c>
      <c r="E715" s="466" t="s">
        <v>380</v>
      </c>
      <c r="F715" s="466" t="s">
        <v>310</v>
      </c>
      <c r="G715" s="290" t="s">
        <v>313</v>
      </c>
      <c r="H715" s="291"/>
      <c r="I715" s="291"/>
      <c r="J715" s="291">
        <v>136</v>
      </c>
      <c r="K715" s="291"/>
      <c r="L715" s="292">
        <v>66</v>
      </c>
      <c r="M715" s="292"/>
      <c r="N715" s="292">
        <v>70</v>
      </c>
      <c r="O715" s="292"/>
      <c r="P715" s="294">
        <v>0</v>
      </c>
      <c r="Q715" s="294">
        <v>0</v>
      </c>
      <c r="R715" s="294"/>
      <c r="S715" s="294"/>
      <c r="T715" s="294"/>
      <c r="U715" s="294"/>
      <c r="V715" s="431"/>
      <c r="W715" s="294"/>
      <c r="X715" s="294"/>
      <c r="Y715" s="294">
        <f>IF(NFI_Expiration=1,IF($A715&lt;VLOOKUP(H$5,NFI,5,0),1,0)*Table_NFI[[#This Row],[Hygiene Kit]],Table_NFI[Hygiene Kit])</f>
        <v>0</v>
      </c>
      <c r="Z715" s="294">
        <f>IF(NFI_Expiration=1,IF($A715&lt;VLOOKUP(I$5,NFI,5,0),1,0)*Table_NFI[[#This Row],[NFI Core Kit]],Table_NFI[NFI Core Kit])</f>
        <v>0</v>
      </c>
      <c r="AA715" s="294">
        <f>IF(NFI_Expiration=1,IF($A715&lt;VLOOKUP(J$5,NFI,5,0),1,0)*Table_NFI[[#This Row],[Sanitary Kit]],Table_NFI[Sanitary Kit])</f>
        <v>0</v>
      </c>
      <c r="AB715" s="294">
        <f>IF(NFI_Expiration=1,IF($A715&lt;VLOOKUP(K$5,NFI,5,0),1,0)*Table_NFI[[#This Row],[Mosquito net]],Table_NFI[Mosquito net])</f>
        <v>0</v>
      </c>
      <c r="AC715" s="294">
        <f>IF(NFI_Expiration=1,IF($A715&lt;VLOOKUP(L$5,NFI,5,0),1,0)*Table_NFI[[#This Row],[Tarpaulin]],Table_NFI[[#This Row],[Tarpaulin]])</f>
        <v>0</v>
      </c>
      <c r="AD715" s="294">
        <f>IF(NFI_Expiration=1,IF($A715&lt;VLOOKUP(M$5,NFI,5,0),1,0)*Table_NFI[[#This Row],[Blanket]],Table_NFI[[#This Row],[Blanket]])</f>
        <v>0</v>
      </c>
      <c r="AE715" s="294">
        <f>IF(NFI_Expiration=1,IF($A715&lt;VLOOKUP(N$5,NFI,5,0),1,0)*Table_NFI[[#This Row],[Kitchen Set]],Table_NFI[Kitchen Set])</f>
        <v>0</v>
      </c>
      <c r="AF715" s="294">
        <f>IF(NFI_Expiration=1,IF($A715&lt;VLOOKUP(O$5,NFI,5,0),1,0)*Table_NFI[[#This Row],[Clothes Kit]],Table_NFI[Clothes Kit])</f>
        <v>0</v>
      </c>
      <c r="AG715" s="294">
        <f>IF(NFI_Expiration=1,IF($A715&lt;VLOOKUP(P$5,NFI,5,0),1,0)*Table_NFI[[#This Row],[Plastic Bucket]],Table_NFI[Plastic Bucket])</f>
        <v>0</v>
      </c>
      <c r="AH715" s="294">
        <f>IF(NFI_Expiration=1,IF($A715&lt;VLOOKUP(Q$5,NFI,5,0),1,0)*Table_NFI[[#This Row],[Plastic Mat]],Table_NFI[Plastic Mat])*IF(Table_NFI[[#This Row],[Distribution Date]]&gt;"2014-04-01",1,2.5)</f>
        <v>0</v>
      </c>
      <c r="AI715" s="294">
        <f>IF(NFI_Expiration=1,IF($A715&lt;VLOOKUP(R$5,NFI,5,0),1,0)*Table_NFI[[#This Row],[Winter Clothes Adult]],Table_NFI[Winter Clothes Adult])</f>
        <v>0</v>
      </c>
      <c r="AJ715" s="294">
        <f>IF(NFI_Expiration=1,IF($A715&lt;VLOOKUP(S$5,NFI,5,0),1,0)*Table_NFI[[#This Row],[Winter Clothes Children]],Table_NFI[Winter Clothes Children])</f>
        <v>0</v>
      </c>
      <c r="AK715" s="294">
        <f>IF(NFI_Expiration=1,IF($A715&lt;VLOOKUP(T$5,NFI,5,0),1,0)*Table_NFI[[#This Row],[Winter Items Other]],Table_NFI[Winter Items Other])</f>
        <v>0</v>
      </c>
      <c r="AL715" s="294">
        <f>IF(NFI_Expiration=1,IF($A715&lt;VLOOKUP(M$5,NFI,5,0),1,0)*Table_NFI[[#This Row],[Winter Blanket]],Table_NFI[[#This Row],[Winter Blanket]])</f>
        <v>0</v>
      </c>
      <c r="AM715" s="294">
        <f>IF(Table_NFI[[#This Row],[Winter Clothes Adult]]+Table_NFI[[#This Row],[Winter Clothes Children]]+Table_NFI[[#This Row],[Winter Items Other]]+Table_NFI[[#This Row],[Winter Blanket]]&gt;0,1,0)</f>
        <v>0</v>
      </c>
      <c r="AN715" s="331">
        <f>IF(NFI_Expiration=1,IF($A715&lt;VLOOKUP(V$5,NFI,5,0),1,0)*Table_NFI[[#This Row],[Jerry Can]],Table_NFI[Jerry Can])</f>
        <v>0</v>
      </c>
      <c r="AO715" s="331">
        <f>IF(NFI_Expiration=1,IF($A715&lt;VLOOKUP(V$5,NFI,5,0),1,0)*Table_NFI[[#This Row],[Shelter Tool kit]],Table_NFI[Shelter Tool kit])</f>
        <v>0</v>
      </c>
      <c r="AP715" s="331">
        <f>IF(NFI_Expiration=1,IF($A715&lt;VLOOKUP(V$5,NFI,5,0),1,0)*Table_NFI[[#This Row],[Tent]],Table_NFI[Tent])</f>
        <v>0</v>
      </c>
      <c r="AQ715" s="473" t="str">
        <f>IFERROR(VLOOKUP(Table_NFI[[#This Row],[Camp Name]],CL,2,0),"")</f>
        <v>MMR001CMP028</v>
      </c>
      <c r="AR715" s="468">
        <f ca="1">IF(Table_NFI[[#This Row],[Pcode]]="","",IF(OFFSET(CampList[Opening Date],MATCH(Table_NFI[[#This Row],[Pcode]],CampList[CP_Pcode],0)-1,0,1,1)&gt;=NFI_Monitor_Date,1,0))</f>
        <v>0</v>
      </c>
      <c r="AS715" s="473" t="str">
        <f>IFERROR(VLOOKUP(Table_NFI[[#This Row],[Camp Name]],CL,3,0),"")</f>
        <v>Open</v>
      </c>
      <c r="AT715" s="294" t="str">
        <f ca="1">IF(Table_NFI[[#This Row],[Pcode]]="","",OFFSET(CampList[Priority],MATCH(Table_NFI[[#This Row],[Pcode]],CampList[CP_Pcode],0)-1,0,1,1))</f>
        <v>P4</v>
      </c>
      <c r="AU715" s="293">
        <f>IFERROR(Table_NFI[[#This Row],[Kitchen Set]]/VLOOKUP(Table_NFI[[#This Row],[Camp Name]],CL,4,0),"")</f>
        <v>0.70707070707070707</v>
      </c>
      <c r="AV715" s="466" t="s">
        <v>1092</v>
      </c>
      <c r="AW715" s="469"/>
    </row>
    <row r="716" spans="1:49" ht="14.45" customHeight="1" x14ac:dyDescent="0.25">
      <c r="A716" s="297">
        <f t="shared" si="11"/>
        <v>44.8</v>
      </c>
      <c r="B716" s="465">
        <v>41331</v>
      </c>
      <c r="C716" s="466" t="s">
        <v>900</v>
      </c>
      <c r="D716" s="466" t="s">
        <v>900</v>
      </c>
      <c r="E716" s="466" t="s">
        <v>380</v>
      </c>
      <c r="F716" s="466" t="s">
        <v>237</v>
      </c>
      <c r="G716" s="290" t="s">
        <v>255</v>
      </c>
      <c r="H716" s="291"/>
      <c r="I716" s="291"/>
      <c r="J716" s="291">
        <v>99</v>
      </c>
      <c r="K716" s="291"/>
      <c r="L716" s="292">
        <v>99</v>
      </c>
      <c r="M716" s="292"/>
      <c r="N716" s="292"/>
      <c r="O716" s="292"/>
      <c r="P716" s="294">
        <v>0</v>
      </c>
      <c r="Q716" s="294">
        <v>0</v>
      </c>
      <c r="R716" s="294"/>
      <c r="S716" s="294"/>
      <c r="T716" s="294"/>
      <c r="U716" s="294"/>
      <c r="V716" s="431"/>
      <c r="W716" s="294"/>
      <c r="X716" s="294"/>
      <c r="Y716" s="294">
        <f>IF(NFI_Expiration=1,IF($A716&lt;VLOOKUP(H$5,NFI,5,0),1,0)*Table_NFI[[#This Row],[Hygiene Kit]],Table_NFI[Hygiene Kit])</f>
        <v>0</v>
      </c>
      <c r="Z716" s="294">
        <f>IF(NFI_Expiration=1,IF($A716&lt;VLOOKUP(I$5,NFI,5,0),1,0)*Table_NFI[[#This Row],[NFI Core Kit]],Table_NFI[NFI Core Kit])</f>
        <v>0</v>
      </c>
      <c r="AA716" s="294">
        <f>IF(NFI_Expiration=1,IF($A716&lt;VLOOKUP(J$5,NFI,5,0),1,0)*Table_NFI[[#This Row],[Sanitary Kit]],Table_NFI[Sanitary Kit])</f>
        <v>0</v>
      </c>
      <c r="AB716" s="294">
        <f>IF(NFI_Expiration=1,IF($A716&lt;VLOOKUP(K$5,NFI,5,0),1,0)*Table_NFI[[#This Row],[Mosquito net]],Table_NFI[Mosquito net])</f>
        <v>0</v>
      </c>
      <c r="AC716" s="294">
        <f>IF(NFI_Expiration=1,IF($A716&lt;VLOOKUP(L$5,NFI,5,0),1,0)*Table_NFI[[#This Row],[Tarpaulin]],Table_NFI[[#This Row],[Tarpaulin]])</f>
        <v>0</v>
      </c>
      <c r="AD716" s="294">
        <f>IF(NFI_Expiration=1,IF($A716&lt;VLOOKUP(M$5,NFI,5,0),1,0)*Table_NFI[[#This Row],[Blanket]],Table_NFI[[#This Row],[Blanket]])</f>
        <v>0</v>
      </c>
      <c r="AE716" s="294">
        <f>IF(NFI_Expiration=1,IF($A716&lt;VLOOKUP(N$5,NFI,5,0),1,0)*Table_NFI[[#This Row],[Kitchen Set]],Table_NFI[Kitchen Set])</f>
        <v>0</v>
      </c>
      <c r="AF716" s="294">
        <f>IF(NFI_Expiration=1,IF($A716&lt;VLOOKUP(O$5,NFI,5,0),1,0)*Table_NFI[[#This Row],[Clothes Kit]],Table_NFI[Clothes Kit])</f>
        <v>0</v>
      </c>
      <c r="AG716" s="294">
        <f>IF(NFI_Expiration=1,IF($A716&lt;VLOOKUP(P$5,NFI,5,0),1,0)*Table_NFI[[#This Row],[Plastic Bucket]],Table_NFI[Plastic Bucket])</f>
        <v>0</v>
      </c>
      <c r="AH716" s="294">
        <f>IF(NFI_Expiration=1,IF($A716&lt;VLOOKUP(Q$5,NFI,5,0),1,0)*Table_NFI[[#This Row],[Plastic Mat]],Table_NFI[Plastic Mat])*IF(Table_NFI[[#This Row],[Distribution Date]]&gt;"2014-04-01",1,2.5)</f>
        <v>0</v>
      </c>
      <c r="AI716" s="294">
        <f>IF(NFI_Expiration=1,IF($A716&lt;VLOOKUP(R$5,NFI,5,0),1,0)*Table_NFI[[#This Row],[Winter Clothes Adult]],Table_NFI[Winter Clothes Adult])</f>
        <v>0</v>
      </c>
      <c r="AJ716" s="294">
        <f>IF(NFI_Expiration=1,IF($A716&lt;VLOOKUP(S$5,NFI,5,0),1,0)*Table_NFI[[#This Row],[Winter Clothes Children]],Table_NFI[Winter Clothes Children])</f>
        <v>0</v>
      </c>
      <c r="AK716" s="294">
        <f>IF(NFI_Expiration=1,IF($A716&lt;VLOOKUP(T$5,NFI,5,0),1,0)*Table_NFI[[#This Row],[Winter Items Other]],Table_NFI[Winter Items Other])</f>
        <v>0</v>
      </c>
      <c r="AL716" s="294">
        <f>IF(NFI_Expiration=1,IF($A716&lt;VLOOKUP(M$5,NFI,5,0),1,0)*Table_NFI[[#This Row],[Winter Blanket]],Table_NFI[[#This Row],[Winter Blanket]])</f>
        <v>0</v>
      </c>
      <c r="AM716" s="294">
        <f>IF(Table_NFI[[#This Row],[Winter Clothes Adult]]+Table_NFI[[#This Row],[Winter Clothes Children]]+Table_NFI[[#This Row],[Winter Items Other]]+Table_NFI[[#This Row],[Winter Blanket]]&gt;0,1,0)</f>
        <v>0</v>
      </c>
      <c r="AN716" s="331">
        <f>IF(NFI_Expiration=1,IF($A716&lt;VLOOKUP(V$5,NFI,5,0),1,0)*Table_NFI[[#This Row],[Jerry Can]],Table_NFI[Jerry Can])</f>
        <v>0</v>
      </c>
      <c r="AO716" s="331">
        <f>IF(NFI_Expiration=1,IF($A716&lt;VLOOKUP(V$5,NFI,5,0),1,0)*Table_NFI[[#This Row],[Shelter Tool kit]],Table_NFI[Shelter Tool kit])</f>
        <v>0</v>
      </c>
      <c r="AP716" s="331">
        <f>IF(NFI_Expiration=1,IF($A716&lt;VLOOKUP(V$5,NFI,5,0),1,0)*Table_NFI[[#This Row],[Tent]],Table_NFI[Tent])</f>
        <v>0</v>
      </c>
      <c r="AQ716" s="473" t="str">
        <f>IFERROR(VLOOKUP(Table_NFI[[#This Row],[Camp Name]],CL,2,0),"")</f>
        <v>MMR001CMP019</v>
      </c>
      <c r="AR716" s="468">
        <f ca="1">IF(Table_NFI[[#This Row],[Pcode]]="","",IF(OFFSET(CampList[Opening Date],MATCH(Table_NFI[[#This Row],[Pcode]],CampList[CP_Pcode],0)-1,0,1,1)&gt;=NFI_Monitor_Date,1,0))</f>
        <v>0</v>
      </c>
      <c r="AS716" s="473" t="str">
        <f>IFERROR(VLOOKUP(Table_NFI[[#This Row],[Camp Name]],CL,3,0),"")</f>
        <v>Open</v>
      </c>
      <c r="AT716" s="294" t="str">
        <f ca="1">IF(Table_NFI[[#This Row],[Pcode]]="","",OFFSET(CampList[Priority],MATCH(Table_NFI[[#This Row],[Pcode]],CampList[CP_Pcode],0)-1,0,1,1))</f>
        <v>P4</v>
      </c>
      <c r="AU716" s="293">
        <f>IFERROR(Table_NFI[[#This Row],[Kitchen Set]]/VLOOKUP(Table_NFI[[#This Row],[Camp Name]],CL,4,0),"")</f>
        <v>0</v>
      </c>
      <c r="AV716" s="466" t="s">
        <v>1092</v>
      </c>
      <c r="AW716" s="469"/>
    </row>
    <row r="717" spans="1:49" ht="14.45" customHeight="1" x14ac:dyDescent="0.25">
      <c r="A717" s="297">
        <f t="shared" si="11"/>
        <v>44.833333333333336</v>
      </c>
      <c r="B717" s="465">
        <v>41330</v>
      </c>
      <c r="C717" s="466" t="s">
        <v>452</v>
      </c>
      <c r="D717" s="467" t="s">
        <v>904</v>
      </c>
      <c r="E717" s="466" t="s">
        <v>380</v>
      </c>
      <c r="F717" s="290" t="s">
        <v>27</v>
      </c>
      <c r="G717" s="290" t="s">
        <v>28</v>
      </c>
      <c r="H717" s="291"/>
      <c r="I717" s="291"/>
      <c r="J717" s="291">
        <v>11</v>
      </c>
      <c r="K717" s="291">
        <v>17</v>
      </c>
      <c r="L717" s="292">
        <v>7</v>
      </c>
      <c r="M717" s="292">
        <v>17</v>
      </c>
      <c r="N717" s="292">
        <v>7</v>
      </c>
      <c r="O717" s="292">
        <v>7</v>
      </c>
      <c r="P717" s="294">
        <v>7</v>
      </c>
      <c r="Q717" s="294">
        <v>7</v>
      </c>
      <c r="R717" s="294"/>
      <c r="S717" s="294"/>
      <c r="T717" s="294"/>
      <c r="U717" s="294"/>
      <c r="V717" s="431"/>
      <c r="W717" s="294"/>
      <c r="X717" s="294"/>
      <c r="Y717" s="294">
        <f>IF(NFI_Expiration=1,IF($A717&lt;VLOOKUP(H$5,NFI,5,0),1,0)*Table_NFI[[#This Row],[Hygiene Kit]],Table_NFI[Hygiene Kit])</f>
        <v>0</v>
      </c>
      <c r="Z717" s="294">
        <f>IF(NFI_Expiration=1,IF($A717&lt;VLOOKUP(I$5,NFI,5,0),1,0)*Table_NFI[[#This Row],[NFI Core Kit]],Table_NFI[NFI Core Kit])</f>
        <v>0</v>
      </c>
      <c r="AA717" s="294">
        <f>IF(NFI_Expiration=1,IF($A717&lt;VLOOKUP(J$5,NFI,5,0),1,0)*Table_NFI[[#This Row],[Sanitary Kit]],Table_NFI[Sanitary Kit])</f>
        <v>0</v>
      </c>
      <c r="AB717" s="294">
        <f>IF(NFI_Expiration=1,IF($A717&lt;VLOOKUP(K$5,NFI,5,0),1,0)*Table_NFI[[#This Row],[Mosquito net]],Table_NFI[Mosquito net])</f>
        <v>0</v>
      </c>
      <c r="AC717" s="294">
        <f>IF(NFI_Expiration=1,IF($A717&lt;VLOOKUP(L$5,NFI,5,0),1,0)*Table_NFI[[#This Row],[Tarpaulin]],Table_NFI[[#This Row],[Tarpaulin]])</f>
        <v>0</v>
      </c>
      <c r="AD717" s="294">
        <f>IF(NFI_Expiration=1,IF($A717&lt;VLOOKUP(M$5,NFI,5,0),1,0)*Table_NFI[[#This Row],[Blanket]],Table_NFI[[#This Row],[Blanket]])</f>
        <v>0</v>
      </c>
      <c r="AE717" s="294">
        <f>IF(NFI_Expiration=1,IF($A717&lt;VLOOKUP(N$5,NFI,5,0),1,0)*Table_NFI[[#This Row],[Kitchen Set]],Table_NFI[Kitchen Set])</f>
        <v>0</v>
      </c>
      <c r="AF717" s="294">
        <f>IF(NFI_Expiration=1,IF($A717&lt;VLOOKUP(O$5,NFI,5,0),1,0)*Table_NFI[[#This Row],[Clothes Kit]],Table_NFI[Clothes Kit])</f>
        <v>0</v>
      </c>
      <c r="AG717" s="294">
        <f>IF(NFI_Expiration=1,IF($A717&lt;VLOOKUP(P$5,NFI,5,0),1,0)*Table_NFI[[#This Row],[Plastic Bucket]],Table_NFI[Plastic Bucket])</f>
        <v>0</v>
      </c>
      <c r="AH717" s="294">
        <f>IF(NFI_Expiration=1,IF($A717&lt;VLOOKUP(Q$5,NFI,5,0),1,0)*Table_NFI[[#This Row],[Plastic Mat]],Table_NFI[Plastic Mat])*IF(Table_NFI[[#This Row],[Distribution Date]]&gt;"2014-04-01",1,2.5)</f>
        <v>0</v>
      </c>
      <c r="AI717" s="294">
        <f>IF(NFI_Expiration=1,IF($A717&lt;VLOOKUP(R$5,NFI,5,0),1,0)*Table_NFI[[#This Row],[Winter Clothes Adult]],Table_NFI[Winter Clothes Adult])</f>
        <v>0</v>
      </c>
      <c r="AJ717" s="294">
        <f>IF(NFI_Expiration=1,IF($A717&lt;VLOOKUP(S$5,NFI,5,0),1,0)*Table_NFI[[#This Row],[Winter Clothes Children]],Table_NFI[Winter Clothes Children])</f>
        <v>0</v>
      </c>
      <c r="AK717" s="294">
        <f>IF(NFI_Expiration=1,IF($A717&lt;VLOOKUP(T$5,NFI,5,0),1,0)*Table_NFI[[#This Row],[Winter Items Other]],Table_NFI[Winter Items Other])</f>
        <v>0</v>
      </c>
      <c r="AL717" s="294">
        <f>IF(NFI_Expiration=1,IF($A717&lt;VLOOKUP(M$5,NFI,5,0),1,0)*Table_NFI[[#This Row],[Winter Blanket]],Table_NFI[[#This Row],[Winter Blanket]])</f>
        <v>0</v>
      </c>
      <c r="AM717" s="294">
        <f>IF(Table_NFI[[#This Row],[Winter Clothes Adult]]+Table_NFI[[#This Row],[Winter Clothes Children]]+Table_NFI[[#This Row],[Winter Items Other]]+Table_NFI[[#This Row],[Winter Blanket]]&gt;0,1,0)</f>
        <v>0</v>
      </c>
      <c r="AN717" s="331">
        <f>IF(NFI_Expiration=1,IF($A717&lt;VLOOKUP(V$5,NFI,5,0),1,0)*Table_NFI[[#This Row],[Jerry Can]],Table_NFI[Jerry Can])</f>
        <v>0</v>
      </c>
      <c r="AO717" s="331">
        <f>IF(NFI_Expiration=1,IF($A717&lt;VLOOKUP(V$5,NFI,5,0),1,0)*Table_NFI[[#This Row],[Shelter Tool kit]],Table_NFI[Shelter Tool kit])</f>
        <v>0</v>
      </c>
      <c r="AP717" s="331">
        <f>IF(NFI_Expiration=1,IF($A717&lt;VLOOKUP(V$5,NFI,5,0),1,0)*Table_NFI[[#This Row],[Tent]],Table_NFI[Tent])</f>
        <v>0</v>
      </c>
      <c r="AQ717" s="473" t="str">
        <f>IFERROR(VLOOKUP(Table_NFI[[#This Row],[Camp Name]],CL,2,0),"")</f>
        <v>MMR001CMP042</v>
      </c>
      <c r="AR717" s="468">
        <f ca="1">IF(Table_NFI[[#This Row],[Pcode]]="","",IF(OFFSET(CampList[Opening Date],MATCH(Table_NFI[[#This Row],[Pcode]],CampList[CP_Pcode],0)-1,0,1,1)&gt;=NFI_Monitor_Date,1,0))</f>
        <v>0</v>
      </c>
      <c r="AS717" s="473" t="str">
        <f>IFERROR(VLOOKUP(Table_NFI[[#This Row],[Camp Name]],CL,3,0),"")</f>
        <v>Open</v>
      </c>
      <c r="AT717" s="294" t="str">
        <f ca="1">IF(Table_NFI[[#This Row],[Pcode]]="","",OFFSET(CampList[Priority],MATCH(Table_NFI[[#This Row],[Pcode]],CampList[CP_Pcode],0)-1,0,1,1))</f>
        <v>P1</v>
      </c>
      <c r="AU717" s="293">
        <f>IFERROR(Table_NFI[[#This Row],[Kitchen Set]]/VLOOKUP(Table_NFI[[#This Row],[Camp Name]],CL,4,0),"")</f>
        <v>6.363636363636363E-2</v>
      </c>
      <c r="AV717" s="466" t="s">
        <v>1092</v>
      </c>
      <c r="AW717" s="469"/>
    </row>
    <row r="718" spans="1:49" x14ac:dyDescent="0.25">
      <c r="A718" s="297">
        <f t="shared" si="11"/>
        <v>44.833333333333336</v>
      </c>
      <c r="B718" s="465">
        <v>41330</v>
      </c>
      <c r="C718" s="466" t="s">
        <v>452</v>
      </c>
      <c r="D718" s="467" t="s">
        <v>904</v>
      </c>
      <c r="E718" s="466" t="s">
        <v>380</v>
      </c>
      <c r="F718" s="290" t="s">
        <v>27</v>
      </c>
      <c r="G718" s="290" t="s">
        <v>32</v>
      </c>
      <c r="H718" s="291"/>
      <c r="I718" s="291"/>
      <c r="J718" s="291">
        <v>11</v>
      </c>
      <c r="K718" s="291">
        <v>17</v>
      </c>
      <c r="L718" s="292">
        <v>7</v>
      </c>
      <c r="M718" s="292">
        <v>17</v>
      </c>
      <c r="N718" s="292">
        <v>7</v>
      </c>
      <c r="O718" s="292">
        <v>7</v>
      </c>
      <c r="P718" s="294">
        <v>7</v>
      </c>
      <c r="Q718" s="294">
        <v>7</v>
      </c>
      <c r="R718" s="294"/>
      <c r="S718" s="294"/>
      <c r="T718" s="294"/>
      <c r="U718" s="294"/>
      <c r="V718" s="431"/>
      <c r="W718" s="331"/>
      <c r="X718" s="331"/>
      <c r="Y718" s="294">
        <f>IF(NFI_Expiration=1,IF($A718&lt;VLOOKUP(H$5,NFI,5,0),1,0)*Table_NFI[[#This Row],[Hygiene Kit]],Table_NFI[Hygiene Kit])</f>
        <v>0</v>
      </c>
      <c r="Z718" s="294">
        <f>IF(NFI_Expiration=1,IF($A718&lt;VLOOKUP(I$5,NFI,5,0),1,0)*Table_NFI[[#This Row],[NFI Core Kit]],Table_NFI[NFI Core Kit])</f>
        <v>0</v>
      </c>
      <c r="AA718" s="294">
        <f>IF(NFI_Expiration=1,IF($A718&lt;VLOOKUP(J$5,NFI,5,0),1,0)*Table_NFI[[#This Row],[Sanitary Kit]],Table_NFI[Sanitary Kit])</f>
        <v>0</v>
      </c>
      <c r="AB718" s="294">
        <f>IF(NFI_Expiration=1,IF($A718&lt;VLOOKUP(K$5,NFI,5,0),1,0)*Table_NFI[[#This Row],[Mosquito net]],Table_NFI[Mosquito net])</f>
        <v>0</v>
      </c>
      <c r="AC718" s="294">
        <f>IF(NFI_Expiration=1,IF($A718&lt;VLOOKUP(L$5,NFI,5,0),1,0)*Table_NFI[[#This Row],[Tarpaulin]],Table_NFI[[#This Row],[Tarpaulin]])</f>
        <v>0</v>
      </c>
      <c r="AD718" s="294">
        <f>IF(NFI_Expiration=1,IF($A718&lt;VLOOKUP(M$5,NFI,5,0),1,0)*Table_NFI[[#This Row],[Blanket]],Table_NFI[[#This Row],[Blanket]])</f>
        <v>0</v>
      </c>
      <c r="AE718" s="294">
        <f>IF(NFI_Expiration=1,IF($A718&lt;VLOOKUP(N$5,NFI,5,0),1,0)*Table_NFI[[#This Row],[Kitchen Set]],Table_NFI[Kitchen Set])</f>
        <v>0</v>
      </c>
      <c r="AF718" s="294">
        <f>IF(NFI_Expiration=1,IF($A718&lt;VLOOKUP(O$5,NFI,5,0),1,0)*Table_NFI[[#This Row],[Clothes Kit]],Table_NFI[Clothes Kit])</f>
        <v>0</v>
      </c>
      <c r="AG718" s="294">
        <f>IF(NFI_Expiration=1,IF($A718&lt;VLOOKUP(P$5,NFI,5,0),1,0)*Table_NFI[[#This Row],[Plastic Bucket]],Table_NFI[Plastic Bucket])</f>
        <v>0</v>
      </c>
      <c r="AH718" s="294">
        <f>IF(NFI_Expiration=1,IF($A718&lt;VLOOKUP(Q$5,NFI,5,0),1,0)*Table_NFI[[#This Row],[Plastic Mat]],Table_NFI[Plastic Mat])*IF(Table_NFI[[#This Row],[Distribution Date]]&gt;"2014-04-01",1,2.5)</f>
        <v>0</v>
      </c>
      <c r="AI718" s="294">
        <f>IF(NFI_Expiration=1,IF($A718&lt;VLOOKUP(R$5,NFI,5,0),1,0)*Table_NFI[[#This Row],[Winter Clothes Adult]],Table_NFI[Winter Clothes Adult])</f>
        <v>0</v>
      </c>
      <c r="AJ718" s="294">
        <f>IF(NFI_Expiration=1,IF($A718&lt;VLOOKUP(S$5,NFI,5,0),1,0)*Table_NFI[[#This Row],[Winter Clothes Children]],Table_NFI[Winter Clothes Children])</f>
        <v>0</v>
      </c>
      <c r="AK718" s="294">
        <f>IF(NFI_Expiration=1,IF($A718&lt;VLOOKUP(T$5,NFI,5,0),1,0)*Table_NFI[[#This Row],[Winter Items Other]],Table_NFI[Winter Items Other])</f>
        <v>0</v>
      </c>
      <c r="AL718" s="294">
        <f>IF(NFI_Expiration=1,IF($A718&lt;VLOOKUP(M$5,NFI,5,0),1,0)*Table_NFI[[#This Row],[Winter Blanket]],Table_NFI[[#This Row],[Winter Blanket]])</f>
        <v>0</v>
      </c>
      <c r="AM718" s="294">
        <f>IF(Table_NFI[[#This Row],[Winter Clothes Adult]]+Table_NFI[[#This Row],[Winter Clothes Children]]+Table_NFI[[#This Row],[Winter Items Other]]+Table_NFI[[#This Row],[Winter Blanket]]&gt;0,1,0)</f>
        <v>0</v>
      </c>
      <c r="AN718" s="331">
        <f>IF(NFI_Expiration=1,IF($A718&lt;VLOOKUP(V$5,NFI,5,0),1,0)*Table_NFI[[#This Row],[Jerry Can]],Table_NFI[Jerry Can])</f>
        <v>0</v>
      </c>
      <c r="AO718" s="331">
        <f>IF(NFI_Expiration=1,IF($A718&lt;VLOOKUP(V$5,NFI,5,0),1,0)*Table_NFI[[#This Row],[Shelter Tool kit]],Table_NFI[Shelter Tool kit])</f>
        <v>0</v>
      </c>
      <c r="AP718" s="331">
        <f>IF(NFI_Expiration=1,IF($A718&lt;VLOOKUP(V$5,NFI,5,0),1,0)*Table_NFI[[#This Row],[Tent]],Table_NFI[Tent])</f>
        <v>0</v>
      </c>
      <c r="AQ718" s="473" t="str">
        <f>IFERROR(VLOOKUP(Table_NFI[[#This Row],[Camp Name]],CL,2,0),"")</f>
        <v>MMR001CMP046</v>
      </c>
      <c r="AR718" s="468">
        <f ca="1">IF(Table_NFI[[#This Row],[Pcode]]="","",IF(OFFSET(CampList[Opening Date],MATCH(Table_NFI[[#This Row],[Pcode]],CampList[CP_Pcode],0)-1,0,1,1)&gt;=NFI_Monitor_Date,1,0))</f>
        <v>0</v>
      </c>
      <c r="AS718" s="473" t="str">
        <f>IFERROR(VLOOKUP(Table_NFI[[#This Row],[Camp Name]],CL,3,0),"")</f>
        <v>Closed</v>
      </c>
      <c r="AT718" s="294" t="str">
        <f ca="1">IF(Table_NFI[[#This Row],[Pcode]]="","",OFFSET(CampList[Priority],MATCH(Table_NFI[[#This Row],[Pcode]],CampList[CP_Pcode],0)-1,0,1,1))</f>
        <v>P1</v>
      </c>
      <c r="AU718" s="293" t="str">
        <f>IFERROR(Table_NFI[[#This Row],[Kitchen Set]]/VLOOKUP(Table_NFI[[#This Row],[Camp Name]],CL,4,0),"")</f>
        <v/>
      </c>
      <c r="AV718" s="466" t="s">
        <v>1092</v>
      </c>
      <c r="AW718" s="469"/>
    </row>
    <row r="719" spans="1:49" x14ac:dyDescent="0.25">
      <c r="A719" s="297">
        <f t="shared" si="11"/>
        <v>44.833333333333336</v>
      </c>
      <c r="B719" s="465">
        <v>41330</v>
      </c>
      <c r="C719" s="466" t="s">
        <v>900</v>
      </c>
      <c r="D719" s="467" t="s">
        <v>900</v>
      </c>
      <c r="E719" s="466" t="s">
        <v>380</v>
      </c>
      <c r="F719" s="466" t="s">
        <v>310</v>
      </c>
      <c r="G719" s="290" t="s">
        <v>313</v>
      </c>
      <c r="H719" s="291"/>
      <c r="I719" s="291"/>
      <c r="J719" s="291"/>
      <c r="K719" s="291"/>
      <c r="L719" s="292">
        <v>1</v>
      </c>
      <c r="M719" s="292"/>
      <c r="N719" s="292"/>
      <c r="O719" s="292"/>
      <c r="P719" s="294">
        <v>0</v>
      </c>
      <c r="Q719" s="294">
        <v>0</v>
      </c>
      <c r="R719" s="294"/>
      <c r="S719" s="294"/>
      <c r="T719" s="294"/>
      <c r="U719" s="294"/>
      <c r="V719" s="431"/>
      <c r="W719" s="331"/>
      <c r="X719" s="331"/>
      <c r="Y719" s="294">
        <f>IF(NFI_Expiration=1,IF($A719&lt;VLOOKUP(H$5,NFI,5,0),1,0)*Table_NFI[[#This Row],[Hygiene Kit]],Table_NFI[Hygiene Kit])</f>
        <v>0</v>
      </c>
      <c r="Z719" s="294">
        <f>IF(NFI_Expiration=1,IF($A719&lt;VLOOKUP(I$5,NFI,5,0),1,0)*Table_NFI[[#This Row],[NFI Core Kit]],Table_NFI[NFI Core Kit])</f>
        <v>0</v>
      </c>
      <c r="AA719" s="294">
        <f>IF(NFI_Expiration=1,IF($A719&lt;VLOOKUP(J$5,NFI,5,0),1,0)*Table_NFI[[#This Row],[Sanitary Kit]],Table_NFI[Sanitary Kit])</f>
        <v>0</v>
      </c>
      <c r="AB719" s="294">
        <f>IF(NFI_Expiration=1,IF($A719&lt;VLOOKUP(K$5,NFI,5,0),1,0)*Table_NFI[[#This Row],[Mosquito net]],Table_NFI[Mosquito net])</f>
        <v>0</v>
      </c>
      <c r="AC719" s="294">
        <f>IF(NFI_Expiration=1,IF($A719&lt;VLOOKUP(L$5,NFI,5,0),1,0)*Table_NFI[[#This Row],[Tarpaulin]],Table_NFI[[#This Row],[Tarpaulin]])</f>
        <v>0</v>
      </c>
      <c r="AD719" s="294">
        <f>IF(NFI_Expiration=1,IF($A719&lt;VLOOKUP(M$5,NFI,5,0),1,0)*Table_NFI[[#This Row],[Blanket]],Table_NFI[[#This Row],[Blanket]])</f>
        <v>0</v>
      </c>
      <c r="AE719" s="294">
        <f>IF(NFI_Expiration=1,IF($A719&lt;VLOOKUP(N$5,NFI,5,0),1,0)*Table_NFI[[#This Row],[Kitchen Set]],Table_NFI[Kitchen Set])</f>
        <v>0</v>
      </c>
      <c r="AF719" s="294">
        <f>IF(NFI_Expiration=1,IF($A719&lt;VLOOKUP(O$5,NFI,5,0),1,0)*Table_NFI[[#This Row],[Clothes Kit]],Table_NFI[Clothes Kit])</f>
        <v>0</v>
      </c>
      <c r="AG719" s="294">
        <f>IF(NFI_Expiration=1,IF($A719&lt;VLOOKUP(P$5,NFI,5,0),1,0)*Table_NFI[[#This Row],[Plastic Bucket]],Table_NFI[Plastic Bucket])</f>
        <v>0</v>
      </c>
      <c r="AH719" s="294">
        <f>IF(NFI_Expiration=1,IF($A719&lt;VLOOKUP(Q$5,NFI,5,0),1,0)*Table_NFI[[#This Row],[Plastic Mat]],Table_NFI[Plastic Mat])*IF(Table_NFI[[#This Row],[Distribution Date]]&gt;"2014-04-01",1,2.5)</f>
        <v>0</v>
      </c>
      <c r="AI719" s="294">
        <f>IF(NFI_Expiration=1,IF($A719&lt;VLOOKUP(R$5,NFI,5,0),1,0)*Table_NFI[[#This Row],[Winter Clothes Adult]],Table_NFI[Winter Clothes Adult])</f>
        <v>0</v>
      </c>
      <c r="AJ719" s="294">
        <f>IF(NFI_Expiration=1,IF($A719&lt;VLOOKUP(S$5,NFI,5,0),1,0)*Table_NFI[[#This Row],[Winter Clothes Children]],Table_NFI[Winter Clothes Children])</f>
        <v>0</v>
      </c>
      <c r="AK719" s="294">
        <f>IF(NFI_Expiration=1,IF($A719&lt;VLOOKUP(T$5,NFI,5,0),1,0)*Table_NFI[[#This Row],[Winter Items Other]],Table_NFI[Winter Items Other])</f>
        <v>0</v>
      </c>
      <c r="AL719" s="294">
        <f>IF(NFI_Expiration=1,IF($A719&lt;VLOOKUP(M$5,NFI,5,0),1,0)*Table_NFI[[#This Row],[Winter Blanket]],Table_NFI[[#This Row],[Winter Blanket]])</f>
        <v>0</v>
      </c>
      <c r="AM719" s="294">
        <f>IF(Table_NFI[[#This Row],[Winter Clothes Adult]]+Table_NFI[[#This Row],[Winter Clothes Children]]+Table_NFI[[#This Row],[Winter Items Other]]+Table_NFI[[#This Row],[Winter Blanket]]&gt;0,1,0)</f>
        <v>0</v>
      </c>
      <c r="AN719" s="331">
        <f>IF(NFI_Expiration=1,IF($A719&lt;VLOOKUP(V$5,NFI,5,0),1,0)*Table_NFI[[#This Row],[Jerry Can]],Table_NFI[Jerry Can])</f>
        <v>0</v>
      </c>
      <c r="AO719" s="331">
        <f>IF(NFI_Expiration=1,IF($A719&lt;VLOOKUP(V$5,NFI,5,0),1,0)*Table_NFI[[#This Row],[Shelter Tool kit]],Table_NFI[Shelter Tool kit])</f>
        <v>0</v>
      </c>
      <c r="AP719" s="331">
        <f>IF(NFI_Expiration=1,IF($A719&lt;VLOOKUP(V$5,NFI,5,0),1,0)*Table_NFI[[#This Row],[Tent]],Table_NFI[Tent])</f>
        <v>0</v>
      </c>
      <c r="AQ719" s="473" t="str">
        <f>IFERROR(VLOOKUP(Table_NFI[[#This Row],[Camp Name]],CL,2,0),"")</f>
        <v>MMR001CMP028</v>
      </c>
      <c r="AR719" s="468">
        <f ca="1">IF(Table_NFI[[#This Row],[Pcode]]="","",IF(OFFSET(CampList[Opening Date],MATCH(Table_NFI[[#This Row],[Pcode]],CampList[CP_Pcode],0)-1,0,1,1)&gt;=NFI_Monitor_Date,1,0))</f>
        <v>0</v>
      </c>
      <c r="AS719" s="473" t="str">
        <f>IFERROR(VLOOKUP(Table_NFI[[#This Row],[Camp Name]],CL,3,0),"")</f>
        <v>Open</v>
      </c>
      <c r="AT719" s="294" t="str">
        <f ca="1">IF(Table_NFI[[#This Row],[Pcode]]="","",OFFSET(CampList[Priority],MATCH(Table_NFI[[#This Row],[Pcode]],CampList[CP_Pcode],0)-1,0,1,1))</f>
        <v>P4</v>
      </c>
      <c r="AU719" s="293">
        <f>IFERROR(Table_NFI[[#This Row],[Kitchen Set]]/VLOOKUP(Table_NFI[[#This Row],[Camp Name]],CL,4,0),"")</f>
        <v>0</v>
      </c>
      <c r="AV719" s="466" t="s">
        <v>1092</v>
      </c>
      <c r="AW719" s="469"/>
    </row>
    <row r="720" spans="1:49" x14ac:dyDescent="0.25">
      <c r="A720" s="297">
        <f t="shared" si="11"/>
        <v>44.833333333333336</v>
      </c>
      <c r="B720" s="465">
        <v>41330</v>
      </c>
      <c r="C720" s="466" t="s">
        <v>452</v>
      </c>
      <c r="D720" s="467" t="s">
        <v>904</v>
      </c>
      <c r="E720" s="466" t="s">
        <v>380</v>
      </c>
      <c r="F720" s="290" t="s">
        <v>27</v>
      </c>
      <c r="G720" s="290" t="s">
        <v>364</v>
      </c>
      <c r="H720" s="291"/>
      <c r="I720" s="291"/>
      <c r="J720" s="291">
        <v>11</v>
      </c>
      <c r="K720" s="291">
        <v>17</v>
      </c>
      <c r="L720" s="292">
        <v>7</v>
      </c>
      <c r="M720" s="292">
        <v>17</v>
      </c>
      <c r="N720" s="292">
        <v>7</v>
      </c>
      <c r="O720" s="292">
        <v>7</v>
      </c>
      <c r="P720" s="294">
        <v>7</v>
      </c>
      <c r="Q720" s="294">
        <v>7</v>
      </c>
      <c r="R720" s="294"/>
      <c r="S720" s="294"/>
      <c r="T720" s="294"/>
      <c r="U720" s="294"/>
      <c r="V720" s="431"/>
      <c r="W720" s="331"/>
      <c r="X720" s="331"/>
      <c r="Y720" s="294">
        <f>IF(NFI_Expiration=1,IF($A720&lt;VLOOKUP(H$5,NFI,5,0),1,0)*Table_NFI[[#This Row],[Hygiene Kit]],Table_NFI[Hygiene Kit])</f>
        <v>0</v>
      </c>
      <c r="Z720" s="294">
        <f>IF(NFI_Expiration=1,IF($A720&lt;VLOOKUP(I$5,NFI,5,0),1,0)*Table_NFI[[#This Row],[NFI Core Kit]],Table_NFI[NFI Core Kit])</f>
        <v>0</v>
      </c>
      <c r="AA720" s="294">
        <f>IF(NFI_Expiration=1,IF($A720&lt;VLOOKUP(J$5,NFI,5,0),1,0)*Table_NFI[[#This Row],[Sanitary Kit]],Table_NFI[Sanitary Kit])</f>
        <v>0</v>
      </c>
      <c r="AB720" s="294">
        <f>IF(NFI_Expiration=1,IF($A720&lt;VLOOKUP(K$5,NFI,5,0),1,0)*Table_NFI[[#This Row],[Mosquito net]],Table_NFI[Mosquito net])</f>
        <v>0</v>
      </c>
      <c r="AC720" s="294">
        <f>IF(NFI_Expiration=1,IF($A720&lt;VLOOKUP(L$5,NFI,5,0),1,0)*Table_NFI[[#This Row],[Tarpaulin]],Table_NFI[[#This Row],[Tarpaulin]])</f>
        <v>0</v>
      </c>
      <c r="AD720" s="294">
        <f>IF(NFI_Expiration=1,IF($A720&lt;VLOOKUP(M$5,NFI,5,0),1,0)*Table_NFI[[#This Row],[Blanket]],Table_NFI[[#This Row],[Blanket]])</f>
        <v>0</v>
      </c>
      <c r="AE720" s="294">
        <f>IF(NFI_Expiration=1,IF($A720&lt;VLOOKUP(N$5,NFI,5,0),1,0)*Table_NFI[[#This Row],[Kitchen Set]],Table_NFI[Kitchen Set])</f>
        <v>0</v>
      </c>
      <c r="AF720" s="294">
        <f>IF(NFI_Expiration=1,IF($A720&lt;VLOOKUP(O$5,NFI,5,0),1,0)*Table_NFI[[#This Row],[Clothes Kit]],Table_NFI[Clothes Kit])</f>
        <v>0</v>
      </c>
      <c r="AG720" s="294">
        <f>IF(NFI_Expiration=1,IF($A720&lt;VLOOKUP(P$5,NFI,5,0),1,0)*Table_NFI[[#This Row],[Plastic Bucket]],Table_NFI[Plastic Bucket])</f>
        <v>0</v>
      </c>
      <c r="AH720" s="294">
        <f>IF(NFI_Expiration=1,IF($A720&lt;VLOOKUP(Q$5,NFI,5,0),1,0)*Table_NFI[[#This Row],[Plastic Mat]],Table_NFI[Plastic Mat])*IF(Table_NFI[[#This Row],[Distribution Date]]&gt;"2014-04-01",1,2.5)</f>
        <v>0</v>
      </c>
      <c r="AI720" s="294">
        <f>IF(NFI_Expiration=1,IF($A720&lt;VLOOKUP(R$5,NFI,5,0),1,0)*Table_NFI[[#This Row],[Winter Clothes Adult]],Table_NFI[Winter Clothes Adult])</f>
        <v>0</v>
      </c>
      <c r="AJ720" s="294">
        <f>IF(NFI_Expiration=1,IF($A720&lt;VLOOKUP(S$5,NFI,5,0),1,0)*Table_NFI[[#This Row],[Winter Clothes Children]],Table_NFI[Winter Clothes Children])</f>
        <v>0</v>
      </c>
      <c r="AK720" s="294">
        <f>IF(NFI_Expiration=1,IF($A720&lt;VLOOKUP(T$5,NFI,5,0),1,0)*Table_NFI[[#This Row],[Winter Items Other]],Table_NFI[Winter Items Other])</f>
        <v>0</v>
      </c>
      <c r="AL720" s="294">
        <f>IF(NFI_Expiration=1,IF($A720&lt;VLOOKUP(M$5,NFI,5,0),1,0)*Table_NFI[[#This Row],[Winter Blanket]],Table_NFI[[#This Row],[Winter Blanket]])</f>
        <v>0</v>
      </c>
      <c r="AM720" s="294">
        <f>IF(Table_NFI[[#This Row],[Winter Clothes Adult]]+Table_NFI[[#This Row],[Winter Clothes Children]]+Table_NFI[[#This Row],[Winter Items Other]]+Table_NFI[[#This Row],[Winter Blanket]]&gt;0,1,0)</f>
        <v>0</v>
      </c>
      <c r="AN720" s="331">
        <f>IF(NFI_Expiration=1,IF($A720&lt;VLOOKUP(V$5,NFI,5,0),1,0)*Table_NFI[[#This Row],[Jerry Can]],Table_NFI[Jerry Can])</f>
        <v>0</v>
      </c>
      <c r="AO720" s="331">
        <f>IF(NFI_Expiration=1,IF($A720&lt;VLOOKUP(V$5,NFI,5,0),1,0)*Table_NFI[[#This Row],[Shelter Tool kit]],Table_NFI[Shelter Tool kit])</f>
        <v>0</v>
      </c>
      <c r="AP720" s="331">
        <f>IF(NFI_Expiration=1,IF($A720&lt;VLOOKUP(V$5,NFI,5,0),1,0)*Table_NFI[[#This Row],[Tent]],Table_NFI[Tent])</f>
        <v>0</v>
      </c>
      <c r="AQ720" s="473" t="str">
        <f>IFERROR(VLOOKUP(Table_NFI[[#This Row],[Camp Name]],CL,2,0),"")</f>
        <v>MMR001CMP043</v>
      </c>
      <c r="AR720" s="468">
        <f ca="1">IF(Table_NFI[[#This Row],[Pcode]]="","",IF(OFFSET(CampList[Opening Date],MATCH(Table_NFI[[#This Row],[Pcode]],CampList[CP_Pcode],0)-1,0,1,1)&gt;=NFI_Monitor_Date,1,0))</f>
        <v>0</v>
      </c>
      <c r="AS720" s="473" t="str">
        <f>IFERROR(VLOOKUP(Table_NFI[[#This Row],[Camp Name]],CL,3,0),"")</f>
        <v>Open</v>
      </c>
      <c r="AT720" s="294" t="str">
        <f ca="1">IF(Table_NFI[[#This Row],[Pcode]]="","",OFFSET(CampList[Priority],MATCH(Table_NFI[[#This Row],[Pcode]],CampList[CP_Pcode],0)-1,0,1,1))</f>
        <v>P1</v>
      </c>
      <c r="AU720" s="293">
        <f>IFERROR(Table_NFI[[#This Row],[Kitchen Set]]/VLOOKUP(Table_NFI[[#This Row],[Camp Name]],CL,4,0),"")</f>
        <v>4.4871794871794872E-2</v>
      </c>
      <c r="AV720" s="466" t="s">
        <v>1092</v>
      </c>
      <c r="AW720" s="469"/>
    </row>
    <row r="721" spans="1:49" x14ac:dyDescent="0.25">
      <c r="A721" s="297">
        <f t="shared" si="11"/>
        <v>44.833333333333336</v>
      </c>
      <c r="B721" s="465">
        <v>41330</v>
      </c>
      <c r="C721" s="466" t="s">
        <v>452</v>
      </c>
      <c r="D721" s="467" t="s">
        <v>904</v>
      </c>
      <c r="E721" s="466" t="s">
        <v>380</v>
      </c>
      <c r="F721" s="290" t="s">
        <v>27</v>
      </c>
      <c r="G721" s="290" t="s">
        <v>34</v>
      </c>
      <c r="H721" s="291"/>
      <c r="I721" s="291"/>
      <c r="J721" s="291">
        <v>11</v>
      </c>
      <c r="K721" s="291">
        <v>17</v>
      </c>
      <c r="L721" s="292">
        <v>7</v>
      </c>
      <c r="M721" s="292">
        <v>17</v>
      </c>
      <c r="N721" s="292">
        <v>7</v>
      </c>
      <c r="O721" s="292">
        <v>7</v>
      </c>
      <c r="P721" s="294">
        <v>7</v>
      </c>
      <c r="Q721" s="294">
        <v>7</v>
      </c>
      <c r="R721" s="294"/>
      <c r="S721" s="294"/>
      <c r="T721" s="294"/>
      <c r="U721" s="294"/>
      <c r="V721" s="431"/>
      <c r="W721" s="331"/>
      <c r="X721" s="331"/>
      <c r="Y721" s="294">
        <f>IF(NFI_Expiration=1,IF($A721&lt;VLOOKUP(H$5,NFI,5,0),1,0)*Table_NFI[[#This Row],[Hygiene Kit]],Table_NFI[Hygiene Kit])</f>
        <v>0</v>
      </c>
      <c r="Z721" s="294">
        <f>IF(NFI_Expiration=1,IF($A721&lt;VLOOKUP(I$5,NFI,5,0),1,0)*Table_NFI[[#This Row],[NFI Core Kit]],Table_NFI[NFI Core Kit])</f>
        <v>0</v>
      </c>
      <c r="AA721" s="294">
        <f>IF(NFI_Expiration=1,IF($A721&lt;VLOOKUP(J$5,NFI,5,0),1,0)*Table_NFI[[#This Row],[Sanitary Kit]],Table_NFI[Sanitary Kit])</f>
        <v>0</v>
      </c>
      <c r="AB721" s="294">
        <f>IF(NFI_Expiration=1,IF($A721&lt;VLOOKUP(K$5,NFI,5,0),1,0)*Table_NFI[[#This Row],[Mosquito net]],Table_NFI[Mosquito net])</f>
        <v>0</v>
      </c>
      <c r="AC721" s="294">
        <f>IF(NFI_Expiration=1,IF($A721&lt;VLOOKUP(L$5,NFI,5,0),1,0)*Table_NFI[[#This Row],[Tarpaulin]],Table_NFI[[#This Row],[Tarpaulin]])</f>
        <v>0</v>
      </c>
      <c r="AD721" s="294">
        <f>IF(NFI_Expiration=1,IF($A721&lt;VLOOKUP(M$5,NFI,5,0),1,0)*Table_NFI[[#This Row],[Blanket]],Table_NFI[[#This Row],[Blanket]])</f>
        <v>0</v>
      </c>
      <c r="AE721" s="294">
        <f>IF(NFI_Expiration=1,IF($A721&lt;VLOOKUP(N$5,NFI,5,0),1,0)*Table_NFI[[#This Row],[Kitchen Set]],Table_NFI[Kitchen Set])</f>
        <v>0</v>
      </c>
      <c r="AF721" s="294">
        <f>IF(NFI_Expiration=1,IF($A721&lt;VLOOKUP(O$5,NFI,5,0),1,0)*Table_NFI[[#This Row],[Clothes Kit]],Table_NFI[Clothes Kit])</f>
        <v>0</v>
      </c>
      <c r="AG721" s="294">
        <f>IF(NFI_Expiration=1,IF($A721&lt;VLOOKUP(P$5,NFI,5,0),1,0)*Table_NFI[[#This Row],[Plastic Bucket]],Table_NFI[Plastic Bucket])</f>
        <v>0</v>
      </c>
      <c r="AH721" s="294">
        <f>IF(NFI_Expiration=1,IF($A721&lt;VLOOKUP(Q$5,NFI,5,0),1,0)*Table_NFI[[#This Row],[Plastic Mat]],Table_NFI[Plastic Mat])*IF(Table_NFI[[#This Row],[Distribution Date]]&gt;"2014-04-01",1,2.5)</f>
        <v>0</v>
      </c>
      <c r="AI721" s="294">
        <f>IF(NFI_Expiration=1,IF($A721&lt;VLOOKUP(R$5,NFI,5,0),1,0)*Table_NFI[[#This Row],[Winter Clothes Adult]],Table_NFI[Winter Clothes Adult])</f>
        <v>0</v>
      </c>
      <c r="AJ721" s="294">
        <f>IF(NFI_Expiration=1,IF($A721&lt;VLOOKUP(S$5,NFI,5,0),1,0)*Table_NFI[[#This Row],[Winter Clothes Children]],Table_NFI[Winter Clothes Children])</f>
        <v>0</v>
      </c>
      <c r="AK721" s="294">
        <f>IF(NFI_Expiration=1,IF($A721&lt;VLOOKUP(T$5,NFI,5,0),1,0)*Table_NFI[[#This Row],[Winter Items Other]],Table_NFI[Winter Items Other])</f>
        <v>0</v>
      </c>
      <c r="AL721" s="294">
        <f>IF(NFI_Expiration=1,IF($A721&lt;VLOOKUP(M$5,NFI,5,0),1,0)*Table_NFI[[#This Row],[Winter Blanket]],Table_NFI[[#This Row],[Winter Blanket]])</f>
        <v>0</v>
      </c>
      <c r="AM721" s="294">
        <f>IF(Table_NFI[[#This Row],[Winter Clothes Adult]]+Table_NFI[[#This Row],[Winter Clothes Children]]+Table_NFI[[#This Row],[Winter Items Other]]+Table_NFI[[#This Row],[Winter Blanket]]&gt;0,1,0)</f>
        <v>0</v>
      </c>
      <c r="AN721" s="331">
        <f>IF(NFI_Expiration=1,IF($A721&lt;VLOOKUP(V$5,NFI,5,0),1,0)*Table_NFI[[#This Row],[Jerry Can]],Table_NFI[Jerry Can])</f>
        <v>0</v>
      </c>
      <c r="AO721" s="331">
        <f>IF(NFI_Expiration=1,IF($A721&lt;VLOOKUP(V$5,NFI,5,0),1,0)*Table_NFI[[#This Row],[Shelter Tool kit]],Table_NFI[Shelter Tool kit])</f>
        <v>0</v>
      </c>
      <c r="AP721" s="331">
        <f>IF(NFI_Expiration=1,IF($A721&lt;VLOOKUP(V$5,NFI,5,0),1,0)*Table_NFI[[#This Row],[Tent]],Table_NFI[Tent])</f>
        <v>0</v>
      </c>
      <c r="AQ721" s="473" t="str">
        <f>IFERROR(VLOOKUP(Table_NFI[[#This Row],[Camp Name]],CL,2,0),"")</f>
        <v>MMR001CMP045</v>
      </c>
      <c r="AR721" s="468">
        <f ca="1">IF(Table_NFI[[#This Row],[Pcode]]="","",IF(OFFSET(CampList[Opening Date],MATCH(Table_NFI[[#This Row],[Pcode]],CampList[CP_Pcode],0)-1,0,1,1)&gt;=NFI_Monitor_Date,1,0))</f>
        <v>0</v>
      </c>
      <c r="AS721" s="473" t="str">
        <f>IFERROR(VLOOKUP(Table_NFI[[#This Row],[Camp Name]],CL,3,0),"")</f>
        <v>Open</v>
      </c>
      <c r="AT721" s="294" t="str">
        <f ca="1">IF(Table_NFI[[#This Row],[Pcode]]="","",OFFSET(CampList[Priority],MATCH(Table_NFI[[#This Row],[Pcode]],CampList[CP_Pcode],0)-1,0,1,1))</f>
        <v>P1</v>
      </c>
      <c r="AU721" s="293" t="str">
        <f>IFERROR(Table_NFI[[#This Row],[Kitchen Set]]/VLOOKUP(Table_NFI[[#This Row],[Camp Name]],CL,4,0),"")</f>
        <v/>
      </c>
      <c r="AV721" s="466" t="s">
        <v>1092</v>
      </c>
      <c r="AW721" s="469"/>
    </row>
    <row r="722" spans="1:49" x14ac:dyDescent="0.25">
      <c r="A722" s="297">
        <f t="shared" si="11"/>
        <v>44.833333333333336</v>
      </c>
      <c r="B722" s="465">
        <v>41330</v>
      </c>
      <c r="C722" s="466" t="s">
        <v>452</v>
      </c>
      <c r="D722" s="466" t="s">
        <v>904</v>
      </c>
      <c r="E722" s="466" t="s">
        <v>380</v>
      </c>
      <c r="F722" s="290" t="s">
        <v>27</v>
      </c>
      <c r="G722" s="290" t="s">
        <v>365</v>
      </c>
      <c r="H722" s="291"/>
      <c r="I722" s="291"/>
      <c r="J722" s="291">
        <v>12</v>
      </c>
      <c r="K722" s="291">
        <v>17</v>
      </c>
      <c r="L722" s="292">
        <v>7</v>
      </c>
      <c r="M722" s="292">
        <v>17</v>
      </c>
      <c r="N722" s="292">
        <v>7</v>
      </c>
      <c r="O722" s="292">
        <v>7</v>
      </c>
      <c r="P722" s="294">
        <v>7</v>
      </c>
      <c r="Q722" s="294">
        <v>7</v>
      </c>
      <c r="R722" s="294"/>
      <c r="S722" s="294"/>
      <c r="T722" s="294"/>
      <c r="U722" s="294"/>
      <c r="V722" s="431"/>
      <c r="W722" s="331"/>
      <c r="X722" s="331"/>
      <c r="Y722" s="294">
        <f>IF(NFI_Expiration=1,IF($A722&lt;VLOOKUP(H$5,NFI,5,0),1,0)*Table_NFI[[#This Row],[Hygiene Kit]],Table_NFI[Hygiene Kit])</f>
        <v>0</v>
      </c>
      <c r="Z722" s="294">
        <f>IF(NFI_Expiration=1,IF($A722&lt;VLOOKUP(I$5,NFI,5,0),1,0)*Table_NFI[[#This Row],[NFI Core Kit]],Table_NFI[NFI Core Kit])</f>
        <v>0</v>
      </c>
      <c r="AA722" s="294">
        <f>IF(NFI_Expiration=1,IF($A722&lt;VLOOKUP(J$5,NFI,5,0),1,0)*Table_NFI[[#This Row],[Sanitary Kit]],Table_NFI[Sanitary Kit])</f>
        <v>0</v>
      </c>
      <c r="AB722" s="294">
        <f>IF(NFI_Expiration=1,IF($A722&lt;VLOOKUP(K$5,NFI,5,0),1,0)*Table_NFI[[#This Row],[Mosquito net]],Table_NFI[Mosquito net])</f>
        <v>0</v>
      </c>
      <c r="AC722" s="294">
        <f>IF(NFI_Expiration=1,IF($A722&lt;VLOOKUP(L$5,NFI,5,0),1,0)*Table_NFI[[#This Row],[Tarpaulin]],Table_NFI[[#This Row],[Tarpaulin]])</f>
        <v>0</v>
      </c>
      <c r="AD722" s="294">
        <f>IF(NFI_Expiration=1,IF($A722&lt;VLOOKUP(M$5,NFI,5,0),1,0)*Table_NFI[[#This Row],[Blanket]],Table_NFI[[#This Row],[Blanket]])</f>
        <v>0</v>
      </c>
      <c r="AE722" s="294">
        <f>IF(NFI_Expiration=1,IF($A722&lt;VLOOKUP(N$5,NFI,5,0),1,0)*Table_NFI[[#This Row],[Kitchen Set]],Table_NFI[Kitchen Set])</f>
        <v>0</v>
      </c>
      <c r="AF722" s="294">
        <f>IF(NFI_Expiration=1,IF($A722&lt;VLOOKUP(O$5,NFI,5,0),1,0)*Table_NFI[[#This Row],[Clothes Kit]],Table_NFI[Clothes Kit])</f>
        <v>0</v>
      </c>
      <c r="AG722" s="294">
        <f>IF(NFI_Expiration=1,IF($A722&lt;VLOOKUP(P$5,NFI,5,0),1,0)*Table_NFI[[#This Row],[Plastic Bucket]],Table_NFI[Plastic Bucket])</f>
        <v>0</v>
      </c>
      <c r="AH722" s="294">
        <f>IF(NFI_Expiration=1,IF($A722&lt;VLOOKUP(Q$5,NFI,5,0),1,0)*Table_NFI[[#This Row],[Plastic Mat]],Table_NFI[Plastic Mat])*IF(Table_NFI[[#This Row],[Distribution Date]]&gt;"2014-04-01",1,2.5)</f>
        <v>0</v>
      </c>
      <c r="AI722" s="294">
        <f>IF(NFI_Expiration=1,IF($A722&lt;VLOOKUP(R$5,NFI,5,0),1,0)*Table_NFI[[#This Row],[Winter Clothes Adult]],Table_NFI[Winter Clothes Adult])</f>
        <v>0</v>
      </c>
      <c r="AJ722" s="294">
        <f>IF(NFI_Expiration=1,IF($A722&lt;VLOOKUP(S$5,NFI,5,0),1,0)*Table_NFI[[#This Row],[Winter Clothes Children]],Table_NFI[Winter Clothes Children])</f>
        <v>0</v>
      </c>
      <c r="AK722" s="294">
        <f>IF(NFI_Expiration=1,IF($A722&lt;VLOOKUP(T$5,NFI,5,0),1,0)*Table_NFI[[#This Row],[Winter Items Other]],Table_NFI[Winter Items Other])</f>
        <v>0</v>
      </c>
      <c r="AL722" s="294">
        <f>IF(NFI_Expiration=1,IF($A722&lt;VLOOKUP(M$5,NFI,5,0),1,0)*Table_NFI[[#This Row],[Winter Blanket]],Table_NFI[[#This Row],[Winter Blanket]])</f>
        <v>0</v>
      </c>
      <c r="AM722" s="294">
        <f>IF(Table_NFI[[#This Row],[Winter Clothes Adult]]+Table_NFI[[#This Row],[Winter Clothes Children]]+Table_NFI[[#This Row],[Winter Items Other]]+Table_NFI[[#This Row],[Winter Blanket]]&gt;0,1,0)</f>
        <v>0</v>
      </c>
      <c r="AN722" s="331">
        <f>IF(NFI_Expiration=1,IF($A722&lt;VLOOKUP(V$5,NFI,5,0),1,0)*Table_NFI[[#This Row],[Jerry Can]],Table_NFI[Jerry Can])</f>
        <v>0</v>
      </c>
      <c r="AO722" s="331">
        <f>IF(NFI_Expiration=1,IF($A722&lt;VLOOKUP(V$5,NFI,5,0),1,0)*Table_NFI[[#This Row],[Shelter Tool kit]],Table_NFI[Shelter Tool kit])</f>
        <v>0</v>
      </c>
      <c r="AP722" s="331">
        <f>IF(NFI_Expiration=1,IF($A722&lt;VLOOKUP(V$5,NFI,5,0),1,0)*Table_NFI[[#This Row],[Tent]],Table_NFI[Tent])</f>
        <v>0</v>
      </c>
      <c r="AQ722" s="473" t="str">
        <f>IFERROR(VLOOKUP(Table_NFI[[#This Row],[Camp Name]],CL,2,0),"")</f>
        <v>MMR001CMP195</v>
      </c>
      <c r="AR722" s="468">
        <f ca="1">IF(Table_NFI[[#This Row],[Pcode]]="","",IF(OFFSET(CampList[Opening Date],MATCH(Table_NFI[[#This Row],[Pcode]],CampList[CP_Pcode],0)-1,0,1,1)&gt;=NFI_Monitor_Date,1,0))</f>
        <v>0</v>
      </c>
      <c r="AS722" s="473" t="str">
        <f>IFERROR(VLOOKUP(Table_NFI[[#This Row],[Camp Name]],CL,3,0),"")</f>
        <v>Open</v>
      </c>
      <c r="AT722" s="294" t="str">
        <f ca="1">IF(Table_NFI[[#This Row],[Pcode]]="","",OFFSET(CampList[Priority],MATCH(Table_NFI[[#This Row],[Pcode]],CampList[CP_Pcode],0)-1,0,1,1))</f>
        <v>P1</v>
      </c>
      <c r="AU722" s="293">
        <f>IFERROR(Table_NFI[[#This Row],[Kitchen Set]]/VLOOKUP(Table_NFI[[#This Row],[Camp Name]],CL,4,0),"")</f>
        <v>4.8951048951048952E-2</v>
      </c>
      <c r="AV722" s="466" t="s">
        <v>1092</v>
      </c>
      <c r="AW722" s="469"/>
    </row>
    <row r="723" spans="1:49" x14ac:dyDescent="0.25">
      <c r="A723" s="297">
        <f t="shared" si="11"/>
        <v>44.833333333333336</v>
      </c>
      <c r="B723" s="465">
        <v>41330</v>
      </c>
      <c r="C723" s="466" t="s">
        <v>900</v>
      </c>
      <c r="D723" s="467" t="s">
        <v>900</v>
      </c>
      <c r="E723" s="466" t="s">
        <v>380</v>
      </c>
      <c r="F723" s="290" t="s">
        <v>310</v>
      </c>
      <c r="G723" s="290" t="s">
        <v>324</v>
      </c>
      <c r="H723" s="291"/>
      <c r="I723" s="291"/>
      <c r="J723" s="291">
        <v>235</v>
      </c>
      <c r="K723" s="291"/>
      <c r="L723" s="292">
        <v>174</v>
      </c>
      <c r="M723" s="292"/>
      <c r="N723" s="292">
        <v>61</v>
      </c>
      <c r="O723" s="292"/>
      <c r="P723" s="294">
        <v>0</v>
      </c>
      <c r="Q723" s="294">
        <v>0</v>
      </c>
      <c r="R723" s="294"/>
      <c r="S723" s="294"/>
      <c r="T723" s="294"/>
      <c r="U723" s="294"/>
      <c r="V723" s="431"/>
      <c r="W723" s="331"/>
      <c r="X723" s="331"/>
      <c r="Y723" s="294">
        <f>IF(NFI_Expiration=1,IF($A723&lt;VLOOKUP(H$5,NFI,5,0),1,0)*Table_NFI[[#This Row],[Hygiene Kit]],Table_NFI[Hygiene Kit])</f>
        <v>0</v>
      </c>
      <c r="Z723" s="294">
        <f>IF(NFI_Expiration=1,IF($A723&lt;VLOOKUP(I$5,NFI,5,0),1,0)*Table_NFI[[#This Row],[NFI Core Kit]],Table_NFI[NFI Core Kit])</f>
        <v>0</v>
      </c>
      <c r="AA723" s="294">
        <f>IF(NFI_Expiration=1,IF($A723&lt;VLOOKUP(J$5,NFI,5,0),1,0)*Table_NFI[[#This Row],[Sanitary Kit]],Table_NFI[Sanitary Kit])</f>
        <v>0</v>
      </c>
      <c r="AB723" s="294">
        <f>IF(NFI_Expiration=1,IF($A723&lt;VLOOKUP(K$5,NFI,5,0),1,0)*Table_NFI[[#This Row],[Mosquito net]],Table_NFI[Mosquito net])</f>
        <v>0</v>
      </c>
      <c r="AC723" s="294">
        <f>IF(NFI_Expiration=1,IF($A723&lt;VLOOKUP(L$5,NFI,5,0),1,0)*Table_NFI[[#This Row],[Tarpaulin]],Table_NFI[[#This Row],[Tarpaulin]])</f>
        <v>0</v>
      </c>
      <c r="AD723" s="294">
        <f>IF(NFI_Expiration=1,IF($A723&lt;VLOOKUP(M$5,NFI,5,0),1,0)*Table_NFI[[#This Row],[Blanket]],Table_NFI[[#This Row],[Blanket]])</f>
        <v>0</v>
      </c>
      <c r="AE723" s="294">
        <f>IF(NFI_Expiration=1,IF($A723&lt;VLOOKUP(N$5,NFI,5,0),1,0)*Table_NFI[[#This Row],[Kitchen Set]],Table_NFI[Kitchen Set])</f>
        <v>0</v>
      </c>
      <c r="AF723" s="294">
        <f>IF(NFI_Expiration=1,IF($A723&lt;VLOOKUP(O$5,NFI,5,0),1,0)*Table_NFI[[#This Row],[Clothes Kit]],Table_NFI[Clothes Kit])</f>
        <v>0</v>
      </c>
      <c r="AG723" s="294">
        <f>IF(NFI_Expiration=1,IF($A723&lt;VLOOKUP(P$5,NFI,5,0),1,0)*Table_NFI[[#This Row],[Plastic Bucket]],Table_NFI[Plastic Bucket])</f>
        <v>0</v>
      </c>
      <c r="AH723" s="294">
        <f>IF(NFI_Expiration=1,IF($A723&lt;VLOOKUP(Q$5,NFI,5,0),1,0)*Table_NFI[[#This Row],[Plastic Mat]],Table_NFI[Plastic Mat])*IF(Table_NFI[[#This Row],[Distribution Date]]&gt;"2014-04-01",1,2.5)</f>
        <v>0</v>
      </c>
      <c r="AI723" s="294">
        <f>IF(NFI_Expiration=1,IF($A723&lt;VLOOKUP(R$5,NFI,5,0),1,0)*Table_NFI[[#This Row],[Winter Clothes Adult]],Table_NFI[Winter Clothes Adult])</f>
        <v>0</v>
      </c>
      <c r="AJ723" s="294">
        <f>IF(NFI_Expiration=1,IF($A723&lt;VLOOKUP(S$5,NFI,5,0),1,0)*Table_NFI[[#This Row],[Winter Clothes Children]],Table_NFI[Winter Clothes Children])</f>
        <v>0</v>
      </c>
      <c r="AK723" s="294">
        <f>IF(NFI_Expiration=1,IF($A723&lt;VLOOKUP(T$5,NFI,5,0),1,0)*Table_NFI[[#This Row],[Winter Items Other]],Table_NFI[Winter Items Other])</f>
        <v>0</v>
      </c>
      <c r="AL723" s="294">
        <f>IF(NFI_Expiration=1,IF($A723&lt;VLOOKUP(M$5,NFI,5,0),1,0)*Table_NFI[[#This Row],[Winter Blanket]],Table_NFI[[#This Row],[Winter Blanket]])</f>
        <v>0</v>
      </c>
      <c r="AM723" s="294">
        <f>IF(Table_NFI[[#This Row],[Winter Clothes Adult]]+Table_NFI[[#This Row],[Winter Clothes Children]]+Table_NFI[[#This Row],[Winter Items Other]]+Table_NFI[[#This Row],[Winter Blanket]]&gt;0,1,0)</f>
        <v>0</v>
      </c>
      <c r="AN723" s="331">
        <f>IF(NFI_Expiration=1,IF($A723&lt;VLOOKUP(V$5,NFI,5,0),1,0)*Table_NFI[[#This Row],[Jerry Can]],Table_NFI[Jerry Can])</f>
        <v>0</v>
      </c>
      <c r="AO723" s="331">
        <f>IF(NFI_Expiration=1,IF($A723&lt;VLOOKUP(V$5,NFI,5,0),1,0)*Table_NFI[[#This Row],[Shelter Tool kit]],Table_NFI[Shelter Tool kit])</f>
        <v>0</v>
      </c>
      <c r="AP723" s="331">
        <f>IF(NFI_Expiration=1,IF($A723&lt;VLOOKUP(V$5,NFI,5,0),1,0)*Table_NFI[[#This Row],[Tent]],Table_NFI[Tent])</f>
        <v>0</v>
      </c>
      <c r="AQ723" s="473" t="str">
        <f>IFERROR(VLOOKUP(Table_NFI[[#This Row],[Camp Name]],CL,2,0),"")</f>
        <v>MMR001CMP040</v>
      </c>
      <c r="AR723" s="468">
        <f ca="1">IF(Table_NFI[[#This Row],[Pcode]]="","",IF(OFFSET(CampList[Opening Date],MATCH(Table_NFI[[#This Row],[Pcode]],CampList[CP_Pcode],0)-1,0,1,1)&gt;=NFI_Monitor_Date,1,0))</f>
        <v>0</v>
      </c>
      <c r="AS723" s="473" t="str">
        <f>IFERROR(VLOOKUP(Table_NFI[[#This Row],[Camp Name]],CL,3,0),"")</f>
        <v>Open</v>
      </c>
      <c r="AT723" s="294" t="str">
        <f ca="1">IF(Table_NFI[[#This Row],[Pcode]]="","",OFFSET(CampList[Priority],MATCH(Table_NFI[[#This Row],[Pcode]],CampList[CP_Pcode],0)-1,0,1,1))</f>
        <v>P4</v>
      </c>
      <c r="AU723" s="293">
        <f>IFERROR(Table_NFI[[#This Row],[Kitchen Set]]/VLOOKUP(Table_NFI[[#This Row],[Camp Name]],CL,4,0),"")</f>
        <v>0.14878048780487804</v>
      </c>
      <c r="AV723" s="466" t="s">
        <v>1092</v>
      </c>
      <c r="AW723" s="469"/>
    </row>
    <row r="724" spans="1:49" x14ac:dyDescent="0.25">
      <c r="A724" s="297">
        <f t="shared" si="11"/>
        <v>44.833333333333336</v>
      </c>
      <c r="B724" s="465">
        <v>41330</v>
      </c>
      <c r="C724" s="466" t="s">
        <v>452</v>
      </c>
      <c r="D724" s="467" t="s">
        <v>904</v>
      </c>
      <c r="E724" s="466" t="s">
        <v>380</v>
      </c>
      <c r="F724" s="290" t="s">
        <v>27</v>
      </c>
      <c r="G724" s="290" t="s">
        <v>37</v>
      </c>
      <c r="H724" s="291"/>
      <c r="I724" s="291"/>
      <c r="J724" s="291">
        <v>12</v>
      </c>
      <c r="K724" s="291">
        <v>18</v>
      </c>
      <c r="L724" s="292">
        <v>8</v>
      </c>
      <c r="M724" s="292">
        <v>18</v>
      </c>
      <c r="N724" s="292">
        <v>8</v>
      </c>
      <c r="O724" s="292">
        <v>8</v>
      </c>
      <c r="P724" s="294">
        <v>8</v>
      </c>
      <c r="Q724" s="294">
        <v>8</v>
      </c>
      <c r="R724" s="294"/>
      <c r="S724" s="294"/>
      <c r="T724" s="294"/>
      <c r="U724" s="294"/>
      <c r="V724" s="431"/>
      <c r="W724" s="294"/>
      <c r="X724" s="294"/>
      <c r="Y724" s="294">
        <f>IF(NFI_Expiration=1,IF($A724&lt;VLOOKUP(H$5,NFI,5,0),1,0)*Table_NFI[[#This Row],[Hygiene Kit]],Table_NFI[Hygiene Kit])</f>
        <v>0</v>
      </c>
      <c r="Z724" s="294">
        <f>IF(NFI_Expiration=1,IF($A724&lt;VLOOKUP(I$5,NFI,5,0),1,0)*Table_NFI[[#This Row],[NFI Core Kit]],Table_NFI[NFI Core Kit])</f>
        <v>0</v>
      </c>
      <c r="AA724" s="294">
        <f>IF(NFI_Expiration=1,IF($A724&lt;VLOOKUP(J$5,NFI,5,0),1,0)*Table_NFI[[#This Row],[Sanitary Kit]],Table_NFI[Sanitary Kit])</f>
        <v>0</v>
      </c>
      <c r="AB724" s="294">
        <f>IF(NFI_Expiration=1,IF($A724&lt;VLOOKUP(K$5,NFI,5,0),1,0)*Table_NFI[[#This Row],[Mosquito net]],Table_NFI[Mosquito net])</f>
        <v>0</v>
      </c>
      <c r="AC724" s="294">
        <f>IF(NFI_Expiration=1,IF($A724&lt;VLOOKUP(L$5,NFI,5,0),1,0)*Table_NFI[[#This Row],[Tarpaulin]],Table_NFI[[#This Row],[Tarpaulin]])</f>
        <v>0</v>
      </c>
      <c r="AD724" s="294">
        <f>IF(NFI_Expiration=1,IF($A724&lt;VLOOKUP(M$5,NFI,5,0),1,0)*Table_NFI[[#This Row],[Blanket]],Table_NFI[[#This Row],[Blanket]])</f>
        <v>0</v>
      </c>
      <c r="AE724" s="294">
        <f>IF(NFI_Expiration=1,IF($A724&lt;VLOOKUP(N$5,NFI,5,0),1,0)*Table_NFI[[#This Row],[Kitchen Set]],Table_NFI[Kitchen Set])</f>
        <v>0</v>
      </c>
      <c r="AF724" s="294">
        <f>IF(NFI_Expiration=1,IF($A724&lt;VLOOKUP(O$5,NFI,5,0),1,0)*Table_NFI[[#This Row],[Clothes Kit]],Table_NFI[Clothes Kit])</f>
        <v>0</v>
      </c>
      <c r="AG724" s="294">
        <f>IF(NFI_Expiration=1,IF($A724&lt;VLOOKUP(P$5,NFI,5,0),1,0)*Table_NFI[[#This Row],[Plastic Bucket]],Table_NFI[Plastic Bucket])</f>
        <v>0</v>
      </c>
      <c r="AH724" s="294">
        <f>IF(NFI_Expiration=1,IF($A724&lt;VLOOKUP(Q$5,NFI,5,0),1,0)*Table_NFI[[#This Row],[Plastic Mat]],Table_NFI[Plastic Mat])*IF(Table_NFI[[#This Row],[Distribution Date]]&gt;"2014-04-01",1,2.5)</f>
        <v>0</v>
      </c>
      <c r="AI724" s="294">
        <f>IF(NFI_Expiration=1,IF($A724&lt;VLOOKUP(R$5,NFI,5,0),1,0)*Table_NFI[[#This Row],[Winter Clothes Adult]],Table_NFI[Winter Clothes Adult])</f>
        <v>0</v>
      </c>
      <c r="AJ724" s="294">
        <f>IF(NFI_Expiration=1,IF($A724&lt;VLOOKUP(S$5,NFI,5,0),1,0)*Table_NFI[[#This Row],[Winter Clothes Children]],Table_NFI[Winter Clothes Children])</f>
        <v>0</v>
      </c>
      <c r="AK724" s="294">
        <f>IF(NFI_Expiration=1,IF($A724&lt;VLOOKUP(T$5,NFI,5,0),1,0)*Table_NFI[[#This Row],[Winter Items Other]],Table_NFI[Winter Items Other])</f>
        <v>0</v>
      </c>
      <c r="AL724" s="294">
        <f>IF(NFI_Expiration=1,IF($A724&lt;VLOOKUP(M$5,NFI,5,0),1,0)*Table_NFI[[#This Row],[Winter Blanket]],Table_NFI[[#This Row],[Winter Blanket]])</f>
        <v>0</v>
      </c>
      <c r="AM724" s="294">
        <f>IF(Table_NFI[[#This Row],[Winter Clothes Adult]]+Table_NFI[[#This Row],[Winter Clothes Children]]+Table_NFI[[#This Row],[Winter Items Other]]+Table_NFI[[#This Row],[Winter Blanket]]&gt;0,1,0)</f>
        <v>0</v>
      </c>
      <c r="AN724" s="331">
        <f>IF(NFI_Expiration=1,IF($A724&lt;VLOOKUP(V$5,NFI,5,0),1,0)*Table_NFI[[#This Row],[Jerry Can]],Table_NFI[Jerry Can])</f>
        <v>0</v>
      </c>
      <c r="AO724" s="331">
        <f>IF(NFI_Expiration=1,IF($A724&lt;VLOOKUP(V$5,NFI,5,0),1,0)*Table_NFI[[#This Row],[Shelter Tool kit]],Table_NFI[Shelter Tool kit])</f>
        <v>0</v>
      </c>
      <c r="AP724" s="331">
        <f>IF(NFI_Expiration=1,IF($A724&lt;VLOOKUP(V$5,NFI,5,0),1,0)*Table_NFI[[#This Row],[Tent]],Table_NFI[Tent])</f>
        <v>0</v>
      </c>
      <c r="AQ724" s="473" t="str">
        <f>IFERROR(VLOOKUP(Table_NFI[[#This Row],[Camp Name]],CL,2,0),"")</f>
        <v>MMR001CMP044</v>
      </c>
      <c r="AR724" s="468">
        <f ca="1">IF(Table_NFI[[#This Row],[Pcode]]="","",IF(OFFSET(CampList[Opening Date],MATCH(Table_NFI[[#This Row],[Pcode]],CampList[CP_Pcode],0)-1,0,1,1)&gt;=NFI_Monitor_Date,1,0))</f>
        <v>0</v>
      </c>
      <c r="AS724" s="473" t="str">
        <f>IFERROR(VLOOKUP(Table_NFI[[#This Row],[Camp Name]],CL,3,0),"")</f>
        <v>Closed</v>
      </c>
      <c r="AT724" s="294" t="str">
        <f ca="1">IF(Table_NFI[[#This Row],[Pcode]]="","",OFFSET(CampList[Priority],MATCH(Table_NFI[[#This Row],[Pcode]],CampList[CP_Pcode],0)-1,0,1,1))</f>
        <v/>
      </c>
      <c r="AU724" s="293" t="str">
        <f>IFERROR(Table_NFI[[#This Row],[Kitchen Set]]/VLOOKUP(Table_NFI[[#This Row],[Camp Name]],CL,4,0),"")</f>
        <v/>
      </c>
      <c r="AV724" s="466" t="s">
        <v>1092</v>
      </c>
      <c r="AW724" s="469"/>
    </row>
    <row r="725" spans="1:49" ht="14.45" customHeight="1" x14ac:dyDescent="0.25">
      <c r="A725" s="297">
        <f t="shared" si="11"/>
        <v>45</v>
      </c>
      <c r="B725" s="465">
        <v>41325</v>
      </c>
      <c r="C725" s="466" t="s">
        <v>452</v>
      </c>
      <c r="D725" s="467" t="s">
        <v>452</v>
      </c>
      <c r="E725" s="466" t="s">
        <v>380</v>
      </c>
      <c r="F725" s="290" t="s">
        <v>527</v>
      </c>
      <c r="G725" s="290" t="s">
        <v>43</v>
      </c>
      <c r="H725" s="291"/>
      <c r="I725" s="291"/>
      <c r="J725" s="291"/>
      <c r="K725" s="291">
        <v>59</v>
      </c>
      <c r="L725" s="292">
        <v>28</v>
      </c>
      <c r="M725" s="292">
        <v>0</v>
      </c>
      <c r="N725" s="292">
        <v>28</v>
      </c>
      <c r="O725" s="292">
        <v>28</v>
      </c>
      <c r="P725" s="294">
        <v>28</v>
      </c>
      <c r="Q725" s="294">
        <v>28</v>
      </c>
      <c r="R725" s="294"/>
      <c r="S725" s="294"/>
      <c r="T725" s="294"/>
      <c r="U725" s="294"/>
      <c r="V725" s="431"/>
      <c r="W725" s="294"/>
      <c r="X725" s="294"/>
      <c r="Y725" s="294">
        <f>IF(NFI_Expiration=1,IF($A725&lt;VLOOKUP(H$5,NFI,5,0),1,0)*Table_NFI[[#This Row],[Hygiene Kit]],Table_NFI[Hygiene Kit])</f>
        <v>0</v>
      </c>
      <c r="Z725" s="294">
        <f>IF(NFI_Expiration=1,IF($A725&lt;VLOOKUP(I$5,NFI,5,0),1,0)*Table_NFI[[#This Row],[NFI Core Kit]],Table_NFI[NFI Core Kit])</f>
        <v>0</v>
      </c>
      <c r="AA725" s="294">
        <f>IF(NFI_Expiration=1,IF($A725&lt;VLOOKUP(J$5,NFI,5,0),1,0)*Table_NFI[[#This Row],[Sanitary Kit]],Table_NFI[Sanitary Kit])</f>
        <v>0</v>
      </c>
      <c r="AB725" s="294">
        <f>IF(NFI_Expiration=1,IF($A725&lt;VLOOKUP(K$5,NFI,5,0),1,0)*Table_NFI[[#This Row],[Mosquito net]],Table_NFI[Mosquito net])</f>
        <v>0</v>
      </c>
      <c r="AC725" s="294">
        <f>IF(NFI_Expiration=1,IF($A725&lt;VLOOKUP(L$5,NFI,5,0),1,0)*Table_NFI[[#This Row],[Tarpaulin]],Table_NFI[[#This Row],[Tarpaulin]])</f>
        <v>0</v>
      </c>
      <c r="AD725" s="294">
        <f>IF(NFI_Expiration=1,IF($A725&lt;VLOOKUP(M$5,NFI,5,0),1,0)*Table_NFI[[#This Row],[Blanket]],Table_NFI[[#This Row],[Blanket]])</f>
        <v>0</v>
      </c>
      <c r="AE725" s="294">
        <f>IF(NFI_Expiration=1,IF($A725&lt;VLOOKUP(N$5,NFI,5,0),1,0)*Table_NFI[[#This Row],[Kitchen Set]],Table_NFI[Kitchen Set])</f>
        <v>0</v>
      </c>
      <c r="AF725" s="294">
        <f>IF(NFI_Expiration=1,IF($A725&lt;VLOOKUP(O$5,NFI,5,0),1,0)*Table_NFI[[#This Row],[Clothes Kit]],Table_NFI[Clothes Kit])</f>
        <v>0</v>
      </c>
      <c r="AG725" s="294">
        <f>IF(NFI_Expiration=1,IF($A725&lt;VLOOKUP(P$5,NFI,5,0),1,0)*Table_NFI[[#This Row],[Plastic Bucket]],Table_NFI[Plastic Bucket])</f>
        <v>0</v>
      </c>
      <c r="AH725" s="294">
        <f>IF(NFI_Expiration=1,IF($A725&lt;VLOOKUP(Q$5,NFI,5,0),1,0)*Table_NFI[[#This Row],[Plastic Mat]],Table_NFI[Plastic Mat])*IF(Table_NFI[[#This Row],[Distribution Date]]&gt;"2014-04-01",1,2.5)</f>
        <v>0</v>
      </c>
      <c r="AI725" s="294">
        <f>IF(NFI_Expiration=1,IF($A725&lt;VLOOKUP(R$5,NFI,5,0),1,0)*Table_NFI[[#This Row],[Winter Clothes Adult]],Table_NFI[Winter Clothes Adult])</f>
        <v>0</v>
      </c>
      <c r="AJ725" s="294">
        <f>IF(NFI_Expiration=1,IF($A725&lt;VLOOKUP(S$5,NFI,5,0),1,0)*Table_NFI[[#This Row],[Winter Clothes Children]],Table_NFI[Winter Clothes Children])</f>
        <v>0</v>
      </c>
      <c r="AK725" s="294">
        <f>IF(NFI_Expiration=1,IF($A725&lt;VLOOKUP(T$5,NFI,5,0),1,0)*Table_NFI[[#This Row],[Winter Items Other]],Table_NFI[Winter Items Other])</f>
        <v>0</v>
      </c>
      <c r="AL725" s="294">
        <f>IF(NFI_Expiration=1,IF($A725&lt;VLOOKUP(M$5,NFI,5,0),1,0)*Table_NFI[[#This Row],[Winter Blanket]],Table_NFI[[#This Row],[Winter Blanket]])</f>
        <v>0</v>
      </c>
      <c r="AM725" s="294">
        <f>IF(Table_NFI[[#This Row],[Winter Clothes Adult]]+Table_NFI[[#This Row],[Winter Clothes Children]]+Table_NFI[[#This Row],[Winter Items Other]]+Table_NFI[[#This Row],[Winter Blanket]]&gt;0,1,0)</f>
        <v>0</v>
      </c>
      <c r="AN725" s="331">
        <f>IF(NFI_Expiration=1,IF($A725&lt;VLOOKUP(V$5,NFI,5,0),1,0)*Table_NFI[[#This Row],[Jerry Can]],Table_NFI[Jerry Can])</f>
        <v>0</v>
      </c>
      <c r="AO725" s="331">
        <f>IF(NFI_Expiration=1,IF($A725&lt;VLOOKUP(V$5,NFI,5,0),1,0)*Table_NFI[[#This Row],[Shelter Tool kit]],Table_NFI[Shelter Tool kit])</f>
        <v>0</v>
      </c>
      <c r="AP725" s="331">
        <f>IF(NFI_Expiration=1,IF($A725&lt;VLOOKUP(V$5,NFI,5,0),1,0)*Table_NFI[[#This Row],[Tent]],Table_NFI[Tent])</f>
        <v>0</v>
      </c>
      <c r="AQ725" s="473" t="str">
        <f>IFERROR(VLOOKUP(Table_NFI[[#This Row],[Camp Name]],CL,2,0),"")</f>
        <v>MMR001CMP190</v>
      </c>
      <c r="AR725" s="468">
        <f ca="1">IF(Table_NFI[[#This Row],[Pcode]]="","",IF(OFFSET(CampList[Opening Date],MATCH(Table_NFI[[#This Row],[Pcode]],CampList[CP_Pcode],0)-1,0,1,1)&gt;=NFI_Monitor_Date,1,0))</f>
        <v>0</v>
      </c>
      <c r="AS725" s="473" t="str">
        <f>IFERROR(VLOOKUP(Table_NFI[[#This Row],[Camp Name]],CL,3,0),"")</f>
        <v>Open</v>
      </c>
      <c r="AT725" s="294" t="str">
        <f ca="1">IF(Table_NFI[[#This Row],[Pcode]]="","",OFFSET(CampList[Priority],MATCH(Table_NFI[[#This Row],[Pcode]],CampList[CP_Pcode],0)-1,0,1,1))</f>
        <v>P4</v>
      </c>
      <c r="AU725" s="293">
        <f>IFERROR(Table_NFI[[#This Row],[Kitchen Set]]/VLOOKUP(Table_NFI[[#This Row],[Camp Name]],CL,4,0),"")</f>
        <v>2</v>
      </c>
      <c r="AV725" s="466" t="s">
        <v>1092</v>
      </c>
      <c r="AW725" s="469"/>
    </row>
    <row r="726" spans="1:49" ht="14.45" customHeight="1" x14ac:dyDescent="0.25">
      <c r="A726" s="297">
        <f t="shared" si="11"/>
        <v>45</v>
      </c>
      <c r="B726" s="465">
        <v>41325</v>
      </c>
      <c r="C726" s="466" t="s">
        <v>452</v>
      </c>
      <c r="D726" s="466" t="s">
        <v>452</v>
      </c>
      <c r="E726" s="466" t="s">
        <v>380</v>
      </c>
      <c r="F726" s="466" t="s">
        <v>527</v>
      </c>
      <c r="G726" s="290" t="s">
        <v>50</v>
      </c>
      <c r="H726" s="291"/>
      <c r="I726" s="291"/>
      <c r="J726" s="291">
        <v>18</v>
      </c>
      <c r="K726" s="291">
        <v>0</v>
      </c>
      <c r="L726" s="292">
        <v>0</v>
      </c>
      <c r="M726" s="292">
        <v>0</v>
      </c>
      <c r="N726" s="292">
        <v>0</v>
      </c>
      <c r="O726" s="292">
        <v>0</v>
      </c>
      <c r="P726" s="294"/>
      <c r="Q726" s="294"/>
      <c r="R726" s="294"/>
      <c r="S726" s="294"/>
      <c r="T726" s="294"/>
      <c r="U726" s="294"/>
      <c r="V726" s="431"/>
      <c r="W726" s="294"/>
      <c r="X726" s="294"/>
      <c r="Y726" s="294">
        <f>IF(NFI_Expiration=1,IF($A726&lt;VLOOKUP(H$5,NFI,5,0),1,0)*Table_NFI[[#This Row],[Hygiene Kit]],Table_NFI[Hygiene Kit])</f>
        <v>0</v>
      </c>
      <c r="Z726" s="294">
        <f>IF(NFI_Expiration=1,IF($A726&lt;VLOOKUP(I$5,NFI,5,0),1,0)*Table_NFI[[#This Row],[NFI Core Kit]],Table_NFI[NFI Core Kit])</f>
        <v>0</v>
      </c>
      <c r="AA726" s="294">
        <f>IF(NFI_Expiration=1,IF($A726&lt;VLOOKUP(J$5,NFI,5,0),1,0)*Table_NFI[[#This Row],[Sanitary Kit]],Table_NFI[Sanitary Kit])</f>
        <v>0</v>
      </c>
      <c r="AB726" s="294">
        <f>IF(NFI_Expiration=1,IF($A726&lt;VLOOKUP(K$5,NFI,5,0),1,0)*Table_NFI[[#This Row],[Mosquito net]],Table_NFI[Mosquito net])</f>
        <v>0</v>
      </c>
      <c r="AC726" s="294">
        <f>IF(NFI_Expiration=1,IF($A726&lt;VLOOKUP(L$5,NFI,5,0),1,0)*Table_NFI[[#This Row],[Tarpaulin]],Table_NFI[[#This Row],[Tarpaulin]])</f>
        <v>0</v>
      </c>
      <c r="AD726" s="294">
        <f>IF(NFI_Expiration=1,IF($A726&lt;VLOOKUP(M$5,NFI,5,0),1,0)*Table_NFI[[#This Row],[Blanket]],Table_NFI[[#This Row],[Blanket]])</f>
        <v>0</v>
      </c>
      <c r="AE726" s="294">
        <f>IF(NFI_Expiration=1,IF($A726&lt;VLOOKUP(N$5,NFI,5,0),1,0)*Table_NFI[[#This Row],[Kitchen Set]],Table_NFI[Kitchen Set])</f>
        <v>0</v>
      </c>
      <c r="AF726" s="294">
        <f>IF(NFI_Expiration=1,IF($A726&lt;VLOOKUP(O$5,NFI,5,0),1,0)*Table_NFI[[#This Row],[Clothes Kit]],Table_NFI[Clothes Kit])</f>
        <v>0</v>
      </c>
      <c r="AG726" s="294">
        <f>IF(NFI_Expiration=1,IF($A726&lt;VLOOKUP(P$5,NFI,5,0),1,0)*Table_NFI[[#This Row],[Plastic Bucket]],Table_NFI[Plastic Bucket])</f>
        <v>0</v>
      </c>
      <c r="AH726" s="294">
        <f>IF(NFI_Expiration=1,IF($A726&lt;VLOOKUP(Q$5,NFI,5,0),1,0)*Table_NFI[[#This Row],[Plastic Mat]],Table_NFI[Plastic Mat])*IF(Table_NFI[[#This Row],[Distribution Date]]&gt;"2014-04-01",1,2.5)</f>
        <v>0</v>
      </c>
      <c r="AI726" s="294">
        <f>IF(NFI_Expiration=1,IF($A726&lt;VLOOKUP(R$5,NFI,5,0),1,0)*Table_NFI[[#This Row],[Winter Clothes Adult]],Table_NFI[Winter Clothes Adult])</f>
        <v>0</v>
      </c>
      <c r="AJ726" s="294">
        <f>IF(NFI_Expiration=1,IF($A726&lt;VLOOKUP(S$5,NFI,5,0),1,0)*Table_NFI[[#This Row],[Winter Clothes Children]],Table_NFI[Winter Clothes Children])</f>
        <v>0</v>
      </c>
      <c r="AK726" s="294">
        <f>IF(NFI_Expiration=1,IF($A726&lt;VLOOKUP(T$5,NFI,5,0),1,0)*Table_NFI[[#This Row],[Winter Items Other]],Table_NFI[Winter Items Other])</f>
        <v>0</v>
      </c>
      <c r="AL726" s="294">
        <f>IF(NFI_Expiration=1,IF($A726&lt;VLOOKUP(M$5,NFI,5,0),1,0)*Table_NFI[[#This Row],[Winter Blanket]],Table_NFI[[#This Row],[Winter Blanket]])</f>
        <v>0</v>
      </c>
      <c r="AM726" s="294">
        <f>IF(Table_NFI[[#This Row],[Winter Clothes Adult]]+Table_NFI[[#This Row],[Winter Clothes Children]]+Table_NFI[[#This Row],[Winter Items Other]]+Table_NFI[[#This Row],[Winter Blanket]]&gt;0,1,0)</f>
        <v>0</v>
      </c>
      <c r="AN726" s="331">
        <f>IF(NFI_Expiration=1,IF($A726&lt;VLOOKUP(V$5,NFI,5,0),1,0)*Table_NFI[[#This Row],[Jerry Can]],Table_NFI[Jerry Can])</f>
        <v>0</v>
      </c>
      <c r="AO726" s="331">
        <f>IF(NFI_Expiration=1,IF($A726&lt;VLOOKUP(V$5,NFI,5,0),1,0)*Table_NFI[[#This Row],[Shelter Tool kit]],Table_NFI[Shelter Tool kit])</f>
        <v>0</v>
      </c>
      <c r="AP726" s="331">
        <f>IF(NFI_Expiration=1,IF($A726&lt;VLOOKUP(V$5,NFI,5,0),1,0)*Table_NFI[[#This Row],[Tent]],Table_NFI[Tent])</f>
        <v>0</v>
      </c>
      <c r="AQ726" s="473" t="str">
        <f>IFERROR(VLOOKUP(Table_NFI[[#This Row],[Camp Name]],CL,2,0),"")</f>
        <v>MMR001CMP092</v>
      </c>
      <c r="AR726" s="468">
        <f ca="1">IF(Table_NFI[[#This Row],[Pcode]]="","",IF(OFFSET(CampList[Opening Date],MATCH(Table_NFI[[#This Row],[Pcode]],CampList[CP_Pcode],0)-1,0,1,1)&gt;=NFI_Monitor_Date,1,0))</f>
        <v>0</v>
      </c>
      <c r="AS726" s="473" t="str">
        <f>IFERROR(VLOOKUP(Table_NFI[[#This Row],[Camp Name]],CL,3,0),"")</f>
        <v>Closed</v>
      </c>
      <c r="AT726" s="294" t="str">
        <f ca="1">IF(Table_NFI[[#This Row],[Pcode]]="","",OFFSET(CampList[Priority],MATCH(Table_NFI[[#This Row],[Pcode]],CampList[CP_Pcode],0)-1,0,1,1))</f>
        <v/>
      </c>
      <c r="AU726" s="293" t="str">
        <f>IFERROR(Table_NFI[[#This Row],[Kitchen Set]]/VLOOKUP(Table_NFI[[#This Row],[Camp Name]],CL,4,0),"")</f>
        <v/>
      </c>
      <c r="AV726" s="466" t="s">
        <v>1092</v>
      </c>
      <c r="AW726" s="469"/>
    </row>
    <row r="727" spans="1:49" ht="14.45" customHeight="1" x14ac:dyDescent="0.25">
      <c r="A727" s="297">
        <f t="shared" si="11"/>
        <v>45</v>
      </c>
      <c r="B727" s="465">
        <v>41325</v>
      </c>
      <c r="C727" s="466" t="s">
        <v>452</v>
      </c>
      <c r="D727" s="466" t="s">
        <v>452</v>
      </c>
      <c r="E727" s="466" t="s">
        <v>380</v>
      </c>
      <c r="F727" s="290" t="s">
        <v>527</v>
      </c>
      <c r="G727" s="290" t="s">
        <v>70</v>
      </c>
      <c r="H727" s="291"/>
      <c r="I727" s="291"/>
      <c r="J727" s="291">
        <v>13</v>
      </c>
      <c r="K727" s="291">
        <v>28</v>
      </c>
      <c r="L727" s="292">
        <v>15</v>
      </c>
      <c r="M727" s="292">
        <v>28</v>
      </c>
      <c r="N727" s="292">
        <v>15</v>
      </c>
      <c r="O727" s="292">
        <v>15</v>
      </c>
      <c r="P727" s="294">
        <v>15</v>
      </c>
      <c r="Q727" s="294">
        <v>15</v>
      </c>
      <c r="R727" s="294"/>
      <c r="S727" s="294"/>
      <c r="T727" s="294"/>
      <c r="U727" s="294"/>
      <c r="V727" s="431"/>
      <c r="W727" s="294"/>
      <c r="X727" s="294"/>
      <c r="Y727" s="294">
        <f>IF(NFI_Expiration=1,IF($A727&lt;VLOOKUP(H$5,NFI,5,0),1,0)*Table_NFI[[#This Row],[Hygiene Kit]],Table_NFI[Hygiene Kit])</f>
        <v>0</v>
      </c>
      <c r="Z727" s="294">
        <f>IF(NFI_Expiration=1,IF($A727&lt;VLOOKUP(I$5,NFI,5,0),1,0)*Table_NFI[[#This Row],[NFI Core Kit]],Table_NFI[NFI Core Kit])</f>
        <v>0</v>
      </c>
      <c r="AA727" s="294">
        <f>IF(NFI_Expiration=1,IF($A727&lt;VLOOKUP(J$5,NFI,5,0),1,0)*Table_NFI[[#This Row],[Sanitary Kit]],Table_NFI[Sanitary Kit])</f>
        <v>0</v>
      </c>
      <c r="AB727" s="294">
        <f>IF(NFI_Expiration=1,IF($A727&lt;VLOOKUP(K$5,NFI,5,0),1,0)*Table_NFI[[#This Row],[Mosquito net]],Table_NFI[Mosquito net])</f>
        <v>0</v>
      </c>
      <c r="AC727" s="294">
        <f>IF(NFI_Expiration=1,IF($A727&lt;VLOOKUP(L$5,NFI,5,0),1,0)*Table_NFI[[#This Row],[Tarpaulin]],Table_NFI[[#This Row],[Tarpaulin]])</f>
        <v>0</v>
      </c>
      <c r="AD727" s="294">
        <f>IF(NFI_Expiration=1,IF($A727&lt;VLOOKUP(M$5,NFI,5,0),1,0)*Table_NFI[[#This Row],[Blanket]],Table_NFI[[#This Row],[Blanket]])</f>
        <v>0</v>
      </c>
      <c r="AE727" s="294">
        <f>IF(NFI_Expiration=1,IF($A727&lt;VLOOKUP(N$5,NFI,5,0),1,0)*Table_NFI[[#This Row],[Kitchen Set]],Table_NFI[Kitchen Set])</f>
        <v>0</v>
      </c>
      <c r="AF727" s="294">
        <f>IF(NFI_Expiration=1,IF($A727&lt;VLOOKUP(O$5,NFI,5,0),1,0)*Table_NFI[[#This Row],[Clothes Kit]],Table_NFI[Clothes Kit])</f>
        <v>0</v>
      </c>
      <c r="AG727" s="294">
        <f>IF(NFI_Expiration=1,IF($A727&lt;VLOOKUP(P$5,NFI,5,0),1,0)*Table_NFI[[#This Row],[Plastic Bucket]],Table_NFI[Plastic Bucket])</f>
        <v>0</v>
      </c>
      <c r="AH727" s="294">
        <f>IF(NFI_Expiration=1,IF($A727&lt;VLOOKUP(Q$5,NFI,5,0),1,0)*Table_NFI[[#This Row],[Plastic Mat]],Table_NFI[Plastic Mat])*IF(Table_NFI[[#This Row],[Distribution Date]]&gt;"2014-04-01",1,2.5)</f>
        <v>0</v>
      </c>
      <c r="AI727" s="294">
        <f>IF(NFI_Expiration=1,IF($A727&lt;VLOOKUP(R$5,NFI,5,0),1,0)*Table_NFI[[#This Row],[Winter Clothes Adult]],Table_NFI[Winter Clothes Adult])</f>
        <v>0</v>
      </c>
      <c r="AJ727" s="294">
        <f>IF(NFI_Expiration=1,IF($A727&lt;VLOOKUP(S$5,NFI,5,0),1,0)*Table_NFI[[#This Row],[Winter Clothes Children]],Table_NFI[Winter Clothes Children])</f>
        <v>0</v>
      </c>
      <c r="AK727" s="294">
        <f>IF(NFI_Expiration=1,IF($A727&lt;VLOOKUP(T$5,NFI,5,0),1,0)*Table_NFI[[#This Row],[Winter Items Other]],Table_NFI[Winter Items Other])</f>
        <v>0</v>
      </c>
      <c r="AL727" s="294">
        <f>IF(NFI_Expiration=1,IF($A727&lt;VLOOKUP(M$5,NFI,5,0),1,0)*Table_NFI[[#This Row],[Winter Blanket]],Table_NFI[[#This Row],[Winter Blanket]])</f>
        <v>0</v>
      </c>
      <c r="AM727" s="294">
        <f>IF(Table_NFI[[#This Row],[Winter Clothes Adult]]+Table_NFI[[#This Row],[Winter Clothes Children]]+Table_NFI[[#This Row],[Winter Items Other]]+Table_NFI[[#This Row],[Winter Blanket]]&gt;0,1,0)</f>
        <v>0</v>
      </c>
      <c r="AN727" s="331">
        <f>IF(NFI_Expiration=1,IF($A727&lt;VLOOKUP(V$5,NFI,5,0),1,0)*Table_NFI[[#This Row],[Jerry Can]],Table_NFI[Jerry Can])</f>
        <v>0</v>
      </c>
      <c r="AO727" s="331">
        <f>IF(NFI_Expiration=1,IF($A727&lt;VLOOKUP(V$5,NFI,5,0),1,0)*Table_NFI[[#This Row],[Shelter Tool kit]],Table_NFI[Shelter Tool kit])</f>
        <v>0</v>
      </c>
      <c r="AP727" s="331">
        <f>IF(NFI_Expiration=1,IF($A727&lt;VLOOKUP(V$5,NFI,5,0),1,0)*Table_NFI[[#This Row],[Tent]],Table_NFI[Tent])</f>
        <v>0</v>
      </c>
      <c r="AQ727" s="473" t="str">
        <f>IFERROR(VLOOKUP(Table_NFI[[#This Row],[Camp Name]],CL,2,0),"")</f>
        <v>MMR001CMP086</v>
      </c>
      <c r="AR727" s="468">
        <f ca="1">IF(Table_NFI[[#This Row],[Pcode]]="","",IF(OFFSET(CampList[Opening Date],MATCH(Table_NFI[[#This Row],[Pcode]],CampList[CP_Pcode],0)-1,0,1,1)&gt;=NFI_Monitor_Date,1,0))</f>
        <v>0</v>
      </c>
      <c r="AS727" s="473" t="str">
        <f>IFERROR(VLOOKUP(Table_NFI[[#This Row],[Camp Name]],CL,3,0),"")</f>
        <v>Closed</v>
      </c>
      <c r="AT727" s="294" t="str">
        <f ca="1">IF(Table_NFI[[#This Row],[Pcode]]="","",OFFSET(CampList[Priority],MATCH(Table_NFI[[#This Row],[Pcode]],CampList[CP_Pcode],0)-1,0,1,1))</f>
        <v/>
      </c>
      <c r="AU727" s="293" t="str">
        <f>IFERROR(Table_NFI[[#This Row],[Kitchen Set]]/VLOOKUP(Table_NFI[[#This Row],[Camp Name]],CL,4,0),"")</f>
        <v/>
      </c>
      <c r="AV727" s="466" t="s">
        <v>1092</v>
      </c>
      <c r="AW727" s="469"/>
    </row>
    <row r="728" spans="1:49" ht="14.45" customHeight="1" x14ac:dyDescent="0.25">
      <c r="A728" s="297">
        <f t="shared" si="11"/>
        <v>45</v>
      </c>
      <c r="B728" s="465">
        <v>41325</v>
      </c>
      <c r="C728" s="466" t="s">
        <v>452</v>
      </c>
      <c r="D728" s="466" t="s">
        <v>452</v>
      </c>
      <c r="E728" s="466" t="s">
        <v>380</v>
      </c>
      <c r="F728" s="290" t="s">
        <v>527</v>
      </c>
      <c r="G728" s="290" t="s">
        <v>92</v>
      </c>
      <c r="H728" s="291"/>
      <c r="I728" s="291"/>
      <c r="J728" s="291">
        <v>12</v>
      </c>
      <c r="K728" s="291">
        <v>20</v>
      </c>
      <c r="L728" s="292">
        <v>8</v>
      </c>
      <c r="M728" s="292">
        <v>20</v>
      </c>
      <c r="N728" s="292">
        <v>8</v>
      </c>
      <c r="O728" s="292">
        <v>8</v>
      </c>
      <c r="P728" s="294">
        <v>8</v>
      </c>
      <c r="Q728" s="294">
        <v>8</v>
      </c>
      <c r="R728" s="294"/>
      <c r="S728" s="294"/>
      <c r="T728" s="294"/>
      <c r="U728" s="294"/>
      <c r="V728" s="431"/>
      <c r="W728" s="294"/>
      <c r="X728" s="294"/>
      <c r="Y728" s="294">
        <f>IF(NFI_Expiration=1,IF($A728&lt;VLOOKUP(H$5,NFI,5,0),1,0)*Table_NFI[[#This Row],[Hygiene Kit]],Table_NFI[Hygiene Kit])</f>
        <v>0</v>
      </c>
      <c r="Z728" s="294">
        <f>IF(NFI_Expiration=1,IF($A728&lt;VLOOKUP(I$5,NFI,5,0),1,0)*Table_NFI[[#This Row],[NFI Core Kit]],Table_NFI[NFI Core Kit])</f>
        <v>0</v>
      </c>
      <c r="AA728" s="294">
        <f>IF(NFI_Expiration=1,IF($A728&lt;VLOOKUP(J$5,NFI,5,0),1,0)*Table_NFI[[#This Row],[Sanitary Kit]],Table_NFI[Sanitary Kit])</f>
        <v>0</v>
      </c>
      <c r="AB728" s="294">
        <f>IF(NFI_Expiration=1,IF($A728&lt;VLOOKUP(K$5,NFI,5,0),1,0)*Table_NFI[[#This Row],[Mosquito net]],Table_NFI[Mosquito net])</f>
        <v>0</v>
      </c>
      <c r="AC728" s="294">
        <f>IF(NFI_Expiration=1,IF($A728&lt;VLOOKUP(L$5,NFI,5,0),1,0)*Table_NFI[[#This Row],[Tarpaulin]],Table_NFI[[#This Row],[Tarpaulin]])</f>
        <v>0</v>
      </c>
      <c r="AD728" s="294">
        <f>IF(NFI_Expiration=1,IF($A728&lt;VLOOKUP(M$5,NFI,5,0),1,0)*Table_NFI[[#This Row],[Blanket]],Table_NFI[[#This Row],[Blanket]])</f>
        <v>0</v>
      </c>
      <c r="AE728" s="294">
        <f>IF(NFI_Expiration=1,IF($A728&lt;VLOOKUP(N$5,NFI,5,0),1,0)*Table_NFI[[#This Row],[Kitchen Set]],Table_NFI[Kitchen Set])</f>
        <v>0</v>
      </c>
      <c r="AF728" s="294">
        <f>IF(NFI_Expiration=1,IF($A728&lt;VLOOKUP(O$5,NFI,5,0),1,0)*Table_NFI[[#This Row],[Clothes Kit]],Table_NFI[Clothes Kit])</f>
        <v>0</v>
      </c>
      <c r="AG728" s="294">
        <f>IF(NFI_Expiration=1,IF($A728&lt;VLOOKUP(P$5,NFI,5,0),1,0)*Table_NFI[[#This Row],[Plastic Bucket]],Table_NFI[Plastic Bucket])</f>
        <v>0</v>
      </c>
      <c r="AH728" s="294">
        <f>IF(NFI_Expiration=1,IF($A728&lt;VLOOKUP(Q$5,NFI,5,0),1,0)*Table_NFI[[#This Row],[Plastic Mat]],Table_NFI[Plastic Mat])*IF(Table_NFI[[#This Row],[Distribution Date]]&gt;"2014-04-01",1,2.5)</f>
        <v>0</v>
      </c>
      <c r="AI728" s="294">
        <f>IF(NFI_Expiration=1,IF($A728&lt;VLOOKUP(R$5,NFI,5,0),1,0)*Table_NFI[[#This Row],[Winter Clothes Adult]],Table_NFI[Winter Clothes Adult])</f>
        <v>0</v>
      </c>
      <c r="AJ728" s="294">
        <f>IF(NFI_Expiration=1,IF($A728&lt;VLOOKUP(S$5,NFI,5,0),1,0)*Table_NFI[[#This Row],[Winter Clothes Children]],Table_NFI[Winter Clothes Children])</f>
        <v>0</v>
      </c>
      <c r="AK728" s="294">
        <f>IF(NFI_Expiration=1,IF($A728&lt;VLOOKUP(T$5,NFI,5,0),1,0)*Table_NFI[[#This Row],[Winter Items Other]],Table_NFI[Winter Items Other])</f>
        <v>0</v>
      </c>
      <c r="AL728" s="294">
        <f>IF(NFI_Expiration=1,IF($A728&lt;VLOOKUP(M$5,NFI,5,0),1,0)*Table_NFI[[#This Row],[Winter Blanket]],Table_NFI[[#This Row],[Winter Blanket]])</f>
        <v>0</v>
      </c>
      <c r="AM728" s="294">
        <f>IF(Table_NFI[[#This Row],[Winter Clothes Adult]]+Table_NFI[[#This Row],[Winter Clothes Children]]+Table_NFI[[#This Row],[Winter Items Other]]+Table_NFI[[#This Row],[Winter Blanket]]&gt;0,1,0)</f>
        <v>0</v>
      </c>
      <c r="AN728" s="331">
        <f>IF(NFI_Expiration=1,IF($A728&lt;VLOOKUP(V$5,NFI,5,0),1,0)*Table_NFI[[#This Row],[Jerry Can]],Table_NFI[Jerry Can])</f>
        <v>0</v>
      </c>
      <c r="AO728" s="331">
        <f>IF(NFI_Expiration=1,IF($A728&lt;VLOOKUP(V$5,NFI,5,0),1,0)*Table_NFI[[#This Row],[Shelter Tool kit]],Table_NFI[Shelter Tool kit])</f>
        <v>0</v>
      </c>
      <c r="AP728" s="331">
        <f>IF(NFI_Expiration=1,IF($A728&lt;VLOOKUP(V$5,NFI,5,0),1,0)*Table_NFI[[#This Row],[Tent]],Table_NFI[Tent])</f>
        <v>0</v>
      </c>
      <c r="AQ728" s="473" t="str">
        <f>IFERROR(VLOOKUP(Table_NFI[[#This Row],[Camp Name]],CL,2,0),"")</f>
        <v>MMR001CMP167</v>
      </c>
      <c r="AR728" s="468">
        <f ca="1">IF(Table_NFI[[#This Row],[Pcode]]="","",IF(OFFSET(CampList[Opening Date],MATCH(Table_NFI[[#This Row],[Pcode]],CampList[CP_Pcode],0)-1,0,1,1)&gt;=NFI_Monitor_Date,1,0))</f>
        <v>0</v>
      </c>
      <c r="AS728" s="473" t="str">
        <f>IFERROR(VLOOKUP(Table_NFI[[#This Row],[Camp Name]],CL,3,0),"")</f>
        <v>Open</v>
      </c>
      <c r="AT728" s="294" t="str">
        <f ca="1">IF(Table_NFI[[#This Row],[Pcode]]="","",OFFSET(CampList[Priority],MATCH(Table_NFI[[#This Row],[Pcode]],CampList[CP_Pcode],0)-1,0,1,1))</f>
        <v>P4</v>
      </c>
      <c r="AU728" s="293">
        <f>IFERROR(Table_NFI[[#This Row],[Kitchen Set]]/VLOOKUP(Table_NFI[[#This Row],[Camp Name]],CL,4,0),"")</f>
        <v>0.53333333333333333</v>
      </c>
      <c r="AV728" s="466" t="s">
        <v>1092</v>
      </c>
      <c r="AW728" s="469"/>
    </row>
    <row r="729" spans="1:49" ht="14.45" customHeight="1" x14ac:dyDescent="0.25">
      <c r="A729" s="297">
        <f t="shared" si="11"/>
        <v>45</v>
      </c>
      <c r="B729" s="465">
        <v>41325</v>
      </c>
      <c r="C729" s="466" t="s">
        <v>452</v>
      </c>
      <c r="D729" s="467" t="s">
        <v>452</v>
      </c>
      <c r="E729" s="466" t="s">
        <v>380</v>
      </c>
      <c r="F729" s="290" t="s">
        <v>527</v>
      </c>
      <c r="G729" s="290" t="s">
        <v>54</v>
      </c>
      <c r="H729" s="291"/>
      <c r="I729" s="291"/>
      <c r="J729" s="291">
        <v>74</v>
      </c>
      <c r="K729" s="291">
        <v>0</v>
      </c>
      <c r="L729" s="292">
        <v>0</v>
      </c>
      <c r="M729" s="292">
        <v>0</v>
      </c>
      <c r="N729" s="292">
        <v>0</v>
      </c>
      <c r="O729" s="292">
        <v>0</v>
      </c>
      <c r="P729" s="294"/>
      <c r="Q729" s="294"/>
      <c r="R729" s="294"/>
      <c r="S729" s="294"/>
      <c r="T729" s="294"/>
      <c r="U729" s="294"/>
      <c r="V729" s="431"/>
      <c r="W729" s="294"/>
      <c r="X729" s="294"/>
      <c r="Y729" s="294">
        <f>IF(NFI_Expiration=1,IF($A729&lt;VLOOKUP(H$5,NFI,5,0),1,0)*Table_NFI[[#This Row],[Hygiene Kit]],Table_NFI[Hygiene Kit])</f>
        <v>0</v>
      </c>
      <c r="Z729" s="294">
        <f>IF(NFI_Expiration=1,IF($A729&lt;VLOOKUP(I$5,NFI,5,0),1,0)*Table_NFI[[#This Row],[NFI Core Kit]],Table_NFI[NFI Core Kit])</f>
        <v>0</v>
      </c>
      <c r="AA729" s="294">
        <f>IF(NFI_Expiration=1,IF($A729&lt;VLOOKUP(J$5,NFI,5,0),1,0)*Table_NFI[[#This Row],[Sanitary Kit]],Table_NFI[Sanitary Kit])</f>
        <v>0</v>
      </c>
      <c r="AB729" s="294">
        <f>IF(NFI_Expiration=1,IF($A729&lt;VLOOKUP(K$5,NFI,5,0),1,0)*Table_NFI[[#This Row],[Mosquito net]],Table_NFI[Mosquito net])</f>
        <v>0</v>
      </c>
      <c r="AC729" s="294">
        <f>IF(NFI_Expiration=1,IF($A729&lt;VLOOKUP(L$5,NFI,5,0),1,0)*Table_NFI[[#This Row],[Tarpaulin]],Table_NFI[[#This Row],[Tarpaulin]])</f>
        <v>0</v>
      </c>
      <c r="AD729" s="294">
        <f>IF(NFI_Expiration=1,IF($A729&lt;VLOOKUP(M$5,NFI,5,0),1,0)*Table_NFI[[#This Row],[Blanket]],Table_NFI[[#This Row],[Blanket]])</f>
        <v>0</v>
      </c>
      <c r="AE729" s="294">
        <f>IF(NFI_Expiration=1,IF($A729&lt;VLOOKUP(N$5,NFI,5,0),1,0)*Table_NFI[[#This Row],[Kitchen Set]],Table_NFI[Kitchen Set])</f>
        <v>0</v>
      </c>
      <c r="AF729" s="294">
        <f>IF(NFI_Expiration=1,IF($A729&lt;VLOOKUP(O$5,NFI,5,0),1,0)*Table_NFI[[#This Row],[Clothes Kit]],Table_NFI[Clothes Kit])</f>
        <v>0</v>
      </c>
      <c r="AG729" s="294">
        <f>IF(NFI_Expiration=1,IF($A729&lt;VLOOKUP(P$5,NFI,5,0),1,0)*Table_NFI[[#This Row],[Plastic Bucket]],Table_NFI[Plastic Bucket])</f>
        <v>0</v>
      </c>
      <c r="AH729" s="294">
        <f>IF(NFI_Expiration=1,IF($A729&lt;VLOOKUP(Q$5,NFI,5,0),1,0)*Table_NFI[[#This Row],[Plastic Mat]],Table_NFI[Plastic Mat])*IF(Table_NFI[[#This Row],[Distribution Date]]&gt;"2014-04-01",1,2.5)</f>
        <v>0</v>
      </c>
      <c r="AI729" s="294">
        <f>IF(NFI_Expiration=1,IF($A729&lt;VLOOKUP(R$5,NFI,5,0),1,0)*Table_NFI[[#This Row],[Winter Clothes Adult]],Table_NFI[Winter Clothes Adult])</f>
        <v>0</v>
      </c>
      <c r="AJ729" s="294">
        <f>IF(NFI_Expiration=1,IF($A729&lt;VLOOKUP(S$5,NFI,5,0),1,0)*Table_NFI[[#This Row],[Winter Clothes Children]],Table_NFI[Winter Clothes Children])</f>
        <v>0</v>
      </c>
      <c r="AK729" s="294">
        <f>IF(NFI_Expiration=1,IF($A729&lt;VLOOKUP(T$5,NFI,5,0),1,0)*Table_NFI[[#This Row],[Winter Items Other]],Table_NFI[Winter Items Other])</f>
        <v>0</v>
      </c>
      <c r="AL729" s="294">
        <f>IF(NFI_Expiration=1,IF($A729&lt;VLOOKUP(M$5,NFI,5,0),1,0)*Table_NFI[[#This Row],[Winter Blanket]],Table_NFI[[#This Row],[Winter Blanket]])</f>
        <v>0</v>
      </c>
      <c r="AM729" s="294">
        <f>IF(Table_NFI[[#This Row],[Winter Clothes Adult]]+Table_NFI[[#This Row],[Winter Clothes Children]]+Table_NFI[[#This Row],[Winter Items Other]]+Table_NFI[[#This Row],[Winter Blanket]]&gt;0,1,0)</f>
        <v>0</v>
      </c>
      <c r="AN729" s="331">
        <f>IF(NFI_Expiration=1,IF($A729&lt;VLOOKUP(V$5,NFI,5,0),1,0)*Table_NFI[[#This Row],[Jerry Can]],Table_NFI[Jerry Can])</f>
        <v>0</v>
      </c>
      <c r="AO729" s="331">
        <f>IF(NFI_Expiration=1,IF($A729&lt;VLOOKUP(V$5,NFI,5,0),1,0)*Table_NFI[[#This Row],[Shelter Tool kit]],Table_NFI[Shelter Tool kit])</f>
        <v>0</v>
      </c>
      <c r="AP729" s="331">
        <f>IF(NFI_Expiration=1,IF($A729&lt;VLOOKUP(V$5,NFI,5,0),1,0)*Table_NFI[[#This Row],[Tent]],Table_NFI[Tent])</f>
        <v>0</v>
      </c>
      <c r="AQ729" s="473" t="str">
        <f>IFERROR(VLOOKUP(Table_NFI[[#This Row],[Camp Name]],CL,2,0),"")</f>
        <v>MMR001CMP094</v>
      </c>
      <c r="AR729" s="468">
        <f ca="1">IF(Table_NFI[[#This Row],[Pcode]]="","",IF(OFFSET(CampList[Opening Date],MATCH(Table_NFI[[#This Row],[Pcode]],CampList[CP_Pcode],0)-1,0,1,1)&gt;=NFI_Monitor_Date,1,0))</f>
        <v>0</v>
      </c>
      <c r="AS729" s="473" t="str">
        <f>IFERROR(VLOOKUP(Table_NFI[[#This Row],[Camp Name]],CL,3,0),"")</f>
        <v>Closed</v>
      </c>
      <c r="AT729" s="294" t="str">
        <f ca="1">IF(Table_NFI[[#This Row],[Pcode]]="","",OFFSET(CampList[Priority],MATCH(Table_NFI[[#This Row],[Pcode]],CampList[CP_Pcode],0)-1,0,1,1))</f>
        <v/>
      </c>
      <c r="AU729" s="293" t="str">
        <f>IFERROR(Table_NFI[[#This Row],[Kitchen Set]]/VLOOKUP(Table_NFI[[#This Row],[Camp Name]],CL,4,0),"")</f>
        <v/>
      </c>
      <c r="AV729" s="466" t="s">
        <v>1092</v>
      </c>
      <c r="AW729" s="469"/>
    </row>
    <row r="730" spans="1:49" ht="14.45" customHeight="1" x14ac:dyDescent="0.25">
      <c r="A730" s="297">
        <f t="shared" si="11"/>
        <v>45</v>
      </c>
      <c r="B730" s="465">
        <v>41325</v>
      </c>
      <c r="C730" s="466" t="s">
        <v>452</v>
      </c>
      <c r="D730" s="467" t="s">
        <v>452</v>
      </c>
      <c r="E730" s="466" t="s">
        <v>380</v>
      </c>
      <c r="F730" s="290" t="s">
        <v>527</v>
      </c>
      <c r="G730" s="290" t="s">
        <v>66</v>
      </c>
      <c r="H730" s="291"/>
      <c r="I730" s="291"/>
      <c r="J730" s="291">
        <v>16</v>
      </c>
      <c r="K730" s="291">
        <v>26</v>
      </c>
      <c r="L730" s="292">
        <v>13</v>
      </c>
      <c r="M730" s="292">
        <v>26</v>
      </c>
      <c r="N730" s="292">
        <v>13</v>
      </c>
      <c r="O730" s="292">
        <v>13</v>
      </c>
      <c r="P730" s="294">
        <v>13</v>
      </c>
      <c r="Q730" s="294">
        <v>13</v>
      </c>
      <c r="R730" s="294"/>
      <c r="S730" s="294"/>
      <c r="T730" s="294"/>
      <c r="U730" s="294"/>
      <c r="V730" s="431"/>
      <c r="W730" s="294"/>
      <c r="X730" s="294"/>
      <c r="Y730" s="294">
        <f>IF(NFI_Expiration=1,IF($A730&lt;VLOOKUP(H$5,NFI,5,0),1,0)*Table_NFI[[#This Row],[Hygiene Kit]],Table_NFI[Hygiene Kit])</f>
        <v>0</v>
      </c>
      <c r="Z730" s="294">
        <f>IF(NFI_Expiration=1,IF($A730&lt;VLOOKUP(I$5,NFI,5,0),1,0)*Table_NFI[[#This Row],[NFI Core Kit]],Table_NFI[NFI Core Kit])</f>
        <v>0</v>
      </c>
      <c r="AA730" s="294">
        <f>IF(NFI_Expiration=1,IF($A730&lt;VLOOKUP(J$5,NFI,5,0),1,0)*Table_NFI[[#This Row],[Sanitary Kit]],Table_NFI[Sanitary Kit])</f>
        <v>0</v>
      </c>
      <c r="AB730" s="294">
        <f>IF(NFI_Expiration=1,IF($A730&lt;VLOOKUP(K$5,NFI,5,0),1,0)*Table_NFI[[#This Row],[Mosquito net]],Table_NFI[Mosquito net])</f>
        <v>0</v>
      </c>
      <c r="AC730" s="294">
        <f>IF(NFI_Expiration=1,IF($A730&lt;VLOOKUP(L$5,NFI,5,0),1,0)*Table_NFI[[#This Row],[Tarpaulin]],Table_NFI[[#This Row],[Tarpaulin]])</f>
        <v>0</v>
      </c>
      <c r="AD730" s="294">
        <f>IF(NFI_Expiration=1,IF($A730&lt;VLOOKUP(M$5,NFI,5,0),1,0)*Table_NFI[[#This Row],[Blanket]],Table_NFI[[#This Row],[Blanket]])</f>
        <v>0</v>
      </c>
      <c r="AE730" s="294">
        <f>IF(NFI_Expiration=1,IF($A730&lt;VLOOKUP(N$5,NFI,5,0),1,0)*Table_NFI[[#This Row],[Kitchen Set]],Table_NFI[Kitchen Set])</f>
        <v>0</v>
      </c>
      <c r="AF730" s="294">
        <f>IF(NFI_Expiration=1,IF($A730&lt;VLOOKUP(O$5,NFI,5,0),1,0)*Table_NFI[[#This Row],[Clothes Kit]],Table_NFI[Clothes Kit])</f>
        <v>0</v>
      </c>
      <c r="AG730" s="294">
        <f>IF(NFI_Expiration=1,IF($A730&lt;VLOOKUP(P$5,NFI,5,0),1,0)*Table_NFI[[#This Row],[Plastic Bucket]],Table_NFI[Plastic Bucket])</f>
        <v>0</v>
      </c>
      <c r="AH730" s="294">
        <f>IF(NFI_Expiration=1,IF($A730&lt;VLOOKUP(Q$5,NFI,5,0),1,0)*Table_NFI[[#This Row],[Plastic Mat]],Table_NFI[Plastic Mat])*IF(Table_NFI[[#This Row],[Distribution Date]]&gt;"2014-04-01",1,2.5)</f>
        <v>0</v>
      </c>
      <c r="AI730" s="294">
        <f>IF(NFI_Expiration=1,IF($A730&lt;VLOOKUP(R$5,NFI,5,0),1,0)*Table_NFI[[#This Row],[Winter Clothes Adult]],Table_NFI[Winter Clothes Adult])</f>
        <v>0</v>
      </c>
      <c r="AJ730" s="294">
        <f>IF(NFI_Expiration=1,IF($A730&lt;VLOOKUP(S$5,NFI,5,0),1,0)*Table_NFI[[#This Row],[Winter Clothes Children]],Table_NFI[Winter Clothes Children])</f>
        <v>0</v>
      </c>
      <c r="AK730" s="294">
        <f>IF(NFI_Expiration=1,IF($A730&lt;VLOOKUP(T$5,NFI,5,0),1,0)*Table_NFI[[#This Row],[Winter Items Other]],Table_NFI[Winter Items Other])</f>
        <v>0</v>
      </c>
      <c r="AL730" s="294">
        <f>IF(NFI_Expiration=1,IF($A730&lt;VLOOKUP(M$5,NFI,5,0),1,0)*Table_NFI[[#This Row],[Winter Blanket]],Table_NFI[[#This Row],[Winter Blanket]])</f>
        <v>0</v>
      </c>
      <c r="AM730" s="294">
        <f>IF(Table_NFI[[#This Row],[Winter Clothes Adult]]+Table_NFI[[#This Row],[Winter Clothes Children]]+Table_NFI[[#This Row],[Winter Items Other]]+Table_NFI[[#This Row],[Winter Blanket]]&gt;0,1,0)</f>
        <v>0</v>
      </c>
      <c r="AN730" s="331">
        <f>IF(NFI_Expiration=1,IF($A730&lt;VLOOKUP(V$5,NFI,5,0),1,0)*Table_NFI[[#This Row],[Jerry Can]],Table_NFI[Jerry Can])</f>
        <v>0</v>
      </c>
      <c r="AO730" s="331">
        <f>IF(NFI_Expiration=1,IF($A730&lt;VLOOKUP(V$5,NFI,5,0),1,0)*Table_NFI[[#This Row],[Shelter Tool kit]],Table_NFI[Shelter Tool kit])</f>
        <v>0</v>
      </c>
      <c r="AP730" s="331">
        <f>IF(NFI_Expiration=1,IF($A730&lt;VLOOKUP(V$5,NFI,5,0),1,0)*Table_NFI[[#This Row],[Tent]],Table_NFI[Tent])</f>
        <v>0</v>
      </c>
      <c r="AQ730" s="473" t="str">
        <f>IFERROR(VLOOKUP(Table_NFI[[#This Row],[Camp Name]],CL,2,0),"")</f>
        <v>MMR001CMP093</v>
      </c>
      <c r="AR730" s="468">
        <f ca="1">IF(Table_NFI[[#This Row],[Pcode]]="","",IF(OFFSET(CampList[Opening Date],MATCH(Table_NFI[[#This Row],[Pcode]],CampList[CP_Pcode],0)-1,0,1,1)&gt;=NFI_Monitor_Date,1,0))</f>
        <v>0</v>
      </c>
      <c r="AS730" s="473" t="str">
        <f>IFERROR(VLOOKUP(Table_NFI[[#This Row],[Camp Name]],CL,3,0),"")</f>
        <v>Closed</v>
      </c>
      <c r="AT730" s="294" t="str">
        <f ca="1">IF(Table_NFI[[#This Row],[Pcode]]="","",OFFSET(CampList[Priority],MATCH(Table_NFI[[#This Row],[Pcode]],CampList[CP_Pcode],0)-1,0,1,1))</f>
        <v/>
      </c>
      <c r="AU730" s="293" t="str">
        <f>IFERROR(Table_NFI[[#This Row],[Kitchen Set]]/VLOOKUP(Table_NFI[[#This Row],[Camp Name]],CL,4,0),"")</f>
        <v/>
      </c>
      <c r="AV730" s="466" t="s">
        <v>1092</v>
      </c>
      <c r="AW730" s="469"/>
    </row>
    <row r="731" spans="1:49" ht="14.45" customHeight="1" x14ac:dyDescent="0.25">
      <c r="A731" s="297">
        <f t="shared" si="11"/>
        <v>45</v>
      </c>
      <c r="B731" s="465">
        <v>41325</v>
      </c>
      <c r="C731" s="466" t="s">
        <v>452</v>
      </c>
      <c r="D731" s="466" t="s">
        <v>452</v>
      </c>
      <c r="E731" s="466" t="s">
        <v>380</v>
      </c>
      <c r="F731" s="466" t="s">
        <v>527</v>
      </c>
      <c r="G731" s="290" t="s">
        <v>84</v>
      </c>
      <c r="H731" s="291"/>
      <c r="I731" s="291"/>
      <c r="J731" s="291">
        <v>85</v>
      </c>
      <c r="K731" s="291">
        <v>138</v>
      </c>
      <c r="L731" s="292">
        <v>65</v>
      </c>
      <c r="M731" s="292">
        <v>138</v>
      </c>
      <c r="N731" s="292">
        <v>65</v>
      </c>
      <c r="O731" s="292">
        <v>65</v>
      </c>
      <c r="P731" s="294">
        <v>65</v>
      </c>
      <c r="Q731" s="294">
        <v>65</v>
      </c>
      <c r="R731" s="294"/>
      <c r="S731" s="294"/>
      <c r="T731" s="294"/>
      <c r="U731" s="294"/>
      <c r="V731" s="431"/>
      <c r="W731" s="294"/>
      <c r="X731" s="294"/>
      <c r="Y731" s="294">
        <f>IF(NFI_Expiration=1,IF($A731&lt;VLOOKUP(H$5,NFI,5,0),1,0)*Table_NFI[[#This Row],[Hygiene Kit]],Table_NFI[Hygiene Kit])</f>
        <v>0</v>
      </c>
      <c r="Z731" s="294">
        <f>IF(NFI_Expiration=1,IF($A731&lt;VLOOKUP(I$5,NFI,5,0),1,0)*Table_NFI[[#This Row],[NFI Core Kit]],Table_NFI[NFI Core Kit])</f>
        <v>0</v>
      </c>
      <c r="AA731" s="294">
        <f>IF(NFI_Expiration=1,IF($A731&lt;VLOOKUP(J$5,NFI,5,0),1,0)*Table_NFI[[#This Row],[Sanitary Kit]],Table_NFI[Sanitary Kit])</f>
        <v>0</v>
      </c>
      <c r="AB731" s="294">
        <f>IF(NFI_Expiration=1,IF($A731&lt;VLOOKUP(K$5,NFI,5,0),1,0)*Table_NFI[[#This Row],[Mosquito net]],Table_NFI[Mosquito net])</f>
        <v>0</v>
      </c>
      <c r="AC731" s="294">
        <f>IF(NFI_Expiration=1,IF($A731&lt;VLOOKUP(L$5,NFI,5,0),1,0)*Table_NFI[[#This Row],[Tarpaulin]],Table_NFI[[#This Row],[Tarpaulin]])</f>
        <v>0</v>
      </c>
      <c r="AD731" s="294">
        <f>IF(NFI_Expiration=1,IF($A731&lt;VLOOKUP(M$5,NFI,5,0),1,0)*Table_NFI[[#This Row],[Blanket]],Table_NFI[[#This Row],[Blanket]])</f>
        <v>0</v>
      </c>
      <c r="AE731" s="294">
        <f>IF(NFI_Expiration=1,IF($A731&lt;VLOOKUP(N$5,NFI,5,0),1,0)*Table_NFI[[#This Row],[Kitchen Set]],Table_NFI[Kitchen Set])</f>
        <v>0</v>
      </c>
      <c r="AF731" s="294">
        <f>IF(NFI_Expiration=1,IF($A731&lt;VLOOKUP(O$5,NFI,5,0),1,0)*Table_NFI[[#This Row],[Clothes Kit]],Table_NFI[Clothes Kit])</f>
        <v>0</v>
      </c>
      <c r="AG731" s="294">
        <f>IF(NFI_Expiration=1,IF($A731&lt;VLOOKUP(P$5,NFI,5,0),1,0)*Table_NFI[[#This Row],[Plastic Bucket]],Table_NFI[Plastic Bucket])</f>
        <v>0</v>
      </c>
      <c r="AH731" s="294">
        <f>IF(NFI_Expiration=1,IF($A731&lt;VLOOKUP(Q$5,NFI,5,0),1,0)*Table_NFI[[#This Row],[Plastic Mat]],Table_NFI[Plastic Mat])*IF(Table_NFI[[#This Row],[Distribution Date]]&gt;"2014-04-01",1,2.5)</f>
        <v>0</v>
      </c>
      <c r="AI731" s="294">
        <f>IF(NFI_Expiration=1,IF($A731&lt;VLOOKUP(R$5,NFI,5,0),1,0)*Table_NFI[[#This Row],[Winter Clothes Adult]],Table_NFI[Winter Clothes Adult])</f>
        <v>0</v>
      </c>
      <c r="AJ731" s="294">
        <f>IF(NFI_Expiration=1,IF($A731&lt;VLOOKUP(S$5,NFI,5,0),1,0)*Table_NFI[[#This Row],[Winter Clothes Children]],Table_NFI[Winter Clothes Children])</f>
        <v>0</v>
      </c>
      <c r="AK731" s="294">
        <f>IF(NFI_Expiration=1,IF($A731&lt;VLOOKUP(T$5,NFI,5,0),1,0)*Table_NFI[[#This Row],[Winter Items Other]],Table_NFI[Winter Items Other])</f>
        <v>0</v>
      </c>
      <c r="AL731" s="294">
        <f>IF(NFI_Expiration=1,IF($A731&lt;VLOOKUP(M$5,NFI,5,0),1,0)*Table_NFI[[#This Row],[Winter Blanket]],Table_NFI[[#This Row],[Winter Blanket]])</f>
        <v>0</v>
      </c>
      <c r="AM731" s="294">
        <f>IF(Table_NFI[[#This Row],[Winter Clothes Adult]]+Table_NFI[[#This Row],[Winter Clothes Children]]+Table_NFI[[#This Row],[Winter Items Other]]+Table_NFI[[#This Row],[Winter Blanket]]&gt;0,1,0)</f>
        <v>0</v>
      </c>
      <c r="AN731" s="331">
        <f>IF(NFI_Expiration=1,IF($A731&lt;VLOOKUP(V$5,NFI,5,0),1,0)*Table_NFI[[#This Row],[Jerry Can]],Table_NFI[Jerry Can])</f>
        <v>0</v>
      </c>
      <c r="AO731" s="331">
        <f>IF(NFI_Expiration=1,IF($A731&lt;VLOOKUP(V$5,NFI,5,0),1,0)*Table_NFI[[#This Row],[Shelter Tool kit]],Table_NFI[Shelter Tool kit])</f>
        <v>0</v>
      </c>
      <c r="AP731" s="331">
        <f>IF(NFI_Expiration=1,IF($A731&lt;VLOOKUP(V$5,NFI,5,0),1,0)*Table_NFI[[#This Row],[Tent]],Table_NFI[Tent])</f>
        <v>0</v>
      </c>
      <c r="AQ731" s="473" t="str">
        <f>IFERROR(VLOOKUP(Table_NFI[[#This Row],[Camp Name]],CL,2,0),"")</f>
        <v>MMR001CMP085</v>
      </c>
      <c r="AR731" s="468">
        <f ca="1">IF(Table_NFI[[#This Row],[Pcode]]="","",IF(OFFSET(CampList[Opening Date],MATCH(Table_NFI[[#This Row],[Pcode]],CampList[CP_Pcode],0)-1,0,1,1)&gt;=NFI_Monitor_Date,1,0))</f>
        <v>0</v>
      </c>
      <c r="AS731" s="473" t="str">
        <f>IFERROR(VLOOKUP(Table_NFI[[#This Row],[Camp Name]],CL,3,0),"")</f>
        <v>Closed</v>
      </c>
      <c r="AT731" s="294" t="str">
        <f ca="1">IF(Table_NFI[[#This Row],[Pcode]]="","",OFFSET(CampList[Priority],MATCH(Table_NFI[[#This Row],[Pcode]],CampList[CP_Pcode],0)-1,0,1,1))</f>
        <v/>
      </c>
      <c r="AU731" s="293" t="str">
        <f>IFERROR(Table_NFI[[#This Row],[Kitchen Set]]/VLOOKUP(Table_NFI[[#This Row],[Camp Name]],CL,4,0),"")</f>
        <v/>
      </c>
      <c r="AV731" s="466" t="s">
        <v>1092</v>
      </c>
      <c r="AW731" s="469"/>
    </row>
    <row r="732" spans="1:49" ht="14.45" customHeight="1" x14ac:dyDescent="0.25">
      <c r="A732" s="297">
        <f t="shared" si="11"/>
        <v>45</v>
      </c>
      <c r="B732" s="465">
        <v>41325</v>
      </c>
      <c r="C732" s="466" t="s">
        <v>452</v>
      </c>
      <c r="D732" s="467" t="s">
        <v>452</v>
      </c>
      <c r="E732" s="466" t="s">
        <v>380</v>
      </c>
      <c r="F732" s="290" t="s">
        <v>527</v>
      </c>
      <c r="G732" s="290" t="s">
        <v>108</v>
      </c>
      <c r="H732" s="291"/>
      <c r="I732" s="296"/>
      <c r="J732" s="289">
        <v>35</v>
      </c>
      <c r="K732" s="289">
        <v>0</v>
      </c>
      <c r="L732" s="289">
        <v>0</v>
      </c>
      <c r="M732" s="289">
        <v>0</v>
      </c>
      <c r="N732" s="289">
        <v>0</v>
      </c>
      <c r="O732" s="289">
        <v>0</v>
      </c>
      <c r="P732" s="294"/>
      <c r="Q732" s="294"/>
      <c r="R732" s="294"/>
      <c r="S732" s="294"/>
      <c r="T732" s="294"/>
      <c r="U732" s="294"/>
      <c r="V732" s="431"/>
      <c r="W732" s="294"/>
      <c r="X732" s="294"/>
      <c r="Y732" s="294">
        <f>IF(NFI_Expiration=1,IF($A732&lt;VLOOKUP(H$5,NFI,5,0),1,0)*Table_NFI[[#This Row],[Hygiene Kit]],Table_NFI[Hygiene Kit])</f>
        <v>0</v>
      </c>
      <c r="Z732" s="294">
        <f>IF(NFI_Expiration=1,IF($A732&lt;VLOOKUP(I$5,NFI,5,0),1,0)*Table_NFI[[#This Row],[NFI Core Kit]],Table_NFI[NFI Core Kit])</f>
        <v>0</v>
      </c>
      <c r="AA732" s="294">
        <f>IF(NFI_Expiration=1,IF($A732&lt;VLOOKUP(J$5,NFI,5,0),1,0)*Table_NFI[[#This Row],[Sanitary Kit]],Table_NFI[Sanitary Kit])</f>
        <v>0</v>
      </c>
      <c r="AB732" s="294">
        <f>IF(NFI_Expiration=1,IF($A732&lt;VLOOKUP(K$5,NFI,5,0),1,0)*Table_NFI[[#This Row],[Mosquito net]],Table_NFI[Mosquito net])</f>
        <v>0</v>
      </c>
      <c r="AC732" s="294">
        <f>IF(NFI_Expiration=1,IF($A732&lt;VLOOKUP(L$5,NFI,5,0),1,0)*Table_NFI[[#This Row],[Tarpaulin]],Table_NFI[[#This Row],[Tarpaulin]])</f>
        <v>0</v>
      </c>
      <c r="AD732" s="294">
        <f>IF(NFI_Expiration=1,IF($A732&lt;VLOOKUP(M$5,NFI,5,0),1,0)*Table_NFI[[#This Row],[Blanket]],Table_NFI[[#This Row],[Blanket]])</f>
        <v>0</v>
      </c>
      <c r="AE732" s="294">
        <f>IF(NFI_Expiration=1,IF($A732&lt;VLOOKUP(N$5,NFI,5,0),1,0)*Table_NFI[[#This Row],[Kitchen Set]],Table_NFI[Kitchen Set])</f>
        <v>0</v>
      </c>
      <c r="AF732" s="294">
        <f>IF(NFI_Expiration=1,IF($A732&lt;VLOOKUP(O$5,NFI,5,0),1,0)*Table_NFI[[#This Row],[Clothes Kit]],Table_NFI[Clothes Kit])</f>
        <v>0</v>
      </c>
      <c r="AG732" s="294">
        <f>IF(NFI_Expiration=1,IF($A732&lt;VLOOKUP(P$5,NFI,5,0),1,0)*Table_NFI[[#This Row],[Plastic Bucket]],Table_NFI[Plastic Bucket])</f>
        <v>0</v>
      </c>
      <c r="AH732" s="294">
        <f>IF(NFI_Expiration=1,IF($A732&lt;VLOOKUP(Q$5,NFI,5,0),1,0)*Table_NFI[[#This Row],[Plastic Mat]],Table_NFI[Plastic Mat])*IF(Table_NFI[[#This Row],[Distribution Date]]&gt;"2014-04-01",1,2.5)</f>
        <v>0</v>
      </c>
      <c r="AI732" s="294">
        <f>IF(NFI_Expiration=1,IF($A732&lt;VLOOKUP(R$5,NFI,5,0),1,0)*Table_NFI[[#This Row],[Winter Clothes Adult]],Table_NFI[Winter Clothes Adult])</f>
        <v>0</v>
      </c>
      <c r="AJ732" s="294">
        <f>IF(NFI_Expiration=1,IF($A732&lt;VLOOKUP(S$5,NFI,5,0),1,0)*Table_NFI[[#This Row],[Winter Clothes Children]],Table_NFI[Winter Clothes Children])</f>
        <v>0</v>
      </c>
      <c r="AK732" s="294">
        <f>IF(NFI_Expiration=1,IF($A732&lt;VLOOKUP(T$5,NFI,5,0),1,0)*Table_NFI[[#This Row],[Winter Items Other]],Table_NFI[Winter Items Other])</f>
        <v>0</v>
      </c>
      <c r="AL732" s="294">
        <f>IF(NFI_Expiration=1,IF($A732&lt;VLOOKUP(M$5,NFI,5,0),1,0)*Table_NFI[[#This Row],[Winter Blanket]],Table_NFI[[#This Row],[Winter Blanket]])</f>
        <v>0</v>
      </c>
      <c r="AM732" s="294">
        <f>IF(Table_NFI[[#This Row],[Winter Clothes Adult]]+Table_NFI[[#This Row],[Winter Clothes Children]]+Table_NFI[[#This Row],[Winter Items Other]]+Table_NFI[[#This Row],[Winter Blanket]]&gt;0,1,0)</f>
        <v>0</v>
      </c>
      <c r="AN732" s="331">
        <f>IF(NFI_Expiration=1,IF($A732&lt;VLOOKUP(V$5,NFI,5,0),1,0)*Table_NFI[[#This Row],[Jerry Can]],Table_NFI[Jerry Can])</f>
        <v>0</v>
      </c>
      <c r="AO732" s="331">
        <f>IF(NFI_Expiration=1,IF($A732&lt;VLOOKUP(V$5,NFI,5,0),1,0)*Table_NFI[[#This Row],[Shelter Tool kit]],Table_NFI[Shelter Tool kit])</f>
        <v>0</v>
      </c>
      <c r="AP732" s="331">
        <f>IF(NFI_Expiration=1,IF($A732&lt;VLOOKUP(V$5,NFI,5,0),1,0)*Table_NFI[[#This Row],[Tent]],Table_NFI[Tent])</f>
        <v>0</v>
      </c>
      <c r="AQ732" s="473" t="str">
        <f>IFERROR(VLOOKUP(Table_NFI[[#This Row],[Camp Name]],CL,2,0),"")</f>
        <v>MMR001CMP103</v>
      </c>
      <c r="AR732" s="468">
        <f ca="1">IF(Table_NFI[[#This Row],[Pcode]]="","",IF(OFFSET(CampList[Opening Date],MATCH(Table_NFI[[#This Row],[Pcode]],CampList[CP_Pcode],0)-1,0,1,1)&gt;=NFI_Monitor_Date,1,0))</f>
        <v>0</v>
      </c>
      <c r="AS732" s="473" t="str">
        <f>IFERROR(VLOOKUP(Table_NFI[[#This Row],[Camp Name]],CL,3,0),"")</f>
        <v>Open</v>
      </c>
      <c r="AT732" s="294" t="str">
        <f ca="1">IF(Table_NFI[[#This Row],[Pcode]]="","",OFFSET(CampList[Priority],MATCH(Table_NFI[[#This Row],[Pcode]],CampList[CP_Pcode],0)-1,0,1,1))</f>
        <v>P4</v>
      </c>
      <c r="AU732" s="293">
        <f>IFERROR(Table_NFI[[#This Row],[Kitchen Set]]/VLOOKUP(Table_NFI[[#This Row],[Camp Name]],CL,4,0),"")</f>
        <v>0</v>
      </c>
      <c r="AV732" s="466" t="s">
        <v>1092</v>
      </c>
      <c r="AW732" s="469"/>
    </row>
    <row r="733" spans="1:49" ht="14.45" customHeight="1" x14ac:dyDescent="0.25">
      <c r="A733" s="297">
        <f t="shared" si="11"/>
        <v>45</v>
      </c>
      <c r="B733" s="465">
        <v>41325</v>
      </c>
      <c r="C733" s="466" t="s">
        <v>452</v>
      </c>
      <c r="D733" s="467" t="s">
        <v>452</v>
      </c>
      <c r="E733" s="466" t="s">
        <v>380</v>
      </c>
      <c r="F733" s="290" t="s">
        <v>527</v>
      </c>
      <c r="G733" s="290" t="s">
        <v>108</v>
      </c>
      <c r="H733" s="291"/>
      <c r="I733" s="296"/>
      <c r="J733" s="289">
        <v>32</v>
      </c>
      <c r="K733" s="289">
        <v>64</v>
      </c>
      <c r="L733" s="289">
        <v>33</v>
      </c>
      <c r="M733" s="289">
        <v>64</v>
      </c>
      <c r="N733" s="289">
        <v>33</v>
      </c>
      <c r="O733" s="289">
        <v>33</v>
      </c>
      <c r="P733" s="294">
        <v>33</v>
      </c>
      <c r="Q733" s="294">
        <v>33</v>
      </c>
      <c r="R733" s="294"/>
      <c r="S733" s="294"/>
      <c r="T733" s="294"/>
      <c r="U733" s="294"/>
      <c r="V733" s="431"/>
      <c r="W733" s="294"/>
      <c r="X733" s="294"/>
      <c r="Y733" s="294">
        <f>IF(NFI_Expiration=1,IF($A733&lt;VLOOKUP(H$5,NFI,5,0),1,0)*Table_NFI[[#This Row],[Hygiene Kit]],Table_NFI[Hygiene Kit])</f>
        <v>0</v>
      </c>
      <c r="Z733" s="294">
        <f>IF(NFI_Expiration=1,IF($A733&lt;VLOOKUP(I$5,NFI,5,0),1,0)*Table_NFI[[#This Row],[NFI Core Kit]],Table_NFI[NFI Core Kit])</f>
        <v>0</v>
      </c>
      <c r="AA733" s="294">
        <f>IF(NFI_Expiration=1,IF($A733&lt;VLOOKUP(J$5,NFI,5,0),1,0)*Table_NFI[[#This Row],[Sanitary Kit]],Table_NFI[Sanitary Kit])</f>
        <v>0</v>
      </c>
      <c r="AB733" s="294">
        <f>IF(NFI_Expiration=1,IF($A733&lt;VLOOKUP(K$5,NFI,5,0),1,0)*Table_NFI[[#This Row],[Mosquito net]],Table_NFI[Mosquito net])</f>
        <v>0</v>
      </c>
      <c r="AC733" s="294">
        <f>IF(NFI_Expiration=1,IF($A733&lt;VLOOKUP(L$5,NFI,5,0),1,0)*Table_NFI[[#This Row],[Tarpaulin]],Table_NFI[[#This Row],[Tarpaulin]])</f>
        <v>0</v>
      </c>
      <c r="AD733" s="294">
        <f>IF(NFI_Expiration=1,IF($A733&lt;VLOOKUP(M$5,NFI,5,0),1,0)*Table_NFI[[#This Row],[Blanket]],Table_NFI[[#This Row],[Blanket]])</f>
        <v>0</v>
      </c>
      <c r="AE733" s="294">
        <f>IF(NFI_Expiration=1,IF($A733&lt;VLOOKUP(N$5,NFI,5,0),1,0)*Table_NFI[[#This Row],[Kitchen Set]],Table_NFI[Kitchen Set])</f>
        <v>0</v>
      </c>
      <c r="AF733" s="294">
        <f>IF(NFI_Expiration=1,IF($A733&lt;VLOOKUP(O$5,NFI,5,0),1,0)*Table_NFI[[#This Row],[Clothes Kit]],Table_NFI[Clothes Kit])</f>
        <v>0</v>
      </c>
      <c r="AG733" s="294">
        <f>IF(NFI_Expiration=1,IF($A733&lt;VLOOKUP(P$5,NFI,5,0),1,0)*Table_NFI[[#This Row],[Plastic Bucket]],Table_NFI[Plastic Bucket])</f>
        <v>0</v>
      </c>
      <c r="AH733" s="294">
        <f>IF(NFI_Expiration=1,IF($A733&lt;VLOOKUP(Q$5,NFI,5,0),1,0)*Table_NFI[[#This Row],[Plastic Mat]],Table_NFI[Plastic Mat])*IF(Table_NFI[[#This Row],[Distribution Date]]&gt;"2014-04-01",1,2.5)</f>
        <v>0</v>
      </c>
      <c r="AI733" s="294">
        <f>IF(NFI_Expiration=1,IF($A733&lt;VLOOKUP(R$5,NFI,5,0),1,0)*Table_NFI[[#This Row],[Winter Clothes Adult]],Table_NFI[Winter Clothes Adult])</f>
        <v>0</v>
      </c>
      <c r="AJ733" s="294">
        <f>IF(NFI_Expiration=1,IF($A733&lt;VLOOKUP(S$5,NFI,5,0),1,0)*Table_NFI[[#This Row],[Winter Clothes Children]],Table_NFI[Winter Clothes Children])</f>
        <v>0</v>
      </c>
      <c r="AK733" s="294">
        <f>IF(NFI_Expiration=1,IF($A733&lt;VLOOKUP(T$5,NFI,5,0),1,0)*Table_NFI[[#This Row],[Winter Items Other]],Table_NFI[Winter Items Other])</f>
        <v>0</v>
      </c>
      <c r="AL733" s="294">
        <f>IF(NFI_Expiration=1,IF($A733&lt;VLOOKUP(M$5,NFI,5,0),1,0)*Table_NFI[[#This Row],[Winter Blanket]],Table_NFI[[#This Row],[Winter Blanket]])</f>
        <v>0</v>
      </c>
      <c r="AM733" s="294">
        <f>IF(Table_NFI[[#This Row],[Winter Clothes Adult]]+Table_NFI[[#This Row],[Winter Clothes Children]]+Table_NFI[[#This Row],[Winter Items Other]]+Table_NFI[[#This Row],[Winter Blanket]]&gt;0,1,0)</f>
        <v>0</v>
      </c>
      <c r="AN733" s="331">
        <f>IF(NFI_Expiration=1,IF($A733&lt;VLOOKUP(V$5,NFI,5,0),1,0)*Table_NFI[[#This Row],[Jerry Can]],Table_NFI[Jerry Can])</f>
        <v>0</v>
      </c>
      <c r="AO733" s="331">
        <f>IF(NFI_Expiration=1,IF($A733&lt;VLOOKUP(V$5,NFI,5,0),1,0)*Table_NFI[[#This Row],[Shelter Tool kit]],Table_NFI[Shelter Tool kit])</f>
        <v>0</v>
      </c>
      <c r="AP733" s="331">
        <f>IF(NFI_Expiration=1,IF($A733&lt;VLOOKUP(V$5,NFI,5,0),1,0)*Table_NFI[[#This Row],[Tent]],Table_NFI[Tent])</f>
        <v>0</v>
      </c>
      <c r="AQ733" s="473" t="str">
        <f>IFERROR(VLOOKUP(Table_NFI[[#This Row],[Camp Name]],CL,2,0),"")</f>
        <v>MMR001CMP103</v>
      </c>
      <c r="AR733" s="468">
        <f ca="1">IF(Table_NFI[[#This Row],[Pcode]]="","",IF(OFFSET(CampList[Opening Date],MATCH(Table_NFI[[#This Row],[Pcode]],CampList[CP_Pcode],0)-1,0,1,1)&gt;=NFI_Monitor_Date,1,0))</f>
        <v>0</v>
      </c>
      <c r="AS733" s="473" t="str">
        <f>IFERROR(VLOOKUP(Table_NFI[[#This Row],[Camp Name]],CL,3,0),"")</f>
        <v>Open</v>
      </c>
      <c r="AT733" s="294" t="str">
        <f ca="1">IF(Table_NFI[[#This Row],[Pcode]]="","",OFFSET(CampList[Priority],MATCH(Table_NFI[[#This Row],[Pcode]],CampList[CP_Pcode],0)-1,0,1,1))</f>
        <v>P4</v>
      </c>
      <c r="AU733" s="293">
        <f>IFERROR(Table_NFI[[#This Row],[Kitchen Set]]/VLOOKUP(Table_NFI[[#This Row],[Camp Name]],CL,4,0),"")</f>
        <v>0.6470588235294118</v>
      </c>
      <c r="AV733" s="466" t="s">
        <v>1092</v>
      </c>
      <c r="AW733" s="469"/>
    </row>
    <row r="734" spans="1:49" ht="14.45" customHeight="1" x14ac:dyDescent="0.25">
      <c r="A734" s="297">
        <f t="shared" si="11"/>
        <v>45</v>
      </c>
      <c r="B734" s="465">
        <v>41325</v>
      </c>
      <c r="C734" s="466" t="s">
        <v>452</v>
      </c>
      <c r="D734" s="467" t="s">
        <v>452</v>
      </c>
      <c r="E734" s="466" t="s">
        <v>380</v>
      </c>
      <c r="F734" s="290" t="s">
        <v>527</v>
      </c>
      <c r="G734" s="290" t="s">
        <v>110</v>
      </c>
      <c r="H734" s="291"/>
      <c r="I734" s="291"/>
      <c r="J734" s="291">
        <v>175</v>
      </c>
      <c r="K734" s="291">
        <v>0</v>
      </c>
      <c r="L734" s="292">
        <v>0</v>
      </c>
      <c r="M734" s="292">
        <v>0</v>
      </c>
      <c r="N734" s="292">
        <v>0</v>
      </c>
      <c r="O734" s="292">
        <v>0</v>
      </c>
      <c r="P734" s="294"/>
      <c r="Q734" s="294"/>
      <c r="R734" s="294"/>
      <c r="S734" s="294"/>
      <c r="T734" s="294"/>
      <c r="U734" s="294"/>
      <c r="V734" s="431"/>
      <c r="W734" s="294"/>
      <c r="X734" s="294"/>
      <c r="Y734" s="294">
        <f>IF(NFI_Expiration=1,IF($A734&lt;VLOOKUP(H$5,NFI,5,0),1,0)*Table_NFI[[#This Row],[Hygiene Kit]],Table_NFI[Hygiene Kit])</f>
        <v>0</v>
      </c>
      <c r="Z734" s="294">
        <f>IF(NFI_Expiration=1,IF($A734&lt;VLOOKUP(I$5,NFI,5,0),1,0)*Table_NFI[[#This Row],[NFI Core Kit]],Table_NFI[NFI Core Kit])</f>
        <v>0</v>
      </c>
      <c r="AA734" s="294">
        <f>IF(NFI_Expiration=1,IF($A734&lt;VLOOKUP(J$5,NFI,5,0),1,0)*Table_NFI[[#This Row],[Sanitary Kit]],Table_NFI[Sanitary Kit])</f>
        <v>0</v>
      </c>
      <c r="AB734" s="294">
        <f>IF(NFI_Expiration=1,IF($A734&lt;VLOOKUP(K$5,NFI,5,0),1,0)*Table_NFI[[#This Row],[Mosquito net]],Table_NFI[Mosquito net])</f>
        <v>0</v>
      </c>
      <c r="AC734" s="294">
        <f>IF(NFI_Expiration=1,IF($A734&lt;VLOOKUP(L$5,NFI,5,0),1,0)*Table_NFI[[#This Row],[Tarpaulin]],Table_NFI[[#This Row],[Tarpaulin]])</f>
        <v>0</v>
      </c>
      <c r="AD734" s="294">
        <f>IF(NFI_Expiration=1,IF($A734&lt;VLOOKUP(M$5,NFI,5,0),1,0)*Table_NFI[[#This Row],[Blanket]],Table_NFI[[#This Row],[Blanket]])</f>
        <v>0</v>
      </c>
      <c r="AE734" s="294">
        <f>IF(NFI_Expiration=1,IF($A734&lt;VLOOKUP(N$5,NFI,5,0),1,0)*Table_NFI[[#This Row],[Kitchen Set]],Table_NFI[Kitchen Set])</f>
        <v>0</v>
      </c>
      <c r="AF734" s="294">
        <f>IF(NFI_Expiration=1,IF($A734&lt;VLOOKUP(O$5,NFI,5,0),1,0)*Table_NFI[[#This Row],[Clothes Kit]],Table_NFI[Clothes Kit])</f>
        <v>0</v>
      </c>
      <c r="AG734" s="294">
        <f>IF(NFI_Expiration=1,IF($A734&lt;VLOOKUP(P$5,NFI,5,0),1,0)*Table_NFI[[#This Row],[Plastic Bucket]],Table_NFI[Plastic Bucket])</f>
        <v>0</v>
      </c>
      <c r="AH734" s="294">
        <f>IF(NFI_Expiration=1,IF($A734&lt;VLOOKUP(Q$5,NFI,5,0),1,0)*Table_NFI[[#This Row],[Plastic Mat]],Table_NFI[Plastic Mat])*IF(Table_NFI[[#This Row],[Distribution Date]]&gt;"2014-04-01",1,2.5)</f>
        <v>0</v>
      </c>
      <c r="AI734" s="294">
        <f>IF(NFI_Expiration=1,IF($A734&lt;VLOOKUP(R$5,NFI,5,0),1,0)*Table_NFI[[#This Row],[Winter Clothes Adult]],Table_NFI[Winter Clothes Adult])</f>
        <v>0</v>
      </c>
      <c r="AJ734" s="294">
        <f>IF(NFI_Expiration=1,IF($A734&lt;VLOOKUP(S$5,NFI,5,0),1,0)*Table_NFI[[#This Row],[Winter Clothes Children]],Table_NFI[Winter Clothes Children])</f>
        <v>0</v>
      </c>
      <c r="AK734" s="294">
        <f>IF(NFI_Expiration=1,IF($A734&lt;VLOOKUP(T$5,NFI,5,0),1,0)*Table_NFI[[#This Row],[Winter Items Other]],Table_NFI[Winter Items Other])</f>
        <v>0</v>
      </c>
      <c r="AL734" s="294">
        <f>IF(NFI_Expiration=1,IF($A734&lt;VLOOKUP(M$5,NFI,5,0),1,0)*Table_NFI[[#This Row],[Winter Blanket]],Table_NFI[[#This Row],[Winter Blanket]])</f>
        <v>0</v>
      </c>
      <c r="AM734" s="294">
        <f>IF(Table_NFI[[#This Row],[Winter Clothes Adult]]+Table_NFI[[#This Row],[Winter Clothes Children]]+Table_NFI[[#This Row],[Winter Items Other]]+Table_NFI[[#This Row],[Winter Blanket]]&gt;0,1,0)</f>
        <v>0</v>
      </c>
      <c r="AN734" s="331">
        <f>IF(NFI_Expiration=1,IF($A734&lt;VLOOKUP(V$5,NFI,5,0),1,0)*Table_NFI[[#This Row],[Jerry Can]],Table_NFI[Jerry Can])</f>
        <v>0</v>
      </c>
      <c r="AO734" s="331">
        <f>IF(NFI_Expiration=1,IF($A734&lt;VLOOKUP(V$5,NFI,5,0),1,0)*Table_NFI[[#This Row],[Shelter Tool kit]],Table_NFI[Shelter Tool kit])</f>
        <v>0</v>
      </c>
      <c r="AP734" s="331">
        <f>IF(NFI_Expiration=1,IF($A734&lt;VLOOKUP(V$5,NFI,5,0),1,0)*Table_NFI[[#This Row],[Tent]],Table_NFI[Tent])</f>
        <v>0</v>
      </c>
      <c r="AQ734" s="473" t="str">
        <f>IFERROR(VLOOKUP(Table_NFI[[#This Row],[Camp Name]],CL,2,0),"")</f>
        <v>MMR001CMP082</v>
      </c>
      <c r="AR734" s="468">
        <f ca="1">IF(Table_NFI[[#This Row],[Pcode]]="","",IF(OFFSET(CampList[Opening Date],MATCH(Table_NFI[[#This Row],[Pcode]],CampList[CP_Pcode],0)-1,0,1,1)&gt;=NFI_Monitor_Date,1,0))</f>
        <v>0</v>
      </c>
      <c r="AS734" s="473" t="str">
        <f>IFERROR(VLOOKUP(Table_NFI[[#This Row],[Camp Name]],CL,3,0),"")</f>
        <v>Closed</v>
      </c>
      <c r="AT734" s="294" t="str">
        <f ca="1">IF(Table_NFI[[#This Row],[Pcode]]="","",OFFSET(CampList[Priority],MATCH(Table_NFI[[#This Row],[Pcode]],CampList[CP_Pcode],0)-1,0,1,1))</f>
        <v/>
      </c>
      <c r="AU734" s="293" t="str">
        <f>IFERROR(Table_NFI[[#This Row],[Kitchen Set]]/VLOOKUP(Table_NFI[[#This Row],[Camp Name]],CL,4,0),"")</f>
        <v/>
      </c>
      <c r="AV734" s="466" t="s">
        <v>1092</v>
      </c>
      <c r="AW734" s="469"/>
    </row>
    <row r="735" spans="1:49" ht="14.45" customHeight="1" x14ac:dyDescent="0.25">
      <c r="A735" s="297">
        <f t="shared" si="11"/>
        <v>45</v>
      </c>
      <c r="B735" s="465">
        <v>41325</v>
      </c>
      <c r="C735" s="466" t="s">
        <v>452</v>
      </c>
      <c r="D735" s="466" t="s">
        <v>452</v>
      </c>
      <c r="E735" s="466" t="s">
        <v>380</v>
      </c>
      <c r="F735" s="466" t="s">
        <v>527</v>
      </c>
      <c r="G735" s="290" t="s">
        <v>112</v>
      </c>
      <c r="H735" s="291"/>
      <c r="I735" s="291"/>
      <c r="J735" s="291">
        <v>38</v>
      </c>
      <c r="K735" s="291">
        <v>89</v>
      </c>
      <c r="L735" s="292">
        <v>44</v>
      </c>
      <c r="M735" s="292">
        <v>89</v>
      </c>
      <c r="N735" s="292">
        <v>44</v>
      </c>
      <c r="O735" s="292">
        <v>44</v>
      </c>
      <c r="P735" s="294">
        <v>44</v>
      </c>
      <c r="Q735" s="294">
        <v>44</v>
      </c>
      <c r="R735" s="294"/>
      <c r="S735" s="294"/>
      <c r="T735" s="294"/>
      <c r="U735" s="294"/>
      <c r="V735" s="431"/>
      <c r="W735" s="294"/>
      <c r="X735" s="294"/>
      <c r="Y735" s="294">
        <f>IF(NFI_Expiration=1,IF($A735&lt;VLOOKUP(H$5,NFI,5,0),1,0)*Table_NFI[[#This Row],[Hygiene Kit]],Table_NFI[Hygiene Kit])</f>
        <v>0</v>
      </c>
      <c r="Z735" s="294">
        <f>IF(NFI_Expiration=1,IF($A735&lt;VLOOKUP(I$5,NFI,5,0),1,0)*Table_NFI[[#This Row],[NFI Core Kit]],Table_NFI[NFI Core Kit])</f>
        <v>0</v>
      </c>
      <c r="AA735" s="294">
        <f>IF(NFI_Expiration=1,IF($A735&lt;VLOOKUP(J$5,NFI,5,0),1,0)*Table_NFI[[#This Row],[Sanitary Kit]],Table_NFI[Sanitary Kit])</f>
        <v>0</v>
      </c>
      <c r="AB735" s="294">
        <f>IF(NFI_Expiration=1,IF($A735&lt;VLOOKUP(K$5,NFI,5,0),1,0)*Table_NFI[[#This Row],[Mosquito net]],Table_NFI[Mosquito net])</f>
        <v>0</v>
      </c>
      <c r="AC735" s="294">
        <f>IF(NFI_Expiration=1,IF($A735&lt;VLOOKUP(L$5,NFI,5,0),1,0)*Table_NFI[[#This Row],[Tarpaulin]],Table_NFI[[#This Row],[Tarpaulin]])</f>
        <v>0</v>
      </c>
      <c r="AD735" s="294">
        <f>IF(NFI_Expiration=1,IF($A735&lt;VLOOKUP(M$5,NFI,5,0),1,0)*Table_NFI[[#This Row],[Blanket]],Table_NFI[[#This Row],[Blanket]])</f>
        <v>0</v>
      </c>
      <c r="AE735" s="294">
        <f>IF(NFI_Expiration=1,IF($A735&lt;VLOOKUP(N$5,NFI,5,0),1,0)*Table_NFI[[#This Row],[Kitchen Set]],Table_NFI[Kitchen Set])</f>
        <v>0</v>
      </c>
      <c r="AF735" s="294">
        <f>IF(NFI_Expiration=1,IF($A735&lt;VLOOKUP(O$5,NFI,5,0),1,0)*Table_NFI[[#This Row],[Clothes Kit]],Table_NFI[Clothes Kit])</f>
        <v>0</v>
      </c>
      <c r="AG735" s="294">
        <f>IF(NFI_Expiration=1,IF($A735&lt;VLOOKUP(P$5,NFI,5,0),1,0)*Table_NFI[[#This Row],[Plastic Bucket]],Table_NFI[Plastic Bucket])</f>
        <v>0</v>
      </c>
      <c r="AH735" s="294">
        <f>IF(NFI_Expiration=1,IF($A735&lt;VLOOKUP(Q$5,NFI,5,0),1,0)*Table_NFI[[#This Row],[Plastic Mat]],Table_NFI[Plastic Mat])*IF(Table_NFI[[#This Row],[Distribution Date]]&gt;"2014-04-01",1,2.5)</f>
        <v>0</v>
      </c>
      <c r="AI735" s="294">
        <f>IF(NFI_Expiration=1,IF($A735&lt;VLOOKUP(R$5,NFI,5,0),1,0)*Table_NFI[[#This Row],[Winter Clothes Adult]],Table_NFI[Winter Clothes Adult])</f>
        <v>0</v>
      </c>
      <c r="AJ735" s="294">
        <f>IF(NFI_Expiration=1,IF($A735&lt;VLOOKUP(S$5,NFI,5,0),1,0)*Table_NFI[[#This Row],[Winter Clothes Children]],Table_NFI[Winter Clothes Children])</f>
        <v>0</v>
      </c>
      <c r="AK735" s="294">
        <f>IF(NFI_Expiration=1,IF($A735&lt;VLOOKUP(T$5,NFI,5,0),1,0)*Table_NFI[[#This Row],[Winter Items Other]],Table_NFI[Winter Items Other])</f>
        <v>0</v>
      </c>
      <c r="AL735" s="294">
        <f>IF(NFI_Expiration=1,IF($A735&lt;VLOOKUP(M$5,NFI,5,0),1,0)*Table_NFI[[#This Row],[Winter Blanket]],Table_NFI[[#This Row],[Winter Blanket]])</f>
        <v>0</v>
      </c>
      <c r="AM735" s="294">
        <f>IF(Table_NFI[[#This Row],[Winter Clothes Adult]]+Table_NFI[[#This Row],[Winter Clothes Children]]+Table_NFI[[#This Row],[Winter Items Other]]+Table_NFI[[#This Row],[Winter Blanket]]&gt;0,1,0)</f>
        <v>0</v>
      </c>
      <c r="AN735" s="331">
        <f>IF(NFI_Expiration=1,IF($A735&lt;VLOOKUP(V$5,NFI,5,0),1,0)*Table_NFI[[#This Row],[Jerry Can]],Table_NFI[Jerry Can])</f>
        <v>0</v>
      </c>
      <c r="AO735" s="331">
        <f>IF(NFI_Expiration=1,IF($A735&lt;VLOOKUP(V$5,NFI,5,0),1,0)*Table_NFI[[#This Row],[Shelter Tool kit]],Table_NFI[Shelter Tool kit])</f>
        <v>0</v>
      </c>
      <c r="AP735" s="331">
        <f>IF(NFI_Expiration=1,IF($A735&lt;VLOOKUP(V$5,NFI,5,0),1,0)*Table_NFI[[#This Row],[Tent]],Table_NFI[Tent])</f>
        <v>0</v>
      </c>
      <c r="AQ735" s="473" t="str">
        <f>IFERROR(VLOOKUP(Table_NFI[[#This Row],[Camp Name]],CL,2,0),"")</f>
        <v>MMR001CMP083</v>
      </c>
      <c r="AR735" s="468">
        <f ca="1">IF(Table_NFI[[#This Row],[Pcode]]="","",IF(OFFSET(CampList[Opening Date],MATCH(Table_NFI[[#This Row],[Pcode]],CampList[CP_Pcode],0)-1,0,1,1)&gt;=NFI_Monitor_Date,1,0))</f>
        <v>0</v>
      </c>
      <c r="AS735" s="473" t="str">
        <f>IFERROR(VLOOKUP(Table_NFI[[#This Row],[Camp Name]],CL,3,0),"")</f>
        <v>Closed</v>
      </c>
      <c r="AT735" s="294" t="str">
        <f ca="1">IF(Table_NFI[[#This Row],[Pcode]]="","",OFFSET(CampList[Priority],MATCH(Table_NFI[[#This Row],[Pcode]],CampList[CP_Pcode],0)-1,0,1,1))</f>
        <v/>
      </c>
      <c r="AU735" s="293" t="str">
        <f>IFERROR(Table_NFI[[#This Row],[Kitchen Set]]/VLOOKUP(Table_NFI[[#This Row],[Camp Name]],CL,4,0),"")</f>
        <v/>
      </c>
      <c r="AV735" s="466" t="s">
        <v>1092</v>
      </c>
      <c r="AW735" s="469"/>
    </row>
    <row r="736" spans="1:49" ht="14.45" customHeight="1" x14ac:dyDescent="0.25">
      <c r="A736" s="297">
        <f t="shared" si="11"/>
        <v>45</v>
      </c>
      <c r="B736" s="465">
        <v>41325</v>
      </c>
      <c r="C736" s="466" t="s">
        <v>452</v>
      </c>
      <c r="D736" s="466" t="s">
        <v>452</v>
      </c>
      <c r="E736" s="466" t="s">
        <v>380</v>
      </c>
      <c r="F736" s="466" t="s">
        <v>527</v>
      </c>
      <c r="G736" s="290" t="s">
        <v>140</v>
      </c>
      <c r="H736" s="291"/>
      <c r="I736" s="291"/>
      <c r="J736" s="291">
        <v>46</v>
      </c>
      <c r="K736" s="291">
        <v>0</v>
      </c>
      <c r="L736" s="292">
        <v>0</v>
      </c>
      <c r="M736" s="292">
        <v>0</v>
      </c>
      <c r="N736" s="292">
        <v>0</v>
      </c>
      <c r="O736" s="292">
        <v>0</v>
      </c>
      <c r="P736" s="294"/>
      <c r="Q736" s="294"/>
      <c r="R736" s="294"/>
      <c r="S736" s="294"/>
      <c r="T736" s="294"/>
      <c r="U736" s="294"/>
      <c r="V736" s="431"/>
      <c r="W736" s="294"/>
      <c r="X736" s="294"/>
      <c r="Y736" s="294">
        <f>IF(NFI_Expiration=1,IF($A736&lt;VLOOKUP(H$5,NFI,5,0),1,0)*Table_NFI[[#This Row],[Hygiene Kit]],Table_NFI[Hygiene Kit])</f>
        <v>0</v>
      </c>
      <c r="Z736" s="294">
        <f>IF(NFI_Expiration=1,IF($A736&lt;VLOOKUP(I$5,NFI,5,0),1,0)*Table_NFI[[#This Row],[NFI Core Kit]],Table_NFI[NFI Core Kit])</f>
        <v>0</v>
      </c>
      <c r="AA736" s="294">
        <f>IF(NFI_Expiration=1,IF($A736&lt;VLOOKUP(J$5,NFI,5,0),1,0)*Table_NFI[[#This Row],[Sanitary Kit]],Table_NFI[Sanitary Kit])</f>
        <v>0</v>
      </c>
      <c r="AB736" s="294">
        <f>IF(NFI_Expiration=1,IF($A736&lt;VLOOKUP(K$5,NFI,5,0),1,0)*Table_NFI[[#This Row],[Mosquito net]],Table_NFI[Mosquito net])</f>
        <v>0</v>
      </c>
      <c r="AC736" s="294">
        <f>IF(NFI_Expiration=1,IF($A736&lt;VLOOKUP(L$5,NFI,5,0),1,0)*Table_NFI[[#This Row],[Tarpaulin]],Table_NFI[[#This Row],[Tarpaulin]])</f>
        <v>0</v>
      </c>
      <c r="AD736" s="294">
        <f>IF(NFI_Expiration=1,IF($A736&lt;VLOOKUP(M$5,NFI,5,0),1,0)*Table_NFI[[#This Row],[Blanket]],Table_NFI[[#This Row],[Blanket]])</f>
        <v>0</v>
      </c>
      <c r="AE736" s="294">
        <f>IF(NFI_Expiration=1,IF($A736&lt;VLOOKUP(N$5,NFI,5,0),1,0)*Table_NFI[[#This Row],[Kitchen Set]],Table_NFI[Kitchen Set])</f>
        <v>0</v>
      </c>
      <c r="AF736" s="294">
        <f>IF(NFI_Expiration=1,IF($A736&lt;VLOOKUP(O$5,NFI,5,0),1,0)*Table_NFI[[#This Row],[Clothes Kit]],Table_NFI[Clothes Kit])</f>
        <v>0</v>
      </c>
      <c r="AG736" s="294">
        <f>IF(NFI_Expiration=1,IF($A736&lt;VLOOKUP(P$5,NFI,5,0),1,0)*Table_NFI[[#This Row],[Plastic Bucket]],Table_NFI[Plastic Bucket])</f>
        <v>0</v>
      </c>
      <c r="AH736" s="294">
        <f>IF(NFI_Expiration=1,IF($A736&lt;VLOOKUP(Q$5,NFI,5,0),1,0)*Table_NFI[[#This Row],[Plastic Mat]],Table_NFI[Plastic Mat])*IF(Table_NFI[[#This Row],[Distribution Date]]&gt;"2014-04-01",1,2.5)</f>
        <v>0</v>
      </c>
      <c r="AI736" s="294">
        <f>IF(NFI_Expiration=1,IF($A736&lt;VLOOKUP(R$5,NFI,5,0),1,0)*Table_NFI[[#This Row],[Winter Clothes Adult]],Table_NFI[Winter Clothes Adult])</f>
        <v>0</v>
      </c>
      <c r="AJ736" s="294">
        <f>IF(NFI_Expiration=1,IF($A736&lt;VLOOKUP(S$5,NFI,5,0),1,0)*Table_NFI[[#This Row],[Winter Clothes Children]],Table_NFI[Winter Clothes Children])</f>
        <v>0</v>
      </c>
      <c r="AK736" s="294">
        <f>IF(NFI_Expiration=1,IF($A736&lt;VLOOKUP(T$5,NFI,5,0),1,0)*Table_NFI[[#This Row],[Winter Items Other]],Table_NFI[Winter Items Other])</f>
        <v>0</v>
      </c>
      <c r="AL736" s="294">
        <f>IF(NFI_Expiration=1,IF($A736&lt;VLOOKUP(M$5,NFI,5,0),1,0)*Table_NFI[[#This Row],[Winter Blanket]],Table_NFI[[#This Row],[Winter Blanket]])</f>
        <v>0</v>
      </c>
      <c r="AM736" s="294">
        <f>IF(Table_NFI[[#This Row],[Winter Clothes Adult]]+Table_NFI[[#This Row],[Winter Clothes Children]]+Table_NFI[[#This Row],[Winter Items Other]]+Table_NFI[[#This Row],[Winter Blanket]]&gt;0,1,0)</f>
        <v>0</v>
      </c>
      <c r="AN736" s="331">
        <f>IF(NFI_Expiration=1,IF($A736&lt;VLOOKUP(V$5,NFI,5,0),1,0)*Table_NFI[[#This Row],[Jerry Can]],Table_NFI[Jerry Can])</f>
        <v>0</v>
      </c>
      <c r="AO736" s="331">
        <f>IF(NFI_Expiration=1,IF($A736&lt;VLOOKUP(V$5,NFI,5,0),1,0)*Table_NFI[[#This Row],[Shelter Tool kit]],Table_NFI[Shelter Tool kit])</f>
        <v>0</v>
      </c>
      <c r="AP736" s="331">
        <f>IF(NFI_Expiration=1,IF($A736&lt;VLOOKUP(V$5,NFI,5,0),1,0)*Table_NFI[[#This Row],[Tent]],Table_NFI[Tent])</f>
        <v>0</v>
      </c>
      <c r="AQ736" s="473" t="str">
        <f>IFERROR(VLOOKUP(Table_NFI[[#This Row],[Camp Name]],CL,2,0),"")</f>
        <v>MMR001CMP105</v>
      </c>
      <c r="AR736" s="468">
        <f ca="1">IF(Table_NFI[[#This Row],[Pcode]]="","",IF(OFFSET(CampList[Opening Date],MATCH(Table_NFI[[#This Row],[Pcode]],CampList[CP_Pcode],0)-1,0,1,1)&gt;=NFI_Monitor_Date,1,0))</f>
        <v>0</v>
      </c>
      <c r="AS736" s="473" t="str">
        <f>IFERROR(VLOOKUP(Table_NFI[[#This Row],[Camp Name]],CL,3,0),"")</f>
        <v>Open</v>
      </c>
      <c r="AT736" s="294" t="str">
        <f ca="1">IF(Table_NFI[[#This Row],[Pcode]]="","",OFFSET(CampList[Priority],MATCH(Table_NFI[[#This Row],[Pcode]],CampList[CP_Pcode],0)-1,0,1,1))</f>
        <v>P4</v>
      </c>
      <c r="AU736" s="293">
        <f>IFERROR(Table_NFI[[#This Row],[Kitchen Set]]/VLOOKUP(Table_NFI[[#This Row],[Camp Name]],CL,4,0),"")</f>
        <v>0</v>
      </c>
      <c r="AV736" s="466" t="s">
        <v>1092</v>
      </c>
      <c r="AW736" s="469"/>
    </row>
    <row r="737" spans="1:49" ht="14.45" customHeight="1" x14ac:dyDescent="0.25">
      <c r="A737" s="297">
        <f t="shared" si="11"/>
        <v>45</v>
      </c>
      <c r="B737" s="465">
        <v>41325</v>
      </c>
      <c r="C737" s="466" t="s">
        <v>452</v>
      </c>
      <c r="D737" s="467" t="s">
        <v>452</v>
      </c>
      <c r="E737" s="466" t="s">
        <v>380</v>
      </c>
      <c r="F737" s="290" t="s">
        <v>527</v>
      </c>
      <c r="G737" s="290" t="s">
        <v>514</v>
      </c>
      <c r="H737" s="291"/>
      <c r="I737" s="291"/>
      <c r="J737" s="291"/>
      <c r="K737" s="291">
        <v>11</v>
      </c>
      <c r="L737" s="292">
        <v>6</v>
      </c>
      <c r="M737" s="292">
        <v>0</v>
      </c>
      <c r="N737" s="292">
        <v>6</v>
      </c>
      <c r="O737" s="292">
        <v>6</v>
      </c>
      <c r="P737" s="294">
        <v>6</v>
      </c>
      <c r="Q737" s="294">
        <v>6</v>
      </c>
      <c r="R737" s="294"/>
      <c r="S737" s="294"/>
      <c r="T737" s="294"/>
      <c r="U737" s="294"/>
      <c r="V737" s="431"/>
      <c r="W737" s="294"/>
      <c r="X737" s="294"/>
      <c r="Y737" s="294">
        <f>IF(NFI_Expiration=1,IF($A737&lt;VLOOKUP(H$5,NFI,5,0),1,0)*Table_NFI[[#This Row],[Hygiene Kit]],Table_NFI[Hygiene Kit])</f>
        <v>0</v>
      </c>
      <c r="Z737" s="294">
        <f>IF(NFI_Expiration=1,IF($A737&lt;VLOOKUP(I$5,NFI,5,0),1,0)*Table_NFI[[#This Row],[NFI Core Kit]],Table_NFI[NFI Core Kit])</f>
        <v>0</v>
      </c>
      <c r="AA737" s="294">
        <f>IF(NFI_Expiration=1,IF($A737&lt;VLOOKUP(J$5,NFI,5,0),1,0)*Table_NFI[[#This Row],[Sanitary Kit]],Table_NFI[Sanitary Kit])</f>
        <v>0</v>
      </c>
      <c r="AB737" s="294">
        <f>IF(NFI_Expiration=1,IF($A737&lt;VLOOKUP(K$5,NFI,5,0),1,0)*Table_NFI[[#This Row],[Mosquito net]],Table_NFI[Mosquito net])</f>
        <v>0</v>
      </c>
      <c r="AC737" s="294">
        <f>IF(NFI_Expiration=1,IF($A737&lt;VLOOKUP(L$5,NFI,5,0),1,0)*Table_NFI[[#This Row],[Tarpaulin]],Table_NFI[[#This Row],[Tarpaulin]])</f>
        <v>0</v>
      </c>
      <c r="AD737" s="294">
        <f>IF(NFI_Expiration=1,IF($A737&lt;VLOOKUP(M$5,NFI,5,0),1,0)*Table_NFI[[#This Row],[Blanket]],Table_NFI[[#This Row],[Blanket]])</f>
        <v>0</v>
      </c>
      <c r="AE737" s="294">
        <f>IF(NFI_Expiration=1,IF($A737&lt;VLOOKUP(N$5,NFI,5,0),1,0)*Table_NFI[[#This Row],[Kitchen Set]],Table_NFI[Kitchen Set])</f>
        <v>0</v>
      </c>
      <c r="AF737" s="294">
        <f>IF(NFI_Expiration=1,IF($A737&lt;VLOOKUP(O$5,NFI,5,0),1,0)*Table_NFI[[#This Row],[Clothes Kit]],Table_NFI[Clothes Kit])</f>
        <v>0</v>
      </c>
      <c r="AG737" s="294">
        <f>IF(NFI_Expiration=1,IF($A737&lt;VLOOKUP(P$5,NFI,5,0),1,0)*Table_NFI[[#This Row],[Plastic Bucket]],Table_NFI[Plastic Bucket])</f>
        <v>0</v>
      </c>
      <c r="AH737" s="294">
        <f>IF(NFI_Expiration=1,IF($A737&lt;VLOOKUP(Q$5,NFI,5,0),1,0)*Table_NFI[[#This Row],[Plastic Mat]],Table_NFI[Plastic Mat])*IF(Table_NFI[[#This Row],[Distribution Date]]&gt;"2014-04-01",1,2.5)</f>
        <v>0</v>
      </c>
      <c r="AI737" s="294">
        <f>IF(NFI_Expiration=1,IF($A737&lt;VLOOKUP(R$5,NFI,5,0),1,0)*Table_NFI[[#This Row],[Winter Clothes Adult]],Table_NFI[Winter Clothes Adult])</f>
        <v>0</v>
      </c>
      <c r="AJ737" s="294">
        <f>IF(NFI_Expiration=1,IF($A737&lt;VLOOKUP(S$5,NFI,5,0),1,0)*Table_NFI[[#This Row],[Winter Clothes Children]],Table_NFI[Winter Clothes Children])</f>
        <v>0</v>
      </c>
      <c r="AK737" s="294">
        <f>IF(NFI_Expiration=1,IF($A737&lt;VLOOKUP(T$5,NFI,5,0),1,0)*Table_NFI[[#This Row],[Winter Items Other]],Table_NFI[Winter Items Other])</f>
        <v>0</v>
      </c>
      <c r="AL737" s="294">
        <f>IF(NFI_Expiration=1,IF($A737&lt;VLOOKUP(M$5,NFI,5,0),1,0)*Table_NFI[[#This Row],[Winter Blanket]],Table_NFI[[#This Row],[Winter Blanket]])</f>
        <v>0</v>
      </c>
      <c r="AM737" s="294">
        <f>IF(Table_NFI[[#This Row],[Winter Clothes Adult]]+Table_NFI[[#This Row],[Winter Clothes Children]]+Table_NFI[[#This Row],[Winter Items Other]]+Table_NFI[[#This Row],[Winter Blanket]]&gt;0,1,0)</f>
        <v>0</v>
      </c>
      <c r="AN737" s="331">
        <f>IF(NFI_Expiration=1,IF($A737&lt;VLOOKUP(V$5,NFI,5,0),1,0)*Table_NFI[[#This Row],[Jerry Can]],Table_NFI[Jerry Can])</f>
        <v>0</v>
      </c>
      <c r="AO737" s="331">
        <f>IF(NFI_Expiration=1,IF($A737&lt;VLOOKUP(V$5,NFI,5,0),1,0)*Table_NFI[[#This Row],[Shelter Tool kit]],Table_NFI[Shelter Tool kit])</f>
        <v>0</v>
      </c>
      <c r="AP737" s="331">
        <f>IF(NFI_Expiration=1,IF($A737&lt;VLOOKUP(V$5,NFI,5,0),1,0)*Table_NFI[[#This Row],[Tent]],Table_NFI[Tent])</f>
        <v>0</v>
      </c>
      <c r="AQ737" s="473" t="str">
        <f>IFERROR(VLOOKUP(Table_NFI[[#This Row],[Camp Name]],CL,2,0),"")</f>
        <v>MMR001CMP201</v>
      </c>
      <c r="AR737" s="468">
        <f ca="1">IF(Table_NFI[[#This Row],[Pcode]]="","",IF(OFFSET(CampList[Opening Date],MATCH(Table_NFI[[#This Row],[Pcode]],CampList[CP_Pcode],0)-1,0,1,1)&gt;=NFI_Monitor_Date,1,0))</f>
        <v>0</v>
      </c>
      <c r="AS737" s="473" t="str">
        <f>IFERROR(VLOOKUP(Table_NFI[[#This Row],[Camp Name]],CL,3,0),"")</f>
        <v>Closed</v>
      </c>
      <c r="AT737" s="294" t="str">
        <f ca="1">IF(Table_NFI[[#This Row],[Pcode]]="","",OFFSET(CampList[Priority],MATCH(Table_NFI[[#This Row],[Pcode]],CampList[CP_Pcode],0)-1,0,1,1))</f>
        <v/>
      </c>
      <c r="AU737" s="293" t="str">
        <f>IFERROR(Table_NFI[[#This Row],[Kitchen Set]]/VLOOKUP(Table_NFI[[#This Row],[Camp Name]],CL,4,0),"")</f>
        <v/>
      </c>
      <c r="AV737" s="466" t="s">
        <v>1092</v>
      </c>
      <c r="AW737" s="469"/>
    </row>
    <row r="738" spans="1:49" ht="14.45" customHeight="1" x14ac:dyDescent="0.25">
      <c r="A738" s="297">
        <f t="shared" si="11"/>
        <v>45.033333333333331</v>
      </c>
      <c r="B738" s="465">
        <v>41324</v>
      </c>
      <c r="C738" s="466" t="s">
        <v>452</v>
      </c>
      <c r="D738" s="466" t="s">
        <v>452</v>
      </c>
      <c r="E738" s="466" t="s">
        <v>380</v>
      </c>
      <c r="F738" s="466" t="s">
        <v>527</v>
      </c>
      <c r="G738" s="290" t="s">
        <v>128</v>
      </c>
      <c r="H738" s="291"/>
      <c r="I738" s="291"/>
      <c r="J738" s="291">
        <v>3</v>
      </c>
      <c r="K738" s="291">
        <v>7</v>
      </c>
      <c r="L738" s="292">
        <v>4</v>
      </c>
      <c r="M738" s="292">
        <v>7</v>
      </c>
      <c r="N738" s="292">
        <v>4</v>
      </c>
      <c r="O738" s="292">
        <v>4</v>
      </c>
      <c r="P738" s="294">
        <v>4</v>
      </c>
      <c r="Q738" s="294">
        <v>4</v>
      </c>
      <c r="R738" s="294"/>
      <c r="S738" s="294"/>
      <c r="T738" s="294"/>
      <c r="U738" s="294"/>
      <c r="V738" s="431"/>
      <c r="W738" s="294"/>
      <c r="X738" s="294"/>
      <c r="Y738" s="294">
        <f>IF(NFI_Expiration=1,IF($A738&lt;VLOOKUP(H$5,NFI,5,0),1,0)*Table_NFI[[#This Row],[Hygiene Kit]],Table_NFI[Hygiene Kit])</f>
        <v>0</v>
      </c>
      <c r="Z738" s="294">
        <f>IF(NFI_Expiration=1,IF($A738&lt;VLOOKUP(I$5,NFI,5,0),1,0)*Table_NFI[[#This Row],[NFI Core Kit]],Table_NFI[NFI Core Kit])</f>
        <v>0</v>
      </c>
      <c r="AA738" s="294">
        <f>IF(NFI_Expiration=1,IF($A738&lt;VLOOKUP(J$5,NFI,5,0),1,0)*Table_NFI[[#This Row],[Sanitary Kit]],Table_NFI[Sanitary Kit])</f>
        <v>0</v>
      </c>
      <c r="AB738" s="294">
        <f>IF(NFI_Expiration=1,IF($A738&lt;VLOOKUP(K$5,NFI,5,0),1,0)*Table_NFI[[#This Row],[Mosquito net]],Table_NFI[Mosquito net])</f>
        <v>0</v>
      </c>
      <c r="AC738" s="294">
        <f>IF(NFI_Expiration=1,IF($A738&lt;VLOOKUP(L$5,NFI,5,0),1,0)*Table_NFI[[#This Row],[Tarpaulin]],Table_NFI[[#This Row],[Tarpaulin]])</f>
        <v>0</v>
      </c>
      <c r="AD738" s="294">
        <f>IF(NFI_Expiration=1,IF($A738&lt;VLOOKUP(M$5,NFI,5,0),1,0)*Table_NFI[[#This Row],[Blanket]],Table_NFI[[#This Row],[Blanket]])</f>
        <v>0</v>
      </c>
      <c r="AE738" s="294">
        <f>IF(NFI_Expiration=1,IF($A738&lt;VLOOKUP(N$5,NFI,5,0),1,0)*Table_NFI[[#This Row],[Kitchen Set]],Table_NFI[Kitchen Set])</f>
        <v>0</v>
      </c>
      <c r="AF738" s="294">
        <f>IF(NFI_Expiration=1,IF($A738&lt;VLOOKUP(O$5,NFI,5,0),1,0)*Table_NFI[[#This Row],[Clothes Kit]],Table_NFI[Clothes Kit])</f>
        <v>0</v>
      </c>
      <c r="AG738" s="294">
        <f>IF(NFI_Expiration=1,IF($A738&lt;VLOOKUP(P$5,NFI,5,0),1,0)*Table_NFI[[#This Row],[Plastic Bucket]],Table_NFI[Plastic Bucket])</f>
        <v>0</v>
      </c>
      <c r="AH738" s="294">
        <f>IF(NFI_Expiration=1,IF($A738&lt;VLOOKUP(Q$5,NFI,5,0),1,0)*Table_NFI[[#This Row],[Plastic Mat]],Table_NFI[Plastic Mat])*IF(Table_NFI[[#This Row],[Distribution Date]]&gt;"2014-04-01",1,2.5)</f>
        <v>0</v>
      </c>
      <c r="AI738" s="294">
        <f>IF(NFI_Expiration=1,IF($A738&lt;VLOOKUP(R$5,NFI,5,0),1,0)*Table_NFI[[#This Row],[Winter Clothes Adult]],Table_NFI[Winter Clothes Adult])</f>
        <v>0</v>
      </c>
      <c r="AJ738" s="294">
        <f>IF(NFI_Expiration=1,IF($A738&lt;VLOOKUP(S$5,NFI,5,0),1,0)*Table_NFI[[#This Row],[Winter Clothes Children]],Table_NFI[Winter Clothes Children])</f>
        <v>0</v>
      </c>
      <c r="AK738" s="294">
        <f>IF(NFI_Expiration=1,IF($A738&lt;VLOOKUP(T$5,NFI,5,0),1,0)*Table_NFI[[#This Row],[Winter Items Other]],Table_NFI[Winter Items Other])</f>
        <v>0</v>
      </c>
      <c r="AL738" s="294">
        <f>IF(NFI_Expiration=1,IF($A738&lt;VLOOKUP(M$5,NFI,5,0),1,0)*Table_NFI[[#This Row],[Winter Blanket]],Table_NFI[[#This Row],[Winter Blanket]])</f>
        <v>0</v>
      </c>
      <c r="AM738" s="294">
        <f>IF(Table_NFI[[#This Row],[Winter Clothes Adult]]+Table_NFI[[#This Row],[Winter Clothes Children]]+Table_NFI[[#This Row],[Winter Items Other]]+Table_NFI[[#This Row],[Winter Blanket]]&gt;0,1,0)</f>
        <v>0</v>
      </c>
      <c r="AN738" s="331">
        <f>IF(NFI_Expiration=1,IF($A738&lt;VLOOKUP(V$5,NFI,5,0),1,0)*Table_NFI[[#This Row],[Jerry Can]],Table_NFI[Jerry Can])</f>
        <v>0</v>
      </c>
      <c r="AO738" s="331">
        <f>IF(NFI_Expiration=1,IF($A738&lt;VLOOKUP(V$5,NFI,5,0),1,0)*Table_NFI[[#This Row],[Shelter Tool kit]],Table_NFI[Shelter Tool kit])</f>
        <v>0</v>
      </c>
      <c r="AP738" s="331">
        <f>IF(NFI_Expiration=1,IF($A738&lt;VLOOKUP(V$5,NFI,5,0),1,0)*Table_NFI[[#This Row],[Tent]],Table_NFI[Tent])</f>
        <v>0</v>
      </c>
      <c r="AQ738" s="473" t="str">
        <f>IFERROR(VLOOKUP(Table_NFI[[#This Row],[Camp Name]],CL,2,0),"")</f>
        <v>MMR001CMP171</v>
      </c>
      <c r="AR738" s="468">
        <f ca="1">IF(Table_NFI[[#This Row],[Pcode]]="","",IF(OFFSET(CampList[Opening Date],MATCH(Table_NFI[[#This Row],[Pcode]],CampList[CP_Pcode],0)-1,0,1,1)&gt;=NFI_Monitor_Date,1,0))</f>
        <v>0</v>
      </c>
      <c r="AS738" s="473" t="str">
        <f>IFERROR(VLOOKUP(Table_NFI[[#This Row],[Camp Name]],CL,3,0),"")</f>
        <v>Closed</v>
      </c>
      <c r="AT738" s="294" t="str">
        <f ca="1">IF(Table_NFI[[#This Row],[Pcode]]="","",OFFSET(CampList[Priority],MATCH(Table_NFI[[#This Row],[Pcode]],CampList[CP_Pcode],0)-1,0,1,1))</f>
        <v/>
      </c>
      <c r="AU738" s="293" t="str">
        <f>IFERROR(Table_NFI[[#This Row],[Kitchen Set]]/VLOOKUP(Table_NFI[[#This Row],[Camp Name]],CL,4,0),"")</f>
        <v/>
      </c>
      <c r="AV738" s="466" t="s">
        <v>1092</v>
      </c>
      <c r="AW738" s="469"/>
    </row>
    <row r="739" spans="1:49" ht="14.45" customHeight="1" x14ac:dyDescent="0.25">
      <c r="A739" s="297">
        <f t="shared" si="11"/>
        <v>45.033333333333331</v>
      </c>
      <c r="B739" s="465">
        <v>41324</v>
      </c>
      <c r="C739" s="466" t="s">
        <v>452</v>
      </c>
      <c r="D739" s="467" t="s">
        <v>452</v>
      </c>
      <c r="E739" s="466" t="s">
        <v>380</v>
      </c>
      <c r="F739" s="290" t="s">
        <v>527</v>
      </c>
      <c r="G739" s="290" t="s">
        <v>62</v>
      </c>
      <c r="H739" s="291"/>
      <c r="I739" s="291"/>
      <c r="J739" s="291">
        <v>18</v>
      </c>
      <c r="K739" s="291">
        <v>30</v>
      </c>
      <c r="L739" s="292">
        <v>17</v>
      </c>
      <c r="M739" s="292">
        <v>64</v>
      </c>
      <c r="N739" s="292">
        <v>17</v>
      </c>
      <c r="O739" s="292">
        <v>17</v>
      </c>
      <c r="P739" s="294">
        <v>17</v>
      </c>
      <c r="Q739" s="294">
        <v>17</v>
      </c>
      <c r="R739" s="294"/>
      <c r="S739" s="294"/>
      <c r="T739" s="294"/>
      <c r="U739" s="294"/>
      <c r="V739" s="431"/>
      <c r="W739" s="294"/>
      <c r="X739" s="294"/>
      <c r="Y739" s="294">
        <f>IF(NFI_Expiration=1,IF($A739&lt;VLOOKUP(H$5,NFI,5,0),1,0)*Table_NFI[[#This Row],[Hygiene Kit]],Table_NFI[Hygiene Kit])</f>
        <v>0</v>
      </c>
      <c r="Z739" s="294">
        <f>IF(NFI_Expiration=1,IF($A739&lt;VLOOKUP(I$5,NFI,5,0),1,0)*Table_NFI[[#This Row],[NFI Core Kit]],Table_NFI[NFI Core Kit])</f>
        <v>0</v>
      </c>
      <c r="AA739" s="294">
        <f>IF(NFI_Expiration=1,IF($A739&lt;VLOOKUP(J$5,NFI,5,0),1,0)*Table_NFI[[#This Row],[Sanitary Kit]],Table_NFI[Sanitary Kit])</f>
        <v>0</v>
      </c>
      <c r="AB739" s="294">
        <f>IF(NFI_Expiration=1,IF($A739&lt;VLOOKUP(K$5,NFI,5,0),1,0)*Table_NFI[[#This Row],[Mosquito net]],Table_NFI[Mosquito net])</f>
        <v>0</v>
      </c>
      <c r="AC739" s="294">
        <f>IF(NFI_Expiration=1,IF($A739&lt;VLOOKUP(L$5,NFI,5,0),1,0)*Table_NFI[[#This Row],[Tarpaulin]],Table_NFI[[#This Row],[Tarpaulin]])</f>
        <v>0</v>
      </c>
      <c r="AD739" s="294">
        <f>IF(NFI_Expiration=1,IF($A739&lt;VLOOKUP(M$5,NFI,5,0),1,0)*Table_NFI[[#This Row],[Blanket]],Table_NFI[[#This Row],[Blanket]])</f>
        <v>0</v>
      </c>
      <c r="AE739" s="294">
        <f>IF(NFI_Expiration=1,IF($A739&lt;VLOOKUP(N$5,NFI,5,0),1,0)*Table_NFI[[#This Row],[Kitchen Set]],Table_NFI[Kitchen Set])</f>
        <v>0</v>
      </c>
      <c r="AF739" s="294">
        <f>IF(NFI_Expiration=1,IF($A739&lt;VLOOKUP(O$5,NFI,5,0),1,0)*Table_NFI[[#This Row],[Clothes Kit]],Table_NFI[Clothes Kit])</f>
        <v>0</v>
      </c>
      <c r="AG739" s="294">
        <f>IF(NFI_Expiration=1,IF($A739&lt;VLOOKUP(P$5,NFI,5,0),1,0)*Table_NFI[[#This Row],[Plastic Bucket]],Table_NFI[Plastic Bucket])</f>
        <v>0</v>
      </c>
      <c r="AH739" s="294">
        <f>IF(NFI_Expiration=1,IF($A739&lt;VLOOKUP(Q$5,NFI,5,0),1,0)*Table_NFI[[#This Row],[Plastic Mat]],Table_NFI[Plastic Mat])*IF(Table_NFI[[#This Row],[Distribution Date]]&gt;"2014-04-01",1,2.5)</f>
        <v>0</v>
      </c>
      <c r="AI739" s="294">
        <f>IF(NFI_Expiration=1,IF($A739&lt;VLOOKUP(R$5,NFI,5,0),1,0)*Table_NFI[[#This Row],[Winter Clothes Adult]],Table_NFI[Winter Clothes Adult])</f>
        <v>0</v>
      </c>
      <c r="AJ739" s="294">
        <f>IF(NFI_Expiration=1,IF($A739&lt;VLOOKUP(S$5,NFI,5,0),1,0)*Table_NFI[[#This Row],[Winter Clothes Children]],Table_NFI[Winter Clothes Children])</f>
        <v>0</v>
      </c>
      <c r="AK739" s="294">
        <f>IF(NFI_Expiration=1,IF($A739&lt;VLOOKUP(T$5,NFI,5,0),1,0)*Table_NFI[[#This Row],[Winter Items Other]],Table_NFI[Winter Items Other])</f>
        <v>0</v>
      </c>
      <c r="AL739" s="294">
        <f>IF(NFI_Expiration=1,IF($A739&lt;VLOOKUP(M$5,NFI,5,0),1,0)*Table_NFI[[#This Row],[Winter Blanket]],Table_NFI[[#This Row],[Winter Blanket]])</f>
        <v>0</v>
      </c>
      <c r="AM739" s="294">
        <f>IF(Table_NFI[[#This Row],[Winter Clothes Adult]]+Table_NFI[[#This Row],[Winter Clothes Children]]+Table_NFI[[#This Row],[Winter Items Other]]+Table_NFI[[#This Row],[Winter Blanket]]&gt;0,1,0)</f>
        <v>0</v>
      </c>
      <c r="AN739" s="331">
        <f>IF(NFI_Expiration=1,IF($A739&lt;VLOOKUP(V$5,NFI,5,0),1,0)*Table_NFI[[#This Row],[Jerry Can]],Table_NFI[Jerry Can])</f>
        <v>0</v>
      </c>
      <c r="AO739" s="331">
        <f>IF(NFI_Expiration=1,IF($A739&lt;VLOOKUP(V$5,NFI,5,0),1,0)*Table_NFI[[#This Row],[Shelter Tool kit]],Table_NFI[Shelter Tool kit])</f>
        <v>0</v>
      </c>
      <c r="AP739" s="331">
        <f>IF(NFI_Expiration=1,IF($A739&lt;VLOOKUP(V$5,NFI,5,0),1,0)*Table_NFI[[#This Row],[Tent]],Table_NFI[Tent])</f>
        <v>0</v>
      </c>
      <c r="AQ739" s="473" t="str">
        <f>IFERROR(VLOOKUP(Table_NFI[[#This Row],[Camp Name]],CL,2,0),"")</f>
        <v>MMR001CMP179</v>
      </c>
      <c r="AR739" s="468">
        <f ca="1">IF(Table_NFI[[#This Row],[Pcode]]="","",IF(OFFSET(CampList[Opening Date],MATCH(Table_NFI[[#This Row],[Pcode]],CampList[CP_Pcode],0)-1,0,1,1)&gt;=NFI_Monitor_Date,1,0))</f>
        <v>0</v>
      </c>
      <c r="AS739" s="473" t="str">
        <f>IFERROR(VLOOKUP(Table_NFI[[#This Row],[Camp Name]],CL,3,0),"")</f>
        <v>Open</v>
      </c>
      <c r="AT739" s="294" t="str">
        <f ca="1">IF(Table_NFI[[#This Row],[Pcode]]="","",OFFSET(CampList[Priority],MATCH(Table_NFI[[#This Row],[Pcode]],CampList[CP_Pcode],0)-1,0,1,1))</f>
        <v>P4</v>
      </c>
      <c r="AU739" s="293">
        <f>IFERROR(Table_NFI[[#This Row],[Kitchen Set]]/VLOOKUP(Table_NFI[[#This Row],[Camp Name]],CL,4,0),"")</f>
        <v>0.2537313432835821</v>
      </c>
      <c r="AV739" s="466" t="s">
        <v>1092</v>
      </c>
      <c r="AW739" s="469"/>
    </row>
    <row r="740" spans="1:49" ht="16.149999999999999" customHeight="1" x14ac:dyDescent="0.25">
      <c r="A740" s="297">
        <f t="shared" si="11"/>
        <v>45.033333333333331</v>
      </c>
      <c r="B740" s="465">
        <v>41324</v>
      </c>
      <c r="C740" s="466" t="s">
        <v>452</v>
      </c>
      <c r="D740" s="466" t="s">
        <v>452</v>
      </c>
      <c r="E740" s="466" t="s">
        <v>380</v>
      </c>
      <c r="F740" s="290" t="s">
        <v>527</v>
      </c>
      <c r="G740" s="290" t="s">
        <v>39</v>
      </c>
      <c r="H740" s="291"/>
      <c r="I740" s="291"/>
      <c r="J740" s="291">
        <v>1</v>
      </c>
      <c r="K740" s="291">
        <v>6</v>
      </c>
      <c r="L740" s="292">
        <v>3</v>
      </c>
      <c r="M740" s="292">
        <v>15</v>
      </c>
      <c r="N740" s="292">
        <v>4</v>
      </c>
      <c r="O740" s="292">
        <v>4</v>
      </c>
      <c r="P740" s="294">
        <v>4</v>
      </c>
      <c r="Q740" s="294">
        <v>4</v>
      </c>
      <c r="R740" s="294"/>
      <c r="S740" s="294"/>
      <c r="T740" s="294"/>
      <c r="U740" s="294"/>
      <c r="V740" s="431"/>
      <c r="W740" s="294"/>
      <c r="X740" s="294"/>
      <c r="Y740" s="294">
        <f>IF(NFI_Expiration=1,IF($A740&lt;VLOOKUP(H$5,NFI,5,0),1,0)*Table_NFI[[#This Row],[Hygiene Kit]],Table_NFI[Hygiene Kit])</f>
        <v>0</v>
      </c>
      <c r="Z740" s="294">
        <f>IF(NFI_Expiration=1,IF($A740&lt;VLOOKUP(I$5,NFI,5,0),1,0)*Table_NFI[[#This Row],[NFI Core Kit]],Table_NFI[NFI Core Kit])</f>
        <v>0</v>
      </c>
      <c r="AA740" s="294">
        <f>IF(NFI_Expiration=1,IF($A740&lt;VLOOKUP(J$5,NFI,5,0),1,0)*Table_NFI[[#This Row],[Sanitary Kit]],Table_NFI[Sanitary Kit])</f>
        <v>0</v>
      </c>
      <c r="AB740" s="294">
        <f>IF(NFI_Expiration=1,IF($A740&lt;VLOOKUP(K$5,NFI,5,0),1,0)*Table_NFI[[#This Row],[Mosquito net]],Table_NFI[Mosquito net])</f>
        <v>0</v>
      </c>
      <c r="AC740" s="294">
        <f>IF(NFI_Expiration=1,IF($A740&lt;VLOOKUP(L$5,NFI,5,0),1,0)*Table_NFI[[#This Row],[Tarpaulin]],Table_NFI[[#This Row],[Tarpaulin]])</f>
        <v>0</v>
      </c>
      <c r="AD740" s="294">
        <f>IF(NFI_Expiration=1,IF($A740&lt;VLOOKUP(M$5,NFI,5,0),1,0)*Table_NFI[[#This Row],[Blanket]],Table_NFI[[#This Row],[Blanket]])</f>
        <v>0</v>
      </c>
      <c r="AE740" s="294">
        <f>IF(NFI_Expiration=1,IF($A740&lt;VLOOKUP(N$5,NFI,5,0),1,0)*Table_NFI[[#This Row],[Kitchen Set]],Table_NFI[Kitchen Set])</f>
        <v>0</v>
      </c>
      <c r="AF740" s="294">
        <f>IF(NFI_Expiration=1,IF($A740&lt;VLOOKUP(O$5,NFI,5,0),1,0)*Table_NFI[[#This Row],[Clothes Kit]],Table_NFI[Clothes Kit])</f>
        <v>0</v>
      </c>
      <c r="AG740" s="294">
        <f>IF(NFI_Expiration=1,IF($A740&lt;VLOOKUP(P$5,NFI,5,0),1,0)*Table_NFI[[#This Row],[Plastic Bucket]],Table_NFI[Plastic Bucket])</f>
        <v>0</v>
      </c>
      <c r="AH740" s="294">
        <f>IF(NFI_Expiration=1,IF($A740&lt;VLOOKUP(Q$5,NFI,5,0),1,0)*Table_NFI[[#This Row],[Plastic Mat]],Table_NFI[Plastic Mat])*IF(Table_NFI[[#This Row],[Distribution Date]]&gt;"2014-04-01",1,2.5)</f>
        <v>0</v>
      </c>
      <c r="AI740" s="294">
        <f>IF(NFI_Expiration=1,IF($A740&lt;VLOOKUP(R$5,NFI,5,0),1,0)*Table_NFI[[#This Row],[Winter Clothes Adult]],Table_NFI[Winter Clothes Adult])</f>
        <v>0</v>
      </c>
      <c r="AJ740" s="294">
        <f>IF(NFI_Expiration=1,IF($A740&lt;VLOOKUP(S$5,NFI,5,0),1,0)*Table_NFI[[#This Row],[Winter Clothes Children]],Table_NFI[Winter Clothes Children])</f>
        <v>0</v>
      </c>
      <c r="AK740" s="294">
        <f>IF(NFI_Expiration=1,IF($A740&lt;VLOOKUP(T$5,NFI,5,0),1,0)*Table_NFI[[#This Row],[Winter Items Other]],Table_NFI[Winter Items Other])</f>
        <v>0</v>
      </c>
      <c r="AL740" s="294">
        <f>IF(NFI_Expiration=1,IF($A740&lt;VLOOKUP(M$5,NFI,5,0),1,0)*Table_NFI[[#This Row],[Winter Blanket]],Table_NFI[[#This Row],[Winter Blanket]])</f>
        <v>0</v>
      </c>
      <c r="AM740" s="294">
        <f>IF(Table_NFI[[#This Row],[Winter Clothes Adult]]+Table_NFI[[#This Row],[Winter Clothes Children]]+Table_NFI[[#This Row],[Winter Items Other]]+Table_NFI[[#This Row],[Winter Blanket]]&gt;0,1,0)</f>
        <v>0</v>
      </c>
      <c r="AN740" s="331">
        <f>IF(NFI_Expiration=1,IF($A740&lt;VLOOKUP(V$5,NFI,5,0),1,0)*Table_NFI[[#This Row],[Jerry Can]],Table_NFI[Jerry Can])</f>
        <v>0</v>
      </c>
      <c r="AO740" s="331">
        <f>IF(NFI_Expiration=1,IF($A740&lt;VLOOKUP(V$5,NFI,5,0),1,0)*Table_NFI[[#This Row],[Shelter Tool kit]],Table_NFI[Shelter Tool kit])</f>
        <v>0</v>
      </c>
      <c r="AP740" s="331">
        <f>IF(NFI_Expiration=1,IF($A740&lt;VLOOKUP(V$5,NFI,5,0),1,0)*Table_NFI[[#This Row],[Tent]],Table_NFI[Tent])</f>
        <v>0</v>
      </c>
      <c r="AQ740" s="473" t="str">
        <f>IFERROR(VLOOKUP(Table_NFI[[#This Row],[Camp Name]],CL,2,0),"")</f>
        <v>MMR001CMP173</v>
      </c>
      <c r="AR740" s="468">
        <f ca="1">IF(Table_NFI[[#This Row],[Pcode]]="","",IF(OFFSET(CampList[Opening Date],MATCH(Table_NFI[[#This Row],[Pcode]],CampList[CP_Pcode],0)-1,0,1,1)&gt;=NFI_Monitor_Date,1,0))</f>
        <v>0</v>
      </c>
      <c r="AS740" s="473" t="str">
        <f>IFERROR(VLOOKUP(Table_NFI[[#This Row],[Camp Name]],CL,3,0),"")</f>
        <v>Closed</v>
      </c>
      <c r="AT740" s="294" t="str">
        <f ca="1">IF(Table_NFI[[#This Row],[Pcode]]="","",OFFSET(CampList[Priority],MATCH(Table_NFI[[#This Row],[Pcode]],CampList[CP_Pcode],0)-1,0,1,1))</f>
        <v/>
      </c>
      <c r="AU740" s="293" t="str">
        <f>IFERROR(Table_NFI[[#This Row],[Kitchen Set]]/VLOOKUP(Table_NFI[[#This Row],[Camp Name]],CL,4,0),"")</f>
        <v/>
      </c>
      <c r="AV740" s="466" t="s">
        <v>1092</v>
      </c>
      <c r="AW740" s="469"/>
    </row>
    <row r="741" spans="1:49" ht="13.9" customHeight="1" x14ac:dyDescent="0.25">
      <c r="A741" s="297">
        <f t="shared" si="11"/>
        <v>45.033333333333331</v>
      </c>
      <c r="B741" s="465">
        <v>41324</v>
      </c>
      <c r="C741" s="466" t="s">
        <v>452</v>
      </c>
      <c r="D741" s="466" t="s">
        <v>452</v>
      </c>
      <c r="E741" s="466" t="s">
        <v>380</v>
      </c>
      <c r="F741" s="290" t="s">
        <v>527</v>
      </c>
      <c r="G741" s="290" t="s">
        <v>39</v>
      </c>
      <c r="H741" s="291"/>
      <c r="I741" s="291"/>
      <c r="J741" s="291">
        <v>92</v>
      </c>
      <c r="K741" s="291">
        <v>130</v>
      </c>
      <c r="L741" s="292">
        <v>67</v>
      </c>
      <c r="M741" s="292">
        <v>130</v>
      </c>
      <c r="N741" s="292">
        <v>67</v>
      </c>
      <c r="O741" s="292">
        <v>67</v>
      </c>
      <c r="P741" s="294">
        <v>67</v>
      </c>
      <c r="Q741" s="294">
        <v>67</v>
      </c>
      <c r="R741" s="294"/>
      <c r="S741" s="294"/>
      <c r="T741" s="294"/>
      <c r="U741" s="294"/>
      <c r="V741" s="431"/>
      <c r="W741" s="294"/>
      <c r="X741" s="294"/>
      <c r="Y741" s="294">
        <f>IF(NFI_Expiration=1,IF($A741&lt;VLOOKUP(H$5,NFI,5,0),1,0)*Table_NFI[[#This Row],[Hygiene Kit]],Table_NFI[Hygiene Kit])</f>
        <v>0</v>
      </c>
      <c r="Z741" s="294">
        <f>IF(NFI_Expiration=1,IF($A741&lt;VLOOKUP(I$5,NFI,5,0),1,0)*Table_NFI[[#This Row],[NFI Core Kit]],Table_NFI[NFI Core Kit])</f>
        <v>0</v>
      </c>
      <c r="AA741" s="294">
        <f>IF(NFI_Expiration=1,IF($A741&lt;VLOOKUP(J$5,NFI,5,0),1,0)*Table_NFI[[#This Row],[Sanitary Kit]],Table_NFI[Sanitary Kit])</f>
        <v>0</v>
      </c>
      <c r="AB741" s="294">
        <f>IF(NFI_Expiration=1,IF($A741&lt;VLOOKUP(K$5,NFI,5,0),1,0)*Table_NFI[[#This Row],[Mosquito net]],Table_NFI[Mosquito net])</f>
        <v>0</v>
      </c>
      <c r="AC741" s="294">
        <f>IF(NFI_Expiration=1,IF($A741&lt;VLOOKUP(L$5,NFI,5,0),1,0)*Table_NFI[[#This Row],[Tarpaulin]],Table_NFI[[#This Row],[Tarpaulin]])</f>
        <v>0</v>
      </c>
      <c r="AD741" s="294">
        <f>IF(NFI_Expiration=1,IF($A741&lt;VLOOKUP(M$5,NFI,5,0),1,0)*Table_NFI[[#This Row],[Blanket]],Table_NFI[[#This Row],[Blanket]])</f>
        <v>0</v>
      </c>
      <c r="AE741" s="294">
        <f>IF(NFI_Expiration=1,IF($A741&lt;VLOOKUP(N$5,NFI,5,0),1,0)*Table_NFI[[#This Row],[Kitchen Set]],Table_NFI[Kitchen Set])</f>
        <v>0</v>
      </c>
      <c r="AF741" s="294">
        <f>IF(NFI_Expiration=1,IF($A741&lt;VLOOKUP(O$5,NFI,5,0),1,0)*Table_NFI[[#This Row],[Clothes Kit]],Table_NFI[Clothes Kit])</f>
        <v>0</v>
      </c>
      <c r="AG741" s="294">
        <f>IF(NFI_Expiration=1,IF($A741&lt;VLOOKUP(P$5,NFI,5,0),1,0)*Table_NFI[[#This Row],[Plastic Bucket]],Table_NFI[Plastic Bucket])</f>
        <v>0</v>
      </c>
      <c r="AH741" s="294">
        <f>IF(NFI_Expiration=1,IF($A741&lt;VLOOKUP(Q$5,NFI,5,0),1,0)*Table_NFI[[#This Row],[Plastic Mat]],Table_NFI[Plastic Mat])*IF(Table_NFI[[#This Row],[Distribution Date]]&gt;"2014-04-01",1,2.5)</f>
        <v>0</v>
      </c>
      <c r="AI741" s="294">
        <f>IF(NFI_Expiration=1,IF($A741&lt;VLOOKUP(R$5,NFI,5,0),1,0)*Table_NFI[[#This Row],[Winter Clothes Adult]],Table_NFI[Winter Clothes Adult])</f>
        <v>0</v>
      </c>
      <c r="AJ741" s="294">
        <f>IF(NFI_Expiration=1,IF($A741&lt;VLOOKUP(S$5,NFI,5,0),1,0)*Table_NFI[[#This Row],[Winter Clothes Children]],Table_NFI[Winter Clothes Children])</f>
        <v>0</v>
      </c>
      <c r="AK741" s="294">
        <f>IF(NFI_Expiration=1,IF($A741&lt;VLOOKUP(T$5,NFI,5,0),1,0)*Table_NFI[[#This Row],[Winter Items Other]],Table_NFI[Winter Items Other])</f>
        <v>0</v>
      </c>
      <c r="AL741" s="294">
        <f>IF(NFI_Expiration=1,IF($A741&lt;VLOOKUP(M$5,NFI,5,0),1,0)*Table_NFI[[#This Row],[Winter Blanket]],Table_NFI[[#This Row],[Winter Blanket]])</f>
        <v>0</v>
      </c>
      <c r="AM741" s="294">
        <f>IF(Table_NFI[[#This Row],[Winter Clothes Adult]]+Table_NFI[[#This Row],[Winter Clothes Children]]+Table_NFI[[#This Row],[Winter Items Other]]+Table_NFI[[#This Row],[Winter Blanket]]&gt;0,1,0)</f>
        <v>0</v>
      </c>
      <c r="AN741" s="331">
        <f>IF(NFI_Expiration=1,IF($A741&lt;VLOOKUP(V$5,NFI,5,0),1,0)*Table_NFI[[#This Row],[Jerry Can]],Table_NFI[Jerry Can])</f>
        <v>0</v>
      </c>
      <c r="AO741" s="331">
        <f>IF(NFI_Expiration=1,IF($A741&lt;VLOOKUP(V$5,NFI,5,0),1,0)*Table_NFI[[#This Row],[Shelter Tool kit]],Table_NFI[Shelter Tool kit])</f>
        <v>0</v>
      </c>
      <c r="AP741" s="331">
        <f>IF(NFI_Expiration=1,IF($A741&lt;VLOOKUP(V$5,NFI,5,0),1,0)*Table_NFI[[#This Row],[Tent]],Table_NFI[Tent])</f>
        <v>0</v>
      </c>
      <c r="AQ741" s="473" t="str">
        <f>IFERROR(VLOOKUP(Table_NFI[[#This Row],[Camp Name]],CL,2,0),"")</f>
        <v>MMR001CMP173</v>
      </c>
      <c r="AR741" s="468">
        <f ca="1">IF(Table_NFI[[#This Row],[Pcode]]="","",IF(OFFSET(CampList[Opening Date],MATCH(Table_NFI[[#This Row],[Pcode]],CampList[CP_Pcode],0)-1,0,1,1)&gt;=NFI_Monitor_Date,1,0))</f>
        <v>0</v>
      </c>
      <c r="AS741" s="473" t="str">
        <f>IFERROR(VLOOKUP(Table_NFI[[#This Row],[Camp Name]],CL,3,0),"")</f>
        <v>Closed</v>
      </c>
      <c r="AT741" s="294" t="str">
        <f ca="1">IF(Table_NFI[[#This Row],[Pcode]]="","",OFFSET(CampList[Priority],MATCH(Table_NFI[[#This Row],[Pcode]],CampList[CP_Pcode],0)-1,0,1,1))</f>
        <v/>
      </c>
      <c r="AU741" s="293" t="str">
        <f>IFERROR(Table_NFI[[#This Row],[Kitchen Set]]/VLOOKUP(Table_NFI[[#This Row],[Camp Name]],CL,4,0),"")</f>
        <v/>
      </c>
      <c r="AV741" s="466" t="s">
        <v>1092</v>
      </c>
      <c r="AW741" s="469"/>
    </row>
    <row r="742" spans="1:49" ht="14.45" customHeight="1" x14ac:dyDescent="0.25">
      <c r="A742" s="297">
        <f t="shared" si="11"/>
        <v>45.033333333333331</v>
      </c>
      <c r="B742" s="465">
        <v>41324</v>
      </c>
      <c r="C742" s="466" t="s">
        <v>452</v>
      </c>
      <c r="D742" s="467" t="s">
        <v>452</v>
      </c>
      <c r="E742" s="466" t="s">
        <v>380</v>
      </c>
      <c r="F742" s="290" t="s">
        <v>527</v>
      </c>
      <c r="G742" s="290" t="s">
        <v>48</v>
      </c>
      <c r="H742" s="291"/>
      <c r="I742" s="291"/>
      <c r="J742" s="291">
        <v>8</v>
      </c>
      <c r="K742" s="291">
        <v>16</v>
      </c>
      <c r="L742" s="292">
        <v>8</v>
      </c>
      <c r="M742" s="292">
        <v>16</v>
      </c>
      <c r="N742" s="292">
        <v>8</v>
      </c>
      <c r="O742" s="292">
        <v>8</v>
      </c>
      <c r="P742" s="294">
        <v>8</v>
      </c>
      <c r="Q742" s="294">
        <v>8</v>
      </c>
      <c r="R742" s="294"/>
      <c r="S742" s="294"/>
      <c r="T742" s="294"/>
      <c r="U742" s="294"/>
      <c r="V742" s="431"/>
      <c r="W742" s="294"/>
      <c r="X742" s="294"/>
      <c r="Y742" s="294">
        <f>IF(NFI_Expiration=1,IF($A742&lt;VLOOKUP(H$5,NFI,5,0),1,0)*Table_NFI[[#This Row],[Hygiene Kit]],Table_NFI[Hygiene Kit])</f>
        <v>0</v>
      </c>
      <c r="Z742" s="294">
        <f>IF(NFI_Expiration=1,IF($A742&lt;VLOOKUP(I$5,NFI,5,0),1,0)*Table_NFI[[#This Row],[NFI Core Kit]],Table_NFI[NFI Core Kit])</f>
        <v>0</v>
      </c>
      <c r="AA742" s="294">
        <f>IF(NFI_Expiration=1,IF($A742&lt;VLOOKUP(J$5,NFI,5,0),1,0)*Table_NFI[[#This Row],[Sanitary Kit]],Table_NFI[Sanitary Kit])</f>
        <v>0</v>
      </c>
      <c r="AB742" s="294">
        <f>IF(NFI_Expiration=1,IF($A742&lt;VLOOKUP(K$5,NFI,5,0),1,0)*Table_NFI[[#This Row],[Mosquito net]],Table_NFI[Mosquito net])</f>
        <v>0</v>
      </c>
      <c r="AC742" s="294">
        <f>IF(NFI_Expiration=1,IF($A742&lt;VLOOKUP(L$5,NFI,5,0),1,0)*Table_NFI[[#This Row],[Tarpaulin]],Table_NFI[[#This Row],[Tarpaulin]])</f>
        <v>0</v>
      </c>
      <c r="AD742" s="294">
        <f>IF(NFI_Expiration=1,IF($A742&lt;VLOOKUP(M$5,NFI,5,0),1,0)*Table_NFI[[#This Row],[Blanket]],Table_NFI[[#This Row],[Blanket]])</f>
        <v>0</v>
      </c>
      <c r="AE742" s="294">
        <f>IF(NFI_Expiration=1,IF($A742&lt;VLOOKUP(N$5,NFI,5,0),1,0)*Table_NFI[[#This Row],[Kitchen Set]],Table_NFI[Kitchen Set])</f>
        <v>0</v>
      </c>
      <c r="AF742" s="294">
        <f>IF(NFI_Expiration=1,IF($A742&lt;VLOOKUP(O$5,NFI,5,0),1,0)*Table_NFI[[#This Row],[Clothes Kit]],Table_NFI[Clothes Kit])</f>
        <v>0</v>
      </c>
      <c r="AG742" s="294">
        <f>IF(NFI_Expiration=1,IF($A742&lt;VLOOKUP(P$5,NFI,5,0),1,0)*Table_NFI[[#This Row],[Plastic Bucket]],Table_NFI[Plastic Bucket])</f>
        <v>0</v>
      </c>
      <c r="AH742" s="294">
        <f>IF(NFI_Expiration=1,IF($A742&lt;VLOOKUP(Q$5,NFI,5,0),1,0)*Table_NFI[[#This Row],[Plastic Mat]],Table_NFI[Plastic Mat])*IF(Table_NFI[[#This Row],[Distribution Date]]&gt;"2014-04-01",1,2.5)</f>
        <v>0</v>
      </c>
      <c r="AI742" s="294">
        <f>IF(NFI_Expiration=1,IF($A742&lt;VLOOKUP(R$5,NFI,5,0),1,0)*Table_NFI[[#This Row],[Winter Clothes Adult]],Table_NFI[Winter Clothes Adult])</f>
        <v>0</v>
      </c>
      <c r="AJ742" s="294">
        <f>IF(NFI_Expiration=1,IF($A742&lt;VLOOKUP(S$5,NFI,5,0),1,0)*Table_NFI[[#This Row],[Winter Clothes Children]],Table_NFI[Winter Clothes Children])</f>
        <v>0</v>
      </c>
      <c r="AK742" s="294">
        <f>IF(NFI_Expiration=1,IF($A742&lt;VLOOKUP(T$5,NFI,5,0),1,0)*Table_NFI[[#This Row],[Winter Items Other]],Table_NFI[Winter Items Other])</f>
        <v>0</v>
      </c>
      <c r="AL742" s="294">
        <f>IF(NFI_Expiration=1,IF($A742&lt;VLOOKUP(M$5,NFI,5,0),1,0)*Table_NFI[[#This Row],[Winter Blanket]],Table_NFI[[#This Row],[Winter Blanket]])</f>
        <v>0</v>
      </c>
      <c r="AM742" s="294">
        <f>IF(Table_NFI[[#This Row],[Winter Clothes Adult]]+Table_NFI[[#This Row],[Winter Clothes Children]]+Table_NFI[[#This Row],[Winter Items Other]]+Table_NFI[[#This Row],[Winter Blanket]]&gt;0,1,0)</f>
        <v>0</v>
      </c>
      <c r="AN742" s="331">
        <f>IF(NFI_Expiration=1,IF($A742&lt;VLOOKUP(V$5,NFI,5,0),1,0)*Table_NFI[[#This Row],[Jerry Can]],Table_NFI[Jerry Can])</f>
        <v>0</v>
      </c>
      <c r="AO742" s="331">
        <f>IF(NFI_Expiration=1,IF($A742&lt;VLOOKUP(V$5,NFI,5,0),1,0)*Table_NFI[[#This Row],[Shelter Tool kit]],Table_NFI[Shelter Tool kit])</f>
        <v>0</v>
      </c>
      <c r="AP742" s="331">
        <f>IF(NFI_Expiration=1,IF($A742&lt;VLOOKUP(V$5,NFI,5,0),1,0)*Table_NFI[[#This Row],[Tent]],Table_NFI[Tent])</f>
        <v>0</v>
      </c>
      <c r="AQ742" s="473" t="str">
        <f>IFERROR(VLOOKUP(Table_NFI[[#This Row],[Camp Name]],CL,2,0),"")</f>
        <v>MMR001CMP170</v>
      </c>
      <c r="AR742" s="468">
        <f ca="1">IF(Table_NFI[[#This Row],[Pcode]]="","",IF(OFFSET(CampList[Opening Date],MATCH(Table_NFI[[#This Row],[Pcode]],CampList[CP_Pcode],0)-1,0,1,1)&gt;=NFI_Monitor_Date,1,0))</f>
        <v>0</v>
      </c>
      <c r="AS742" s="473" t="str">
        <f>IFERROR(VLOOKUP(Table_NFI[[#This Row],[Camp Name]],CL,3,0),"")</f>
        <v>Closed</v>
      </c>
      <c r="AT742" s="294" t="str">
        <f ca="1">IF(Table_NFI[[#This Row],[Pcode]]="","",OFFSET(CampList[Priority],MATCH(Table_NFI[[#This Row],[Pcode]],CampList[CP_Pcode],0)-1,0,1,1))</f>
        <v/>
      </c>
      <c r="AU742" s="293" t="str">
        <f>IFERROR(Table_NFI[[#This Row],[Kitchen Set]]/VLOOKUP(Table_NFI[[#This Row],[Camp Name]],CL,4,0),"")</f>
        <v/>
      </c>
      <c r="AV742" s="466" t="s">
        <v>1092</v>
      </c>
      <c r="AW742" s="469"/>
    </row>
    <row r="743" spans="1:49" x14ac:dyDescent="0.25">
      <c r="A743" s="297">
        <f t="shared" si="11"/>
        <v>45.033333333333331</v>
      </c>
      <c r="B743" s="465">
        <v>41324</v>
      </c>
      <c r="C743" s="466" t="s">
        <v>452</v>
      </c>
      <c r="D743" s="467" t="s">
        <v>452</v>
      </c>
      <c r="E743" s="466" t="s">
        <v>380</v>
      </c>
      <c r="F743" s="290" t="s">
        <v>527</v>
      </c>
      <c r="G743" s="290" t="s">
        <v>76</v>
      </c>
      <c r="H743" s="291"/>
      <c r="I743" s="291"/>
      <c r="J743" s="291">
        <v>74</v>
      </c>
      <c r="K743" s="291">
        <v>105</v>
      </c>
      <c r="L743" s="292">
        <v>59</v>
      </c>
      <c r="M743" s="292">
        <v>105</v>
      </c>
      <c r="N743" s="292">
        <v>59</v>
      </c>
      <c r="O743" s="292">
        <v>59</v>
      </c>
      <c r="P743" s="294">
        <v>59</v>
      </c>
      <c r="Q743" s="294">
        <v>59</v>
      </c>
      <c r="R743" s="294"/>
      <c r="S743" s="294"/>
      <c r="T743" s="294"/>
      <c r="U743" s="294"/>
      <c r="V743" s="431"/>
      <c r="W743" s="294"/>
      <c r="X743" s="294"/>
      <c r="Y743" s="294">
        <f>IF(NFI_Expiration=1,IF($A743&lt;VLOOKUP(H$5,NFI,5,0),1,0)*Table_NFI[[#This Row],[Hygiene Kit]],Table_NFI[Hygiene Kit])</f>
        <v>0</v>
      </c>
      <c r="Z743" s="294">
        <f>IF(NFI_Expiration=1,IF($A743&lt;VLOOKUP(I$5,NFI,5,0),1,0)*Table_NFI[[#This Row],[NFI Core Kit]],Table_NFI[NFI Core Kit])</f>
        <v>0</v>
      </c>
      <c r="AA743" s="294">
        <f>IF(NFI_Expiration=1,IF($A743&lt;VLOOKUP(J$5,NFI,5,0),1,0)*Table_NFI[[#This Row],[Sanitary Kit]],Table_NFI[Sanitary Kit])</f>
        <v>0</v>
      </c>
      <c r="AB743" s="294">
        <f>IF(NFI_Expiration=1,IF($A743&lt;VLOOKUP(K$5,NFI,5,0),1,0)*Table_NFI[[#This Row],[Mosquito net]],Table_NFI[Mosquito net])</f>
        <v>0</v>
      </c>
      <c r="AC743" s="294">
        <f>IF(NFI_Expiration=1,IF($A743&lt;VLOOKUP(L$5,NFI,5,0),1,0)*Table_NFI[[#This Row],[Tarpaulin]],Table_NFI[[#This Row],[Tarpaulin]])</f>
        <v>0</v>
      </c>
      <c r="AD743" s="294">
        <f>IF(NFI_Expiration=1,IF($A743&lt;VLOOKUP(M$5,NFI,5,0),1,0)*Table_NFI[[#This Row],[Blanket]],Table_NFI[[#This Row],[Blanket]])</f>
        <v>0</v>
      </c>
      <c r="AE743" s="294">
        <f>IF(NFI_Expiration=1,IF($A743&lt;VLOOKUP(N$5,NFI,5,0),1,0)*Table_NFI[[#This Row],[Kitchen Set]],Table_NFI[Kitchen Set])</f>
        <v>0</v>
      </c>
      <c r="AF743" s="294">
        <f>IF(NFI_Expiration=1,IF($A743&lt;VLOOKUP(O$5,NFI,5,0),1,0)*Table_NFI[[#This Row],[Clothes Kit]],Table_NFI[Clothes Kit])</f>
        <v>0</v>
      </c>
      <c r="AG743" s="294">
        <f>IF(NFI_Expiration=1,IF($A743&lt;VLOOKUP(P$5,NFI,5,0),1,0)*Table_NFI[[#This Row],[Plastic Bucket]],Table_NFI[Plastic Bucket])</f>
        <v>0</v>
      </c>
      <c r="AH743" s="294">
        <f>IF(NFI_Expiration=1,IF($A743&lt;VLOOKUP(Q$5,NFI,5,0),1,0)*Table_NFI[[#This Row],[Plastic Mat]],Table_NFI[Plastic Mat])*IF(Table_NFI[[#This Row],[Distribution Date]]&gt;"2014-04-01",1,2.5)</f>
        <v>0</v>
      </c>
      <c r="AI743" s="294">
        <f>IF(NFI_Expiration=1,IF($A743&lt;VLOOKUP(R$5,NFI,5,0),1,0)*Table_NFI[[#This Row],[Winter Clothes Adult]],Table_NFI[Winter Clothes Adult])</f>
        <v>0</v>
      </c>
      <c r="AJ743" s="294">
        <f>IF(NFI_Expiration=1,IF($A743&lt;VLOOKUP(S$5,NFI,5,0),1,0)*Table_NFI[[#This Row],[Winter Clothes Children]],Table_NFI[Winter Clothes Children])</f>
        <v>0</v>
      </c>
      <c r="AK743" s="294">
        <f>IF(NFI_Expiration=1,IF($A743&lt;VLOOKUP(T$5,NFI,5,0),1,0)*Table_NFI[[#This Row],[Winter Items Other]],Table_NFI[Winter Items Other])</f>
        <v>0</v>
      </c>
      <c r="AL743" s="294">
        <f>IF(NFI_Expiration=1,IF($A743&lt;VLOOKUP(M$5,NFI,5,0),1,0)*Table_NFI[[#This Row],[Winter Blanket]],Table_NFI[[#This Row],[Winter Blanket]])</f>
        <v>0</v>
      </c>
      <c r="AM743" s="294">
        <f>IF(Table_NFI[[#This Row],[Winter Clothes Adult]]+Table_NFI[[#This Row],[Winter Clothes Children]]+Table_NFI[[#This Row],[Winter Items Other]]+Table_NFI[[#This Row],[Winter Blanket]]&gt;0,1,0)</f>
        <v>0</v>
      </c>
      <c r="AN743" s="331">
        <f>IF(NFI_Expiration=1,IF($A743&lt;VLOOKUP(V$5,NFI,5,0),1,0)*Table_NFI[[#This Row],[Jerry Can]],Table_NFI[Jerry Can])</f>
        <v>0</v>
      </c>
      <c r="AO743" s="331">
        <f>IF(NFI_Expiration=1,IF($A743&lt;VLOOKUP(V$5,NFI,5,0),1,0)*Table_NFI[[#This Row],[Shelter Tool kit]],Table_NFI[Shelter Tool kit])</f>
        <v>0</v>
      </c>
      <c r="AP743" s="331">
        <f>IF(NFI_Expiration=1,IF($A743&lt;VLOOKUP(V$5,NFI,5,0),1,0)*Table_NFI[[#This Row],[Tent]],Table_NFI[Tent])</f>
        <v>0</v>
      </c>
      <c r="AQ743" s="473" t="str">
        <f>IFERROR(VLOOKUP(Table_NFI[[#This Row],[Camp Name]],CL,2,0),"")</f>
        <v>MMR001CMP174</v>
      </c>
      <c r="AR743" s="468">
        <f ca="1">IF(Table_NFI[[#This Row],[Pcode]]="","",IF(OFFSET(CampList[Opening Date],MATCH(Table_NFI[[#This Row],[Pcode]],CampList[CP_Pcode],0)-1,0,1,1)&gt;=NFI_Monitor_Date,1,0))</f>
        <v>0</v>
      </c>
      <c r="AS743" s="473" t="str">
        <f>IFERROR(VLOOKUP(Table_NFI[[#This Row],[Camp Name]],CL,3,0),"")</f>
        <v>Open</v>
      </c>
      <c r="AT743" s="294" t="str">
        <f ca="1">IF(Table_NFI[[#This Row],[Pcode]]="","",OFFSET(CampList[Priority],MATCH(Table_NFI[[#This Row],[Pcode]],CampList[CP_Pcode],0)-1,0,1,1))</f>
        <v>P4</v>
      </c>
      <c r="AU743" s="293">
        <f>IFERROR(Table_NFI[[#This Row],[Kitchen Set]]/VLOOKUP(Table_NFI[[#This Row],[Camp Name]],CL,4,0),"")</f>
        <v>0.89393939393939392</v>
      </c>
      <c r="AV743" s="466" t="s">
        <v>1092</v>
      </c>
      <c r="AW743" s="469"/>
    </row>
    <row r="744" spans="1:49" ht="14.45" customHeight="1" x14ac:dyDescent="0.25">
      <c r="A744" s="297">
        <f t="shared" si="11"/>
        <v>45.033333333333331</v>
      </c>
      <c r="B744" s="465">
        <v>41324</v>
      </c>
      <c r="C744" s="466" t="s">
        <v>452</v>
      </c>
      <c r="D744" s="467" t="s">
        <v>452</v>
      </c>
      <c r="E744" s="466" t="s">
        <v>380</v>
      </c>
      <c r="F744" s="290" t="s">
        <v>527</v>
      </c>
      <c r="G744" s="290" t="s">
        <v>98</v>
      </c>
      <c r="H744" s="291"/>
      <c r="I744" s="291"/>
      <c r="J744" s="291">
        <v>9</v>
      </c>
      <c r="K744" s="291">
        <v>21</v>
      </c>
      <c r="L744" s="292">
        <v>9</v>
      </c>
      <c r="M744" s="292">
        <v>21</v>
      </c>
      <c r="N744" s="292">
        <v>9</v>
      </c>
      <c r="O744" s="292">
        <v>9</v>
      </c>
      <c r="P744" s="294">
        <v>9</v>
      </c>
      <c r="Q744" s="294">
        <v>9</v>
      </c>
      <c r="R744" s="294"/>
      <c r="S744" s="294"/>
      <c r="T744" s="294"/>
      <c r="U744" s="294"/>
      <c r="V744" s="431"/>
      <c r="W744" s="294"/>
      <c r="X744" s="294"/>
      <c r="Y744" s="294">
        <f>IF(NFI_Expiration=1,IF($A744&lt;VLOOKUP(H$5,NFI,5,0),1,0)*Table_NFI[[#This Row],[Hygiene Kit]],Table_NFI[Hygiene Kit])</f>
        <v>0</v>
      </c>
      <c r="Z744" s="294">
        <f>IF(NFI_Expiration=1,IF($A744&lt;VLOOKUP(I$5,NFI,5,0),1,0)*Table_NFI[[#This Row],[NFI Core Kit]],Table_NFI[NFI Core Kit])</f>
        <v>0</v>
      </c>
      <c r="AA744" s="294">
        <f>IF(NFI_Expiration=1,IF($A744&lt;VLOOKUP(J$5,NFI,5,0),1,0)*Table_NFI[[#This Row],[Sanitary Kit]],Table_NFI[Sanitary Kit])</f>
        <v>0</v>
      </c>
      <c r="AB744" s="294">
        <f>IF(NFI_Expiration=1,IF($A744&lt;VLOOKUP(K$5,NFI,5,0),1,0)*Table_NFI[[#This Row],[Mosquito net]],Table_NFI[Mosquito net])</f>
        <v>0</v>
      </c>
      <c r="AC744" s="294">
        <f>IF(NFI_Expiration=1,IF($A744&lt;VLOOKUP(L$5,NFI,5,0),1,0)*Table_NFI[[#This Row],[Tarpaulin]],Table_NFI[[#This Row],[Tarpaulin]])</f>
        <v>0</v>
      </c>
      <c r="AD744" s="294">
        <f>IF(NFI_Expiration=1,IF($A744&lt;VLOOKUP(M$5,NFI,5,0),1,0)*Table_NFI[[#This Row],[Blanket]],Table_NFI[[#This Row],[Blanket]])</f>
        <v>0</v>
      </c>
      <c r="AE744" s="294">
        <f>IF(NFI_Expiration=1,IF($A744&lt;VLOOKUP(N$5,NFI,5,0),1,0)*Table_NFI[[#This Row],[Kitchen Set]],Table_NFI[Kitchen Set])</f>
        <v>0</v>
      </c>
      <c r="AF744" s="294">
        <f>IF(NFI_Expiration=1,IF($A744&lt;VLOOKUP(O$5,NFI,5,0),1,0)*Table_NFI[[#This Row],[Clothes Kit]],Table_NFI[Clothes Kit])</f>
        <v>0</v>
      </c>
      <c r="AG744" s="294">
        <f>IF(NFI_Expiration=1,IF($A744&lt;VLOOKUP(P$5,NFI,5,0),1,0)*Table_NFI[[#This Row],[Plastic Bucket]],Table_NFI[Plastic Bucket])</f>
        <v>0</v>
      </c>
      <c r="AH744" s="294">
        <f>IF(NFI_Expiration=1,IF($A744&lt;VLOOKUP(Q$5,NFI,5,0),1,0)*Table_NFI[[#This Row],[Plastic Mat]],Table_NFI[Plastic Mat])*IF(Table_NFI[[#This Row],[Distribution Date]]&gt;"2014-04-01",1,2.5)</f>
        <v>0</v>
      </c>
      <c r="AI744" s="294">
        <f>IF(NFI_Expiration=1,IF($A744&lt;VLOOKUP(R$5,NFI,5,0),1,0)*Table_NFI[[#This Row],[Winter Clothes Adult]],Table_NFI[Winter Clothes Adult])</f>
        <v>0</v>
      </c>
      <c r="AJ744" s="294">
        <f>IF(NFI_Expiration=1,IF($A744&lt;VLOOKUP(S$5,NFI,5,0),1,0)*Table_NFI[[#This Row],[Winter Clothes Children]],Table_NFI[Winter Clothes Children])</f>
        <v>0</v>
      </c>
      <c r="AK744" s="294">
        <f>IF(NFI_Expiration=1,IF($A744&lt;VLOOKUP(T$5,NFI,5,0),1,0)*Table_NFI[[#This Row],[Winter Items Other]],Table_NFI[Winter Items Other])</f>
        <v>0</v>
      </c>
      <c r="AL744" s="294">
        <f>IF(NFI_Expiration=1,IF($A744&lt;VLOOKUP(M$5,NFI,5,0),1,0)*Table_NFI[[#This Row],[Winter Blanket]],Table_NFI[[#This Row],[Winter Blanket]])</f>
        <v>0</v>
      </c>
      <c r="AM744" s="294">
        <f>IF(Table_NFI[[#This Row],[Winter Clothes Adult]]+Table_NFI[[#This Row],[Winter Clothes Children]]+Table_NFI[[#This Row],[Winter Items Other]]+Table_NFI[[#This Row],[Winter Blanket]]&gt;0,1,0)</f>
        <v>0</v>
      </c>
      <c r="AN744" s="331">
        <f>IF(NFI_Expiration=1,IF($A744&lt;VLOOKUP(V$5,NFI,5,0),1,0)*Table_NFI[[#This Row],[Jerry Can]],Table_NFI[Jerry Can])</f>
        <v>0</v>
      </c>
      <c r="AO744" s="331">
        <f>IF(NFI_Expiration=1,IF($A744&lt;VLOOKUP(V$5,NFI,5,0),1,0)*Table_NFI[[#This Row],[Shelter Tool kit]],Table_NFI[Shelter Tool kit])</f>
        <v>0</v>
      </c>
      <c r="AP744" s="331">
        <f>IF(NFI_Expiration=1,IF($A744&lt;VLOOKUP(V$5,NFI,5,0),1,0)*Table_NFI[[#This Row],[Tent]],Table_NFI[Tent])</f>
        <v>0</v>
      </c>
      <c r="AQ744" s="473" t="str">
        <f>IFERROR(VLOOKUP(Table_NFI[[#This Row],[Camp Name]],CL,2,0),"")</f>
        <v>MMR001CMP178</v>
      </c>
      <c r="AR744" s="468">
        <f ca="1">IF(Table_NFI[[#This Row],[Pcode]]="","",IF(OFFSET(CampList[Opening Date],MATCH(Table_NFI[[#This Row],[Pcode]],CampList[CP_Pcode],0)-1,0,1,1)&gt;=NFI_Monitor_Date,1,0))</f>
        <v>0</v>
      </c>
      <c r="AS744" s="473" t="str">
        <f>IFERROR(VLOOKUP(Table_NFI[[#This Row],[Camp Name]],CL,3,0),"")</f>
        <v>Closed</v>
      </c>
      <c r="AT744" s="294" t="str">
        <f ca="1">IF(Table_NFI[[#This Row],[Pcode]]="","",OFFSET(CampList[Priority],MATCH(Table_NFI[[#This Row],[Pcode]],CampList[CP_Pcode],0)-1,0,1,1))</f>
        <v/>
      </c>
      <c r="AU744" s="293" t="str">
        <f>IFERROR(Table_NFI[[#This Row],[Kitchen Set]]/VLOOKUP(Table_NFI[[#This Row],[Camp Name]],CL,4,0),"")</f>
        <v/>
      </c>
      <c r="AV744" s="466" t="s">
        <v>1092</v>
      </c>
      <c r="AW744" s="469"/>
    </row>
    <row r="745" spans="1:49" ht="14.45" customHeight="1" x14ac:dyDescent="0.25">
      <c r="A745" s="297">
        <f t="shared" si="11"/>
        <v>45.033333333333331</v>
      </c>
      <c r="B745" s="465">
        <v>41324</v>
      </c>
      <c r="C745" s="466" t="s">
        <v>452</v>
      </c>
      <c r="D745" s="467" t="s">
        <v>452</v>
      </c>
      <c r="E745" s="466" t="s">
        <v>380</v>
      </c>
      <c r="F745" s="290" t="s">
        <v>527</v>
      </c>
      <c r="G745" s="290" t="s">
        <v>611</v>
      </c>
      <c r="H745" s="291"/>
      <c r="I745" s="291"/>
      <c r="J745" s="291">
        <v>19</v>
      </c>
      <c r="K745" s="291">
        <v>30</v>
      </c>
      <c r="L745" s="292">
        <v>18</v>
      </c>
      <c r="M745" s="292">
        <v>68</v>
      </c>
      <c r="N745" s="292">
        <v>18</v>
      </c>
      <c r="O745" s="292">
        <v>18</v>
      </c>
      <c r="P745" s="294">
        <v>18</v>
      </c>
      <c r="Q745" s="294">
        <v>18</v>
      </c>
      <c r="R745" s="294"/>
      <c r="S745" s="294"/>
      <c r="T745" s="294"/>
      <c r="U745" s="294"/>
      <c r="V745" s="431"/>
      <c r="W745" s="294"/>
      <c r="X745" s="294"/>
      <c r="Y745" s="294">
        <f>IF(NFI_Expiration=1,IF($A745&lt;VLOOKUP(H$5,NFI,5,0),1,0)*Table_NFI[[#This Row],[Hygiene Kit]],Table_NFI[Hygiene Kit])</f>
        <v>0</v>
      </c>
      <c r="Z745" s="294">
        <f>IF(NFI_Expiration=1,IF($A745&lt;VLOOKUP(I$5,NFI,5,0),1,0)*Table_NFI[[#This Row],[NFI Core Kit]],Table_NFI[NFI Core Kit])</f>
        <v>0</v>
      </c>
      <c r="AA745" s="294">
        <f>IF(NFI_Expiration=1,IF($A745&lt;VLOOKUP(J$5,NFI,5,0),1,0)*Table_NFI[[#This Row],[Sanitary Kit]],Table_NFI[Sanitary Kit])</f>
        <v>0</v>
      </c>
      <c r="AB745" s="294">
        <f>IF(NFI_Expiration=1,IF($A745&lt;VLOOKUP(K$5,NFI,5,0),1,0)*Table_NFI[[#This Row],[Mosquito net]],Table_NFI[Mosquito net])</f>
        <v>0</v>
      </c>
      <c r="AC745" s="294">
        <f>IF(NFI_Expiration=1,IF($A745&lt;VLOOKUP(L$5,NFI,5,0),1,0)*Table_NFI[[#This Row],[Tarpaulin]],Table_NFI[[#This Row],[Tarpaulin]])</f>
        <v>0</v>
      </c>
      <c r="AD745" s="294">
        <f>IF(NFI_Expiration=1,IF($A745&lt;VLOOKUP(M$5,NFI,5,0),1,0)*Table_NFI[[#This Row],[Blanket]],Table_NFI[[#This Row],[Blanket]])</f>
        <v>0</v>
      </c>
      <c r="AE745" s="294">
        <f>IF(NFI_Expiration=1,IF($A745&lt;VLOOKUP(N$5,NFI,5,0),1,0)*Table_NFI[[#This Row],[Kitchen Set]],Table_NFI[Kitchen Set])</f>
        <v>0</v>
      </c>
      <c r="AF745" s="294">
        <f>IF(NFI_Expiration=1,IF($A745&lt;VLOOKUP(O$5,NFI,5,0),1,0)*Table_NFI[[#This Row],[Clothes Kit]],Table_NFI[Clothes Kit])</f>
        <v>0</v>
      </c>
      <c r="AG745" s="294">
        <f>IF(NFI_Expiration=1,IF($A745&lt;VLOOKUP(P$5,NFI,5,0),1,0)*Table_NFI[[#This Row],[Plastic Bucket]],Table_NFI[Plastic Bucket])</f>
        <v>0</v>
      </c>
      <c r="AH745" s="294">
        <f>IF(NFI_Expiration=1,IF($A745&lt;VLOOKUP(Q$5,NFI,5,0),1,0)*Table_NFI[[#This Row],[Plastic Mat]],Table_NFI[Plastic Mat])*IF(Table_NFI[[#This Row],[Distribution Date]]&gt;"2014-04-01",1,2.5)</f>
        <v>0</v>
      </c>
      <c r="AI745" s="294">
        <f>IF(NFI_Expiration=1,IF($A745&lt;VLOOKUP(R$5,NFI,5,0),1,0)*Table_NFI[[#This Row],[Winter Clothes Adult]],Table_NFI[Winter Clothes Adult])</f>
        <v>0</v>
      </c>
      <c r="AJ745" s="294">
        <f>IF(NFI_Expiration=1,IF($A745&lt;VLOOKUP(S$5,NFI,5,0),1,0)*Table_NFI[[#This Row],[Winter Clothes Children]],Table_NFI[Winter Clothes Children])</f>
        <v>0</v>
      </c>
      <c r="AK745" s="294">
        <f>IF(NFI_Expiration=1,IF($A745&lt;VLOOKUP(T$5,NFI,5,0),1,0)*Table_NFI[[#This Row],[Winter Items Other]],Table_NFI[Winter Items Other])</f>
        <v>0</v>
      </c>
      <c r="AL745" s="294">
        <f>IF(NFI_Expiration=1,IF($A745&lt;VLOOKUP(M$5,NFI,5,0),1,0)*Table_NFI[[#This Row],[Winter Blanket]],Table_NFI[[#This Row],[Winter Blanket]])</f>
        <v>0</v>
      </c>
      <c r="AM745" s="294">
        <f>IF(Table_NFI[[#This Row],[Winter Clothes Adult]]+Table_NFI[[#This Row],[Winter Clothes Children]]+Table_NFI[[#This Row],[Winter Items Other]]+Table_NFI[[#This Row],[Winter Blanket]]&gt;0,1,0)</f>
        <v>0</v>
      </c>
      <c r="AN745" s="331">
        <f>IF(NFI_Expiration=1,IF($A745&lt;VLOOKUP(V$5,NFI,5,0),1,0)*Table_NFI[[#This Row],[Jerry Can]],Table_NFI[Jerry Can])</f>
        <v>0</v>
      </c>
      <c r="AO745" s="331">
        <f>IF(NFI_Expiration=1,IF($A745&lt;VLOOKUP(V$5,NFI,5,0),1,0)*Table_NFI[[#This Row],[Shelter Tool kit]],Table_NFI[Shelter Tool kit])</f>
        <v>0</v>
      </c>
      <c r="AP745" s="331">
        <f>IF(NFI_Expiration=1,IF($A745&lt;VLOOKUP(V$5,NFI,5,0),1,0)*Table_NFI[[#This Row],[Tent]],Table_NFI[Tent])</f>
        <v>0</v>
      </c>
      <c r="AQ745" s="473" t="str">
        <f>IFERROR(VLOOKUP(Table_NFI[[#This Row],[Camp Name]],CL,2,0),"")</f>
        <v>MMR001CMP192</v>
      </c>
      <c r="AR745" s="468">
        <f ca="1">IF(Table_NFI[[#This Row],[Pcode]]="","",IF(OFFSET(CampList[Opening Date],MATCH(Table_NFI[[#This Row],[Pcode]],CampList[CP_Pcode],0)-1,0,1,1)&gt;=NFI_Monitor_Date,1,0))</f>
        <v>0</v>
      </c>
      <c r="AS745" s="473" t="str">
        <f>IFERROR(VLOOKUP(Table_NFI[[#This Row],[Camp Name]],CL,3,0),"")</f>
        <v>Open</v>
      </c>
      <c r="AT745" s="294" t="str">
        <f ca="1">IF(Table_NFI[[#This Row],[Pcode]]="","",OFFSET(CampList[Priority],MATCH(Table_NFI[[#This Row],[Pcode]],CampList[CP_Pcode],0)-1,0,1,1))</f>
        <v>P4</v>
      </c>
      <c r="AU745" s="293">
        <f>IFERROR(Table_NFI[[#This Row],[Kitchen Set]]/VLOOKUP(Table_NFI[[#This Row],[Camp Name]],CL,4,0),"")</f>
        <v>1.5</v>
      </c>
      <c r="AV745" s="466" t="s">
        <v>1092</v>
      </c>
      <c r="AW745" s="469"/>
    </row>
    <row r="746" spans="1:49" ht="14.45" customHeight="1" x14ac:dyDescent="0.25">
      <c r="A746" s="297">
        <f t="shared" si="11"/>
        <v>45.033333333333331</v>
      </c>
      <c r="B746" s="465">
        <v>41324</v>
      </c>
      <c r="C746" s="466" t="s">
        <v>452</v>
      </c>
      <c r="D746" s="467" t="s">
        <v>452</v>
      </c>
      <c r="E746" s="466" t="s">
        <v>380</v>
      </c>
      <c r="F746" s="290" t="s">
        <v>527</v>
      </c>
      <c r="G746" s="290" t="s">
        <v>74</v>
      </c>
      <c r="H746" s="291"/>
      <c r="I746" s="291"/>
      <c r="J746" s="291">
        <v>2</v>
      </c>
      <c r="K746" s="291">
        <v>3</v>
      </c>
      <c r="L746" s="292">
        <v>2</v>
      </c>
      <c r="M746" s="292">
        <v>7</v>
      </c>
      <c r="N746" s="292">
        <v>2</v>
      </c>
      <c r="O746" s="292">
        <v>2</v>
      </c>
      <c r="P746" s="294">
        <v>2</v>
      </c>
      <c r="Q746" s="294">
        <v>2</v>
      </c>
      <c r="R746" s="294"/>
      <c r="S746" s="294"/>
      <c r="T746" s="294"/>
      <c r="U746" s="294"/>
      <c r="V746" s="431"/>
      <c r="W746" s="294"/>
      <c r="X746" s="294"/>
      <c r="Y746" s="294">
        <f>IF(NFI_Expiration=1,IF($A746&lt;VLOOKUP(H$5,NFI,5,0),1,0)*Table_NFI[[#This Row],[Hygiene Kit]],Table_NFI[Hygiene Kit])</f>
        <v>0</v>
      </c>
      <c r="Z746" s="294">
        <f>IF(NFI_Expiration=1,IF($A746&lt;VLOOKUP(I$5,NFI,5,0),1,0)*Table_NFI[[#This Row],[NFI Core Kit]],Table_NFI[NFI Core Kit])</f>
        <v>0</v>
      </c>
      <c r="AA746" s="294">
        <f>IF(NFI_Expiration=1,IF($A746&lt;VLOOKUP(J$5,NFI,5,0),1,0)*Table_NFI[[#This Row],[Sanitary Kit]],Table_NFI[Sanitary Kit])</f>
        <v>0</v>
      </c>
      <c r="AB746" s="294">
        <f>IF(NFI_Expiration=1,IF($A746&lt;VLOOKUP(K$5,NFI,5,0),1,0)*Table_NFI[[#This Row],[Mosquito net]],Table_NFI[Mosquito net])</f>
        <v>0</v>
      </c>
      <c r="AC746" s="294">
        <f>IF(NFI_Expiration=1,IF($A746&lt;VLOOKUP(L$5,NFI,5,0),1,0)*Table_NFI[[#This Row],[Tarpaulin]],Table_NFI[[#This Row],[Tarpaulin]])</f>
        <v>0</v>
      </c>
      <c r="AD746" s="294">
        <f>IF(NFI_Expiration=1,IF($A746&lt;VLOOKUP(M$5,NFI,5,0),1,0)*Table_NFI[[#This Row],[Blanket]],Table_NFI[[#This Row],[Blanket]])</f>
        <v>0</v>
      </c>
      <c r="AE746" s="294">
        <f>IF(NFI_Expiration=1,IF($A746&lt;VLOOKUP(N$5,NFI,5,0),1,0)*Table_NFI[[#This Row],[Kitchen Set]],Table_NFI[Kitchen Set])</f>
        <v>0</v>
      </c>
      <c r="AF746" s="294">
        <f>IF(NFI_Expiration=1,IF($A746&lt;VLOOKUP(O$5,NFI,5,0),1,0)*Table_NFI[[#This Row],[Clothes Kit]],Table_NFI[Clothes Kit])</f>
        <v>0</v>
      </c>
      <c r="AG746" s="294">
        <f>IF(NFI_Expiration=1,IF($A746&lt;VLOOKUP(P$5,NFI,5,0),1,0)*Table_NFI[[#This Row],[Plastic Bucket]],Table_NFI[Plastic Bucket])</f>
        <v>0</v>
      </c>
      <c r="AH746" s="294">
        <f>IF(NFI_Expiration=1,IF($A746&lt;VLOOKUP(Q$5,NFI,5,0),1,0)*Table_NFI[[#This Row],[Plastic Mat]],Table_NFI[Plastic Mat])*IF(Table_NFI[[#This Row],[Distribution Date]]&gt;"2014-04-01",1,2.5)</f>
        <v>0</v>
      </c>
      <c r="AI746" s="294">
        <f>IF(NFI_Expiration=1,IF($A746&lt;VLOOKUP(R$5,NFI,5,0),1,0)*Table_NFI[[#This Row],[Winter Clothes Adult]],Table_NFI[Winter Clothes Adult])</f>
        <v>0</v>
      </c>
      <c r="AJ746" s="294">
        <f>IF(NFI_Expiration=1,IF($A746&lt;VLOOKUP(S$5,NFI,5,0),1,0)*Table_NFI[[#This Row],[Winter Clothes Children]],Table_NFI[Winter Clothes Children])</f>
        <v>0</v>
      </c>
      <c r="AK746" s="294">
        <f>IF(NFI_Expiration=1,IF($A746&lt;VLOOKUP(T$5,NFI,5,0),1,0)*Table_NFI[[#This Row],[Winter Items Other]],Table_NFI[Winter Items Other])</f>
        <v>0</v>
      </c>
      <c r="AL746" s="294">
        <f>IF(NFI_Expiration=1,IF($A746&lt;VLOOKUP(M$5,NFI,5,0),1,0)*Table_NFI[[#This Row],[Winter Blanket]],Table_NFI[[#This Row],[Winter Blanket]])</f>
        <v>0</v>
      </c>
      <c r="AM746" s="294">
        <f>IF(Table_NFI[[#This Row],[Winter Clothes Adult]]+Table_NFI[[#This Row],[Winter Clothes Children]]+Table_NFI[[#This Row],[Winter Items Other]]+Table_NFI[[#This Row],[Winter Blanket]]&gt;0,1,0)</f>
        <v>0</v>
      </c>
      <c r="AN746" s="331">
        <f>IF(NFI_Expiration=1,IF($A746&lt;VLOOKUP(V$5,NFI,5,0),1,0)*Table_NFI[[#This Row],[Jerry Can]],Table_NFI[Jerry Can])</f>
        <v>0</v>
      </c>
      <c r="AO746" s="331">
        <f>IF(NFI_Expiration=1,IF($A746&lt;VLOOKUP(V$5,NFI,5,0),1,0)*Table_NFI[[#This Row],[Shelter Tool kit]],Table_NFI[Shelter Tool kit])</f>
        <v>0</v>
      </c>
      <c r="AP746" s="331">
        <f>IF(NFI_Expiration=1,IF($A746&lt;VLOOKUP(V$5,NFI,5,0),1,0)*Table_NFI[[#This Row],[Tent]],Table_NFI[Tent])</f>
        <v>0</v>
      </c>
      <c r="AQ746" s="473" t="str">
        <f>IFERROR(VLOOKUP(Table_NFI[[#This Row],[Camp Name]],CL,2,0),"")</f>
        <v>MMR001CMP175</v>
      </c>
      <c r="AR746" s="468">
        <f ca="1">IF(Table_NFI[[#This Row],[Pcode]]="","",IF(OFFSET(CampList[Opening Date],MATCH(Table_NFI[[#This Row],[Pcode]],CampList[CP_Pcode],0)-1,0,1,1)&gt;=NFI_Monitor_Date,1,0))</f>
        <v>0</v>
      </c>
      <c r="AS746" s="473" t="str">
        <f>IFERROR(VLOOKUP(Table_NFI[[#This Row],[Camp Name]],CL,3,0),"")</f>
        <v>Closed</v>
      </c>
      <c r="AT746" s="294" t="str">
        <f ca="1">IF(Table_NFI[[#This Row],[Pcode]]="","",OFFSET(CampList[Priority],MATCH(Table_NFI[[#This Row],[Pcode]],CampList[CP_Pcode],0)-1,0,1,1))</f>
        <v/>
      </c>
      <c r="AU746" s="293" t="str">
        <f>IFERROR(Table_NFI[[#This Row],[Kitchen Set]]/VLOOKUP(Table_NFI[[#This Row],[Camp Name]],CL,4,0),"")</f>
        <v/>
      </c>
      <c r="AV746" s="466" t="s">
        <v>1092</v>
      </c>
      <c r="AW746" s="469"/>
    </row>
    <row r="747" spans="1:49" ht="14.45" customHeight="1" x14ac:dyDescent="0.25">
      <c r="A747" s="297">
        <f t="shared" si="11"/>
        <v>45.06666666666667</v>
      </c>
      <c r="B747" s="465">
        <v>41323</v>
      </c>
      <c r="C747" s="466" t="s">
        <v>452</v>
      </c>
      <c r="D747" s="467" t="s">
        <v>452</v>
      </c>
      <c r="E747" s="466" t="s">
        <v>380</v>
      </c>
      <c r="F747" s="290" t="s">
        <v>527</v>
      </c>
      <c r="G747" s="290" t="s">
        <v>88</v>
      </c>
      <c r="H747" s="291"/>
      <c r="I747" s="291"/>
      <c r="J747" s="291">
        <v>30</v>
      </c>
      <c r="K747" s="291">
        <v>0</v>
      </c>
      <c r="L747" s="292">
        <v>0</v>
      </c>
      <c r="M747" s="292">
        <v>0</v>
      </c>
      <c r="N747" s="292">
        <v>0</v>
      </c>
      <c r="O747" s="292">
        <v>0</v>
      </c>
      <c r="P747" s="294"/>
      <c r="Q747" s="294"/>
      <c r="R747" s="294"/>
      <c r="S747" s="294"/>
      <c r="T747" s="294"/>
      <c r="U747" s="294"/>
      <c r="V747" s="431"/>
      <c r="W747" s="294"/>
      <c r="X747" s="294"/>
      <c r="Y747" s="294">
        <f>IF(NFI_Expiration=1,IF($A747&lt;VLOOKUP(H$5,NFI,5,0),1,0)*Table_NFI[[#This Row],[Hygiene Kit]],Table_NFI[Hygiene Kit])</f>
        <v>0</v>
      </c>
      <c r="Z747" s="294">
        <f>IF(NFI_Expiration=1,IF($A747&lt;VLOOKUP(I$5,NFI,5,0),1,0)*Table_NFI[[#This Row],[NFI Core Kit]],Table_NFI[NFI Core Kit])</f>
        <v>0</v>
      </c>
      <c r="AA747" s="294">
        <f>IF(NFI_Expiration=1,IF($A747&lt;VLOOKUP(J$5,NFI,5,0),1,0)*Table_NFI[[#This Row],[Sanitary Kit]],Table_NFI[Sanitary Kit])</f>
        <v>0</v>
      </c>
      <c r="AB747" s="294">
        <f>IF(NFI_Expiration=1,IF($A747&lt;VLOOKUP(K$5,NFI,5,0),1,0)*Table_NFI[[#This Row],[Mosquito net]],Table_NFI[Mosquito net])</f>
        <v>0</v>
      </c>
      <c r="AC747" s="294">
        <f>IF(NFI_Expiration=1,IF($A747&lt;VLOOKUP(L$5,NFI,5,0),1,0)*Table_NFI[[#This Row],[Tarpaulin]],Table_NFI[[#This Row],[Tarpaulin]])</f>
        <v>0</v>
      </c>
      <c r="AD747" s="294">
        <f>IF(NFI_Expiration=1,IF($A747&lt;VLOOKUP(M$5,NFI,5,0),1,0)*Table_NFI[[#This Row],[Blanket]],Table_NFI[[#This Row],[Blanket]])</f>
        <v>0</v>
      </c>
      <c r="AE747" s="294">
        <f>IF(NFI_Expiration=1,IF($A747&lt;VLOOKUP(N$5,NFI,5,0),1,0)*Table_NFI[[#This Row],[Kitchen Set]],Table_NFI[Kitchen Set])</f>
        <v>0</v>
      </c>
      <c r="AF747" s="294">
        <f>IF(NFI_Expiration=1,IF($A747&lt;VLOOKUP(O$5,NFI,5,0),1,0)*Table_NFI[[#This Row],[Clothes Kit]],Table_NFI[Clothes Kit])</f>
        <v>0</v>
      </c>
      <c r="AG747" s="294">
        <f>IF(NFI_Expiration=1,IF($A747&lt;VLOOKUP(P$5,NFI,5,0),1,0)*Table_NFI[[#This Row],[Plastic Bucket]],Table_NFI[Plastic Bucket])</f>
        <v>0</v>
      </c>
      <c r="AH747" s="294">
        <f>IF(NFI_Expiration=1,IF($A747&lt;VLOOKUP(Q$5,NFI,5,0),1,0)*Table_NFI[[#This Row],[Plastic Mat]],Table_NFI[Plastic Mat])*IF(Table_NFI[[#This Row],[Distribution Date]]&gt;"2014-04-01",1,2.5)</f>
        <v>0</v>
      </c>
      <c r="AI747" s="294">
        <f>IF(NFI_Expiration=1,IF($A747&lt;VLOOKUP(R$5,NFI,5,0),1,0)*Table_NFI[[#This Row],[Winter Clothes Adult]],Table_NFI[Winter Clothes Adult])</f>
        <v>0</v>
      </c>
      <c r="AJ747" s="294">
        <f>IF(NFI_Expiration=1,IF($A747&lt;VLOOKUP(S$5,NFI,5,0),1,0)*Table_NFI[[#This Row],[Winter Clothes Children]],Table_NFI[Winter Clothes Children])</f>
        <v>0</v>
      </c>
      <c r="AK747" s="294">
        <f>IF(NFI_Expiration=1,IF($A747&lt;VLOOKUP(T$5,NFI,5,0),1,0)*Table_NFI[[#This Row],[Winter Items Other]],Table_NFI[Winter Items Other])</f>
        <v>0</v>
      </c>
      <c r="AL747" s="294">
        <f>IF(NFI_Expiration=1,IF($A747&lt;VLOOKUP(M$5,NFI,5,0),1,0)*Table_NFI[[#This Row],[Winter Blanket]],Table_NFI[[#This Row],[Winter Blanket]])</f>
        <v>0</v>
      </c>
      <c r="AM747" s="294">
        <f>IF(Table_NFI[[#This Row],[Winter Clothes Adult]]+Table_NFI[[#This Row],[Winter Clothes Children]]+Table_NFI[[#This Row],[Winter Items Other]]+Table_NFI[[#This Row],[Winter Blanket]]&gt;0,1,0)</f>
        <v>0</v>
      </c>
      <c r="AN747" s="331">
        <f>IF(NFI_Expiration=1,IF($A747&lt;VLOOKUP(V$5,NFI,5,0),1,0)*Table_NFI[[#This Row],[Jerry Can]],Table_NFI[Jerry Can])</f>
        <v>0</v>
      </c>
      <c r="AO747" s="331">
        <f>IF(NFI_Expiration=1,IF($A747&lt;VLOOKUP(V$5,NFI,5,0),1,0)*Table_NFI[[#This Row],[Shelter Tool kit]],Table_NFI[Shelter Tool kit])</f>
        <v>0</v>
      </c>
      <c r="AP747" s="331">
        <f>IF(NFI_Expiration=1,IF($A747&lt;VLOOKUP(V$5,NFI,5,0),1,0)*Table_NFI[[#This Row],[Tent]],Table_NFI[Tent])</f>
        <v>0</v>
      </c>
      <c r="AQ747" s="473" t="str">
        <f>IFERROR(VLOOKUP(Table_NFI[[#This Row],[Camp Name]],CL,2,0),"")</f>
        <v>MMR001CMP148</v>
      </c>
      <c r="AR747" s="468">
        <f ca="1">IF(Table_NFI[[#This Row],[Pcode]]="","",IF(OFFSET(CampList[Opening Date],MATCH(Table_NFI[[#This Row],[Pcode]],CampList[CP_Pcode],0)-1,0,1,1)&gt;=NFI_Monitor_Date,1,0))</f>
        <v>0</v>
      </c>
      <c r="AS747" s="473" t="str">
        <f>IFERROR(VLOOKUP(Table_NFI[[#This Row],[Camp Name]],CL,3,0),"")</f>
        <v>Open</v>
      </c>
      <c r="AT747" s="294" t="str">
        <f ca="1">IF(Table_NFI[[#This Row],[Pcode]]="","",OFFSET(CampList[Priority],MATCH(Table_NFI[[#This Row],[Pcode]],CampList[CP_Pcode],0)-1,0,1,1))</f>
        <v>P4</v>
      </c>
      <c r="AU747" s="293">
        <f>IFERROR(Table_NFI[[#This Row],[Kitchen Set]]/VLOOKUP(Table_NFI[[#This Row],[Camp Name]],CL,4,0),"")</f>
        <v>0</v>
      </c>
      <c r="AV747" s="466" t="s">
        <v>1092</v>
      </c>
      <c r="AW747" s="469"/>
    </row>
    <row r="748" spans="1:49" ht="14.45" customHeight="1" x14ac:dyDescent="0.25">
      <c r="A748" s="297">
        <f t="shared" si="11"/>
        <v>45.06666666666667</v>
      </c>
      <c r="B748" s="465">
        <v>41323</v>
      </c>
      <c r="C748" s="466" t="s">
        <v>452</v>
      </c>
      <c r="D748" s="467" t="s">
        <v>460</v>
      </c>
      <c r="E748" s="466" t="s">
        <v>553</v>
      </c>
      <c r="F748" s="290" t="s">
        <v>146</v>
      </c>
      <c r="G748" s="290" t="s">
        <v>369</v>
      </c>
      <c r="H748" s="291"/>
      <c r="I748" s="291"/>
      <c r="J748" s="291">
        <v>120</v>
      </c>
      <c r="K748" s="291">
        <v>120</v>
      </c>
      <c r="L748" s="292">
        <v>60</v>
      </c>
      <c r="M748" s="292">
        <v>120</v>
      </c>
      <c r="N748" s="292">
        <v>60</v>
      </c>
      <c r="O748" s="292">
        <v>60</v>
      </c>
      <c r="P748" s="294">
        <v>60</v>
      </c>
      <c r="Q748" s="294">
        <v>60</v>
      </c>
      <c r="R748" s="294"/>
      <c r="S748" s="294"/>
      <c r="T748" s="294"/>
      <c r="U748" s="294"/>
      <c r="V748" s="431"/>
      <c r="W748" s="294"/>
      <c r="X748" s="294"/>
      <c r="Y748" s="294">
        <f>IF(NFI_Expiration=1,IF($A748&lt;VLOOKUP(H$5,NFI,5,0),1,0)*Table_NFI[[#This Row],[Hygiene Kit]],Table_NFI[Hygiene Kit])</f>
        <v>0</v>
      </c>
      <c r="Z748" s="294">
        <f>IF(NFI_Expiration=1,IF($A748&lt;VLOOKUP(I$5,NFI,5,0),1,0)*Table_NFI[[#This Row],[NFI Core Kit]],Table_NFI[NFI Core Kit])</f>
        <v>0</v>
      </c>
      <c r="AA748" s="294">
        <f>IF(NFI_Expiration=1,IF($A748&lt;VLOOKUP(J$5,NFI,5,0),1,0)*Table_NFI[[#This Row],[Sanitary Kit]],Table_NFI[Sanitary Kit])</f>
        <v>0</v>
      </c>
      <c r="AB748" s="294">
        <f>IF(NFI_Expiration=1,IF($A748&lt;VLOOKUP(K$5,NFI,5,0),1,0)*Table_NFI[[#This Row],[Mosquito net]],Table_NFI[Mosquito net])</f>
        <v>0</v>
      </c>
      <c r="AC748" s="294">
        <f>IF(NFI_Expiration=1,IF($A748&lt;VLOOKUP(L$5,NFI,5,0),1,0)*Table_NFI[[#This Row],[Tarpaulin]],Table_NFI[[#This Row],[Tarpaulin]])</f>
        <v>0</v>
      </c>
      <c r="AD748" s="294">
        <f>IF(NFI_Expiration=1,IF($A748&lt;VLOOKUP(M$5,NFI,5,0),1,0)*Table_NFI[[#This Row],[Blanket]],Table_NFI[[#This Row],[Blanket]])</f>
        <v>0</v>
      </c>
      <c r="AE748" s="294">
        <f>IF(NFI_Expiration=1,IF($A748&lt;VLOOKUP(N$5,NFI,5,0),1,0)*Table_NFI[[#This Row],[Kitchen Set]],Table_NFI[Kitchen Set])</f>
        <v>0</v>
      </c>
      <c r="AF748" s="294">
        <f>IF(NFI_Expiration=1,IF($A748&lt;VLOOKUP(O$5,NFI,5,0),1,0)*Table_NFI[[#This Row],[Clothes Kit]],Table_NFI[Clothes Kit])</f>
        <v>0</v>
      </c>
      <c r="AG748" s="294">
        <f>IF(NFI_Expiration=1,IF($A748&lt;VLOOKUP(P$5,NFI,5,0),1,0)*Table_NFI[[#This Row],[Plastic Bucket]],Table_NFI[Plastic Bucket])</f>
        <v>0</v>
      </c>
      <c r="AH748" s="294">
        <f>IF(NFI_Expiration=1,IF($A748&lt;VLOOKUP(Q$5,NFI,5,0),1,0)*Table_NFI[[#This Row],[Plastic Mat]],Table_NFI[Plastic Mat])*IF(Table_NFI[[#This Row],[Distribution Date]]&gt;"2014-04-01",1,2.5)</f>
        <v>0</v>
      </c>
      <c r="AI748" s="294">
        <f>IF(NFI_Expiration=1,IF($A748&lt;VLOOKUP(R$5,NFI,5,0),1,0)*Table_NFI[[#This Row],[Winter Clothes Adult]],Table_NFI[Winter Clothes Adult])</f>
        <v>0</v>
      </c>
      <c r="AJ748" s="294">
        <f>IF(NFI_Expiration=1,IF($A748&lt;VLOOKUP(S$5,NFI,5,0),1,0)*Table_NFI[[#This Row],[Winter Clothes Children]],Table_NFI[Winter Clothes Children])</f>
        <v>0</v>
      </c>
      <c r="AK748" s="294">
        <f>IF(NFI_Expiration=1,IF($A748&lt;VLOOKUP(T$5,NFI,5,0),1,0)*Table_NFI[[#This Row],[Winter Items Other]],Table_NFI[Winter Items Other])</f>
        <v>0</v>
      </c>
      <c r="AL748" s="294">
        <f>IF(NFI_Expiration=1,IF($A748&lt;VLOOKUP(M$5,NFI,5,0),1,0)*Table_NFI[[#This Row],[Winter Blanket]],Table_NFI[[#This Row],[Winter Blanket]])</f>
        <v>0</v>
      </c>
      <c r="AM748" s="294">
        <f>IF(Table_NFI[[#This Row],[Winter Clothes Adult]]+Table_NFI[[#This Row],[Winter Clothes Children]]+Table_NFI[[#This Row],[Winter Items Other]]+Table_NFI[[#This Row],[Winter Blanket]]&gt;0,1,0)</f>
        <v>0</v>
      </c>
      <c r="AN748" s="331">
        <f>IF(NFI_Expiration=1,IF($A748&lt;VLOOKUP(V$5,NFI,5,0),1,0)*Table_NFI[[#This Row],[Jerry Can]],Table_NFI[Jerry Can])</f>
        <v>0</v>
      </c>
      <c r="AO748" s="331">
        <f>IF(NFI_Expiration=1,IF($A748&lt;VLOOKUP(V$5,NFI,5,0),1,0)*Table_NFI[[#This Row],[Shelter Tool kit]],Table_NFI[Shelter Tool kit])</f>
        <v>0</v>
      </c>
      <c r="AP748" s="331">
        <f>IF(NFI_Expiration=1,IF($A748&lt;VLOOKUP(V$5,NFI,5,0),1,0)*Table_NFI[[#This Row],[Tent]],Table_NFI[Tent])</f>
        <v>0</v>
      </c>
      <c r="AQ748" s="473" t="str">
        <f>IFERROR(VLOOKUP(Table_NFI[[#This Row],[Camp Name]],CL,2,0),"")</f>
        <v>MMR015CMP016</v>
      </c>
      <c r="AR748" s="468">
        <f ca="1">IF(Table_NFI[[#This Row],[Pcode]]="","",IF(OFFSET(CampList[Opening Date],MATCH(Table_NFI[[#This Row],[Pcode]],CampList[CP_Pcode],0)-1,0,1,1)&gt;=NFI_Monitor_Date,1,0))</f>
        <v>0</v>
      </c>
      <c r="AS748" s="473" t="str">
        <f>IFERROR(VLOOKUP(Table_NFI[[#This Row],[Camp Name]],CL,3,0),"")</f>
        <v>Open</v>
      </c>
      <c r="AT748" s="294" t="str">
        <f ca="1">IF(Table_NFI[[#This Row],[Pcode]]="","",OFFSET(CampList[Priority],MATCH(Table_NFI[[#This Row],[Pcode]],CampList[CP_Pcode],0)-1,0,1,1))</f>
        <v>P3</v>
      </c>
      <c r="AU748" s="293">
        <f>IFERROR(Table_NFI[[#This Row],[Kitchen Set]]/VLOOKUP(Table_NFI[[#This Row],[Camp Name]],CL,4,0),"")</f>
        <v>0.98360655737704916</v>
      </c>
      <c r="AV748" s="466" t="s">
        <v>1092</v>
      </c>
      <c r="AW748" s="469"/>
    </row>
    <row r="749" spans="1:49" ht="14.45" customHeight="1" x14ac:dyDescent="0.25">
      <c r="A749" s="297">
        <f t="shared" si="11"/>
        <v>45.06666666666667</v>
      </c>
      <c r="B749" s="465">
        <v>41323</v>
      </c>
      <c r="C749" s="466" t="s">
        <v>452</v>
      </c>
      <c r="D749" s="466" t="s">
        <v>460</v>
      </c>
      <c r="E749" s="466" t="s">
        <v>380</v>
      </c>
      <c r="F749" s="290" t="s">
        <v>151</v>
      </c>
      <c r="G749" s="290" t="s">
        <v>160</v>
      </c>
      <c r="H749" s="291"/>
      <c r="I749" s="291"/>
      <c r="J749" s="291">
        <v>221</v>
      </c>
      <c r="K749" s="291">
        <v>221</v>
      </c>
      <c r="L749" s="292">
        <v>110</v>
      </c>
      <c r="M749" s="292">
        <v>221</v>
      </c>
      <c r="N749" s="292">
        <v>110</v>
      </c>
      <c r="O749" s="292">
        <v>110</v>
      </c>
      <c r="P749" s="294">
        <v>110</v>
      </c>
      <c r="Q749" s="294">
        <v>110</v>
      </c>
      <c r="R749" s="294"/>
      <c r="S749" s="294"/>
      <c r="T749" s="294"/>
      <c r="U749" s="294"/>
      <c r="V749" s="431"/>
      <c r="W749" s="294"/>
      <c r="X749" s="294"/>
      <c r="Y749" s="294">
        <f>IF(NFI_Expiration=1,IF($A749&lt;VLOOKUP(H$5,NFI,5,0),1,0)*Table_NFI[[#This Row],[Hygiene Kit]],Table_NFI[Hygiene Kit])</f>
        <v>0</v>
      </c>
      <c r="Z749" s="294">
        <f>IF(NFI_Expiration=1,IF($A749&lt;VLOOKUP(I$5,NFI,5,0),1,0)*Table_NFI[[#This Row],[NFI Core Kit]],Table_NFI[NFI Core Kit])</f>
        <v>0</v>
      </c>
      <c r="AA749" s="294">
        <f>IF(NFI_Expiration=1,IF($A749&lt;VLOOKUP(J$5,NFI,5,0),1,0)*Table_NFI[[#This Row],[Sanitary Kit]],Table_NFI[Sanitary Kit])</f>
        <v>0</v>
      </c>
      <c r="AB749" s="294">
        <f>IF(NFI_Expiration=1,IF($A749&lt;VLOOKUP(K$5,NFI,5,0),1,0)*Table_NFI[[#This Row],[Mosquito net]],Table_NFI[Mosquito net])</f>
        <v>0</v>
      </c>
      <c r="AC749" s="294">
        <f>IF(NFI_Expiration=1,IF($A749&lt;VLOOKUP(L$5,NFI,5,0),1,0)*Table_NFI[[#This Row],[Tarpaulin]],Table_NFI[[#This Row],[Tarpaulin]])</f>
        <v>0</v>
      </c>
      <c r="AD749" s="294">
        <f>IF(NFI_Expiration=1,IF($A749&lt;VLOOKUP(M$5,NFI,5,0),1,0)*Table_NFI[[#This Row],[Blanket]],Table_NFI[[#This Row],[Blanket]])</f>
        <v>0</v>
      </c>
      <c r="AE749" s="294">
        <f>IF(NFI_Expiration=1,IF($A749&lt;VLOOKUP(N$5,NFI,5,0),1,0)*Table_NFI[[#This Row],[Kitchen Set]],Table_NFI[Kitchen Set])</f>
        <v>0</v>
      </c>
      <c r="AF749" s="294">
        <f>IF(NFI_Expiration=1,IF($A749&lt;VLOOKUP(O$5,NFI,5,0),1,0)*Table_NFI[[#This Row],[Clothes Kit]],Table_NFI[Clothes Kit])</f>
        <v>0</v>
      </c>
      <c r="AG749" s="294">
        <f>IF(NFI_Expiration=1,IF($A749&lt;VLOOKUP(P$5,NFI,5,0),1,0)*Table_NFI[[#This Row],[Plastic Bucket]],Table_NFI[Plastic Bucket])</f>
        <v>0</v>
      </c>
      <c r="AH749" s="294">
        <f>IF(NFI_Expiration=1,IF($A749&lt;VLOOKUP(Q$5,NFI,5,0),1,0)*Table_NFI[[#This Row],[Plastic Mat]],Table_NFI[Plastic Mat])*IF(Table_NFI[[#This Row],[Distribution Date]]&gt;"2014-04-01",1,2.5)</f>
        <v>0</v>
      </c>
      <c r="AI749" s="294">
        <f>IF(NFI_Expiration=1,IF($A749&lt;VLOOKUP(R$5,NFI,5,0),1,0)*Table_NFI[[#This Row],[Winter Clothes Adult]],Table_NFI[Winter Clothes Adult])</f>
        <v>0</v>
      </c>
      <c r="AJ749" s="294">
        <f>IF(NFI_Expiration=1,IF($A749&lt;VLOOKUP(S$5,NFI,5,0),1,0)*Table_NFI[[#This Row],[Winter Clothes Children]],Table_NFI[Winter Clothes Children])</f>
        <v>0</v>
      </c>
      <c r="AK749" s="294">
        <f>IF(NFI_Expiration=1,IF($A749&lt;VLOOKUP(T$5,NFI,5,0),1,0)*Table_NFI[[#This Row],[Winter Items Other]],Table_NFI[Winter Items Other])</f>
        <v>0</v>
      </c>
      <c r="AL749" s="294">
        <f>IF(NFI_Expiration=1,IF($A749&lt;VLOOKUP(M$5,NFI,5,0),1,0)*Table_NFI[[#This Row],[Winter Blanket]],Table_NFI[[#This Row],[Winter Blanket]])</f>
        <v>0</v>
      </c>
      <c r="AM749" s="294">
        <f>IF(Table_NFI[[#This Row],[Winter Clothes Adult]]+Table_NFI[[#This Row],[Winter Clothes Children]]+Table_NFI[[#This Row],[Winter Items Other]]+Table_NFI[[#This Row],[Winter Blanket]]&gt;0,1,0)</f>
        <v>0</v>
      </c>
      <c r="AN749" s="331">
        <f>IF(NFI_Expiration=1,IF($A749&lt;VLOOKUP(V$5,NFI,5,0),1,0)*Table_NFI[[#This Row],[Jerry Can]],Table_NFI[Jerry Can])</f>
        <v>0</v>
      </c>
      <c r="AO749" s="331">
        <f>IF(NFI_Expiration=1,IF($A749&lt;VLOOKUP(V$5,NFI,5,0),1,0)*Table_NFI[[#This Row],[Shelter Tool kit]],Table_NFI[Shelter Tool kit])</f>
        <v>0</v>
      </c>
      <c r="AP749" s="331">
        <f>IF(NFI_Expiration=1,IF($A749&lt;VLOOKUP(V$5,NFI,5,0),1,0)*Table_NFI[[#This Row],[Tent]],Table_NFI[Tent])</f>
        <v>0</v>
      </c>
      <c r="AQ749" s="473" t="str">
        <f>IFERROR(VLOOKUP(Table_NFI[[#This Row],[Camp Name]],CL,2,0),"")</f>
        <v>MMR001CMP133</v>
      </c>
      <c r="AR749" s="468">
        <f ca="1">IF(Table_NFI[[#This Row],[Pcode]]="","",IF(OFFSET(CampList[Opening Date],MATCH(Table_NFI[[#This Row],[Pcode]],CampList[CP_Pcode],0)-1,0,1,1)&gt;=NFI_Monitor_Date,1,0))</f>
        <v>0</v>
      </c>
      <c r="AS749" s="473" t="str">
        <f>IFERROR(VLOOKUP(Table_NFI[[#This Row],[Camp Name]],CL,3,0),"")</f>
        <v>Open</v>
      </c>
      <c r="AT749" s="294" t="str">
        <f ca="1">IF(Table_NFI[[#This Row],[Pcode]]="","",OFFSET(CampList[Priority],MATCH(Table_NFI[[#This Row],[Pcode]],CampList[CP_Pcode],0)-1,0,1,1))</f>
        <v>P4</v>
      </c>
      <c r="AU749" s="293">
        <f>IFERROR(Table_NFI[[#This Row],[Kitchen Set]]/VLOOKUP(Table_NFI[[#This Row],[Camp Name]],CL,4,0),"")</f>
        <v>1.02803738317757</v>
      </c>
      <c r="AV749" s="466" t="s">
        <v>1092</v>
      </c>
      <c r="AW749" s="469"/>
    </row>
    <row r="750" spans="1:49" ht="14.45" customHeight="1" x14ac:dyDescent="0.25">
      <c r="A750" s="297">
        <f t="shared" si="11"/>
        <v>45.06666666666667</v>
      </c>
      <c r="B750" s="465">
        <v>41323</v>
      </c>
      <c r="C750" s="466" t="s">
        <v>452</v>
      </c>
      <c r="D750" s="467" t="s">
        <v>460</v>
      </c>
      <c r="E750" s="466" t="s">
        <v>553</v>
      </c>
      <c r="F750" s="290" t="s">
        <v>166</v>
      </c>
      <c r="G750" s="290" t="s">
        <v>167</v>
      </c>
      <c r="H750" s="291"/>
      <c r="I750" s="291"/>
      <c r="J750" s="291">
        <v>57</v>
      </c>
      <c r="K750" s="291">
        <v>57</v>
      </c>
      <c r="L750" s="292">
        <v>29</v>
      </c>
      <c r="M750" s="292">
        <v>57</v>
      </c>
      <c r="N750" s="292">
        <v>29</v>
      </c>
      <c r="O750" s="292">
        <v>29</v>
      </c>
      <c r="P750" s="294">
        <v>29</v>
      </c>
      <c r="Q750" s="294">
        <v>29</v>
      </c>
      <c r="R750" s="294"/>
      <c r="S750" s="294"/>
      <c r="T750" s="294"/>
      <c r="U750" s="294"/>
      <c r="V750" s="431"/>
      <c r="W750" s="294"/>
      <c r="X750" s="294"/>
      <c r="Y750" s="294">
        <f>IF(NFI_Expiration=1,IF($A750&lt;VLOOKUP(H$5,NFI,5,0),1,0)*Table_NFI[[#This Row],[Hygiene Kit]],Table_NFI[Hygiene Kit])</f>
        <v>0</v>
      </c>
      <c r="Z750" s="294">
        <f>IF(NFI_Expiration=1,IF($A750&lt;VLOOKUP(I$5,NFI,5,0),1,0)*Table_NFI[[#This Row],[NFI Core Kit]],Table_NFI[NFI Core Kit])</f>
        <v>0</v>
      </c>
      <c r="AA750" s="294">
        <f>IF(NFI_Expiration=1,IF($A750&lt;VLOOKUP(J$5,NFI,5,0),1,0)*Table_NFI[[#This Row],[Sanitary Kit]],Table_NFI[Sanitary Kit])</f>
        <v>0</v>
      </c>
      <c r="AB750" s="294">
        <f>IF(NFI_Expiration=1,IF($A750&lt;VLOOKUP(K$5,NFI,5,0),1,0)*Table_NFI[[#This Row],[Mosquito net]],Table_NFI[Mosquito net])</f>
        <v>0</v>
      </c>
      <c r="AC750" s="294">
        <f>IF(NFI_Expiration=1,IF($A750&lt;VLOOKUP(L$5,NFI,5,0),1,0)*Table_NFI[[#This Row],[Tarpaulin]],Table_NFI[[#This Row],[Tarpaulin]])</f>
        <v>0</v>
      </c>
      <c r="AD750" s="294">
        <f>IF(NFI_Expiration=1,IF($A750&lt;VLOOKUP(M$5,NFI,5,0),1,0)*Table_NFI[[#This Row],[Blanket]],Table_NFI[[#This Row],[Blanket]])</f>
        <v>0</v>
      </c>
      <c r="AE750" s="294">
        <f>IF(NFI_Expiration=1,IF($A750&lt;VLOOKUP(N$5,NFI,5,0),1,0)*Table_NFI[[#This Row],[Kitchen Set]],Table_NFI[Kitchen Set])</f>
        <v>0</v>
      </c>
      <c r="AF750" s="294">
        <f>IF(NFI_Expiration=1,IF($A750&lt;VLOOKUP(O$5,NFI,5,0),1,0)*Table_NFI[[#This Row],[Clothes Kit]],Table_NFI[Clothes Kit])</f>
        <v>0</v>
      </c>
      <c r="AG750" s="294">
        <f>IF(NFI_Expiration=1,IF($A750&lt;VLOOKUP(P$5,NFI,5,0),1,0)*Table_NFI[[#This Row],[Plastic Bucket]],Table_NFI[Plastic Bucket])</f>
        <v>0</v>
      </c>
      <c r="AH750" s="294">
        <f>IF(NFI_Expiration=1,IF($A750&lt;VLOOKUP(Q$5,NFI,5,0),1,0)*Table_NFI[[#This Row],[Plastic Mat]],Table_NFI[Plastic Mat])*IF(Table_NFI[[#This Row],[Distribution Date]]&gt;"2014-04-01",1,2.5)</f>
        <v>0</v>
      </c>
      <c r="AI750" s="294">
        <f>IF(NFI_Expiration=1,IF($A750&lt;VLOOKUP(R$5,NFI,5,0),1,0)*Table_NFI[[#This Row],[Winter Clothes Adult]],Table_NFI[Winter Clothes Adult])</f>
        <v>0</v>
      </c>
      <c r="AJ750" s="294">
        <f>IF(NFI_Expiration=1,IF($A750&lt;VLOOKUP(S$5,NFI,5,0),1,0)*Table_NFI[[#This Row],[Winter Clothes Children]],Table_NFI[Winter Clothes Children])</f>
        <v>0</v>
      </c>
      <c r="AK750" s="294">
        <f>IF(NFI_Expiration=1,IF($A750&lt;VLOOKUP(T$5,NFI,5,0),1,0)*Table_NFI[[#This Row],[Winter Items Other]],Table_NFI[Winter Items Other])</f>
        <v>0</v>
      </c>
      <c r="AL750" s="294">
        <f>IF(NFI_Expiration=1,IF($A750&lt;VLOOKUP(M$5,NFI,5,0),1,0)*Table_NFI[[#This Row],[Winter Blanket]],Table_NFI[[#This Row],[Winter Blanket]])</f>
        <v>0</v>
      </c>
      <c r="AM750" s="294">
        <f>IF(Table_NFI[[#This Row],[Winter Clothes Adult]]+Table_NFI[[#This Row],[Winter Clothes Children]]+Table_NFI[[#This Row],[Winter Items Other]]+Table_NFI[[#This Row],[Winter Blanket]]&gt;0,1,0)</f>
        <v>0</v>
      </c>
      <c r="AN750" s="331">
        <f>IF(NFI_Expiration=1,IF($A750&lt;VLOOKUP(V$5,NFI,5,0),1,0)*Table_NFI[[#This Row],[Jerry Can]],Table_NFI[Jerry Can])</f>
        <v>0</v>
      </c>
      <c r="AO750" s="331">
        <f>IF(NFI_Expiration=1,IF($A750&lt;VLOOKUP(V$5,NFI,5,0),1,0)*Table_NFI[[#This Row],[Shelter Tool kit]],Table_NFI[Shelter Tool kit])</f>
        <v>0</v>
      </c>
      <c r="AP750" s="331">
        <f>IF(NFI_Expiration=1,IF($A750&lt;VLOOKUP(V$5,NFI,5,0),1,0)*Table_NFI[[#This Row],[Tent]],Table_NFI[Tent])</f>
        <v>0</v>
      </c>
      <c r="AQ750" s="473" t="str">
        <f>IFERROR(VLOOKUP(Table_NFI[[#This Row],[Camp Name]],CL,2,0),"")</f>
        <v>MMR015CMP009</v>
      </c>
      <c r="AR750" s="468">
        <f ca="1">IF(Table_NFI[[#This Row],[Pcode]]="","",IF(OFFSET(CampList[Opening Date],MATCH(Table_NFI[[#This Row],[Pcode]],CampList[CP_Pcode],0)-1,0,1,1)&gt;=NFI_Monitor_Date,1,0))</f>
        <v>0</v>
      </c>
      <c r="AS750" s="473" t="str">
        <f>IFERROR(VLOOKUP(Table_NFI[[#This Row],[Camp Name]],CL,3,0),"")</f>
        <v>Open</v>
      </c>
      <c r="AT750" s="294" t="str">
        <f ca="1">IF(Table_NFI[[#This Row],[Pcode]]="","",OFFSET(CampList[Priority],MATCH(Table_NFI[[#This Row],[Pcode]],CampList[CP_Pcode],0)-1,0,1,1))</f>
        <v>P2</v>
      </c>
      <c r="AU750" s="293">
        <f>IFERROR(Table_NFI[[#This Row],[Kitchen Set]]/VLOOKUP(Table_NFI[[#This Row],[Camp Name]],CL,4,0),"")</f>
        <v>0.80555555555555558</v>
      </c>
      <c r="AV750" s="466" t="s">
        <v>1092</v>
      </c>
      <c r="AW750" s="469"/>
    </row>
    <row r="751" spans="1:49" ht="14.45" customHeight="1" x14ac:dyDescent="0.25">
      <c r="A751" s="297">
        <f t="shared" si="11"/>
        <v>45.06666666666667</v>
      </c>
      <c r="B751" s="465">
        <v>41323</v>
      </c>
      <c r="C751" s="466" t="s">
        <v>452</v>
      </c>
      <c r="D751" s="467" t="s">
        <v>460</v>
      </c>
      <c r="E751" s="466" t="s">
        <v>553</v>
      </c>
      <c r="F751" s="290" t="s">
        <v>230</v>
      </c>
      <c r="G751" s="290" t="s">
        <v>233</v>
      </c>
      <c r="H751" s="291"/>
      <c r="I751" s="291"/>
      <c r="J751" s="291">
        <v>60</v>
      </c>
      <c r="K751" s="291">
        <v>60</v>
      </c>
      <c r="L751" s="292">
        <v>30</v>
      </c>
      <c r="M751" s="292">
        <v>60</v>
      </c>
      <c r="N751" s="292">
        <v>30</v>
      </c>
      <c r="O751" s="292">
        <v>30</v>
      </c>
      <c r="P751" s="294">
        <v>30</v>
      </c>
      <c r="Q751" s="294">
        <v>30</v>
      </c>
      <c r="R751" s="294"/>
      <c r="S751" s="294"/>
      <c r="T751" s="294"/>
      <c r="U751" s="294"/>
      <c r="V751" s="431"/>
      <c r="W751" s="294"/>
      <c r="X751" s="294"/>
      <c r="Y751" s="294">
        <f>IF(NFI_Expiration=1,IF($A751&lt;VLOOKUP(H$5,NFI,5,0),1,0)*Table_NFI[[#This Row],[Hygiene Kit]],Table_NFI[Hygiene Kit])</f>
        <v>0</v>
      </c>
      <c r="Z751" s="294">
        <f>IF(NFI_Expiration=1,IF($A751&lt;VLOOKUP(I$5,NFI,5,0),1,0)*Table_NFI[[#This Row],[NFI Core Kit]],Table_NFI[NFI Core Kit])</f>
        <v>0</v>
      </c>
      <c r="AA751" s="294">
        <f>IF(NFI_Expiration=1,IF($A751&lt;VLOOKUP(J$5,NFI,5,0),1,0)*Table_NFI[[#This Row],[Sanitary Kit]],Table_NFI[Sanitary Kit])</f>
        <v>0</v>
      </c>
      <c r="AB751" s="294">
        <f>IF(NFI_Expiration=1,IF($A751&lt;VLOOKUP(K$5,NFI,5,0),1,0)*Table_NFI[[#This Row],[Mosquito net]],Table_NFI[Mosquito net])</f>
        <v>0</v>
      </c>
      <c r="AC751" s="294">
        <f>IF(NFI_Expiration=1,IF($A751&lt;VLOOKUP(L$5,NFI,5,0),1,0)*Table_NFI[[#This Row],[Tarpaulin]],Table_NFI[[#This Row],[Tarpaulin]])</f>
        <v>0</v>
      </c>
      <c r="AD751" s="294">
        <f>IF(NFI_Expiration=1,IF($A751&lt;VLOOKUP(M$5,NFI,5,0),1,0)*Table_NFI[[#This Row],[Blanket]],Table_NFI[[#This Row],[Blanket]])</f>
        <v>0</v>
      </c>
      <c r="AE751" s="294">
        <f>IF(NFI_Expiration=1,IF($A751&lt;VLOOKUP(N$5,NFI,5,0),1,0)*Table_NFI[[#This Row],[Kitchen Set]],Table_NFI[Kitchen Set])</f>
        <v>0</v>
      </c>
      <c r="AF751" s="294">
        <f>IF(NFI_Expiration=1,IF($A751&lt;VLOOKUP(O$5,NFI,5,0),1,0)*Table_NFI[[#This Row],[Clothes Kit]],Table_NFI[Clothes Kit])</f>
        <v>0</v>
      </c>
      <c r="AG751" s="294">
        <f>IF(NFI_Expiration=1,IF($A751&lt;VLOOKUP(P$5,NFI,5,0),1,0)*Table_NFI[[#This Row],[Plastic Bucket]],Table_NFI[Plastic Bucket])</f>
        <v>0</v>
      </c>
      <c r="AH751" s="294">
        <f>IF(NFI_Expiration=1,IF($A751&lt;VLOOKUP(Q$5,NFI,5,0),1,0)*Table_NFI[[#This Row],[Plastic Mat]],Table_NFI[Plastic Mat])*IF(Table_NFI[[#This Row],[Distribution Date]]&gt;"2014-04-01",1,2.5)</f>
        <v>0</v>
      </c>
      <c r="AI751" s="294">
        <f>IF(NFI_Expiration=1,IF($A751&lt;VLOOKUP(R$5,NFI,5,0),1,0)*Table_NFI[[#This Row],[Winter Clothes Adult]],Table_NFI[Winter Clothes Adult])</f>
        <v>0</v>
      </c>
      <c r="AJ751" s="294">
        <f>IF(NFI_Expiration=1,IF($A751&lt;VLOOKUP(S$5,NFI,5,0),1,0)*Table_NFI[[#This Row],[Winter Clothes Children]],Table_NFI[Winter Clothes Children])</f>
        <v>0</v>
      </c>
      <c r="AK751" s="294">
        <f>IF(NFI_Expiration=1,IF($A751&lt;VLOOKUP(T$5,NFI,5,0),1,0)*Table_NFI[[#This Row],[Winter Items Other]],Table_NFI[Winter Items Other])</f>
        <v>0</v>
      </c>
      <c r="AL751" s="294">
        <f>IF(NFI_Expiration=1,IF($A751&lt;VLOOKUP(M$5,NFI,5,0),1,0)*Table_NFI[[#This Row],[Winter Blanket]],Table_NFI[[#This Row],[Winter Blanket]])</f>
        <v>0</v>
      </c>
      <c r="AM751" s="294">
        <f>IF(Table_NFI[[#This Row],[Winter Clothes Adult]]+Table_NFI[[#This Row],[Winter Clothes Children]]+Table_NFI[[#This Row],[Winter Items Other]]+Table_NFI[[#This Row],[Winter Blanket]]&gt;0,1,0)</f>
        <v>0</v>
      </c>
      <c r="AN751" s="331">
        <f>IF(NFI_Expiration=1,IF($A751&lt;VLOOKUP(V$5,NFI,5,0),1,0)*Table_NFI[[#This Row],[Jerry Can]],Table_NFI[Jerry Can])</f>
        <v>0</v>
      </c>
      <c r="AO751" s="331">
        <f>IF(NFI_Expiration=1,IF($A751&lt;VLOOKUP(V$5,NFI,5,0),1,0)*Table_NFI[[#This Row],[Shelter Tool kit]],Table_NFI[Shelter Tool kit])</f>
        <v>0</v>
      </c>
      <c r="AP751" s="331">
        <f>IF(NFI_Expiration=1,IF($A751&lt;VLOOKUP(V$5,NFI,5,0),1,0)*Table_NFI[[#This Row],[Tent]],Table_NFI[Tent])</f>
        <v>0</v>
      </c>
      <c r="AQ751" s="473" t="str">
        <f>IFERROR(VLOOKUP(Table_NFI[[#This Row],[Camp Name]],CL,2,0),"")</f>
        <v>MMR015CMP012</v>
      </c>
      <c r="AR751" s="468">
        <f ca="1">IF(Table_NFI[[#This Row],[Pcode]]="","",IF(OFFSET(CampList[Opening Date],MATCH(Table_NFI[[#This Row],[Pcode]],CampList[CP_Pcode],0)-1,0,1,1)&gt;=NFI_Monitor_Date,1,0))</f>
        <v>0</v>
      </c>
      <c r="AS751" s="473" t="str">
        <f>IFERROR(VLOOKUP(Table_NFI[[#This Row],[Camp Name]],CL,3,0),"")</f>
        <v>Closed</v>
      </c>
      <c r="AT751" s="294" t="str">
        <f ca="1">IF(Table_NFI[[#This Row],[Pcode]]="","",OFFSET(CampList[Priority],MATCH(Table_NFI[[#This Row],[Pcode]],CampList[CP_Pcode],0)-1,0,1,1))</f>
        <v>P1</v>
      </c>
      <c r="AU751" s="293" t="str">
        <f>IFERROR(Table_NFI[[#This Row],[Kitchen Set]]/VLOOKUP(Table_NFI[[#This Row],[Camp Name]],CL,4,0),"")</f>
        <v/>
      </c>
      <c r="AV751" s="466" t="s">
        <v>1092</v>
      </c>
      <c r="AW751" s="469"/>
    </row>
    <row r="752" spans="1:49" ht="14.45" customHeight="1" x14ac:dyDescent="0.25">
      <c r="A752" s="297">
        <f t="shared" si="11"/>
        <v>45.06666666666667</v>
      </c>
      <c r="B752" s="465">
        <v>41323</v>
      </c>
      <c r="C752" s="466" t="s">
        <v>452</v>
      </c>
      <c r="D752" s="467" t="s">
        <v>460</v>
      </c>
      <c r="E752" s="466" t="s">
        <v>553</v>
      </c>
      <c r="F752" s="290" t="s">
        <v>146</v>
      </c>
      <c r="G752" s="290" t="s">
        <v>371</v>
      </c>
      <c r="H752" s="291"/>
      <c r="I752" s="291"/>
      <c r="J752" s="291">
        <v>93</v>
      </c>
      <c r="K752" s="291">
        <v>93</v>
      </c>
      <c r="L752" s="292">
        <v>46</v>
      </c>
      <c r="M752" s="292">
        <v>93</v>
      </c>
      <c r="N752" s="292">
        <v>46</v>
      </c>
      <c r="O752" s="292">
        <v>46</v>
      </c>
      <c r="P752" s="294">
        <v>46</v>
      </c>
      <c r="Q752" s="294">
        <v>46</v>
      </c>
      <c r="R752" s="294"/>
      <c r="S752" s="294"/>
      <c r="T752" s="294"/>
      <c r="U752" s="294"/>
      <c r="V752" s="431"/>
      <c r="W752" s="294"/>
      <c r="X752" s="294"/>
      <c r="Y752" s="294">
        <f>IF(NFI_Expiration=1,IF($A752&lt;VLOOKUP(H$5,NFI,5,0),1,0)*Table_NFI[[#This Row],[Hygiene Kit]],Table_NFI[Hygiene Kit])</f>
        <v>0</v>
      </c>
      <c r="Z752" s="294">
        <f>IF(NFI_Expiration=1,IF($A752&lt;VLOOKUP(I$5,NFI,5,0),1,0)*Table_NFI[[#This Row],[NFI Core Kit]],Table_NFI[NFI Core Kit])</f>
        <v>0</v>
      </c>
      <c r="AA752" s="294">
        <f>IF(NFI_Expiration=1,IF($A752&lt;VLOOKUP(J$5,NFI,5,0),1,0)*Table_NFI[[#This Row],[Sanitary Kit]],Table_NFI[Sanitary Kit])</f>
        <v>0</v>
      </c>
      <c r="AB752" s="294">
        <f>IF(NFI_Expiration=1,IF($A752&lt;VLOOKUP(K$5,NFI,5,0),1,0)*Table_NFI[[#This Row],[Mosquito net]],Table_NFI[Mosquito net])</f>
        <v>0</v>
      </c>
      <c r="AC752" s="294">
        <f>IF(NFI_Expiration=1,IF($A752&lt;VLOOKUP(L$5,NFI,5,0),1,0)*Table_NFI[[#This Row],[Tarpaulin]],Table_NFI[[#This Row],[Tarpaulin]])</f>
        <v>0</v>
      </c>
      <c r="AD752" s="294">
        <f>IF(NFI_Expiration=1,IF($A752&lt;VLOOKUP(M$5,NFI,5,0),1,0)*Table_NFI[[#This Row],[Blanket]],Table_NFI[[#This Row],[Blanket]])</f>
        <v>0</v>
      </c>
      <c r="AE752" s="294">
        <f>IF(NFI_Expiration=1,IF($A752&lt;VLOOKUP(N$5,NFI,5,0),1,0)*Table_NFI[[#This Row],[Kitchen Set]],Table_NFI[Kitchen Set])</f>
        <v>0</v>
      </c>
      <c r="AF752" s="294">
        <f>IF(NFI_Expiration=1,IF($A752&lt;VLOOKUP(O$5,NFI,5,0),1,0)*Table_NFI[[#This Row],[Clothes Kit]],Table_NFI[Clothes Kit])</f>
        <v>0</v>
      </c>
      <c r="AG752" s="294">
        <f>IF(NFI_Expiration=1,IF($A752&lt;VLOOKUP(P$5,NFI,5,0),1,0)*Table_NFI[[#This Row],[Plastic Bucket]],Table_NFI[Plastic Bucket])</f>
        <v>0</v>
      </c>
      <c r="AH752" s="294">
        <f>IF(NFI_Expiration=1,IF($A752&lt;VLOOKUP(Q$5,NFI,5,0),1,0)*Table_NFI[[#This Row],[Plastic Mat]],Table_NFI[Plastic Mat])*IF(Table_NFI[[#This Row],[Distribution Date]]&gt;"2014-04-01",1,2.5)</f>
        <v>0</v>
      </c>
      <c r="AI752" s="294">
        <f>IF(NFI_Expiration=1,IF($A752&lt;VLOOKUP(R$5,NFI,5,0),1,0)*Table_NFI[[#This Row],[Winter Clothes Adult]],Table_NFI[Winter Clothes Adult])</f>
        <v>0</v>
      </c>
      <c r="AJ752" s="294">
        <f>IF(NFI_Expiration=1,IF($A752&lt;VLOOKUP(S$5,NFI,5,0),1,0)*Table_NFI[[#This Row],[Winter Clothes Children]],Table_NFI[Winter Clothes Children])</f>
        <v>0</v>
      </c>
      <c r="AK752" s="294">
        <f>IF(NFI_Expiration=1,IF($A752&lt;VLOOKUP(T$5,NFI,5,0),1,0)*Table_NFI[[#This Row],[Winter Items Other]],Table_NFI[Winter Items Other])</f>
        <v>0</v>
      </c>
      <c r="AL752" s="294">
        <f>IF(NFI_Expiration=1,IF($A752&lt;VLOOKUP(M$5,NFI,5,0),1,0)*Table_NFI[[#This Row],[Winter Blanket]],Table_NFI[[#This Row],[Winter Blanket]])</f>
        <v>0</v>
      </c>
      <c r="AM752" s="294">
        <f>IF(Table_NFI[[#This Row],[Winter Clothes Adult]]+Table_NFI[[#This Row],[Winter Clothes Children]]+Table_NFI[[#This Row],[Winter Items Other]]+Table_NFI[[#This Row],[Winter Blanket]]&gt;0,1,0)</f>
        <v>0</v>
      </c>
      <c r="AN752" s="331">
        <f>IF(NFI_Expiration=1,IF($A752&lt;VLOOKUP(V$5,NFI,5,0),1,0)*Table_NFI[[#This Row],[Jerry Can]],Table_NFI[Jerry Can])</f>
        <v>0</v>
      </c>
      <c r="AO752" s="331">
        <f>IF(NFI_Expiration=1,IF($A752&lt;VLOOKUP(V$5,NFI,5,0),1,0)*Table_NFI[[#This Row],[Shelter Tool kit]],Table_NFI[Shelter Tool kit])</f>
        <v>0</v>
      </c>
      <c r="AP752" s="331">
        <f>IF(NFI_Expiration=1,IF($A752&lt;VLOOKUP(V$5,NFI,5,0),1,0)*Table_NFI[[#This Row],[Tent]],Table_NFI[Tent])</f>
        <v>0</v>
      </c>
      <c r="AQ752" s="473" t="str">
        <f>IFERROR(VLOOKUP(Table_NFI[[#This Row],[Camp Name]],CL,2,0),"")</f>
        <v>MMR015CMP006</v>
      </c>
      <c r="AR752" s="468">
        <f ca="1">IF(Table_NFI[[#This Row],[Pcode]]="","",IF(OFFSET(CampList[Opening Date],MATCH(Table_NFI[[#This Row],[Pcode]],CampList[CP_Pcode],0)-1,0,1,1)&gt;=NFI_Monitor_Date,1,0))</f>
        <v>0</v>
      </c>
      <c r="AS752" s="473" t="str">
        <f>IFERROR(VLOOKUP(Table_NFI[[#This Row],[Camp Name]],CL,3,0),"")</f>
        <v>Open</v>
      </c>
      <c r="AT752" s="294" t="str">
        <f ca="1">IF(Table_NFI[[#This Row],[Pcode]]="","",OFFSET(CampList[Priority],MATCH(Table_NFI[[#This Row],[Pcode]],CampList[CP_Pcode],0)-1,0,1,1))</f>
        <v>P1</v>
      </c>
      <c r="AU752" s="293">
        <f>IFERROR(Table_NFI[[#This Row],[Kitchen Set]]/VLOOKUP(Table_NFI[[#This Row],[Camp Name]],CL,4,0),"")</f>
        <v>0.93877551020408168</v>
      </c>
      <c r="AV752" s="466" t="s">
        <v>1092</v>
      </c>
      <c r="AW752" s="469"/>
    </row>
    <row r="753" spans="1:49" x14ac:dyDescent="0.25">
      <c r="A753" s="297">
        <f t="shared" si="11"/>
        <v>45.06666666666667</v>
      </c>
      <c r="B753" s="465">
        <v>41323</v>
      </c>
      <c r="C753" s="466" t="s">
        <v>452</v>
      </c>
      <c r="D753" s="467" t="s">
        <v>460</v>
      </c>
      <c r="E753" s="466" t="s">
        <v>553</v>
      </c>
      <c r="F753" s="290" t="s">
        <v>289</v>
      </c>
      <c r="G753" s="290" t="s">
        <v>292</v>
      </c>
      <c r="H753" s="291"/>
      <c r="I753" s="291"/>
      <c r="J753" s="291">
        <v>118</v>
      </c>
      <c r="K753" s="291">
        <v>118</v>
      </c>
      <c r="L753" s="292">
        <v>59</v>
      </c>
      <c r="M753" s="292">
        <v>118</v>
      </c>
      <c r="N753" s="292">
        <v>59</v>
      </c>
      <c r="O753" s="292">
        <v>59</v>
      </c>
      <c r="P753" s="294">
        <v>59</v>
      </c>
      <c r="Q753" s="294">
        <v>59</v>
      </c>
      <c r="R753" s="294"/>
      <c r="S753" s="294"/>
      <c r="T753" s="294"/>
      <c r="U753" s="294"/>
      <c r="V753" s="431"/>
      <c r="W753" s="294"/>
      <c r="X753" s="294"/>
      <c r="Y753" s="294">
        <f>IF(NFI_Expiration=1,IF($A753&lt;VLOOKUP(H$5,NFI,5,0),1,0)*Table_NFI[[#This Row],[Hygiene Kit]],Table_NFI[Hygiene Kit])</f>
        <v>0</v>
      </c>
      <c r="Z753" s="294">
        <f>IF(NFI_Expiration=1,IF($A753&lt;VLOOKUP(I$5,NFI,5,0),1,0)*Table_NFI[[#This Row],[NFI Core Kit]],Table_NFI[NFI Core Kit])</f>
        <v>0</v>
      </c>
      <c r="AA753" s="294">
        <f>IF(NFI_Expiration=1,IF($A753&lt;VLOOKUP(J$5,NFI,5,0),1,0)*Table_NFI[[#This Row],[Sanitary Kit]],Table_NFI[Sanitary Kit])</f>
        <v>0</v>
      </c>
      <c r="AB753" s="294">
        <f>IF(NFI_Expiration=1,IF($A753&lt;VLOOKUP(K$5,NFI,5,0),1,0)*Table_NFI[[#This Row],[Mosquito net]],Table_NFI[Mosquito net])</f>
        <v>0</v>
      </c>
      <c r="AC753" s="294">
        <f>IF(NFI_Expiration=1,IF($A753&lt;VLOOKUP(L$5,NFI,5,0),1,0)*Table_NFI[[#This Row],[Tarpaulin]],Table_NFI[[#This Row],[Tarpaulin]])</f>
        <v>0</v>
      </c>
      <c r="AD753" s="294">
        <f>IF(NFI_Expiration=1,IF($A753&lt;VLOOKUP(M$5,NFI,5,0),1,0)*Table_NFI[[#This Row],[Blanket]],Table_NFI[[#This Row],[Blanket]])</f>
        <v>0</v>
      </c>
      <c r="AE753" s="294">
        <f>IF(NFI_Expiration=1,IF($A753&lt;VLOOKUP(N$5,NFI,5,0),1,0)*Table_NFI[[#This Row],[Kitchen Set]],Table_NFI[Kitchen Set])</f>
        <v>0</v>
      </c>
      <c r="AF753" s="294">
        <f>IF(NFI_Expiration=1,IF($A753&lt;VLOOKUP(O$5,NFI,5,0),1,0)*Table_NFI[[#This Row],[Clothes Kit]],Table_NFI[Clothes Kit])</f>
        <v>0</v>
      </c>
      <c r="AG753" s="294">
        <f>IF(NFI_Expiration=1,IF($A753&lt;VLOOKUP(P$5,NFI,5,0),1,0)*Table_NFI[[#This Row],[Plastic Bucket]],Table_NFI[Plastic Bucket])</f>
        <v>0</v>
      </c>
      <c r="AH753" s="294">
        <f>IF(NFI_Expiration=1,IF($A753&lt;VLOOKUP(Q$5,NFI,5,0),1,0)*Table_NFI[[#This Row],[Plastic Mat]],Table_NFI[Plastic Mat])*IF(Table_NFI[[#This Row],[Distribution Date]]&gt;"2014-04-01",1,2.5)</f>
        <v>0</v>
      </c>
      <c r="AI753" s="294">
        <f>IF(NFI_Expiration=1,IF($A753&lt;VLOOKUP(R$5,NFI,5,0),1,0)*Table_NFI[[#This Row],[Winter Clothes Adult]],Table_NFI[Winter Clothes Adult])</f>
        <v>0</v>
      </c>
      <c r="AJ753" s="294">
        <f>IF(NFI_Expiration=1,IF($A753&lt;VLOOKUP(S$5,NFI,5,0),1,0)*Table_NFI[[#This Row],[Winter Clothes Children]],Table_NFI[Winter Clothes Children])</f>
        <v>0</v>
      </c>
      <c r="AK753" s="294">
        <f>IF(NFI_Expiration=1,IF($A753&lt;VLOOKUP(T$5,NFI,5,0),1,0)*Table_NFI[[#This Row],[Winter Items Other]],Table_NFI[Winter Items Other])</f>
        <v>0</v>
      </c>
      <c r="AL753" s="294">
        <f>IF(NFI_Expiration=1,IF($A753&lt;VLOOKUP(M$5,NFI,5,0),1,0)*Table_NFI[[#This Row],[Winter Blanket]],Table_NFI[[#This Row],[Winter Blanket]])</f>
        <v>0</v>
      </c>
      <c r="AM753" s="294">
        <f>IF(Table_NFI[[#This Row],[Winter Clothes Adult]]+Table_NFI[[#This Row],[Winter Clothes Children]]+Table_NFI[[#This Row],[Winter Items Other]]+Table_NFI[[#This Row],[Winter Blanket]]&gt;0,1,0)</f>
        <v>0</v>
      </c>
      <c r="AN753" s="331">
        <f>IF(NFI_Expiration=1,IF($A753&lt;VLOOKUP(V$5,NFI,5,0),1,0)*Table_NFI[[#This Row],[Jerry Can]],Table_NFI[Jerry Can])</f>
        <v>0</v>
      </c>
      <c r="AO753" s="331">
        <f>IF(NFI_Expiration=1,IF($A753&lt;VLOOKUP(V$5,NFI,5,0),1,0)*Table_NFI[[#This Row],[Shelter Tool kit]],Table_NFI[Shelter Tool kit])</f>
        <v>0</v>
      </c>
      <c r="AP753" s="331">
        <f>IF(NFI_Expiration=1,IF($A753&lt;VLOOKUP(V$5,NFI,5,0),1,0)*Table_NFI[[#This Row],[Tent]],Table_NFI[Tent])</f>
        <v>0</v>
      </c>
      <c r="AQ753" s="473" t="str">
        <f>IFERROR(VLOOKUP(Table_NFI[[#This Row],[Camp Name]],CL,2,0),"")</f>
        <v>MMR015CMP004</v>
      </c>
      <c r="AR753" s="468">
        <f ca="1">IF(Table_NFI[[#This Row],[Pcode]]="","",IF(OFFSET(CampList[Opening Date],MATCH(Table_NFI[[#This Row],[Pcode]],CampList[CP_Pcode],0)-1,0,1,1)&gt;=NFI_Monitor_Date,1,0))</f>
        <v>0</v>
      </c>
      <c r="AS753" s="473" t="str">
        <f>IFERROR(VLOOKUP(Table_NFI[[#This Row],[Camp Name]],CL,3,0),"")</f>
        <v>Open</v>
      </c>
      <c r="AT753" s="294" t="str">
        <f ca="1">IF(Table_NFI[[#This Row],[Pcode]]="","",OFFSET(CampList[Priority],MATCH(Table_NFI[[#This Row],[Pcode]],CampList[CP_Pcode],0)-1,0,1,1))</f>
        <v>P3</v>
      </c>
      <c r="AU753" s="293">
        <f>IFERROR(Table_NFI[[#This Row],[Kitchen Set]]/VLOOKUP(Table_NFI[[#This Row],[Camp Name]],CL,4,0),"")</f>
        <v>0.78666666666666663</v>
      </c>
      <c r="AV753" s="466" t="s">
        <v>1092</v>
      </c>
      <c r="AW753" s="469"/>
    </row>
    <row r="754" spans="1:49" x14ac:dyDescent="0.25">
      <c r="A754" s="297">
        <f t="shared" si="11"/>
        <v>45.06666666666667</v>
      </c>
      <c r="B754" s="465">
        <v>41323</v>
      </c>
      <c r="C754" s="466" t="s">
        <v>452</v>
      </c>
      <c r="D754" s="467" t="s">
        <v>460</v>
      </c>
      <c r="E754" s="466" t="s">
        <v>553</v>
      </c>
      <c r="F754" s="290" t="s">
        <v>289</v>
      </c>
      <c r="G754" s="290" t="s">
        <v>290</v>
      </c>
      <c r="H754" s="291"/>
      <c r="I754" s="291"/>
      <c r="J754" s="291">
        <v>139</v>
      </c>
      <c r="K754" s="291">
        <v>139</v>
      </c>
      <c r="L754" s="292">
        <v>70</v>
      </c>
      <c r="M754" s="292">
        <v>139</v>
      </c>
      <c r="N754" s="292">
        <v>70</v>
      </c>
      <c r="O754" s="292">
        <v>70</v>
      </c>
      <c r="P754" s="294">
        <v>70</v>
      </c>
      <c r="Q754" s="294">
        <v>70</v>
      </c>
      <c r="R754" s="294"/>
      <c r="S754" s="294"/>
      <c r="T754" s="294"/>
      <c r="U754" s="294"/>
      <c r="V754" s="431"/>
      <c r="W754" s="294"/>
      <c r="X754" s="294"/>
      <c r="Y754" s="294">
        <f>IF(NFI_Expiration=1,IF($A754&lt;VLOOKUP(H$5,NFI,5,0),1,0)*Table_NFI[[#This Row],[Hygiene Kit]],Table_NFI[Hygiene Kit])</f>
        <v>0</v>
      </c>
      <c r="Z754" s="294">
        <f>IF(NFI_Expiration=1,IF($A754&lt;VLOOKUP(I$5,NFI,5,0),1,0)*Table_NFI[[#This Row],[NFI Core Kit]],Table_NFI[NFI Core Kit])</f>
        <v>0</v>
      </c>
      <c r="AA754" s="294">
        <f>IF(NFI_Expiration=1,IF($A754&lt;VLOOKUP(J$5,NFI,5,0),1,0)*Table_NFI[[#This Row],[Sanitary Kit]],Table_NFI[Sanitary Kit])</f>
        <v>0</v>
      </c>
      <c r="AB754" s="294">
        <f>IF(NFI_Expiration=1,IF($A754&lt;VLOOKUP(K$5,NFI,5,0),1,0)*Table_NFI[[#This Row],[Mosquito net]],Table_NFI[Mosquito net])</f>
        <v>0</v>
      </c>
      <c r="AC754" s="294">
        <f>IF(NFI_Expiration=1,IF($A754&lt;VLOOKUP(L$5,NFI,5,0),1,0)*Table_NFI[[#This Row],[Tarpaulin]],Table_NFI[[#This Row],[Tarpaulin]])</f>
        <v>0</v>
      </c>
      <c r="AD754" s="294">
        <f>IF(NFI_Expiration=1,IF($A754&lt;VLOOKUP(M$5,NFI,5,0),1,0)*Table_NFI[[#This Row],[Blanket]],Table_NFI[[#This Row],[Blanket]])</f>
        <v>0</v>
      </c>
      <c r="AE754" s="294">
        <f>IF(NFI_Expiration=1,IF($A754&lt;VLOOKUP(N$5,NFI,5,0),1,0)*Table_NFI[[#This Row],[Kitchen Set]],Table_NFI[Kitchen Set])</f>
        <v>0</v>
      </c>
      <c r="AF754" s="294">
        <f>IF(NFI_Expiration=1,IF($A754&lt;VLOOKUP(O$5,NFI,5,0),1,0)*Table_NFI[[#This Row],[Clothes Kit]],Table_NFI[Clothes Kit])</f>
        <v>0</v>
      </c>
      <c r="AG754" s="294">
        <f>IF(NFI_Expiration=1,IF($A754&lt;VLOOKUP(P$5,NFI,5,0),1,0)*Table_NFI[[#This Row],[Plastic Bucket]],Table_NFI[Plastic Bucket])</f>
        <v>0</v>
      </c>
      <c r="AH754" s="294">
        <f>IF(NFI_Expiration=1,IF($A754&lt;VLOOKUP(Q$5,NFI,5,0),1,0)*Table_NFI[[#This Row],[Plastic Mat]],Table_NFI[Plastic Mat])*IF(Table_NFI[[#This Row],[Distribution Date]]&gt;"2014-04-01",1,2.5)</f>
        <v>0</v>
      </c>
      <c r="AI754" s="294">
        <f>IF(NFI_Expiration=1,IF($A754&lt;VLOOKUP(R$5,NFI,5,0),1,0)*Table_NFI[[#This Row],[Winter Clothes Adult]],Table_NFI[Winter Clothes Adult])</f>
        <v>0</v>
      </c>
      <c r="AJ754" s="294">
        <f>IF(NFI_Expiration=1,IF($A754&lt;VLOOKUP(S$5,NFI,5,0),1,0)*Table_NFI[[#This Row],[Winter Clothes Children]],Table_NFI[Winter Clothes Children])</f>
        <v>0</v>
      </c>
      <c r="AK754" s="294">
        <f>IF(NFI_Expiration=1,IF($A754&lt;VLOOKUP(T$5,NFI,5,0),1,0)*Table_NFI[[#This Row],[Winter Items Other]],Table_NFI[Winter Items Other])</f>
        <v>0</v>
      </c>
      <c r="AL754" s="294">
        <f>IF(NFI_Expiration=1,IF($A754&lt;VLOOKUP(M$5,NFI,5,0),1,0)*Table_NFI[[#This Row],[Winter Blanket]],Table_NFI[[#This Row],[Winter Blanket]])</f>
        <v>0</v>
      </c>
      <c r="AM754" s="294">
        <f>IF(Table_NFI[[#This Row],[Winter Clothes Adult]]+Table_NFI[[#This Row],[Winter Clothes Children]]+Table_NFI[[#This Row],[Winter Items Other]]+Table_NFI[[#This Row],[Winter Blanket]]&gt;0,1,0)</f>
        <v>0</v>
      </c>
      <c r="AN754" s="331">
        <f>IF(NFI_Expiration=1,IF($A754&lt;VLOOKUP(V$5,NFI,5,0),1,0)*Table_NFI[[#This Row],[Jerry Can]],Table_NFI[Jerry Can])</f>
        <v>0</v>
      </c>
      <c r="AO754" s="331">
        <f>IF(NFI_Expiration=1,IF($A754&lt;VLOOKUP(V$5,NFI,5,0),1,0)*Table_NFI[[#This Row],[Shelter Tool kit]],Table_NFI[Shelter Tool kit])</f>
        <v>0</v>
      </c>
      <c r="AP754" s="331">
        <f>IF(NFI_Expiration=1,IF($A754&lt;VLOOKUP(V$5,NFI,5,0),1,0)*Table_NFI[[#This Row],[Tent]],Table_NFI[Tent])</f>
        <v>0</v>
      </c>
      <c r="AQ754" s="473" t="str">
        <f>IFERROR(VLOOKUP(Table_NFI[[#This Row],[Camp Name]],CL,2,0),"")</f>
        <v>MMR015CMP001</v>
      </c>
      <c r="AR754" s="468">
        <f ca="1">IF(Table_NFI[[#This Row],[Pcode]]="","",IF(OFFSET(CampList[Opening Date],MATCH(Table_NFI[[#This Row],[Pcode]],CampList[CP_Pcode],0)-1,0,1,1)&gt;=NFI_Monitor_Date,1,0))</f>
        <v>0</v>
      </c>
      <c r="AS754" s="473" t="str">
        <f>IFERROR(VLOOKUP(Table_NFI[[#This Row],[Camp Name]],CL,3,0),"")</f>
        <v>Open</v>
      </c>
      <c r="AT754" s="294" t="str">
        <f ca="1">IF(Table_NFI[[#This Row],[Pcode]]="","",OFFSET(CampList[Priority],MATCH(Table_NFI[[#This Row],[Pcode]],CampList[CP_Pcode],0)-1,0,1,1))</f>
        <v>P3</v>
      </c>
      <c r="AU754" s="293">
        <f>IFERROR(Table_NFI[[#This Row],[Kitchen Set]]/VLOOKUP(Table_NFI[[#This Row],[Camp Name]],CL,4,0),"")</f>
        <v>1.0144927536231885</v>
      </c>
      <c r="AV754" s="466" t="s">
        <v>1092</v>
      </c>
      <c r="AW754" s="469"/>
    </row>
    <row r="755" spans="1:49" ht="14.45" customHeight="1" x14ac:dyDescent="0.25">
      <c r="A755" s="297">
        <f t="shared" si="11"/>
        <v>45.06666666666667</v>
      </c>
      <c r="B755" s="465">
        <v>41323</v>
      </c>
      <c r="C755" s="466" t="s">
        <v>452</v>
      </c>
      <c r="D755" s="467" t="s">
        <v>460</v>
      </c>
      <c r="E755" s="466" t="s">
        <v>553</v>
      </c>
      <c r="F755" s="290" t="s">
        <v>289</v>
      </c>
      <c r="G755" s="290" t="s">
        <v>361</v>
      </c>
      <c r="H755" s="291"/>
      <c r="I755" s="291"/>
      <c r="J755" s="291">
        <v>16</v>
      </c>
      <c r="K755" s="291">
        <v>16</v>
      </c>
      <c r="L755" s="292">
        <v>8</v>
      </c>
      <c r="M755" s="292">
        <v>16</v>
      </c>
      <c r="N755" s="292">
        <v>8</v>
      </c>
      <c r="O755" s="292">
        <v>8</v>
      </c>
      <c r="P755" s="294">
        <v>8</v>
      </c>
      <c r="Q755" s="294">
        <v>8</v>
      </c>
      <c r="R755" s="294"/>
      <c r="S755" s="294"/>
      <c r="T755" s="294"/>
      <c r="U755" s="294"/>
      <c r="V755" s="431"/>
      <c r="W755" s="294"/>
      <c r="X755" s="294"/>
      <c r="Y755" s="294">
        <f>IF(NFI_Expiration=1,IF($A755&lt;VLOOKUP(H$5,NFI,5,0),1,0)*Table_NFI[[#This Row],[Hygiene Kit]],Table_NFI[Hygiene Kit])</f>
        <v>0</v>
      </c>
      <c r="Z755" s="294">
        <f>IF(NFI_Expiration=1,IF($A755&lt;VLOOKUP(I$5,NFI,5,0),1,0)*Table_NFI[[#This Row],[NFI Core Kit]],Table_NFI[NFI Core Kit])</f>
        <v>0</v>
      </c>
      <c r="AA755" s="294">
        <f>IF(NFI_Expiration=1,IF($A755&lt;VLOOKUP(J$5,NFI,5,0),1,0)*Table_NFI[[#This Row],[Sanitary Kit]],Table_NFI[Sanitary Kit])</f>
        <v>0</v>
      </c>
      <c r="AB755" s="294">
        <f>IF(NFI_Expiration=1,IF($A755&lt;VLOOKUP(K$5,NFI,5,0),1,0)*Table_NFI[[#This Row],[Mosquito net]],Table_NFI[Mosquito net])</f>
        <v>0</v>
      </c>
      <c r="AC755" s="294">
        <f>IF(NFI_Expiration=1,IF($A755&lt;VLOOKUP(L$5,NFI,5,0),1,0)*Table_NFI[[#This Row],[Tarpaulin]],Table_NFI[[#This Row],[Tarpaulin]])</f>
        <v>0</v>
      </c>
      <c r="AD755" s="294">
        <f>IF(NFI_Expiration=1,IF($A755&lt;VLOOKUP(M$5,NFI,5,0),1,0)*Table_NFI[[#This Row],[Blanket]],Table_NFI[[#This Row],[Blanket]])</f>
        <v>0</v>
      </c>
      <c r="AE755" s="294">
        <f>IF(NFI_Expiration=1,IF($A755&lt;VLOOKUP(N$5,NFI,5,0),1,0)*Table_NFI[[#This Row],[Kitchen Set]],Table_NFI[Kitchen Set])</f>
        <v>0</v>
      </c>
      <c r="AF755" s="294">
        <f>IF(NFI_Expiration=1,IF($A755&lt;VLOOKUP(O$5,NFI,5,0),1,0)*Table_NFI[[#This Row],[Clothes Kit]],Table_NFI[Clothes Kit])</f>
        <v>0</v>
      </c>
      <c r="AG755" s="294">
        <f>IF(NFI_Expiration=1,IF($A755&lt;VLOOKUP(P$5,NFI,5,0),1,0)*Table_NFI[[#This Row],[Plastic Bucket]],Table_NFI[Plastic Bucket])</f>
        <v>0</v>
      </c>
      <c r="AH755" s="294">
        <f>IF(NFI_Expiration=1,IF($A755&lt;VLOOKUP(Q$5,NFI,5,0),1,0)*Table_NFI[[#This Row],[Plastic Mat]],Table_NFI[Plastic Mat])*IF(Table_NFI[[#This Row],[Distribution Date]]&gt;"2014-04-01",1,2.5)</f>
        <v>0</v>
      </c>
      <c r="AI755" s="294">
        <f>IF(NFI_Expiration=1,IF($A755&lt;VLOOKUP(R$5,NFI,5,0),1,0)*Table_NFI[[#This Row],[Winter Clothes Adult]],Table_NFI[Winter Clothes Adult])</f>
        <v>0</v>
      </c>
      <c r="AJ755" s="294">
        <f>IF(NFI_Expiration=1,IF($A755&lt;VLOOKUP(S$5,NFI,5,0),1,0)*Table_NFI[[#This Row],[Winter Clothes Children]],Table_NFI[Winter Clothes Children])</f>
        <v>0</v>
      </c>
      <c r="AK755" s="294">
        <f>IF(NFI_Expiration=1,IF($A755&lt;VLOOKUP(T$5,NFI,5,0),1,0)*Table_NFI[[#This Row],[Winter Items Other]],Table_NFI[Winter Items Other])</f>
        <v>0</v>
      </c>
      <c r="AL755" s="294">
        <f>IF(NFI_Expiration=1,IF($A755&lt;VLOOKUP(M$5,NFI,5,0),1,0)*Table_NFI[[#This Row],[Winter Blanket]],Table_NFI[[#This Row],[Winter Blanket]])</f>
        <v>0</v>
      </c>
      <c r="AM755" s="294">
        <f>IF(Table_NFI[[#This Row],[Winter Clothes Adult]]+Table_NFI[[#This Row],[Winter Clothes Children]]+Table_NFI[[#This Row],[Winter Items Other]]+Table_NFI[[#This Row],[Winter Blanket]]&gt;0,1,0)</f>
        <v>0</v>
      </c>
      <c r="AN755" s="331">
        <f>IF(NFI_Expiration=1,IF($A755&lt;VLOOKUP(V$5,NFI,5,0),1,0)*Table_NFI[[#This Row],[Jerry Can]],Table_NFI[Jerry Can])</f>
        <v>0</v>
      </c>
      <c r="AO755" s="331">
        <f>IF(NFI_Expiration=1,IF($A755&lt;VLOOKUP(V$5,NFI,5,0),1,0)*Table_NFI[[#This Row],[Shelter Tool kit]],Table_NFI[Shelter Tool kit])</f>
        <v>0</v>
      </c>
      <c r="AP755" s="331">
        <f>IF(NFI_Expiration=1,IF($A755&lt;VLOOKUP(V$5,NFI,5,0),1,0)*Table_NFI[[#This Row],[Tent]],Table_NFI[Tent])</f>
        <v>0</v>
      </c>
      <c r="AQ755" s="473" t="str">
        <f>IFERROR(VLOOKUP(Table_NFI[[#This Row],[Camp Name]],CL,2,0),"")</f>
        <v>MMR015CMP139</v>
      </c>
      <c r="AR755" s="468">
        <f ca="1">IF(Table_NFI[[#This Row],[Pcode]]="","",IF(OFFSET(CampList[Opening Date],MATCH(Table_NFI[[#This Row],[Pcode]],CampList[CP_Pcode],0)-1,0,1,1)&gt;=NFI_Monitor_Date,1,0))</f>
        <v>0</v>
      </c>
      <c r="AS755" s="473" t="str">
        <f>IFERROR(VLOOKUP(Table_NFI[[#This Row],[Camp Name]],CL,3,0),"")</f>
        <v>Closed</v>
      </c>
      <c r="AT755" s="294" t="str">
        <f ca="1">IF(Table_NFI[[#This Row],[Pcode]]="","",OFFSET(CampList[Priority],MATCH(Table_NFI[[#This Row],[Pcode]],CampList[CP_Pcode],0)-1,0,1,1))</f>
        <v>P2</v>
      </c>
      <c r="AU755" s="293" t="str">
        <f>IFERROR(Table_NFI[[#This Row],[Kitchen Set]]/VLOOKUP(Table_NFI[[#This Row],[Camp Name]],CL,4,0),"")</f>
        <v/>
      </c>
      <c r="AV755" s="466" t="s">
        <v>1092</v>
      </c>
      <c r="AW755" s="469"/>
    </row>
    <row r="756" spans="1:49" ht="14.45" customHeight="1" x14ac:dyDescent="0.25">
      <c r="A756" s="297">
        <f t="shared" si="11"/>
        <v>45.06666666666667</v>
      </c>
      <c r="B756" s="465">
        <v>41323</v>
      </c>
      <c r="C756" s="466" t="s">
        <v>452</v>
      </c>
      <c r="D756" s="467" t="s">
        <v>460</v>
      </c>
      <c r="E756" s="466" t="s">
        <v>553</v>
      </c>
      <c r="F756" s="290" t="s">
        <v>146</v>
      </c>
      <c r="G756" s="290" t="s">
        <v>149</v>
      </c>
      <c r="H756" s="291"/>
      <c r="I756" s="291"/>
      <c r="J756" s="291">
        <v>86</v>
      </c>
      <c r="K756" s="291">
        <v>86</v>
      </c>
      <c r="L756" s="292">
        <v>43</v>
      </c>
      <c r="M756" s="292">
        <v>86</v>
      </c>
      <c r="N756" s="292">
        <v>43</v>
      </c>
      <c r="O756" s="292">
        <v>43</v>
      </c>
      <c r="P756" s="294">
        <v>43</v>
      </c>
      <c r="Q756" s="294">
        <v>43</v>
      </c>
      <c r="R756" s="294"/>
      <c r="S756" s="294"/>
      <c r="T756" s="294"/>
      <c r="U756" s="294"/>
      <c r="V756" s="431"/>
      <c r="W756" s="294"/>
      <c r="X756" s="294"/>
      <c r="Y756" s="294">
        <f>IF(NFI_Expiration=1,IF($A756&lt;VLOOKUP(H$5,NFI,5,0),1,0)*Table_NFI[[#This Row],[Hygiene Kit]],Table_NFI[Hygiene Kit])</f>
        <v>0</v>
      </c>
      <c r="Z756" s="294">
        <f>IF(NFI_Expiration=1,IF($A756&lt;VLOOKUP(I$5,NFI,5,0),1,0)*Table_NFI[[#This Row],[NFI Core Kit]],Table_NFI[NFI Core Kit])</f>
        <v>0</v>
      </c>
      <c r="AA756" s="294">
        <f>IF(NFI_Expiration=1,IF($A756&lt;VLOOKUP(J$5,NFI,5,0),1,0)*Table_NFI[[#This Row],[Sanitary Kit]],Table_NFI[Sanitary Kit])</f>
        <v>0</v>
      </c>
      <c r="AB756" s="294">
        <f>IF(NFI_Expiration=1,IF($A756&lt;VLOOKUP(K$5,NFI,5,0),1,0)*Table_NFI[[#This Row],[Mosquito net]],Table_NFI[Mosquito net])</f>
        <v>0</v>
      </c>
      <c r="AC756" s="294">
        <f>IF(NFI_Expiration=1,IF($A756&lt;VLOOKUP(L$5,NFI,5,0),1,0)*Table_NFI[[#This Row],[Tarpaulin]],Table_NFI[[#This Row],[Tarpaulin]])</f>
        <v>0</v>
      </c>
      <c r="AD756" s="294">
        <f>IF(NFI_Expiration=1,IF($A756&lt;VLOOKUP(M$5,NFI,5,0),1,0)*Table_NFI[[#This Row],[Blanket]],Table_NFI[[#This Row],[Blanket]])</f>
        <v>0</v>
      </c>
      <c r="AE756" s="294">
        <f>IF(NFI_Expiration=1,IF($A756&lt;VLOOKUP(N$5,NFI,5,0),1,0)*Table_NFI[[#This Row],[Kitchen Set]],Table_NFI[Kitchen Set])</f>
        <v>0</v>
      </c>
      <c r="AF756" s="294">
        <f>IF(NFI_Expiration=1,IF($A756&lt;VLOOKUP(O$5,NFI,5,0),1,0)*Table_NFI[[#This Row],[Clothes Kit]],Table_NFI[Clothes Kit])</f>
        <v>0</v>
      </c>
      <c r="AG756" s="294">
        <f>IF(NFI_Expiration=1,IF($A756&lt;VLOOKUP(P$5,NFI,5,0),1,0)*Table_NFI[[#This Row],[Plastic Bucket]],Table_NFI[Plastic Bucket])</f>
        <v>0</v>
      </c>
      <c r="AH756" s="294">
        <f>IF(NFI_Expiration=1,IF($A756&lt;VLOOKUP(Q$5,NFI,5,0),1,0)*Table_NFI[[#This Row],[Plastic Mat]],Table_NFI[Plastic Mat])*IF(Table_NFI[[#This Row],[Distribution Date]]&gt;"2014-04-01",1,2.5)</f>
        <v>0</v>
      </c>
      <c r="AI756" s="294">
        <f>IF(NFI_Expiration=1,IF($A756&lt;VLOOKUP(R$5,NFI,5,0),1,0)*Table_NFI[[#This Row],[Winter Clothes Adult]],Table_NFI[Winter Clothes Adult])</f>
        <v>0</v>
      </c>
      <c r="AJ756" s="294">
        <f>IF(NFI_Expiration=1,IF($A756&lt;VLOOKUP(S$5,NFI,5,0),1,0)*Table_NFI[[#This Row],[Winter Clothes Children]],Table_NFI[Winter Clothes Children])</f>
        <v>0</v>
      </c>
      <c r="AK756" s="294">
        <f>IF(NFI_Expiration=1,IF($A756&lt;VLOOKUP(T$5,NFI,5,0),1,0)*Table_NFI[[#This Row],[Winter Items Other]],Table_NFI[Winter Items Other])</f>
        <v>0</v>
      </c>
      <c r="AL756" s="294">
        <f>IF(NFI_Expiration=1,IF($A756&lt;VLOOKUP(M$5,NFI,5,0),1,0)*Table_NFI[[#This Row],[Winter Blanket]],Table_NFI[[#This Row],[Winter Blanket]])</f>
        <v>0</v>
      </c>
      <c r="AM756" s="294">
        <f>IF(Table_NFI[[#This Row],[Winter Clothes Adult]]+Table_NFI[[#This Row],[Winter Clothes Children]]+Table_NFI[[#This Row],[Winter Items Other]]+Table_NFI[[#This Row],[Winter Blanket]]&gt;0,1,0)</f>
        <v>0</v>
      </c>
      <c r="AN756" s="331">
        <f>IF(NFI_Expiration=1,IF($A756&lt;VLOOKUP(V$5,NFI,5,0),1,0)*Table_NFI[[#This Row],[Jerry Can]],Table_NFI[Jerry Can])</f>
        <v>0</v>
      </c>
      <c r="AO756" s="331">
        <f>IF(NFI_Expiration=1,IF($A756&lt;VLOOKUP(V$5,NFI,5,0),1,0)*Table_NFI[[#This Row],[Shelter Tool kit]],Table_NFI[Shelter Tool kit])</f>
        <v>0</v>
      </c>
      <c r="AP756" s="331">
        <f>IF(NFI_Expiration=1,IF($A756&lt;VLOOKUP(V$5,NFI,5,0),1,0)*Table_NFI[[#This Row],[Tent]],Table_NFI[Tent])</f>
        <v>0</v>
      </c>
      <c r="AQ756" s="473" t="str">
        <f>IFERROR(VLOOKUP(Table_NFI[[#This Row],[Camp Name]],CL,2,0),"")</f>
        <v>MMR015CMP007</v>
      </c>
      <c r="AR756" s="468">
        <f ca="1">IF(Table_NFI[[#This Row],[Pcode]]="","",IF(OFFSET(CampList[Opening Date],MATCH(Table_NFI[[#This Row],[Pcode]],CampList[CP_Pcode],0)-1,0,1,1)&gt;=NFI_Monitor_Date,1,0))</f>
        <v>0</v>
      </c>
      <c r="AS756" s="473" t="str">
        <f>IFERROR(VLOOKUP(Table_NFI[[#This Row],[Camp Name]],CL,3,0),"")</f>
        <v>Open</v>
      </c>
      <c r="AT756" s="294" t="str">
        <f ca="1">IF(Table_NFI[[#This Row],[Pcode]]="","",OFFSET(CampList[Priority],MATCH(Table_NFI[[#This Row],[Pcode]],CampList[CP_Pcode],0)-1,0,1,1))</f>
        <v>P3</v>
      </c>
      <c r="AU756" s="293">
        <f>IFERROR(Table_NFI[[#This Row],[Kitchen Set]]/VLOOKUP(Table_NFI[[#This Row],[Camp Name]],CL,4,0),"")</f>
        <v>0.671875</v>
      </c>
      <c r="AV756" s="466" t="s">
        <v>1092</v>
      </c>
      <c r="AW756" s="469"/>
    </row>
    <row r="757" spans="1:49" ht="14.45" customHeight="1" x14ac:dyDescent="0.25">
      <c r="A757" s="297">
        <f t="shared" si="11"/>
        <v>45.06666666666667</v>
      </c>
      <c r="B757" s="465">
        <v>41323</v>
      </c>
      <c r="C757" s="466" t="s">
        <v>452</v>
      </c>
      <c r="D757" s="467" t="s">
        <v>460</v>
      </c>
      <c r="E757" s="466" t="s">
        <v>553</v>
      </c>
      <c r="F757" s="290" t="s">
        <v>298</v>
      </c>
      <c r="G757" s="290" t="s">
        <v>593</v>
      </c>
      <c r="H757" s="291"/>
      <c r="I757" s="291"/>
      <c r="J757" s="291">
        <v>90</v>
      </c>
      <c r="K757" s="291">
        <v>90</v>
      </c>
      <c r="L757" s="292">
        <v>45</v>
      </c>
      <c r="M757" s="292">
        <v>90</v>
      </c>
      <c r="N757" s="292">
        <v>45</v>
      </c>
      <c r="O757" s="292">
        <v>45</v>
      </c>
      <c r="P757" s="294">
        <v>45</v>
      </c>
      <c r="Q757" s="294">
        <v>45</v>
      </c>
      <c r="R757" s="294"/>
      <c r="S757" s="294"/>
      <c r="T757" s="294"/>
      <c r="U757" s="294"/>
      <c r="V757" s="431"/>
      <c r="W757" s="294"/>
      <c r="X757" s="294"/>
      <c r="Y757" s="294">
        <f>IF(NFI_Expiration=1,IF($A757&lt;VLOOKUP(H$5,NFI,5,0),1,0)*Table_NFI[[#This Row],[Hygiene Kit]],Table_NFI[Hygiene Kit])</f>
        <v>0</v>
      </c>
      <c r="Z757" s="294">
        <f>IF(NFI_Expiration=1,IF($A757&lt;VLOOKUP(I$5,NFI,5,0),1,0)*Table_NFI[[#This Row],[NFI Core Kit]],Table_NFI[NFI Core Kit])</f>
        <v>0</v>
      </c>
      <c r="AA757" s="294">
        <f>IF(NFI_Expiration=1,IF($A757&lt;VLOOKUP(J$5,NFI,5,0),1,0)*Table_NFI[[#This Row],[Sanitary Kit]],Table_NFI[Sanitary Kit])</f>
        <v>0</v>
      </c>
      <c r="AB757" s="294">
        <f>IF(NFI_Expiration=1,IF($A757&lt;VLOOKUP(K$5,NFI,5,0),1,0)*Table_NFI[[#This Row],[Mosquito net]],Table_NFI[Mosquito net])</f>
        <v>0</v>
      </c>
      <c r="AC757" s="294">
        <f>IF(NFI_Expiration=1,IF($A757&lt;VLOOKUP(L$5,NFI,5,0),1,0)*Table_NFI[[#This Row],[Tarpaulin]],Table_NFI[[#This Row],[Tarpaulin]])</f>
        <v>0</v>
      </c>
      <c r="AD757" s="294">
        <f>IF(NFI_Expiration=1,IF($A757&lt;VLOOKUP(M$5,NFI,5,0),1,0)*Table_NFI[[#This Row],[Blanket]],Table_NFI[[#This Row],[Blanket]])</f>
        <v>0</v>
      </c>
      <c r="AE757" s="294">
        <f>IF(NFI_Expiration=1,IF($A757&lt;VLOOKUP(N$5,NFI,5,0),1,0)*Table_NFI[[#This Row],[Kitchen Set]],Table_NFI[Kitchen Set])</f>
        <v>0</v>
      </c>
      <c r="AF757" s="294">
        <f>IF(NFI_Expiration=1,IF($A757&lt;VLOOKUP(O$5,NFI,5,0),1,0)*Table_NFI[[#This Row],[Clothes Kit]],Table_NFI[Clothes Kit])</f>
        <v>0</v>
      </c>
      <c r="AG757" s="294">
        <f>IF(NFI_Expiration=1,IF($A757&lt;VLOOKUP(P$5,NFI,5,0),1,0)*Table_NFI[[#This Row],[Plastic Bucket]],Table_NFI[Plastic Bucket])</f>
        <v>0</v>
      </c>
      <c r="AH757" s="294">
        <f>IF(NFI_Expiration=1,IF($A757&lt;VLOOKUP(Q$5,NFI,5,0),1,0)*Table_NFI[[#This Row],[Plastic Mat]],Table_NFI[Plastic Mat])*IF(Table_NFI[[#This Row],[Distribution Date]]&gt;"2014-04-01",1,2.5)</f>
        <v>0</v>
      </c>
      <c r="AI757" s="294">
        <f>IF(NFI_Expiration=1,IF($A757&lt;VLOOKUP(R$5,NFI,5,0),1,0)*Table_NFI[[#This Row],[Winter Clothes Adult]],Table_NFI[Winter Clothes Adult])</f>
        <v>0</v>
      </c>
      <c r="AJ757" s="294">
        <f>IF(NFI_Expiration=1,IF($A757&lt;VLOOKUP(S$5,NFI,5,0),1,0)*Table_NFI[[#This Row],[Winter Clothes Children]],Table_NFI[Winter Clothes Children])</f>
        <v>0</v>
      </c>
      <c r="AK757" s="294">
        <f>IF(NFI_Expiration=1,IF($A757&lt;VLOOKUP(T$5,NFI,5,0),1,0)*Table_NFI[[#This Row],[Winter Items Other]],Table_NFI[Winter Items Other])</f>
        <v>0</v>
      </c>
      <c r="AL757" s="294">
        <f>IF(NFI_Expiration=1,IF($A757&lt;VLOOKUP(M$5,NFI,5,0),1,0)*Table_NFI[[#This Row],[Winter Blanket]],Table_NFI[[#This Row],[Winter Blanket]])</f>
        <v>0</v>
      </c>
      <c r="AM757" s="294">
        <f>IF(Table_NFI[[#This Row],[Winter Clothes Adult]]+Table_NFI[[#This Row],[Winter Clothes Children]]+Table_NFI[[#This Row],[Winter Items Other]]+Table_NFI[[#This Row],[Winter Blanket]]&gt;0,1,0)</f>
        <v>0</v>
      </c>
      <c r="AN757" s="331">
        <f>IF(NFI_Expiration=1,IF($A757&lt;VLOOKUP(V$5,NFI,5,0),1,0)*Table_NFI[[#This Row],[Jerry Can]],Table_NFI[Jerry Can])</f>
        <v>0</v>
      </c>
      <c r="AO757" s="331">
        <f>IF(NFI_Expiration=1,IF($A757&lt;VLOOKUP(V$5,NFI,5,0),1,0)*Table_NFI[[#This Row],[Shelter Tool kit]],Table_NFI[Shelter Tool kit])</f>
        <v>0</v>
      </c>
      <c r="AP757" s="331">
        <f>IF(NFI_Expiration=1,IF($A757&lt;VLOOKUP(V$5,NFI,5,0),1,0)*Table_NFI[[#This Row],[Tent]],Table_NFI[Tent])</f>
        <v>0</v>
      </c>
      <c r="AQ757" s="473" t="str">
        <f>IFERROR(VLOOKUP(Table_NFI[[#This Row],[Camp Name]],CL,2,0),"")</f>
        <v>MMR015CMP210</v>
      </c>
      <c r="AR757" s="468">
        <f ca="1">IF(Table_NFI[[#This Row],[Pcode]]="","",IF(OFFSET(CampList[Opening Date],MATCH(Table_NFI[[#This Row],[Pcode]],CampList[CP_Pcode],0)-1,0,1,1)&gt;=NFI_Monitor_Date,1,0))</f>
        <v>0</v>
      </c>
      <c r="AS757" s="473" t="str">
        <f>IFERROR(VLOOKUP(Table_NFI[[#This Row],[Camp Name]],CL,3,0),"")</f>
        <v>Open</v>
      </c>
      <c r="AT757" s="294" t="str">
        <f ca="1">IF(Table_NFI[[#This Row],[Pcode]]="","",OFFSET(CampList[Priority],MATCH(Table_NFI[[#This Row],[Pcode]],CampList[CP_Pcode],0)-1,0,1,1))</f>
        <v>P3</v>
      </c>
      <c r="AU757" s="293">
        <f>IFERROR(Table_NFI[[#This Row],[Kitchen Set]]/VLOOKUP(Table_NFI[[#This Row],[Camp Name]],CL,4,0),"")</f>
        <v>0.38135593220338981</v>
      </c>
      <c r="AV757" s="466" t="s">
        <v>1092</v>
      </c>
      <c r="AW757" s="469"/>
    </row>
    <row r="758" spans="1:49" ht="14.45" customHeight="1" x14ac:dyDescent="0.25">
      <c r="A758" s="297">
        <f t="shared" si="11"/>
        <v>45.333333333333336</v>
      </c>
      <c r="B758" s="465">
        <v>41315</v>
      </c>
      <c r="C758" s="466" t="s">
        <v>900</v>
      </c>
      <c r="D758" s="466" t="s">
        <v>900</v>
      </c>
      <c r="E758" s="466" t="s">
        <v>380</v>
      </c>
      <c r="F758" s="290" t="s">
        <v>180</v>
      </c>
      <c r="G758" s="290" t="s">
        <v>183</v>
      </c>
      <c r="H758" s="291"/>
      <c r="I758" s="291"/>
      <c r="J758" s="291"/>
      <c r="K758" s="291"/>
      <c r="L758" s="292">
        <v>36</v>
      </c>
      <c r="M758" s="292"/>
      <c r="N758" s="292">
        <v>22</v>
      </c>
      <c r="O758" s="292"/>
      <c r="P758" s="294">
        <v>0</v>
      </c>
      <c r="Q758" s="294">
        <v>0</v>
      </c>
      <c r="R758" s="294"/>
      <c r="S758" s="294"/>
      <c r="T758" s="294"/>
      <c r="U758" s="294"/>
      <c r="V758" s="431"/>
      <c r="W758" s="294"/>
      <c r="X758" s="294"/>
      <c r="Y758" s="294">
        <f>IF(NFI_Expiration=1,IF($A758&lt;VLOOKUP(H$5,NFI,5,0),1,0)*Table_NFI[[#This Row],[Hygiene Kit]],Table_NFI[Hygiene Kit])</f>
        <v>0</v>
      </c>
      <c r="Z758" s="294">
        <f>IF(NFI_Expiration=1,IF($A758&lt;VLOOKUP(I$5,NFI,5,0),1,0)*Table_NFI[[#This Row],[NFI Core Kit]],Table_NFI[NFI Core Kit])</f>
        <v>0</v>
      </c>
      <c r="AA758" s="294">
        <f>IF(NFI_Expiration=1,IF($A758&lt;VLOOKUP(J$5,NFI,5,0),1,0)*Table_NFI[[#This Row],[Sanitary Kit]],Table_NFI[Sanitary Kit])</f>
        <v>0</v>
      </c>
      <c r="AB758" s="294">
        <f>IF(NFI_Expiration=1,IF($A758&lt;VLOOKUP(K$5,NFI,5,0),1,0)*Table_NFI[[#This Row],[Mosquito net]],Table_NFI[Mosquito net])</f>
        <v>0</v>
      </c>
      <c r="AC758" s="294">
        <f>IF(NFI_Expiration=1,IF($A758&lt;VLOOKUP(L$5,NFI,5,0),1,0)*Table_NFI[[#This Row],[Tarpaulin]],Table_NFI[[#This Row],[Tarpaulin]])</f>
        <v>0</v>
      </c>
      <c r="AD758" s="294">
        <f>IF(NFI_Expiration=1,IF($A758&lt;VLOOKUP(M$5,NFI,5,0),1,0)*Table_NFI[[#This Row],[Blanket]],Table_NFI[[#This Row],[Blanket]])</f>
        <v>0</v>
      </c>
      <c r="AE758" s="294">
        <f>IF(NFI_Expiration=1,IF($A758&lt;VLOOKUP(N$5,NFI,5,0),1,0)*Table_NFI[[#This Row],[Kitchen Set]],Table_NFI[Kitchen Set])</f>
        <v>0</v>
      </c>
      <c r="AF758" s="294">
        <f>IF(NFI_Expiration=1,IF($A758&lt;VLOOKUP(O$5,NFI,5,0),1,0)*Table_NFI[[#This Row],[Clothes Kit]],Table_NFI[Clothes Kit])</f>
        <v>0</v>
      </c>
      <c r="AG758" s="294">
        <f>IF(NFI_Expiration=1,IF($A758&lt;VLOOKUP(P$5,NFI,5,0),1,0)*Table_NFI[[#This Row],[Plastic Bucket]],Table_NFI[Plastic Bucket])</f>
        <v>0</v>
      </c>
      <c r="AH758" s="294">
        <f>IF(NFI_Expiration=1,IF($A758&lt;VLOOKUP(Q$5,NFI,5,0),1,0)*Table_NFI[[#This Row],[Plastic Mat]],Table_NFI[Plastic Mat])*IF(Table_NFI[[#This Row],[Distribution Date]]&gt;"2014-04-01",1,2.5)</f>
        <v>0</v>
      </c>
      <c r="AI758" s="294">
        <f>IF(NFI_Expiration=1,IF($A758&lt;VLOOKUP(R$5,NFI,5,0),1,0)*Table_NFI[[#This Row],[Winter Clothes Adult]],Table_NFI[Winter Clothes Adult])</f>
        <v>0</v>
      </c>
      <c r="AJ758" s="294">
        <f>IF(NFI_Expiration=1,IF($A758&lt;VLOOKUP(S$5,NFI,5,0),1,0)*Table_NFI[[#This Row],[Winter Clothes Children]],Table_NFI[Winter Clothes Children])</f>
        <v>0</v>
      </c>
      <c r="AK758" s="294">
        <f>IF(NFI_Expiration=1,IF($A758&lt;VLOOKUP(T$5,NFI,5,0),1,0)*Table_NFI[[#This Row],[Winter Items Other]],Table_NFI[Winter Items Other])</f>
        <v>0</v>
      </c>
      <c r="AL758" s="294">
        <f>IF(NFI_Expiration=1,IF($A758&lt;VLOOKUP(M$5,NFI,5,0),1,0)*Table_NFI[[#This Row],[Winter Blanket]],Table_NFI[[#This Row],[Winter Blanket]])</f>
        <v>0</v>
      </c>
      <c r="AM758" s="294">
        <f>IF(Table_NFI[[#This Row],[Winter Clothes Adult]]+Table_NFI[[#This Row],[Winter Clothes Children]]+Table_NFI[[#This Row],[Winter Items Other]]+Table_NFI[[#This Row],[Winter Blanket]]&gt;0,1,0)</f>
        <v>0</v>
      </c>
      <c r="AN758" s="331">
        <f>IF(NFI_Expiration=1,IF($A758&lt;VLOOKUP(V$5,NFI,5,0),1,0)*Table_NFI[[#This Row],[Jerry Can]],Table_NFI[Jerry Can])</f>
        <v>0</v>
      </c>
      <c r="AO758" s="331">
        <f>IF(NFI_Expiration=1,IF($A758&lt;VLOOKUP(V$5,NFI,5,0),1,0)*Table_NFI[[#This Row],[Shelter Tool kit]],Table_NFI[Shelter Tool kit])</f>
        <v>0</v>
      </c>
      <c r="AP758" s="331">
        <f>IF(NFI_Expiration=1,IF($A758&lt;VLOOKUP(V$5,NFI,5,0),1,0)*Table_NFI[[#This Row],[Tent]],Table_NFI[Tent])</f>
        <v>0</v>
      </c>
      <c r="AQ758" s="473" t="str">
        <f>IFERROR(VLOOKUP(Table_NFI[[#This Row],[Camp Name]],CL,2,0),"")</f>
        <v>MMR001CMP081</v>
      </c>
      <c r="AR758" s="468">
        <f ca="1">IF(Table_NFI[[#This Row],[Pcode]]="","",IF(OFFSET(CampList[Opening Date],MATCH(Table_NFI[[#This Row],[Pcode]],CampList[CP_Pcode],0)-1,0,1,1)&gt;=NFI_Monitor_Date,1,0))</f>
        <v>0</v>
      </c>
      <c r="AS758" s="473" t="str">
        <f>IFERROR(VLOOKUP(Table_NFI[[#This Row],[Camp Name]],CL,3,0),"")</f>
        <v>Closed</v>
      </c>
      <c r="AT758" s="294" t="str">
        <f ca="1">IF(Table_NFI[[#This Row],[Pcode]]="","",OFFSET(CampList[Priority],MATCH(Table_NFI[[#This Row],[Pcode]],CampList[CP_Pcode],0)-1,0,1,1))</f>
        <v>P4</v>
      </c>
      <c r="AU758" s="293" t="str">
        <f>IFERROR(Table_NFI[[#This Row],[Kitchen Set]]/VLOOKUP(Table_NFI[[#This Row],[Camp Name]],CL,4,0),"")</f>
        <v/>
      </c>
      <c r="AV758" s="466" t="s">
        <v>1092</v>
      </c>
      <c r="AW758" s="469"/>
    </row>
    <row r="759" spans="1:49" ht="14.45" customHeight="1" x14ac:dyDescent="0.25">
      <c r="A759" s="297">
        <f t="shared" si="11"/>
        <v>45.333333333333336</v>
      </c>
      <c r="B759" s="465">
        <v>41315</v>
      </c>
      <c r="C759" s="466" t="s">
        <v>900</v>
      </c>
      <c r="D759" s="467" t="s">
        <v>900</v>
      </c>
      <c r="E759" s="466" t="s">
        <v>380</v>
      </c>
      <c r="F759" s="290" t="s">
        <v>180</v>
      </c>
      <c r="G759" s="290" t="s">
        <v>181</v>
      </c>
      <c r="H759" s="291"/>
      <c r="I759" s="291"/>
      <c r="J759" s="291"/>
      <c r="K759" s="291"/>
      <c r="L759" s="292">
        <v>20</v>
      </c>
      <c r="M759" s="292"/>
      <c r="N759" s="292">
        <v>12</v>
      </c>
      <c r="O759" s="292"/>
      <c r="P759" s="294">
        <v>0</v>
      </c>
      <c r="Q759" s="294">
        <v>0</v>
      </c>
      <c r="R759" s="294"/>
      <c r="S759" s="294"/>
      <c r="T759" s="294"/>
      <c r="U759" s="294"/>
      <c r="V759" s="431"/>
      <c r="W759" s="294"/>
      <c r="X759" s="294"/>
      <c r="Y759" s="294">
        <f>IF(NFI_Expiration=1,IF($A759&lt;VLOOKUP(H$5,NFI,5,0),1,0)*Table_NFI[[#This Row],[Hygiene Kit]],Table_NFI[Hygiene Kit])</f>
        <v>0</v>
      </c>
      <c r="Z759" s="294">
        <f>IF(NFI_Expiration=1,IF($A759&lt;VLOOKUP(I$5,NFI,5,0),1,0)*Table_NFI[[#This Row],[NFI Core Kit]],Table_NFI[NFI Core Kit])</f>
        <v>0</v>
      </c>
      <c r="AA759" s="294">
        <f>IF(NFI_Expiration=1,IF($A759&lt;VLOOKUP(J$5,NFI,5,0),1,0)*Table_NFI[[#This Row],[Sanitary Kit]],Table_NFI[Sanitary Kit])</f>
        <v>0</v>
      </c>
      <c r="AB759" s="294">
        <f>IF(NFI_Expiration=1,IF($A759&lt;VLOOKUP(K$5,NFI,5,0),1,0)*Table_NFI[[#This Row],[Mosquito net]],Table_NFI[Mosquito net])</f>
        <v>0</v>
      </c>
      <c r="AC759" s="294">
        <f>IF(NFI_Expiration=1,IF($A759&lt;VLOOKUP(L$5,NFI,5,0),1,0)*Table_NFI[[#This Row],[Tarpaulin]],Table_NFI[[#This Row],[Tarpaulin]])</f>
        <v>0</v>
      </c>
      <c r="AD759" s="294">
        <f>IF(NFI_Expiration=1,IF($A759&lt;VLOOKUP(M$5,NFI,5,0),1,0)*Table_NFI[[#This Row],[Blanket]],Table_NFI[[#This Row],[Blanket]])</f>
        <v>0</v>
      </c>
      <c r="AE759" s="294">
        <f>IF(NFI_Expiration=1,IF($A759&lt;VLOOKUP(N$5,NFI,5,0),1,0)*Table_NFI[[#This Row],[Kitchen Set]],Table_NFI[Kitchen Set])</f>
        <v>0</v>
      </c>
      <c r="AF759" s="294">
        <f>IF(NFI_Expiration=1,IF($A759&lt;VLOOKUP(O$5,NFI,5,0),1,0)*Table_NFI[[#This Row],[Clothes Kit]],Table_NFI[Clothes Kit])</f>
        <v>0</v>
      </c>
      <c r="AG759" s="294">
        <f>IF(NFI_Expiration=1,IF($A759&lt;VLOOKUP(P$5,NFI,5,0),1,0)*Table_NFI[[#This Row],[Plastic Bucket]],Table_NFI[Plastic Bucket])</f>
        <v>0</v>
      </c>
      <c r="AH759" s="294">
        <f>IF(NFI_Expiration=1,IF($A759&lt;VLOOKUP(Q$5,NFI,5,0),1,0)*Table_NFI[[#This Row],[Plastic Mat]],Table_NFI[Plastic Mat])*IF(Table_NFI[[#This Row],[Distribution Date]]&gt;"2014-04-01",1,2.5)</f>
        <v>0</v>
      </c>
      <c r="AI759" s="294">
        <f>IF(NFI_Expiration=1,IF($A759&lt;VLOOKUP(R$5,NFI,5,0),1,0)*Table_NFI[[#This Row],[Winter Clothes Adult]],Table_NFI[Winter Clothes Adult])</f>
        <v>0</v>
      </c>
      <c r="AJ759" s="294">
        <f>IF(NFI_Expiration=1,IF($A759&lt;VLOOKUP(S$5,NFI,5,0),1,0)*Table_NFI[[#This Row],[Winter Clothes Children]],Table_NFI[Winter Clothes Children])</f>
        <v>0</v>
      </c>
      <c r="AK759" s="294">
        <f>IF(NFI_Expiration=1,IF($A759&lt;VLOOKUP(T$5,NFI,5,0),1,0)*Table_NFI[[#This Row],[Winter Items Other]],Table_NFI[Winter Items Other])</f>
        <v>0</v>
      </c>
      <c r="AL759" s="294">
        <f>IF(NFI_Expiration=1,IF($A759&lt;VLOOKUP(M$5,NFI,5,0),1,0)*Table_NFI[[#This Row],[Winter Blanket]],Table_NFI[[#This Row],[Winter Blanket]])</f>
        <v>0</v>
      </c>
      <c r="AM759" s="294">
        <f>IF(Table_NFI[[#This Row],[Winter Clothes Adult]]+Table_NFI[[#This Row],[Winter Clothes Children]]+Table_NFI[[#This Row],[Winter Items Other]]+Table_NFI[[#This Row],[Winter Blanket]]&gt;0,1,0)</f>
        <v>0</v>
      </c>
      <c r="AN759" s="331">
        <f>IF(NFI_Expiration=1,IF($A759&lt;VLOOKUP(V$5,NFI,5,0),1,0)*Table_NFI[[#This Row],[Jerry Can]],Table_NFI[Jerry Can])</f>
        <v>0</v>
      </c>
      <c r="AO759" s="331">
        <f>IF(NFI_Expiration=1,IF($A759&lt;VLOOKUP(V$5,NFI,5,0),1,0)*Table_NFI[[#This Row],[Shelter Tool kit]],Table_NFI[Shelter Tool kit])</f>
        <v>0</v>
      </c>
      <c r="AP759" s="331">
        <f>IF(NFI_Expiration=1,IF($A759&lt;VLOOKUP(V$5,NFI,5,0),1,0)*Table_NFI[[#This Row],[Tent]],Table_NFI[Tent])</f>
        <v>0</v>
      </c>
      <c r="AQ759" s="473" t="str">
        <f>IFERROR(VLOOKUP(Table_NFI[[#This Row],[Camp Name]],CL,2,0),"")</f>
        <v>MMR001CMP080</v>
      </c>
      <c r="AR759" s="468">
        <f ca="1">IF(Table_NFI[[#This Row],[Pcode]]="","",IF(OFFSET(CampList[Opening Date],MATCH(Table_NFI[[#This Row],[Pcode]],CampList[CP_Pcode],0)-1,0,1,1)&gt;=NFI_Monitor_Date,1,0))</f>
        <v>0</v>
      </c>
      <c r="AS759" s="473" t="str">
        <f>IFERROR(VLOOKUP(Table_NFI[[#This Row],[Camp Name]],CL,3,0),"")</f>
        <v>Open</v>
      </c>
      <c r="AT759" s="294" t="str">
        <f ca="1">IF(Table_NFI[[#This Row],[Pcode]]="","",OFFSET(CampList[Priority],MATCH(Table_NFI[[#This Row],[Pcode]],CampList[CP_Pcode],0)-1,0,1,1))</f>
        <v>P4</v>
      </c>
      <c r="AU759" s="293">
        <f>IFERROR(Table_NFI[[#This Row],[Kitchen Set]]/VLOOKUP(Table_NFI[[#This Row],[Camp Name]],CL,4,0),"")</f>
        <v>1</v>
      </c>
      <c r="AV759" s="466" t="s">
        <v>1092</v>
      </c>
      <c r="AW759" s="469"/>
    </row>
    <row r="760" spans="1:49" ht="14.45" customHeight="1" x14ac:dyDescent="0.25">
      <c r="A760" s="297">
        <f t="shared" si="11"/>
        <v>45.366666666666667</v>
      </c>
      <c r="B760" s="465">
        <v>41314</v>
      </c>
      <c r="C760" s="466" t="s">
        <v>900</v>
      </c>
      <c r="D760" s="466" t="s">
        <v>900</v>
      </c>
      <c r="E760" s="466" t="s">
        <v>380</v>
      </c>
      <c r="F760" s="466" t="s">
        <v>237</v>
      </c>
      <c r="G760" s="290" t="s">
        <v>253</v>
      </c>
      <c r="H760" s="291"/>
      <c r="I760" s="291"/>
      <c r="J760" s="291"/>
      <c r="K760" s="291"/>
      <c r="L760" s="292">
        <v>177</v>
      </c>
      <c r="M760" s="292">
        <v>10</v>
      </c>
      <c r="N760" s="292">
        <v>10</v>
      </c>
      <c r="O760" s="292"/>
      <c r="P760" s="294">
        <v>0</v>
      </c>
      <c r="Q760" s="294">
        <v>0</v>
      </c>
      <c r="R760" s="294"/>
      <c r="S760" s="294"/>
      <c r="T760" s="294"/>
      <c r="U760" s="294"/>
      <c r="V760" s="431"/>
      <c r="W760" s="294"/>
      <c r="X760" s="294"/>
      <c r="Y760" s="294">
        <f>IF(NFI_Expiration=1,IF($A760&lt;VLOOKUP(H$5,NFI,5,0),1,0)*Table_NFI[[#This Row],[Hygiene Kit]],Table_NFI[Hygiene Kit])</f>
        <v>0</v>
      </c>
      <c r="Z760" s="294">
        <f>IF(NFI_Expiration=1,IF($A760&lt;VLOOKUP(I$5,NFI,5,0),1,0)*Table_NFI[[#This Row],[NFI Core Kit]],Table_NFI[NFI Core Kit])</f>
        <v>0</v>
      </c>
      <c r="AA760" s="294">
        <f>IF(NFI_Expiration=1,IF($A760&lt;VLOOKUP(J$5,NFI,5,0),1,0)*Table_NFI[[#This Row],[Sanitary Kit]],Table_NFI[Sanitary Kit])</f>
        <v>0</v>
      </c>
      <c r="AB760" s="294">
        <f>IF(NFI_Expiration=1,IF($A760&lt;VLOOKUP(K$5,NFI,5,0),1,0)*Table_NFI[[#This Row],[Mosquito net]],Table_NFI[Mosquito net])</f>
        <v>0</v>
      </c>
      <c r="AC760" s="294">
        <f>IF(NFI_Expiration=1,IF($A760&lt;VLOOKUP(L$5,NFI,5,0),1,0)*Table_NFI[[#This Row],[Tarpaulin]],Table_NFI[[#This Row],[Tarpaulin]])</f>
        <v>0</v>
      </c>
      <c r="AD760" s="294">
        <f>IF(NFI_Expiration=1,IF($A760&lt;VLOOKUP(M$5,NFI,5,0),1,0)*Table_NFI[[#This Row],[Blanket]],Table_NFI[[#This Row],[Blanket]])</f>
        <v>0</v>
      </c>
      <c r="AE760" s="294">
        <f>IF(NFI_Expiration=1,IF($A760&lt;VLOOKUP(N$5,NFI,5,0),1,0)*Table_NFI[[#This Row],[Kitchen Set]],Table_NFI[Kitchen Set])</f>
        <v>0</v>
      </c>
      <c r="AF760" s="294">
        <f>IF(NFI_Expiration=1,IF($A760&lt;VLOOKUP(O$5,NFI,5,0),1,0)*Table_NFI[[#This Row],[Clothes Kit]],Table_NFI[Clothes Kit])</f>
        <v>0</v>
      </c>
      <c r="AG760" s="294">
        <f>IF(NFI_Expiration=1,IF($A760&lt;VLOOKUP(P$5,NFI,5,0),1,0)*Table_NFI[[#This Row],[Plastic Bucket]],Table_NFI[Plastic Bucket])</f>
        <v>0</v>
      </c>
      <c r="AH760" s="294">
        <f>IF(NFI_Expiration=1,IF($A760&lt;VLOOKUP(Q$5,NFI,5,0),1,0)*Table_NFI[[#This Row],[Plastic Mat]],Table_NFI[Plastic Mat])*IF(Table_NFI[[#This Row],[Distribution Date]]&gt;"2014-04-01",1,2.5)</f>
        <v>0</v>
      </c>
      <c r="AI760" s="294">
        <f>IF(NFI_Expiration=1,IF($A760&lt;VLOOKUP(R$5,NFI,5,0),1,0)*Table_NFI[[#This Row],[Winter Clothes Adult]],Table_NFI[Winter Clothes Adult])</f>
        <v>0</v>
      </c>
      <c r="AJ760" s="294">
        <f>IF(NFI_Expiration=1,IF($A760&lt;VLOOKUP(S$5,NFI,5,0),1,0)*Table_NFI[[#This Row],[Winter Clothes Children]],Table_NFI[Winter Clothes Children])</f>
        <v>0</v>
      </c>
      <c r="AK760" s="294">
        <f>IF(NFI_Expiration=1,IF($A760&lt;VLOOKUP(T$5,NFI,5,0),1,0)*Table_NFI[[#This Row],[Winter Items Other]],Table_NFI[Winter Items Other])</f>
        <v>0</v>
      </c>
      <c r="AL760" s="294">
        <f>IF(NFI_Expiration=1,IF($A760&lt;VLOOKUP(M$5,NFI,5,0),1,0)*Table_NFI[[#This Row],[Winter Blanket]],Table_NFI[[#This Row],[Winter Blanket]])</f>
        <v>0</v>
      </c>
      <c r="AM760" s="294">
        <f>IF(Table_NFI[[#This Row],[Winter Clothes Adult]]+Table_NFI[[#This Row],[Winter Clothes Children]]+Table_NFI[[#This Row],[Winter Items Other]]+Table_NFI[[#This Row],[Winter Blanket]]&gt;0,1,0)</f>
        <v>0</v>
      </c>
      <c r="AN760" s="331">
        <f>IF(NFI_Expiration=1,IF($A760&lt;VLOOKUP(V$5,NFI,5,0),1,0)*Table_NFI[[#This Row],[Jerry Can]],Table_NFI[Jerry Can])</f>
        <v>0</v>
      </c>
      <c r="AO760" s="331">
        <f>IF(NFI_Expiration=1,IF($A760&lt;VLOOKUP(V$5,NFI,5,0),1,0)*Table_NFI[[#This Row],[Shelter Tool kit]],Table_NFI[Shelter Tool kit])</f>
        <v>0</v>
      </c>
      <c r="AP760" s="331">
        <f>IF(NFI_Expiration=1,IF($A760&lt;VLOOKUP(V$5,NFI,5,0),1,0)*Table_NFI[[#This Row],[Tent]],Table_NFI[Tent])</f>
        <v>0</v>
      </c>
      <c r="AQ760" s="473" t="str">
        <f>IFERROR(VLOOKUP(Table_NFI[[#This Row],[Camp Name]],CL,2,0),"")</f>
        <v>MMR001CMP018</v>
      </c>
      <c r="AR760" s="468">
        <f ca="1">IF(Table_NFI[[#This Row],[Pcode]]="","",IF(OFFSET(CampList[Opening Date],MATCH(Table_NFI[[#This Row],[Pcode]],CampList[CP_Pcode],0)-1,0,1,1)&gt;=NFI_Monitor_Date,1,0))</f>
        <v>0</v>
      </c>
      <c r="AS760" s="473" t="str">
        <f>IFERROR(VLOOKUP(Table_NFI[[#This Row],[Camp Name]],CL,3,0),"")</f>
        <v>Open</v>
      </c>
      <c r="AT760" s="294" t="str">
        <f ca="1">IF(Table_NFI[[#This Row],[Pcode]]="","",OFFSET(CampList[Priority],MATCH(Table_NFI[[#This Row],[Pcode]],CampList[CP_Pcode],0)-1,0,1,1))</f>
        <v>P4</v>
      </c>
      <c r="AU760" s="293">
        <f>IFERROR(Table_NFI[[#This Row],[Kitchen Set]]/VLOOKUP(Table_NFI[[#This Row],[Camp Name]],CL,4,0),"")</f>
        <v>5.0505050505050504E-2</v>
      </c>
      <c r="AV760" s="466" t="s">
        <v>1092</v>
      </c>
      <c r="AW760" s="469"/>
    </row>
    <row r="761" spans="1:49" s="470" customFormat="1" ht="14.45" customHeight="1" x14ac:dyDescent="0.25">
      <c r="A761" s="297">
        <f t="shared" si="11"/>
        <v>45.366666666666667</v>
      </c>
      <c r="B761" s="465">
        <v>41314</v>
      </c>
      <c r="C761" s="466" t="s">
        <v>900</v>
      </c>
      <c r="D761" s="467" t="s">
        <v>900</v>
      </c>
      <c r="E761" s="466" t="s">
        <v>380</v>
      </c>
      <c r="F761" s="290" t="s">
        <v>237</v>
      </c>
      <c r="G761" s="290" t="s">
        <v>277</v>
      </c>
      <c r="H761" s="291"/>
      <c r="I761" s="291"/>
      <c r="J761" s="291"/>
      <c r="K761" s="291"/>
      <c r="L761" s="292">
        <v>109</v>
      </c>
      <c r="M761" s="292">
        <v>10</v>
      </c>
      <c r="N761" s="292">
        <v>10</v>
      </c>
      <c r="O761" s="292"/>
      <c r="P761" s="294">
        <v>0</v>
      </c>
      <c r="Q761" s="294">
        <v>0</v>
      </c>
      <c r="R761" s="294"/>
      <c r="S761" s="294"/>
      <c r="T761" s="294"/>
      <c r="U761" s="294"/>
      <c r="V761" s="431"/>
      <c r="W761" s="294"/>
      <c r="X761" s="294"/>
      <c r="Y761" s="294">
        <f>IF(NFI_Expiration=1,IF($A761&lt;VLOOKUP(H$5,NFI,5,0),1,0)*Table_NFI[[#This Row],[Hygiene Kit]],Table_NFI[Hygiene Kit])</f>
        <v>0</v>
      </c>
      <c r="Z761" s="294">
        <f>IF(NFI_Expiration=1,IF($A761&lt;VLOOKUP(I$5,NFI,5,0),1,0)*Table_NFI[[#This Row],[NFI Core Kit]],Table_NFI[NFI Core Kit])</f>
        <v>0</v>
      </c>
      <c r="AA761" s="294">
        <f>IF(NFI_Expiration=1,IF($A761&lt;VLOOKUP(J$5,NFI,5,0),1,0)*Table_NFI[[#This Row],[Sanitary Kit]],Table_NFI[Sanitary Kit])</f>
        <v>0</v>
      </c>
      <c r="AB761" s="294">
        <f>IF(NFI_Expiration=1,IF($A761&lt;VLOOKUP(K$5,NFI,5,0),1,0)*Table_NFI[[#This Row],[Mosquito net]],Table_NFI[Mosquito net])</f>
        <v>0</v>
      </c>
      <c r="AC761" s="294">
        <f>IF(NFI_Expiration=1,IF($A761&lt;VLOOKUP(L$5,NFI,5,0),1,0)*Table_NFI[[#This Row],[Tarpaulin]],Table_NFI[[#This Row],[Tarpaulin]])</f>
        <v>0</v>
      </c>
      <c r="AD761" s="294">
        <f>IF(NFI_Expiration=1,IF($A761&lt;VLOOKUP(M$5,NFI,5,0),1,0)*Table_NFI[[#This Row],[Blanket]],Table_NFI[[#This Row],[Blanket]])</f>
        <v>0</v>
      </c>
      <c r="AE761" s="294">
        <f>IF(NFI_Expiration=1,IF($A761&lt;VLOOKUP(N$5,NFI,5,0),1,0)*Table_NFI[[#This Row],[Kitchen Set]],Table_NFI[Kitchen Set])</f>
        <v>0</v>
      </c>
      <c r="AF761" s="294">
        <f>IF(NFI_Expiration=1,IF($A761&lt;VLOOKUP(O$5,NFI,5,0),1,0)*Table_NFI[[#This Row],[Clothes Kit]],Table_NFI[Clothes Kit])</f>
        <v>0</v>
      </c>
      <c r="AG761" s="294">
        <f>IF(NFI_Expiration=1,IF($A761&lt;VLOOKUP(P$5,NFI,5,0),1,0)*Table_NFI[[#This Row],[Plastic Bucket]],Table_NFI[Plastic Bucket])</f>
        <v>0</v>
      </c>
      <c r="AH761" s="294">
        <f>IF(NFI_Expiration=1,IF($A761&lt;VLOOKUP(Q$5,NFI,5,0),1,0)*Table_NFI[[#This Row],[Plastic Mat]],Table_NFI[Plastic Mat])*IF(Table_NFI[[#This Row],[Distribution Date]]&gt;"2014-04-01",1,2.5)</f>
        <v>0</v>
      </c>
      <c r="AI761" s="294">
        <f>IF(NFI_Expiration=1,IF($A761&lt;VLOOKUP(R$5,NFI,5,0),1,0)*Table_NFI[[#This Row],[Winter Clothes Adult]],Table_NFI[Winter Clothes Adult])</f>
        <v>0</v>
      </c>
      <c r="AJ761" s="294">
        <f>IF(NFI_Expiration=1,IF($A761&lt;VLOOKUP(S$5,NFI,5,0),1,0)*Table_NFI[[#This Row],[Winter Clothes Children]],Table_NFI[Winter Clothes Children])</f>
        <v>0</v>
      </c>
      <c r="AK761" s="294">
        <f>IF(NFI_Expiration=1,IF($A761&lt;VLOOKUP(T$5,NFI,5,0),1,0)*Table_NFI[[#This Row],[Winter Items Other]],Table_NFI[Winter Items Other])</f>
        <v>0</v>
      </c>
      <c r="AL761" s="294">
        <f>IF(NFI_Expiration=1,IF($A761&lt;VLOOKUP(M$5,NFI,5,0),1,0)*Table_NFI[[#This Row],[Winter Blanket]],Table_NFI[[#This Row],[Winter Blanket]])</f>
        <v>0</v>
      </c>
      <c r="AM761" s="294">
        <f>IF(Table_NFI[[#This Row],[Winter Clothes Adult]]+Table_NFI[[#This Row],[Winter Clothes Children]]+Table_NFI[[#This Row],[Winter Items Other]]+Table_NFI[[#This Row],[Winter Blanket]]&gt;0,1,0)</f>
        <v>0</v>
      </c>
      <c r="AN761" s="331">
        <f>IF(NFI_Expiration=1,IF($A761&lt;VLOOKUP(V$5,NFI,5,0),1,0)*Table_NFI[[#This Row],[Jerry Can]],Table_NFI[Jerry Can])</f>
        <v>0</v>
      </c>
      <c r="AO761" s="331">
        <f>IF(NFI_Expiration=1,IF($A761&lt;VLOOKUP(V$5,NFI,5,0),1,0)*Table_NFI[[#This Row],[Shelter Tool kit]],Table_NFI[Shelter Tool kit])</f>
        <v>0</v>
      </c>
      <c r="AP761" s="331">
        <f>IF(NFI_Expiration=1,IF($A761&lt;VLOOKUP(V$5,NFI,5,0),1,0)*Table_NFI[[#This Row],[Tent]],Table_NFI[Tent])</f>
        <v>0</v>
      </c>
      <c r="AQ761" s="473" t="str">
        <f>IFERROR(VLOOKUP(Table_NFI[[#This Row],[Camp Name]],CL,2,0),"")</f>
        <v>MMR001CMP006</v>
      </c>
      <c r="AR761" s="468">
        <f ca="1">IF(Table_NFI[[#This Row],[Pcode]]="","",IF(OFFSET(CampList[Opening Date],MATCH(Table_NFI[[#This Row],[Pcode]],CampList[CP_Pcode],0)-1,0,1,1)&gt;=NFI_Monitor_Date,1,0))</f>
        <v>0</v>
      </c>
      <c r="AS761" s="473" t="str">
        <f>IFERROR(VLOOKUP(Table_NFI[[#This Row],[Camp Name]],CL,3,0),"")</f>
        <v>Open</v>
      </c>
      <c r="AT761" s="294" t="str">
        <f ca="1">IF(Table_NFI[[#This Row],[Pcode]]="","",OFFSET(CampList[Priority],MATCH(Table_NFI[[#This Row],[Pcode]],CampList[CP_Pcode],0)-1,0,1,1))</f>
        <v>P4</v>
      </c>
      <c r="AU761" s="293">
        <f>IFERROR(Table_NFI[[#This Row],[Kitchen Set]]/VLOOKUP(Table_NFI[[#This Row],[Camp Name]],CL,4,0),"")</f>
        <v>0.11363636363636363</v>
      </c>
      <c r="AV761" s="466" t="s">
        <v>1092</v>
      </c>
      <c r="AW761" s="469"/>
    </row>
    <row r="762" spans="1:49" s="470" customFormat="1" ht="14.45" customHeight="1" x14ac:dyDescent="0.25">
      <c r="A762" s="297">
        <f t="shared" si="11"/>
        <v>45.466666666666669</v>
      </c>
      <c r="B762" s="465">
        <v>41311</v>
      </c>
      <c r="C762" s="466" t="s">
        <v>452</v>
      </c>
      <c r="D762" s="467" t="s">
        <v>452</v>
      </c>
      <c r="E762" s="466" t="s">
        <v>380</v>
      </c>
      <c r="F762" s="290" t="s">
        <v>310</v>
      </c>
      <c r="G762" s="290" t="s">
        <v>318</v>
      </c>
      <c r="H762" s="291"/>
      <c r="I762" s="291"/>
      <c r="J762" s="291">
        <v>17</v>
      </c>
      <c r="K762" s="291">
        <v>20</v>
      </c>
      <c r="L762" s="292">
        <v>15</v>
      </c>
      <c r="M762" s="292">
        <v>20</v>
      </c>
      <c r="N762" s="292">
        <v>14</v>
      </c>
      <c r="O762" s="292">
        <v>11</v>
      </c>
      <c r="P762" s="294">
        <v>11</v>
      </c>
      <c r="Q762" s="294">
        <v>11</v>
      </c>
      <c r="R762" s="294"/>
      <c r="S762" s="294"/>
      <c r="T762" s="294"/>
      <c r="U762" s="294"/>
      <c r="V762" s="431"/>
      <c r="W762" s="294"/>
      <c r="X762" s="294"/>
      <c r="Y762" s="294">
        <f>IF(NFI_Expiration=1,IF($A762&lt;VLOOKUP(H$5,NFI,5,0),1,0)*Table_NFI[[#This Row],[Hygiene Kit]],Table_NFI[Hygiene Kit])</f>
        <v>0</v>
      </c>
      <c r="Z762" s="294">
        <f>IF(NFI_Expiration=1,IF($A762&lt;VLOOKUP(I$5,NFI,5,0),1,0)*Table_NFI[[#This Row],[NFI Core Kit]],Table_NFI[NFI Core Kit])</f>
        <v>0</v>
      </c>
      <c r="AA762" s="294">
        <f>IF(NFI_Expiration=1,IF($A762&lt;VLOOKUP(J$5,NFI,5,0),1,0)*Table_NFI[[#This Row],[Sanitary Kit]],Table_NFI[Sanitary Kit])</f>
        <v>0</v>
      </c>
      <c r="AB762" s="294">
        <f>IF(NFI_Expiration=1,IF($A762&lt;VLOOKUP(K$5,NFI,5,0),1,0)*Table_NFI[[#This Row],[Mosquito net]],Table_NFI[Mosquito net])</f>
        <v>0</v>
      </c>
      <c r="AC762" s="294">
        <f>IF(NFI_Expiration=1,IF($A762&lt;VLOOKUP(L$5,NFI,5,0),1,0)*Table_NFI[[#This Row],[Tarpaulin]],Table_NFI[[#This Row],[Tarpaulin]])</f>
        <v>0</v>
      </c>
      <c r="AD762" s="294">
        <f>IF(NFI_Expiration=1,IF($A762&lt;VLOOKUP(M$5,NFI,5,0),1,0)*Table_NFI[[#This Row],[Blanket]],Table_NFI[[#This Row],[Blanket]])</f>
        <v>0</v>
      </c>
      <c r="AE762" s="294">
        <f>IF(NFI_Expiration=1,IF($A762&lt;VLOOKUP(N$5,NFI,5,0),1,0)*Table_NFI[[#This Row],[Kitchen Set]],Table_NFI[Kitchen Set])</f>
        <v>0</v>
      </c>
      <c r="AF762" s="294">
        <f>IF(NFI_Expiration=1,IF($A762&lt;VLOOKUP(O$5,NFI,5,0),1,0)*Table_NFI[[#This Row],[Clothes Kit]],Table_NFI[Clothes Kit])</f>
        <v>0</v>
      </c>
      <c r="AG762" s="294">
        <f>IF(NFI_Expiration=1,IF($A762&lt;VLOOKUP(P$5,NFI,5,0),1,0)*Table_NFI[[#This Row],[Plastic Bucket]],Table_NFI[Plastic Bucket])</f>
        <v>0</v>
      </c>
      <c r="AH762" s="294">
        <f>IF(NFI_Expiration=1,IF($A762&lt;VLOOKUP(Q$5,NFI,5,0),1,0)*Table_NFI[[#This Row],[Plastic Mat]],Table_NFI[Plastic Mat])*IF(Table_NFI[[#This Row],[Distribution Date]]&gt;"2014-04-01",1,2.5)</f>
        <v>0</v>
      </c>
      <c r="AI762" s="294">
        <f>IF(NFI_Expiration=1,IF($A762&lt;VLOOKUP(R$5,NFI,5,0),1,0)*Table_NFI[[#This Row],[Winter Clothes Adult]],Table_NFI[Winter Clothes Adult])</f>
        <v>0</v>
      </c>
      <c r="AJ762" s="294">
        <f>IF(NFI_Expiration=1,IF($A762&lt;VLOOKUP(S$5,NFI,5,0),1,0)*Table_NFI[[#This Row],[Winter Clothes Children]],Table_NFI[Winter Clothes Children])</f>
        <v>0</v>
      </c>
      <c r="AK762" s="294">
        <f>IF(NFI_Expiration=1,IF($A762&lt;VLOOKUP(T$5,NFI,5,0),1,0)*Table_NFI[[#This Row],[Winter Items Other]],Table_NFI[Winter Items Other])</f>
        <v>0</v>
      </c>
      <c r="AL762" s="294">
        <f>IF(NFI_Expiration=1,IF($A762&lt;VLOOKUP(M$5,NFI,5,0),1,0)*Table_NFI[[#This Row],[Winter Blanket]],Table_NFI[[#This Row],[Winter Blanket]])</f>
        <v>0</v>
      </c>
      <c r="AM762" s="294">
        <f>IF(Table_NFI[[#This Row],[Winter Clothes Adult]]+Table_NFI[[#This Row],[Winter Clothes Children]]+Table_NFI[[#This Row],[Winter Items Other]]+Table_NFI[[#This Row],[Winter Blanket]]&gt;0,1,0)</f>
        <v>0</v>
      </c>
      <c r="AN762" s="331">
        <f>IF(NFI_Expiration=1,IF($A762&lt;VLOOKUP(V$5,NFI,5,0),1,0)*Table_NFI[[#This Row],[Jerry Can]],Table_NFI[Jerry Can])</f>
        <v>0</v>
      </c>
      <c r="AO762" s="331">
        <f>IF(NFI_Expiration=1,IF($A762&lt;VLOOKUP(V$5,NFI,5,0),1,0)*Table_NFI[[#This Row],[Shelter Tool kit]],Table_NFI[Shelter Tool kit])</f>
        <v>0</v>
      </c>
      <c r="AP762" s="331">
        <f>IF(NFI_Expiration=1,IF($A762&lt;VLOOKUP(V$5,NFI,5,0),1,0)*Table_NFI[[#This Row],[Tent]],Table_NFI[Tent])</f>
        <v>0</v>
      </c>
      <c r="AQ762" s="473" t="str">
        <f>IFERROR(VLOOKUP(Table_NFI[[#This Row],[Camp Name]],CL,2,0),"")</f>
        <v>MMR001CMP032</v>
      </c>
      <c r="AR762" s="468">
        <f ca="1">IF(Table_NFI[[#This Row],[Pcode]]="","",IF(OFFSET(CampList[Opening Date],MATCH(Table_NFI[[#This Row],[Pcode]],CampList[CP_Pcode],0)-1,0,1,1)&gt;=NFI_Monitor_Date,1,0))</f>
        <v>0</v>
      </c>
      <c r="AS762" s="473" t="str">
        <f>IFERROR(VLOOKUP(Table_NFI[[#This Row],[Camp Name]],CL,3,0),"")</f>
        <v>Open</v>
      </c>
      <c r="AT762" s="294" t="str">
        <f ca="1">IF(Table_NFI[[#This Row],[Pcode]]="","",OFFSET(CampList[Priority],MATCH(Table_NFI[[#This Row],[Pcode]],CampList[CP_Pcode],0)-1,0,1,1))</f>
        <v>P4</v>
      </c>
      <c r="AU762" s="293">
        <f>IFERROR(Table_NFI[[#This Row],[Kitchen Set]]/VLOOKUP(Table_NFI[[#This Row],[Camp Name]],CL,4,0),"")</f>
        <v>0.15384615384615385</v>
      </c>
      <c r="AV762" s="466" t="s">
        <v>1092</v>
      </c>
      <c r="AW762" s="469"/>
    </row>
    <row r="763" spans="1:49" s="470" customFormat="1" ht="14.45" customHeight="1" x14ac:dyDescent="0.25">
      <c r="A763" s="297">
        <f t="shared" si="11"/>
        <v>45.5</v>
      </c>
      <c r="B763" s="465">
        <v>41310</v>
      </c>
      <c r="C763" s="466" t="s">
        <v>900</v>
      </c>
      <c r="D763" s="466" t="s">
        <v>900</v>
      </c>
      <c r="E763" s="466" t="s">
        <v>380</v>
      </c>
      <c r="F763" s="466" t="s">
        <v>237</v>
      </c>
      <c r="G763" s="290" t="s">
        <v>253</v>
      </c>
      <c r="H763" s="291">
        <v>22</v>
      </c>
      <c r="I763" s="291"/>
      <c r="J763" s="291"/>
      <c r="K763" s="291"/>
      <c r="L763" s="292"/>
      <c r="M763" s="292"/>
      <c r="N763" s="292"/>
      <c r="O763" s="292"/>
      <c r="P763" s="294">
        <v>0</v>
      </c>
      <c r="Q763" s="294">
        <v>0</v>
      </c>
      <c r="R763" s="294"/>
      <c r="S763" s="294"/>
      <c r="T763" s="294"/>
      <c r="U763" s="294"/>
      <c r="V763" s="431"/>
      <c r="W763" s="294"/>
      <c r="X763" s="294"/>
      <c r="Y763" s="294">
        <f>IF(NFI_Expiration=1,IF($A763&lt;VLOOKUP(H$5,NFI,5,0),1,0)*Table_NFI[[#This Row],[Hygiene Kit]],Table_NFI[Hygiene Kit])</f>
        <v>0</v>
      </c>
      <c r="Z763" s="294">
        <f>IF(NFI_Expiration=1,IF($A763&lt;VLOOKUP(I$5,NFI,5,0),1,0)*Table_NFI[[#This Row],[NFI Core Kit]],Table_NFI[NFI Core Kit])</f>
        <v>0</v>
      </c>
      <c r="AA763" s="294">
        <f>IF(NFI_Expiration=1,IF($A763&lt;VLOOKUP(J$5,NFI,5,0),1,0)*Table_NFI[[#This Row],[Sanitary Kit]],Table_NFI[Sanitary Kit])</f>
        <v>0</v>
      </c>
      <c r="AB763" s="294">
        <f>IF(NFI_Expiration=1,IF($A763&lt;VLOOKUP(K$5,NFI,5,0),1,0)*Table_NFI[[#This Row],[Mosquito net]],Table_NFI[Mosquito net])</f>
        <v>0</v>
      </c>
      <c r="AC763" s="294">
        <f>IF(NFI_Expiration=1,IF($A763&lt;VLOOKUP(L$5,NFI,5,0),1,0)*Table_NFI[[#This Row],[Tarpaulin]],Table_NFI[[#This Row],[Tarpaulin]])</f>
        <v>0</v>
      </c>
      <c r="AD763" s="294">
        <f>IF(NFI_Expiration=1,IF($A763&lt;VLOOKUP(M$5,NFI,5,0),1,0)*Table_NFI[[#This Row],[Blanket]],Table_NFI[[#This Row],[Blanket]])</f>
        <v>0</v>
      </c>
      <c r="AE763" s="294">
        <f>IF(NFI_Expiration=1,IF($A763&lt;VLOOKUP(N$5,NFI,5,0),1,0)*Table_NFI[[#This Row],[Kitchen Set]],Table_NFI[Kitchen Set])</f>
        <v>0</v>
      </c>
      <c r="AF763" s="294">
        <f>IF(NFI_Expiration=1,IF($A763&lt;VLOOKUP(O$5,NFI,5,0),1,0)*Table_NFI[[#This Row],[Clothes Kit]],Table_NFI[Clothes Kit])</f>
        <v>0</v>
      </c>
      <c r="AG763" s="294">
        <f>IF(NFI_Expiration=1,IF($A763&lt;VLOOKUP(P$5,NFI,5,0),1,0)*Table_NFI[[#This Row],[Plastic Bucket]],Table_NFI[Plastic Bucket])</f>
        <v>0</v>
      </c>
      <c r="AH763" s="294">
        <f>IF(NFI_Expiration=1,IF($A763&lt;VLOOKUP(Q$5,NFI,5,0),1,0)*Table_NFI[[#This Row],[Plastic Mat]],Table_NFI[Plastic Mat])*IF(Table_NFI[[#This Row],[Distribution Date]]&gt;"2014-04-01",1,2.5)</f>
        <v>0</v>
      </c>
      <c r="AI763" s="294">
        <f>IF(NFI_Expiration=1,IF($A763&lt;VLOOKUP(R$5,NFI,5,0),1,0)*Table_NFI[[#This Row],[Winter Clothes Adult]],Table_NFI[Winter Clothes Adult])</f>
        <v>0</v>
      </c>
      <c r="AJ763" s="294">
        <f>IF(NFI_Expiration=1,IF($A763&lt;VLOOKUP(S$5,NFI,5,0),1,0)*Table_NFI[[#This Row],[Winter Clothes Children]],Table_NFI[Winter Clothes Children])</f>
        <v>0</v>
      </c>
      <c r="AK763" s="294">
        <f>IF(NFI_Expiration=1,IF($A763&lt;VLOOKUP(T$5,NFI,5,0),1,0)*Table_NFI[[#This Row],[Winter Items Other]],Table_NFI[Winter Items Other])</f>
        <v>0</v>
      </c>
      <c r="AL763" s="294">
        <f>IF(NFI_Expiration=1,IF($A763&lt;VLOOKUP(M$5,NFI,5,0),1,0)*Table_NFI[[#This Row],[Winter Blanket]],Table_NFI[[#This Row],[Winter Blanket]])</f>
        <v>0</v>
      </c>
      <c r="AM763" s="294">
        <f>IF(Table_NFI[[#This Row],[Winter Clothes Adult]]+Table_NFI[[#This Row],[Winter Clothes Children]]+Table_NFI[[#This Row],[Winter Items Other]]+Table_NFI[[#This Row],[Winter Blanket]]&gt;0,1,0)</f>
        <v>0</v>
      </c>
      <c r="AN763" s="331">
        <f>IF(NFI_Expiration=1,IF($A763&lt;VLOOKUP(V$5,NFI,5,0),1,0)*Table_NFI[[#This Row],[Jerry Can]],Table_NFI[Jerry Can])</f>
        <v>0</v>
      </c>
      <c r="AO763" s="331">
        <f>IF(NFI_Expiration=1,IF($A763&lt;VLOOKUP(V$5,NFI,5,0),1,0)*Table_NFI[[#This Row],[Shelter Tool kit]],Table_NFI[Shelter Tool kit])</f>
        <v>0</v>
      </c>
      <c r="AP763" s="331">
        <f>IF(NFI_Expiration=1,IF($A763&lt;VLOOKUP(V$5,NFI,5,0),1,0)*Table_NFI[[#This Row],[Tent]],Table_NFI[Tent])</f>
        <v>0</v>
      </c>
      <c r="AQ763" s="473" t="str">
        <f>IFERROR(VLOOKUP(Table_NFI[[#This Row],[Camp Name]],CL,2,0),"")</f>
        <v>MMR001CMP018</v>
      </c>
      <c r="AR763" s="468">
        <f ca="1">IF(Table_NFI[[#This Row],[Pcode]]="","",IF(OFFSET(CampList[Opening Date],MATCH(Table_NFI[[#This Row],[Pcode]],CampList[CP_Pcode],0)-1,0,1,1)&gt;=NFI_Monitor_Date,1,0))</f>
        <v>0</v>
      </c>
      <c r="AS763" s="473" t="str">
        <f>IFERROR(VLOOKUP(Table_NFI[[#This Row],[Camp Name]],CL,3,0),"")</f>
        <v>Open</v>
      </c>
      <c r="AT763" s="294" t="str">
        <f ca="1">IF(Table_NFI[[#This Row],[Pcode]]="","",OFFSET(CampList[Priority],MATCH(Table_NFI[[#This Row],[Pcode]],CampList[CP_Pcode],0)-1,0,1,1))</f>
        <v>P4</v>
      </c>
      <c r="AU763" s="293">
        <f>IFERROR(Table_NFI[[#This Row],[Kitchen Set]]/VLOOKUP(Table_NFI[[#This Row],[Camp Name]],CL,4,0),"")</f>
        <v>0</v>
      </c>
      <c r="AV763" s="466" t="s">
        <v>1092</v>
      </c>
      <c r="AW763" s="469"/>
    </row>
    <row r="764" spans="1:49" s="470" customFormat="1" x14ac:dyDescent="0.25">
      <c r="A764" s="297">
        <f t="shared" si="11"/>
        <v>45.5</v>
      </c>
      <c r="B764" s="465">
        <v>41310</v>
      </c>
      <c r="C764" s="466" t="s">
        <v>452</v>
      </c>
      <c r="D764" s="466" t="s">
        <v>452</v>
      </c>
      <c r="E764" s="466" t="s">
        <v>380</v>
      </c>
      <c r="F764" s="290" t="s">
        <v>310</v>
      </c>
      <c r="G764" s="290" t="s">
        <v>328</v>
      </c>
      <c r="H764" s="291"/>
      <c r="I764" s="291"/>
      <c r="J764" s="291">
        <v>37</v>
      </c>
      <c r="K764" s="291">
        <v>70</v>
      </c>
      <c r="L764" s="292">
        <v>34</v>
      </c>
      <c r="M764" s="292">
        <v>70</v>
      </c>
      <c r="N764" s="292">
        <v>34</v>
      </c>
      <c r="O764" s="292">
        <v>34</v>
      </c>
      <c r="P764" s="294">
        <v>34</v>
      </c>
      <c r="Q764" s="294">
        <v>34</v>
      </c>
      <c r="R764" s="294"/>
      <c r="S764" s="294"/>
      <c r="T764" s="294"/>
      <c r="U764" s="294"/>
      <c r="V764" s="622"/>
      <c r="W764" s="331"/>
      <c r="X764" s="331"/>
      <c r="Y764" s="294">
        <f>IF(NFI_Expiration=1,IF($A764&lt;VLOOKUP(H$5,NFI,5,0),1,0)*Table_NFI[[#This Row],[Hygiene Kit]],Table_NFI[Hygiene Kit])</f>
        <v>0</v>
      </c>
      <c r="Z764" s="294">
        <f>IF(NFI_Expiration=1,IF($A764&lt;VLOOKUP(I$5,NFI,5,0),1,0)*Table_NFI[[#This Row],[NFI Core Kit]],Table_NFI[NFI Core Kit])</f>
        <v>0</v>
      </c>
      <c r="AA764" s="294">
        <f>IF(NFI_Expiration=1,IF($A764&lt;VLOOKUP(J$5,NFI,5,0),1,0)*Table_NFI[[#This Row],[Sanitary Kit]],Table_NFI[Sanitary Kit])</f>
        <v>0</v>
      </c>
      <c r="AB764" s="294">
        <f>IF(NFI_Expiration=1,IF($A764&lt;VLOOKUP(K$5,NFI,5,0),1,0)*Table_NFI[[#This Row],[Mosquito net]],Table_NFI[Mosquito net])</f>
        <v>0</v>
      </c>
      <c r="AC764" s="294">
        <f>IF(NFI_Expiration=1,IF($A764&lt;VLOOKUP(L$5,NFI,5,0),1,0)*Table_NFI[[#This Row],[Tarpaulin]],Table_NFI[[#This Row],[Tarpaulin]])</f>
        <v>0</v>
      </c>
      <c r="AD764" s="294">
        <f>IF(NFI_Expiration=1,IF($A764&lt;VLOOKUP(M$5,NFI,5,0),1,0)*Table_NFI[[#This Row],[Blanket]],Table_NFI[[#This Row],[Blanket]])</f>
        <v>0</v>
      </c>
      <c r="AE764" s="294">
        <f>IF(NFI_Expiration=1,IF($A764&lt;VLOOKUP(N$5,NFI,5,0),1,0)*Table_NFI[[#This Row],[Kitchen Set]],Table_NFI[Kitchen Set])</f>
        <v>0</v>
      </c>
      <c r="AF764" s="294">
        <f>IF(NFI_Expiration=1,IF($A764&lt;VLOOKUP(O$5,NFI,5,0),1,0)*Table_NFI[[#This Row],[Clothes Kit]],Table_NFI[Clothes Kit])</f>
        <v>0</v>
      </c>
      <c r="AG764" s="294">
        <f>IF(NFI_Expiration=1,IF($A764&lt;VLOOKUP(P$5,NFI,5,0),1,0)*Table_NFI[[#This Row],[Plastic Bucket]],Table_NFI[Plastic Bucket])</f>
        <v>0</v>
      </c>
      <c r="AH764" s="294">
        <f>IF(NFI_Expiration=1,IF($A764&lt;VLOOKUP(Q$5,NFI,5,0),1,0)*Table_NFI[[#This Row],[Plastic Mat]],Table_NFI[Plastic Mat])*IF(Table_NFI[[#This Row],[Distribution Date]]&gt;"2014-04-01",1,2.5)</f>
        <v>0</v>
      </c>
      <c r="AI764" s="294">
        <f>IF(NFI_Expiration=1,IF($A764&lt;VLOOKUP(R$5,NFI,5,0),1,0)*Table_NFI[[#This Row],[Winter Clothes Adult]],Table_NFI[Winter Clothes Adult])</f>
        <v>0</v>
      </c>
      <c r="AJ764" s="294">
        <f>IF(NFI_Expiration=1,IF($A764&lt;VLOOKUP(S$5,NFI,5,0),1,0)*Table_NFI[[#This Row],[Winter Clothes Children]],Table_NFI[Winter Clothes Children])</f>
        <v>0</v>
      </c>
      <c r="AK764" s="294">
        <f>IF(NFI_Expiration=1,IF($A764&lt;VLOOKUP(T$5,NFI,5,0),1,0)*Table_NFI[[#This Row],[Winter Items Other]],Table_NFI[Winter Items Other])</f>
        <v>0</v>
      </c>
      <c r="AL764" s="294">
        <f>IF(NFI_Expiration=1,IF($A764&lt;VLOOKUP(M$5,NFI,5,0),1,0)*Table_NFI[[#This Row],[Winter Blanket]],Table_NFI[[#This Row],[Winter Blanket]])</f>
        <v>0</v>
      </c>
      <c r="AM764" s="294">
        <f>IF(Table_NFI[[#This Row],[Winter Clothes Adult]]+Table_NFI[[#This Row],[Winter Clothes Children]]+Table_NFI[[#This Row],[Winter Items Other]]+Table_NFI[[#This Row],[Winter Blanket]]&gt;0,1,0)</f>
        <v>0</v>
      </c>
      <c r="AN764" s="331">
        <f>IF(NFI_Expiration=1,IF($A764&lt;VLOOKUP(V$5,NFI,5,0),1,0)*Table_NFI[[#This Row],[Jerry Can]],Table_NFI[Jerry Can])</f>
        <v>0</v>
      </c>
      <c r="AO764" s="331">
        <f>IF(NFI_Expiration=1,IF($A764&lt;VLOOKUP(V$5,NFI,5,0),1,0)*Table_NFI[[#This Row],[Shelter Tool kit]],Table_NFI[Shelter Tool kit])</f>
        <v>0</v>
      </c>
      <c r="AP764" s="331">
        <f>IF(NFI_Expiration=1,IF($A764&lt;VLOOKUP(V$5,NFI,5,0),1,0)*Table_NFI[[#This Row],[Tent]],Table_NFI[Tent])</f>
        <v>0</v>
      </c>
      <c r="AQ764" s="473" t="str">
        <f>IFERROR(VLOOKUP(Table_NFI[[#This Row],[Camp Name]],CL,2,0),"")</f>
        <v>MMR001CMP031</v>
      </c>
      <c r="AR764" s="468">
        <f ca="1">IF(Table_NFI[[#This Row],[Pcode]]="","",IF(OFFSET(CampList[Opening Date],MATCH(Table_NFI[[#This Row],[Pcode]],CampList[CP_Pcode],0)-1,0,1,1)&gt;=NFI_Monitor_Date,1,0))</f>
        <v>0</v>
      </c>
      <c r="AS764" s="473" t="str">
        <f>IFERROR(VLOOKUP(Table_NFI[[#This Row],[Camp Name]],CL,3,0),"")</f>
        <v>Open</v>
      </c>
      <c r="AT764" s="294" t="str">
        <f ca="1">IF(Table_NFI[[#This Row],[Pcode]]="","",OFFSET(CampList[Priority],MATCH(Table_NFI[[#This Row],[Pcode]],CampList[CP_Pcode],0)-1,0,1,1))</f>
        <v>P4</v>
      </c>
      <c r="AU764" s="293">
        <f>IFERROR(Table_NFI[[#This Row],[Kitchen Set]]/VLOOKUP(Table_NFI[[#This Row],[Camp Name]],CL,4,0),"")</f>
        <v>0.22818791946308725</v>
      </c>
      <c r="AV764" s="466" t="s">
        <v>1092</v>
      </c>
      <c r="AW764" s="469"/>
    </row>
    <row r="765" spans="1:49" s="470" customFormat="1" x14ac:dyDescent="0.25">
      <c r="A765" s="297">
        <f t="shared" si="11"/>
        <v>45.5</v>
      </c>
      <c r="B765" s="465">
        <v>41310</v>
      </c>
      <c r="C765" s="466" t="s">
        <v>900</v>
      </c>
      <c r="D765" s="466" t="s">
        <v>900</v>
      </c>
      <c r="E765" s="466" t="s">
        <v>380</v>
      </c>
      <c r="F765" s="466" t="s">
        <v>310</v>
      </c>
      <c r="G765" s="290" t="s">
        <v>330</v>
      </c>
      <c r="H765" s="291">
        <v>46</v>
      </c>
      <c r="I765" s="291"/>
      <c r="J765" s="291"/>
      <c r="K765" s="291"/>
      <c r="L765" s="292"/>
      <c r="M765" s="292"/>
      <c r="N765" s="292"/>
      <c r="O765" s="292"/>
      <c r="P765" s="294">
        <v>0</v>
      </c>
      <c r="Q765" s="294">
        <v>0</v>
      </c>
      <c r="R765" s="294"/>
      <c r="S765" s="294"/>
      <c r="T765" s="294"/>
      <c r="U765" s="294"/>
      <c r="V765" s="622"/>
      <c r="W765" s="331"/>
      <c r="X765" s="331"/>
      <c r="Y765" s="294">
        <f>IF(NFI_Expiration=1,IF($A765&lt;VLOOKUP(H$5,NFI,5,0),1,0)*Table_NFI[[#This Row],[Hygiene Kit]],Table_NFI[Hygiene Kit])</f>
        <v>0</v>
      </c>
      <c r="Z765" s="294">
        <f>IF(NFI_Expiration=1,IF($A765&lt;VLOOKUP(I$5,NFI,5,0),1,0)*Table_NFI[[#This Row],[NFI Core Kit]],Table_NFI[NFI Core Kit])</f>
        <v>0</v>
      </c>
      <c r="AA765" s="294">
        <f>IF(NFI_Expiration=1,IF($A765&lt;VLOOKUP(J$5,NFI,5,0),1,0)*Table_NFI[[#This Row],[Sanitary Kit]],Table_NFI[Sanitary Kit])</f>
        <v>0</v>
      </c>
      <c r="AB765" s="294">
        <f>IF(NFI_Expiration=1,IF($A765&lt;VLOOKUP(K$5,NFI,5,0),1,0)*Table_NFI[[#This Row],[Mosquito net]],Table_NFI[Mosquito net])</f>
        <v>0</v>
      </c>
      <c r="AC765" s="294">
        <f>IF(NFI_Expiration=1,IF($A765&lt;VLOOKUP(L$5,NFI,5,0),1,0)*Table_NFI[[#This Row],[Tarpaulin]],Table_NFI[[#This Row],[Tarpaulin]])</f>
        <v>0</v>
      </c>
      <c r="AD765" s="294">
        <f>IF(NFI_Expiration=1,IF($A765&lt;VLOOKUP(M$5,NFI,5,0),1,0)*Table_NFI[[#This Row],[Blanket]],Table_NFI[[#This Row],[Blanket]])</f>
        <v>0</v>
      </c>
      <c r="AE765" s="294">
        <f>IF(NFI_Expiration=1,IF($A765&lt;VLOOKUP(N$5,NFI,5,0),1,0)*Table_NFI[[#This Row],[Kitchen Set]],Table_NFI[Kitchen Set])</f>
        <v>0</v>
      </c>
      <c r="AF765" s="294">
        <f>IF(NFI_Expiration=1,IF($A765&lt;VLOOKUP(O$5,NFI,5,0),1,0)*Table_NFI[[#This Row],[Clothes Kit]],Table_NFI[Clothes Kit])</f>
        <v>0</v>
      </c>
      <c r="AG765" s="294">
        <f>IF(NFI_Expiration=1,IF($A765&lt;VLOOKUP(P$5,NFI,5,0),1,0)*Table_NFI[[#This Row],[Plastic Bucket]],Table_NFI[Plastic Bucket])</f>
        <v>0</v>
      </c>
      <c r="AH765" s="294">
        <f>IF(NFI_Expiration=1,IF($A765&lt;VLOOKUP(Q$5,NFI,5,0),1,0)*Table_NFI[[#This Row],[Plastic Mat]],Table_NFI[Plastic Mat])*IF(Table_NFI[[#This Row],[Distribution Date]]&gt;"2014-04-01",1,2.5)</f>
        <v>0</v>
      </c>
      <c r="AI765" s="294">
        <f>IF(NFI_Expiration=1,IF($A765&lt;VLOOKUP(R$5,NFI,5,0),1,0)*Table_NFI[[#This Row],[Winter Clothes Adult]],Table_NFI[Winter Clothes Adult])</f>
        <v>0</v>
      </c>
      <c r="AJ765" s="294">
        <f>IF(NFI_Expiration=1,IF($A765&lt;VLOOKUP(S$5,NFI,5,0),1,0)*Table_NFI[[#This Row],[Winter Clothes Children]],Table_NFI[Winter Clothes Children])</f>
        <v>0</v>
      </c>
      <c r="AK765" s="294">
        <f>IF(NFI_Expiration=1,IF($A765&lt;VLOOKUP(T$5,NFI,5,0),1,0)*Table_NFI[[#This Row],[Winter Items Other]],Table_NFI[Winter Items Other])</f>
        <v>0</v>
      </c>
      <c r="AL765" s="294">
        <f>IF(NFI_Expiration=1,IF($A765&lt;VLOOKUP(M$5,NFI,5,0),1,0)*Table_NFI[[#This Row],[Winter Blanket]],Table_NFI[[#This Row],[Winter Blanket]])</f>
        <v>0</v>
      </c>
      <c r="AM765" s="294">
        <f>IF(Table_NFI[[#This Row],[Winter Clothes Adult]]+Table_NFI[[#This Row],[Winter Clothes Children]]+Table_NFI[[#This Row],[Winter Items Other]]+Table_NFI[[#This Row],[Winter Blanket]]&gt;0,1,0)</f>
        <v>0</v>
      </c>
      <c r="AN765" s="331">
        <f>IF(NFI_Expiration=1,IF($A765&lt;VLOOKUP(V$5,NFI,5,0),1,0)*Table_NFI[[#This Row],[Jerry Can]],Table_NFI[Jerry Can])</f>
        <v>0</v>
      </c>
      <c r="AO765" s="331">
        <f>IF(NFI_Expiration=1,IF($A765&lt;VLOOKUP(V$5,NFI,5,0),1,0)*Table_NFI[[#This Row],[Shelter Tool kit]],Table_NFI[Shelter Tool kit])</f>
        <v>0</v>
      </c>
      <c r="AP765" s="331">
        <f>IF(NFI_Expiration=1,IF($A765&lt;VLOOKUP(V$5,NFI,5,0),1,0)*Table_NFI[[#This Row],[Tent]],Table_NFI[Tent])</f>
        <v>0</v>
      </c>
      <c r="AQ765" s="473" t="str">
        <f>IFERROR(VLOOKUP(Table_NFI[[#This Row],[Camp Name]],CL,2,0),"")</f>
        <v>MMR001CMP029</v>
      </c>
      <c r="AR765" s="468">
        <f ca="1">IF(Table_NFI[[#This Row],[Pcode]]="","",IF(OFFSET(CampList[Opening Date],MATCH(Table_NFI[[#This Row],[Pcode]],CampList[CP_Pcode],0)-1,0,1,1)&gt;=NFI_Monitor_Date,1,0))</f>
        <v>0</v>
      </c>
      <c r="AS765" s="473" t="str">
        <f>IFERROR(VLOOKUP(Table_NFI[[#This Row],[Camp Name]],CL,3,0),"")</f>
        <v>Open</v>
      </c>
      <c r="AT765" s="294" t="str">
        <f ca="1">IF(Table_NFI[[#This Row],[Pcode]]="","",OFFSET(CampList[Priority],MATCH(Table_NFI[[#This Row],[Pcode]],CampList[CP_Pcode],0)-1,0,1,1))</f>
        <v>P4</v>
      </c>
      <c r="AU765" s="293">
        <f>IFERROR(Table_NFI[[#This Row],[Kitchen Set]]/VLOOKUP(Table_NFI[[#This Row],[Camp Name]],CL,4,0),"")</f>
        <v>0</v>
      </c>
      <c r="AV765" s="466" t="s">
        <v>1092</v>
      </c>
      <c r="AW765" s="469"/>
    </row>
    <row r="766" spans="1:49" s="470" customFormat="1" x14ac:dyDescent="0.25">
      <c r="A766" s="297">
        <f t="shared" si="11"/>
        <v>45.5</v>
      </c>
      <c r="B766" s="465">
        <v>41310</v>
      </c>
      <c r="C766" s="466" t="s">
        <v>452</v>
      </c>
      <c r="D766" s="467" t="s">
        <v>452</v>
      </c>
      <c r="E766" s="466" t="s">
        <v>380</v>
      </c>
      <c r="F766" s="290" t="s">
        <v>237</v>
      </c>
      <c r="G766" s="290" t="s">
        <v>265</v>
      </c>
      <c r="H766" s="291"/>
      <c r="I766" s="291"/>
      <c r="J766" s="291">
        <v>10</v>
      </c>
      <c r="K766" s="291">
        <v>16</v>
      </c>
      <c r="L766" s="292">
        <v>7</v>
      </c>
      <c r="M766" s="292">
        <v>16</v>
      </c>
      <c r="N766" s="292">
        <v>7</v>
      </c>
      <c r="O766" s="292">
        <v>7</v>
      </c>
      <c r="P766" s="294">
        <v>7</v>
      </c>
      <c r="Q766" s="294">
        <v>7</v>
      </c>
      <c r="R766" s="294"/>
      <c r="S766" s="294"/>
      <c r="T766" s="294"/>
      <c r="U766" s="294"/>
      <c r="V766" s="622"/>
      <c r="W766" s="331"/>
      <c r="X766" s="331"/>
      <c r="Y766" s="294">
        <f>IF(NFI_Expiration=1,IF($A766&lt;VLOOKUP(H$5,NFI,5,0),1,0)*Table_NFI[[#This Row],[Hygiene Kit]],Table_NFI[Hygiene Kit])</f>
        <v>0</v>
      </c>
      <c r="Z766" s="294">
        <f>IF(NFI_Expiration=1,IF($A766&lt;VLOOKUP(I$5,NFI,5,0),1,0)*Table_NFI[[#This Row],[NFI Core Kit]],Table_NFI[NFI Core Kit])</f>
        <v>0</v>
      </c>
      <c r="AA766" s="294">
        <f>IF(NFI_Expiration=1,IF($A766&lt;VLOOKUP(J$5,NFI,5,0),1,0)*Table_NFI[[#This Row],[Sanitary Kit]],Table_NFI[Sanitary Kit])</f>
        <v>0</v>
      </c>
      <c r="AB766" s="294">
        <f>IF(NFI_Expiration=1,IF($A766&lt;VLOOKUP(K$5,NFI,5,0),1,0)*Table_NFI[[#This Row],[Mosquito net]],Table_NFI[Mosquito net])</f>
        <v>0</v>
      </c>
      <c r="AC766" s="294">
        <f>IF(NFI_Expiration=1,IF($A766&lt;VLOOKUP(L$5,NFI,5,0),1,0)*Table_NFI[[#This Row],[Tarpaulin]],Table_NFI[[#This Row],[Tarpaulin]])</f>
        <v>0</v>
      </c>
      <c r="AD766" s="294">
        <f>IF(NFI_Expiration=1,IF($A766&lt;VLOOKUP(M$5,NFI,5,0),1,0)*Table_NFI[[#This Row],[Blanket]],Table_NFI[[#This Row],[Blanket]])</f>
        <v>0</v>
      </c>
      <c r="AE766" s="294">
        <f>IF(NFI_Expiration=1,IF($A766&lt;VLOOKUP(N$5,NFI,5,0),1,0)*Table_NFI[[#This Row],[Kitchen Set]],Table_NFI[Kitchen Set])</f>
        <v>0</v>
      </c>
      <c r="AF766" s="294">
        <f>IF(NFI_Expiration=1,IF($A766&lt;VLOOKUP(O$5,NFI,5,0),1,0)*Table_NFI[[#This Row],[Clothes Kit]],Table_NFI[Clothes Kit])</f>
        <v>0</v>
      </c>
      <c r="AG766" s="294">
        <f>IF(NFI_Expiration=1,IF($A766&lt;VLOOKUP(P$5,NFI,5,0),1,0)*Table_NFI[[#This Row],[Plastic Bucket]],Table_NFI[Plastic Bucket])</f>
        <v>0</v>
      </c>
      <c r="AH766" s="294">
        <f>IF(NFI_Expiration=1,IF($A766&lt;VLOOKUP(Q$5,NFI,5,0),1,0)*Table_NFI[[#This Row],[Plastic Mat]],Table_NFI[Plastic Mat])*IF(Table_NFI[[#This Row],[Distribution Date]]&gt;"2014-04-01",1,2.5)</f>
        <v>0</v>
      </c>
      <c r="AI766" s="294">
        <f>IF(NFI_Expiration=1,IF($A766&lt;VLOOKUP(R$5,NFI,5,0),1,0)*Table_NFI[[#This Row],[Winter Clothes Adult]],Table_NFI[Winter Clothes Adult])</f>
        <v>0</v>
      </c>
      <c r="AJ766" s="294">
        <f>IF(NFI_Expiration=1,IF($A766&lt;VLOOKUP(S$5,NFI,5,0),1,0)*Table_NFI[[#This Row],[Winter Clothes Children]],Table_NFI[Winter Clothes Children])</f>
        <v>0</v>
      </c>
      <c r="AK766" s="294">
        <f>IF(NFI_Expiration=1,IF($A766&lt;VLOOKUP(T$5,NFI,5,0),1,0)*Table_NFI[[#This Row],[Winter Items Other]],Table_NFI[Winter Items Other])</f>
        <v>0</v>
      </c>
      <c r="AL766" s="294">
        <f>IF(NFI_Expiration=1,IF($A766&lt;VLOOKUP(M$5,NFI,5,0),1,0)*Table_NFI[[#This Row],[Winter Blanket]],Table_NFI[[#This Row],[Winter Blanket]])</f>
        <v>0</v>
      </c>
      <c r="AM766" s="294">
        <f>IF(Table_NFI[[#This Row],[Winter Clothes Adult]]+Table_NFI[[#This Row],[Winter Clothes Children]]+Table_NFI[[#This Row],[Winter Items Other]]+Table_NFI[[#This Row],[Winter Blanket]]&gt;0,1,0)</f>
        <v>0</v>
      </c>
      <c r="AN766" s="331">
        <f>IF(NFI_Expiration=1,IF($A766&lt;VLOOKUP(V$5,NFI,5,0),1,0)*Table_NFI[[#This Row],[Jerry Can]],Table_NFI[Jerry Can])</f>
        <v>0</v>
      </c>
      <c r="AO766" s="331">
        <f>IF(NFI_Expiration=1,IF($A766&lt;VLOOKUP(V$5,NFI,5,0),1,0)*Table_NFI[[#This Row],[Shelter Tool kit]],Table_NFI[Shelter Tool kit])</f>
        <v>0</v>
      </c>
      <c r="AP766" s="331">
        <f>IF(NFI_Expiration=1,IF($A766&lt;VLOOKUP(V$5,NFI,5,0),1,0)*Table_NFI[[#This Row],[Tent]],Table_NFI[Tent])</f>
        <v>0</v>
      </c>
      <c r="AQ766" s="473" t="str">
        <f>IFERROR(VLOOKUP(Table_NFI[[#This Row],[Camp Name]],CL,2,0),"")</f>
        <v>MMR001CMP021</v>
      </c>
      <c r="AR766" s="468">
        <f ca="1">IF(Table_NFI[[#This Row],[Pcode]]="","",IF(OFFSET(CampList[Opening Date],MATCH(Table_NFI[[#This Row],[Pcode]],CampList[CP_Pcode],0)-1,0,1,1)&gt;=NFI_Monitor_Date,1,0))</f>
        <v>0</v>
      </c>
      <c r="AS766" s="473" t="str">
        <f>IFERROR(VLOOKUP(Table_NFI[[#This Row],[Camp Name]],CL,3,0),"")</f>
        <v>Open</v>
      </c>
      <c r="AT766" s="294" t="str">
        <f ca="1">IF(Table_NFI[[#This Row],[Pcode]]="","",OFFSET(CampList[Priority],MATCH(Table_NFI[[#This Row],[Pcode]],CampList[CP_Pcode],0)-1,0,1,1))</f>
        <v>P4</v>
      </c>
      <c r="AU766" s="293">
        <f>IFERROR(Table_NFI[[#This Row],[Kitchen Set]]/VLOOKUP(Table_NFI[[#This Row],[Camp Name]],CL,4,0),"")</f>
        <v>0.5</v>
      </c>
      <c r="AV766" s="466" t="s">
        <v>1092</v>
      </c>
      <c r="AW766" s="469"/>
    </row>
    <row r="767" spans="1:49" s="470" customFormat="1" x14ac:dyDescent="0.25">
      <c r="A767" s="297">
        <f t="shared" si="11"/>
        <v>45.5</v>
      </c>
      <c r="B767" s="465">
        <v>41310</v>
      </c>
      <c r="C767" s="466" t="s">
        <v>900</v>
      </c>
      <c r="D767" s="466" t="s">
        <v>900</v>
      </c>
      <c r="E767" s="466" t="s">
        <v>380</v>
      </c>
      <c r="F767" s="290" t="s">
        <v>310</v>
      </c>
      <c r="G767" s="290" t="s">
        <v>351</v>
      </c>
      <c r="H767" s="291">
        <v>20</v>
      </c>
      <c r="I767" s="291"/>
      <c r="J767" s="291"/>
      <c r="K767" s="291"/>
      <c r="L767" s="292"/>
      <c r="M767" s="292"/>
      <c r="N767" s="292"/>
      <c r="O767" s="292"/>
      <c r="P767" s="294">
        <v>0</v>
      </c>
      <c r="Q767" s="294">
        <v>0</v>
      </c>
      <c r="R767" s="294"/>
      <c r="S767" s="294"/>
      <c r="T767" s="294"/>
      <c r="U767" s="294"/>
      <c r="V767" s="622"/>
      <c r="W767" s="331"/>
      <c r="X767" s="331"/>
      <c r="Y767" s="294">
        <f>IF(NFI_Expiration=1,IF($A767&lt;VLOOKUP(H$5,NFI,5,0),1,0)*Table_NFI[[#This Row],[Hygiene Kit]],Table_NFI[Hygiene Kit])</f>
        <v>0</v>
      </c>
      <c r="Z767" s="294">
        <f>IF(NFI_Expiration=1,IF($A767&lt;VLOOKUP(I$5,NFI,5,0),1,0)*Table_NFI[[#This Row],[NFI Core Kit]],Table_NFI[NFI Core Kit])</f>
        <v>0</v>
      </c>
      <c r="AA767" s="294">
        <f>IF(NFI_Expiration=1,IF($A767&lt;VLOOKUP(J$5,NFI,5,0),1,0)*Table_NFI[[#This Row],[Sanitary Kit]],Table_NFI[Sanitary Kit])</f>
        <v>0</v>
      </c>
      <c r="AB767" s="294">
        <f>IF(NFI_Expiration=1,IF($A767&lt;VLOOKUP(K$5,NFI,5,0),1,0)*Table_NFI[[#This Row],[Mosquito net]],Table_NFI[Mosquito net])</f>
        <v>0</v>
      </c>
      <c r="AC767" s="294">
        <f>IF(NFI_Expiration=1,IF($A767&lt;VLOOKUP(L$5,NFI,5,0),1,0)*Table_NFI[[#This Row],[Tarpaulin]],Table_NFI[[#This Row],[Tarpaulin]])</f>
        <v>0</v>
      </c>
      <c r="AD767" s="294">
        <f>IF(NFI_Expiration=1,IF($A767&lt;VLOOKUP(M$5,NFI,5,0),1,0)*Table_NFI[[#This Row],[Blanket]],Table_NFI[[#This Row],[Blanket]])</f>
        <v>0</v>
      </c>
      <c r="AE767" s="294">
        <f>IF(NFI_Expiration=1,IF($A767&lt;VLOOKUP(N$5,NFI,5,0),1,0)*Table_NFI[[#This Row],[Kitchen Set]],Table_NFI[Kitchen Set])</f>
        <v>0</v>
      </c>
      <c r="AF767" s="294">
        <f>IF(NFI_Expiration=1,IF($A767&lt;VLOOKUP(O$5,NFI,5,0),1,0)*Table_NFI[[#This Row],[Clothes Kit]],Table_NFI[Clothes Kit])</f>
        <v>0</v>
      </c>
      <c r="AG767" s="294">
        <f>IF(NFI_Expiration=1,IF($A767&lt;VLOOKUP(P$5,NFI,5,0),1,0)*Table_NFI[[#This Row],[Plastic Bucket]],Table_NFI[Plastic Bucket])</f>
        <v>0</v>
      </c>
      <c r="AH767" s="294">
        <f>IF(NFI_Expiration=1,IF($A767&lt;VLOOKUP(Q$5,NFI,5,0),1,0)*Table_NFI[[#This Row],[Plastic Mat]],Table_NFI[Plastic Mat])*IF(Table_NFI[[#This Row],[Distribution Date]]&gt;"2014-04-01",1,2.5)</f>
        <v>0</v>
      </c>
      <c r="AI767" s="294">
        <f>IF(NFI_Expiration=1,IF($A767&lt;VLOOKUP(R$5,NFI,5,0),1,0)*Table_NFI[[#This Row],[Winter Clothes Adult]],Table_NFI[Winter Clothes Adult])</f>
        <v>0</v>
      </c>
      <c r="AJ767" s="294">
        <f>IF(NFI_Expiration=1,IF($A767&lt;VLOOKUP(S$5,NFI,5,0),1,0)*Table_NFI[[#This Row],[Winter Clothes Children]],Table_NFI[Winter Clothes Children])</f>
        <v>0</v>
      </c>
      <c r="AK767" s="294">
        <f>IF(NFI_Expiration=1,IF($A767&lt;VLOOKUP(T$5,NFI,5,0),1,0)*Table_NFI[[#This Row],[Winter Items Other]],Table_NFI[Winter Items Other])</f>
        <v>0</v>
      </c>
      <c r="AL767" s="294">
        <f>IF(NFI_Expiration=1,IF($A767&lt;VLOOKUP(M$5,NFI,5,0),1,0)*Table_NFI[[#This Row],[Winter Blanket]],Table_NFI[[#This Row],[Winter Blanket]])</f>
        <v>0</v>
      </c>
      <c r="AM767" s="294">
        <f>IF(Table_NFI[[#This Row],[Winter Clothes Adult]]+Table_NFI[[#This Row],[Winter Clothes Children]]+Table_NFI[[#This Row],[Winter Items Other]]+Table_NFI[[#This Row],[Winter Blanket]]&gt;0,1,0)</f>
        <v>0</v>
      </c>
      <c r="AN767" s="331">
        <f>IF(NFI_Expiration=1,IF($A767&lt;VLOOKUP(V$5,NFI,5,0),1,0)*Table_NFI[[#This Row],[Jerry Can]],Table_NFI[Jerry Can])</f>
        <v>0</v>
      </c>
      <c r="AO767" s="331">
        <f>IF(NFI_Expiration=1,IF($A767&lt;VLOOKUP(V$5,NFI,5,0),1,0)*Table_NFI[[#This Row],[Shelter Tool kit]],Table_NFI[Shelter Tool kit])</f>
        <v>0</v>
      </c>
      <c r="AP767" s="331">
        <f>IF(NFI_Expiration=1,IF($A767&lt;VLOOKUP(V$5,NFI,5,0),1,0)*Table_NFI[[#This Row],[Tent]],Table_NFI[Tent])</f>
        <v>0</v>
      </c>
      <c r="AQ767" s="473" t="str">
        <f>IFERROR(VLOOKUP(Table_NFI[[#This Row],[Camp Name]],CL,2,0),"")</f>
        <v>MMR001CMP026</v>
      </c>
      <c r="AR767" s="468">
        <f ca="1">IF(Table_NFI[[#This Row],[Pcode]]="","",IF(OFFSET(CampList[Opening Date],MATCH(Table_NFI[[#This Row],[Pcode]],CampList[CP_Pcode],0)-1,0,1,1)&gt;=NFI_Monitor_Date,1,0))</f>
        <v>0</v>
      </c>
      <c r="AS767" s="473" t="str">
        <f>IFERROR(VLOOKUP(Table_NFI[[#This Row],[Camp Name]],CL,3,0),"")</f>
        <v>Open</v>
      </c>
      <c r="AT767" s="294" t="str">
        <f ca="1">IF(Table_NFI[[#This Row],[Pcode]]="","",OFFSET(CampList[Priority],MATCH(Table_NFI[[#This Row],[Pcode]],CampList[CP_Pcode],0)-1,0,1,1))</f>
        <v>P4</v>
      </c>
      <c r="AU767" s="293">
        <f>IFERROR(Table_NFI[[#This Row],[Kitchen Set]]/VLOOKUP(Table_NFI[[#This Row],[Camp Name]],CL,4,0),"")</f>
        <v>0</v>
      </c>
      <c r="AV767" s="466" t="s">
        <v>1092</v>
      </c>
      <c r="AW767" s="469"/>
    </row>
    <row r="768" spans="1:49" s="470" customFormat="1" x14ac:dyDescent="0.25">
      <c r="A768" s="297">
        <f t="shared" si="11"/>
        <v>45.5</v>
      </c>
      <c r="B768" s="465">
        <v>41310</v>
      </c>
      <c r="C768" s="466" t="s">
        <v>900</v>
      </c>
      <c r="D768" s="466" t="s">
        <v>900</v>
      </c>
      <c r="E768" s="466" t="s">
        <v>380</v>
      </c>
      <c r="F768" s="290" t="s">
        <v>237</v>
      </c>
      <c r="G768" s="290" t="s">
        <v>277</v>
      </c>
      <c r="H768" s="291">
        <v>36</v>
      </c>
      <c r="I768" s="291"/>
      <c r="J768" s="291"/>
      <c r="K768" s="291"/>
      <c r="L768" s="292"/>
      <c r="M768" s="292"/>
      <c r="N768" s="292"/>
      <c r="O768" s="292"/>
      <c r="P768" s="294">
        <v>0</v>
      </c>
      <c r="Q768" s="294">
        <v>0</v>
      </c>
      <c r="R768" s="294"/>
      <c r="S768" s="294"/>
      <c r="T768" s="294"/>
      <c r="U768" s="294"/>
      <c r="V768" s="431"/>
      <c r="W768" s="331"/>
      <c r="X768" s="331"/>
      <c r="Y768" s="294">
        <f>IF(NFI_Expiration=1,IF($A768&lt;VLOOKUP(H$5,NFI,5,0),1,0)*Table_NFI[[#This Row],[Hygiene Kit]],Table_NFI[Hygiene Kit])</f>
        <v>0</v>
      </c>
      <c r="Z768" s="294">
        <f>IF(NFI_Expiration=1,IF($A768&lt;VLOOKUP(I$5,NFI,5,0),1,0)*Table_NFI[[#This Row],[NFI Core Kit]],Table_NFI[NFI Core Kit])</f>
        <v>0</v>
      </c>
      <c r="AA768" s="294">
        <f>IF(NFI_Expiration=1,IF($A768&lt;VLOOKUP(J$5,NFI,5,0),1,0)*Table_NFI[[#This Row],[Sanitary Kit]],Table_NFI[Sanitary Kit])</f>
        <v>0</v>
      </c>
      <c r="AB768" s="294">
        <f>IF(NFI_Expiration=1,IF($A768&lt;VLOOKUP(K$5,NFI,5,0),1,0)*Table_NFI[[#This Row],[Mosquito net]],Table_NFI[Mosquito net])</f>
        <v>0</v>
      </c>
      <c r="AC768" s="294">
        <f>IF(NFI_Expiration=1,IF($A768&lt;VLOOKUP(L$5,NFI,5,0),1,0)*Table_NFI[[#This Row],[Tarpaulin]],Table_NFI[[#This Row],[Tarpaulin]])</f>
        <v>0</v>
      </c>
      <c r="AD768" s="294">
        <f>IF(NFI_Expiration=1,IF($A768&lt;VLOOKUP(M$5,NFI,5,0),1,0)*Table_NFI[[#This Row],[Blanket]],Table_NFI[[#This Row],[Blanket]])</f>
        <v>0</v>
      </c>
      <c r="AE768" s="294">
        <f>IF(NFI_Expiration=1,IF($A768&lt;VLOOKUP(N$5,NFI,5,0),1,0)*Table_NFI[[#This Row],[Kitchen Set]],Table_NFI[Kitchen Set])</f>
        <v>0</v>
      </c>
      <c r="AF768" s="294">
        <f>IF(NFI_Expiration=1,IF($A768&lt;VLOOKUP(O$5,NFI,5,0),1,0)*Table_NFI[[#This Row],[Clothes Kit]],Table_NFI[Clothes Kit])</f>
        <v>0</v>
      </c>
      <c r="AG768" s="294">
        <f>IF(NFI_Expiration=1,IF($A768&lt;VLOOKUP(P$5,NFI,5,0),1,0)*Table_NFI[[#This Row],[Plastic Bucket]],Table_NFI[Plastic Bucket])</f>
        <v>0</v>
      </c>
      <c r="AH768" s="294">
        <f>IF(NFI_Expiration=1,IF($A768&lt;VLOOKUP(Q$5,NFI,5,0),1,0)*Table_NFI[[#This Row],[Plastic Mat]],Table_NFI[Plastic Mat])*IF(Table_NFI[[#This Row],[Distribution Date]]&gt;"2014-04-01",1,2.5)</f>
        <v>0</v>
      </c>
      <c r="AI768" s="294">
        <f>IF(NFI_Expiration=1,IF($A768&lt;VLOOKUP(R$5,NFI,5,0),1,0)*Table_NFI[[#This Row],[Winter Clothes Adult]],Table_NFI[Winter Clothes Adult])</f>
        <v>0</v>
      </c>
      <c r="AJ768" s="294">
        <f>IF(NFI_Expiration=1,IF($A768&lt;VLOOKUP(S$5,NFI,5,0),1,0)*Table_NFI[[#This Row],[Winter Clothes Children]],Table_NFI[Winter Clothes Children])</f>
        <v>0</v>
      </c>
      <c r="AK768" s="294">
        <f>IF(NFI_Expiration=1,IF($A768&lt;VLOOKUP(T$5,NFI,5,0),1,0)*Table_NFI[[#This Row],[Winter Items Other]],Table_NFI[Winter Items Other])</f>
        <v>0</v>
      </c>
      <c r="AL768" s="294">
        <f>IF(NFI_Expiration=1,IF($A768&lt;VLOOKUP(M$5,NFI,5,0),1,0)*Table_NFI[[#This Row],[Winter Blanket]],Table_NFI[[#This Row],[Winter Blanket]])</f>
        <v>0</v>
      </c>
      <c r="AM768" s="294">
        <f>IF(Table_NFI[[#This Row],[Winter Clothes Adult]]+Table_NFI[[#This Row],[Winter Clothes Children]]+Table_NFI[[#This Row],[Winter Items Other]]+Table_NFI[[#This Row],[Winter Blanket]]&gt;0,1,0)</f>
        <v>0</v>
      </c>
      <c r="AN768" s="331">
        <f>IF(NFI_Expiration=1,IF($A768&lt;VLOOKUP(V$5,NFI,5,0),1,0)*Table_NFI[[#This Row],[Jerry Can]],Table_NFI[Jerry Can])</f>
        <v>0</v>
      </c>
      <c r="AO768" s="331">
        <f>IF(NFI_Expiration=1,IF($A768&lt;VLOOKUP(V$5,NFI,5,0),1,0)*Table_NFI[[#This Row],[Shelter Tool kit]],Table_NFI[Shelter Tool kit])</f>
        <v>0</v>
      </c>
      <c r="AP768" s="331">
        <f>IF(NFI_Expiration=1,IF($A768&lt;VLOOKUP(V$5,NFI,5,0),1,0)*Table_NFI[[#This Row],[Tent]],Table_NFI[Tent])</f>
        <v>0</v>
      </c>
      <c r="AQ768" s="473" t="str">
        <f>IFERROR(VLOOKUP(Table_NFI[[#This Row],[Camp Name]],CL,2,0),"")</f>
        <v>MMR001CMP006</v>
      </c>
      <c r="AR768" s="468">
        <f ca="1">IF(Table_NFI[[#This Row],[Pcode]]="","",IF(OFFSET(CampList[Opening Date],MATCH(Table_NFI[[#This Row],[Pcode]],CampList[CP_Pcode],0)-1,0,1,1)&gt;=NFI_Monitor_Date,1,0))</f>
        <v>0</v>
      </c>
      <c r="AS768" s="473" t="str">
        <f>IFERROR(VLOOKUP(Table_NFI[[#This Row],[Camp Name]],CL,3,0),"")</f>
        <v>Open</v>
      </c>
      <c r="AT768" s="294" t="str">
        <f ca="1">IF(Table_NFI[[#This Row],[Pcode]]="","",OFFSET(CampList[Priority],MATCH(Table_NFI[[#This Row],[Pcode]],CampList[CP_Pcode],0)-1,0,1,1))</f>
        <v>P4</v>
      </c>
      <c r="AU768" s="293">
        <f>IFERROR(Table_NFI[[#This Row],[Kitchen Set]]/VLOOKUP(Table_NFI[[#This Row],[Camp Name]],CL,4,0),"")</f>
        <v>0</v>
      </c>
      <c r="AV768" s="466" t="s">
        <v>1092</v>
      </c>
      <c r="AW768" s="469"/>
    </row>
    <row r="769" spans="1:49" s="470" customFormat="1" x14ac:dyDescent="0.25">
      <c r="A769" s="297">
        <f t="shared" si="11"/>
        <v>45.533333333333331</v>
      </c>
      <c r="B769" s="465">
        <v>41309</v>
      </c>
      <c r="C769" s="466" t="s">
        <v>900</v>
      </c>
      <c r="D769" s="466" t="s">
        <v>900</v>
      </c>
      <c r="E769" s="466" t="s">
        <v>380</v>
      </c>
      <c r="F769" s="466" t="s">
        <v>527</v>
      </c>
      <c r="G769" s="290" t="s">
        <v>62</v>
      </c>
      <c r="H769" s="291"/>
      <c r="I769" s="291"/>
      <c r="J769" s="291"/>
      <c r="K769" s="291"/>
      <c r="L769" s="292"/>
      <c r="M769" s="292"/>
      <c r="N769" s="292">
        <v>162</v>
      </c>
      <c r="O769" s="292"/>
      <c r="P769" s="294">
        <v>0</v>
      </c>
      <c r="Q769" s="294">
        <v>0</v>
      </c>
      <c r="R769" s="294"/>
      <c r="S769" s="294"/>
      <c r="T769" s="294"/>
      <c r="U769" s="294"/>
      <c r="V769" s="431"/>
      <c r="W769" s="331"/>
      <c r="X769" s="331"/>
      <c r="Y769" s="294">
        <f>IF(NFI_Expiration=1,IF($A769&lt;VLOOKUP(H$5,NFI,5,0),1,0)*Table_NFI[[#This Row],[Hygiene Kit]],Table_NFI[Hygiene Kit])</f>
        <v>0</v>
      </c>
      <c r="Z769" s="294">
        <f>IF(NFI_Expiration=1,IF($A769&lt;VLOOKUP(I$5,NFI,5,0),1,0)*Table_NFI[[#This Row],[NFI Core Kit]],Table_NFI[NFI Core Kit])</f>
        <v>0</v>
      </c>
      <c r="AA769" s="294">
        <f>IF(NFI_Expiration=1,IF($A769&lt;VLOOKUP(J$5,NFI,5,0),1,0)*Table_NFI[[#This Row],[Sanitary Kit]],Table_NFI[Sanitary Kit])</f>
        <v>0</v>
      </c>
      <c r="AB769" s="294">
        <f>IF(NFI_Expiration=1,IF($A769&lt;VLOOKUP(K$5,NFI,5,0),1,0)*Table_NFI[[#This Row],[Mosquito net]],Table_NFI[Mosquito net])</f>
        <v>0</v>
      </c>
      <c r="AC769" s="294">
        <f>IF(NFI_Expiration=1,IF($A769&lt;VLOOKUP(L$5,NFI,5,0),1,0)*Table_NFI[[#This Row],[Tarpaulin]],Table_NFI[[#This Row],[Tarpaulin]])</f>
        <v>0</v>
      </c>
      <c r="AD769" s="294">
        <f>IF(NFI_Expiration=1,IF($A769&lt;VLOOKUP(M$5,NFI,5,0),1,0)*Table_NFI[[#This Row],[Blanket]],Table_NFI[[#This Row],[Blanket]])</f>
        <v>0</v>
      </c>
      <c r="AE769" s="294">
        <f>IF(NFI_Expiration=1,IF($A769&lt;VLOOKUP(N$5,NFI,5,0),1,0)*Table_NFI[[#This Row],[Kitchen Set]],Table_NFI[Kitchen Set])</f>
        <v>0</v>
      </c>
      <c r="AF769" s="294">
        <f>IF(NFI_Expiration=1,IF($A769&lt;VLOOKUP(O$5,NFI,5,0),1,0)*Table_NFI[[#This Row],[Clothes Kit]],Table_NFI[Clothes Kit])</f>
        <v>0</v>
      </c>
      <c r="AG769" s="294">
        <f>IF(NFI_Expiration=1,IF($A769&lt;VLOOKUP(P$5,NFI,5,0),1,0)*Table_NFI[[#This Row],[Plastic Bucket]],Table_NFI[Plastic Bucket])</f>
        <v>0</v>
      </c>
      <c r="AH769" s="294">
        <f>IF(NFI_Expiration=1,IF($A769&lt;VLOOKUP(Q$5,NFI,5,0),1,0)*Table_NFI[[#This Row],[Plastic Mat]],Table_NFI[Plastic Mat])*IF(Table_NFI[[#This Row],[Distribution Date]]&gt;"2014-04-01",1,2.5)</f>
        <v>0</v>
      </c>
      <c r="AI769" s="294">
        <f>IF(NFI_Expiration=1,IF($A769&lt;VLOOKUP(R$5,NFI,5,0),1,0)*Table_NFI[[#This Row],[Winter Clothes Adult]],Table_NFI[Winter Clothes Adult])</f>
        <v>0</v>
      </c>
      <c r="AJ769" s="294">
        <f>IF(NFI_Expiration=1,IF($A769&lt;VLOOKUP(S$5,NFI,5,0),1,0)*Table_NFI[[#This Row],[Winter Clothes Children]],Table_NFI[Winter Clothes Children])</f>
        <v>0</v>
      </c>
      <c r="AK769" s="294">
        <f>IF(NFI_Expiration=1,IF($A769&lt;VLOOKUP(T$5,NFI,5,0),1,0)*Table_NFI[[#This Row],[Winter Items Other]],Table_NFI[Winter Items Other])</f>
        <v>0</v>
      </c>
      <c r="AL769" s="294">
        <f>IF(NFI_Expiration=1,IF($A769&lt;VLOOKUP(M$5,NFI,5,0),1,0)*Table_NFI[[#This Row],[Winter Blanket]],Table_NFI[[#This Row],[Winter Blanket]])</f>
        <v>0</v>
      </c>
      <c r="AM769" s="294">
        <f>IF(Table_NFI[[#This Row],[Winter Clothes Adult]]+Table_NFI[[#This Row],[Winter Clothes Children]]+Table_NFI[[#This Row],[Winter Items Other]]+Table_NFI[[#This Row],[Winter Blanket]]&gt;0,1,0)</f>
        <v>0</v>
      </c>
      <c r="AN769" s="331">
        <f>IF(NFI_Expiration=1,IF($A769&lt;VLOOKUP(V$5,NFI,5,0),1,0)*Table_NFI[[#This Row],[Jerry Can]],Table_NFI[Jerry Can])</f>
        <v>0</v>
      </c>
      <c r="AO769" s="331">
        <f>IF(NFI_Expiration=1,IF($A769&lt;VLOOKUP(V$5,NFI,5,0),1,0)*Table_NFI[[#This Row],[Shelter Tool kit]],Table_NFI[Shelter Tool kit])</f>
        <v>0</v>
      </c>
      <c r="AP769" s="331">
        <f>IF(NFI_Expiration=1,IF($A769&lt;VLOOKUP(V$5,NFI,5,0),1,0)*Table_NFI[[#This Row],[Tent]],Table_NFI[Tent])</f>
        <v>0</v>
      </c>
      <c r="AQ769" s="473" t="str">
        <f>IFERROR(VLOOKUP(Table_NFI[[#This Row],[Camp Name]],CL,2,0),"")</f>
        <v>MMR001CMP179</v>
      </c>
      <c r="AR769" s="468">
        <f ca="1">IF(Table_NFI[[#This Row],[Pcode]]="","",IF(OFFSET(CampList[Opening Date],MATCH(Table_NFI[[#This Row],[Pcode]],CampList[CP_Pcode],0)-1,0,1,1)&gt;=NFI_Monitor_Date,1,0))</f>
        <v>0</v>
      </c>
      <c r="AS769" s="473" t="str">
        <f>IFERROR(VLOOKUP(Table_NFI[[#This Row],[Camp Name]],CL,3,0),"")</f>
        <v>Open</v>
      </c>
      <c r="AT769" s="294" t="str">
        <f ca="1">IF(Table_NFI[[#This Row],[Pcode]]="","",OFFSET(CampList[Priority],MATCH(Table_NFI[[#This Row],[Pcode]],CampList[CP_Pcode],0)-1,0,1,1))</f>
        <v>P4</v>
      </c>
      <c r="AU769" s="293">
        <f>IFERROR(Table_NFI[[#This Row],[Kitchen Set]]/VLOOKUP(Table_NFI[[#This Row],[Camp Name]],CL,4,0),"")</f>
        <v>2.4179104477611939</v>
      </c>
      <c r="AV769" s="466" t="s">
        <v>1092</v>
      </c>
      <c r="AW769" s="469"/>
    </row>
    <row r="770" spans="1:49" s="470" customFormat="1" x14ac:dyDescent="0.25">
      <c r="A770" s="297">
        <f t="shared" si="11"/>
        <v>45.533333333333331</v>
      </c>
      <c r="B770" s="465">
        <v>41309</v>
      </c>
      <c r="C770" s="466" t="s">
        <v>900</v>
      </c>
      <c r="D770" s="467" t="s">
        <v>900</v>
      </c>
      <c r="E770" s="466" t="s">
        <v>380</v>
      </c>
      <c r="F770" s="290" t="s">
        <v>527</v>
      </c>
      <c r="G770" s="290" t="s">
        <v>120</v>
      </c>
      <c r="H770" s="291"/>
      <c r="I770" s="291"/>
      <c r="J770" s="291"/>
      <c r="K770" s="291"/>
      <c r="L770" s="292"/>
      <c r="M770" s="292"/>
      <c r="N770" s="292">
        <v>117</v>
      </c>
      <c r="O770" s="292"/>
      <c r="P770" s="294">
        <v>0</v>
      </c>
      <c r="Q770" s="294">
        <v>0</v>
      </c>
      <c r="R770" s="294"/>
      <c r="S770" s="294"/>
      <c r="T770" s="294"/>
      <c r="U770" s="294"/>
      <c r="V770" s="431"/>
      <c r="W770" s="331"/>
      <c r="X770" s="331"/>
      <c r="Y770" s="294">
        <f>IF(NFI_Expiration=1,IF($A770&lt;VLOOKUP(H$5,NFI,5,0),1,0)*Table_NFI[[#This Row],[Hygiene Kit]],Table_NFI[Hygiene Kit])</f>
        <v>0</v>
      </c>
      <c r="Z770" s="294">
        <f>IF(NFI_Expiration=1,IF($A770&lt;VLOOKUP(I$5,NFI,5,0),1,0)*Table_NFI[[#This Row],[NFI Core Kit]],Table_NFI[NFI Core Kit])</f>
        <v>0</v>
      </c>
      <c r="AA770" s="294">
        <f>IF(NFI_Expiration=1,IF($A770&lt;VLOOKUP(J$5,NFI,5,0),1,0)*Table_NFI[[#This Row],[Sanitary Kit]],Table_NFI[Sanitary Kit])</f>
        <v>0</v>
      </c>
      <c r="AB770" s="294">
        <f>IF(NFI_Expiration=1,IF($A770&lt;VLOOKUP(K$5,NFI,5,0),1,0)*Table_NFI[[#This Row],[Mosquito net]],Table_NFI[Mosquito net])</f>
        <v>0</v>
      </c>
      <c r="AC770" s="294">
        <f>IF(NFI_Expiration=1,IF($A770&lt;VLOOKUP(L$5,NFI,5,0),1,0)*Table_NFI[[#This Row],[Tarpaulin]],Table_NFI[[#This Row],[Tarpaulin]])</f>
        <v>0</v>
      </c>
      <c r="AD770" s="294">
        <f>IF(NFI_Expiration=1,IF($A770&lt;VLOOKUP(M$5,NFI,5,0),1,0)*Table_NFI[[#This Row],[Blanket]],Table_NFI[[#This Row],[Blanket]])</f>
        <v>0</v>
      </c>
      <c r="AE770" s="294">
        <f>IF(NFI_Expiration=1,IF($A770&lt;VLOOKUP(N$5,NFI,5,0),1,0)*Table_NFI[[#This Row],[Kitchen Set]],Table_NFI[Kitchen Set])</f>
        <v>0</v>
      </c>
      <c r="AF770" s="294">
        <f>IF(NFI_Expiration=1,IF($A770&lt;VLOOKUP(O$5,NFI,5,0),1,0)*Table_NFI[[#This Row],[Clothes Kit]],Table_NFI[Clothes Kit])</f>
        <v>0</v>
      </c>
      <c r="AG770" s="294">
        <f>IF(NFI_Expiration=1,IF($A770&lt;VLOOKUP(P$5,NFI,5,0),1,0)*Table_NFI[[#This Row],[Plastic Bucket]],Table_NFI[Plastic Bucket])</f>
        <v>0</v>
      </c>
      <c r="AH770" s="294">
        <f>IF(NFI_Expiration=1,IF($A770&lt;VLOOKUP(Q$5,NFI,5,0),1,0)*Table_NFI[[#This Row],[Plastic Mat]],Table_NFI[Plastic Mat])*IF(Table_NFI[[#This Row],[Distribution Date]]&gt;"2014-04-01",1,2.5)</f>
        <v>0</v>
      </c>
      <c r="AI770" s="294">
        <f>IF(NFI_Expiration=1,IF($A770&lt;VLOOKUP(R$5,NFI,5,0),1,0)*Table_NFI[[#This Row],[Winter Clothes Adult]],Table_NFI[Winter Clothes Adult])</f>
        <v>0</v>
      </c>
      <c r="AJ770" s="294">
        <f>IF(NFI_Expiration=1,IF($A770&lt;VLOOKUP(S$5,NFI,5,0),1,0)*Table_NFI[[#This Row],[Winter Clothes Children]],Table_NFI[Winter Clothes Children])</f>
        <v>0</v>
      </c>
      <c r="AK770" s="294">
        <f>IF(NFI_Expiration=1,IF($A770&lt;VLOOKUP(T$5,NFI,5,0),1,0)*Table_NFI[[#This Row],[Winter Items Other]],Table_NFI[Winter Items Other])</f>
        <v>0</v>
      </c>
      <c r="AL770" s="294">
        <f>IF(NFI_Expiration=1,IF($A770&lt;VLOOKUP(M$5,NFI,5,0),1,0)*Table_NFI[[#This Row],[Winter Blanket]],Table_NFI[[#This Row],[Winter Blanket]])</f>
        <v>0</v>
      </c>
      <c r="AM770" s="294">
        <f>IF(Table_NFI[[#This Row],[Winter Clothes Adult]]+Table_NFI[[#This Row],[Winter Clothes Children]]+Table_NFI[[#This Row],[Winter Items Other]]+Table_NFI[[#This Row],[Winter Blanket]]&gt;0,1,0)</f>
        <v>0</v>
      </c>
      <c r="AN770" s="331">
        <f>IF(NFI_Expiration=1,IF($A770&lt;VLOOKUP(V$5,NFI,5,0),1,0)*Table_NFI[[#This Row],[Jerry Can]],Table_NFI[Jerry Can])</f>
        <v>0</v>
      </c>
      <c r="AO770" s="331">
        <f>IF(NFI_Expiration=1,IF($A770&lt;VLOOKUP(V$5,NFI,5,0),1,0)*Table_NFI[[#This Row],[Shelter Tool kit]],Table_NFI[Shelter Tool kit])</f>
        <v>0</v>
      </c>
      <c r="AP770" s="331">
        <f>IF(NFI_Expiration=1,IF($A770&lt;VLOOKUP(V$5,NFI,5,0),1,0)*Table_NFI[[#This Row],[Tent]],Table_NFI[Tent])</f>
        <v>0</v>
      </c>
      <c r="AQ770" s="473" t="str">
        <f>IFERROR(VLOOKUP(Table_NFI[[#This Row],[Camp Name]],CL,2,0),"")</f>
        <v>MMR001CMP168</v>
      </c>
      <c r="AR770" s="468">
        <f ca="1">IF(Table_NFI[[#This Row],[Pcode]]="","",IF(OFFSET(CampList[Opening Date],MATCH(Table_NFI[[#This Row],[Pcode]],CampList[CP_Pcode],0)-1,0,1,1)&gt;=NFI_Monitor_Date,1,0))</f>
        <v>0</v>
      </c>
      <c r="AS770" s="473" t="str">
        <f>IFERROR(VLOOKUP(Table_NFI[[#This Row],[Camp Name]],CL,3,0),"")</f>
        <v>Open</v>
      </c>
      <c r="AT770" s="294" t="str">
        <f ca="1">IF(Table_NFI[[#This Row],[Pcode]]="","",OFFSET(CampList[Priority],MATCH(Table_NFI[[#This Row],[Pcode]],CampList[CP_Pcode],0)-1,0,1,1))</f>
        <v>P4</v>
      </c>
      <c r="AU770" s="293">
        <f>IFERROR(Table_NFI[[#This Row],[Kitchen Set]]/VLOOKUP(Table_NFI[[#This Row],[Camp Name]],CL,4,0),"")</f>
        <v>1.5194805194805194</v>
      </c>
      <c r="AV770" s="466" t="s">
        <v>1092</v>
      </c>
      <c r="AW770" s="469"/>
    </row>
    <row r="771" spans="1:49" s="470" customFormat="1" x14ac:dyDescent="0.25">
      <c r="A771" s="297">
        <f t="shared" si="11"/>
        <v>45.533333333333331</v>
      </c>
      <c r="B771" s="465">
        <v>41309</v>
      </c>
      <c r="C771" s="466" t="s">
        <v>900</v>
      </c>
      <c r="D771" s="467" t="s">
        <v>900</v>
      </c>
      <c r="E771" s="466" t="s">
        <v>380</v>
      </c>
      <c r="F771" s="290" t="s">
        <v>527</v>
      </c>
      <c r="G771" s="290" t="s">
        <v>52</v>
      </c>
      <c r="H771" s="291"/>
      <c r="I771" s="291"/>
      <c r="J771" s="291"/>
      <c r="K771" s="291"/>
      <c r="L771" s="292"/>
      <c r="M771" s="292"/>
      <c r="N771" s="292">
        <v>106</v>
      </c>
      <c r="O771" s="292"/>
      <c r="P771" s="294">
        <v>0</v>
      </c>
      <c r="Q771" s="294">
        <v>0</v>
      </c>
      <c r="R771" s="294"/>
      <c r="S771" s="294"/>
      <c r="T771" s="294"/>
      <c r="U771" s="294"/>
      <c r="V771" s="431"/>
      <c r="W771" s="331"/>
      <c r="X771" s="331"/>
      <c r="Y771" s="294">
        <f>IF(NFI_Expiration=1,IF($A771&lt;VLOOKUP(H$5,NFI,5,0),1,0)*Table_NFI[[#This Row],[Hygiene Kit]],Table_NFI[Hygiene Kit])</f>
        <v>0</v>
      </c>
      <c r="Z771" s="294">
        <f>IF(NFI_Expiration=1,IF($A771&lt;VLOOKUP(I$5,NFI,5,0),1,0)*Table_NFI[[#This Row],[NFI Core Kit]],Table_NFI[NFI Core Kit])</f>
        <v>0</v>
      </c>
      <c r="AA771" s="294">
        <f>IF(NFI_Expiration=1,IF($A771&lt;VLOOKUP(J$5,NFI,5,0),1,0)*Table_NFI[[#This Row],[Sanitary Kit]],Table_NFI[Sanitary Kit])</f>
        <v>0</v>
      </c>
      <c r="AB771" s="294">
        <f>IF(NFI_Expiration=1,IF($A771&lt;VLOOKUP(K$5,NFI,5,0),1,0)*Table_NFI[[#This Row],[Mosquito net]],Table_NFI[Mosquito net])</f>
        <v>0</v>
      </c>
      <c r="AC771" s="294">
        <f>IF(NFI_Expiration=1,IF($A771&lt;VLOOKUP(L$5,NFI,5,0),1,0)*Table_NFI[[#This Row],[Tarpaulin]],Table_NFI[[#This Row],[Tarpaulin]])</f>
        <v>0</v>
      </c>
      <c r="AD771" s="294">
        <f>IF(NFI_Expiration=1,IF($A771&lt;VLOOKUP(M$5,NFI,5,0),1,0)*Table_NFI[[#This Row],[Blanket]],Table_NFI[[#This Row],[Blanket]])</f>
        <v>0</v>
      </c>
      <c r="AE771" s="294">
        <f>IF(NFI_Expiration=1,IF($A771&lt;VLOOKUP(N$5,NFI,5,0),1,0)*Table_NFI[[#This Row],[Kitchen Set]],Table_NFI[Kitchen Set])</f>
        <v>0</v>
      </c>
      <c r="AF771" s="294">
        <f>IF(NFI_Expiration=1,IF($A771&lt;VLOOKUP(O$5,NFI,5,0),1,0)*Table_NFI[[#This Row],[Clothes Kit]],Table_NFI[Clothes Kit])</f>
        <v>0</v>
      </c>
      <c r="AG771" s="294">
        <f>IF(NFI_Expiration=1,IF($A771&lt;VLOOKUP(P$5,NFI,5,0),1,0)*Table_NFI[[#This Row],[Plastic Bucket]],Table_NFI[Plastic Bucket])</f>
        <v>0</v>
      </c>
      <c r="AH771" s="294">
        <f>IF(NFI_Expiration=1,IF($A771&lt;VLOOKUP(Q$5,NFI,5,0),1,0)*Table_NFI[[#This Row],[Plastic Mat]],Table_NFI[Plastic Mat])*IF(Table_NFI[[#This Row],[Distribution Date]]&gt;"2014-04-01",1,2.5)</f>
        <v>0</v>
      </c>
      <c r="AI771" s="294">
        <f>IF(NFI_Expiration=1,IF($A771&lt;VLOOKUP(R$5,NFI,5,0),1,0)*Table_NFI[[#This Row],[Winter Clothes Adult]],Table_NFI[Winter Clothes Adult])</f>
        <v>0</v>
      </c>
      <c r="AJ771" s="294">
        <f>IF(NFI_Expiration=1,IF($A771&lt;VLOOKUP(S$5,NFI,5,0),1,0)*Table_NFI[[#This Row],[Winter Clothes Children]],Table_NFI[Winter Clothes Children])</f>
        <v>0</v>
      </c>
      <c r="AK771" s="294">
        <f>IF(NFI_Expiration=1,IF($A771&lt;VLOOKUP(T$5,NFI,5,0),1,0)*Table_NFI[[#This Row],[Winter Items Other]],Table_NFI[Winter Items Other])</f>
        <v>0</v>
      </c>
      <c r="AL771" s="294">
        <f>IF(NFI_Expiration=1,IF($A771&lt;VLOOKUP(M$5,NFI,5,0),1,0)*Table_NFI[[#This Row],[Winter Blanket]],Table_NFI[[#This Row],[Winter Blanket]])</f>
        <v>0</v>
      </c>
      <c r="AM771" s="294">
        <f>IF(Table_NFI[[#This Row],[Winter Clothes Adult]]+Table_NFI[[#This Row],[Winter Clothes Children]]+Table_NFI[[#This Row],[Winter Items Other]]+Table_NFI[[#This Row],[Winter Blanket]]&gt;0,1,0)</f>
        <v>0</v>
      </c>
      <c r="AN771" s="331">
        <f>IF(NFI_Expiration=1,IF($A771&lt;VLOOKUP(V$5,NFI,5,0),1,0)*Table_NFI[[#This Row],[Jerry Can]],Table_NFI[Jerry Can])</f>
        <v>0</v>
      </c>
      <c r="AO771" s="331">
        <f>IF(NFI_Expiration=1,IF($A771&lt;VLOOKUP(V$5,NFI,5,0),1,0)*Table_NFI[[#This Row],[Shelter Tool kit]],Table_NFI[Shelter Tool kit])</f>
        <v>0</v>
      </c>
      <c r="AP771" s="331">
        <f>IF(NFI_Expiration=1,IF($A771&lt;VLOOKUP(V$5,NFI,5,0),1,0)*Table_NFI[[#This Row],[Tent]],Table_NFI[Tent])</f>
        <v>0</v>
      </c>
      <c r="AQ771" s="473" t="str">
        <f>IFERROR(VLOOKUP(Table_NFI[[#This Row],[Camp Name]],CL,2,0),"")</f>
        <v>MMR001CMP169</v>
      </c>
      <c r="AR771" s="468">
        <f ca="1">IF(Table_NFI[[#This Row],[Pcode]]="","",IF(OFFSET(CampList[Opening Date],MATCH(Table_NFI[[#This Row],[Pcode]],CampList[CP_Pcode],0)-1,0,1,1)&gt;=NFI_Monitor_Date,1,0))</f>
        <v>0</v>
      </c>
      <c r="AS771" s="473" t="str">
        <f>IFERROR(VLOOKUP(Table_NFI[[#This Row],[Camp Name]],CL,3,0),"")</f>
        <v>Open</v>
      </c>
      <c r="AT771" s="294" t="str">
        <f ca="1">IF(Table_NFI[[#This Row],[Pcode]]="","",OFFSET(CampList[Priority],MATCH(Table_NFI[[#This Row],[Pcode]],CampList[CP_Pcode],0)-1,0,1,1))</f>
        <v>P4</v>
      </c>
      <c r="AU771" s="293">
        <f>IFERROR(Table_NFI[[#This Row],[Kitchen Set]]/VLOOKUP(Table_NFI[[#This Row],[Camp Name]],CL,4,0),"")</f>
        <v>2.7894736842105261</v>
      </c>
      <c r="AV771" s="466" t="s">
        <v>1092</v>
      </c>
      <c r="AW771" s="469"/>
    </row>
    <row r="772" spans="1:49" s="470" customFormat="1" x14ac:dyDescent="0.25">
      <c r="A772" s="297">
        <f t="shared" si="11"/>
        <v>45.533333333333331</v>
      </c>
      <c r="B772" s="465">
        <v>41309</v>
      </c>
      <c r="C772" s="466" t="s">
        <v>900</v>
      </c>
      <c r="D772" s="466" t="s">
        <v>900</v>
      </c>
      <c r="E772" s="466" t="s">
        <v>380</v>
      </c>
      <c r="F772" s="466" t="s">
        <v>527</v>
      </c>
      <c r="G772" s="290" t="s">
        <v>76</v>
      </c>
      <c r="H772" s="291"/>
      <c r="I772" s="291"/>
      <c r="J772" s="291"/>
      <c r="K772" s="291"/>
      <c r="L772" s="292"/>
      <c r="M772" s="292"/>
      <c r="N772" s="292">
        <v>58</v>
      </c>
      <c r="O772" s="292"/>
      <c r="P772" s="294">
        <v>0</v>
      </c>
      <c r="Q772" s="294">
        <v>0</v>
      </c>
      <c r="R772" s="294"/>
      <c r="S772" s="294"/>
      <c r="T772" s="294"/>
      <c r="U772" s="294"/>
      <c r="V772" s="622"/>
      <c r="W772" s="331"/>
      <c r="X772" s="331"/>
      <c r="Y772" s="294">
        <f>IF(NFI_Expiration=1,IF($A772&lt;VLOOKUP(H$5,NFI,5,0),1,0)*Table_NFI[[#This Row],[Hygiene Kit]],Table_NFI[Hygiene Kit])</f>
        <v>0</v>
      </c>
      <c r="Z772" s="294">
        <f>IF(NFI_Expiration=1,IF($A772&lt;VLOOKUP(I$5,NFI,5,0),1,0)*Table_NFI[[#This Row],[NFI Core Kit]],Table_NFI[NFI Core Kit])</f>
        <v>0</v>
      </c>
      <c r="AA772" s="294">
        <f>IF(NFI_Expiration=1,IF($A772&lt;VLOOKUP(J$5,NFI,5,0),1,0)*Table_NFI[[#This Row],[Sanitary Kit]],Table_NFI[Sanitary Kit])</f>
        <v>0</v>
      </c>
      <c r="AB772" s="294">
        <f>IF(NFI_Expiration=1,IF($A772&lt;VLOOKUP(K$5,NFI,5,0),1,0)*Table_NFI[[#This Row],[Mosquito net]],Table_NFI[Mosquito net])</f>
        <v>0</v>
      </c>
      <c r="AC772" s="294">
        <f>IF(NFI_Expiration=1,IF($A772&lt;VLOOKUP(L$5,NFI,5,0),1,0)*Table_NFI[[#This Row],[Tarpaulin]],Table_NFI[[#This Row],[Tarpaulin]])</f>
        <v>0</v>
      </c>
      <c r="AD772" s="294">
        <f>IF(NFI_Expiration=1,IF($A772&lt;VLOOKUP(M$5,NFI,5,0),1,0)*Table_NFI[[#This Row],[Blanket]],Table_NFI[[#This Row],[Blanket]])</f>
        <v>0</v>
      </c>
      <c r="AE772" s="294">
        <f>IF(NFI_Expiration=1,IF($A772&lt;VLOOKUP(N$5,NFI,5,0),1,0)*Table_NFI[[#This Row],[Kitchen Set]],Table_NFI[Kitchen Set])</f>
        <v>0</v>
      </c>
      <c r="AF772" s="294">
        <f>IF(NFI_Expiration=1,IF($A772&lt;VLOOKUP(O$5,NFI,5,0),1,0)*Table_NFI[[#This Row],[Clothes Kit]],Table_NFI[Clothes Kit])</f>
        <v>0</v>
      </c>
      <c r="AG772" s="294">
        <f>IF(NFI_Expiration=1,IF($A772&lt;VLOOKUP(P$5,NFI,5,0),1,0)*Table_NFI[[#This Row],[Plastic Bucket]],Table_NFI[Plastic Bucket])</f>
        <v>0</v>
      </c>
      <c r="AH772" s="294">
        <f>IF(NFI_Expiration=1,IF($A772&lt;VLOOKUP(Q$5,NFI,5,0),1,0)*Table_NFI[[#This Row],[Plastic Mat]],Table_NFI[Plastic Mat])*IF(Table_NFI[[#This Row],[Distribution Date]]&gt;"2014-04-01",1,2.5)</f>
        <v>0</v>
      </c>
      <c r="AI772" s="294">
        <f>IF(NFI_Expiration=1,IF($A772&lt;VLOOKUP(R$5,NFI,5,0),1,0)*Table_NFI[[#This Row],[Winter Clothes Adult]],Table_NFI[Winter Clothes Adult])</f>
        <v>0</v>
      </c>
      <c r="AJ772" s="294">
        <f>IF(NFI_Expiration=1,IF($A772&lt;VLOOKUP(S$5,NFI,5,0),1,0)*Table_NFI[[#This Row],[Winter Clothes Children]],Table_NFI[Winter Clothes Children])</f>
        <v>0</v>
      </c>
      <c r="AK772" s="294">
        <f>IF(NFI_Expiration=1,IF($A772&lt;VLOOKUP(T$5,NFI,5,0),1,0)*Table_NFI[[#This Row],[Winter Items Other]],Table_NFI[Winter Items Other])</f>
        <v>0</v>
      </c>
      <c r="AL772" s="294">
        <f>IF(NFI_Expiration=1,IF($A772&lt;VLOOKUP(M$5,NFI,5,0),1,0)*Table_NFI[[#This Row],[Winter Blanket]],Table_NFI[[#This Row],[Winter Blanket]])</f>
        <v>0</v>
      </c>
      <c r="AM772" s="294">
        <f>IF(Table_NFI[[#This Row],[Winter Clothes Adult]]+Table_NFI[[#This Row],[Winter Clothes Children]]+Table_NFI[[#This Row],[Winter Items Other]]+Table_NFI[[#This Row],[Winter Blanket]]&gt;0,1,0)</f>
        <v>0</v>
      </c>
      <c r="AN772" s="331">
        <f>IF(NFI_Expiration=1,IF($A772&lt;VLOOKUP(V$5,NFI,5,0),1,0)*Table_NFI[[#This Row],[Jerry Can]],Table_NFI[Jerry Can])</f>
        <v>0</v>
      </c>
      <c r="AO772" s="331">
        <f>IF(NFI_Expiration=1,IF($A772&lt;VLOOKUP(V$5,NFI,5,0),1,0)*Table_NFI[[#This Row],[Shelter Tool kit]],Table_NFI[Shelter Tool kit])</f>
        <v>0</v>
      </c>
      <c r="AP772" s="331">
        <f>IF(NFI_Expiration=1,IF($A772&lt;VLOOKUP(V$5,NFI,5,0),1,0)*Table_NFI[[#This Row],[Tent]],Table_NFI[Tent])</f>
        <v>0</v>
      </c>
      <c r="AQ772" s="473" t="str">
        <f>IFERROR(VLOOKUP(Table_NFI[[#This Row],[Camp Name]],CL,2,0),"")</f>
        <v>MMR001CMP174</v>
      </c>
      <c r="AR772" s="468">
        <f ca="1">IF(Table_NFI[[#This Row],[Pcode]]="","",IF(OFFSET(CampList[Opening Date],MATCH(Table_NFI[[#This Row],[Pcode]],CampList[CP_Pcode],0)-1,0,1,1)&gt;=NFI_Monitor_Date,1,0))</f>
        <v>0</v>
      </c>
      <c r="AS772" s="473" t="str">
        <f>IFERROR(VLOOKUP(Table_NFI[[#This Row],[Camp Name]],CL,3,0),"")</f>
        <v>Open</v>
      </c>
      <c r="AT772" s="294" t="str">
        <f ca="1">IF(Table_NFI[[#This Row],[Pcode]]="","",OFFSET(CampList[Priority],MATCH(Table_NFI[[#This Row],[Pcode]],CampList[CP_Pcode],0)-1,0,1,1))</f>
        <v>P4</v>
      </c>
      <c r="AU772" s="293">
        <f>IFERROR(Table_NFI[[#This Row],[Kitchen Set]]/VLOOKUP(Table_NFI[[#This Row],[Camp Name]],CL,4,0),"")</f>
        <v>0.87878787878787878</v>
      </c>
      <c r="AV772" s="466" t="s">
        <v>1092</v>
      </c>
      <c r="AW772" s="469"/>
    </row>
    <row r="773" spans="1:49" s="470" customFormat="1" x14ac:dyDescent="0.25">
      <c r="A773" s="297">
        <f t="shared" si="11"/>
        <v>45.533333333333331</v>
      </c>
      <c r="B773" s="465">
        <v>41309</v>
      </c>
      <c r="C773" s="466" t="s">
        <v>452</v>
      </c>
      <c r="D773" s="467" t="s">
        <v>452</v>
      </c>
      <c r="E773" s="466" t="s">
        <v>380</v>
      </c>
      <c r="F773" s="290" t="s">
        <v>237</v>
      </c>
      <c r="G773" s="290" t="s">
        <v>273</v>
      </c>
      <c r="H773" s="291"/>
      <c r="I773" s="291"/>
      <c r="J773" s="291">
        <v>5</v>
      </c>
      <c r="K773" s="291">
        <v>8</v>
      </c>
      <c r="L773" s="292">
        <v>5</v>
      </c>
      <c r="M773" s="292">
        <v>8</v>
      </c>
      <c r="N773" s="292">
        <v>5</v>
      </c>
      <c r="O773" s="292">
        <v>5</v>
      </c>
      <c r="P773" s="294">
        <v>5</v>
      </c>
      <c r="Q773" s="294">
        <v>5</v>
      </c>
      <c r="R773" s="294"/>
      <c r="S773" s="294"/>
      <c r="T773" s="294"/>
      <c r="U773" s="294"/>
      <c r="V773" s="431"/>
      <c r="W773" s="331"/>
      <c r="X773" s="331"/>
      <c r="Y773" s="294">
        <f>IF(NFI_Expiration=1,IF($A773&lt;VLOOKUP(H$5,NFI,5,0),1,0)*Table_NFI[[#This Row],[Hygiene Kit]],Table_NFI[Hygiene Kit])</f>
        <v>0</v>
      </c>
      <c r="Z773" s="294">
        <f>IF(NFI_Expiration=1,IF($A773&lt;VLOOKUP(I$5,NFI,5,0),1,0)*Table_NFI[[#This Row],[NFI Core Kit]],Table_NFI[NFI Core Kit])</f>
        <v>0</v>
      </c>
      <c r="AA773" s="294">
        <f>IF(NFI_Expiration=1,IF($A773&lt;VLOOKUP(J$5,NFI,5,0),1,0)*Table_NFI[[#This Row],[Sanitary Kit]],Table_NFI[Sanitary Kit])</f>
        <v>0</v>
      </c>
      <c r="AB773" s="294">
        <f>IF(NFI_Expiration=1,IF($A773&lt;VLOOKUP(K$5,NFI,5,0),1,0)*Table_NFI[[#This Row],[Mosquito net]],Table_NFI[Mosquito net])</f>
        <v>0</v>
      </c>
      <c r="AC773" s="294">
        <f>IF(NFI_Expiration=1,IF($A773&lt;VLOOKUP(L$5,NFI,5,0),1,0)*Table_NFI[[#This Row],[Tarpaulin]],Table_NFI[[#This Row],[Tarpaulin]])</f>
        <v>0</v>
      </c>
      <c r="AD773" s="294">
        <f>IF(NFI_Expiration=1,IF($A773&lt;VLOOKUP(M$5,NFI,5,0),1,0)*Table_NFI[[#This Row],[Blanket]],Table_NFI[[#This Row],[Blanket]])</f>
        <v>0</v>
      </c>
      <c r="AE773" s="294">
        <f>IF(NFI_Expiration=1,IF($A773&lt;VLOOKUP(N$5,NFI,5,0),1,0)*Table_NFI[[#This Row],[Kitchen Set]],Table_NFI[Kitchen Set])</f>
        <v>0</v>
      </c>
      <c r="AF773" s="294">
        <f>IF(NFI_Expiration=1,IF($A773&lt;VLOOKUP(O$5,NFI,5,0),1,0)*Table_NFI[[#This Row],[Clothes Kit]],Table_NFI[Clothes Kit])</f>
        <v>0</v>
      </c>
      <c r="AG773" s="294">
        <f>IF(NFI_Expiration=1,IF($A773&lt;VLOOKUP(P$5,NFI,5,0),1,0)*Table_NFI[[#This Row],[Plastic Bucket]],Table_NFI[Plastic Bucket])</f>
        <v>0</v>
      </c>
      <c r="AH773" s="294">
        <f>IF(NFI_Expiration=1,IF($A773&lt;VLOOKUP(Q$5,NFI,5,0),1,0)*Table_NFI[[#This Row],[Plastic Mat]],Table_NFI[Plastic Mat])*IF(Table_NFI[[#This Row],[Distribution Date]]&gt;"2014-04-01",1,2.5)</f>
        <v>0</v>
      </c>
      <c r="AI773" s="294">
        <f>IF(NFI_Expiration=1,IF($A773&lt;VLOOKUP(R$5,NFI,5,0),1,0)*Table_NFI[[#This Row],[Winter Clothes Adult]],Table_NFI[Winter Clothes Adult])</f>
        <v>0</v>
      </c>
      <c r="AJ773" s="294">
        <f>IF(NFI_Expiration=1,IF($A773&lt;VLOOKUP(S$5,NFI,5,0),1,0)*Table_NFI[[#This Row],[Winter Clothes Children]],Table_NFI[Winter Clothes Children])</f>
        <v>0</v>
      </c>
      <c r="AK773" s="294">
        <f>IF(NFI_Expiration=1,IF($A773&lt;VLOOKUP(T$5,NFI,5,0),1,0)*Table_NFI[[#This Row],[Winter Items Other]],Table_NFI[Winter Items Other])</f>
        <v>0</v>
      </c>
      <c r="AL773" s="294">
        <f>IF(NFI_Expiration=1,IF($A773&lt;VLOOKUP(M$5,NFI,5,0),1,0)*Table_NFI[[#This Row],[Winter Blanket]],Table_NFI[[#This Row],[Winter Blanket]])</f>
        <v>0</v>
      </c>
      <c r="AM773" s="294">
        <f>IF(Table_NFI[[#This Row],[Winter Clothes Adult]]+Table_NFI[[#This Row],[Winter Clothes Children]]+Table_NFI[[#This Row],[Winter Items Other]]+Table_NFI[[#This Row],[Winter Blanket]]&gt;0,1,0)</f>
        <v>0</v>
      </c>
      <c r="AN773" s="331">
        <f>IF(NFI_Expiration=1,IF($A773&lt;VLOOKUP(V$5,NFI,5,0),1,0)*Table_NFI[[#This Row],[Jerry Can]],Table_NFI[Jerry Can])</f>
        <v>0</v>
      </c>
      <c r="AO773" s="331">
        <f>IF(NFI_Expiration=1,IF($A773&lt;VLOOKUP(V$5,NFI,5,0),1,0)*Table_NFI[[#This Row],[Shelter Tool kit]],Table_NFI[Shelter Tool kit])</f>
        <v>0</v>
      </c>
      <c r="AP773" s="331">
        <f>IF(NFI_Expiration=1,IF($A773&lt;VLOOKUP(V$5,NFI,5,0),1,0)*Table_NFI[[#This Row],[Tent]],Table_NFI[Tent])</f>
        <v>0</v>
      </c>
      <c r="AQ773" s="473" t="str">
        <f>IFERROR(VLOOKUP(Table_NFI[[#This Row],[Camp Name]],CL,2,0),"")</f>
        <v>MMR001CMP162</v>
      </c>
      <c r="AR773" s="468">
        <f ca="1">IF(Table_NFI[[#This Row],[Pcode]]="","",IF(OFFSET(CampList[Opening Date],MATCH(Table_NFI[[#This Row],[Pcode]],CampList[CP_Pcode],0)-1,0,1,1)&gt;=NFI_Monitor_Date,1,0))</f>
        <v>0</v>
      </c>
      <c r="AS773" s="473" t="str">
        <f>IFERROR(VLOOKUP(Table_NFI[[#This Row],[Camp Name]],CL,3,0),"")</f>
        <v>Open</v>
      </c>
      <c r="AT773" s="294" t="str">
        <f ca="1">IF(Table_NFI[[#This Row],[Pcode]]="","",OFFSET(CampList[Priority],MATCH(Table_NFI[[#This Row],[Pcode]],CampList[CP_Pcode],0)-1,0,1,1))</f>
        <v>P4</v>
      </c>
      <c r="AU773" s="293">
        <f>IFERROR(Table_NFI[[#This Row],[Kitchen Set]]/VLOOKUP(Table_NFI[[#This Row],[Camp Name]],CL,4,0),"")</f>
        <v>0.10869565217391304</v>
      </c>
      <c r="AV773" s="466" t="s">
        <v>1092</v>
      </c>
      <c r="AW773" s="469"/>
    </row>
    <row r="774" spans="1:49" s="470" customFormat="1" x14ac:dyDescent="0.25">
      <c r="A774" s="297">
        <f t="shared" ref="A774:A837" si="12">IF(ISBLANK(B774),"",(Report_Date-B774)/30)</f>
        <v>45.666666666666664</v>
      </c>
      <c r="B774" s="465">
        <v>41305</v>
      </c>
      <c r="C774" s="466" t="s">
        <v>569</v>
      </c>
      <c r="D774" s="467" t="s">
        <v>569</v>
      </c>
      <c r="E774" s="466" t="s">
        <v>380</v>
      </c>
      <c r="F774" s="466" t="s">
        <v>527</v>
      </c>
      <c r="G774" s="290" t="s">
        <v>58</v>
      </c>
      <c r="H774" s="291"/>
      <c r="I774" s="291"/>
      <c r="J774" s="291"/>
      <c r="K774" s="291"/>
      <c r="L774" s="292"/>
      <c r="M774" s="292">
        <v>26</v>
      </c>
      <c r="N774" s="292"/>
      <c r="O774" s="292"/>
      <c r="P774" s="294">
        <v>0</v>
      </c>
      <c r="Q774" s="294">
        <v>0</v>
      </c>
      <c r="R774" s="294"/>
      <c r="S774" s="294"/>
      <c r="T774" s="294"/>
      <c r="U774" s="294"/>
      <c r="V774" s="431"/>
      <c r="W774" s="331"/>
      <c r="X774" s="331"/>
      <c r="Y774" s="294">
        <f>IF(NFI_Expiration=1,IF($A774&lt;VLOOKUP(H$5,NFI,5,0),1,0)*Table_NFI[[#This Row],[Hygiene Kit]],Table_NFI[Hygiene Kit])</f>
        <v>0</v>
      </c>
      <c r="Z774" s="294">
        <f>IF(NFI_Expiration=1,IF($A774&lt;VLOOKUP(I$5,NFI,5,0),1,0)*Table_NFI[[#This Row],[NFI Core Kit]],Table_NFI[NFI Core Kit])</f>
        <v>0</v>
      </c>
      <c r="AA774" s="294">
        <f>IF(NFI_Expiration=1,IF($A774&lt;VLOOKUP(J$5,NFI,5,0),1,0)*Table_NFI[[#This Row],[Sanitary Kit]],Table_NFI[Sanitary Kit])</f>
        <v>0</v>
      </c>
      <c r="AB774" s="294">
        <f>IF(NFI_Expiration=1,IF($A774&lt;VLOOKUP(K$5,NFI,5,0),1,0)*Table_NFI[[#This Row],[Mosquito net]],Table_NFI[Mosquito net])</f>
        <v>0</v>
      </c>
      <c r="AC774" s="294">
        <f>IF(NFI_Expiration=1,IF($A774&lt;VLOOKUP(L$5,NFI,5,0),1,0)*Table_NFI[[#This Row],[Tarpaulin]],Table_NFI[[#This Row],[Tarpaulin]])</f>
        <v>0</v>
      </c>
      <c r="AD774" s="294">
        <f>IF(NFI_Expiration=1,IF($A774&lt;VLOOKUP(M$5,NFI,5,0),1,0)*Table_NFI[[#This Row],[Blanket]],Table_NFI[[#This Row],[Blanket]])</f>
        <v>0</v>
      </c>
      <c r="AE774" s="294">
        <f>IF(NFI_Expiration=1,IF($A774&lt;VLOOKUP(N$5,NFI,5,0),1,0)*Table_NFI[[#This Row],[Kitchen Set]],Table_NFI[Kitchen Set])</f>
        <v>0</v>
      </c>
      <c r="AF774" s="294">
        <f>IF(NFI_Expiration=1,IF($A774&lt;VLOOKUP(O$5,NFI,5,0),1,0)*Table_NFI[[#This Row],[Clothes Kit]],Table_NFI[Clothes Kit])</f>
        <v>0</v>
      </c>
      <c r="AG774" s="294">
        <f>IF(NFI_Expiration=1,IF($A774&lt;VLOOKUP(P$5,NFI,5,0),1,0)*Table_NFI[[#This Row],[Plastic Bucket]],Table_NFI[Plastic Bucket])</f>
        <v>0</v>
      </c>
      <c r="AH774" s="294">
        <f>IF(NFI_Expiration=1,IF($A774&lt;VLOOKUP(Q$5,NFI,5,0),1,0)*Table_NFI[[#This Row],[Plastic Mat]],Table_NFI[Plastic Mat])*IF(Table_NFI[[#This Row],[Distribution Date]]&gt;"2014-04-01",1,2.5)</f>
        <v>0</v>
      </c>
      <c r="AI774" s="294">
        <f>IF(NFI_Expiration=1,IF($A774&lt;VLOOKUP(R$5,NFI,5,0),1,0)*Table_NFI[[#This Row],[Winter Clothes Adult]],Table_NFI[Winter Clothes Adult])</f>
        <v>0</v>
      </c>
      <c r="AJ774" s="294">
        <f>IF(NFI_Expiration=1,IF($A774&lt;VLOOKUP(S$5,NFI,5,0),1,0)*Table_NFI[[#This Row],[Winter Clothes Children]],Table_NFI[Winter Clothes Children])</f>
        <v>0</v>
      </c>
      <c r="AK774" s="294">
        <f>IF(NFI_Expiration=1,IF($A774&lt;VLOOKUP(T$5,NFI,5,0),1,0)*Table_NFI[[#This Row],[Winter Items Other]],Table_NFI[Winter Items Other])</f>
        <v>0</v>
      </c>
      <c r="AL774" s="294">
        <f>IF(NFI_Expiration=1,IF($A774&lt;VLOOKUP(M$5,NFI,5,0),1,0)*Table_NFI[[#This Row],[Winter Blanket]],Table_NFI[[#This Row],[Winter Blanket]])</f>
        <v>0</v>
      </c>
      <c r="AM774" s="294">
        <f>IF(Table_NFI[[#This Row],[Winter Clothes Adult]]+Table_NFI[[#This Row],[Winter Clothes Children]]+Table_NFI[[#This Row],[Winter Items Other]]+Table_NFI[[#This Row],[Winter Blanket]]&gt;0,1,0)</f>
        <v>0</v>
      </c>
      <c r="AN774" s="331">
        <f>IF(NFI_Expiration=1,IF($A774&lt;VLOOKUP(V$5,NFI,5,0),1,0)*Table_NFI[[#This Row],[Jerry Can]],Table_NFI[Jerry Can])</f>
        <v>0</v>
      </c>
      <c r="AO774" s="331">
        <f>IF(NFI_Expiration=1,IF($A774&lt;VLOOKUP(V$5,NFI,5,0),1,0)*Table_NFI[[#This Row],[Shelter Tool kit]],Table_NFI[Shelter Tool kit])</f>
        <v>0</v>
      </c>
      <c r="AP774" s="331">
        <f>IF(NFI_Expiration=1,IF($A774&lt;VLOOKUP(V$5,NFI,5,0),1,0)*Table_NFI[[#This Row],[Tent]],Table_NFI[Tent])</f>
        <v>0</v>
      </c>
      <c r="AQ774" s="473" t="str">
        <f>IFERROR(VLOOKUP(Table_NFI[[#This Row],[Camp Name]],CL,2,0),"")</f>
        <v>MMR001CMP188</v>
      </c>
      <c r="AR774" s="468">
        <f ca="1">IF(Table_NFI[[#This Row],[Pcode]]="","",IF(OFFSET(CampList[Opening Date],MATCH(Table_NFI[[#This Row],[Pcode]],CampList[CP_Pcode],0)-1,0,1,1)&gt;=NFI_Monitor_Date,1,0))</f>
        <v>0</v>
      </c>
      <c r="AS774" s="473" t="str">
        <f>IFERROR(VLOOKUP(Table_NFI[[#This Row],[Camp Name]],CL,3,0),"")</f>
        <v>Closed</v>
      </c>
      <c r="AT774" s="294" t="str">
        <f ca="1">IF(Table_NFI[[#This Row],[Pcode]]="","",OFFSET(CampList[Priority],MATCH(Table_NFI[[#This Row],[Pcode]],CampList[CP_Pcode],0)-1,0,1,1))</f>
        <v>P4</v>
      </c>
      <c r="AU774" s="293" t="str">
        <f>IFERROR(Table_NFI[[#This Row],[Kitchen Set]]/VLOOKUP(Table_NFI[[#This Row],[Camp Name]],CL,4,0),"")</f>
        <v/>
      </c>
      <c r="AV774" s="466" t="s">
        <v>1092</v>
      </c>
      <c r="AW774" s="469"/>
    </row>
    <row r="775" spans="1:49" s="470" customFormat="1" x14ac:dyDescent="0.25">
      <c r="A775" s="297">
        <f t="shared" si="12"/>
        <v>45.666666666666664</v>
      </c>
      <c r="B775" s="465">
        <v>41305</v>
      </c>
      <c r="C775" s="466" t="s">
        <v>569</v>
      </c>
      <c r="D775" s="467" t="s">
        <v>569</v>
      </c>
      <c r="E775" s="466" t="s">
        <v>380</v>
      </c>
      <c r="F775" s="466" t="s">
        <v>310</v>
      </c>
      <c r="G775" s="290" t="s">
        <v>313</v>
      </c>
      <c r="H775" s="291"/>
      <c r="I775" s="291"/>
      <c r="J775" s="291"/>
      <c r="K775" s="291"/>
      <c r="L775" s="292"/>
      <c r="M775" s="292">
        <v>256</v>
      </c>
      <c r="N775" s="292"/>
      <c r="O775" s="292"/>
      <c r="P775" s="294">
        <v>0</v>
      </c>
      <c r="Q775" s="294">
        <v>0</v>
      </c>
      <c r="R775" s="294"/>
      <c r="S775" s="294"/>
      <c r="T775" s="294"/>
      <c r="U775" s="294"/>
      <c r="V775" s="431"/>
      <c r="W775" s="331"/>
      <c r="X775" s="331"/>
      <c r="Y775" s="294">
        <f>IF(NFI_Expiration=1,IF($A775&lt;VLOOKUP(H$5,NFI,5,0),1,0)*Table_NFI[[#This Row],[Hygiene Kit]],Table_NFI[Hygiene Kit])</f>
        <v>0</v>
      </c>
      <c r="Z775" s="294">
        <f>IF(NFI_Expiration=1,IF($A775&lt;VLOOKUP(I$5,NFI,5,0),1,0)*Table_NFI[[#This Row],[NFI Core Kit]],Table_NFI[NFI Core Kit])</f>
        <v>0</v>
      </c>
      <c r="AA775" s="294">
        <f>IF(NFI_Expiration=1,IF($A775&lt;VLOOKUP(J$5,NFI,5,0),1,0)*Table_NFI[[#This Row],[Sanitary Kit]],Table_NFI[Sanitary Kit])</f>
        <v>0</v>
      </c>
      <c r="AB775" s="294">
        <f>IF(NFI_Expiration=1,IF($A775&lt;VLOOKUP(K$5,NFI,5,0),1,0)*Table_NFI[[#This Row],[Mosquito net]],Table_NFI[Mosquito net])</f>
        <v>0</v>
      </c>
      <c r="AC775" s="294">
        <f>IF(NFI_Expiration=1,IF($A775&lt;VLOOKUP(L$5,NFI,5,0),1,0)*Table_NFI[[#This Row],[Tarpaulin]],Table_NFI[[#This Row],[Tarpaulin]])</f>
        <v>0</v>
      </c>
      <c r="AD775" s="294">
        <f>IF(NFI_Expiration=1,IF($A775&lt;VLOOKUP(M$5,NFI,5,0),1,0)*Table_NFI[[#This Row],[Blanket]],Table_NFI[[#This Row],[Blanket]])</f>
        <v>0</v>
      </c>
      <c r="AE775" s="294">
        <f>IF(NFI_Expiration=1,IF($A775&lt;VLOOKUP(N$5,NFI,5,0),1,0)*Table_NFI[[#This Row],[Kitchen Set]],Table_NFI[Kitchen Set])</f>
        <v>0</v>
      </c>
      <c r="AF775" s="294">
        <f>IF(NFI_Expiration=1,IF($A775&lt;VLOOKUP(O$5,NFI,5,0),1,0)*Table_NFI[[#This Row],[Clothes Kit]],Table_NFI[Clothes Kit])</f>
        <v>0</v>
      </c>
      <c r="AG775" s="294">
        <f>IF(NFI_Expiration=1,IF($A775&lt;VLOOKUP(P$5,NFI,5,0),1,0)*Table_NFI[[#This Row],[Plastic Bucket]],Table_NFI[Plastic Bucket])</f>
        <v>0</v>
      </c>
      <c r="AH775" s="294">
        <f>IF(NFI_Expiration=1,IF($A775&lt;VLOOKUP(Q$5,NFI,5,0),1,0)*Table_NFI[[#This Row],[Plastic Mat]],Table_NFI[Plastic Mat])*IF(Table_NFI[[#This Row],[Distribution Date]]&gt;"2014-04-01",1,2.5)</f>
        <v>0</v>
      </c>
      <c r="AI775" s="294">
        <f>IF(NFI_Expiration=1,IF($A775&lt;VLOOKUP(R$5,NFI,5,0),1,0)*Table_NFI[[#This Row],[Winter Clothes Adult]],Table_NFI[Winter Clothes Adult])</f>
        <v>0</v>
      </c>
      <c r="AJ775" s="294">
        <f>IF(NFI_Expiration=1,IF($A775&lt;VLOOKUP(S$5,NFI,5,0),1,0)*Table_NFI[[#This Row],[Winter Clothes Children]],Table_NFI[Winter Clothes Children])</f>
        <v>0</v>
      </c>
      <c r="AK775" s="294">
        <f>IF(NFI_Expiration=1,IF($A775&lt;VLOOKUP(T$5,NFI,5,0),1,0)*Table_NFI[[#This Row],[Winter Items Other]],Table_NFI[Winter Items Other])</f>
        <v>0</v>
      </c>
      <c r="AL775" s="294">
        <f>IF(NFI_Expiration=1,IF($A775&lt;VLOOKUP(M$5,NFI,5,0),1,0)*Table_NFI[[#This Row],[Winter Blanket]],Table_NFI[[#This Row],[Winter Blanket]])</f>
        <v>0</v>
      </c>
      <c r="AM775" s="294">
        <f>IF(Table_NFI[[#This Row],[Winter Clothes Adult]]+Table_NFI[[#This Row],[Winter Clothes Children]]+Table_NFI[[#This Row],[Winter Items Other]]+Table_NFI[[#This Row],[Winter Blanket]]&gt;0,1,0)</f>
        <v>0</v>
      </c>
      <c r="AN775" s="331">
        <f>IF(NFI_Expiration=1,IF($A775&lt;VLOOKUP(V$5,NFI,5,0),1,0)*Table_NFI[[#This Row],[Jerry Can]],Table_NFI[Jerry Can])</f>
        <v>0</v>
      </c>
      <c r="AO775" s="331">
        <f>IF(NFI_Expiration=1,IF($A775&lt;VLOOKUP(V$5,NFI,5,0),1,0)*Table_NFI[[#This Row],[Shelter Tool kit]],Table_NFI[Shelter Tool kit])</f>
        <v>0</v>
      </c>
      <c r="AP775" s="331">
        <f>IF(NFI_Expiration=1,IF($A775&lt;VLOOKUP(V$5,NFI,5,0),1,0)*Table_NFI[[#This Row],[Tent]],Table_NFI[Tent])</f>
        <v>0</v>
      </c>
      <c r="AQ775" s="473" t="str">
        <f>IFERROR(VLOOKUP(Table_NFI[[#This Row],[Camp Name]],CL,2,0),"")</f>
        <v>MMR001CMP028</v>
      </c>
      <c r="AR775" s="468">
        <f ca="1">IF(Table_NFI[[#This Row],[Pcode]]="","",IF(OFFSET(CampList[Opening Date],MATCH(Table_NFI[[#This Row],[Pcode]],CampList[CP_Pcode],0)-1,0,1,1)&gt;=NFI_Monitor_Date,1,0))</f>
        <v>0</v>
      </c>
      <c r="AS775" s="473" t="str">
        <f>IFERROR(VLOOKUP(Table_NFI[[#This Row],[Camp Name]],CL,3,0),"")</f>
        <v>Open</v>
      </c>
      <c r="AT775" s="294" t="str">
        <f ca="1">IF(Table_NFI[[#This Row],[Pcode]]="","",OFFSET(CampList[Priority],MATCH(Table_NFI[[#This Row],[Pcode]],CampList[CP_Pcode],0)-1,0,1,1))</f>
        <v>P4</v>
      </c>
      <c r="AU775" s="293">
        <f>IFERROR(Table_NFI[[#This Row],[Kitchen Set]]/VLOOKUP(Table_NFI[[#This Row],[Camp Name]],CL,4,0),"")</f>
        <v>0</v>
      </c>
      <c r="AV775" s="466" t="s">
        <v>1092</v>
      </c>
      <c r="AW775" s="469"/>
    </row>
    <row r="776" spans="1:49" s="470" customFormat="1" x14ac:dyDescent="0.25">
      <c r="A776" s="297">
        <f t="shared" si="12"/>
        <v>45.666666666666664</v>
      </c>
      <c r="B776" s="465">
        <v>41305</v>
      </c>
      <c r="C776" s="466" t="s">
        <v>569</v>
      </c>
      <c r="D776" s="467" t="s">
        <v>569</v>
      </c>
      <c r="E776" s="466" t="s">
        <v>380</v>
      </c>
      <c r="F776" s="290" t="s">
        <v>310</v>
      </c>
      <c r="G776" s="290" t="s">
        <v>320</v>
      </c>
      <c r="H776" s="291"/>
      <c r="I776" s="291"/>
      <c r="J776" s="291"/>
      <c r="K776" s="291"/>
      <c r="L776" s="292"/>
      <c r="M776" s="292">
        <v>42</v>
      </c>
      <c r="N776" s="292"/>
      <c r="O776" s="292"/>
      <c r="P776" s="294">
        <v>0</v>
      </c>
      <c r="Q776" s="294">
        <v>0</v>
      </c>
      <c r="R776" s="294"/>
      <c r="S776" s="294"/>
      <c r="T776" s="294"/>
      <c r="U776" s="294"/>
      <c r="V776" s="431"/>
      <c r="W776" s="294"/>
      <c r="X776" s="294"/>
      <c r="Y776" s="294">
        <f>IF(NFI_Expiration=1,IF($A776&lt;VLOOKUP(H$5,NFI,5,0),1,0)*Table_NFI[[#This Row],[Hygiene Kit]],Table_NFI[Hygiene Kit])</f>
        <v>0</v>
      </c>
      <c r="Z776" s="294">
        <f>IF(NFI_Expiration=1,IF($A776&lt;VLOOKUP(I$5,NFI,5,0),1,0)*Table_NFI[[#This Row],[NFI Core Kit]],Table_NFI[NFI Core Kit])</f>
        <v>0</v>
      </c>
      <c r="AA776" s="294">
        <f>IF(NFI_Expiration=1,IF($A776&lt;VLOOKUP(J$5,NFI,5,0),1,0)*Table_NFI[[#This Row],[Sanitary Kit]],Table_NFI[Sanitary Kit])</f>
        <v>0</v>
      </c>
      <c r="AB776" s="294">
        <f>IF(NFI_Expiration=1,IF($A776&lt;VLOOKUP(K$5,NFI,5,0),1,0)*Table_NFI[[#This Row],[Mosquito net]],Table_NFI[Mosquito net])</f>
        <v>0</v>
      </c>
      <c r="AC776" s="294">
        <f>IF(NFI_Expiration=1,IF($A776&lt;VLOOKUP(L$5,NFI,5,0),1,0)*Table_NFI[[#This Row],[Tarpaulin]],Table_NFI[[#This Row],[Tarpaulin]])</f>
        <v>0</v>
      </c>
      <c r="AD776" s="294">
        <f>IF(NFI_Expiration=1,IF($A776&lt;VLOOKUP(M$5,NFI,5,0),1,0)*Table_NFI[[#This Row],[Blanket]],Table_NFI[[#This Row],[Blanket]])</f>
        <v>0</v>
      </c>
      <c r="AE776" s="294">
        <f>IF(NFI_Expiration=1,IF($A776&lt;VLOOKUP(N$5,NFI,5,0),1,0)*Table_NFI[[#This Row],[Kitchen Set]],Table_NFI[Kitchen Set])</f>
        <v>0</v>
      </c>
      <c r="AF776" s="294">
        <f>IF(NFI_Expiration=1,IF($A776&lt;VLOOKUP(O$5,NFI,5,0),1,0)*Table_NFI[[#This Row],[Clothes Kit]],Table_NFI[Clothes Kit])</f>
        <v>0</v>
      </c>
      <c r="AG776" s="294">
        <f>IF(NFI_Expiration=1,IF($A776&lt;VLOOKUP(P$5,NFI,5,0),1,0)*Table_NFI[[#This Row],[Plastic Bucket]],Table_NFI[Plastic Bucket])</f>
        <v>0</v>
      </c>
      <c r="AH776" s="294">
        <f>IF(NFI_Expiration=1,IF($A776&lt;VLOOKUP(Q$5,NFI,5,0),1,0)*Table_NFI[[#This Row],[Plastic Mat]],Table_NFI[Plastic Mat])*IF(Table_NFI[[#This Row],[Distribution Date]]&gt;"2014-04-01",1,2.5)</f>
        <v>0</v>
      </c>
      <c r="AI776" s="294">
        <f>IF(NFI_Expiration=1,IF($A776&lt;VLOOKUP(R$5,NFI,5,0),1,0)*Table_NFI[[#This Row],[Winter Clothes Adult]],Table_NFI[Winter Clothes Adult])</f>
        <v>0</v>
      </c>
      <c r="AJ776" s="294">
        <f>IF(NFI_Expiration=1,IF($A776&lt;VLOOKUP(S$5,NFI,5,0),1,0)*Table_NFI[[#This Row],[Winter Clothes Children]],Table_NFI[Winter Clothes Children])</f>
        <v>0</v>
      </c>
      <c r="AK776" s="294">
        <f>IF(NFI_Expiration=1,IF($A776&lt;VLOOKUP(T$5,NFI,5,0),1,0)*Table_NFI[[#This Row],[Winter Items Other]],Table_NFI[Winter Items Other])</f>
        <v>0</v>
      </c>
      <c r="AL776" s="294">
        <f>IF(NFI_Expiration=1,IF($A776&lt;VLOOKUP(M$5,NFI,5,0),1,0)*Table_NFI[[#This Row],[Winter Blanket]],Table_NFI[[#This Row],[Winter Blanket]])</f>
        <v>0</v>
      </c>
      <c r="AM776" s="294">
        <f>IF(Table_NFI[[#This Row],[Winter Clothes Adult]]+Table_NFI[[#This Row],[Winter Clothes Children]]+Table_NFI[[#This Row],[Winter Items Other]]+Table_NFI[[#This Row],[Winter Blanket]]&gt;0,1,0)</f>
        <v>0</v>
      </c>
      <c r="AN776" s="331">
        <f>IF(NFI_Expiration=1,IF($A776&lt;VLOOKUP(V$5,NFI,5,0),1,0)*Table_NFI[[#This Row],[Jerry Can]],Table_NFI[Jerry Can])</f>
        <v>0</v>
      </c>
      <c r="AO776" s="331">
        <f>IF(NFI_Expiration=1,IF($A776&lt;VLOOKUP(V$5,NFI,5,0),1,0)*Table_NFI[[#This Row],[Shelter Tool kit]],Table_NFI[Shelter Tool kit])</f>
        <v>0</v>
      </c>
      <c r="AP776" s="331">
        <f>IF(NFI_Expiration=1,IF($A776&lt;VLOOKUP(V$5,NFI,5,0),1,0)*Table_NFI[[#This Row],[Tent]],Table_NFI[Tent])</f>
        <v>0</v>
      </c>
      <c r="AQ776" s="473" t="str">
        <f>IFERROR(VLOOKUP(Table_NFI[[#This Row],[Camp Name]],CL,2,0),"")</f>
        <v>MMR001CMP027</v>
      </c>
      <c r="AR776" s="468">
        <f ca="1">IF(Table_NFI[[#This Row],[Pcode]]="","",IF(OFFSET(CampList[Opening Date],MATCH(Table_NFI[[#This Row],[Pcode]],CampList[CP_Pcode],0)-1,0,1,1)&gt;=NFI_Monitor_Date,1,0))</f>
        <v>0</v>
      </c>
      <c r="AS776" s="473" t="str">
        <f>IFERROR(VLOOKUP(Table_NFI[[#This Row],[Camp Name]],CL,3,0),"")</f>
        <v>Open</v>
      </c>
      <c r="AT776" s="294" t="str">
        <f ca="1">IF(Table_NFI[[#This Row],[Pcode]]="","",OFFSET(CampList[Priority],MATCH(Table_NFI[[#This Row],[Pcode]],CampList[CP_Pcode],0)-1,0,1,1))</f>
        <v>P4</v>
      </c>
      <c r="AU776" s="293">
        <f>IFERROR(Table_NFI[[#This Row],[Kitchen Set]]/VLOOKUP(Table_NFI[[#This Row],[Camp Name]],CL,4,0),"")</f>
        <v>0</v>
      </c>
      <c r="AV776" s="466" t="s">
        <v>1092</v>
      </c>
      <c r="AW776" s="469"/>
    </row>
    <row r="777" spans="1:49" s="470" customFormat="1" ht="14.45" customHeight="1" x14ac:dyDescent="0.25">
      <c r="A777" s="297">
        <f t="shared" si="12"/>
        <v>45.666666666666664</v>
      </c>
      <c r="B777" s="465">
        <v>41305</v>
      </c>
      <c r="C777" s="466" t="s">
        <v>569</v>
      </c>
      <c r="D777" s="467" t="s">
        <v>569</v>
      </c>
      <c r="E777" s="466" t="s">
        <v>380</v>
      </c>
      <c r="F777" s="290" t="s">
        <v>310</v>
      </c>
      <c r="G777" s="290" t="s">
        <v>328</v>
      </c>
      <c r="H777" s="291"/>
      <c r="I777" s="291"/>
      <c r="J777" s="291"/>
      <c r="K777" s="291"/>
      <c r="L777" s="292"/>
      <c r="M777" s="292">
        <v>128</v>
      </c>
      <c r="N777" s="292"/>
      <c r="O777" s="292"/>
      <c r="P777" s="294">
        <v>0</v>
      </c>
      <c r="Q777" s="294">
        <v>0</v>
      </c>
      <c r="R777" s="294"/>
      <c r="S777" s="294"/>
      <c r="T777" s="294"/>
      <c r="U777" s="294"/>
      <c r="V777" s="431"/>
      <c r="W777" s="294"/>
      <c r="X777" s="294"/>
      <c r="Y777" s="294">
        <f>IF(NFI_Expiration=1,IF($A777&lt;VLOOKUP(H$5,NFI,5,0),1,0)*Table_NFI[[#This Row],[Hygiene Kit]],Table_NFI[Hygiene Kit])</f>
        <v>0</v>
      </c>
      <c r="Z777" s="294">
        <f>IF(NFI_Expiration=1,IF($A777&lt;VLOOKUP(I$5,NFI,5,0),1,0)*Table_NFI[[#This Row],[NFI Core Kit]],Table_NFI[NFI Core Kit])</f>
        <v>0</v>
      </c>
      <c r="AA777" s="294">
        <f>IF(NFI_Expiration=1,IF($A777&lt;VLOOKUP(J$5,NFI,5,0),1,0)*Table_NFI[[#This Row],[Sanitary Kit]],Table_NFI[Sanitary Kit])</f>
        <v>0</v>
      </c>
      <c r="AB777" s="294">
        <f>IF(NFI_Expiration=1,IF($A777&lt;VLOOKUP(K$5,NFI,5,0),1,0)*Table_NFI[[#This Row],[Mosquito net]],Table_NFI[Mosquito net])</f>
        <v>0</v>
      </c>
      <c r="AC777" s="294">
        <f>IF(NFI_Expiration=1,IF($A777&lt;VLOOKUP(L$5,NFI,5,0),1,0)*Table_NFI[[#This Row],[Tarpaulin]],Table_NFI[[#This Row],[Tarpaulin]])</f>
        <v>0</v>
      </c>
      <c r="AD777" s="294">
        <f>IF(NFI_Expiration=1,IF($A777&lt;VLOOKUP(M$5,NFI,5,0),1,0)*Table_NFI[[#This Row],[Blanket]],Table_NFI[[#This Row],[Blanket]])</f>
        <v>0</v>
      </c>
      <c r="AE777" s="294">
        <f>IF(NFI_Expiration=1,IF($A777&lt;VLOOKUP(N$5,NFI,5,0),1,0)*Table_NFI[[#This Row],[Kitchen Set]],Table_NFI[Kitchen Set])</f>
        <v>0</v>
      </c>
      <c r="AF777" s="294">
        <f>IF(NFI_Expiration=1,IF($A777&lt;VLOOKUP(O$5,NFI,5,0),1,0)*Table_NFI[[#This Row],[Clothes Kit]],Table_NFI[Clothes Kit])</f>
        <v>0</v>
      </c>
      <c r="AG777" s="294">
        <f>IF(NFI_Expiration=1,IF($A777&lt;VLOOKUP(P$5,NFI,5,0),1,0)*Table_NFI[[#This Row],[Plastic Bucket]],Table_NFI[Plastic Bucket])</f>
        <v>0</v>
      </c>
      <c r="AH777" s="294">
        <f>IF(NFI_Expiration=1,IF($A777&lt;VLOOKUP(Q$5,NFI,5,0),1,0)*Table_NFI[[#This Row],[Plastic Mat]],Table_NFI[Plastic Mat])*IF(Table_NFI[[#This Row],[Distribution Date]]&gt;"2014-04-01",1,2.5)</f>
        <v>0</v>
      </c>
      <c r="AI777" s="294">
        <f>IF(NFI_Expiration=1,IF($A777&lt;VLOOKUP(R$5,NFI,5,0),1,0)*Table_NFI[[#This Row],[Winter Clothes Adult]],Table_NFI[Winter Clothes Adult])</f>
        <v>0</v>
      </c>
      <c r="AJ777" s="294">
        <f>IF(NFI_Expiration=1,IF($A777&lt;VLOOKUP(S$5,NFI,5,0),1,0)*Table_NFI[[#This Row],[Winter Clothes Children]],Table_NFI[Winter Clothes Children])</f>
        <v>0</v>
      </c>
      <c r="AK777" s="294">
        <f>IF(NFI_Expiration=1,IF($A777&lt;VLOOKUP(T$5,NFI,5,0),1,0)*Table_NFI[[#This Row],[Winter Items Other]],Table_NFI[Winter Items Other])</f>
        <v>0</v>
      </c>
      <c r="AL777" s="294">
        <f>IF(NFI_Expiration=1,IF($A777&lt;VLOOKUP(M$5,NFI,5,0),1,0)*Table_NFI[[#This Row],[Winter Blanket]],Table_NFI[[#This Row],[Winter Blanket]])</f>
        <v>0</v>
      </c>
      <c r="AM777" s="294">
        <f>IF(Table_NFI[[#This Row],[Winter Clothes Adult]]+Table_NFI[[#This Row],[Winter Clothes Children]]+Table_NFI[[#This Row],[Winter Items Other]]+Table_NFI[[#This Row],[Winter Blanket]]&gt;0,1,0)</f>
        <v>0</v>
      </c>
      <c r="AN777" s="331">
        <f>IF(NFI_Expiration=1,IF($A777&lt;VLOOKUP(V$5,NFI,5,0),1,0)*Table_NFI[[#This Row],[Jerry Can]],Table_NFI[Jerry Can])</f>
        <v>0</v>
      </c>
      <c r="AO777" s="331">
        <f>IF(NFI_Expiration=1,IF($A777&lt;VLOOKUP(V$5,NFI,5,0),1,0)*Table_NFI[[#This Row],[Shelter Tool kit]],Table_NFI[Shelter Tool kit])</f>
        <v>0</v>
      </c>
      <c r="AP777" s="331">
        <f>IF(NFI_Expiration=1,IF($A777&lt;VLOOKUP(V$5,NFI,5,0),1,0)*Table_NFI[[#This Row],[Tent]],Table_NFI[Tent])</f>
        <v>0</v>
      </c>
      <c r="AQ777" s="473" t="str">
        <f>IFERROR(VLOOKUP(Table_NFI[[#This Row],[Camp Name]],CL,2,0),"")</f>
        <v>MMR001CMP031</v>
      </c>
      <c r="AR777" s="468">
        <f ca="1">IF(Table_NFI[[#This Row],[Pcode]]="","",IF(OFFSET(CampList[Opening Date],MATCH(Table_NFI[[#This Row],[Pcode]],CampList[CP_Pcode],0)-1,0,1,1)&gt;=NFI_Monitor_Date,1,0))</f>
        <v>0</v>
      </c>
      <c r="AS777" s="473" t="str">
        <f>IFERROR(VLOOKUP(Table_NFI[[#This Row],[Camp Name]],CL,3,0),"")</f>
        <v>Open</v>
      </c>
      <c r="AT777" s="294" t="str">
        <f ca="1">IF(Table_NFI[[#This Row],[Pcode]]="","",OFFSET(CampList[Priority],MATCH(Table_NFI[[#This Row],[Pcode]],CampList[CP_Pcode],0)-1,0,1,1))</f>
        <v>P4</v>
      </c>
      <c r="AU777" s="293">
        <f>IFERROR(Table_NFI[[#This Row],[Kitchen Set]]/VLOOKUP(Table_NFI[[#This Row],[Camp Name]],CL,4,0),"")</f>
        <v>0</v>
      </c>
      <c r="AV777" s="466" t="s">
        <v>1092</v>
      </c>
      <c r="AW777" s="469"/>
    </row>
    <row r="778" spans="1:49" s="470" customFormat="1" ht="14.45" customHeight="1" x14ac:dyDescent="0.25">
      <c r="A778" s="297">
        <f t="shared" si="12"/>
        <v>45.666666666666664</v>
      </c>
      <c r="B778" s="465">
        <v>41305</v>
      </c>
      <c r="C778" s="466" t="s">
        <v>569</v>
      </c>
      <c r="D778" s="467" t="s">
        <v>569</v>
      </c>
      <c r="E778" s="466" t="s">
        <v>380</v>
      </c>
      <c r="F778" s="290" t="s">
        <v>310</v>
      </c>
      <c r="G778" s="290" t="s">
        <v>330</v>
      </c>
      <c r="H778" s="291"/>
      <c r="I778" s="291"/>
      <c r="J778" s="291"/>
      <c r="K778" s="291"/>
      <c r="L778" s="292"/>
      <c r="M778" s="292">
        <v>442</v>
      </c>
      <c r="N778" s="292"/>
      <c r="O778" s="292"/>
      <c r="P778" s="294">
        <v>0</v>
      </c>
      <c r="Q778" s="294">
        <v>0</v>
      </c>
      <c r="R778" s="294"/>
      <c r="S778" s="294"/>
      <c r="T778" s="294"/>
      <c r="U778" s="294"/>
      <c r="V778" s="431"/>
      <c r="W778" s="294"/>
      <c r="X778" s="294"/>
      <c r="Y778" s="294">
        <f>IF(NFI_Expiration=1,IF($A778&lt;VLOOKUP(H$5,NFI,5,0),1,0)*Table_NFI[[#This Row],[Hygiene Kit]],Table_NFI[Hygiene Kit])</f>
        <v>0</v>
      </c>
      <c r="Z778" s="294">
        <f>IF(NFI_Expiration=1,IF($A778&lt;VLOOKUP(I$5,NFI,5,0),1,0)*Table_NFI[[#This Row],[NFI Core Kit]],Table_NFI[NFI Core Kit])</f>
        <v>0</v>
      </c>
      <c r="AA778" s="294">
        <f>IF(NFI_Expiration=1,IF($A778&lt;VLOOKUP(J$5,NFI,5,0),1,0)*Table_NFI[[#This Row],[Sanitary Kit]],Table_NFI[Sanitary Kit])</f>
        <v>0</v>
      </c>
      <c r="AB778" s="294">
        <f>IF(NFI_Expiration=1,IF($A778&lt;VLOOKUP(K$5,NFI,5,0),1,0)*Table_NFI[[#This Row],[Mosquito net]],Table_NFI[Mosquito net])</f>
        <v>0</v>
      </c>
      <c r="AC778" s="294">
        <f>IF(NFI_Expiration=1,IF($A778&lt;VLOOKUP(L$5,NFI,5,0),1,0)*Table_NFI[[#This Row],[Tarpaulin]],Table_NFI[[#This Row],[Tarpaulin]])</f>
        <v>0</v>
      </c>
      <c r="AD778" s="294">
        <f>IF(NFI_Expiration=1,IF($A778&lt;VLOOKUP(M$5,NFI,5,0),1,0)*Table_NFI[[#This Row],[Blanket]],Table_NFI[[#This Row],[Blanket]])</f>
        <v>0</v>
      </c>
      <c r="AE778" s="294">
        <f>IF(NFI_Expiration=1,IF($A778&lt;VLOOKUP(N$5,NFI,5,0),1,0)*Table_NFI[[#This Row],[Kitchen Set]],Table_NFI[Kitchen Set])</f>
        <v>0</v>
      </c>
      <c r="AF778" s="294">
        <f>IF(NFI_Expiration=1,IF($A778&lt;VLOOKUP(O$5,NFI,5,0),1,0)*Table_NFI[[#This Row],[Clothes Kit]],Table_NFI[Clothes Kit])</f>
        <v>0</v>
      </c>
      <c r="AG778" s="294">
        <f>IF(NFI_Expiration=1,IF($A778&lt;VLOOKUP(P$5,NFI,5,0),1,0)*Table_NFI[[#This Row],[Plastic Bucket]],Table_NFI[Plastic Bucket])</f>
        <v>0</v>
      </c>
      <c r="AH778" s="294">
        <f>IF(NFI_Expiration=1,IF($A778&lt;VLOOKUP(Q$5,NFI,5,0),1,0)*Table_NFI[[#This Row],[Plastic Mat]],Table_NFI[Plastic Mat])*IF(Table_NFI[[#This Row],[Distribution Date]]&gt;"2014-04-01",1,2.5)</f>
        <v>0</v>
      </c>
      <c r="AI778" s="294">
        <f>IF(NFI_Expiration=1,IF($A778&lt;VLOOKUP(R$5,NFI,5,0),1,0)*Table_NFI[[#This Row],[Winter Clothes Adult]],Table_NFI[Winter Clothes Adult])</f>
        <v>0</v>
      </c>
      <c r="AJ778" s="294">
        <f>IF(NFI_Expiration=1,IF($A778&lt;VLOOKUP(S$5,NFI,5,0),1,0)*Table_NFI[[#This Row],[Winter Clothes Children]],Table_NFI[Winter Clothes Children])</f>
        <v>0</v>
      </c>
      <c r="AK778" s="294">
        <f>IF(NFI_Expiration=1,IF($A778&lt;VLOOKUP(T$5,NFI,5,0),1,0)*Table_NFI[[#This Row],[Winter Items Other]],Table_NFI[Winter Items Other])</f>
        <v>0</v>
      </c>
      <c r="AL778" s="294">
        <f>IF(NFI_Expiration=1,IF($A778&lt;VLOOKUP(M$5,NFI,5,0),1,0)*Table_NFI[[#This Row],[Winter Blanket]],Table_NFI[[#This Row],[Winter Blanket]])</f>
        <v>0</v>
      </c>
      <c r="AM778" s="294">
        <f>IF(Table_NFI[[#This Row],[Winter Clothes Adult]]+Table_NFI[[#This Row],[Winter Clothes Children]]+Table_NFI[[#This Row],[Winter Items Other]]+Table_NFI[[#This Row],[Winter Blanket]]&gt;0,1,0)</f>
        <v>0</v>
      </c>
      <c r="AN778" s="331">
        <f>IF(NFI_Expiration=1,IF($A778&lt;VLOOKUP(V$5,NFI,5,0),1,0)*Table_NFI[[#This Row],[Jerry Can]],Table_NFI[Jerry Can])</f>
        <v>0</v>
      </c>
      <c r="AO778" s="331">
        <f>IF(NFI_Expiration=1,IF($A778&lt;VLOOKUP(V$5,NFI,5,0),1,0)*Table_NFI[[#This Row],[Shelter Tool kit]],Table_NFI[Shelter Tool kit])</f>
        <v>0</v>
      </c>
      <c r="AP778" s="331">
        <f>IF(NFI_Expiration=1,IF($A778&lt;VLOOKUP(V$5,NFI,5,0),1,0)*Table_NFI[[#This Row],[Tent]],Table_NFI[Tent])</f>
        <v>0</v>
      </c>
      <c r="AQ778" s="473" t="str">
        <f>IFERROR(VLOOKUP(Table_NFI[[#This Row],[Camp Name]],CL,2,0),"")</f>
        <v>MMR001CMP029</v>
      </c>
      <c r="AR778" s="468">
        <f ca="1">IF(Table_NFI[[#This Row],[Pcode]]="","",IF(OFFSET(CampList[Opening Date],MATCH(Table_NFI[[#This Row],[Pcode]],CampList[CP_Pcode],0)-1,0,1,1)&gt;=NFI_Monitor_Date,1,0))</f>
        <v>0</v>
      </c>
      <c r="AS778" s="473" t="str">
        <f>IFERROR(VLOOKUP(Table_NFI[[#This Row],[Camp Name]],CL,3,0),"")</f>
        <v>Open</v>
      </c>
      <c r="AT778" s="294" t="str">
        <f ca="1">IF(Table_NFI[[#This Row],[Pcode]]="","",OFFSET(CampList[Priority],MATCH(Table_NFI[[#This Row],[Pcode]],CampList[CP_Pcode],0)-1,0,1,1))</f>
        <v>P4</v>
      </c>
      <c r="AU778" s="293">
        <f>IFERROR(Table_NFI[[#This Row],[Kitchen Set]]/VLOOKUP(Table_NFI[[#This Row],[Camp Name]],CL,4,0),"")</f>
        <v>0</v>
      </c>
      <c r="AV778" s="466" t="s">
        <v>1092</v>
      </c>
      <c r="AW778" s="469"/>
    </row>
    <row r="779" spans="1:49" s="470" customFormat="1" x14ac:dyDescent="0.25">
      <c r="A779" s="297">
        <f t="shared" si="12"/>
        <v>45.666666666666664</v>
      </c>
      <c r="B779" s="465">
        <v>41305</v>
      </c>
      <c r="C779" s="466" t="s">
        <v>569</v>
      </c>
      <c r="D779" s="467" t="s">
        <v>569</v>
      </c>
      <c r="E779" s="466" t="s">
        <v>380</v>
      </c>
      <c r="F779" s="290" t="s">
        <v>310</v>
      </c>
      <c r="G779" s="290" t="s">
        <v>324</v>
      </c>
      <c r="H779" s="291"/>
      <c r="I779" s="291"/>
      <c r="J779" s="291"/>
      <c r="K779" s="291"/>
      <c r="L779" s="292"/>
      <c r="M779" s="292">
        <v>324</v>
      </c>
      <c r="N779" s="292"/>
      <c r="O779" s="292"/>
      <c r="P779" s="294">
        <v>0</v>
      </c>
      <c r="Q779" s="294">
        <v>0</v>
      </c>
      <c r="R779" s="294"/>
      <c r="S779" s="294"/>
      <c r="T779" s="294"/>
      <c r="U779" s="294"/>
      <c r="V779" s="431"/>
      <c r="W779" s="294"/>
      <c r="X779" s="294"/>
      <c r="Y779" s="294">
        <f>IF(NFI_Expiration=1,IF($A779&lt;VLOOKUP(H$5,NFI,5,0),1,0)*Table_NFI[[#This Row],[Hygiene Kit]],Table_NFI[Hygiene Kit])</f>
        <v>0</v>
      </c>
      <c r="Z779" s="294">
        <f>IF(NFI_Expiration=1,IF($A779&lt;VLOOKUP(I$5,NFI,5,0),1,0)*Table_NFI[[#This Row],[NFI Core Kit]],Table_NFI[NFI Core Kit])</f>
        <v>0</v>
      </c>
      <c r="AA779" s="294">
        <f>IF(NFI_Expiration=1,IF($A779&lt;VLOOKUP(J$5,NFI,5,0),1,0)*Table_NFI[[#This Row],[Sanitary Kit]],Table_NFI[Sanitary Kit])</f>
        <v>0</v>
      </c>
      <c r="AB779" s="294">
        <f>IF(NFI_Expiration=1,IF($A779&lt;VLOOKUP(K$5,NFI,5,0),1,0)*Table_NFI[[#This Row],[Mosquito net]],Table_NFI[Mosquito net])</f>
        <v>0</v>
      </c>
      <c r="AC779" s="294">
        <f>IF(NFI_Expiration=1,IF($A779&lt;VLOOKUP(L$5,NFI,5,0),1,0)*Table_NFI[[#This Row],[Tarpaulin]],Table_NFI[[#This Row],[Tarpaulin]])</f>
        <v>0</v>
      </c>
      <c r="AD779" s="294">
        <f>IF(NFI_Expiration=1,IF($A779&lt;VLOOKUP(M$5,NFI,5,0),1,0)*Table_NFI[[#This Row],[Blanket]],Table_NFI[[#This Row],[Blanket]])</f>
        <v>0</v>
      </c>
      <c r="AE779" s="294">
        <f>IF(NFI_Expiration=1,IF($A779&lt;VLOOKUP(N$5,NFI,5,0),1,0)*Table_NFI[[#This Row],[Kitchen Set]],Table_NFI[Kitchen Set])</f>
        <v>0</v>
      </c>
      <c r="AF779" s="294">
        <f>IF(NFI_Expiration=1,IF($A779&lt;VLOOKUP(O$5,NFI,5,0),1,0)*Table_NFI[[#This Row],[Clothes Kit]],Table_NFI[Clothes Kit])</f>
        <v>0</v>
      </c>
      <c r="AG779" s="294">
        <f>IF(NFI_Expiration=1,IF($A779&lt;VLOOKUP(P$5,NFI,5,0),1,0)*Table_NFI[[#This Row],[Plastic Bucket]],Table_NFI[Plastic Bucket])</f>
        <v>0</v>
      </c>
      <c r="AH779" s="294">
        <f>IF(NFI_Expiration=1,IF($A779&lt;VLOOKUP(Q$5,NFI,5,0),1,0)*Table_NFI[[#This Row],[Plastic Mat]],Table_NFI[Plastic Mat])*IF(Table_NFI[[#This Row],[Distribution Date]]&gt;"2014-04-01",1,2.5)</f>
        <v>0</v>
      </c>
      <c r="AI779" s="294">
        <f>IF(NFI_Expiration=1,IF($A779&lt;VLOOKUP(R$5,NFI,5,0),1,0)*Table_NFI[[#This Row],[Winter Clothes Adult]],Table_NFI[Winter Clothes Adult])</f>
        <v>0</v>
      </c>
      <c r="AJ779" s="294">
        <f>IF(NFI_Expiration=1,IF($A779&lt;VLOOKUP(S$5,NFI,5,0),1,0)*Table_NFI[[#This Row],[Winter Clothes Children]],Table_NFI[Winter Clothes Children])</f>
        <v>0</v>
      </c>
      <c r="AK779" s="294">
        <f>IF(NFI_Expiration=1,IF($A779&lt;VLOOKUP(T$5,NFI,5,0),1,0)*Table_NFI[[#This Row],[Winter Items Other]],Table_NFI[Winter Items Other])</f>
        <v>0</v>
      </c>
      <c r="AL779" s="294">
        <f>IF(NFI_Expiration=1,IF($A779&lt;VLOOKUP(M$5,NFI,5,0),1,0)*Table_NFI[[#This Row],[Winter Blanket]],Table_NFI[[#This Row],[Winter Blanket]])</f>
        <v>0</v>
      </c>
      <c r="AM779" s="294">
        <f>IF(Table_NFI[[#This Row],[Winter Clothes Adult]]+Table_NFI[[#This Row],[Winter Clothes Children]]+Table_NFI[[#This Row],[Winter Items Other]]+Table_NFI[[#This Row],[Winter Blanket]]&gt;0,1,0)</f>
        <v>0</v>
      </c>
      <c r="AN779" s="331">
        <f>IF(NFI_Expiration=1,IF($A779&lt;VLOOKUP(V$5,NFI,5,0),1,0)*Table_NFI[[#This Row],[Jerry Can]],Table_NFI[Jerry Can])</f>
        <v>0</v>
      </c>
      <c r="AO779" s="331">
        <f>IF(NFI_Expiration=1,IF($A779&lt;VLOOKUP(V$5,NFI,5,0),1,0)*Table_NFI[[#This Row],[Shelter Tool kit]],Table_NFI[Shelter Tool kit])</f>
        <v>0</v>
      </c>
      <c r="AP779" s="331">
        <f>IF(NFI_Expiration=1,IF($A779&lt;VLOOKUP(V$5,NFI,5,0),1,0)*Table_NFI[[#This Row],[Tent]],Table_NFI[Tent])</f>
        <v>0</v>
      </c>
      <c r="AQ779" s="473" t="str">
        <f>IFERROR(VLOOKUP(Table_NFI[[#This Row],[Camp Name]],CL,2,0),"")</f>
        <v>MMR001CMP040</v>
      </c>
      <c r="AR779" s="468">
        <f ca="1">IF(Table_NFI[[#This Row],[Pcode]]="","",IF(OFFSET(CampList[Opening Date],MATCH(Table_NFI[[#This Row],[Pcode]],CampList[CP_Pcode],0)-1,0,1,1)&gt;=NFI_Monitor_Date,1,0))</f>
        <v>0</v>
      </c>
      <c r="AS779" s="473" t="str">
        <f>IFERROR(VLOOKUP(Table_NFI[[#This Row],[Camp Name]],CL,3,0),"")</f>
        <v>Open</v>
      </c>
      <c r="AT779" s="294" t="str">
        <f ca="1">IF(Table_NFI[[#This Row],[Pcode]]="","",OFFSET(CampList[Priority],MATCH(Table_NFI[[#This Row],[Pcode]],CampList[CP_Pcode],0)-1,0,1,1))</f>
        <v>P4</v>
      </c>
      <c r="AU779" s="293">
        <f>IFERROR(Table_NFI[[#This Row],[Kitchen Set]]/VLOOKUP(Table_NFI[[#This Row],[Camp Name]],CL,4,0),"")</f>
        <v>0</v>
      </c>
      <c r="AV779" s="466" t="s">
        <v>1092</v>
      </c>
      <c r="AW779" s="469"/>
    </row>
    <row r="780" spans="1:49" s="470" customFormat="1" ht="14.45" customHeight="1" x14ac:dyDescent="0.25">
      <c r="A780" s="297">
        <f t="shared" si="12"/>
        <v>45.666666666666664</v>
      </c>
      <c r="B780" s="465">
        <v>41305</v>
      </c>
      <c r="C780" s="466" t="s">
        <v>569</v>
      </c>
      <c r="D780" s="467" t="s">
        <v>569</v>
      </c>
      <c r="E780" s="466" t="s">
        <v>380</v>
      </c>
      <c r="F780" s="290" t="s">
        <v>310</v>
      </c>
      <c r="G780" s="290" t="s">
        <v>326</v>
      </c>
      <c r="H780" s="291"/>
      <c r="I780" s="291"/>
      <c r="J780" s="291"/>
      <c r="K780" s="291"/>
      <c r="L780" s="292"/>
      <c r="M780" s="292">
        <v>94</v>
      </c>
      <c r="N780" s="292"/>
      <c r="O780" s="292"/>
      <c r="P780" s="294">
        <v>0</v>
      </c>
      <c r="Q780" s="294">
        <v>0</v>
      </c>
      <c r="R780" s="294"/>
      <c r="S780" s="294"/>
      <c r="T780" s="294"/>
      <c r="U780" s="294"/>
      <c r="V780" s="431"/>
      <c r="W780" s="294"/>
      <c r="X780" s="294"/>
      <c r="Y780" s="294">
        <f>IF(NFI_Expiration=1,IF($A780&lt;VLOOKUP(H$5,NFI,5,0),1,0)*Table_NFI[[#This Row],[Hygiene Kit]],Table_NFI[Hygiene Kit])</f>
        <v>0</v>
      </c>
      <c r="Z780" s="294">
        <f>IF(NFI_Expiration=1,IF($A780&lt;VLOOKUP(I$5,NFI,5,0),1,0)*Table_NFI[[#This Row],[NFI Core Kit]],Table_NFI[NFI Core Kit])</f>
        <v>0</v>
      </c>
      <c r="AA780" s="294">
        <f>IF(NFI_Expiration=1,IF($A780&lt;VLOOKUP(J$5,NFI,5,0),1,0)*Table_NFI[[#This Row],[Sanitary Kit]],Table_NFI[Sanitary Kit])</f>
        <v>0</v>
      </c>
      <c r="AB780" s="294">
        <f>IF(NFI_Expiration=1,IF($A780&lt;VLOOKUP(K$5,NFI,5,0),1,0)*Table_NFI[[#This Row],[Mosquito net]],Table_NFI[Mosquito net])</f>
        <v>0</v>
      </c>
      <c r="AC780" s="294">
        <f>IF(NFI_Expiration=1,IF($A780&lt;VLOOKUP(L$5,NFI,5,0),1,0)*Table_NFI[[#This Row],[Tarpaulin]],Table_NFI[[#This Row],[Tarpaulin]])</f>
        <v>0</v>
      </c>
      <c r="AD780" s="294">
        <f>IF(NFI_Expiration=1,IF($A780&lt;VLOOKUP(M$5,NFI,5,0),1,0)*Table_NFI[[#This Row],[Blanket]],Table_NFI[[#This Row],[Blanket]])</f>
        <v>0</v>
      </c>
      <c r="AE780" s="294">
        <f>IF(NFI_Expiration=1,IF($A780&lt;VLOOKUP(N$5,NFI,5,0),1,0)*Table_NFI[[#This Row],[Kitchen Set]],Table_NFI[Kitchen Set])</f>
        <v>0</v>
      </c>
      <c r="AF780" s="294">
        <f>IF(NFI_Expiration=1,IF($A780&lt;VLOOKUP(O$5,NFI,5,0),1,0)*Table_NFI[[#This Row],[Clothes Kit]],Table_NFI[Clothes Kit])</f>
        <v>0</v>
      </c>
      <c r="AG780" s="294">
        <f>IF(NFI_Expiration=1,IF($A780&lt;VLOOKUP(P$5,NFI,5,0),1,0)*Table_NFI[[#This Row],[Plastic Bucket]],Table_NFI[Plastic Bucket])</f>
        <v>0</v>
      </c>
      <c r="AH780" s="294">
        <f>IF(NFI_Expiration=1,IF($A780&lt;VLOOKUP(Q$5,NFI,5,0),1,0)*Table_NFI[[#This Row],[Plastic Mat]],Table_NFI[Plastic Mat])*IF(Table_NFI[[#This Row],[Distribution Date]]&gt;"2014-04-01",1,2.5)</f>
        <v>0</v>
      </c>
      <c r="AI780" s="294">
        <f>IF(NFI_Expiration=1,IF($A780&lt;VLOOKUP(R$5,NFI,5,0),1,0)*Table_NFI[[#This Row],[Winter Clothes Adult]],Table_NFI[Winter Clothes Adult])</f>
        <v>0</v>
      </c>
      <c r="AJ780" s="294">
        <f>IF(NFI_Expiration=1,IF($A780&lt;VLOOKUP(S$5,NFI,5,0),1,0)*Table_NFI[[#This Row],[Winter Clothes Children]],Table_NFI[Winter Clothes Children])</f>
        <v>0</v>
      </c>
      <c r="AK780" s="294">
        <f>IF(NFI_Expiration=1,IF($A780&lt;VLOOKUP(T$5,NFI,5,0),1,0)*Table_NFI[[#This Row],[Winter Items Other]],Table_NFI[Winter Items Other])</f>
        <v>0</v>
      </c>
      <c r="AL780" s="294">
        <f>IF(NFI_Expiration=1,IF($A780&lt;VLOOKUP(M$5,NFI,5,0),1,0)*Table_NFI[[#This Row],[Winter Blanket]],Table_NFI[[#This Row],[Winter Blanket]])</f>
        <v>0</v>
      </c>
      <c r="AM780" s="294">
        <f>IF(Table_NFI[[#This Row],[Winter Clothes Adult]]+Table_NFI[[#This Row],[Winter Clothes Children]]+Table_NFI[[#This Row],[Winter Items Other]]+Table_NFI[[#This Row],[Winter Blanket]]&gt;0,1,0)</f>
        <v>0</v>
      </c>
      <c r="AN780" s="331">
        <f>IF(NFI_Expiration=1,IF($A780&lt;VLOOKUP(V$5,NFI,5,0),1,0)*Table_NFI[[#This Row],[Jerry Can]],Table_NFI[Jerry Can])</f>
        <v>0</v>
      </c>
      <c r="AO780" s="331">
        <f>IF(NFI_Expiration=1,IF($A780&lt;VLOOKUP(V$5,NFI,5,0),1,0)*Table_NFI[[#This Row],[Shelter Tool kit]],Table_NFI[Shelter Tool kit])</f>
        <v>0</v>
      </c>
      <c r="AP780" s="331">
        <f>IF(NFI_Expiration=1,IF($A780&lt;VLOOKUP(V$5,NFI,5,0),1,0)*Table_NFI[[#This Row],[Tent]],Table_NFI[Tent])</f>
        <v>0</v>
      </c>
      <c r="AQ780" s="473" t="str">
        <f>IFERROR(VLOOKUP(Table_NFI[[#This Row],[Camp Name]],CL,2,0),"")</f>
        <v>MMR001CMP039</v>
      </c>
      <c r="AR780" s="468">
        <f ca="1">IF(Table_NFI[[#This Row],[Pcode]]="","",IF(OFFSET(CampList[Opening Date],MATCH(Table_NFI[[#This Row],[Pcode]],CampList[CP_Pcode],0)-1,0,1,1)&gt;=NFI_Monitor_Date,1,0))</f>
        <v>0</v>
      </c>
      <c r="AS780" s="473" t="str">
        <f>IFERROR(VLOOKUP(Table_NFI[[#This Row],[Camp Name]],CL,3,0),"")</f>
        <v>Open</v>
      </c>
      <c r="AT780" s="294" t="str">
        <f ca="1">IF(Table_NFI[[#This Row],[Pcode]]="","",OFFSET(CampList[Priority],MATCH(Table_NFI[[#This Row],[Pcode]],CampList[CP_Pcode],0)-1,0,1,1))</f>
        <v>P4</v>
      </c>
      <c r="AU780" s="293">
        <f>IFERROR(Table_NFI[[#This Row],[Kitchen Set]]/VLOOKUP(Table_NFI[[#This Row],[Camp Name]],CL,4,0),"")</f>
        <v>0</v>
      </c>
      <c r="AV780" s="466" t="s">
        <v>1092</v>
      </c>
      <c r="AW780" s="469"/>
    </row>
    <row r="781" spans="1:49" s="470" customFormat="1" ht="14.45" customHeight="1" x14ac:dyDescent="0.25">
      <c r="A781" s="297">
        <f t="shared" si="12"/>
        <v>45.666666666666664</v>
      </c>
      <c r="B781" s="465">
        <v>41305</v>
      </c>
      <c r="C781" s="466" t="s">
        <v>569</v>
      </c>
      <c r="D781" s="467" t="s">
        <v>569</v>
      </c>
      <c r="E781" s="466" t="s">
        <v>380</v>
      </c>
      <c r="F781" s="290" t="s">
        <v>310</v>
      </c>
      <c r="G781" s="290" t="s">
        <v>318</v>
      </c>
      <c r="H781" s="291"/>
      <c r="I781" s="291"/>
      <c r="J781" s="291"/>
      <c r="K781" s="291"/>
      <c r="L781" s="292"/>
      <c r="M781" s="292">
        <v>184</v>
      </c>
      <c r="N781" s="292"/>
      <c r="O781" s="292"/>
      <c r="P781" s="294">
        <v>0</v>
      </c>
      <c r="Q781" s="294">
        <v>0</v>
      </c>
      <c r="R781" s="294"/>
      <c r="S781" s="294"/>
      <c r="T781" s="294"/>
      <c r="U781" s="294"/>
      <c r="V781" s="431"/>
      <c r="W781" s="294"/>
      <c r="X781" s="294"/>
      <c r="Y781" s="294">
        <f>IF(NFI_Expiration=1,IF($A781&lt;VLOOKUP(H$5,NFI,5,0),1,0)*Table_NFI[[#This Row],[Hygiene Kit]],Table_NFI[Hygiene Kit])</f>
        <v>0</v>
      </c>
      <c r="Z781" s="294">
        <f>IF(NFI_Expiration=1,IF($A781&lt;VLOOKUP(I$5,NFI,5,0),1,0)*Table_NFI[[#This Row],[NFI Core Kit]],Table_NFI[NFI Core Kit])</f>
        <v>0</v>
      </c>
      <c r="AA781" s="294">
        <f>IF(NFI_Expiration=1,IF($A781&lt;VLOOKUP(J$5,NFI,5,0),1,0)*Table_NFI[[#This Row],[Sanitary Kit]],Table_NFI[Sanitary Kit])</f>
        <v>0</v>
      </c>
      <c r="AB781" s="294">
        <f>IF(NFI_Expiration=1,IF($A781&lt;VLOOKUP(K$5,NFI,5,0),1,0)*Table_NFI[[#This Row],[Mosquito net]],Table_NFI[Mosquito net])</f>
        <v>0</v>
      </c>
      <c r="AC781" s="294">
        <f>IF(NFI_Expiration=1,IF($A781&lt;VLOOKUP(L$5,NFI,5,0),1,0)*Table_NFI[[#This Row],[Tarpaulin]],Table_NFI[[#This Row],[Tarpaulin]])</f>
        <v>0</v>
      </c>
      <c r="AD781" s="294">
        <f>IF(NFI_Expiration=1,IF($A781&lt;VLOOKUP(M$5,NFI,5,0),1,0)*Table_NFI[[#This Row],[Blanket]],Table_NFI[[#This Row],[Blanket]])</f>
        <v>0</v>
      </c>
      <c r="AE781" s="294">
        <f>IF(NFI_Expiration=1,IF($A781&lt;VLOOKUP(N$5,NFI,5,0),1,0)*Table_NFI[[#This Row],[Kitchen Set]],Table_NFI[Kitchen Set])</f>
        <v>0</v>
      </c>
      <c r="AF781" s="294">
        <f>IF(NFI_Expiration=1,IF($A781&lt;VLOOKUP(O$5,NFI,5,0),1,0)*Table_NFI[[#This Row],[Clothes Kit]],Table_NFI[Clothes Kit])</f>
        <v>0</v>
      </c>
      <c r="AG781" s="294">
        <f>IF(NFI_Expiration=1,IF($A781&lt;VLOOKUP(P$5,NFI,5,0),1,0)*Table_NFI[[#This Row],[Plastic Bucket]],Table_NFI[Plastic Bucket])</f>
        <v>0</v>
      </c>
      <c r="AH781" s="294">
        <f>IF(NFI_Expiration=1,IF($A781&lt;VLOOKUP(Q$5,NFI,5,0),1,0)*Table_NFI[[#This Row],[Plastic Mat]],Table_NFI[Plastic Mat])*IF(Table_NFI[[#This Row],[Distribution Date]]&gt;"2014-04-01",1,2.5)</f>
        <v>0</v>
      </c>
      <c r="AI781" s="294">
        <f>IF(NFI_Expiration=1,IF($A781&lt;VLOOKUP(R$5,NFI,5,0),1,0)*Table_NFI[[#This Row],[Winter Clothes Adult]],Table_NFI[Winter Clothes Adult])</f>
        <v>0</v>
      </c>
      <c r="AJ781" s="294">
        <f>IF(NFI_Expiration=1,IF($A781&lt;VLOOKUP(S$5,NFI,5,0),1,0)*Table_NFI[[#This Row],[Winter Clothes Children]],Table_NFI[Winter Clothes Children])</f>
        <v>0</v>
      </c>
      <c r="AK781" s="294">
        <f>IF(NFI_Expiration=1,IF($A781&lt;VLOOKUP(T$5,NFI,5,0),1,0)*Table_NFI[[#This Row],[Winter Items Other]],Table_NFI[Winter Items Other])</f>
        <v>0</v>
      </c>
      <c r="AL781" s="294">
        <f>IF(NFI_Expiration=1,IF($A781&lt;VLOOKUP(M$5,NFI,5,0),1,0)*Table_NFI[[#This Row],[Winter Blanket]],Table_NFI[[#This Row],[Winter Blanket]])</f>
        <v>0</v>
      </c>
      <c r="AM781" s="294">
        <f>IF(Table_NFI[[#This Row],[Winter Clothes Adult]]+Table_NFI[[#This Row],[Winter Clothes Children]]+Table_NFI[[#This Row],[Winter Items Other]]+Table_NFI[[#This Row],[Winter Blanket]]&gt;0,1,0)</f>
        <v>0</v>
      </c>
      <c r="AN781" s="331">
        <f>IF(NFI_Expiration=1,IF($A781&lt;VLOOKUP(V$5,NFI,5,0),1,0)*Table_NFI[[#This Row],[Jerry Can]],Table_NFI[Jerry Can])</f>
        <v>0</v>
      </c>
      <c r="AO781" s="331">
        <f>IF(NFI_Expiration=1,IF($A781&lt;VLOOKUP(V$5,NFI,5,0),1,0)*Table_NFI[[#This Row],[Shelter Tool kit]],Table_NFI[Shelter Tool kit])</f>
        <v>0</v>
      </c>
      <c r="AP781" s="331">
        <f>IF(NFI_Expiration=1,IF($A781&lt;VLOOKUP(V$5,NFI,5,0),1,0)*Table_NFI[[#This Row],[Tent]],Table_NFI[Tent])</f>
        <v>0</v>
      </c>
      <c r="AQ781" s="473" t="str">
        <f>IFERROR(VLOOKUP(Table_NFI[[#This Row],[Camp Name]],CL,2,0),"")</f>
        <v>MMR001CMP032</v>
      </c>
      <c r="AR781" s="468">
        <f ca="1">IF(Table_NFI[[#This Row],[Pcode]]="","",IF(OFFSET(CampList[Opening Date],MATCH(Table_NFI[[#This Row],[Pcode]],CampList[CP_Pcode],0)-1,0,1,1)&gt;=NFI_Monitor_Date,1,0))</f>
        <v>0</v>
      </c>
      <c r="AS781" s="473" t="str">
        <f>IFERROR(VLOOKUP(Table_NFI[[#This Row],[Camp Name]],CL,3,0),"")</f>
        <v>Open</v>
      </c>
      <c r="AT781" s="294" t="str">
        <f ca="1">IF(Table_NFI[[#This Row],[Pcode]]="","",OFFSET(CampList[Priority],MATCH(Table_NFI[[#This Row],[Pcode]],CampList[CP_Pcode],0)-1,0,1,1))</f>
        <v>P4</v>
      </c>
      <c r="AU781" s="293">
        <f>IFERROR(Table_NFI[[#This Row],[Kitchen Set]]/VLOOKUP(Table_NFI[[#This Row],[Camp Name]],CL,4,0),"")</f>
        <v>0</v>
      </c>
      <c r="AV781" s="466" t="s">
        <v>1092</v>
      </c>
      <c r="AW781" s="469"/>
    </row>
    <row r="782" spans="1:49" s="470" customFormat="1" ht="14.45" customHeight="1" x14ac:dyDescent="0.25">
      <c r="A782" s="297">
        <f t="shared" si="12"/>
        <v>45.666666666666664</v>
      </c>
      <c r="B782" s="465">
        <v>41305</v>
      </c>
      <c r="C782" s="466" t="s">
        <v>569</v>
      </c>
      <c r="D782" s="467" t="s">
        <v>569</v>
      </c>
      <c r="E782" s="466" t="s">
        <v>380</v>
      </c>
      <c r="F782" s="290" t="s">
        <v>310</v>
      </c>
      <c r="G782" s="290" t="s">
        <v>342</v>
      </c>
      <c r="H782" s="291"/>
      <c r="I782" s="291"/>
      <c r="J782" s="291"/>
      <c r="K782" s="291"/>
      <c r="L782" s="292"/>
      <c r="M782" s="292">
        <v>242</v>
      </c>
      <c r="N782" s="292"/>
      <c r="O782" s="292"/>
      <c r="P782" s="294">
        <v>0</v>
      </c>
      <c r="Q782" s="294">
        <v>0</v>
      </c>
      <c r="R782" s="294"/>
      <c r="S782" s="294"/>
      <c r="T782" s="294"/>
      <c r="U782" s="294"/>
      <c r="V782" s="431"/>
      <c r="W782" s="294"/>
      <c r="X782" s="294"/>
      <c r="Y782" s="294">
        <f>IF(NFI_Expiration=1,IF($A782&lt;VLOOKUP(H$5,NFI,5,0),1,0)*Table_NFI[[#This Row],[Hygiene Kit]],Table_NFI[Hygiene Kit])</f>
        <v>0</v>
      </c>
      <c r="Z782" s="294">
        <f>IF(NFI_Expiration=1,IF($A782&lt;VLOOKUP(I$5,NFI,5,0),1,0)*Table_NFI[[#This Row],[NFI Core Kit]],Table_NFI[NFI Core Kit])</f>
        <v>0</v>
      </c>
      <c r="AA782" s="294">
        <f>IF(NFI_Expiration=1,IF($A782&lt;VLOOKUP(J$5,NFI,5,0),1,0)*Table_NFI[[#This Row],[Sanitary Kit]],Table_NFI[Sanitary Kit])</f>
        <v>0</v>
      </c>
      <c r="AB782" s="294">
        <f>IF(NFI_Expiration=1,IF($A782&lt;VLOOKUP(K$5,NFI,5,0),1,0)*Table_NFI[[#This Row],[Mosquito net]],Table_NFI[Mosquito net])</f>
        <v>0</v>
      </c>
      <c r="AC782" s="294">
        <f>IF(NFI_Expiration=1,IF($A782&lt;VLOOKUP(L$5,NFI,5,0),1,0)*Table_NFI[[#This Row],[Tarpaulin]],Table_NFI[[#This Row],[Tarpaulin]])</f>
        <v>0</v>
      </c>
      <c r="AD782" s="294">
        <f>IF(NFI_Expiration=1,IF($A782&lt;VLOOKUP(M$5,NFI,5,0),1,0)*Table_NFI[[#This Row],[Blanket]],Table_NFI[[#This Row],[Blanket]])</f>
        <v>0</v>
      </c>
      <c r="AE782" s="294">
        <f>IF(NFI_Expiration=1,IF($A782&lt;VLOOKUP(N$5,NFI,5,0),1,0)*Table_NFI[[#This Row],[Kitchen Set]],Table_NFI[Kitchen Set])</f>
        <v>0</v>
      </c>
      <c r="AF782" s="294">
        <f>IF(NFI_Expiration=1,IF($A782&lt;VLOOKUP(O$5,NFI,5,0),1,0)*Table_NFI[[#This Row],[Clothes Kit]],Table_NFI[Clothes Kit])</f>
        <v>0</v>
      </c>
      <c r="AG782" s="294">
        <f>IF(NFI_Expiration=1,IF($A782&lt;VLOOKUP(P$5,NFI,5,0),1,0)*Table_NFI[[#This Row],[Plastic Bucket]],Table_NFI[Plastic Bucket])</f>
        <v>0</v>
      </c>
      <c r="AH782" s="294">
        <f>IF(NFI_Expiration=1,IF($A782&lt;VLOOKUP(Q$5,NFI,5,0),1,0)*Table_NFI[[#This Row],[Plastic Mat]],Table_NFI[Plastic Mat])*IF(Table_NFI[[#This Row],[Distribution Date]]&gt;"2014-04-01",1,2.5)</f>
        <v>0</v>
      </c>
      <c r="AI782" s="294">
        <f>IF(NFI_Expiration=1,IF($A782&lt;VLOOKUP(R$5,NFI,5,0),1,0)*Table_NFI[[#This Row],[Winter Clothes Adult]],Table_NFI[Winter Clothes Adult])</f>
        <v>0</v>
      </c>
      <c r="AJ782" s="294">
        <f>IF(NFI_Expiration=1,IF($A782&lt;VLOOKUP(S$5,NFI,5,0),1,0)*Table_NFI[[#This Row],[Winter Clothes Children]],Table_NFI[Winter Clothes Children])</f>
        <v>0</v>
      </c>
      <c r="AK782" s="294">
        <f>IF(NFI_Expiration=1,IF($A782&lt;VLOOKUP(T$5,NFI,5,0),1,0)*Table_NFI[[#This Row],[Winter Items Other]],Table_NFI[Winter Items Other])</f>
        <v>0</v>
      </c>
      <c r="AL782" s="294">
        <f>IF(NFI_Expiration=1,IF($A782&lt;VLOOKUP(M$5,NFI,5,0),1,0)*Table_NFI[[#This Row],[Winter Blanket]],Table_NFI[[#This Row],[Winter Blanket]])</f>
        <v>0</v>
      </c>
      <c r="AM782" s="294">
        <f>IF(Table_NFI[[#This Row],[Winter Clothes Adult]]+Table_NFI[[#This Row],[Winter Clothes Children]]+Table_NFI[[#This Row],[Winter Items Other]]+Table_NFI[[#This Row],[Winter Blanket]]&gt;0,1,0)</f>
        <v>0</v>
      </c>
      <c r="AN782" s="331">
        <f>IF(NFI_Expiration=1,IF($A782&lt;VLOOKUP(V$5,NFI,5,0),1,0)*Table_NFI[[#This Row],[Jerry Can]],Table_NFI[Jerry Can])</f>
        <v>0</v>
      </c>
      <c r="AO782" s="331">
        <f>IF(NFI_Expiration=1,IF($A782&lt;VLOOKUP(V$5,NFI,5,0),1,0)*Table_NFI[[#This Row],[Shelter Tool kit]],Table_NFI[Shelter Tool kit])</f>
        <v>0</v>
      </c>
      <c r="AP782" s="331">
        <f>IF(NFI_Expiration=1,IF($A782&lt;VLOOKUP(V$5,NFI,5,0),1,0)*Table_NFI[[#This Row],[Tent]],Table_NFI[Tent])</f>
        <v>0</v>
      </c>
      <c r="AQ782" s="473" t="str">
        <f>IFERROR(VLOOKUP(Table_NFI[[#This Row],[Camp Name]],CL,2,0),"")</f>
        <v>MMR001CMP025</v>
      </c>
      <c r="AR782" s="468">
        <f ca="1">IF(Table_NFI[[#This Row],[Pcode]]="","",IF(OFFSET(CampList[Opening Date],MATCH(Table_NFI[[#This Row],[Pcode]],CampList[CP_Pcode],0)-1,0,1,1)&gt;=NFI_Monitor_Date,1,0))</f>
        <v>0</v>
      </c>
      <c r="AS782" s="473" t="str">
        <f>IFERROR(VLOOKUP(Table_NFI[[#This Row],[Camp Name]],CL,3,0),"")</f>
        <v>Open</v>
      </c>
      <c r="AT782" s="294" t="str">
        <f ca="1">IF(Table_NFI[[#This Row],[Pcode]]="","",OFFSET(CampList[Priority],MATCH(Table_NFI[[#This Row],[Pcode]],CampList[CP_Pcode],0)-1,0,1,1))</f>
        <v>P4</v>
      </c>
      <c r="AU782" s="293">
        <f>IFERROR(Table_NFI[[#This Row],[Kitchen Set]]/VLOOKUP(Table_NFI[[#This Row],[Camp Name]],CL,4,0),"")</f>
        <v>0</v>
      </c>
      <c r="AV782" s="466" t="s">
        <v>1092</v>
      </c>
      <c r="AW782" s="469"/>
    </row>
    <row r="783" spans="1:49" s="470" customFormat="1" ht="14.45" customHeight="1" x14ac:dyDescent="0.25">
      <c r="A783" s="297">
        <f t="shared" si="12"/>
        <v>45.666666666666664</v>
      </c>
      <c r="B783" s="465">
        <v>41305</v>
      </c>
      <c r="C783" s="466" t="s">
        <v>569</v>
      </c>
      <c r="D783" s="467" t="s">
        <v>569</v>
      </c>
      <c r="E783" s="466" t="s">
        <v>380</v>
      </c>
      <c r="F783" s="290" t="s">
        <v>310</v>
      </c>
      <c r="G783" s="290" t="s">
        <v>338</v>
      </c>
      <c r="H783" s="291"/>
      <c r="I783" s="291"/>
      <c r="J783" s="291"/>
      <c r="K783" s="291"/>
      <c r="L783" s="292"/>
      <c r="M783" s="292">
        <v>54</v>
      </c>
      <c r="N783" s="292"/>
      <c r="O783" s="292"/>
      <c r="P783" s="294">
        <v>0</v>
      </c>
      <c r="Q783" s="294">
        <v>0</v>
      </c>
      <c r="R783" s="294"/>
      <c r="S783" s="294"/>
      <c r="T783" s="294"/>
      <c r="U783" s="294"/>
      <c r="V783" s="431"/>
      <c r="W783" s="294"/>
      <c r="X783" s="294"/>
      <c r="Y783" s="294">
        <f>IF(NFI_Expiration=1,IF($A783&lt;VLOOKUP(H$5,NFI,5,0),1,0)*Table_NFI[[#This Row],[Hygiene Kit]],Table_NFI[Hygiene Kit])</f>
        <v>0</v>
      </c>
      <c r="Z783" s="294">
        <f>IF(NFI_Expiration=1,IF($A783&lt;VLOOKUP(I$5,NFI,5,0),1,0)*Table_NFI[[#This Row],[NFI Core Kit]],Table_NFI[NFI Core Kit])</f>
        <v>0</v>
      </c>
      <c r="AA783" s="294">
        <f>IF(NFI_Expiration=1,IF($A783&lt;VLOOKUP(J$5,NFI,5,0),1,0)*Table_NFI[[#This Row],[Sanitary Kit]],Table_NFI[Sanitary Kit])</f>
        <v>0</v>
      </c>
      <c r="AB783" s="294">
        <f>IF(NFI_Expiration=1,IF($A783&lt;VLOOKUP(K$5,NFI,5,0),1,0)*Table_NFI[[#This Row],[Mosquito net]],Table_NFI[Mosquito net])</f>
        <v>0</v>
      </c>
      <c r="AC783" s="294">
        <f>IF(NFI_Expiration=1,IF($A783&lt;VLOOKUP(L$5,NFI,5,0),1,0)*Table_NFI[[#This Row],[Tarpaulin]],Table_NFI[[#This Row],[Tarpaulin]])</f>
        <v>0</v>
      </c>
      <c r="AD783" s="294">
        <f>IF(NFI_Expiration=1,IF($A783&lt;VLOOKUP(M$5,NFI,5,0),1,0)*Table_NFI[[#This Row],[Blanket]],Table_NFI[[#This Row],[Blanket]])</f>
        <v>0</v>
      </c>
      <c r="AE783" s="294">
        <f>IF(NFI_Expiration=1,IF($A783&lt;VLOOKUP(N$5,NFI,5,0),1,0)*Table_NFI[[#This Row],[Kitchen Set]],Table_NFI[Kitchen Set])</f>
        <v>0</v>
      </c>
      <c r="AF783" s="294">
        <f>IF(NFI_Expiration=1,IF($A783&lt;VLOOKUP(O$5,NFI,5,0),1,0)*Table_NFI[[#This Row],[Clothes Kit]],Table_NFI[Clothes Kit])</f>
        <v>0</v>
      </c>
      <c r="AG783" s="294">
        <f>IF(NFI_Expiration=1,IF($A783&lt;VLOOKUP(P$5,NFI,5,0),1,0)*Table_NFI[[#This Row],[Plastic Bucket]],Table_NFI[Plastic Bucket])</f>
        <v>0</v>
      </c>
      <c r="AH783" s="294">
        <f>IF(NFI_Expiration=1,IF($A783&lt;VLOOKUP(Q$5,NFI,5,0),1,0)*Table_NFI[[#This Row],[Plastic Mat]],Table_NFI[Plastic Mat])*IF(Table_NFI[[#This Row],[Distribution Date]]&gt;"2014-04-01",1,2.5)</f>
        <v>0</v>
      </c>
      <c r="AI783" s="294">
        <f>IF(NFI_Expiration=1,IF($A783&lt;VLOOKUP(R$5,NFI,5,0),1,0)*Table_NFI[[#This Row],[Winter Clothes Adult]],Table_NFI[Winter Clothes Adult])</f>
        <v>0</v>
      </c>
      <c r="AJ783" s="294">
        <f>IF(NFI_Expiration=1,IF($A783&lt;VLOOKUP(S$5,NFI,5,0),1,0)*Table_NFI[[#This Row],[Winter Clothes Children]],Table_NFI[Winter Clothes Children])</f>
        <v>0</v>
      </c>
      <c r="AK783" s="294">
        <f>IF(NFI_Expiration=1,IF($A783&lt;VLOOKUP(T$5,NFI,5,0),1,0)*Table_NFI[[#This Row],[Winter Items Other]],Table_NFI[Winter Items Other])</f>
        <v>0</v>
      </c>
      <c r="AL783" s="294">
        <f>IF(NFI_Expiration=1,IF($A783&lt;VLOOKUP(M$5,NFI,5,0),1,0)*Table_NFI[[#This Row],[Winter Blanket]],Table_NFI[[#This Row],[Winter Blanket]])</f>
        <v>0</v>
      </c>
      <c r="AM783" s="294">
        <f>IF(Table_NFI[[#This Row],[Winter Clothes Adult]]+Table_NFI[[#This Row],[Winter Clothes Children]]+Table_NFI[[#This Row],[Winter Items Other]]+Table_NFI[[#This Row],[Winter Blanket]]&gt;0,1,0)</f>
        <v>0</v>
      </c>
      <c r="AN783" s="331">
        <f>IF(NFI_Expiration=1,IF($A783&lt;VLOOKUP(V$5,NFI,5,0),1,0)*Table_NFI[[#This Row],[Jerry Can]],Table_NFI[Jerry Can])</f>
        <v>0</v>
      </c>
      <c r="AO783" s="331">
        <f>IF(NFI_Expiration=1,IF($A783&lt;VLOOKUP(V$5,NFI,5,0),1,0)*Table_NFI[[#This Row],[Shelter Tool kit]],Table_NFI[Shelter Tool kit])</f>
        <v>0</v>
      </c>
      <c r="AP783" s="331">
        <f>IF(NFI_Expiration=1,IF($A783&lt;VLOOKUP(V$5,NFI,5,0),1,0)*Table_NFI[[#This Row],[Tent]],Table_NFI[Tent])</f>
        <v>0</v>
      </c>
      <c r="AQ783" s="473" t="str">
        <f>IFERROR(VLOOKUP(Table_NFI[[#This Row],[Camp Name]],CL,2,0),"")</f>
        <v>MMR001CMP030</v>
      </c>
      <c r="AR783" s="468">
        <f ca="1">IF(Table_NFI[[#This Row],[Pcode]]="","",IF(OFFSET(CampList[Opening Date],MATCH(Table_NFI[[#This Row],[Pcode]],CampList[CP_Pcode],0)-1,0,1,1)&gt;=NFI_Monitor_Date,1,0))</f>
        <v>0</v>
      </c>
      <c r="AS783" s="473" t="str">
        <f>IFERROR(VLOOKUP(Table_NFI[[#This Row],[Camp Name]],CL,3,0),"")</f>
        <v>Open</v>
      </c>
      <c r="AT783" s="294" t="str">
        <f ca="1">IF(Table_NFI[[#This Row],[Pcode]]="","",OFFSET(CampList[Priority],MATCH(Table_NFI[[#This Row],[Pcode]],CampList[CP_Pcode],0)-1,0,1,1))</f>
        <v>P4</v>
      </c>
      <c r="AU783" s="293">
        <f>IFERROR(Table_NFI[[#This Row],[Kitchen Set]]/VLOOKUP(Table_NFI[[#This Row],[Camp Name]],CL,4,0),"")</f>
        <v>0</v>
      </c>
      <c r="AV783" s="466" t="s">
        <v>1092</v>
      </c>
      <c r="AW783" s="469"/>
    </row>
    <row r="784" spans="1:49" ht="14.45" customHeight="1" x14ac:dyDescent="0.25">
      <c r="A784" s="297">
        <f t="shared" si="12"/>
        <v>45.666666666666664</v>
      </c>
      <c r="B784" s="465">
        <v>41305</v>
      </c>
      <c r="C784" s="466" t="s">
        <v>569</v>
      </c>
      <c r="D784" s="467" t="s">
        <v>569</v>
      </c>
      <c r="E784" s="466" t="s">
        <v>380</v>
      </c>
      <c r="F784" s="290" t="s">
        <v>310</v>
      </c>
      <c r="G784" s="290" t="s">
        <v>351</v>
      </c>
      <c r="H784" s="291"/>
      <c r="I784" s="291"/>
      <c r="J784" s="291"/>
      <c r="K784" s="291"/>
      <c r="L784" s="292"/>
      <c r="M784" s="292">
        <v>188</v>
      </c>
      <c r="N784" s="292"/>
      <c r="O784" s="292"/>
      <c r="P784" s="294">
        <v>0</v>
      </c>
      <c r="Q784" s="294">
        <v>0</v>
      </c>
      <c r="R784" s="294"/>
      <c r="S784" s="294"/>
      <c r="T784" s="294"/>
      <c r="U784" s="294"/>
      <c r="V784" s="431"/>
      <c r="W784" s="294"/>
      <c r="X784" s="294"/>
      <c r="Y784" s="294">
        <f>IF(NFI_Expiration=1,IF($A784&lt;VLOOKUP(H$5,NFI,5,0),1,0)*Table_NFI[[#This Row],[Hygiene Kit]],Table_NFI[Hygiene Kit])</f>
        <v>0</v>
      </c>
      <c r="Z784" s="294">
        <f>IF(NFI_Expiration=1,IF($A784&lt;VLOOKUP(I$5,NFI,5,0),1,0)*Table_NFI[[#This Row],[NFI Core Kit]],Table_NFI[NFI Core Kit])</f>
        <v>0</v>
      </c>
      <c r="AA784" s="294">
        <f>IF(NFI_Expiration=1,IF($A784&lt;VLOOKUP(J$5,NFI,5,0),1,0)*Table_NFI[[#This Row],[Sanitary Kit]],Table_NFI[Sanitary Kit])</f>
        <v>0</v>
      </c>
      <c r="AB784" s="294">
        <f>IF(NFI_Expiration=1,IF($A784&lt;VLOOKUP(K$5,NFI,5,0),1,0)*Table_NFI[[#This Row],[Mosquito net]],Table_NFI[Mosquito net])</f>
        <v>0</v>
      </c>
      <c r="AC784" s="294">
        <f>IF(NFI_Expiration=1,IF($A784&lt;VLOOKUP(L$5,NFI,5,0),1,0)*Table_NFI[[#This Row],[Tarpaulin]],Table_NFI[[#This Row],[Tarpaulin]])</f>
        <v>0</v>
      </c>
      <c r="AD784" s="294">
        <f>IF(NFI_Expiration=1,IF($A784&lt;VLOOKUP(M$5,NFI,5,0),1,0)*Table_NFI[[#This Row],[Blanket]],Table_NFI[[#This Row],[Blanket]])</f>
        <v>0</v>
      </c>
      <c r="AE784" s="294">
        <f>IF(NFI_Expiration=1,IF($A784&lt;VLOOKUP(N$5,NFI,5,0),1,0)*Table_NFI[[#This Row],[Kitchen Set]],Table_NFI[Kitchen Set])</f>
        <v>0</v>
      </c>
      <c r="AF784" s="294">
        <f>IF(NFI_Expiration=1,IF($A784&lt;VLOOKUP(O$5,NFI,5,0),1,0)*Table_NFI[[#This Row],[Clothes Kit]],Table_NFI[Clothes Kit])</f>
        <v>0</v>
      </c>
      <c r="AG784" s="294">
        <f>IF(NFI_Expiration=1,IF($A784&lt;VLOOKUP(P$5,NFI,5,0),1,0)*Table_NFI[[#This Row],[Plastic Bucket]],Table_NFI[Plastic Bucket])</f>
        <v>0</v>
      </c>
      <c r="AH784" s="294">
        <f>IF(NFI_Expiration=1,IF($A784&lt;VLOOKUP(Q$5,NFI,5,0),1,0)*Table_NFI[[#This Row],[Plastic Mat]],Table_NFI[Plastic Mat])*IF(Table_NFI[[#This Row],[Distribution Date]]&gt;"2014-04-01",1,2.5)</f>
        <v>0</v>
      </c>
      <c r="AI784" s="294">
        <f>IF(NFI_Expiration=1,IF($A784&lt;VLOOKUP(R$5,NFI,5,0),1,0)*Table_NFI[[#This Row],[Winter Clothes Adult]],Table_NFI[Winter Clothes Adult])</f>
        <v>0</v>
      </c>
      <c r="AJ784" s="294">
        <f>IF(NFI_Expiration=1,IF($A784&lt;VLOOKUP(S$5,NFI,5,0),1,0)*Table_NFI[[#This Row],[Winter Clothes Children]],Table_NFI[Winter Clothes Children])</f>
        <v>0</v>
      </c>
      <c r="AK784" s="294">
        <f>IF(NFI_Expiration=1,IF($A784&lt;VLOOKUP(T$5,NFI,5,0),1,0)*Table_NFI[[#This Row],[Winter Items Other]],Table_NFI[Winter Items Other])</f>
        <v>0</v>
      </c>
      <c r="AL784" s="294">
        <f>IF(NFI_Expiration=1,IF($A784&lt;VLOOKUP(M$5,NFI,5,0),1,0)*Table_NFI[[#This Row],[Winter Blanket]],Table_NFI[[#This Row],[Winter Blanket]])</f>
        <v>0</v>
      </c>
      <c r="AM784" s="294">
        <f>IF(Table_NFI[[#This Row],[Winter Clothes Adult]]+Table_NFI[[#This Row],[Winter Clothes Children]]+Table_NFI[[#This Row],[Winter Items Other]]+Table_NFI[[#This Row],[Winter Blanket]]&gt;0,1,0)</f>
        <v>0</v>
      </c>
      <c r="AN784" s="331">
        <f>IF(NFI_Expiration=1,IF($A784&lt;VLOOKUP(V$5,NFI,5,0),1,0)*Table_NFI[[#This Row],[Jerry Can]],Table_NFI[Jerry Can])</f>
        <v>0</v>
      </c>
      <c r="AO784" s="331">
        <f>IF(NFI_Expiration=1,IF($A784&lt;VLOOKUP(V$5,NFI,5,0),1,0)*Table_NFI[[#This Row],[Shelter Tool kit]],Table_NFI[Shelter Tool kit])</f>
        <v>0</v>
      </c>
      <c r="AP784" s="331">
        <f>IF(NFI_Expiration=1,IF($A784&lt;VLOOKUP(V$5,NFI,5,0),1,0)*Table_NFI[[#This Row],[Tent]],Table_NFI[Tent])</f>
        <v>0</v>
      </c>
      <c r="AQ784" s="473" t="str">
        <f>IFERROR(VLOOKUP(Table_NFI[[#This Row],[Camp Name]],CL,2,0),"")</f>
        <v>MMR001CMP026</v>
      </c>
      <c r="AR784" s="468">
        <f ca="1">IF(Table_NFI[[#This Row],[Pcode]]="","",IF(OFFSET(CampList[Opening Date],MATCH(Table_NFI[[#This Row],[Pcode]],CampList[CP_Pcode],0)-1,0,1,1)&gt;=NFI_Monitor_Date,1,0))</f>
        <v>0</v>
      </c>
      <c r="AS784" s="473" t="str">
        <f>IFERROR(VLOOKUP(Table_NFI[[#This Row],[Camp Name]],CL,3,0),"")</f>
        <v>Open</v>
      </c>
      <c r="AT784" s="294" t="str">
        <f ca="1">IF(Table_NFI[[#This Row],[Pcode]]="","",OFFSET(CampList[Priority],MATCH(Table_NFI[[#This Row],[Pcode]],CampList[CP_Pcode],0)-1,0,1,1))</f>
        <v>P4</v>
      </c>
      <c r="AU784" s="293">
        <f>IFERROR(Table_NFI[[#This Row],[Kitchen Set]]/VLOOKUP(Table_NFI[[#This Row],[Camp Name]],CL,4,0),"")</f>
        <v>0</v>
      </c>
      <c r="AV784" s="466" t="s">
        <v>1092</v>
      </c>
      <c r="AW784" s="469"/>
    </row>
    <row r="785" spans="1:49" ht="14.45" customHeight="1" x14ac:dyDescent="0.25">
      <c r="A785" s="297">
        <f t="shared" si="12"/>
        <v>45.666666666666664</v>
      </c>
      <c r="B785" s="465">
        <v>41305</v>
      </c>
      <c r="C785" s="466" t="s">
        <v>569</v>
      </c>
      <c r="D785" s="467" t="s">
        <v>569</v>
      </c>
      <c r="E785" s="466" t="s">
        <v>380</v>
      </c>
      <c r="F785" s="290" t="s">
        <v>310</v>
      </c>
      <c r="G785" s="290" t="s">
        <v>347</v>
      </c>
      <c r="H785" s="291"/>
      <c r="I785" s="291"/>
      <c r="J785" s="291"/>
      <c r="K785" s="291"/>
      <c r="L785" s="292"/>
      <c r="M785" s="292">
        <v>358</v>
      </c>
      <c r="N785" s="292"/>
      <c r="O785" s="292"/>
      <c r="P785" s="294">
        <v>0</v>
      </c>
      <c r="Q785" s="294">
        <v>0</v>
      </c>
      <c r="R785" s="294"/>
      <c r="S785" s="294"/>
      <c r="T785" s="294"/>
      <c r="U785" s="294"/>
      <c r="V785" s="431"/>
      <c r="W785" s="294"/>
      <c r="X785" s="294"/>
      <c r="Y785" s="294">
        <f>IF(NFI_Expiration=1,IF($A785&lt;VLOOKUP(H$5,NFI,5,0),1,0)*Table_NFI[[#This Row],[Hygiene Kit]],Table_NFI[Hygiene Kit])</f>
        <v>0</v>
      </c>
      <c r="Z785" s="294">
        <f>IF(NFI_Expiration=1,IF($A785&lt;VLOOKUP(I$5,NFI,5,0),1,0)*Table_NFI[[#This Row],[NFI Core Kit]],Table_NFI[NFI Core Kit])</f>
        <v>0</v>
      </c>
      <c r="AA785" s="294">
        <f>IF(NFI_Expiration=1,IF($A785&lt;VLOOKUP(J$5,NFI,5,0),1,0)*Table_NFI[[#This Row],[Sanitary Kit]],Table_NFI[Sanitary Kit])</f>
        <v>0</v>
      </c>
      <c r="AB785" s="294">
        <f>IF(NFI_Expiration=1,IF($A785&lt;VLOOKUP(K$5,NFI,5,0),1,0)*Table_NFI[[#This Row],[Mosquito net]],Table_NFI[Mosquito net])</f>
        <v>0</v>
      </c>
      <c r="AC785" s="294">
        <f>IF(NFI_Expiration=1,IF($A785&lt;VLOOKUP(L$5,NFI,5,0),1,0)*Table_NFI[[#This Row],[Tarpaulin]],Table_NFI[[#This Row],[Tarpaulin]])</f>
        <v>0</v>
      </c>
      <c r="AD785" s="294">
        <f>IF(NFI_Expiration=1,IF($A785&lt;VLOOKUP(M$5,NFI,5,0),1,0)*Table_NFI[[#This Row],[Blanket]],Table_NFI[[#This Row],[Blanket]])</f>
        <v>0</v>
      </c>
      <c r="AE785" s="294">
        <f>IF(NFI_Expiration=1,IF($A785&lt;VLOOKUP(N$5,NFI,5,0),1,0)*Table_NFI[[#This Row],[Kitchen Set]],Table_NFI[Kitchen Set])</f>
        <v>0</v>
      </c>
      <c r="AF785" s="294">
        <f>IF(NFI_Expiration=1,IF($A785&lt;VLOOKUP(O$5,NFI,5,0),1,0)*Table_NFI[[#This Row],[Clothes Kit]],Table_NFI[Clothes Kit])</f>
        <v>0</v>
      </c>
      <c r="AG785" s="294">
        <f>IF(NFI_Expiration=1,IF($A785&lt;VLOOKUP(P$5,NFI,5,0),1,0)*Table_NFI[[#This Row],[Plastic Bucket]],Table_NFI[Plastic Bucket])</f>
        <v>0</v>
      </c>
      <c r="AH785" s="294">
        <f>IF(NFI_Expiration=1,IF($A785&lt;VLOOKUP(Q$5,NFI,5,0),1,0)*Table_NFI[[#This Row],[Plastic Mat]],Table_NFI[Plastic Mat])*IF(Table_NFI[[#This Row],[Distribution Date]]&gt;"2014-04-01",1,2.5)</f>
        <v>0</v>
      </c>
      <c r="AI785" s="294">
        <f>IF(NFI_Expiration=1,IF($A785&lt;VLOOKUP(R$5,NFI,5,0),1,0)*Table_NFI[[#This Row],[Winter Clothes Adult]],Table_NFI[Winter Clothes Adult])</f>
        <v>0</v>
      </c>
      <c r="AJ785" s="294">
        <f>IF(NFI_Expiration=1,IF($A785&lt;VLOOKUP(S$5,NFI,5,0),1,0)*Table_NFI[[#This Row],[Winter Clothes Children]],Table_NFI[Winter Clothes Children])</f>
        <v>0</v>
      </c>
      <c r="AK785" s="294">
        <f>IF(NFI_Expiration=1,IF($A785&lt;VLOOKUP(T$5,NFI,5,0),1,0)*Table_NFI[[#This Row],[Winter Items Other]],Table_NFI[Winter Items Other])</f>
        <v>0</v>
      </c>
      <c r="AL785" s="294">
        <f>IF(NFI_Expiration=1,IF($A785&lt;VLOOKUP(M$5,NFI,5,0),1,0)*Table_NFI[[#This Row],[Winter Blanket]],Table_NFI[[#This Row],[Winter Blanket]])</f>
        <v>0</v>
      </c>
      <c r="AM785" s="294">
        <f>IF(Table_NFI[[#This Row],[Winter Clothes Adult]]+Table_NFI[[#This Row],[Winter Clothes Children]]+Table_NFI[[#This Row],[Winter Items Other]]+Table_NFI[[#This Row],[Winter Blanket]]&gt;0,1,0)</f>
        <v>0</v>
      </c>
      <c r="AN785" s="331">
        <f>IF(NFI_Expiration=1,IF($A785&lt;VLOOKUP(V$5,NFI,5,0),1,0)*Table_NFI[[#This Row],[Jerry Can]],Table_NFI[Jerry Can])</f>
        <v>0</v>
      </c>
      <c r="AO785" s="331">
        <f>IF(NFI_Expiration=1,IF($A785&lt;VLOOKUP(V$5,NFI,5,0),1,0)*Table_NFI[[#This Row],[Shelter Tool kit]],Table_NFI[Shelter Tool kit])</f>
        <v>0</v>
      </c>
      <c r="AP785" s="331">
        <f>IF(NFI_Expiration=1,IF($A785&lt;VLOOKUP(V$5,NFI,5,0),1,0)*Table_NFI[[#This Row],[Tent]],Table_NFI[Tent])</f>
        <v>0</v>
      </c>
      <c r="AQ785" s="473" t="str">
        <f>IFERROR(VLOOKUP(Table_NFI[[#This Row],[Camp Name]],CL,2,0),"")</f>
        <v>MMR001CMP041</v>
      </c>
      <c r="AR785" s="468">
        <f ca="1">IF(Table_NFI[[#This Row],[Pcode]]="","",IF(OFFSET(CampList[Opening Date],MATCH(Table_NFI[[#This Row],[Pcode]],CampList[CP_Pcode],0)-1,0,1,1)&gt;=NFI_Monitor_Date,1,0))</f>
        <v>0</v>
      </c>
      <c r="AS785" s="473" t="str">
        <f>IFERROR(VLOOKUP(Table_NFI[[#This Row],[Camp Name]],CL,3,0),"")</f>
        <v>Open</v>
      </c>
      <c r="AT785" s="294" t="str">
        <f ca="1">IF(Table_NFI[[#This Row],[Pcode]]="","",OFFSET(CampList[Priority],MATCH(Table_NFI[[#This Row],[Pcode]],CampList[CP_Pcode],0)-1,0,1,1))</f>
        <v>P1</v>
      </c>
      <c r="AU785" s="293">
        <f>IFERROR(Table_NFI[[#This Row],[Kitchen Set]]/VLOOKUP(Table_NFI[[#This Row],[Camp Name]],CL,4,0),"")</f>
        <v>0</v>
      </c>
      <c r="AV785" s="466" t="s">
        <v>1092</v>
      </c>
      <c r="AW785" s="469"/>
    </row>
    <row r="786" spans="1:49" x14ac:dyDescent="0.25">
      <c r="A786" s="297">
        <f t="shared" si="12"/>
        <v>45.666666666666664</v>
      </c>
      <c r="B786" s="465">
        <v>41305</v>
      </c>
      <c r="C786" s="466" t="s">
        <v>569</v>
      </c>
      <c r="D786" s="467" t="s">
        <v>569</v>
      </c>
      <c r="E786" s="466" t="s">
        <v>380</v>
      </c>
      <c r="F786" s="290" t="s">
        <v>310</v>
      </c>
      <c r="G786" s="290" t="s">
        <v>349</v>
      </c>
      <c r="H786" s="291"/>
      <c r="I786" s="291"/>
      <c r="J786" s="291"/>
      <c r="K786" s="291"/>
      <c r="L786" s="292"/>
      <c r="M786" s="292">
        <v>122</v>
      </c>
      <c r="N786" s="292"/>
      <c r="O786" s="292"/>
      <c r="P786" s="294">
        <v>0</v>
      </c>
      <c r="Q786" s="294">
        <v>0</v>
      </c>
      <c r="R786" s="294"/>
      <c r="S786" s="294"/>
      <c r="T786" s="294"/>
      <c r="U786" s="294"/>
      <c r="V786" s="431"/>
      <c r="W786" s="294"/>
      <c r="X786" s="294"/>
      <c r="Y786" s="294">
        <f>IF(NFI_Expiration=1,IF($A786&lt;VLOOKUP(H$5,NFI,5,0),1,0)*Table_NFI[[#This Row],[Hygiene Kit]],Table_NFI[Hygiene Kit])</f>
        <v>0</v>
      </c>
      <c r="Z786" s="294">
        <f>IF(NFI_Expiration=1,IF($A786&lt;VLOOKUP(I$5,NFI,5,0),1,0)*Table_NFI[[#This Row],[NFI Core Kit]],Table_NFI[NFI Core Kit])</f>
        <v>0</v>
      </c>
      <c r="AA786" s="294">
        <f>IF(NFI_Expiration=1,IF($A786&lt;VLOOKUP(J$5,NFI,5,0),1,0)*Table_NFI[[#This Row],[Sanitary Kit]],Table_NFI[Sanitary Kit])</f>
        <v>0</v>
      </c>
      <c r="AB786" s="294">
        <f>IF(NFI_Expiration=1,IF($A786&lt;VLOOKUP(K$5,NFI,5,0),1,0)*Table_NFI[[#This Row],[Mosquito net]],Table_NFI[Mosquito net])</f>
        <v>0</v>
      </c>
      <c r="AC786" s="294">
        <f>IF(NFI_Expiration=1,IF($A786&lt;VLOOKUP(L$5,NFI,5,0),1,0)*Table_NFI[[#This Row],[Tarpaulin]],Table_NFI[[#This Row],[Tarpaulin]])</f>
        <v>0</v>
      </c>
      <c r="AD786" s="294">
        <f>IF(NFI_Expiration=1,IF($A786&lt;VLOOKUP(M$5,NFI,5,0),1,0)*Table_NFI[[#This Row],[Blanket]],Table_NFI[[#This Row],[Blanket]])</f>
        <v>0</v>
      </c>
      <c r="AE786" s="294">
        <f>IF(NFI_Expiration=1,IF($A786&lt;VLOOKUP(N$5,NFI,5,0),1,0)*Table_NFI[[#This Row],[Kitchen Set]],Table_NFI[Kitchen Set])</f>
        <v>0</v>
      </c>
      <c r="AF786" s="294">
        <f>IF(NFI_Expiration=1,IF($A786&lt;VLOOKUP(O$5,NFI,5,0),1,0)*Table_NFI[[#This Row],[Clothes Kit]],Table_NFI[Clothes Kit])</f>
        <v>0</v>
      </c>
      <c r="AG786" s="294">
        <f>IF(NFI_Expiration=1,IF($A786&lt;VLOOKUP(P$5,NFI,5,0),1,0)*Table_NFI[[#This Row],[Plastic Bucket]],Table_NFI[Plastic Bucket])</f>
        <v>0</v>
      </c>
      <c r="AH786" s="294">
        <f>IF(NFI_Expiration=1,IF($A786&lt;VLOOKUP(Q$5,NFI,5,0),1,0)*Table_NFI[[#This Row],[Plastic Mat]],Table_NFI[Plastic Mat])*IF(Table_NFI[[#This Row],[Distribution Date]]&gt;"2014-04-01",1,2.5)</f>
        <v>0</v>
      </c>
      <c r="AI786" s="294">
        <f>IF(NFI_Expiration=1,IF($A786&lt;VLOOKUP(R$5,NFI,5,0),1,0)*Table_NFI[[#This Row],[Winter Clothes Adult]],Table_NFI[Winter Clothes Adult])</f>
        <v>0</v>
      </c>
      <c r="AJ786" s="294">
        <f>IF(NFI_Expiration=1,IF($A786&lt;VLOOKUP(S$5,NFI,5,0),1,0)*Table_NFI[[#This Row],[Winter Clothes Children]],Table_NFI[Winter Clothes Children])</f>
        <v>0</v>
      </c>
      <c r="AK786" s="294">
        <f>IF(NFI_Expiration=1,IF($A786&lt;VLOOKUP(T$5,NFI,5,0),1,0)*Table_NFI[[#This Row],[Winter Items Other]],Table_NFI[Winter Items Other])</f>
        <v>0</v>
      </c>
      <c r="AL786" s="294">
        <f>IF(NFI_Expiration=1,IF($A786&lt;VLOOKUP(M$5,NFI,5,0),1,0)*Table_NFI[[#This Row],[Winter Blanket]],Table_NFI[[#This Row],[Winter Blanket]])</f>
        <v>0</v>
      </c>
      <c r="AM786" s="294">
        <f>IF(Table_NFI[[#This Row],[Winter Clothes Adult]]+Table_NFI[[#This Row],[Winter Clothes Children]]+Table_NFI[[#This Row],[Winter Items Other]]+Table_NFI[[#This Row],[Winter Blanket]]&gt;0,1,0)</f>
        <v>0</v>
      </c>
      <c r="AN786" s="331">
        <f>IF(NFI_Expiration=1,IF($A786&lt;VLOOKUP(V$5,NFI,5,0),1,0)*Table_NFI[[#This Row],[Jerry Can]],Table_NFI[Jerry Can])</f>
        <v>0</v>
      </c>
      <c r="AO786" s="331">
        <f>IF(NFI_Expiration=1,IF($A786&lt;VLOOKUP(V$5,NFI,5,0),1,0)*Table_NFI[[#This Row],[Shelter Tool kit]],Table_NFI[Shelter Tool kit])</f>
        <v>0</v>
      </c>
      <c r="AP786" s="331">
        <f>IF(NFI_Expiration=1,IF($A786&lt;VLOOKUP(V$5,NFI,5,0),1,0)*Table_NFI[[#This Row],[Tent]],Table_NFI[Tent])</f>
        <v>0</v>
      </c>
      <c r="AQ786" s="473" t="str">
        <f>IFERROR(VLOOKUP(Table_NFI[[#This Row],[Camp Name]],CL,2,0),"")</f>
        <v>MMR001CMP037</v>
      </c>
      <c r="AR786" s="468">
        <f ca="1">IF(Table_NFI[[#This Row],[Pcode]]="","",IF(OFFSET(CampList[Opening Date],MATCH(Table_NFI[[#This Row],[Pcode]],CampList[CP_Pcode],0)-1,0,1,1)&gt;=NFI_Monitor_Date,1,0))</f>
        <v>0</v>
      </c>
      <c r="AS786" s="473" t="str">
        <f>IFERROR(VLOOKUP(Table_NFI[[#This Row],[Camp Name]],CL,3,0),"")</f>
        <v>Open</v>
      </c>
      <c r="AT786" s="294" t="str">
        <f ca="1">IF(Table_NFI[[#This Row],[Pcode]]="","",OFFSET(CampList[Priority],MATCH(Table_NFI[[#This Row],[Pcode]],CampList[CP_Pcode],0)-1,0,1,1))</f>
        <v>P4</v>
      </c>
      <c r="AU786" s="293">
        <f>IFERROR(Table_NFI[[#This Row],[Kitchen Set]]/VLOOKUP(Table_NFI[[#This Row],[Camp Name]],CL,4,0),"")</f>
        <v>0</v>
      </c>
      <c r="AV786" s="466" t="s">
        <v>1092</v>
      </c>
      <c r="AW786" s="469"/>
    </row>
    <row r="787" spans="1:49" x14ac:dyDescent="0.25">
      <c r="A787" s="297">
        <f t="shared" si="12"/>
        <v>45.666666666666664</v>
      </c>
      <c r="B787" s="465">
        <v>41305</v>
      </c>
      <c r="C787" s="466" t="s">
        <v>569</v>
      </c>
      <c r="D787" s="467" t="s">
        <v>569</v>
      </c>
      <c r="E787" s="466" t="s">
        <v>380</v>
      </c>
      <c r="F787" s="290" t="s">
        <v>310</v>
      </c>
      <c r="G787" s="290" t="s">
        <v>316</v>
      </c>
      <c r="H787" s="291"/>
      <c r="I787" s="291"/>
      <c r="J787" s="291"/>
      <c r="K787" s="291"/>
      <c r="L787" s="292"/>
      <c r="M787" s="292">
        <v>104</v>
      </c>
      <c r="N787" s="292"/>
      <c r="O787" s="292"/>
      <c r="P787" s="294">
        <v>0</v>
      </c>
      <c r="Q787" s="294">
        <v>0</v>
      </c>
      <c r="R787" s="294"/>
      <c r="S787" s="294"/>
      <c r="T787" s="294"/>
      <c r="U787" s="294"/>
      <c r="V787" s="431"/>
      <c r="W787" s="294"/>
      <c r="X787" s="294"/>
      <c r="Y787" s="294">
        <f>IF(NFI_Expiration=1,IF($A787&lt;VLOOKUP(H$5,NFI,5,0),1,0)*Table_NFI[[#This Row],[Hygiene Kit]],Table_NFI[Hygiene Kit])</f>
        <v>0</v>
      </c>
      <c r="Z787" s="294">
        <f>IF(NFI_Expiration=1,IF($A787&lt;VLOOKUP(I$5,NFI,5,0),1,0)*Table_NFI[[#This Row],[NFI Core Kit]],Table_NFI[NFI Core Kit])</f>
        <v>0</v>
      </c>
      <c r="AA787" s="294">
        <f>IF(NFI_Expiration=1,IF($A787&lt;VLOOKUP(J$5,NFI,5,0),1,0)*Table_NFI[[#This Row],[Sanitary Kit]],Table_NFI[Sanitary Kit])</f>
        <v>0</v>
      </c>
      <c r="AB787" s="294">
        <f>IF(NFI_Expiration=1,IF($A787&lt;VLOOKUP(K$5,NFI,5,0),1,0)*Table_NFI[[#This Row],[Mosquito net]],Table_NFI[Mosquito net])</f>
        <v>0</v>
      </c>
      <c r="AC787" s="294">
        <f>IF(NFI_Expiration=1,IF($A787&lt;VLOOKUP(L$5,NFI,5,0),1,0)*Table_NFI[[#This Row],[Tarpaulin]],Table_NFI[[#This Row],[Tarpaulin]])</f>
        <v>0</v>
      </c>
      <c r="AD787" s="294">
        <f>IF(NFI_Expiration=1,IF($A787&lt;VLOOKUP(M$5,NFI,5,0),1,0)*Table_NFI[[#This Row],[Blanket]],Table_NFI[[#This Row],[Blanket]])</f>
        <v>0</v>
      </c>
      <c r="AE787" s="294">
        <f>IF(NFI_Expiration=1,IF($A787&lt;VLOOKUP(N$5,NFI,5,0),1,0)*Table_NFI[[#This Row],[Kitchen Set]],Table_NFI[Kitchen Set])</f>
        <v>0</v>
      </c>
      <c r="AF787" s="294">
        <f>IF(NFI_Expiration=1,IF($A787&lt;VLOOKUP(O$5,NFI,5,0),1,0)*Table_NFI[[#This Row],[Clothes Kit]],Table_NFI[Clothes Kit])</f>
        <v>0</v>
      </c>
      <c r="AG787" s="294">
        <f>IF(NFI_Expiration=1,IF($A787&lt;VLOOKUP(P$5,NFI,5,0),1,0)*Table_NFI[[#This Row],[Plastic Bucket]],Table_NFI[Plastic Bucket])</f>
        <v>0</v>
      </c>
      <c r="AH787" s="294">
        <f>IF(NFI_Expiration=1,IF($A787&lt;VLOOKUP(Q$5,NFI,5,0),1,0)*Table_NFI[[#This Row],[Plastic Mat]],Table_NFI[Plastic Mat])*IF(Table_NFI[[#This Row],[Distribution Date]]&gt;"2014-04-01",1,2.5)</f>
        <v>0</v>
      </c>
      <c r="AI787" s="294">
        <f>IF(NFI_Expiration=1,IF($A787&lt;VLOOKUP(R$5,NFI,5,0),1,0)*Table_NFI[[#This Row],[Winter Clothes Adult]],Table_NFI[Winter Clothes Adult])</f>
        <v>0</v>
      </c>
      <c r="AJ787" s="294">
        <f>IF(NFI_Expiration=1,IF($A787&lt;VLOOKUP(S$5,NFI,5,0),1,0)*Table_NFI[[#This Row],[Winter Clothes Children]],Table_NFI[Winter Clothes Children])</f>
        <v>0</v>
      </c>
      <c r="AK787" s="294">
        <f>IF(NFI_Expiration=1,IF($A787&lt;VLOOKUP(T$5,NFI,5,0),1,0)*Table_NFI[[#This Row],[Winter Items Other]],Table_NFI[Winter Items Other])</f>
        <v>0</v>
      </c>
      <c r="AL787" s="294">
        <f>IF(NFI_Expiration=1,IF($A787&lt;VLOOKUP(M$5,NFI,5,0),1,0)*Table_NFI[[#This Row],[Winter Blanket]],Table_NFI[[#This Row],[Winter Blanket]])</f>
        <v>0</v>
      </c>
      <c r="AM787" s="294">
        <f>IF(Table_NFI[[#This Row],[Winter Clothes Adult]]+Table_NFI[[#This Row],[Winter Clothes Children]]+Table_NFI[[#This Row],[Winter Items Other]]+Table_NFI[[#This Row],[Winter Blanket]]&gt;0,1,0)</f>
        <v>0</v>
      </c>
      <c r="AN787" s="331">
        <f>IF(NFI_Expiration=1,IF($A787&lt;VLOOKUP(V$5,NFI,5,0),1,0)*Table_NFI[[#This Row],[Jerry Can]],Table_NFI[Jerry Can])</f>
        <v>0</v>
      </c>
      <c r="AO787" s="331">
        <f>IF(NFI_Expiration=1,IF($A787&lt;VLOOKUP(V$5,NFI,5,0),1,0)*Table_NFI[[#This Row],[Shelter Tool kit]],Table_NFI[Shelter Tool kit])</f>
        <v>0</v>
      </c>
      <c r="AP787" s="331">
        <f>IF(NFI_Expiration=1,IF($A787&lt;VLOOKUP(V$5,NFI,5,0),1,0)*Table_NFI[[#This Row],[Tent]],Table_NFI[Tent])</f>
        <v>0</v>
      </c>
      <c r="AQ787" s="473" t="str">
        <f>IFERROR(VLOOKUP(Table_NFI[[#This Row],[Camp Name]],CL,2,0),"")</f>
        <v>MMR001CMP038</v>
      </c>
      <c r="AR787" s="468">
        <f ca="1">IF(Table_NFI[[#This Row],[Pcode]]="","",IF(OFFSET(CampList[Opening Date],MATCH(Table_NFI[[#This Row],[Pcode]],CampList[CP_Pcode],0)-1,0,1,1)&gt;=NFI_Monitor_Date,1,0))</f>
        <v>0</v>
      </c>
      <c r="AS787" s="473" t="str">
        <f>IFERROR(VLOOKUP(Table_NFI[[#This Row],[Camp Name]],CL,3,0),"")</f>
        <v>Open</v>
      </c>
      <c r="AT787" s="294" t="str">
        <f ca="1">IF(Table_NFI[[#This Row],[Pcode]]="","",OFFSET(CampList[Priority],MATCH(Table_NFI[[#This Row],[Pcode]],CampList[CP_Pcode],0)-1,0,1,1))</f>
        <v>P4</v>
      </c>
      <c r="AU787" s="293">
        <f>IFERROR(Table_NFI[[#This Row],[Kitchen Set]]/VLOOKUP(Table_NFI[[#This Row],[Camp Name]],CL,4,0),"")</f>
        <v>0</v>
      </c>
      <c r="AV787" s="466" t="s">
        <v>1092</v>
      </c>
      <c r="AW787" s="469"/>
    </row>
    <row r="788" spans="1:49" ht="14.45" customHeight="1" x14ac:dyDescent="0.25">
      <c r="A788" s="297">
        <f t="shared" si="12"/>
        <v>45.666666666666664</v>
      </c>
      <c r="B788" s="465">
        <v>41305</v>
      </c>
      <c r="C788" s="466" t="s">
        <v>569</v>
      </c>
      <c r="D788" s="467" t="s">
        <v>569</v>
      </c>
      <c r="E788" s="466" t="s">
        <v>380</v>
      </c>
      <c r="F788" s="466" t="s">
        <v>310</v>
      </c>
      <c r="G788" s="290" t="s">
        <v>311</v>
      </c>
      <c r="H788" s="291"/>
      <c r="I788" s="291"/>
      <c r="J788" s="291"/>
      <c r="K788" s="291"/>
      <c r="L788" s="292"/>
      <c r="M788" s="292">
        <v>224</v>
      </c>
      <c r="N788" s="292"/>
      <c r="O788" s="292"/>
      <c r="P788" s="294">
        <v>0</v>
      </c>
      <c r="Q788" s="294">
        <v>0</v>
      </c>
      <c r="R788" s="294"/>
      <c r="S788" s="294"/>
      <c r="T788" s="294"/>
      <c r="U788" s="294"/>
      <c r="V788" s="431"/>
      <c r="W788" s="294"/>
      <c r="X788" s="294"/>
      <c r="Y788" s="294">
        <f>IF(NFI_Expiration=1,IF($A788&lt;VLOOKUP(H$5,NFI,5,0),1,0)*Table_NFI[[#This Row],[Hygiene Kit]],Table_NFI[Hygiene Kit])</f>
        <v>0</v>
      </c>
      <c r="Z788" s="294">
        <f>IF(NFI_Expiration=1,IF($A788&lt;VLOOKUP(I$5,NFI,5,0),1,0)*Table_NFI[[#This Row],[NFI Core Kit]],Table_NFI[NFI Core Kit])</f>
        <v>0</v>
      </c>
      <c r="AA788" s="294">
        <f>IF(NFI_Expiration=1,IF($A788&lt;VLOOKUP(J$5,NFI,5,0),1,0)*Table_NFI[[#This Row],[Sanitary Kit]],Table_NFI[Sanitary Kit])</f>
        <v>0</v>
      </c>
      <c r="AB788" s="294">
        <f>IF(NFI_Expiration=1,IF($A788&lt;VLOOKUP(K$5,NFI,5,0),1,0)*Table_NFI[[#This Row],[Mosquito net]],Table_NFI[Mosquito net])</f>
        <v>0</v>
      </c>
      <c r="AC788" s="294">
        <f>IF(NFI_Expiration=1,IF($A788&lt;VLOOKUP(L$5,NFI,5,0),1,0)*Table_NFI[[#This Row],[Tarpaulin]],Table_NFI[[#This Row],[Tarpaulin]])</f>
        <v>0</v>
      </c>
      <c r="AD788" s="294">
        <f>IF(NFI_Expiration=1,IF($A788&lt;VLOOKUP(M$5,NFI,5,0),1,0)*Table_NFI[[#This Row],[Blanket]],Table_NFI[[#This Row],[Blanket]])</f>
        <v>0</v>
      </c>
      <c r="AE788" s="294">
        <f>IF(NFI_Expiration=1,IF($A788&lt;VLOOKUP(N$5,NFI,5,0),1,0)*Table_NFI[[#This Row],[Kitchen Set]],Table_NFI[Kitchen Set])</f>
        <v>0</v>
      </c>
      <c r="AF788" s="294">
        <f>IF(NFI_Expiration=1,IF($A788&lt;VLOOKUP(O$5,NFI,5,0),1,0)*Table_NFI[[#This Row],[Clothes Kit]],Table_NFI[Clothes Kit])</f>
        <v>0</v>
      </c>
      <c r="AG788" s="294">
        <f>IF(NFI_Expiration=1,IF($A788&lt;VLOOKUP(P$5,NFI,5,0),1,0)*Table_NFI[[#This Row],[Plastic Bucket]],Table_NFI[Plastic Bucket])</f>
        <v>0</v>
      </c>
      <c r="AH788" s="294">
        <f>IF(NFI_Expiration=1,IF($A788&lt;VLOOKUP(Q$5,NFI,5,0),1,0)*Table_NFI[[#This Row],[Plastic Mat]],Table_NFI[Plastic Mat])*IF(Table_NFI[[#This Row],[Distribution Date]]&gt;"2014-04-01",1,2.5)</f>
        <v>0</v>
      </c>
      <c r="AI788" s="294">
        <f>IF(NFI_Expiration=1,IF($A788&lt;VLOOKUP(R$5,NFI,5,0),1,0)*Table_NFI[[#This Row],[Winter Clothes Adult]],Table_NFI[Winter Clothes Adult])</f>
        <v>0</v>
      </c>
      <c r="AJ788" s="294">
        <f>IF(NFI_Expiration=1,IF($A788&lt;VLOOKUP(S$5,NFI,5,0),1,0)*Table_NFI[[#This Row],[Winter Clothes Children]],Table_NFI[Winter Clothes Children])</f>
        <v>0</v>
      </c>
      <c r="AK788" s="294">
        <f>IF(NFI_Expiration=1,IF($A788&lt;VLOOKUP(T$5,NFI,5,0),1,0)*Table_NFI[[#This Row],[Winter Items Other]],Table_NFI[Winter Items Other])</f>
        <v>0</v>
      </c>
      <c r="AL788" s="294">
        <f>IF(NFI_Expiration=1,IF($A788&lt;VLOOKUP(M$5,NFI,5,0),1,0)*Table_NFI[[#This Row],[Winter Blanket]],Table_NFI[[#This Row],[Winter Blanket]])</f>
        <v>0</v>
      </c>
      <c r="AM788" s="294">
        <f>IF(Table_NFI[[#This Row],[Winter Clothes Adult]]+Table_NFI[[#This Row],[Winter Clothes Children]]+Table_NFI[[#This Row],[Winter Items Other]]+Table_NFI[[#This Row],[Winter Blanket]]&gt;0,1,0)</f>
        <v>0</v>
      </c>
      <c r="AN788" s="331">
        <f>IF(NFI_Expiration=1,IF($A788&lt;VLOOKUP(V$5,NFI,5,0),1,0)*Table_NFI[[#This Row],[Jerry Can]],Table_NFI[Jerry Can])</f>
        <v>0</v>
      </c>
      <c r="AO788" s="331">
        <f>IF(NFI_Expiration=1,IF($A788&lt;VLOOKUP(V$5,NFI,5,0),1,0)*Table_NFI[[#This Row],[Shelter Tool kit]],Table_NFI[Shelter Tool kit])</f>
        <v>0</v>
      </c>
      <c r="AP788" s="331">
        <f>IF(NFI_Expiration=1,IF($A788&lt;VLOOKUP(V$5,NFI,5,0),1,0)*Table_NFI[[#This Row],[Tent]],Table_NFI[Tent])</f>
        <v>0</v>
      </c>
      <c r="AQ788" s="473" t="str">
        <f>IFERROR(VLOOKUP(Table_NFI[[#This Row],[Camp Name]],CL,2,0),"")</f>
        <v>MMR001CMP036</v>
      </c>
      <c r="AR788" s="468">
        <f ca="1">IF(Table_NFI[[#This Row],[Pcode]]="","",IF(OFFSET(CampList[Opening Date],MATCH(Table_NFI[[#This Row],[Pcode]],CampList[CP_Pcode],0)-1,0,1,1)&gt;=NFI_Monitor_Date,1,0))</f>
        <v>0</v>
      </c>
      <c r="AS788" s="473" t="str">
        <f>IFERROR(VLOOKUP(Table_NFI[[#This Row],[Camp Name]],CL,3,0),"")</f>
        <v>Closed</v>
      </c>
      <c r="AT788" s="294" t="str">
        <f ca="1">IF(Table_NFI[[#This Row],[Pcode]]="","",OFFSET(CampList[Priority],MATCH(Table_NFI[[#This Row],[Pcode]],CampList[CP_Pcode],0)-1,0,1,1))</f>
        <v>P4</v>
      </c>
      <c r="AU788" s="293" t="str">
        <f>IFERROR(Table_NFI[[#This Row],[Kitchen Set]]/VLOOKUP(Table_NFI[[#This Row],[Camp Name]],CL,4,0),"")</f>
        <v/>
      </c>
      <c r="AV788" s="466" t="s">
        <v>1092</v>
      </c>
      <c r="AW788" s="469"/>
    </row>
    <row r="789" spans="1:49" ht="14.45" customHeight="1" x14ac:dyDescent="0.25">
      <c r="A789" s="297">
        <f t="shared" si="12"/>
        <v>45.7</v>
      </c>
      <c r="B789" s="465">
        <v>41304</v>
      </c>
      <c r="C789" s="466" t="s">
        <v>905</v>
      </c>
      <c r="D789" s="466" t="s">
        <v>1002</v>
      </c>
      <c r="E789" s="466" t="s">
        <v>380</v>
      </c>
      <c r="F789" s="290" t="s">
        <v>302</v>
      </c>
      <c r="G789" s="290" t="s">
        <v>306</v>
      </c>
      <c r="H789" s="291">
        <v>272</v>
      </c>
      <c r="I789" s="291"/>
      <c r="J789" s="291"/>
      <c r="K789" s="291"/>
      <c r="L789" s="292"/>
      <c r="M789" s="292"/>
      <c r="N789" s="292"/>
      <c r="O789" s="292"/>
      <c r="P789" s="294">
        <v>0</v>
      </c>
      <c r="Q789" s="294">
        <v>0</v>
      </c>
      <c r="R789" s="294"/>
      <c r="S789" s="294"/>
      <c r="T789" s="294"/>
      <c r="U789" s="294"/>
      <c r="V789" s="431"/>
      <c r="W789" s="294"/>
      <c r="X789" s="294"/>
      <c r="Y789" s="294">
        <f>IF(NFI_Expiration=1,IF($A789&lt;VLOOKUP(H$5,NFI,5,0),1,0)*Table_NFI[[#This Row],[Hygiene Kit]],Table_NFI[Hygiene Kit])</f>
        <v>0</v>
      </c>
      <c r="Z789" s="294">
        <f>IF(NFI_Expiration=1,IF($A789&lt;VLOOKUP(I$5,NFI,5,0),1,0)*Table_NFI[[#This Row],[NFI Core Kit]],Table_NFI[NFI Core Kit])</f>
        <v>0</v>
      </c>
      <c r="AA789" s="294">
        <f>IF(NFI_Expiration=1,IF($A789&lt;VLOOKUP(J$5,NFI,5,0),1,0)*Table_NFI[[#This Row],[Sanitary Kit]],Table_NFI[Sanitary Kit])</f>
        <v>0</v>
      </c>
      <c r="AB789" s="294">
        <f>IF(NFI_Expiration=1,IF($A789&lt;VLOOKUP(K$5,NFI,5,0),1,0)*Table_NFI[[#This Row],[Mosquito net]],Table_NFI[Mosquito net])</f>
        <v>0</v>
      </c>
      <c r="AC789" s="294">
        <f>IF(NFI_Expiration=1,IF($A789&lt;VLOOKUP(L$5,NFI,5,0),1,0)*Table_NFI[[#This Row],[Tarpaulin]],Table_NFI[[#This Row],[Tarpaulin]])</f>
        <v>0</v>
      </c>
      <c r="AD789" s="294">
        <f>IF(NFI_Expiration=1,IF($A789&lt;VLOOKUP(M$5,NFI,5,0),1,0)*Table_NFI[[#This Row],[Blanket]],Table_NFI[[#This Row],[Blanket]])</f>
        <v>0</v>
      </c>
      <c r="AE789" s="294">
        <f>IF(NFI_Expiration=1,IF($A789&lt;VLOOKUP(N$5,NFI,5,0),1,0)*Table_NFI[[#This Row],[Kitchen Set]],Table_NFI[Kitchen Set])</f>
        <v>0</v>
      </c>
      <c r="AF789" s="294">
        <f>IF(NFI_Expiration=1,IF($A789&lt;VLOOKUP(O$5,NFI,5,0),1,0)*Table_NFI[[#This Row],[Clothes Kit]],Table_NFI[Clothes Kit])</f>
        <v>0</v>
      </c>
      <c r="AG789" s="294">
        <f>IF(NFI_Expiration=1,IF($A789&lt;VLOOKUP(P$5,NFI,5,0),1,0)*Table_NFI[[#This Row],[Plastic Bucket]],Table_NFI[Plastic Bucket])</f>
        <v>0</v>
      </c>
      <c r="AH789" s="294">
        <f>IF(NFI_Expiration=1,IF($A789&lt;VLOOKUP(Q$5,NFI,5,0),1,0)*Table_NFI[[#This Row],[Plastic Mat]],Table_NFI[Plastic Mat])*IF(Table_NFI[[#This Row],[Distribution Date]]&gt;"2014-04-01",1,2.5)</f>
        <v>0</v>
      </c>
      <c r="AI789" s="294">
        <f>IF(NFI_Expiration=1,IF($A789&lt;VLOOKUP(R$5,NFI,5,0),1,0)*Table_NFI[[#This Row],[Winter Clothes Adult]],Table_NFI[Winter Clothes Adult])</f>
        <v>0</v>
      </c>
      <c r="AJ789" s="294">
        <f>IF(NFI_Expiration=1,IF($A789&lt;VLOOKUP(S$5,NFI,5,0),1,0)*Table_NFI[[#This Row],[Winter Clothes Children]],Table_NFI[Winter Clothes Children])</f>
        <v>0</v>
      </c>
      <c r="AK789" s="294">
        <f>IF(NFI_Expiration=1,IF($A789&lt;VLOOKUP(T$5,NFI,5,0),1,0)*Table_NFI[[#This Row],[Winter Items Other]],Table_NFI[Winter Items Other])</f>
        <v>0</v>
      </c>
      <c r="AL789" s="294">
        <f>IF(NFI_Expiration=1,IF($A789&lt;VLOOKUP(M$5,NFI,5,0),1,0)*Table_NFI[[#This Row],[Winter Blanket]],Table_NFI[[#This Row],[Winter Blanket]])</f>
        <v>0</v>
      </c>
      <c r="AM789" s="294">
        <f>IF(Table_NFI[[#This Row],[Winter Clothes Adult]]+Table_NFI[[#This Row],[Winter Clothes Children]]+Table_NFI[[#This Row],[Winter Items Other]]+Table_NFI[[#This Row],[Winter Blanket]]&gt;0,1,0)</f>
        <v>0</v>
      </c>
      <c r="AN789" s="331">
        <f>IF(NFI_Expiration=1,IF($A789&lt;VLOOKUP(V$5,NFI,5,0),1,0)*Table_NFI[[#This Row],[Jerry Can]],Table_NFI[Jerry Can])</f>
        <v>0</v>
      </c>
      <c r="AO789" s="331">
        <f>IF(NFI_Expiration=1,IF($A789&lt;VLOOKUP(V$5,NFI,5,0),1,0)*Table_NFI[[#This Row],[Shelter Tool kit]],Table_NFI[Shelter Tool kit])</f>
        <v>0</v>
      </c>
      <c r="AP789" s="331">
        <f>IF(NFI_Expiration=1,IF($A789&lt;VLOOKUP(V$5,NFI,5,0),1,0)*Table_NFI[[#This Row],[Tent]],Table_NFI[Tent])</f>
        <v>0</v>
      </c>
      <c r="AQ789" s="473" t="str">
        <f>IFERROR(VLOOKUP(Table_NFI[[#This Row],[Camp Name]],CL,2,0),"")</f>
        <v>MMR001CMP067</v>
      </c>
      <c r="AR789" s="468">
        <f ca="1">IF(Table_NFI[[#This Row],[Pcode]]="","",IF(OFFSET(CampList[Opening Date],MATCH(Table_NFI[[#This Row],[Pcode]],CampList[CP_Pcode],0)-1,0,1,1)&gt;=NFI_Monitor_Date,1,0))</f>
        <v>0</v>
      </c>
      <c r="AS789" s="473" t="str">
        <f>IFERROR(VLOOKUP(Table_NFI[[#This Row],[Camp Name]],CL,3,0),"")</f>
        <v>Open</v>
      </c>
      <c r="AT789" s="294" t="str">
        <f ca="1">IF(Table_NFI[[#This Row],[Pcode]]="","",OFFSET(CampList[Priority],MATCH(Table_NFI[[#This Row],[Pcode]],CampList[CP_Pcode],0)-1,0,1,1))</f>
        <v>P4</v>
      </c>
      <c r="AU789" s="293">
        <f>IFERROR(Table_NFI[[#This Row],[Kitchen Set]]/VLOOKUP(Table_NFI[[#This Row],[Camp Name]],CL,4,0),"")</f>
        <v>0</v>
      </c>
      <c r="AV789" s="466" t="s">
        <v>1092</v>
      </c>
      <c r="AW789" s="469"/>
    </row>
    <row r="790" spans="1:49" ht="14.45" customHeight="1" x14ac:dyDescent="0.25">
      <c r="A790" s="297">
        <f t="shared" si="12"/>
        <v>45.733333333333334</v>
      </c>
      <c r="B790" s="465">
        <v>41303</v>
      </c>
      <c r="C790" s="466" t="s">
        <v>905</v>
      </c>
      <c r="D790" s="467" t="s">
        <v>1002</v>
      </c>
      <c r="E790" s="466" t="s">
        <v>380</v>
      </c>
      <c r="F790" s="290" t="s">
        <v>302</v>
      </c>
      <c r="G790" s="290" t="s">
        <v>308</v>
      </c>
      <c r="H790" s="291">
        <v>177</v>
      </c>
      <c r="I790" s="291"/>
      <c r="J790" s="291"/>
      <c r="K790" s="291"/>
      <c r="L790" s="292"/>
      <c r="M790" s="292"/>
      <c r="N790" s="292"/>
      <c r="O790" s="292"/>
      <c r="P790" s="294">
        <v>0</v>
      </c>
      <c r="Q790" s="294">
        <v>0</v>
      </c>
      <c r="R790" s="294"/>
      <c r="S790" s="294"/>
      <c r="T790" s="294"/>
      <c r="U790" s="294"/>
      <c r="V790" s="431"/>
      <c r="W790" s="294"/>
      <c r="X790" s="294"/>
      <c r="Y790" s="294">
        <f>IF(NFI_Expiration=1,IF($A790&lt;VLOOKUP(H$5,NFI,5,0),1,0)*Table_NFI[[#This Row],[Hygiene Kit]],Table_NFI[Hygiene Kit])</f>
        <v>0</v>
      </c>
      <c r="Z790" s="294">
        <f>IF(NFI_Expiration=1,IF($A790&lt;VLOOKUP(I$5,NFI,5,0),1,0)*Table_NFI[[#This Row],[NFI Core Kit]],Table_NFI[NFI Core Kit])</f>
        <v>0</v>
      </c>
      <c r="AA790" s="294">
        <f>IF(NFI_Expiration=1,IF($A790&lt;VLOOKUP(J$5,NFI,5,0),1,0)*Table_NFI[[#This Row],[Sanitary Kit]],Table_NFI[Sanitary Kit])</f>
        <v>0</v>
      </c>
      <c r="AB790" s="294">
        <f>IF(NFI_Expiration=1,IF($A790&lt;VLOOKUP(K$5,NFI,5,0),1,0)*Table_NFI[[#This Row],[Mosquito net]],Table_NFI[Mosquito net])</f>
        <v>0</v>
      </c>
      <c r="AC790" s="294">
        <f>IF(NFI_Expiration=1,IF($A790&lt;VLOOKUP(L$5,NFI,5,0),1,0)*Table_NFI[[#This Row],[Tarpaulin]],Table_NFI[[#This Row],[Tarpaulin]])</f>
        <v>0</v>
      </c>
      <c r="AD790" s="294">
        <f>IF(NFI_Expiration=1,IF($A790&lt;VLOOKUP(M$5,NFI,5,0),1,0)*Table_NFI[[#This Row],[Blanket]],Table_NFI[[#This Row],[Blanket]])</f>
        <v>0</v>
      </c>
      <c r="AE790" s="294">
        <f>IF(NFI_Expiration=1,IF($A790&lt;VLOOKUP(N$5,NFI,5,0),1,0)*Table_NFI[[#This Row],[Kitchen Set]],Table_NFI[Kitchen Set])</f>
        <v>0</v>
      </c>
      <c r="AF790" s="294">
        <f>IF(NFI_Expiration=1,IF($A790&lt;VLOOKUP(O$5,NFI,5,0),1,0)*Table_NFI[[#This Row],[Clothes Kit]],Table_NFI[Clothes Kit])</f>
        <v>0</v>
      </c>
      <c r="AG790" s="294">
        <f>IF(NFI_Expiration=1,IF($A790&lt;VLOOKUP(P$5,NFI,5,0),1,0)*Table_NFI[[#This Row],[Plastic Bucket]],Table_NFI[Plastic Bucket])</f>
        <v>0</v>
      </c>
      <c r="AH790" s="294">
        <f>IF(NFI_Expiration=1,IF($A790&lt;VLOOKUP(Q$5,NFI,5,0),1,0)*Table_NFI[[#This Row],[Plastic Mat]],Table_NFI[Plastic Mat])*IF(Table_NFI[[#This Row],[Distribution Date]]&gt;"2014-04-01",1,2.5)</f>
        <v>0</v>
      </c>
      <c r="AI790" s="294">
        <f>IF(NFI_Expiration=1,IF($A790&lt;VLOOKUP(R$5,NFI,5,0),1,0)*Table_NFI[[#This Row],[Winter Clothes Adult]],Table_NFI[Winter Clothes Adult])</f>
        <v>0</v>
      </c>
      <c r="AJ790" s="294">
        <f>IF(NFI_Expiration=1,IF($A790&lt;VLOOKUP(S$5,NFI,5,0),1,0)*Table_NFI[[#This Row],[Winter Clothes Children]],Table_NFI[Winter Clothes Children])</f>
        <v>0</v>
      </c>
      <c r="AK790" s="294">
        <f>IF(NFI_Expiration=1,IF($A790&lt;VLOOKUP(T$5,NFI,5,0),1,0)*Table_NFI[[#This Row],[Winter Items Other]],Table_NFI[Winter Items Other])</f>
        <v>0</v>
      </c>
      <c r="AL790" s="294">
        <f>IF(NFI_Expiration=1,IF($A790&lt;VLOOKUP(M$5,NFI,5,0),1,0)*Table_NFI[[#This Row],[Winter Blanket]],Table_NFI[[#This Row],[Winter Blanket]])</f>
        <v>0</v>
      </c>
      <c r="AM790" s="294">
        <f>IF(Table_NFI[[#This Row],[Winter Clothes Adult]]+Table_NFI[[#This Row],[Winter Clothes Children]]+Table_NFI[[#This Row],[Winter Items Other]]+Table_NFI[[#This Row],[Winter Blanket]]&gt;0,1,0)</f>
        <v>0</v>
      </c>
      <c r="AN790" s="331">
        <f>IF(NFI_Expiration=1,IF($A790&lt;VLOOKUP(V$5,NFI,5,0),1,0)*Table_NFI[[#This Row],[Jerry Can]],Table_NFI[Jerry Can])</f>
        <v>0</v>
      </c>
      <c r="AO790" s="331">
        <f>IF(NFI_Expiration=1,IF($A790&lt;VLOOKUP(V$5,NFI,5,0),1,0)*Table_NFI[[#This Row],[Shelter Tool kit]],Table_NFI[Shelter Tool kit])</f>
        <v>0</v>
      </c>
      <c r="AP790" s="331">
        <f>IF(NFI_Expiration=1,IF($A790&lt;VLOOKUP(V$5,NFI,5,0),1,0)*Table_NFI[[#This Row],[Tent]],Table_NFI[Tent])</f>
        <v>0</v>
      </c>
      <c r="AQ790" s="473" t="str">
        <f>IFERROR(VLOOKUP(Table_NFI[[#This Row],[Camp Name]],CL,2,0),"")</f>
        <v>MMR001CMP068</v>
      </c>
      <c r="AR790" s="468">
        <f ca="1">IF(Table_NFI[[#This Row],[Pcode]]="","",IF(OFFSET(CampList[Opening Date],MATCH(Table_NFI[[#This Row],[Pcode]],CampList[CP_Pcode],0)-1,0,1,1)&gt;=NFI_Monitor_Date,1,0))</f>
        <v>0</v>
      </c>
      <c r="AS790" s="473" t="str">
        <f>IFERROR(VLOOKUP(Table_NFI[[#This Row],[Camp Name]],CL,3,0),"")</f>
        <v>Open</v>
      </c>
      <c r="AT790" s="294" t="str">
        <f ca="1">IF(Table_NFI[[#This Row],[Pcode]]="","",OFFSET(CampList[Priority],MATCH(Table_NFI[[#This Row],[Pcode]],CampList[CP_Pcode],0)-1,0,1,1))</f>
        <v>P4</v>
      </c>
      <c r="AU790" s="293">
        <f>IFERROR(Table_NFI[[#This Row],[Kitchen Set]]/VLOOKUP(Table_NFI[[#This Row],[Camp Name]],CL,4,0),"")</f>
        <v>0</v>
      </c>
      <c r="AV790" s="466" t="s">
        <v>1092</v>
      </c>
      <c r="AW790" s="469"/>
    </row>
    <row r="791" spans="1:49" ht="14.45" customHeight="1" x14ac:dyDescent="0.25">
      <c r="A791" s="297">
        <f t="shared" si="12"/>
        <v>45.866666666666667</v>
      </c>
      <c r="B791" s="465">
        <v>41299</v>
      </c>
      <c r="C791" s="466" t="s">
        <v>905</v>
      </c>
      <c r="D791" s="466" t="s">
        <v>905</v>
      </c>
      <c r="E791" s="466" t="s">
        <v>380</v>
      </c>
      <c r="F791" s="466" t="s">
        <v>185</v>
      </c>
      <c r="G791" s="290" t="s">
        <v>217</v>
      </c>
      <c r="H791" s="291">
        <v>75</v>
      </c>
      <c r="I791" s="291"/>
      <c r="J791" s="291"/>
      <c r="K791" s="291"/>
      <c r="L791" s="292"/>
      <c r="M791" s="292"/>
      <c r="N791" s="292"/>
      <c r="O791" s="292"/>
      <c r="P791" s="294">
        <v>0</v>
      </c>
      <c r="Q791" s="294">
        <v>0</v>
      </c>
      <c r="R791" s="294"/>
      <c r="S791" s="294"/>
      <c r="T791" s="294"/>
      <c r="U791" s="294"/>
      <c r="V791" s="431"/>
      <c r="W791" s="294"/>
      <c r="X791" s="294"/>
      <c r="Y791" s="294">
        <f>IF(NFI_Expiration=1,IF($A791&lt;VLOOKUP(H$5,NFI,5,0),1,0)*Table_NFI[[#This Row],[Hygiene Kit]],Table_NFI[Hygiene Kit])</f>
        <v>0</v>
      </c>
      <c r="Z791" s="294">
        <f>IF(NFI_Expiration=1,IF($A791&lt;VLOOKUP(I$5,NFI,5,0),1,0)*Table_NFI[[#This Row],[NFI Core Kit]],Table_NFI[NFI Core Kit])</f>
        <v>0</v>
      </c>
      <c r="AA791" s="294">
        <f>IF(NFI_Expiration=1,IF($A791&lt;VLOOKUP(J$5,NFI,5,0),1,0)*Table_NFI[[#This Row],[Sanitary Kit]],Table_NFI[Sanitary Kit])</f>
        <v>0</v>
      </c>
      <c r="AB791" s="294">
        <f>IF(NFI_Expiration=1,IF($A791&lt;VLOOKUP(K$5,NFI,5,0),1,0)*Table_NFI[[#This Row],[Mosquito net]],Table_NFI[Mosquito net])</f>
        <v>0</v>
      </c>
      <c r="AC791" s="294">
        <f>IF(NFI_Expiration=1,IF($A791&lt;VLOOKUP(L$5,NFI,5,0),1,0)*Table_NFI[[#This Row],[Tarpaulin]],Table_NFI[[#This Row],[Tarpaulin]])</f>
        <v>0</v>
      </c>
      <c r="AD791" s="294">
        <f>IF(NFI_Expiration=1,IF($A791&lt;VLOOKUP(M$5,NFI,5,0),1,0)*Table_NFI[[#This Row],[Blanket]],Table_NFI[[#This Row],[Blanket]])</f>
        <v>0</v>
      </c>
      <c r="AE791" s="294">
        <f>IF(NFI_Expiration=1,IF($A791&lt;VLOOKUP(N$5,NFI,5,0),1,0)*Table_NFI[[#This Row],[Kitchen Set]],Table_NFI[Kitchen Set])</f>
        <v>0</v>
      </c>
      <c r="AF791" s="294">
        <f>IF(NFI_Expiration=1,IF($A791&lt;VLOOKUP(O$5,NFI,5,0),1,0)*Table_NFI[[#This Row],[Clothes Kit]],Table_NFI[Clothes Kit])</f>
        <v>0</v>
      </c>
      <c r="AG791" s="294">
        <f>IF(NFI_Expiration=1,IF($A791&lt;VLOOKUP(P$5,NFI,5,0),1,0)*Table_NFI[[#This Row],[Plastic Bucket]],Table_NFI[Plastic Bucket])</f>
        <v>0</v>
      </c>
      <c r="AH791" s="294">
        <f>IF(NFI_Expiration=1,IF($A791&lt;VLOOKUP(Q$5,NFI,5,0),1,0)*Table_NFI[[#This Row],[Plastic Mat]],Table_NFI[Plastic Mat])*IF(Table_NFI[[#This Row],[Distribution Date]]&gt;"2014-04-01",1,2.5)</f>
        <v>0</v>
      </c>
      <c r="AI791" s="294">
        <f>IF(NFI_Expiration=1,IF($A791&lt;VLOOKUP(R$5,NFI,5,0),1,0)*Table_NFI[[#This Row],[Winter Clothes Adult]],Table_NFI[Winter Clothes Adult])</f>
        <v>0</v>
      </c>
      <c r="AJ791" s="294">
        <f>IF(NFI_Expiration=1,IF($A791&lt;VLOOKUP(S$5,NFI,5,0),1,0)*Table_NFI[[#This Row],[Winter Clothes Children]],Table_NFI[Winter Clothes Children])</f>
        <v>0</v>
      </c>
      <c r="AK791" s="294">
        <f>IF(NFI_Expiration=1,IF($A791&lt;VLOOKUP(T$5,NFI,5,0),1,0)*Table_NFI[[#This Row],[Winter Items Other]],Table_NFI[Winter Items Other])</f>
        <v>0</v>
      </c>
      <c r="AL791" s="294">
        <f>IF(NFI_Expiration=1,IF($A791&lt;VLOOKUP(M$5,NFI,5,0),1,0)*Table_NFI[[#This Row],[Winter Blanket]],Table_NFI[[#This Row],[Winter Blanket]])</f>
        <v>0</v>
      </c>
      <c r="AM791" s="294">
        <f>IF(Table_NFI[[#This Row],[Winter Clothes Adult]]+Table_NFI[[#This Row],[Winter Clothes Children]]+Table_NFI[[#This Row],[Winter Items Other]]+Table_NFI[[#This Row],[Winter Blanket]]&gt;0,1,0)</f>
        <v>0</v>
      </c>
      <c r="AN791" s="331">
        <f>IF(NFI_Expiration=1,IF($A791&lt;VLOOKUP(V$5,NFI,5,0),1,0)*Table_NFI[[#This Row],[Jerry Can]],Table_NFI[Jerry Can])</f>
        <v>0</v>
      </c>
      <c r="AO791" s="331">
        <f>IF(NFI_Expiration=1,IF($A791&lt;VLOOKUP(V$5,NFI,5,0),1,0)*Table_NFI[[#This Row],[Shelter Tool kit]],Table_NFI[Shelter Tool kit])</f>
        <v>0</v>
      </c>
      <c r="AP791" s="331">
        <f>IF(NFI_Expiration=1,IF($A791&lt;VLOOKUP(V$5,NFI,5,0),1,0)*Table_NFI[[#This Row],[Tent]],Table_NFI[Tent])</f>
        <v>0</v>
      </c>
      <c r="AQ791" s="473" t="str">
        <f>IFERROR(VLOOKUP(Table_NFI[[#This Row],[Camp Name]],CL,2,0),"")</f>
        <v>MMR001CMP059</v>
      </c>
      <c r="AR791" s="468">
        <f ca="1">IF(Table_NFI[[#This Row],[Pcode]]="","",IF(OFFSET(CampList[Opening Date],MATCH(Table_NFI[[#This Row],[Pcode]],CampList[CP_Pcode],0)-1,0,1,1)&gt;=NFI_Monitor_Date,1,0))</f>
        <v>0</v>
      </c>
      <c r="AS791" s="473" t="str">
        <f>IFERROR(VLOOKUP(Table_NFI[[#This Row],[Camp Name]],CL,3,0),"")</f>
        <v>Closed</v>
      </c>
      <c r="AT791" s="294" t="str">
        <f ca="1">IF(Table_NFI[[#This Row],[Pcode]]="","",OFFSET(CampList[Priority],MATCH(Table_NFI[[#This Row],[Pcode]],CampList[CP_Pcode],0)-1,0,1,1))</f>
        <v>P4</v>
      </c>
      <c r="AU791" s="293" t="str">
        <f>IFERROR(Table_NFI[[#This Row],[Kitchen Set]]/VLOOKUP(Table_NFI[[#This Row],[Camp Name]],CL,4,0),"")</f>
        <v/>
      </c>
      <c r="AV791" s="466" t="s">
        <v>1092</v>
      </c>
      <c r="AW791" s="469"/>
    </row>
    <row r="792" spans="1:49" ht="14.45" customHeight="1" x14ac:dyDescent="0.25">
      <c r="A792" s="297">
        <f t="shared" si="12"/>
        <v>45.9</v>
      </c>
      <c r="B792" s="465">
        <v>41298</v>
      </c>
      <c r="C792" s="466" t="s">
        <v>905</v>
      </c>
      <c r="D792" s="467" t="s">
        <v>905</v>
      </c>
      <c r="E792" s="466" t="s">
        <v>380</v>
      </c>
      <c r="F792" s="290" t="s">
        <v>185</v>
      </c>
      <c r="G792" s="290" t="s">
        <v>202</v>
      </c>
      <c r="H792" s="291">
        <v>200</v>
      </c>
      <c r="I792" s="291"/>
      <c r="J792" s="291"/>
      <c r="K792" s="291"/>
      <c r="L792" s="292"/>
      <c r="M792" s="292"/>
      <c r="N792" s="292"/>
      <c r="O792" s="292"/>
      <c r="P792" s="294">
        <v>0</v>
      </c>
      <c r="Q792" s="294">
        <v>0</v>
      </c>
      <c r="R792" s="294"/>
      <c r="S792" s="294"/>
      <c r="T792" s="294"/>
      <c r="U792" s="294"/>
      <c r="V792" s="431"/>
      <c r="W792" s="294"/>
      <c r="X792" s="294"/>
      <c r="Y792" s="294">
        <f>IF(NFI_Expiration=1,IF($A792&lt;VLOOKUP(H$5,NFI,5,0),1,0)*Table_NFI[[#This Row],[Hygiene Kit]],Table_NFI[Hygiene Kit])</f>
        <v>0</v>
      </c>
      <c r="Z792" s="294">
        <f>IF(NFI_Expiration=1,IF($A792&lt;VLOOKUP(I$5,NFI,5,0),1,0)*Table_NFI[[#This Row],[NFI Core Kit]],Table_NFI[NFI Core Kit])</f>
        <v>0</v>
      </c>
      <c r="AA792" s="294">
        <f>IF(NFI_Expiration=1,IF($A792&lt;VLOOKUP(J$5,NFI,5,0),1,0)*Table_NFI[[#This Row],[Sanitary Kit]],Table_NFI[Sanitary Kit])</f>
        <v>0</v>
      </c>
      <c r="AB792" s="294">
        <f>IF(NFI_Expiration=1,IF($A792&lt;VLOOKUP(K$5,NFI,5,0),1,0)*Table_NFI[[#This Row],[Mosquito net]],Table_NFI[Mosquito net])</f>
        <v>0</v>
      </c>
      <c r="AC792" s="294">
        <f>IF(NFI_Expiration=1,IF($A792&lt;VLOOKUP(L$5,NFI,5,0),1,0)*Table_NFI[[#This Row],[Tarpaulin]],Table_NFI[[#This Row],[Tarpaulin]])</f>
        <v>0</v>
      </c>
      <c r="AD792" s="294">
        <f>IF(NFI_Expiration=1,IF($A792&lt;VLOOKUP(M$5,NFI,5,0),1,0)*Table_NFI[[#This Row],[Blanket]],Table_NFI[[#This Row],[Blanket]])</f>
        <v>0</v>
      </c>
      <c r="AE792" s="294">
        <f>IF(NFI_Expiration=1,IF($A792&lt;VLOOKUP(N$5,NFI,5,0),1,0)*Table_NFI[[#This Row],[Kitchen Set]],Table_NFI[Kitchen Set])</f>
        <v>0</v>
      </c>
      <c r="AF792" s="294">
        <f>IF(NFI_Expiration=1,IF($A792&lt;VLOOKUP(O$5,NFI,5,0),1,0)*Table_NFI[[#This Row],[Clothes Kit]],Table_NFI[Clothes Kit])</f>
        <v>0</v>
      </c>
      <c r="AG792" s="294">
        <f>IF(NFI_Expiration=1,IF($A792&lt;VLOOKUP(P$5,NFI,5,0),1,0)*Table_NFI[[#This Row],[Plastic Bucket]],Table_NFI[Plastic Bucket])</f>
        <v>0</v>
      </c>
      <c r="AH792" s="294">
        <f>IF(NFI_Expiration=1,IF($A792&lt;VLOOKUP(Q$5,NFI,5,0),1,0)*Table_NFI[[#This Row],[Plastic Mat]],Table_NFI[Plastic Mat])*IF(Table_NFI[[#This Row],[Distribution Date]]&gt;"2014-04-01",1,2.5)</f>
        <v>0</v>
      </c>
      <c r="AI792" s="294">
        <f>IF(NFI_Expiration=1,IF($A792&lt;VLOOKUP(R$5,NFI,5,0),1,0)*Table_NFI[[#This Row],[Winter Clothes Adult]],Table_NFI[Winter Clothes Adult])</f>
        <v>0</v>
      </c>
      <c r="AJ792" s="294">
        <f>IF(NFI_Expiration=1,IF($A792&lt;VLOOKUP(S$5,NFI,5,0),1,0)*Table_NFI[[#This Row],[Winter Clothes Children]],Table_NFI[Winter Clothes Children])</f>
        <v>0</v>
      </c>
      <c r="AK792" s="294">
        <f>IF(NFI_Expiration=1,IF($A792&lt;VLOOKUP(T$5,NFI,5,0),1,0)*Table_NFI[[#This Row],[Winter Items Other]],Table_NFI[Winter Items Other])</f>
        <v>0</v>
      </c>
      <c r="AL792" s="294">
        <f>IF(NFI_Expiration=1,IF($A792&lt;VLOOKUP(M$5,NFI,5,0),1,0)*Table_NFI[[#This Row],[Winter Blanket]],Table_NFI[[#This Row],[Winter Blanket]])</f>
        <v>0</v>
      </c>
      <c r="AM792" s="294">
        <f>IF(Table_NFI[[#This Row],[Winter Clothes Adult]]+Table_NFI[[#This Row],[Winter Clothes Children]]+Table_NFI[[#This Row],[Winter Items Other]]+Table_NFI[[#This Row],[Winter Blanket]]&gt;0,1,0)</f>
        <v>0</v>
      </c>
      <c r="AN792" s="331">
        <f>IF(NFI_Expiration=1,IF($A792&lt;VLOOKUP(V$5,NFI,5,0),1,0)*Table_NFI[[#This Row],[Jerry Can]],Table_NFI[Jerry Can])</f>
        <v>0</v>
      </c>
      <c r="AO792" s="331">
        <f>IF(NFI_Expiration=1,IF($A792&lt;VLOOKUP(V$5,NFI,5,0),1,0)*Table_NFI[[#This Row],[Shelter Tool kit]],Table_NFI[Shelter Tool kit])</f>
        <v>0</v>
      </c>
      <c r="AP792" s="331">
        <f>IF(NFI_Expiration=1,IF($A792&lt;VLOOKUP(V$5,NFI,5,0),1,0)*Table_NFI[[#This Row],[Tent]],Table_NFI[Tent])</f>
        <v>0</v>
      </c>
      <c r="AQ792" s="473" t="str">
        <f>IFERROR(VLOOKUP(Table_NFI[[#This Row],[Camp Name]],CL,2,0),"")</f>
        <v>MMR001CMP062</v>
      </c>
      <c r="AR792" s="468">
        <f ca="1">IF(Table_NFI[[#This Row],[Pcode]]="","",IF(OFFSET(CampList[Opening Date],MATCH(Table_NFI[[#This Row],[Pcode]],CampList[CP_Pcode],0)-1,0,1,1)&gt;=NFI_Monitor_Date,1,0))</f>
        <v>0</v>
      </c>
      <c r="AS792" s="473" t="str">
        <f>IFERROR(VLOOKUP(Table_NFI[[#This Row],[Camp Name]],CL,3,0),"")</f>
        <v>Open</v>
      </c>
      <c r="AT792" s="294" t="str">
        <f ca="1">IF(Table_NFI[[#This Row],[Pcode]]="","",OFFSET(CampList[Priority],MATCH(Table_NFI[[#This Row],[Pcode]],CampList[CP_Pcode],0)-1,0,1,1))</f>
        <v>P4</v>
      </c>
      <c r="AU792" s="293">
        <f>IFERROR(Table_NFI[[#This Row],[Kitchen Set]]/VLOOKUP(Table_NFI[[#This Row],[Camp Name]],CL,4,0),"")</f>
        <v>0</v>
      </c>
      <c r="AV792" s="466" t="s">
        <v>1092</v>
      </c>
      <c r="AW792" s="469"/>
    </row>
    <row r="793" spans="1:49" ht="14.45" customHeight="1" x14ac:dyDescent="0.25">
      <c r="A793" s="297">
        <f t="shared" si="12"/>
        <v>45.9</v>
      </c>
      <c r="B793" s="465">
        <v>41298</v>
      </c>
      <c r="C793" s="466" t="s">
        <v>905</v>
      </c>
      <c r="D793" s="467" t="s">
        <v>905</v>
      </c>
      <c r="E793" s="466" t="s">
        <v>380</v>
      </c>
      <c r="F793" s="290" t="s">
        <v>185</v>
      </c>
      <c r="G793" s="290" t="s">
        <v>211</v>
      </c>
      <c r="H793" s="291">
        <v>793</v>
      </c>
      <c r="I793" s="291"/>
      <c r="J793" s="291"/>
      <c r="K793" s="291"/>
      <c r="L793" s="292"/>
      <c r="M793" s="292"/>
      <c r="N793" s="292"/>
      <c r="O793" s="292"/>
      <c r="P793" s="294">
        <v>0</v>
      </c>
      <c r="Q793" s="294">
        <v>0</v>
      </c>
      <c r="R793" s="294"/>
      <c r="S793" s="294"/>
      <c r="T793" s="294"/>
      <c r="U793" s="294"/>
      <c r="V793" s="431"/>
      <c r="W793" s="294"/>
      <c r="X793" s="294"/>
      <c r="Y793" s="294">
        <f>IF(NFI_Expiration=1,IF($A793&lt;VLOOKUP(H$5,NFI,5,0),1,0)*Table_NFI[[#This Row],[Hygiene Kit]],Table_NFI[Hygiene Kit])</f>
        <v>0</v>
      </c>
      <c r="Z793" s="294">
        <f>IF(NFI_Expiration=1,IF($A793&lt;VLOOKUP(I$5,NFI,5,0),1,0)*Table_NFI[[#This Row],[NFI Core Kit]],Table_NFI[NFI Core Kit])</f>
        <v>0</v>
      </c>
      <c r="AA793" s="294">
        <f>IF(NFI_Expiration=1,IF($A793&lt;VLOOKUP(J$5,NFI,5,0),1,0)*Table_NFI[[#This Row],[Sanitary Kit]],Table_NFI[Sanitary Kit])</f>
        <v>0</v>
      </c>
      <c r="AB793" s="294">
        <f>IF(NFI_Expiration=1,IF($A793&lt;VLOOKUP(K$5,NFI,5,0),1,0)*Table_NFI[[#This Row],[Mosquito net]],Table_NFI[Mosquito net])</f>
        <v>0</v>
      </c>
      <c r="AC793" s="294">
        <f>IF(NFI_Expiration=1,IF($A793&lt;VLOOKUP(L$5,NFI,5,0),1,0)*Table_NFI[[#This Row],[Tarpaulin]],Table_NFI[[#This Row],[Tarpaulin]])</f>
        <v>0</v>
      </c>
      <c r="AD793" s="294">
        <f>IF(NFI_Expiration=1,IF($A793&lt;VLOOKUP(M$5,NFI,5,0),1,0)*Table_NFI[[#This Row],[Blanket]],Table_NFI[[#This Row],[Blanket]])</f>
        <v>0</v>
      </c>
      <c r="AE793" s="294">
        <f>IF(NFI_Expiration=1,IF($A793&lt;VLOOKUP(N$5,NFI,5,0),1,0)*Table_NFI[[#This Row],[Kitchen Set]],Table_NFI[Kitchen Set])</f>
        <v>0</v>
      </c>
      <c r="AF793" s="294">
        <f>IF(NFI_Expiration=1,IF($A793&lt;VLOOKUP(O$5,NFI,5,0),1,0)*Table_NFI[[#This Row],[Clothes Kit]],Table_NFI[Clothes Kit])</f>
        <v>0</v>
      </c>
      <c r="AG793" s="294">
        <f>IF(NFI_Expiration=1,IF($A793&lt;VLOOKUP(P$5,NFI,5,0),1,0)*Table_NFI[[#This Row],[Plastic Bucket]],Table_NFI[Plastic Bucket])</f>
        <v>0</v>
      </c>
      <c r="AH793" s="294">
        <f>IF(NFI_Expiration=1,IF($A793&lt;VLOOKUP(Q$5,NFI,5,0),1,0)*Table_NFI[[#This Row],[Plastic Mat]],Table_NFI[Plastic Mat])*IF(Table_NFI[[#This Row],[Distribution Date]]&gt;"2014-04-01",1,2.5)</f>
        <v>0</v>
      </c>
      <c r="AI793" s="294">
        <f>IF(NFI_Expiration=1,IF($A793&lt;VLOOKUP(R$5,NFI,5,0),1,0)*Table_NFI[[#This Row],[Winter Clothes Adult]],Table_NFI[Winter Clothes Adult])</f>
        <v>0</v>
      </c>
      <c r="AJ793" s="294">
        <f>IF(NFI_Expiration=1,IF($A793&lt;VLOOKUP(S$5,NFI,5,0),1,0)*Table_NFI[[#This Row],[Winter Clothes Children]],Table_NFI[Winter Clothes Children])</f>
        <v>0</v>
      </c>
      <c r="AK793" s="294">
        <f>IF(NFI_Expiration=1,IF($A793&lt;VLOOKUP(T$5,NFI,5,0),1,0)*Table_NFI[[#This Row],[Winter Items Other]],Table_NFI[Winter Items Other])</f>
        <v>0</v>
      </c>
      <c r="AL793" s="294">
        <f>IF(NFI_Expiration=1,IF($A793&lt;VLOOKUP(M$5,NFI,5,0),1,0)*Table_NFI[[#This Row],[Winter Blanket]],Table_NFI[[#This Row],[Winter Blanket]])</f>
        <v>0</v>
      </c>
      <c r="AM793" s="294">
        <f>IF(Table_NFI[[#This Row],[Winter Clothes Adult]]+Table_NFI[[#This Row],[Winter Clothes Children]]+Table_NFI[[#This Row],[Winter Items Other]]+Table_NFI[[#This Row],[Winter Blanket]]&gt;0,1,0)</f>
        <v>0</v>
      </c>
      <c r="AN793" s="331">
        <f>IF(NFI_Expiration=1,IF($A793&lt;VLOOKUP(V$5,NFI,5,0),1,0)*Table_NFI[[#This Row],[Jerry Can]],Table_NFI[Jerry Can])</f>
        <v>0</v>
      </c>
      <c r="AO793" s="331">
        <f>IF(NFI_Expiration=1,IF($A793&lt;VLOOKUP(V$5,NFI,5,0),1,0)*Table_NFI[[#This Row],[Shelter Tool kit]],Table_NFI[Shelter Tool kit])</f>
        <v>0</v>
      </c>
      <c r="AP793" s="331">
        <f>IF(NFI_Expiration=1,IF($A793&lt;VLOOKUP(V$5,NFI,5,0),1,0)*Table_NFI[[#This Row],[Tent]],Table_NFI[Tent])</f>
        <v>0</v>
      </c>
      <c r="AQ793" s="473" t="str">
        <f>IFERROR(VLOOKUP(Table_NFI[[#This Row],[Camp Name]],CL,2,0),"")</f>
        <v>MMR001CMP057</v>
      </c>
      <c r="AR793" s="468">
        <f ca="1">IF(Table_NFI[[#This Row],[Pcode]]="","",IF(OFFSET(CampList[Opening Date],MATCH(Table_NFI[[#This Row],[Pcode]],CampList[CP_Pcode],0)-1,0,1,1)&gt;=NFI_Monitor_Date,1,0))</f>
        <v>0</v>
      </c>
      <c r="AS793" s="473" t="str">
        <f>IFERROR(VLOOKUP(Table_NFI[[#This Row],[Camp Name]],CL,3,0),"")</f>
        <v>Closed</v>
      </c>
      <c r="AT793" s="294" t="str">
        <f ca="1">IF(Table_NFI[[#This Row],[Pcode]]="","",OFFSET(CampList[Priority],MATCH(Table_NFI[[#This Row],[Pcode]],CampList[CP_Pcode],0)-1,0,1,1))</f>
        <v>P4</v>
      </c>
      <c r="AU793" s="293" t="str">
        <f>IFERROR(Table_NFI[[#This Row],[Kitchen Set]]/VLOOKUP(Table_NFI[[#This Row],[Camp Name]],CL,4,0),"")</f>
        <v/>
      </c>
      <c r="AV793" s="466" t="s">
        <v>1092</v>
      </c>
      <c r="AW793" s="469"/>
    </row>
    <row r="794" spans="1:49" ht="14.45" customHeight="1" x14ac:dyDescent="0.25">
      <c r="A794" s="297">
        <f t="shared" si="12"/>
        <v>45.966666666666669</v>
      </c>
      <c r="B794" s="465">
        <v>41296</v>
      </c>
      <c r="C794" s="466" t="s">
        <v>905</v>
      </c>
      <c r="D794" s="467" t="s">
        <v>905</v>
      </c>
      <c r="E794" s="466" t="s">
        <v>380</v>
      </c>
      <c r="F794" s="290" t="s">
        <v>5</v>
      </c>
      <c r="G794" s="290" t="s">
        <v>22</v>
      </c>
      <c r="H794" s="291">
        <v>1824</v>
      </c>
      <c r="I794" s="291"/>
      <c r="J794" s="291"/>
      <c r="K794" s="291"/>
      <c r="L794" s="292"/>
      <c r="M794" s="292"/>
      <c r="N794" s="292"/>
      <c r="O794" s="292"/>
      <c r="P794" s="294">
        <v>0</v>
      </c>
      <c r="Q794" s="294">
        <v>0</v>
      </c>
      <c r="R794" s="294"/>
      <c r="S794" s="294"/>
      <c r="T794" s="294"/>
      <c r="U794" s="294"/>
      <c r="V794" s="431"/>
      <c r="W794" s="294"/>
      <c r="X794" s="294"/>
      <c r="Y794" s="294">
        <f>IF(NFI_Expiration=1,IF($A794&lt;VLOOKUP(H$5,NFI,5,0),1,0)*Table_NFI[[#This Row],[Hygiene Kit]],Table_NFI[Hygiene Kit])</f>
        <v>0</v>
      </c>
      <c r="Z794" s="294">
        <f>IF(NFI_Expiration=1,IF($A794&lt;VLOOKUP(I$5,NFI,5,0),1,0)*Table_NFI[[#This Row],[NFI Core Kit]],Table_NFI[NFI Core Kit])</f>
        <v>0</v>
      </c>
      <c r="AA794" s="294">
        <f>IF(NFI_Expiration=1,IF($A794&lt;VLOOKUP(J$5,NFI,5,0),1,0)*Table_NFI[[#This Row],[Sanitary Kit]],Table_NFI[Sanitary Kit])</f>
        <v>0</v>
      </c>
      <c r="AB794" s="294">
        <f>IF(NFI_Expiration=1,IF($A794&lt;VLOOKUP(K$5,NFI,5,0),1,0)*Table_NFI[[#This Row],[Mosquito net]],Table_NFI[Mosquito net])</f>
        <v>0</v>
      </c>
      <c r="AC794" s="294">
        <f>IF(NFI_Expiration=1,IF($A794&lt;VLOOKUP(L$5,NFI,5,0),1,0)*Table_NFI[[#This Row],[Tarpaulin]],Table_NFI[[#This Row],[Tarpaulin]])</f>
        <v>0</v>
      </c>
      <c r="AD794" s="294">
        <f>IF(NFI_Expiration=1,IF($A794&lt;VLOOKUP(M$5,NFI,5,0),1,0)*Table_NFI[[#This Row],[Blanket]],Table_NFI[[#This Row],[Blanket]])</f>
        <v>0</v>
      </c>
      <c r="AE794" s="294">
        <f>IF(NFI_Expiration=1,IF($A794&lt;VLOOKUP(N$5,NFI,5,0),1,0)*Table_NFI[[#This Row],[Kitchen Set]],Table_NFI[Kitchen Set])</f>
        <v>0</v>
      </c>
      <c r="AF794" s="294">
        <f>IF(NFI_Expiration=1,IF($A794&lt;VLOOKUP(O$5,NFI,5,0),1,0)*Table_NFI[[#This Row],[Clothes Kit]],Table_NFI[Clothes Kit])</f>
        <v>0</v>
      </c>
      <c r="AG794" s="294">
        <f>IF(NFI_Expiration=1,IF($A794&lt;VLOOKUP(P$5,NFI,5,0),1,0)*Table_NFI[[#This Row],[Plastic Bucket]],Table_NFI[Plastic Bucket])</f>
        <v>0</v>
      </c>
      <c r="AH794" s="294">
        <f>IF(NFI_Expiration=1,IF($A794&lt;VLOOKUP(Q$5,NFI,5,0),1,0)*Table_NFI[[#This Row],[Plastic Mat]],Table_NFI[Plastic Mat])*IF(Table_NFI[[#This Row],[Distribution Date]]&gt;"2014-04-01",1,2.5)</f>
        <v>0</v>
      </c>
      <c r="AI794" s="294">
        <f>IF(NFI_Expiration=1,IF($A794&lt;VLOOKUP(R$5,NFI,5,0),1,0)*Table_NFI[[#This Row],[Winter Clothes Adult]],Table_NFI[Winter Clothes Adult])</f>
        <v>0</v>
      </c>
      <c r="AJ794" s="294">
        <f>IF(NFI_Expiration=1,IF($A794&lt;VLOOKUP(S$5,NFI,5,0),1,0)*Table_NFI[[#This Row],[Winter Clothes Children]],Table_NFI[Winter Clothes Children])</f>
        <v>0</v>
      </c>
      <c r="AK794" s="294">
        <f>IF(NFI_Expiration=1,IF($A794&lt;VLOOKUP(T$5,NFI,5,0),1,0)*Table_NFI[[#This Row],[Winter Items Other]],Table_NFI[Winter Items Other])</f>
        <v>0</v>
      </c>
      <c r="AL794" s="294">
        <f>IF(NFI_Expiration=1,IF($A794&lt;VLOOKUP(M$5,NFI,5,0),1,0)*Table_NFI[[#This Row],[Winter Blanket]],Table_NFI[[#This Row],[Winter Blanket]])</f>
        <v>0</v>
      </c>
      <c r="AM794" s="294">
        <f>IF(Table_NFI[[#This Row],[Winter Clothes Adult]]+Table_NFI[[#This Row],[Winter Clothes Children]]+Table_NFI[[#This Row],[Winter Items Other]]+Table_NFI[[#This Row],[Winter Blanket]]&gt;0,1,0)</f>
        <v>0</v>
      </c>
      <c r="AN794" s="331">
        <f>IF(NFI_Expiration=1,IF($A794&lt;VLOOKUP(V$5,NFI,5,0),1,0)*Table_NFI[[#This Row],[Jerry Can]],Table_NFI[Jerry Can])</f>
        <v>0</v>
      </c>
      <c r="AO794" s="331">
        <f>IF(NFI_Expiration=1,IF($A794&lt;VLOOKUP(V$5,NFI,5,0),1,0)*Table_NFI[[#This Row],[Shelter Tool kit]],Table_NFI[Shelter Tool kit])</f>
        <v>0</v>
      </c>
      <c r="AP794" s="331">
        <f>IF(NFI_Expiration=1,IF($A794&lt;VLOOKUP(V$5,NFI,5,0),1,0)*Table_NFI[[#This Row],[Tent]],Table_NFI[Tent])</f>
        <v>0</v>
      </c>
      <c r="AQ794" s="473" t="str">
        <f>IFERROR(VLOOKUP(Table_NFI[[#This Row],[Camp Name]],CL,2,0),"")</f>
        <v>MMR001CMP047</v>
      </c>
      <c r="AR794" s="468">
        <f ca="1">IF(Table_NFI[[#This Row],[Pcode]]="","",IF(OFFSET(CampList[Opening Date],MATCH(Table_NFI[[#This Row],[Pcode]],CampList[CP_Pcode],0)-1,0,1,1)&gt;=NFI_Monitor_Date,1,0))</f>
        <v>0</v>
      </c>
      <c r="AS794" s="473" t="str">
        <f>IFERROR(VLOOKUP(Table_NFI[[#This Row],[Camp Name]],CL,3,0),"")</f>
        <v>Open</v>
      </c>
      <c r="AT794" s="294" t="str">
        <f ca="1">IF(Table_NFI[[#This Row],[Pcode]]="","",OFFSET(CampList[Priority],MATCH(Table_NFI[[#This Row],[Pcode]],CampList[CP_Pcode],0)-1,0,1,1))</f>
        <v>P4</v>
      </c>
      <c r="AU794" s="293">
        <f>IFERROR(Table_NFI[[#This Row],[Kitchen Set]]/VLOOKUP(Table_NFI[[#This Row],[Camp Name]],CL,4,0),"")</f>
        <v>0</v>
      </c>
      <c r="AV794" s="466" t="s">
        <v>1092</v>
      </c>
      <c r="AW794" s="469"/>
    </row>
    <row r="795" spans="1:49" x14ac:dyDescent="0.25">
      <c r="A795" s="297">
        <f t="shared" si="12"/>
        <v>46</v>
      </c>
      <c r="B795" s="465">
        <v>41295</v>
      </c>
      <c r="C795" s="466" t="s">
        <v>905</v>
      </c>
      <c r="D795" s="466" t="s">
        <v>905</v>
      </c>
      <c r="E795" s="466" t="s">
        <v>380</v>
      </c>
      <c r="F795" s="290" t="s">
        <v>5</v>
      </c>
      <c r="G795" s="290" t="s">
        <v>20</v>
      </c>
      <c r="H795" s="291">
        <v>85</v>
      </c>
      <c r="I795" s="291"/>
      <c r="J795" s="291"/>
      <c r="K795" s="291"/>
      <c r="L795" s="292"/>
      <c r="M795" s="292"/>
      <c r="N795" s="292"/>
      <c r="O795" s="292"/>
      <c r="P795" s="294">
        <v>0</v>
      </c>
      <c r="Q795" s="294">
        <v>0</v>
      </c>
      <c r="R795" s="294"/>
      <c r="S795" s="294"/>
      <c r="T795" s="294"/>
      <c r="U795" s="294"/>
      <c r="V795" s="431"/>
      <c r="W795" s="294"/>
      <c r="X795" s="294"/>
      <c r="Y795" s="294">
        <f>IF(NFI_Expiration=1,IF($A795&lt;VLOOKUP(H$5,NFI,5,0),1,0)*Table_NFI[[#This Row],[Hygiene Kit]],Table_NFI[Hygiene Kit])</f>
        <v>0</v>
      </c>
      <c r="Z795" s="294">
        <f>IF(NFI_Expiration=1,IF($A795&lt;VLOOKUP(I$5,NFI,5,0),1,0)*Table_NFI[[#This Row],[NFI Core Kit]],Table_NFI[NFI Core Kit])</f>
        <v>0</v>
      </c>
      <c r="AA795" s="294">
        <f>IF(NFI_Expiration=1,IF($A795&lt;VLOOKUP(J$5,NFI,5,0),1,0)*Table_NFI[[#This Row],[Sanitary Kit]],Table_NFI[Sanitary Kit])</f>
        <v>0</v>
      </c>
      <c r="AB795" s="294">
        <f>IF(NFI_Expiration=1,IF($A795&lt;VLOOKUP(K$5,NFI,5,0),1,0)*Table_NFI[[#This Row],[Mosquito net]],Table_NFI[Mosquito net])</f>
        <v>0</v>
      </c>
      <c r="AC795" s="294">
        <f>IF(NFI_Expiration=1,IF($A795&lt;VLOOKUP(L$5,NFI,5,0),1,0)*Table_NFI[[#This Row],[Tarpaulin]],Table_NFI[[#This Row],[Tarpaulin]])</f>
        <v>0</v>
      </c>
      <c r="AD795" s="294">
        <f>IF(NFI_Expiration=1,IF($A795&lt;VLOOKUP(M$5,NFI,5,0),1,0)*Table_NFI[[#This Row],[Blanket]],Table_NFI[[#This Row],[Blanket]])</f>
        <v>0</v>
      </c>
      <c r="AE795" s="294">
        <f>IF(NFI_Expiration=1,IF($A795&lt;VLOOKUP(N$5,NFI,5,0),1,0)*Table_NFI[[#This Row],[Kitchen Set]],Table_NFI[Kitchen Set])</f>
        <v>0</v>
      </c>
      <c r="AF795" s="294">
        <f>IF(NFI_Expiration=1,IF($A795&lt;VLOOKUP(O$5,NFI,5,0),1,0)*Table_NFI[[#This Row],[Clothes Kit]],Table_NFI[Clothes Kit])</f>
        <v>0</v>
      </c>
      <c r="AG795" s="294">
        <f>IF(NFI_Expiration=1,IF($A795&lt;VLOOKUP(P$5,NFI,5,0),1,0)*Table_NFI[[#This Row],[Plastic Bucket]],Table_NFI[Plastic Bucket])</f>
        <v>0</v>
      </c>
      <c r="AH795" s="294">
        <f>IF(NFI_Expiration=1,IF($A795&lt;VLOOKUP(Q$5,NFI,5,0),1,0)*Table_NFI[[#This Row],[Plastic Mat]],Table_NFI[Plastic Mat])*IF(Table_NFI[[#This Row],[Distribution Date]]&gt;"2014-04-01",1,2.5)</f>
        <v>0</v>
      </c>
      <c r="AI795" s="294">
        <f>IF(NFI_Expiration=1,IF($A795&lt;VLOOKUP(R$5,NFI,5,0),1,0)*Table_NFI[[#This Row],[Winter Clothes Adult]],Table_NFI[Winter Clothes Adult])</f>
        <v>0</v>
      </c>
      <c r="AJ795" s="294">
        <f>IF(NFI_Expiration=1,IF($A795&lt;VLOOKUP(S$5,NFI,5,0),1,0)*Table_NFI[[#This Row],[Winter Clothes Children]],Table_NFI[Winter Clothes Children])</f>
        <v>0</v>
      </c>
      <c r="AK795" s="294">
        <f>IF(NFI_Expiration=1,IF($A795&lt;VLOOKUP(T$5,NFI,5,0),1,0)*Table_NFI[[#This Row],[Winter Items Other]],Table_NFI[Winter Items Other])</f>
        <v>0</v>
      </c>
      <c r="AL795" s="294">
        <f>IF(NFI_Expiration=1,IF($A795&lt;VLOOKUP(M$5,NFI,5,0),1,0)*Table_NFI[[#This Row],[Winter Blanket]],Table_NFI[[#This Row],[Winter Blanket]])</f>
        <v>0</v>
      </c>
      <c r="AM795" s="294">
        <f>IF(Table_NFI[[#This Row],[Winter Clothes Adult]]+Table_NFI[[#This Row],[Winter Clothes Children]]+Table_NFI[[#This Row],[Winter Items Other]]+Table_NFI[[#This Row],[Winter Blanket]]&gt;0,1,0)</f>
        <v>0</v>
      </c>
      <c r="AN795" s="331">
        <f>IF(NFI_Expiration=1,IF($A795&lt;VLOOKUP(V$5,NFI,5,0),1,0)*Table_NFI[[#This Row],[Jerry Can]],Table_NFI[Jerry Can])</f>
        <v>0</v>
      </c>
      <c r="AO795" s="331">
        <f>IF(NFI_Expiration=1,IF($A795&lt;VLOOKUP(V$5,NFI,5,0),1,0)*Table_NFI[[#This Row],[Shelter Tool kit]],Table_NFI[Shelter Tool kit])</f>
        <v>0</v>
      </c>
      <c r="AP795" s="331">
        <f>IF(NFI_Expiration=1,IF($A795&lt;VLOOKUP(V$5,NFI,5,0),1,0)*Table_NFI[[#This Row],[Tent]],Table_NFI[Tent])</f>
        <v>0</v>
      </c>
      <c r="AQ795" s="473" t="str">
        <f>IFERROR(VLOOKUP(Table_NFI[[#This Row],[Camp Name]],CL,2,0),"")</f>
        <v>MMR001CMP054</v>
      </c>
      <c r="AR795" s="468">
        <f ca="1">IF(Table_NFI[[#This Row],[Pcode]]="","",IF(OFFSET(CampList[Opening Date],MATCH(Table_NFI[[#This Row],[Pcode]],CampList[CP_Pcode],0)-1,0,1,1)&gt;=NFI_Monitor_Date,1,0))</f>
        <v>0</v>
      </c>
      <c r="AS795" s="473" t="str">
        <f>IFERROR(VLOOKUP(Table_NFI[[#This Row],[Camp Name]],CL,3,0),"")</f>
        <v>Open</v>
      </c>
      <c r="AT795" s="294" t="str">
        <f ca="1">IF(Table_NFI[[#This Row],[Pcode]]="","",OFFSET(CampList[Priority],MATCH(Table_NFI[[#This Row],[Pcode]],CampList[CP_Pcode],0)-1,0,1,1))</f>
        <v>P4</v>
      </c>
      <c r="AU795" s="293">
        <f>IFERROR(Table_NFI[[#This Row],[Kitchen Set]]/VLOOKUP(Table_NFI[[#This Row],[Camp Name]],CL,4,0),"")</f>
        <v>0</v>
      </c>
      <c r="AV795" s="466" t="s">
        <v>1092</v>
      </c>
      <c r="AW795" s="469"/>
    </row>
    <row r="796" spans="1:49" ht="14.45" customHeight="1" x14ac:dyDescent="0.25">
      <c r="A796" s="297">
        <f t="shared" si="12"/>
        <v>46.166666666666664</v>
      </c>
      <c r="B796" s="465">
        <v>41290</v>
      </c>
      <c r="C796" s="466" t="s">
        <v>905</v>
      </c>
      <c r="D796" s="467" t="s">
        <v>905</v>
      </c>
      <c r="E796" s="466" t="s">
        <v>380</v>
      </c>
      <c r="F796" s="290" t="s">
        <v>185</v>
      </c>
      <c r="G796" s="290" t="s">
        <v>209</v>
      </c>
      <c r="H796" s="291">
        <v>1215</v>
      </c>
      <c r="I796" s="291"/>
      <c r="J796" s="291"/>
      <c r="K796" s="291"/>
      <c r="L796" s="292"/>
      <c r="M796" s="292"/>
      <c r="N796" s="292"/>
      <c r="O796" s="292"/>
      <c r="P796" s="294">
        <v>0</v>
      </c>
      <c r="Q796" s="294">
        <v>0</v>
      </c>
      <c r="R796" s="294"/>
      <c r="S796" s="294"/>
      <c r="T796" s="294"/>
      <c r="U796" s="294"/>
      <c r="V796" s="431"/>
      <c r="W796" s="294"/>
      <c r="X796" s="294"/>
      <c r="Y796" s="294">
        <f>IF(NFI_Expiration=1,IF($A796&lt;VLOOKUP(H$5,NFI,5,0),1,0)*Table_NFI[[#This Row],[Hygiene Kit]],Table_NFI[Hygiene Kit])</f>
        <v>0</v>
      </c>
      <c r="Z796" s="294">
        <f>IF(NFI_Expiration=1,IF($A796&lt;VLOOKUP(I$5,NFI,5,0),1,0)*Table_NFI[[#This Row],[NFI Core Kit]],Table_NFI[NFI Core Kit])</f>
        <v>0</v>
      </c>
      <c r="AA796" s="294">
        <f>IF(NFI_Expiration=1,IF($A796&lt;VLOOKUP(J$5,NFI,5,0),1,0)*Table_NFI[[#This Row],[Sanitary Kit]],Table_NFI[Sanitary Kit])</f>
        <v>0</v>
      </c>
      <c r="AB796" s="294">
        <f>IF(NFI_Expiration=1,IF($A796&lt;VLOOKUP(K$5,NFI,5,0),1,0)*Table_NFI[[#This Row],[Mosquito net]],Table_NFI[Mosquito net])</f>
        <v>0</v>
      </c>
      <c r="AC796" s="294">
        <f>IF(NFI_Expiration=1,IF($A796&lt;VLOOKUP(L$5,NFI,5,0),1,0)*Table_NFI[[#This Row],[Tarpaulin]],Table_NFI[[#This Row],[Tarpaulin]])</f>
        <v>0</v>
      </c>
      <c r="AD796" s="294">
        <f>IF(NFI_Expiration=1,IF($A796&lt;VLOOKUP(M$5,NFI,5,0),1,0)*Table_NFI[[#This Row],[Blanket]],Table_NFI[[#This Row],[Blanket]])</f>
        <v>0</v>
      </c>
      <c r="AE796" s="294">
        <f>IF(NFI_Expiration=1,IF($A796&lt;VLOOKUP(N$5,NFI,5,0),1,0)*Table_NFI[[#This Row],[Kitchen Set]],Table_NFI[Kitchen Set])</f>
        <v>0</v>
      </c>
      <c r="AF796" s="294">
        <f>IF(NFI_Expiration=1,IF($A796&lt;VLOOKUP(O$5,NFI,5,0),1,0)*Table_NFI[[#This Row],[Clothes Kit]],Table_NFI[Clothes Kit])</f>
        <v>0</v>
      </c>
      <c r="AG796" s="294">
        <f>IF(NFI_Expiration=1,IF($A796&lt;VLOOKUP(P$5,NFI,5,0),1,0)*Table_NFI[[#This Row],[Plastic Bucket]],Table_NFI[Plastic Bucket])</f>
        <v>0</v>
      </c>
      <c r="AH796" s="294">
        <f>IF(NFI_Expiration=1,IF($A796&lt;VLOOKUP(Q$5,NFI,5,0),1,0)*Table_NFI[[#This Row],[Plastic Mat]],Table_NFI[Plastic Mat])*IF(Table_NFI[[#This Row],[Distribution Date]]&gt;"2014-04-01",1,2.5)</f>
        <v>0</v>
      </c>
      <c r="AI796" s="294">
        <f>IF(NFI_Expiration=1,IF($A796&lt;VLOOKUP(R$5,NFI,5,0),1,0)*Table_NFI[[#This Row],[Winter Clothes Adult]],Table_NFI[Winter Clothes Adult])</f>
        <v>0</v>
      </c>
      <c r="AJ796" s="294">
        <f>IF(NFI_Expiration=1,IF($A796&lt;VLOOKUP(S$5,NFI,5,0),1,0)*Table_NFI[[#This Row],[Winter Clothes Children]],Table_NFI[Winter Clothes Children])</f>
        <v>0</v>
      </c>
      <c r="AK796" s="294">
        <f>IF(NFI_Expiration=1,IF($A796&lt;VLOOKUP(T$5,NFI,5,0),1,0)*Table_NFI[[#This Row],[Winter Items Other]],Table_NFI[Winter Items Other])</f>
        <v>0</v>
      </c>
      <c r="AL796" s="294">
        <f>IF(NFI_Expiration=1,IF($A796&lt;VLOOKUP(M$5,NFI,5,0),1,0)*Table_NFI[[#This Row],[Winter Blanket]],Table_NFI[[#This Row],[Winter Blanket]])</f>
        <v>0</v>
      </c>
      <c r="AM796" s="294">
        <f>IF(Table_NFI[[#This Row],[Winter Clothes Adult]]+Table_NFI[[#This Row],[Winter Clothes Children]]+Table_NFI[[#This Row],[Winter Items Other]]+Table_NFI[[#This Row],[Winter Blanket]]&gt;0,1,0)</f>
        <v>0</v>
      </c>
      <c r="AN796" s="331">
        <f>IF(NFI_Expiration=1,IF($A796&lt;VLOOKUP(V$5,NFI,5,0),1,0)*Table_NFI[[#This Row],[Jerry Can]],Table_NFI[Jerry Can])</f>
        <v>0</v>
      </c>
      <c r="AO796" s="331">
        <f>IF(NFI_Expiration=1,IF($A796&lt;VLOOKUP(V$5,NFI,5,0),1,0)*Table_NFI[[#This Row],[Shelter Tool kit]],Table_NFI[Shelter Tool kit])</f>
        <v>0</v>
      </c>
      <c r="AP796" s="331">
        <f>IF(NFI_Expiration=1,IF($A796&lt;VLOOKUP(V$5,NFI,5,0),1,0)*Table_NFI[[#This Row],[Tent]],Table_NFI[Tent])</f>
        <v>0</v>
      </c>
      <c r="AQ796" s="473" t="str">
        <f>IFERROR(VLOOKUP(Table_NFI[[#This Row],[Camp Name]],CL,2,0),"")</f>
        <v>MMR001CMP056</v>
      </c>
      <c r="AR796" s="468">
        <f ca="1">IF(Table_NFI[[#This Row],[Pcode]]="","",IF(OFFSET(CampList[Opening Date],MATCH(Table_NFI[[#This Row],[Pcode]],CampList[CP_Pcode],0)-1,0,1,1)&gt;=NFI_Monitor_Date,1,0))</f>
        <v>0</v>
      </c>
      <c r="AS796" s="473" t="str">
        <f>IFERROR(VLOOKUP(Table_NFI[[#This Row],[Camp Name]],CL,3,0),"")</f>
        <v>Open</v>
      </c>
      <c r="AT796" s="294" t="str">
        <f ca="1">IF(Table_NFI[[#This Row],[Pcode]]="","",OFFSET(CampList[Priority],MATCH(Table_NFI[[#This Row],[Pcode]],CampList[CP_Pcode],0)-1,0,1,1))</f>
        <v>P4</v>
      </c>
      <c r="AU796" s="293">
        <f>IFERROR(Table_NFI[[#This Row],[Kitchen Set]]/VLOOKUP(Table_NFI[[#This Row],[Camp Name]],CL,4,0),"")</f>
        <v>0</v>
      </c>
      <c r="AV796" s="466" t="s">
        <v>1092</v>
      </c>
      <c r="AW796" s="469"/>
    </row>
    <row r="797" spans="1:49" ht="14.45" customHeight="1" x14ac:dyDescent="0.25">
      <c r="A797" s="297">
        <f t="shared" si="12"/>
        <v>46.233333333333334</v>
      </c>
      <c r="B797" s="465">
        <v>41288</v>
      </c>
      <c r="C797" s="466" t="s">
        <v>905</v>
      </c>
      <c r="D797" s="466" t="s">
        <v>905</v>
      </c>
      <c r="E797" s="466" t="s">
        <v>380</v>
      </c>
      <c r="F797" s="290" t="s">
        <v>5</v>
      </c>
      <c r="G797" s="290" t="s">
        <v>6</v>
      </c>
      <c r="H797" s="291">
        <v>940</v>
      </c>
      <c r="I797" s="291"/>
      <c r="J797" s="291"/>
      <c r="K797" s="291"/>
      <c r="L797" s="292"/>
      <c r="M797" s="292"/>
      <c r="N797" s="292"/>
      <c r="O797" s="292"/>
      <c r="P797" s="294">
        <v>0</v>
      </c>
      <c r="Q797" s="294">
        <v>0</v>
      </c>
      <c r="R797" s="294"/>
      <c r="S797" s="294"/>
      <c r="T797" s="294"/>
      <c r="U797" s="294"/>
      <c r="V797" s="431"/>
      <c r="W797" s="294"/>
      <c r="X797" s="294"/>
      <c r="Y797" s="294">
        <f>IF(NFI_Expiration=1,IF($A797&lt;VLOOKUP(H$5,NFI,5,0),1,0)*Table_NFI[[#This Row],[Hygiene Kit]],Table_NFI[Hygiene Kit])</f>
        <v>0</v>
      </c>
      <c r="Z797" s="294">
        <f>IF(NFI_Expiration=1,IF($A797&lt;VLOOKUP(I$5,NFI,5,0),1,0)*Table_NFI[[#This Row],[NFI Core Kit]],Table_NFI[NFI Core Kit])</f>
        <v>0</v>
      </c>
      <c r="AA797" s="294">
        <f>IF(NFI_Expiration=1,IF($A797&lt;VLOOKUP(J$5,NFI,5,0),1,0)*Table_NFI[[#This Row],[Sanitary Kit]],Table_NFI[Sanitary Kit])</f>
        <v>0</v>
      </c>
      <c r="AB797" s="294">
        <f>IF(NFI_Expiration=1,IF($A797&lt;VLOOKUP(K$5,NFI,5,0),1,0)*Table_NFI[[#This Row],[Mosquito net]],Table_NFI[Mosquito net])</f>
        <v>0</v>
      </c>
      <c r="AC797" s="294">
        <f>IF(NFI_Expiration=1,IF($A797&lt;VLOOKUP(L$5,NFI,5,0),1,0)*Table_NFI[[#This Row],[Tarpaulin]],Table_NFI[[#This Row],[Tarpaulin]])</f>
        <v>0</v>
      </c>
      <c r="AD797" s="294">
        <f>IF(NFI_Expiration=1,IF($A797&lt;VLOOKUP(M$5,NFI,5,0),1,0)*Table_NFI[[#This Row],[Blanket]],Table_NFI[[#This Row],[Blanket]])</f>
        <v>0</v>
      </c>
      <c r="AE797" s="294">
        <f>IF(NFI_Expiration=1,IF($A797&lt;VLOOKUP(N$5,NFI,5,0),1,0)*Table_NFI[[#This Row],[Kitchen Set]],Table_NFI[Kitchen Set])</f>
        <v>0</v>
      </c>
      <c r="AF797" s="294">
        <f>IF(NFI_Expiration=1,IF($A797&lt;VLOOKUP(O$5,NFI,5,0),1,0)*Table_NFI[[#This Row],[Clothes Kit]],Table_NFI[Clothes Kit])</f>
        <v>0</v>
      </c>
      <c r="AG797" s="294">
        <f>IF(NFI_Expiration=1,IF($A797&lt;VLOOKUP(P$5,NFI,5,0),1,0)*Table_NFI[[#This Row],[Plastic Bucket]],Table_NFI[Plastic Bucket])</f>
        <v>0</v>
      </c>
      <c r="AH797" s="294">
        <f>IF(NFI_Expiration=1,IF($A797&lt;VLOOKUP(Q$5,NFI,5,0),1,0)*Table_NFI[[#This Row],[Plastic Mat]],Table_NFI[Plastic Mat])*IF(Table_NFI[[#This Row],[Distribution Date]]&gt;"2014-04-01",1,2.5)</f>
        <v>0</v>
      </c>
      <c r="AI797" s="294">
        <f>IF(NFI_Expiration=1,IF($A797&lt;VLOOKUP(R$5,NFI,5,0),1,0)*Table_NFI[[#This Row],[Winter Clothes Adult]],Table_NFI[Winter Clothes Adult])</f>
        <v>0</v>
      </c>
      <c r="AJ797" s="294">
        <f>IF(NFI_Expiration=1,IF($A797&lt;VLOOKUP(S$5,NFI,5,0),1,0)*Table_NFI[[#This Row],[Winter Clothes Children]],Table_NFI[Winter Clothes Children])</f>
        <v>0</v>
      </c>
      <c r="AK797" s="294">
        <f>IF(NFI_Expiration=1,IF($A797&lt;VLOOKUP(T$5,NFI,5,0),1,0)*Table_NFI[[#This Row],[Winter Items Other]],Table_NFI[Winter Items Other])</f>
        <v>0</v>
      </c>
      <c r="AL797" s="294">
        <f>IF(NFI_Expiration=1,IF($A797&lt;VLOOKUP(M$5,NFI,5,0),1,0)*Table_NFI[[#This Row],[Winter Blanket]],Table_NFI[[#This Row],[Winter Blanket]])</f>
        <v>0</v>
      </c>
      <c r="AM797" s="294">
        <f>IF(Table_NFI[[#This Row],[Winter Clothes Adult]]+Table_NFI[[#This Row],[Winter Clothes Children]]+Table_NFI[[#This Row],[Winter Items Other]]+Table_NFI[[#This Row],[Winter Blanket]]&gt;0,1,0)</f>
        <v>0</v>
      </c>
      <c r="AN797" s="331">
        <f>IF(NFI_Expiration=1,IF($A797&lt;VLOOKUP(V$5,NFI,5,0),1,0)*Table_NFI[[#This Row],[Jerry Can]],Table_NFI[Jerry Can])</f>
        <v>0</v>
      </c>
      <c r="AO797" s="331">
        <f>IF(NFI_Expiration=1,IF($A797&lt;VLOOKUP(V$5,NFI,5,0),1,0)*Table_NFI[[#This Row],[Shelter Tool kit]],Table_NFI[Shelter Tool kit])</f>
        <v>0</v>
      </c>
      <c r="AP797" s="331">
        <f>IF(NFI_Expiration=1,IF($A797&lt;VLOOKUP(V$5,NFI,5,0),1,0)*Table_NFI[[#This Row],[Tent]],Table_NFI[Tent])</f>
        <v>0</v>
      </c>
      <c r="AQ797" s="473" t="str">
        <f>IFERROR(VLOOKUP(Table_NFI[[#This Row],[Camp Name]],CL,2,0),"")</f>
        <v>MMR001CMP050</v>
      </c>
      <c r="AR797" s="468">
        <f ca="1">IF(Table_NFI[[#This Row],[Pcode]]="","",IF(OFFSET(CampList[Opening Date],MATCH(Table_NFI[[#This Row],[Pcode]],CampList[CP_Pcode],0)-1,0,1,1)&gt;=NFI_Monitor_Date,1,0))</f>
        <v>0</v>
      </c>
      <c r="AS797" s="473" t="str">
        <f>IFERROR(VLOOKUP(Table_NFI[[#This Row],[Camp Name]],CL,3,0),"")</f>
        <v>Open</v>
      </c>
      <c r="AT797" s="294" t="str">
        <f ca="1">IF(Table_NFI[[#This Row],[Pcode]]="","",OFFSET(CampList[Priority],MATCH(Table_NFI[[#This Row],[Pcode]],CampList[CP_Pcode],0)-1,0,1,1))</f>
        <v>P4</v>
      </c>
      <c r="AU797" s="293">
        <f>IFERROR(Table_NFI[[#This Row],[Kitchen Set]]/VLOOKUP(Table_NFI[[#This Row],[Camp Name]],CL,4,0),"")</f>
        <v>0</v>
      </c>
      <c r="AV797" s="466" t="s">
        <v>1092</v>
      </c>
      <c r="AW797" s="469"/>
    </row>
    <row r="798" spans="1:49" ht="14.45" customHeight="1" x14ac:dyDescent="0.25">
      <c r="A798" s="297">
        <f t="shared" si="12"/>
        <v>46.366666666666667</v>
      </c>
      <c r="B798" s="465">
        <v>41284</v>
      </c>
      <c r="C798" s="466" t="s">
        <v>905</v>
      </c>
      <c r="D798" s="467" t="s">
        <v>905</v>
      </c>
      <c r="E798" s="466" t="s">
        <v>380</v>
      </c>
      <c r="F798" s="290" t="s">
        <v>5</v>
      </c>
      <c r="G798" s="290" t="s">
        <v>14</v>
      </c>
      <c r="H798" s="291">
        <v>212</v>
      </c>
      <c r="I798" s="291"/>
      <c r="J798" s="291"/>
      <c r="K798" s="291"/>
      <c r="L798" s="292"/>
      <c r="M798" s="292"/>
      <c r="N798" s="292"/>
      <c r="O798" s="292"/>
      <c r="P798" s="294">
        <v>0</v>
      </c>
      <c r="Q798" s="294">
        <v>0</v>
      </c>
      <c r="R798" s="294"/>
      <c r="S798" s="294"/>
      <c r="T798" s="294"/>
      <c r="U798" s="294"/>
      <c r="V798" s="431"/>
      <c r="W798" s="294"/>
      <c r="X798" s="294"/>
      <c r="Y798" s="294">
        <f>IF(NFI_Expiration=1,IF($A798&lt;VLOOKUP(H$5,NFI,5,0),1,0)*Table_NFI[[#This Row],[Hygiene Kit]],Table_NFI[Hygiene Kit])</f>
        <v>0</v>
      </c>
      <c r="Z798" s="294">
        <f>IF(NFI_Expiration=1,IF($A798&lt;VLOOKUP(I$5,NFI,5,0),1,0)*Table_NFI[[#This Row],[NFI Core Kit]],Table_NFI[NFI Core Kit])</f>
        <v>0</v>
      </c>
      <c r="AA798" s="294">
        <f>IF(NFI_Expiration=1,IF($A798&lt;VLOOKUP(J$5,NFI,5,0),1,0)*Table_NFI[[#This Row],[Sanitary Kit]],Table_NFI[Sanitary Kit])</f>
        <v>0</v>
      </c>
      <c r="AB798" s="294">
        <f>IF(NFI_Expiration=1,IF($A798&lt;VLOOKUP(K$5,NFI,5,0),1,0)*Table_NFI[[#This Row],[Mosquito net]],Table_NFI[Mosquito net])</f>
        <v>0</v>
      </c>
      <c r="AC798" s="294">
        <f>IF(NFI_Expiration=1,IF($A798&lt;VLOOKUP(L$5,NFI,5,0),1,0)*Table_NFI[[#This Row],[Tarpaulin]],Table_NFI[[#This Row],[Tarpaulin]])</f>
        <v>0</v>
      </c>
      <c r="AD798" s="294">
        <f>IF(NFI_Expiration=1,IF($A798&lt;VLOOKUP(M$5,NFI,5,0),1,0)*Table_NFI[[#This Row],[Blanket]],Table_NFI[[#This Row],[Blanket]])</f>
        <v>0</v>
      </c>
      <c r="AE798" s="294">
        <f>IF(NFI_Expiration=1,IF($A798&lt;VLOOKUP(N$5,NFI,5,0),1,0)*Table_NFI[[#This Row],[Kitchen Set]],Table_NFI[Kitchen Set])</f>
        <v>0</v>
      </c>
      <c r="AF798" s="294">
        <f>IF(NFI_Expiration=1,IF($A798&lt;VLOOKUP(O$5,NFI,5,0),1,0)*Table_NFI[[#This Row],[Clothes Kit]],Table_NFI[Clothes Kit])</f>
        <v>0</v>
      </c>
      <c r="AG798" s="294">
        <f>IF(NFI_Expiration=1,IF($A798&lt;VLOOKUP(P$5,NFI,5,0),1,0)*Table_NFI[[#This Row],[Plastic Bucket]],Table_NFI[Plastic Bucket])</f>
        <v>0</v>
      </c>
      <c r="AH798" s="294">
        <f>IF(NFI_Expiration=1,IF($A798&lt;VLOOKUP(Q$5,NFI,5,0),1,0)*Table_NFI[[#This Row],[Plastic Mat]],Table_NFI[Plastic Mat])*IF(Table_NFI[[#This Row],[Distribution Date]]&gt;"2014-04-01",1,2.5)</f>
        <v>0</v>
      </c>
      <c r="AI798" s="294">
        <f>IF(NFI_Expiration=1,IF($A798&lt;VLOOKUP(R$5,NFI,5,0),1,0)*Table_NFI[[#This Row],[Winter Clothes Adult]],Table_NFI[Winter Clothes Adult])</f>
        <v>0</v>
      </c>
      <c r="AJ798" s="294">
        <f>IF(NFI_Expiration=1,IF($A798&lt;VLOOKUP(S$5,NFI,5,0),1,0)*Table_NFI[[#This Row],[Winter Clothes Children]],Table_NFI[Winter Clothes Children])</f>
        <v>0</v>
      </c>
      <c r="AK798" s="294">
        <f>IF(NFI_Expiration=1,IF($A798&lt;VLOOKUP(T$5,NFI,5,0),1,0)*Table_NFI[[#This Row],[Winter Items Other]],Table_NFI[Winter Items Other])</f>
        <v>0</v>
      </c>
      <c r="AL798" s="294">
        <f>IF(NFI_Expiration=1,IF($A798&lt;VLOOKUP(M$5,NFI,5,0),1,0)*Table_NFI[[#This Row],[Winter Blanket]],Table_NFI[[#This Row],[Winter Blanket]])</f>
        <v>0</v>
      </c>
      <c r="AM798" s="294">
        <f>IF(Table_NFI[[#This Row],[Winter Clothes Adult]]+Table_NFI[[#This Row],[Winter Clothes Children]]+Table_NFI[[#This Row],[Winter Items Other]]+Table_NFI[[#This Row],[Winter Blanket]]&gt;0,1,0)</f>
        <v>0</v>
      </c>
      <c r="AN798" s="331">
        <f>IF(NFI_Expiration=1,IF($A798&lt;VLOOKUP(V$5,NFI,5,0),1,0)*Table_NFI[[#This Row],[Jerry Can]],Table_NFI[Jerry Can])</f>
        <v>0</v>
      </c>
      <c r="AO798" s="331">
        <f>IF(NFI_Expiration=1,IF($A798&lt;VLOOKUP(V$5,NFI,5,0),1,0)*Table_NFI[[#This Row],[Shelter Tool kit]],Table_NFI[Shelter Tool kit])</f>
        <v>0</v>
      </c>
      <c r="AP798" s="331">
        <f>IF(NFI_Expiration=1,IF($A798&lt;VLOOKUP(V$5,NFI,5,0),1,0)*Table_NFI[[#This Row],[Tent]],Table_NFI[Tent])</f>
        <v>0</v>
      </c>
      <c r="AQ798" s="473" t="str">
        <f>IFERROR(VLOOKUP(Table_NFI[[#This Row],[Camp Name]],CL,2,0),"")</f>
        <v>MMR001CMP052</v>
      </c>
      <c r="AR798" s="468">
        <f ca="1">IF(Table_NFI[[#This Row],[Pcode]]="","",IF(OFFSET(CampList[Opening Date],MATCH(Table_NFI[[#This Row],[Pcode]],CampList[CP_Pcode],0)-1,0,1,1)&gt;=NFI_Monitor_Date,1,0))</f>
        <v>0</v>
      </c>
      <c r="AS798" s="473" t="str">
        <f>IFERROR(VLOOKUP(Table_NFI[[#This Row],[Camp Name]],CL,3,0),"")</f>
        <v>Open</v>
      </c>
      <c r="AT798" s="294" t="str">
        <f ca="1">IF(Table_NFI[[#This Row],[Pcode]]="","",OFFSET(CampList[Priority],MATCH(Table_NFI[[#This Row],[Pcode]],CampList[CP_Pcode],0)-1,0,1,1))</f>
        <v>P4</v>
      </c>
      <c r="AU798" s="293">
        <f>IFERROR(Table_NFI[[#This Row],[Kitchen Set]]/VLOOKUP(Table_NFI[[#This Row],[Camp Name]],CL,4,0),"")</f>
        <v>0</v>
      </c>
      <c r="AV798" s="466" t="s">
        <v>1092</v>
      </c>
      <c r="AW798" s="469"/>
    </row>
    <row r="799" spans="1:49" ht="14.45" customHeight="1" x14ac:dyDescent="0.25">
      <c r="A799" s="297">
        <f t="shared" si="12"/>
        <v>46.4</v>
      </c>
      <c r="B799" s="465">
        <v>41283</v>
      </c>
      <c r="C799" s="466" t="s">
        <v>905</v>
      </c>
      <c r="D799" s="467" t="s">
        <v>905</v>
      </c>
      <c r="E799" s="466" t="s">
        <v>380</v>
      </c>
      <c r="F799" s="290" t="s">
        <v>5</v>
      </c>
      <c r="G799" s="290" t="s">
        <v>18</v>
      </c>
      <c r="H799" s="291">
        <v>205</v>
      </c>
      <c r="I799" s="291"/>
      <c r="J799" s="291"/>
      <c r="K799" s="291"/>
      <c r="L799" s="292"/>
      <c r="M799" s="292"/>
      <c r="N799" s="292"/>
      <c r="O799" s="292"/>
      <c r="P799" s="294">
        <v>0</v>
      </c>
      <c r="Q799" s="294">
        <v>0</v>
      </c>
      <c r="R799" s="294"/>
      <c r="S799" s="294"/>
      <c r="T799" s="294"/>
      <c r="U799" s="294"/>
      <c r="V799" s="431"/>
      <c r="W799" s="294"/>
      <c r="X799" s="294"/>
      <c r="Y799" s="294">
        <f>IF(NFI_Expiration=1,IF($A799&lt;VLOOKUP(H$5,NFI,5,0),1,0)*Table_NFI[[#This Row],[Hygiene Kit]],Table_NFI[Hygiene Kit])</f>
        <v>0</v>
      </c>
      <c r="Z799" s="294">
        <f>IF(NFI_Expiration=1,IF($A799&lt;VLOOKUP(I$5,NFI,5,0),1,0)*Table_NFI[[#This Row],[NFI Core Kit]],Table_NFI[NFI Core Kit])</f>
        <v>0</v>
      </c>
      <c r="AA799" s="294">
        <f>IF(NFI_Expiration=1,IF($A799&lt;VLOOKUP(J$5,NFI,5,0),1,0)*Table_NFI[[#This Row],[Sanitary Kit]],Table_NFI[Sanitary Kit])</f>
        <v>0</v>
      </c>
      <c r="AB799" s="294">
        <f>IF(NFI_Expiration=1,IF($A799&lt;VLOOKUP(K$5,NFI,5,0),1,0)*Table_NFI[[#This Row],[Mosquito net]],Table_NFI[Mosquito net])</f>
        <v>0</v>
      </c>
      <c r="AC799" s="294">
        <f>IF(NFI_Expiration=1,IF($A799&lt;VLOOKUP(L$5,NFI,5,0),1,0)*Table_NFI[[#This Row],[Tarpaulin]],Table_NFI[[#This Row],[Tarpaulin]])</f>
        <v>0</v>
      </c>
      <c r="AD799" s="294">
        <f>IF(NFI_Expiration=1,IF($A799&lt;VLOOKUP(M$5,NFI,5,0),1,0)*Table_NFI[[#This Row],[Blanket]],Table_NFI[[#This Row],[Blanket]])</f>
        <v>0</v>
      </c>
      <c r="AE799" s="294">
        <f>IF(NFI_Expiration=1,IF($A799&lt;VLOOKUP(N$5,NFI,5,0),1,0)*Table_NFI[[#This Row],[Kitchen Set]],Table_NFI[Kitchen Set])</f>
        <v>0</v>
      </c>
      <c r="AF799" s="294">
        <f>IF(NFI_Expiration=1,IF($A799&lt;VLOOKUP(O$5,NFI,5,0),1,0)*Table_NFI[[#This Row],[Clothes Kit]],Table_NFI[Clothes Kit])</f>
        <v>0</v>
      </c>
      <c r="AG799" s="294">
        <f>IF(NFI_Expiration=1,IF($A799&lt;VLOOKUP(P$5,NFI,5,0),1,0)*Table_NFI[[#This Row],[Plastic Bucket]],Table_NFI[Plastic Bucket])</f>
        <v>0</v>
      </c>
      <c r="AH799" s="294">
        <f>IF(NFI_Expiration=1,IF($A799&lt;VLOOKUP(Q$5,NFI,5,0),1,0)*Table_NFI[[#This Row],[Plastic Mat]],Table_NFI[Plastic Mat])*IF(Table_NFI[[#This Row],[Distribution Date]]&gt;"2014-04-01",1,2.5)</f>
        <v>0</v>
      </c>
      <c r="AI799" s="294">
        <f>IF(NFI_Expiration=1,IF($A799&lt;VLOOKUP(R$5,NFI,5,0),1,0)*Table_NFI[[#This Row],[Winter Clothes Adult]],Table_NFI[Winter Clothes Adult])</f>
        <v>0</v>
      </c>
      <c r="AJ799" s="294">
        <f>IF(NFI_Expiration=1,IF($A799&lt;VLOOKUP(S$5,NFI,5,0),1,0)*Table_NFI[[#This Row],[Winter Clothes Children]],Table_NFI[Winter Clothes Children])</f>
        <v>0</v>
      </c>
      <c r="AK799" s="294">
        <f>IF(NFI_Expiration=1,IF($A799&lt;VLOOKUP(T$5,NFI,5,0),1,0)*Table_NFI[[#This Row],[Winter Items Other]],Table_NFI[Winter Items Other])</f>
        <v>0</v>
      </c>
      <c r="AL799" s="294">
        <f>IF(NFI_Expiration=1,IF($A799&lt;VLOOKUP(M$5,NFI,5,0),1,0)*Table_NFI[[#This Row],[Winter Blanket]],Table_NFI[[#This Row],[Winter Blanket]])</f>
        <v>0</v>
      </c>
      <c r="AM799" s="294">
        <f>IF(Table_NFI[[#This Row],[Winter Clothes Adult]]+Table_NFI[[#This Row],[Winter Clothes Children]]+Table_NFI[[#This Row],[Winter Items Other]]+Table_NFI[[#This Row],[Winter Blanket]]&gt;0,1,0)</f>
        <v>0</v>
      </c>
      <c r="AN799" s="331">
        <f>IF(NFI_Expiration=1,IF($A799&lt;VLOOKUP(V$5,NFI,5,0),1,0)*Table_NFI[[#This Row],[Jerry Can]],Table_NFI[Jerry Can])</f>
        <v>0</v>
      </c>
      <c r="AO799" s="331">
        <f>IF(NFI_Expiration=1,IF($A799&lt;VLOOKUP(V$5,NFI,5,0),1,0)*Table_NFI[[#This Row],[Shelter Tool kit]],Table_NFI[Shelter Tool kit])</f>
        <v>0</v>
      </c>
      <c r="AP799" s="331">
        <f>IF(NFI_Expiration=1,IF($A799&lt;VLOOKUP(V$5,NFI,5,0),1,0)*Table_NFI[[#This Row],[Tent]],Table_NFI[Tent])</f>
        <v>0</v>
      </c>
      <c r="AQ799" s="473" t="str">
        <f>IFERROR(VLOOKUP(Table_NFI[[#This Row],[Camp Name]],CL,2,0),"")</f>
        <v>MMR001CMP049</v>
      </c>
      <c r="AR799" s="468">
        <f ca="1">IF(Table_NFI[[#This Row],[Pcode]]="","",IF(OFFSET(CampList[Opening Date],MATCH(Table_NFI[[#This Row],[Pcode]],CampList[CP_Pcode],0)-1,0,1,1)&gt;=NFI_Monitor_Date,1,0))</f>
        <v>0</v>
      </c>
      <c r="AS799" s="473" t="str">
        <f>IFERROR(VLOOKUP(Table_NFI[[#This Row],[Camp Name]],CL,3,0),"")</f>
        <v>Open</v>
      </c>
      <c r="AT799" s="294" t="str">
        <f ca="1">IF(Table_NFI[[#This Row],[Pcode]]="","",OFFSET(CampList[Priority],MATCH(Table_NFI[[#This Row],[Pcode]],CampList[CP_Pcode],0)-1,0,1,1))</f>
        <v>P4</v>
      </c>
      <c r="AU799" s="293">
        <f>IFERROR(Table_NFI[[#This Row],[Kitchen Set]]/VLOOKUP(Table_NFI[[#This Row],[Camp Name]],CL,4,0),"")</f>
        <v>0</v>
      </c>
      <c r="AV799" s="466" t="s">
        <v>1092</v>
      </c>
      <c r="AW799" s="469"/>
    </row>
    <row r="800" spans="1:49" ht="14.45" customHeight="1" x14ac:dyDescent="0.25">
      <c r="A800" s="297">
        <f t="shared" si="12"/>
        <v>46.43333333333333</v>
      </c>
      <c r="B800" s="465">
        <v>41282</v>
      </c>
      <c r="C800" s="466" t="s">
        <v>905</v>
      </c>
      <c r="D800" s="466" t="s">
        <v>905</v>
      </c>
      <c r="E800" s="466" t="s">
        <v>380</v>
      </c>
      <c r="F800" s="466" t="s">
        <v>185</v>
      </c>
      <c r="G800" s="290" t="s">
        <v>223</v>
      </c>
      <c r="H800" s="291">
        <v>353</v>
      </c>
      <c r="I800" s="291"/>
      <c r="J800" s="291"/>
      <c r="K800" s="291"/>
      <c r="L800" s="292"/>
      <c r="M800" s="292"/>
      <c r="N800" s="292"/>
      <c r="O800" s="292"/>
      <c r="P800" s="294">
        <v>0</v>
      </c>
      <c r="Q800" s="294">
        <v>0</v>
      </c>
      <c r="R800" s="294"/>
      <c r="S800" s="294"/>
      <c r="T800" s="294"/>
      <c r="U800" s="294"/>
      <c r="V800" s="431"/>
      <c r="W800" s="294"/>
      <c r="X800" s="294"/>
      <c r="Y800" s="294">
        <f>IF(NFI_Expiration=1,IF($A800&lt;VLOOKUP(H$5,NFI,5,0),1,0)*Table_NFI[[#This Row],[Hygiene Kit]],Table_NFI[Hygiene Kit])</f>
        <v>0</v>
      </c>
      <c r="Z800" s="294">
        <f>IF(NFI_Expiration=1,IF($A800&lt;VLOOKUP(I$5,NFI,5,0),1,0)*Table_NFI[[#This Row],[NFI Core Kit]],Table_NFI[NFI Core Kit])</f>
        <v>0</v>
      </c>
      <c r="AA800" s="294">
        <f>IF(NFI_Expiration=1,IF($A800&lt;VLOOKUP(J$5,NFI,5,0),1,0)*Table_NFI[[#This Row],[Sanitary Kit]],Table_NFI[Sanitary Kit])</f>
        <v>0</v>
      </c>
      <c r="AB800" s="294">
        <f>IF(NFI_Expiration=1,IF($A800&lt;VLOOKUP(K$5,NFI,5,0),1,0)*Table_NFI[[#This Row],[Mosquito net]],Table_NFI[Mosquito net])</f>
        <v>0</v>
      </c>
      <c r="AC800" s="294">
        <f>IF(NFI_Expiration=1,IF($A800&lt;VLOOKUP(L$5,NFI,5,0),1,0)*Table_NFI[[#This Row],[Tarpaulin]],Table_NFI[[#This Row],[Tarpaulin]])</f>
        <v>0</v>
      </c>
      <c r="AD800" s="294">
        <f>IF(NFI_Expiration=1,IF($A800&lt;VLOOKUP(M$5,NFI,5,0),1,0)*Table_NFI[[#This Row],[Blanket]],Table_NFI[[#This Row],[Blanket]])</f>
        <v>0</v>
      </c>
      <c r="AE800" s="294">
        <f>IF(NFI_Expiration=1,IF($A800&lt;VLOOKUP(N$5,NFI,5,0),1,0)*Table_NFI[[#This Row],[Kitchen Set]],Table_NFI[Kitchen Set])</f>
        <v>0</v>
      </c>
      <c r="AF800" s="294">
        <f>IF(NFI_Expiration=1,IF($A800&lt;VLOOKUP(O$5,NFI,5,0),1,0)*Table_NFI[[#This Row],[Clothes Kit]],Table_NFI[Clothes Kit])</f>
        <v>0</v>
      </c>
      <c r="AG800" s="294">
        <f>IF(NFI_Expiration=1,IF($A800&lt;VLOOKUP(P$5,NFI,5,0),1,0)*Table_NFI[[#This Row],[Plastic Bucket]],Table_NFI[Plastic Bucket])</f>
        <v>0</v>
      </c>
      <c r="AH800" s="294">
        <f>IF(NFI_Expiration=1,IF($A800&lt;VLOOKUP(Q$5,NFI,5,0),1,0)*Table_NFI[[#This Row],[Plastic Mat]],Table_NFI[Plastic Mat])*IF(Table_NFI[[#This Row],[Distribution Date]]&gt;"2014-04-01",1,2.5)</f>
        <v>0</v>
      </c>
      <c r="AI800" s="294">
        <f>IF(NFI_Expiration=1,IF($A800&lt;VLOOKUP(R$5,NFI,5,0),1,0)*Table_NFI[[#This Row],[Winter Clothes Adult]],Table_NFI[Winter Clothes Adult])</f>
        <v>0</v>
      </c>
      <c r="AJ800" s="294">
        <f>IF(NFI_Expiration=1,IF($A800&lt;VLOOKUP(S$5,NFI,5,0),1,0)*Table_NFI[[#This Row],[Winter Clothes Children]],Table_NFI[Winter Clothes Children])</f>
        <v>0</v>
      </c>
      <c r="AK800" s="294">
        <f>IF(NFI_Expiration=1,IF($A800&lt;VLOOKUP(T$5,NFI,5,0),1,0)*Table_NFI[[#This Row],[Winter Items Other]],Table_NFI[Winter Items Other])</f>
        <v>0</v>
      </c>
      <c r="AL800" s="294">
        <f>IF(NFI_Expiration=1,IF($A800&lt;VLOOKUP(M$5,NFI,5,0),1,0)*Table_NFI[[#This Row],[Winter Blanket]],Table_NFI[[#This Row],[Winter Blanket]])</f>
        <v>0</v>
      </c>
      <c r="AM800" s="294">
        <f>IF(Table_NFI[[#This Row],[Winter Clothes Adult]]+Table_NFI[[#This Row],[Winter Clothes Children]]+Table_NFI[[#This Row],[Winter Items Other]]+Table_NFI[[#This Row],[Winter Blanket]]&gt;0,1,0)</f>
        <v>0</v>
      </c>
      <c r="AN800" s="331">
        <f>IF(NFI_Expiration=1,IF($A800&lt;VLOOKUP(V$5,NFI,5,0),1,0)*Table_NFI[[#This Row],[Jerry Can]],Table_NFI[Jerry Can])</f>
        <v>0</v>
      </c>
      <c r="AO800" s="331">
        <f>IF(NFI_Expiration=1,IF($A800&lt;VLOOKUP(V$5,NFI,5,0),1,0)*Table_NFI[[#This Row],[Shelter Tool kit]],Table_NFI[Shelter Tool kit])</f>
        <v>0</v>
      </c>
      <c r="AP800" s="331">
        <f>IF(NFI_Expiration=1,IF($A800&lt;VLOOKUP(V$5,NFI,5,0),1,0)*Table_NFI[[#This Row],[Tent]],Table_NFI[Tent])</f>
        <v>0</v>
      </c>
      <c r="AQ800" s="473" t="str">
        <f>IFERROR(VLOOKUP(Table_NFI[[#This Row],[Camp Name]],CL,2,0),"")</f>
        <v>MMR001CMP069</v>
      </c>
      <c r="AR800" s="468">
        <f ca="1">IF(Table_NFI[[#This Row],[Pcode]]="","",IF(OFFSET(CampList[Opening Date],MATCH(Table_NFI[[#This Row],[Pcode]],CampList[CP_Pcode],0)-1,0,1,1)&gt;=NFI_Monitor_Date,1,0))</f>
        <v>0</v>
      </c>
      <c r="AS800" s="473" t="str">
        <f>IFERROR(VLOOKUP(Table_NFI[[#This Row],[Camp Name]],CL,3,0),"")</f>
        <v>Open</v>
      </c>
      <c r="AT800" s="294" t="str">
        <f ca="1">IF(Table_NFI[[#This Row],[Pcode]]="","",OFFSET(CampList[Priority],MATCH(Table_NFI[[#This Row],[Pcode]],CampList[CP_Pcode],0)-1,0,1,1))</f>
        <v>P3</v>
      </c>
      <c r="AU800" s="293">
        <f>IFERROR(Table_NFI[[#This Row],[Kitchen Set]]/VLOOKUP(Table_NFI[[#This Row],[Camp Name]],CL,4,0),"")</f>
        <v>0</v>
      </c>
      <c r="AV800" s="466" t="s">
        <v>1092</v>
      </c>
      <c r="AW800" s="469"/>
    </row>
    <row r="801" spans="1:49" ht="14.45" customHeight="1" x14ac:dyDescent="0.25">
      <c r="A801" s="297">
        <f t="shared" si="12"/>
        <v>46.43333333333333</v>
      </c>
      <c r="B801" s="465">
        <v>41282</v>
      </c>
      <c r="C801" s="466" t="s">
        <v>905</v>
      </c>
      <c r="D801" s="466" t="s">
        <v>905</v>
      </c>
      <c r="E801" s="466" t="s">
        <v>380</v>
      </c>
      <c r="F801" s="466" t="s">
        <v>5</v>
      </c>
      <c r="G801" s="290" t="s">
        <v>26</v>
      </c>
      <c r="H801" s="291">
        <v>132</v>
      </c>
      <c r="I801" s="291"/>
      <c r="J801" s="291"/>
      <c r="K801" s="291"/>
      <c r="L801" s="292"/>
      <c r="M801" s="292"/>
      <c r="N801" s="292"/>
      <c r="O801" s="292"/>
      <c r="P801" s="294">
        <v>0</v>
      </c>
      <c r="Q801" s="294">
        <v>0</v>
      </c>
      <c r="R801" s="294"/>
      <c r="S801" s="294"/>
      <c r="T801" s="294"/>
      <c r="U801" s="294"/>
      <c r="V801" s="431"/>
      <c r="W801" s="294"/>
      <c r="X801" s="294"/>
      <c r="Y801" s="294">
        <f>IF(NFI_Expiration=1,IF($A801&lt;VLOOKUP(H$5,NFI,5,0),1,0)*Table_NFI[[#This Row],[Hygiene Kit]],Table_NFI[Hygiene Kit])</f>
        <v>0</v>
      </c>
      <c r="Z801" s="294">
        <f>IF(NFI_Expiration=1,IF($A801&lt;VLOOKUP(I$5,NFI,5,0),1,0)*Table_NFI[[#This Row],[NFI Core Kit]],Table_NFI[NFI Core Kit])</f>
        <v>0</v>
      </c>
      <c r="AA801" s="294">
        <f>IF(NFI_Expiration=1,IF($A801&lt;VLOOKUP(J$5,NFI,5,0),1,0)*Table_NFI[[#This Row],[Sanitary Kit]],Table_NFI[Sanitary Kit])</f>
        <v>0</v>
      </c>
      <c r="AB801" s="294">
        <f>IF(NFI_Expiration=1,IF($A801&lt;VLOOKUP(K$5,NFI,5,0),1,0)*Table_NFI[[#This Row],[Mosquito net]],Table_NFI[Mosquito net])</f>
        <v>0</v>
      </c>
      <c r="AC801" s="294">
        <f>IF(NFI_Expiration=1,IF($A801&lt;VLOOKUP(L$5,NFI,5,0),1,0)*Table_NFI[[#This Row],[Tarpaulin]],Table_NFI[[#This Row],[Tarpaulin]])</f>
        <v>0</v>
      </c>
      <c r="AD801" s="294">
        <f>IF(NFI_Expiration=1,IF($A801&lt;VLOOKUP(M$5,NFI,5,0),1,0)*Table_NFI[[#This Row],[Blanket]],Table_NFI[[#This Row],[Blanket]])</f>
        <v>0</v>
      </c>
      <c r="AE801" s="294">
        <f>IF(NFI_Expiration=1,IF($A801&lt;VLOOKUP(N$5,NFI,5,0),1,0)*Table_NFI[[#This Row],[Kitchen Set]],Table_NFI[Kitchen Set])</f>
        <v>0</v>
      </c>
      <c r="AF801" s="294">
        <f>IF(NFI_Expiration=1,IF($A801&lt;VLOOKUP(O$5,NFI,5,0),1,0)*Table_NFI[[#This Row],[Clothes Kit]],Table_NFI[Clothes Kit])</f>
        <v>0</v>
      </c>
      <c r="AG801" s="294">
        <f>IF(NFI_Expiration=1,IF($A801&lt;VLOOKUP(P$5,NFI,5,0),1,0)*Table_NFI[[#This Row],[Plastic Bucket]],Table_NFI[Plastic Bucket])</f>
        <v>0</v>
      </c>
      <c r="AH801" s="294">
        <f>IF(NFI_Expiration=1,IF($A801&lt;VLOOKUP(Q$5,NFI,5,0),1,0)*Table_NFI[[#This Row],[Plastic Mat]],Table_NFI[Plastic Mat])*IF(Table_NFI[[#This Row],[Distribution Date]]&gt;"2014-04-01",1,2.5)</f>
        <v>0</v>
      </c>
      <c r="AI801" s="294">
        <f>IF(NFI_Expiration=1,IF($A801&lt;VLOOKUP(R$5,NFI,5,0),1,0)*Table_NFI[[#This Row],[Winter Clothes Adult]],Table_NFI[Winter Clothes Adult])</f>
        <v>0</v>
      </c>
      <c r="AJ801" s="294">
        <f>IF(NFI_Expiration=1,IF($A801&lt;VLOOKUP(S$5,NFI,5,0),1,0)*Table_NFI[[#This Row],[Winter Clothes Children]],Table_NFI[Winter Clothes Children])</f>
        <v>0</v>
      </c>
      <c r="AK801" s="294">
        <f>IF(NFI_Expiration=1,IF($A801&lt;VLOOKUP(T$5,NFI,5,0),1,0)*Table_NFI[[#This Row],[Winter Items Other]],Table_NFI[Winter Items Other])</f>
        <v>0</v>
      </c>
      <c r="AL801" s="294">
        <f>IF(NFI_Expiration=1,IF($A801&lt;VLOOKUP(M$5,NFI,5,0),1,0)*Table_NFI[[#This Row],[Winter Blanket]],Table_NFI[[#This Row],[Winter Blanket]])</f>
        <v>0</v>
      </c>
      <c r="AM801" s="294">
        <f>IF(Table_NFI[[#This Row],[Winter Clothes Adult]]+Table_NFI[[#This Row],[Winter Clothes Children]]+Table_NFI[[#This Row],[Winter Items Other]]+Table_NFI[[#This Row],[Winter Blanket]]&gt;0,1,0)</f>
        <v>0</v>
      </c>
      <c r="AN801" s="331">
        <f>IF(NFI_Expiration=1,IF($A801&lt;VLOOKUP(V$5,NFI,5,0),1,0)*Table_NFI[[#This Row],[Jerry Can]],Table_NFI[Jerry Can])</f>
        <v>0</v>
      </c>
      <c r="AO801" s="331">
        <f>IF(NFI_Expiration=1,IF($A801&lt;VLOOKUP(V$5,NFI,5,0),1,0)*Table_NFI[[#This Row],[Shelter Tool kit]],Table_NFI[Shelter Tool kit])</f>
        <v>0</v>
      </c>
      <c r="AP801" s="331">
        <f>IF(NFI_Expiration=1,IF($A801&lt;VLOOKUP(V$5,NFI,5,0),1,0)*Table_NFI[[#This Row],[Tent]],Table_NFI[Tent])</f>
        <v>0</v>
      </c>
      <c r="AQ801" s="473" t="str">
        <f>IFERROR(VLOOKUP(Table_NFI[[#This Row],[Camp Name]],CL,2,0),"")</f>
        <v>MMR001CMP053</v>
      </c>
      <c r="AR801" s="468">
        <f ca="1">IF(Table_NFI[[#This Row],[Pcode]]="","",IF(OFFSET(CampList[Opening Date],MATCH(Table_NFI[[#This Row],[Pcode]],CampList[CP_Pcode],0)-1,0,1,1)&gt;=NFI_Monitor_Date,1,0))</f>
        <v>0</v>
      </c>
      <c r="AS801" s="473" t="str">
        <f>IFERROR(VLOOKUP(Table_NFI[[#This Row],[Camp Name]],CL,3,0),"")</f>
        <v>Open</v>
      </c>
      <c r="AT801" s="294" t="str">
        <f ca="1">IF(Table_NFI[[#This Row],[Pcode]]="","",OFFSET(CampList[Priority],MATCH(Table_NFI[[#This Row],[Pcode]],CampList[CP_Pcode],0)-1,0,1,1))</f>
        <v>P4</v>
      </c>
      <c r="AU801" s="293">
        <f>IFERROR(Table_NFI[[#This Row],[Kitchen Set]]/VLOOKUP(Table_NFI[[#This Row],[Camp Name]],CL,4,0),"")</f>
        <v>0</v>
      </c>
      <c r="AV801" s="466" t="s">
        <v>1092</v>
      </c>
      <c r="AW801" s="469"/>
    </row>
    <row r="802" spans="1:49" ht="14.45" customHeight="1" x14ac:dyDescent="0.25">
      <c r="A802" s="297">
        <f t="shared" si="12"/>
        <v>46.5</v>
      </c>
      <c r="B802" s="465">
        <v>41280</v>
      </c>
      <c r="C802" s="466" t="s">
        <v>905</v>
      </c>
      <c r="D802" s="467" t="s">
        <v>905</v>
      </c>
      <c r="E802" s="466" t="s">
        <v>380</v>
      </c>
      <c r="F802" s="290" t="s">
        <v>151</v>
      </c>
      <c r="G802" s="290" t="s">
        <v>152</v>
      </c>
      <c r="H802" s="291">
        <v>351</v>
      </c>
      <c r="I802" s="291"/>
      <c r="J802" s="291"/>
      <c r="K802" s="291"/>
      <c r="L802" s="292"/>
      <c r="M802" s="292"/>
      <c r="N802" s="292"/>
      <c r="O802" s="292"/>
      <c r="P802" s="294">
        <v>0</v>
      </c>
      <c r="Q802" s="294">
        <v>0</v>
      </c>
      <c r="R802" s="294"/>
      <c r="S802" s="294"/>
      <c r="T802" s="294"/>
      <c r="U802" s="294"/>
      <c r="V802" s="431"/>
      <c r="W802" s="294"/>
      <c r="X802" s="294"/>
      <c r="Y802" s="294">
        <f>IF(NFI_Expiration=1,IF($A802&lt;VLOOKUP(H$5,NFI,5,0),1,0)*Table_NFI[[#This Row],[Hygiene Kit]],Table_NFI[Hygiene Kit])</f>
        <v>0</v>
      </c>
      <c r="Z802" s="294">
        <f>IF(NFI_Expiration=1,IF($A802&lt;VLOOKUP(I$5,NFI,5,0),1,0)*Table_NFI[[#This Row],[NFI Core Kit]],Table_NFI[NFI Core Kit])</f>
        <v>0</v>
      </c>
      <c r="AA802" s="294">
        <f>IF(NFI_Expiration=1,IF($A802&lt;VLOOKUP(J$5,NFI,5,0),1,0)*Table_NFI[[#This Row],[Sanitary Kit]],Table_NFI[Sanitary Kit])</f>
        <v>0</v>
      </c>
      <c r="AB802" s="294">
        <f>IF(NFI_Expiration=1,IF($A802&lt;VLOOKUP(K$5,NFI,5,0),1,0)*Table_NFI[[#This Row],[Mosquito net]],Table_NFI[Mosquito net])</f>
        <v>0</v>
      </c>
      <c r="AC802" s="294">
        <f>IF(NFI_Expiration=1,IF($A802&lt;VLOOKUP(L$5,NFI,5,0),1,0)*Table_NFI[[#This Row],[Tarpaulin]],Table_NFI[[#This Row],[Tarpaulin]])</f>
        <v>0</v>
      </c>
      <c r="AD802" s="294">
        <f>IF(NFI_Expiration=1,IF($A802&lt;VLOOKUP(M$5,NFI,5,0),1,0)*Table_NFI[[#This Row],[Blanket]],Table_NFI[[#This Row],[Blanket]])</f>
        <v>0</v>
      </c>
      <c r="AE802" s="294">
        <f>IF(NFI_Expiration=1,IF($A802&lt;VLOOKUP(N$5,NFI,5,0),1,0)*Table_NFI[[#This Row],[Kitchen Set]],Table_NFI[Kitchen Set])</f>
        <v>0</v>
      </c>
      <c r="AF802" s="294">
        <f>IF(NFI_Expiration=1,IF($A802&lt;VLOOKUP(O$5,NFI,5,0),1,0)*Table_NFI[[#This Row],[Clothes Kit]],Table_NFI[Clothes Kit])</f>
        <v>0</v>
      </c>
      <c r="AG802" s="294">
        <f>IF(NFI_Expiration=1,IF($A802&lt;VLOOKUP(P$5,NFI,5,0),1,0)*Table_NFI[[#This Row],[Plastic Bucket]],Table_NFI[Plastic Bucket])</f>
        <v>0</v>
      </c>
      <c r="AH802" s="294">
        <f>IF(NFI_Expiration=1,IF($A802&lt;VLOOKUP(Q$5,NFI,5,0),1,0)*Table_NFI[[#This Row],[Plastic Mat]],Table_NFI[Plastic Mat])*IF(Table_NFI[[#This Row],[Distribution Date]]&gt;"2014-04-01",1,2.5)</f>
        <v>0</v>
      </c>
      <c r="AI802" s="294">
        <f>IF(NFI_Expiration=1,IF($A802&lt;VLOOKUP(R$5,NFI,5,0),1,0)*Table_NFI[[#This Row],[Winter Clothes Adult]],Table_NFI[Winter Clothes Adult])</f>
        <v>0</v>
      </c>
      <c r="AJ802" s="294">
        <f>IF(NFI_Expiration=1,IF($A802&lt;VLOOKUP(S$5,NFI,5,0),1,0)*Table_NFI[[#This Row],[Winter Clothes Children]],Table_NFI[Winter Clothes Children])</f>
        <v>0</v>
      </c>
      <c r="AK802" s="294">
        <f>IF(NFI_Expiration=1,IF($A802&lt;VLOOKUP(T$5,NFI,5,0),1,0)*Table_NFI[[#This Row],[Winter Items Other]],Table_NFI[Winter Items Other])</f>
        <v>0</v>
      </c>
      <c r="AL802" s="294">
        <f>IF(NFI_Expiration=1,IF($A802&lt;VLOOKUP(M$5,NFI,5,0),1,0)*Table_NFI[[#This Row],[Winter Blanket]],Table_NFI[[#This Row],[Winter Blanket]])</f>
        <v>0</v>
      </c>
      <c r="AM802" s="294">
        <f>IF(Table_NFI[[#This Row],[Winter Clothes Adult]]+Table_NFI[[#This Row],[Winter Clothes Children]]+Table_NFI[[#This Row],[Winter Items Other]]+Table_NFI[[#This Row],[Winter Blanket]]&gt;0,1,0)</f>
        <v>0</v>
      </c>
      <c r="AN802" s="331">
        <f>IF(NFI_Expiration=1,IF($A802&lt;VLOOKUP(V$5,NFI,5,0),1,0)*Table_NFI[[#This Row],[Jerry Can]],Table_NFI[Jerry Can])</f>
        <v>0</v>
      </c>
      <c r="AO802" s="331">
        <f>IF(NFI_Expiration=1,IF($A802&lt;VLOOKUP(V$5,NFI,5,0),1,0)*Table_NFI[[#This Row],[Shelter Tool kit]],Table_NFI[Shelter Tool kit])</f>
        <v>0</v>
      </c>
      <c r="AP802" s="331">
        <f>IF(NFI_Expiration=1,IF($A802&lt;VLOOKUP(V$5,NFI,5,0),1,0)*Table_NFI[[#This Row],[Tent]],Table_NFI[Tent])</f>
        <v>0</v>
      </c>
      <c r="AQ802" s="473" t="str">
        <f>IFERROR(VLOOKUP(Table_NFI[[#This Row],[Camp Name]],CL,2,0),"")</f>
        <v>MMR001CMP066</v>
      </c>
      <c r="AR802" s="468">
        <f ca="1">IF(Table_NFI[[#This Row],[Pcode]]="","",IF(OFFSET(CampList[Opening Date],MATCH(Table_NFI[[#This Row],[Pcode]],CampList[CP_Pcode],0)-1,0,1,1)&gt;=NFI_Monitor_Date,1,0))</f>
        <v>0</v>
      </c>
      <c r="AS802" s="473" t="str">
        <f>IFERROR(VLOOKUP(Table_NFI[[#This Row],[Camp Name]],CL,3,0),"")</f>
        <v>Open</v>
      </c>
      <c r="AT802" s="294" t="str">
        <f ca="1">IF(Table_NFI[[#This Row],[Pcode]]="","",OFFSET(CampList[Priority],MATCH(Table_NFI[[#This Row],[Pcode]],CampList[CP_Pcode],0)-1,0,1,1))</f>
        <v>P4</v>
      </c>
      <c r="AU802" s="293">
        <f>IFERROR(Table_NFI[[#This Row],[Kitchen Set]]/VLOOKUP(Table_NFI[[#This Row],[Camp Name]],CL,4,0),"")</f>
        <v>0</v>
      </c>
      <c r="AV802" s="466" t="s">
        <v>1092</v>
      </c>
      <c r="AW802" s="469"/>
    </row>
    <row r="803" spans="1:49" ht="14.45" customHeight="1" x14ac:dyDescent="0.25">
      <c r="A803" s="297">
        <f t="shared" si="12"/>
        <v>46.7</v>
      </c>
      <c r="B803" s="465">
        <v>41274</v>
      </c>
      <c r="C803" s="466" t="s">
        <v>453</v>
      </c>
      <c r="D803" s="467" t="s">
        <v>453</v>
      </c>
      <c r="E803" s="466" t="s">
        <v>380</v>
      </c>
      <c r="F803" s="290" t="s">
        <v>527</v>
      </c>
      <c r="G803" s="290" t="s">
        <v>62</v>
      </c>
      <c r="H803" s="291">
        <v>12</v>
      </c>
      <c r="I803" s="291"/>
      <c r="J803" s="291"/>
      <c r="K803" s="291"/>
      <c r="L803" s="292"/>
      <c r="M803" s="292"/>
      <c r="N803" s="292"/>
      <c r="O803" s="292"/>
      <c r="P803" s="294">
        <v>0</v>
      </c>
      <c r="Q803" s="294">
        <v>0</v>
      </c>
      <c r="R803" s="294"/>
      <c r="S803" s="294"/>
      <c r="T803" s="294"/>
      <c r="U803" s="294"/>
      <c r="V803" s="431"/>
      <c r="W803" s="294"/>
      <c r="X803" s="294"/>
      <c r="Y803" s="294">
        <f>IF(NFI_Expiration=1,IF($A803&lt;VLOOKUP(H$5,NFI,5,0),1,0)*Table_NFI[[#This Row],[Hygiene Kit]],Table_NFI[Hygiene Kit])</f>
        <v>0</v>
      </c>
      <c r="Z803" s="294">
        <f>IF(NFI_Expiration=1,IF($A803&lt;VLOOKUP(I$5,NFI,5,0),1,0)*Table_NFI[[#This Row],[NFI Core Kit]],Table_NFI[NFI Core Kit])</f>
        <v>0</v>
      </c>
      <c r="AA803" s="294">
        <f>IF(NFI_Expiration=1,IF($A803&lt;VLOOKUP(J$5,NFI,5,0),1,0)*Table_NFI[[#This Row],[Sanitary Kit]],Table_NFI[Sanitary Kit])</f>
        <v>0</v>
      </c>
      <c r="AB803" s="294">
        <f>IF(NFI_Expiration=1,IF($A803&lt;VLOOKUP(K$5,NFI,5,0),1,0)*Table_NFI[[#This Row],[Mosquito net]],Table_NFI[Mosquito net])</f>
        <v>0</v>
      </c>
      <c r="AC803" s="294">
        <f>IF(NFI_Expiration=1,IF($A803&lt;VLOOKUP(L$5,NFI,5,0),1,0)*Table_NFI[[#This Row],[Tarpaulin]],Table_NFI[[#This Row],[Tarpaulin]])</f>
        <v>0</v>
      </c>
      <c r="AD803" s="294">
        <f>IF(NFI_Expiration=1,IF($A803&lt;VLOOKUP(M$5,NFI,5,0),1,0)*Table_NFI[[#This Row],[Blanket]],Table_NFI[[#This Row],[Blanket]])</f>
        <v>0</v>
      </c>
      <c r="AE803" s="294">
        <f>IF(NFI_Expiration=1,IF($A803&lt;VLOOKUP(N$5,NFI,5,0),1,0)*Table_NFI[[#This Row],[Kitchen Set]],Table_NFI[Kitchen Set])</f>
        <v>0</v>
      </c>
      <c r="AF803" s="294">
        <f>IF(NFI_Expiration=1,IF($A803&lt;VLOOKUP(O$5,NFI,5,0),1,0)*Table_NFI[[#This Row],[Clothes Kit]],Table_NFI[Clothes Kit])</f>
        <v>0</v>
      </c>
      <c r="AG803" s="294">
        <f>IF(NFI_Expiration=1,IF($A803&lt;VLOOKUP(P$5,NFI,5,0),1,0)*Table_NFI[[#This Row],[Plastic Bucket]],Table_NFI[Plastic Bucket])</f>
        <v>0</v>
      </c>
      <c r="AH803" s="294">
        <f>IF(NFI_Expiration=1,IF($A803&lt;VLOOKUP(Q$5,NFI,5,0),1,0)*Table_NFI[[#This Row],[Plastic Mat]],Table_NFI[Plastic Mat])*IF(Table_NFI[[#This Row],[Distribution Date]]&gt;"2014-04-01",1,2.5)</f>
        <v>0</v>
      </c>
      <c r="AI803" s="294">
        <f>IF(NFI_Expiration=1,IF($A803&lt;VLOOKUP(R$5,NFI,5,0),1,0)*Table_NFI[[#This Row],[Winter Clothes Adult]],Table_NFI[Winter Clothes Adult])</f>
        <v>0</v>
      </c>
      <c r="AJ803" s="294">
        <f>IF(NFI_Expiration=1,IF($A803&lt;VLOOKUP(S$5,NFI,5,0),1,0)*Table_NFI[[#This Row],[Winter Clothes Children]],Table_NFI[Winter Clothes Children])</f>
        <v>0</v>
      </c>
      <c r="AK803" s="294">
        <f>IF(NFI_Expiration=1,IF($A803&lt;VLOOKUP(T$5,NFI,5,0),1,0)*Table_NFI[[#This Row],[Winter Items Other]],Table_NFI[Winter Items Other])</f>
        <v>0</v>
      </c>
      <c r="AL803" s="294">
        <f>IF(NFI_Expiration=1,IF($A803&lt;VLOOKUP(M$5,NFI,5,0),1,0)*Table_NFI[[#This Row],[Winter Blanket]],Table_NFI[[#This Row],[Winter Blanket]])</f>
        <v>0</v>
      </c>
      <c r="AM803" s="294">
        <f>IF(Table_NFI[[#This Row],[Winter Clothes Adult]]+Table_NFI[[#This Row],[Winter Clothes Children]]+Table_NFI[[#This Row],[Winter Items Other]]+Table_NFI[[#This Row],[Winter Blanket]]&gt;0,1,0)</f>
        <v>0</v>
      </c>
      <c r="AN803" s="331">
        <f>IF(NFI_Expiration=1,IF($A803&lt;VLOOKUP(V$5,NFI,5,0),1,0)*Table_NFI[[#This Row],[Jerry Can]],Table_NFI[Jerry Can])</f>
        <v>0</v>
      </c>
      <c r="AO803" s="331">
        <f>IF(NFI_Expiration=1,IF($A803&lt;VLOOKUP(V$5,NFI,5,0),1,0)*Table_NFI[[#This Row],[Shelter Tool kit]],Table_NFI[Shelter Tool kit])</f>
        <v>0</v>
      </c>
      <c r="AP803" s="331">
        <f>IF(NFI_Expiration=1,IF($A803&lt;VLOOKUP(V$5,NFI,5,0),1,0)*Table_NFI[[#This Row],[Tent]],Table_NFI[Tent])</f>
        <v>0</v>
      </c>
      <c r="AQ803" s="473" t="str">
        <f>IFERROR(VLOOKUP(Table_NFI[[#This Row],[Camp Name]],CL,2,0),"")</f>
        <v>MMR001CMP179</v>
      </c>
      <c r="AR803" s="468">
        <f ca="1">IF(Table_NFI[[#This Row],[Pcode]]="","",IF(OFFSET(CampList[Opening Date],MATCH(Table_NFI[[#This Row],[Pcode]],CampList[CP_Pcode],0)-1,0,1,1)&gt;=NFI_Monitor_Date,1,0))</f>
        <v>0</v>
      </c>
      <c r="AS803" s="473" t="str">
        <f>IFERROR(VLOOKUP(Table_NFI[[#This Row],[Camp Name]],CL,3,0),"")</f>
        <v>Open</v>
      </c>
      <c r="AT803" s="294" t="str">
        <f ca="1">IF(Table_NFI[[#This Row],[Pcode]]="","",OFFSET(CampList[Priority],MATCH(Table_NFI[[#This Row],[Pcode]],CampList[CP_Pcode],0)-1,0,1,1))</f>
        <v>P4</v>
      </c>
      <c r="AU803" s="293">
        <f>IFERROR(Table_NFI[[#This Row],[Kitchen Set]]/VLOOKUP(Table_NFI[[#This Row],[Camp Name]],CL,4,0),"")</f>
        <v>0</v>
      </c>
      <c r="AV803" s="466" t="s">
        <v>1092</v>
      </c>
      <c r="AW803" s="469"/>
    </row>
    <row r="804" spans="1:49" ht="14.45" customHeight="1" x14ac:dyDescent="0.25">
      <c r="A804" s="297">
        <f t="shared" si="12"/>
        <v>46.7</v>
      </c>
      <c r="B804" s="465">
        <v>41274</v>
      </c>
      <c r="C804" s="466" t="s">
        <v>453</v>
      </c>
      <c r="D804" s="467" t="s">
        <v>453</v>
      </c>
      <c r="E804" s="466" t="s">
        <v>380</v>
      </c>
      <c r="F804" s="290" t="s">
        <v>527</v>
      </c>
      <c r="G804" s="290" t="s">
        <v>120</v>
      </c>
      <c r="H804" s="291">
        <v>19</v>
      </c>
      <c r="I804" s="291"/>
      <c r="J804" s="291"/>
      <c r="K804" s="291"/>
      <c r="L804" s="292"/>
      <c r="M804" s="292"/>
      <c r="N804" s="292"/>
      <c r="O804" s="292"/>
      <c r="P804" s="294">
        <v>0</v>
      </c>
      <c r="Q804" s="294">
        <v>0</v>
      </c>
      <c r="R804" s="294"/>
      <c r="S804" s="294"/>
      <c r="T804" s="294"/>
      <c r="U804" s="294"/>
      <c r="V804" s="431"/>
      <c r="W804" s="294"/>
      <c r="X804" s="294"/>
      <c r="Y804" s="294">
        <f>IF(NFI_Expiration=1,IF($A804&lt;VLOOKUP(H$5,NFI,5,0),1,0)*Table_NFI[[#This Row],[Hygiene Kit]],Table_NFI[Hygiene Kit])</f>
        <v>0</v>
      </c>
      <c r="Z804" s="294">
        <f>IF(NFI_Expiration=1,IF($A804&lt;VLOOKUP(I$5,NFI,5,0),1,0)*Table_NFI[[#This Row],[NFI Core Kit]],Table_NFI[NFI Core Kit])</f>
        <v>0</v>
      </c>
      <c r="AA804" s="294">
        <f>IF(NFI_Expiration=1,IF($A804&lt;VLOOKUP(J$5,NFI,5,0),1,0)*Table_NFI[[#This Row],[Sanitary Kit]],Table_NFI[Sanitary Kit])</f>
        <v>0</v>
      </c>
      <c r="AB804" s="294">
        <f>IF(NFI_Expiration=1,IF($A804&lt;VLOOKUP(K$5,NFI,5,0),1,0)*Table_NFI[[#This Row],[Mosquito net]],Table_NFI[Mosquito net])</f>
        <v>0</v>
      </c>
      <c r="AC804" s="294">
        <f>IF(NFI_Expiration=1,IF($A804&lt;VLOOKUP(L$5,NFI,5,0),1,0)*Table_NFI[[#This Row],[Tarpaulin]],Table_NFI[[#This Row],[Tarpaulin]])</f>
        <v>0</v>
      </c>
      <c r="AD804" s="294">
        <f>IF(NFI_Expiration=1,IF($A804&lt;VLOOKUP(M$5,NFI,5,0),1,0)*Table_NFI[[#This Row],[Blanket]],Table_NFI[[#This Row],[Blanket]])</f>
        <v>0</v>
      </c>
      <c r="AE804" s="294">
        <f>IF(NFI_Expiration=1,IF($A804&lt;VLOOKUP(N$5,NFI,5,0),1,0)*Table_NFI[[#This Row],[Kitchen Set]],Table_NFI[Kitchen Set])</f>
        <v>0</v>
      </c>
      <c r="AF804" s="294">
        <f>IF(NFI_Expiration=1,IF($A804&lt;VLOOKUP(O$5,NFI,5,0),1,0)*Table_NFI[[#This Row],[Clothes Kit]],Table_NFI[Clothes Kit])</f>
        <v>0</v>
      </c>
      <c r="AG804" s="294">
        <f>IF(NFI_Expiration=1,IF($A804&lt;VLOOKUP(P$5,NFI,5,0),1,0)*Table_NFI[[#This Row],[Plastic Bucket]],Table_NFI[Plastic Bucket])</f>
        <v>0</v>
      </c>
      <c r="AH804" s="294">
        <f>IF(NFI_Expiration=1,IF($A804&lt;VLOOKUP(Q$5,NFI,5,0),1,0)*Table_NFI[[#This Row],[Plastic Mat]],Table_NFI[Plastic Mat])*IF(Table_NFI[[#This Row],[Distribution Date]]&gt;"2014-04-01",1,2.5)</f>
        <v>0</v>
      </c>
      <c r="AI804" s="294">
        <f>IF(NFI_Expiration=1,IF($A804&lt;VLOOKUP(R$5,NFI,5,0),1,0)*Table_NFI[[#This Row],[Winter Clothes Adult]],Table_NFI[Winter Clothes Adult])</f>
        <v>0</v>
      </c>
      <c r="AJ804" s="294">
        <f>IF(NFI_Expiration=1,IF($A804&lt;VLOOKUP(S$5,NFI,5,0),1,0)*Table_NFI[[#This Row],[Winter Clothes Children]],Table_NFI[Winter Clothes Children])</f>
        <v>0</v>
      </c>
      <c r="AK804" s="294">
        <f>IF(NFI_Expiration=1,IF($A804&lt;VLOOKUP(T$5,NFI,5,0),1,0)*Table_NFI[[#This Row],[Winter Items Other]],Table_NFI[Winter Items Other])</f>
        <v>0</v>
      </c>
      <c r="AL804" s="294">
        <f>IF(NFI_Expiration=1,IF($A804&lt;VLOOKUP(M$5,NFI,5,0),1,0)*Table_NFI[[#This Row],[Winter Blanket]],Table_NFI[[#This Row],[Winter Blanket]])</f>
        <v>0</v>
      </c>
      <c r="AM804" s="294">
        <f>IF(Table_NFI[[#This Row],[Winter Clothes Adult]]+Table_NFI[[#This Row],[Winter Clothes Children]]+Table_NFI[[#This Row],[Winter Items Other]]+Table_NFI[[#This Row],[Winter Blanket]]&gt;0,1,0)</f>
        <v>0</v>
      </c>
      <c r="AN804" s="331">
        <f>IF(NFI_Expiration=1,IF($A804&lt;VLOOKUP(V$5,NFI,5,0),1,0)*Table_NFI[[#This Row],[Jerry Can]],Table_NFI[Jerry Can])</f>
        <v>0</v>
      </c>
      <c r="AO804" s="331">
        <f>IF(NFI_Expiration=1,IF($A804&lt;VLOOKUP(V$5,NFI,5,0),1,0)*Table_NFI[[#This Row],[Shelter Tool kit]],Table_NFI[Shelter Tool kit])</f>
        <v>0</v>
      </c>
      <c r="AP804" s="331">
        <f>IF(NFI_Expiration=1,IF($A804&lt;VLOOKUP(V$5,NFI,5,0),1,0)*Table_NFI[[#This Row],[Tent]],Table_NFI[Tent])</f>
        <v>0</v>
      </c>
      <c r="AQ804" s="473" t="str">
        <f>IFERROR(VLOOKUP(Table_NFI[[#This Row],[Camp Name]],CL,2,0),"")</f>
        <v>MMR001CMP168</v>
      </c>
      <c r="AR804" s="468">
        <f ca="1">IF(Table_NFI[[#This Row],[Pcode]]="","",IF(OFFSET(CampList[Opening Date],MATCH(Table_NFI[[#This Row],[Pcode]],CampList[CP_Pcode],0)-1,0,1,1)&gt;=NFI_Monitor_Date,1,0))</f>
        <v>0</v>
      </c>
      <c r="AS804" s="473" t="str">
        <f>IFERROR(VLOOKUP(Table_NFI[[#This Row],[Camp Name]],CL,3,0),"")</f>
        <v>Open</v>
      </c>
      <c r="AT804" s="294" t="str">
        <f ca="1">IF(Table_NFI[[#This Row],[Pcode]]="","",OFFSET(CampList[Priority],MATCH(Table_NFI[[#This Row],[Pcode]],CampList[CP_Pcode],0)-1,0,1,1))</f>
        <v>P4</v>
      </c>
      <c r="AU804" s="293">
        <f>IFERROR(Table_NFI[[#This Row],[Kitchen Set]]/VLOOKUP(Table_NFI[[#This Row],[Camp Name]],CL,4,0),"")</f>
        <v>0</v>
      </c>
      <c r="AV804" s="466" t="s">
        <v>1092</v>
      </c>
      <c r="AW804" s="469"/>
    </row>
    <row r="805" spans="1:49" ht="14.45" customHeight="1" x14ac:dyDescent="0.25">
      <c r="A805" s="297">
        <f t="shared" si="12"/>
        <v>46.7</v>
      </c>
      <c r="B805" s="465">
        <v>41274</v>
      </c>
      <c r="C805" s="466" t="s">
        <v>453</v>
      </c>
      <c r="D805" s="466" t="s">
        <v>453</v>
      </c>
      <c r="E805" s="466" t="s">
        <v>380</v>
      </c>
      <c r="F805" s="466" t="s">
        <v>527</v>
      </c>
      <c r="G805" s="290" t="s">
        <v>41</v>
      </c>
      <c r="H805" s="291">
        <v>7</v>
      </c>
      <c r="I805" s="291"/>
      <c r="J805" s="291"/>
      <c r="K805" s="291"/>
      <c r="L805" s="292"/>
      <c r="M805" s="292"/>
      <c r="N805" s="292"/>
      <c r="O805" s="292"/>
      <c r="P805" s="294">
        <v>0</v>
      </c>
      <c r="Q805" s="294">
        <v>0</v>
      </c>
      <c r="R805" s="294"/>
      <c r="S805" s="294"/>
      <c r="T805" s="294"/>
      <c r="U805" s="294"/>
      <c r="V805" s="431"/>
      <c r="W805" s="294"/>
      <c r="X805" s="294"/>
      <c r="Y805" s="294">
        <f>IF(NFI_Expiration=1,IF($A805&lt;VLOOKUP(H$5,NFI,5,0),1,0)*Table_NFI[[#This Row],[Hygiene Kit]],Table_NFI[Hygiene Kit])</f>
        <v>0</v>
      </c>
      <c r="Z805" s="294">
        <f>IF(NFI_Expiration=1,IF($A805&lt;VLOOKUP(I$5,NFI,5,0),1,0)*Table_NFI[[#This Row],[NFI Core Kit]],Table_NFI[NFI Core Kit])</f>
        <v>0</v>
      </c>
      <c r="AA805" s="294">
        <f>IF(NFI_Expiration=1,IF($A805&lt;VLOOKUP(J$5,NFI,5,0),1,0)*Table_NFI[[#This Row],[Sanitary Kit]],Table_NFI[Sanitary Kit])</f>
        <v>0</v>
      </c>
      <c r="AB805" s="294">
        <f>IF(NFI_Expiration=1,IF($A805&lt;VLOOKUP(K$5,NFI,5,0),1,0)*Table_NFI[[#This Row],[Mosquito net]],Table_NFI[Mosquito net])</f>
        <v>0</v>
      </c>
      <c r="AC805" s="294">
        <f>IF(NFI_Expiration=1,IF($A805&lt;VLOOKUP(L$5,NFI,5,0),1,0)*Table_NFI[[#This Row],[Tarpaulin]],Table_NFI[[#This Row],[Tarpaulin]])</f>
        <v>0</v>
      </c>
      <c r="AD805" s="294">
        <f>IF(NFI_Expiration=1,IF($A805&lt;VLOOKUP(M$5,NFI,5,0),1,0)*Table_NFI[[#This Row],[Blanket]],Table_NFI[[#This Row],[Blanket]])</f>
        <v>0</v>
      </c>
      <c r="AE805" s="294">
        <f>IF(NFI_Expiration=1,IF($A805&lt;VLOOKUP(N$5,NFI,5,0),1,0)*Table_NFI[[#This Row],[Kitchen Set]],Table_NFI[Kitchen Set])</f>
        <v>0</v>
      </c>
      <c r="AF805" s="294">
        <f>IF(NFI_Expiration=1,IF($A805&lt;VLOOKUP(O$5,NFI,5,0),1,0)*Table_NFI[[#This Row],[Clothes Kit]],Table_NFI[Clothes Kit])</f>
        <v>0</v>
      </c>
      <c r="AG805" s="294">
        <f>IF(NFI_Expiration=1,IF($A805&lt;VLOOKUP(P$5,NFI,5,0),1,0)*Table_NFI[[#This Row],[Plastic Bucket]],Table_NFI[Plastic Bucket])</f>
        <v>0</v>
      </c>
      <c r="AH805" s="294">
        <f>IF(NFI_Expiration=1,IF($A805&lt;VLOOKUP(Q$5,NFI,5,0),1,0)*Table_NFI[[#This Row],[Plastic Mat]],Table_NFI[Plastic Mat])*IF(Table_NFI[[#This Row],[Distribution Date]]&gt;"2014-04-01",1,2.5)</f>
        <v>0</v>
      </c>
      <c r="AI805" s="294">
        <f>IF(NFI_Expiration=1,IF($A805&lt;VLOOKUP(R$5,NFI,5,0),1,0)*Table_NFI[[#This Row],[Winter Clothes Adult]],Table_NFI[Winter Clothes Adult])</f>
        <v>0</v>
      </c>
      <c r="AJ805" s="294">
        <f>IF(NFI_Expiration=1,IF($A805&lt;VLOOKUP(S$5,NFI,5,0),1,0)*Table_NFI[[#This Row],[Winter Clothes Children]],Table_NFI[Winter Clothes Children])</f>
        <v>0</v>
      </c>
      <c r="AK805" s="294">
        <f>IF(NFI_Expiration=1,IF($A805&lt;VLOOKUP(T$5,NFI,5,0),1,0)*Table_NFI[[#This Row],[Winter Items Other]],Table_NFI[Winter Items Other])</f>
        <v>0</v>
      </c>
      <c r="AL805" s="294">
        <f>IF(NFI_Expiration=1,IF($A805&lt;VLOOKUP(M$5,NFI,5,0),1,0)*Table_NFI[[#This Row],[Winter Blanket]],Table_NFI[[#This Row],[Winter Blanket]])</f>
        <v>0</v>
      </c>
      <c r="AM805" s="294">
        <f>IF(Table_NFI[[#This Row],[Winter Clothes Adult]]+Table_NFI[[#This Row],[Winter Clothes Children]]+Table_NFI[[#This Row],[Winter Items Other]]+Table_NFI[[#This Row],[Winter Blanket]]&gt;0,1,0)</f>
        <v>0</v>
      </c>
      <c r="AN805" s="331">
        <f>IF(NFI_Expiration=1,IF($A805&lt;VLOOKUP(V$5,NFI,5,0),1,0)*Table_NFI[[#This Row],[Jerry Can]],Table_NFI[Jerry Can])</f>
        <v>0</v>
      </c>
      <c r="AO805" s="331">
        <f>IF(NFI_Expiration=1,IF($A805&lt;VLOOKUP(V$5,NFI,5,0),1,0)*Table_NFI[[#This Row],[Shelter Tool kit]],Table_NFI[Shelter Tool kit])</f>
        <v>0</v>
      </c>
      <c r="AP805" s="331">
        <f>IF(NFI_Expiration=1,IF($A805&lt;VLOOKUP(V$5,NFI,5,0),1,0)*Table_NFI[[#This Row],[Tent]],Table_NFI[Tent])</f>
        <v>0</v>
      </c>
      <c r="AQ805" s="473" t="str">
        <f>IFERROR(VLOOKUP(Table_NFI[[#This Row],[Camp Name]],CL,2,0),"")</f>
        <v>MMR001CMP176</v>
      </c>
      <c r="AR805" s="468">
        <f ca="1">IF(Table_NFI[[#This Row],[Pcode]]="","",IF(OFFSET(CampList[Opening Date],MATCH(Table_NFI[[#This Row],[Pcode]],CampList[CP_Pcode],0)-1,0,1,1)&gt;=NFI_Monitor_Date,1,0))</f>
        <v>0</v>
      </c>
      <c r="AS805" s="473" t="str">
        <f>IFERROR(VLOOKUP(Table_NFI[[#This Row],[Camp Name]],CL,3,0),"")</f>
        <v>Open</v>
      </c>
      <c r="AT805" s="294" t="str">
        <f ca="1">IF(Table_NFI[[#This Row],[Pcode]]="","",OFFSET(CampList[Priority],MATCH(Table_NFI[[#This Row],[Pcode]],CampList[CP_Pcode],0)-1,0,1,1))</f>
        <v>P4</v>
      </c>
      <c r="AU805" s="293">
        <f>IFERROR(Table_NFI[[#This Row],[Kitchen Set]]/VLOOKUP(Table_NFI[[#This Row],[Camp Name]],CL,4,0),"")</f>
        <v>0</v>
      </c>
      <c r="AV805" s="466" t="s">
        <v>1092</v>
      </c>
      <c r="AW805" s="469"/>
    </row>
    <row r="806" spans="1:49" ht="14.45" customHeight="1" x14ac:dyDescent="0.25">
      <c r="A806" s="297">
        <f t="shared" si="12"/>
        <v>46.7</v>
      </c>
      <c r="B806" s="465">
        <v>41274</v>
      </c>
      <c r="C806" s="466" t="s">
        <v>453</v>
      </c>
      <c r="D806" s="467" t="s">
        <v>453</v>
      </c>
      <c r="E806" s="466" t="s">
        <v>380</v>
      </c>
      <c r="F806" s="290" t="s">
        <v>527</v>
      </c>
      <c r="G806" s="290" t="s">
        <v>43</v>
      </c>
      <c r="H806" s="291">
        <v>4</v>
      </c>
      <c r="I806" s="291"/>
      <c r="J806" s="291"/>
      <c r="K806" s="291"/>
      <c r="L806" s="292"/>
      <c r="M806" s="292"/>
      <c r="N806" s="292"/>
      <c r="O806" s="292"/>
      <c r="P806" s="294">
        <v>0</v>
      </c>
      <c r="Q806" s="294">
        <v>0</v>
      </c>
      <c r="R806" s="294"/>
      <c r="S806" s="294"/>
      <c r="T806" s="294"/>
      <c r="U806" s="294"/>
      <c r="V806" s="431"/>
      <c r="W806" s="294"/>
      <c r="X806" s="294"/>
      <c r="Y806" s="294">
        <f>IF(NFI_Expiration=1,IF($A806&lt;VLOOKUP(H$5,NFI,5,0),1,0)*Table_NFI[[#This Row],[Hygiene Kit]],Table_NFI[Hygiene Kit])</f>
        <v>0</v>
      </c>
      <c r="Z806" s="294">
        <f>IF(NFI_Expiration=1,IF($A806&lt;VLOOKUP(I$5,NFI,5,0),1,0)*Table_NFI[[#This Row],[NFI Core Kit]],Table_NFI[NFI Core Kit])</f>
        <v>0</v>
      </c>
      <c r="AA806" s="294">
        <f>IF(NFI_Expiration=1,IF($A806&lt;VLOOKUP(J$5,NFI,5,0),1,0)*Table_NFI[[#This Row],[Sanitary Kit]],Table_NFI[Sanitary Kit])</f>
        <v>0</v>
      </c>
      <c r="AB806" s="294">
        <f>IF(NFI_Expiration=1,IF($A806&lt;VLOOKUP(K$5,NFI,5,0),1,0)*Table_NFI[[#This Row],[Mosquito net]],Table_NFI[Mosquito net])</f>
        <v>0</v>
      </c>
      <c r="AC806" s="294">
        <f>IF(NFI_Expiration=1,IF($A806&lt;VLOOKUP(L$5,NFI,5,0),1,0)*Table_NFI[[#This Row],[Tarpaulin]],Table_NFI[[#This Row],[Tarpaulin]])</f>
        <v>0</v>
      </c>
      <c r="AD806" s="294">
        <f>IF(NFI_Expiration=1,IF($A806&lt;VLOOKUP(M$5,NFI,5,0),1,0)*Table_NFI[[#This Row],[Blanket]],Table_NFI[[#This Row],[Blanket]])</f>
        <v>0</v>
      </c>
      <c r="AE806" s="294">
        <f>IF(NFI_Expiration=1,IF($A806&lt;VLOOKUP(N$5,NFI,5,0),1,0)*Table_NFI[[#This Row],[Kitchen Set]],Table_NFI[Kitchen Set])</f>
        <v>0</v>
      </c>
      <c r="AF806" s="294">
        <f>IF(NFI_Expiration=1,IF($A806&lt;VLOOKUP(O$5,NFI,5,0),1,0)*Table_NFI[[#This Row],[Clothes Kit]],Table_NFI[Clothes Kit])</f>
        <v>0</v>
      </c>
      <c r="AG806" s="294">
        <f>IF(NFI_Expiration=1,IF($A806&lt;VLOOKUP(P$5,NFI,5,0),1,0)*Table_NFI[[#This Row],[Plastic Bucket]],Table_NFI[Plastic Bucket])</f>
        <v>0</v>
      </c>
      <c r="AH806" s="294">
        <f>IF(NFI_Expiration=1,IF($A806&lt;VLOOKUP(Q$5,NFI,5,0),1,0)*Table_NFI[[#This Row],[Plastic Mat]],Table_NFI[Plastic Mat])*IF(Table_NFI[[#This Row],[Distribution Date]]&gt;"2014-04-01",1,2.5)</f>
        <v>0</v>
      </c>
      <c r="AI806" s="294">
        <f>IF(NFI_Expiration=1,IF($A806&lt;VLOOKUP(R$5,NFI,5,0),1,0)*Table_NFI[[#This Row],[Winter Clothes Adult]],Table_NFI[Winter Clothes Adult])</f>
        <v>0</v>
      </c>
      <c r="AJ806" s="294">
        <f>IF(NFI_Expiration=1,IF($A806&lt;VLOOKUP(S$5,NFI,5,0),1,0)*Table_NFI[[#This Row],[Winter Clothes Children]],Table_NFI[Winter Clothes Children])</f>
        <v>0</v>
      </c>
      <c r="AK806" s="294">
        <f>IF(NFI_Expiration=1,IF($A806&lt;VLOOKUP(T$5,NFI,5,0),1,0)*Table_NFI[[#This Row],[Winter Items Other]],Table_NFI[Winter Items Other])</f>
        <v>0</v>
      </c>
      <c r="AL806" s="294">
        <f>IF(NFI_Expiration=1,IF($A806&lt;VLOOKUP(M$5,NFI,5,0),1,0)*Table_NFI[[#This Row],[Winter Blanket]],Table_NFI[[#This Row],[Winter Blanket]])</f>
        <v>0</v>
      </c>
      <c r="AM806" s="294">
        <f>IF(Table_NFI[[#This Row],[Winter Clothes Adult]]+Table_NFI[[#This Row],[Winter Clothes Children]]+Table_NFI[[#This Row],[Winter Items Other]]+Table_NFI[[#This Row],[Winter Blanket]]&gt;0,1,0)</f>
        <v>0</v>
      </c>
      <c r="AN806" s="331">
        <f>IF(NFI_Expiration=1,IF($A806&lt;VLOOKUP(V$5,NFI,5,0),1,0)*Table_NFI[[#This Row],[Jerry Can]],Table_NFI[Jerry Can])</f>
        <v>0</v>
      </c>
      <c r="AO806" s="331">
        <f>IF(NFI_Expiration=1,IF($A806&lt;VLOOKUP(V$5,NFI,5,0),1,0)*Table_NFI[[#This Row],[Shelter Tool kit]],Table_NFI[Shelter Tool kit])</f>
        <v>0</v>
      </c>
      <c r="AP806" s="331">
        <f>IF(NFI_Expiration=1,IF($A806&lt;VLOOKUP(V$5,NFI,5,0),1,0)*Table_NFI[[#This Row],[Tent]],Table_NFI[Tent])</f>
        <v>0</v>
      </c>
      <c r="AQ806" s="473" t="str">
        <f>IFERROR(VLOOKUP(Table_NFI[[#This Row],[Camp Name]],CL,2,0),"")</f>
        <v>MMR001CMP190</v>
      </c>
      <c r="AR806" s="468">
        <f ca="1">IF(Table_NFI[[#This Row],[Pcode]]="","",IF(OFFSET(CampList[Opening Date],MATCH(Table_NFI[[#This Row],[Pcode]],CampList[CP_Pcode],0)-1,0,1,1)&gt;=NFI_Monitor_Date,1,0))</f>
        <v>0</v>
      </c>
      <c r="AS806" s="473" t="str">
        <f>IFERROR(VLOOKUP(Table_NFI[[#This Row],[Camp Name]],CL,3,0),"")</f>
        <v>Open</v>
      </c>
      <c r="AT806" s="294" t="str">
        <f ca="1">IF(Table_NFI[[#This Row],[Pcode]]="","",OFFSET(CampList[Priority],MATCH(Table_NFI[[#This Row],[Pcode]],CampList[CP_Pcode],0)-1,0,1,1))</f>
        <v>P4</v>
      </c>
      <c r="AU806" s="293">
        <f>IFERROR(Table_NFI[[#This Row],[Kitchen Set]]/VLOOKUP(Table_NFI[[#This Row],[Camp Name]],CL,4,0),"")</f>
        <v>0</v>
      </c>
      <c r="AV806" s="466" t="s">
        <v>1092</v>
      </c>
      <c r="AW806" s="469"/>
    </row>
    <row r="807" spans="1:49" x14ac:dyDescent="0.25">
      <c r="A807" s="297">
        <f t="shared" si="12"/>
        <v>46.7</v>
      </c>
      <c r="B807" s="465">
        <v>41274</v>
      </c>
      <c r="C807" s="466" t="s">
        <v>453</v>
      </c>
      <c r="D807" s="466" t="s">
        <v>453</v>
      </c>
      <c r="E807" s="466" t="s">
        <v>380</v>
      </c>
      <c r="F807" s="290" t="s">
        <v>527</v>
      </c>
      <c r="G807" s="290" t="s">
        <v>50</v>
      </c>
      <c r="H807" s="291">
        <v>16</v>
      </c>
      <c r="I807" s="291"/>
      <c r="J807" s="291"/>
      <c r="K807" s="291"/>
      <c r="L807" s="292"/>
      <c r="M807" s="292"/>
      <c r="N807" s="292"/>
      <c r="O807" s="292"/>
      <c r="P807" s="294">
        <v>0</v>
      </c>
      <c r="Q807" s="294">
        <v>0</v>
      </c>
      <c r="R807" s="294"/>
      <c r="S807" s="294"/>
      <c r="T807" s="294"/>
      <c r="U807" s="294"/>
      <c r="V807" s="431"/>
      <c r="W807" s="294"/>
      <c r="X807" s="294"/>
      <c r="Y807" s="294">
        <f>IF(NFI_Expiration=1,IF($A807&lt;VLOOKUP(H$5,NFI,5,0),1,0)*Table_NFI[[#This Row],[Hygiene Kit]],Table_NFI[Hygiene Kit])</f>
        <v>0</v>
      </c>
      <c r="Z807" s="294">
        <f>IF(NFI_Expiration=1,IF($A807&lt;VLOOKUP(I$5,NFI,5,0),1,0)*Table_NFI[[#This Row],[NFI Core Kit]],Table_NFI[NFI Core Kit])</f>
        <v>0</v>
      </c>
      <c r="AA807" s="294">
        <f>IF(NFI_Expiration=1,IF($A807&lt;VLOOKUP(J$5,NFI,5,0),1,0)*Table_NFI[[#This Row],[Sanitary Kit]],Table_NFI[Sanitary Kit])</f>
        <v>0</v>
      </c>
      <c r="AB807" s="294">
        <f>IF(NFI_Expiration=1,IF($A807&lt;VLOOKUP(K$5,NFI,5,0),1,0)*Table_NFI[[#This Row],[Mosquito net]],Table_NFI[Mosquito net])</f>
        <v>0</v>
      </c>
      <c r="AC807" s="294">
        <f>IF(NFI_Expiration=1,IF($A807&lt;VLOOKUP(L$5,NFI,5,0),1,0)*Table_NFI[[#This Row],[Tarpaulin]],Table_NFI[[#This Row],[Tarpaulin]])</f>
        <v>0</v>
      </c>
      <c r="AD807" s="294">
        <f>IF(NFI_Expiration=1,IF($A807&lt;VLOOKUP(M$5,NFI,5,0),1,0)*Table_NFI[[#This Row],[Blanket]],Table_NFI[[#This Row],[Blanket]])</f>
        <v>0</v>
      </c>
      <c r="AE807" s="294">
        <f>IF(NFI_Expiration=1,IF($A807&lt;VLOOKUP(N$5,NFI,5,0),1,0)*Table_NFI[[#This Row],[Kitchen Set]],Table_NFI[Kitchen Set])</f>
        <v>0</v>
      </c>
      <c r="AF807" s="294">
        <f>IF(NFI_Expiration=1,IF($A807&lt;VLOOKUP(O$5,NFI,5,0),1,0)*Table_NFI[[#This Row],[Clothes Kit]],Table_NFI[Clothes Kit])</f>
        <v>0</v>
      </c>
      <c r="AG807" s="294">
        <f>IF(NFI_Expiration=1,IF($A807&lt;VLOOKUP(P$5,NFI,5,0),1,0)*Table_NFI[[#This Row],[Plastic Bucket]],Table_NFI[Plastic Bucket])</f>
        <v>0</v>
      </c>
      <c r="AH807" s="294">
        <f>IF(NFI_Expiration=1,IF($A807&lt;VLOOKUP(Q$5,NFI,5,0),1,0)*Table_NFI[[#This Row],[Plastic Mat]],Table_NFI[Plastic Mat])*IF(Table_NFI[[#This Row],[Distribution Date]]&gt;"2014-04-01",1,2.5)</f>
        <v>0</v>
      </c>
      <c r="AI807" s="294">
        <f>IF(NFI_Expiration=1,IF($A807&lt;VLOOKUP(R$5,NFI,5,0),1,0)*Table_NFI[[#This Row],[Winter Clothes Adult]],Table_NFI[Winter Clothes Adult])</f>
        <v>0</v>
      </c>
      <c r="AJ807" s="294">
        <f>IF(NFI_Expiration=1,IF($A807&lt;VLOOKUP(S$5,NFI,5,0),1,0)*Table_NFI[[#This Row],[Winter Clothes Children]],Table_NFI[Winter Clothes Children])</f>
        <v>0</v>
      </c>
      <c r="AK807" s="294">
        <f>IF(NFI_Expiration=1,IF($A807&lt;VLOOKUP(T$5,NFI,5,0),1,0)*Table_NFI[[#This Row],[Winter Items Other]],Table_NFI[Winter Items Other])</f>
        <v>0</v>
      </c>
      <c r="AL807" s="294">
        <f>IF(NFI_Expiration=1,IF($A807&lt;VLOOKUP(M$5,NFI,5,0),1,0)*Table_NFI[[#This Row],[Winter Blanket]],Table_NFI[[#This Row],[Winter Blanket]])</f>
        <v>0</v>
      </c>
      <c r="AM807" s="294">
        <f>IF(Table_NFI[[#This Row],[Winter Clothes Adult]]+Table_NFI[[#This Row],[Winter Clothes Children]]+Table_NFI[[#This Row],[Winter Items Other]]+Table_NFI[[#This Row],[Winter Blanket]]&gt;0,1,0)</f>
        <v>0</v>
      </c>
      <c r="AN807" s="331">
        <f>IF(NFI_Expiration=1,IF($A807&lt;VLOOKUP(V$5,NFI,5,0),1,0)*Table_NFI[[#This Row],[Jerry Can]],Table_NFI[Jerry Can])</f>
        <v>0</v>
      </c>
      <c r="AO807" s="331">
        <f>IF(NFI_Expiration=1,IF($A807&lt;VLOOKUP(V$5,NFI,5,0),1,0)*Table_NFI[[#This Row],[Shelter Tool kit]],Table_NFI[Shelter Tool kit])</f>
        <v>0</v>
      </c>
      <c r="AP807" s="331">
        <f>IF(NFI_Expiration=1,IF($A807&lt;VLOOKUP(V$5,NFI,5,0),1,0)*Table_NFI[[#This Row],[Tent]],Table_NFI[Tent])</f>
        <v>0</v>
      </c>
      <c r="AQ807" s="473" t="str">
        <f>IFERROR(VLOOKUP(Table_NFI[[#This Row],[Camp Name]],CL,2,0),"")</f>
        <v>MMR001CMP092</v>
      </c>
      <c r="AR807" s="468">
        <f ca="1">IF(Table_NFI[[#This Row],[Pcode]]="","",IF(OFFSET(CampList[Opening Date],MATCH(Table_NFI[[#This Row],[Pcode]],CampList[CP_Pcode],0)-1,0,1,1)&gt;=NFI_Monitor_Date,1,0))</f>
        <v>0</v>
      </c>
      <c r="AS807" s="473" t="str">
        <f>IFERROR(VLOOKUP(Table_NFI[[#This Row],[Camp Name]],CL,3,0),"")</f>
        <v>Closed</v>
      </c>
      <c r="AT807" s="294" t="str">
        <f ca="1">IF(Table_NFI[[#This Row],[Pcode]]="","",OFFSET(CampList[Priority],MATCH(Table_NFI[[#This Row],[Pcode]],CampList[CP_Pcode],0)-1,0,1,1))</f>
        <v/>
      </c>
      <c r="AU807" s="293" t="str">
        <f>IFERROR(Table_NFI[[#This Row],[Kitchen Set]]/VLOOKUP(Table_NFI[[#This Row],[Camp Name]],CL,4,0),"")</f>
        <v/>
      </c>
      <c r="AV807" s="466" t="s">
        <v>1092</v>
      </c>
      <c r="AW807" s="469"/>
    </row>
    <row r="808" spans="1:49" x14ac:dyDescent="0.25">
      <c r="A808" s="297">
        <f t="shared" si="12"/>
        <v>46.7</v>
      </c>
      <c r="B808" s="465">
        <v>41274</v>
      </c>
      <c r="C808" s="466" t="s">
        <v>453</v>
      </c>
      <c r="D808" s="467" t="s">
        <v>453</v>
      </c>
      <c r="E808" s="466" t="s">
        <v>380</v>
      </c>
      <c r="F808" s="290" t="s">
        <v>527</v>
      </c>
      <c r="G808" s="290" t="s">
        <v>52</v>
      </c>
      <c r="H808" s="291">
        <v>20</v>
      </c>
      <c r="I808" s="291"/>
      <c r="J808" s="291"/>
      <c r="K808" s="291"/>
      <c r="L808" s="292"/>
      <c r="M808" s="292"/>
      <c r="N808" s="292"/>
      <c r="O808" s="292"/>
      <c r="P808" s="294">
        <v>0</v>
      </c>
      <c r="Q808" s="294">
        <v>0</v>
      </c>
      <c r="R808" s="294"/>
      <c r="S808" s="294"/>
      <c r="T808" s="294"/>
      <c r="U808" s="294"/>
      <c r="V808" s="431"/>
      <c r="W808" s="294"/>
      <c r="X808" s="294"/>
      <c r="Y808" s="294">
        <f>IF(NFI_Expiration=1,IF($A808&lt;VLOOKUP(H$5,NFI,5,0),1,0)*Table_NFI[[#This Row],[Hygiene Kit]],Table_NFI[Hygiene Kit])</f>
        <v>0</v>
      </c>
      <c r="Z808" s="294">
        <f>IF(NFI_Expiration=1,IF($A808&lt;VLOOKUP(I$5,NFI,5,0),1,0)*Table_NFI[[#This Row],[NFI Core Kit]],Table_NFI[NFI Core Kit])</f>
        <v>0</v>
      </c>
      <c r="AA808" s="294">
        <f>IF(NFI_Expiration=1,IF($A808&lt;VLOOKUP(J$5,NFI,5,0),1,0)*Table_NFI[[#This Row],[Sanitary Kit]],Table_NFI[Sanitary Kit])</f>
        <v>0</v>
      </c>
      <c r="AB808" s="294">
        <f>IF(NFI_Expiration=1,IF($A808&lt;VLOOKUP(K$5,NFI,5,0),1,0)*Table_NFI[[#This Row],[Mosquito net]],Table_NFI[Mosquito net])</f>
        <v>0</v>
      </c>
      <c r="AC808" s="294">
        <f>IF(NFI_Expiration=1,IF($A808&lt;VLOOKUP(L$5,NFI,5,0),1,0)*Table_NFI[[#This Row],[Tarpaulin]],Table_NFI[[#This Row],[Tarpaulin]])</f>
        <v>0</v>
      </c>
      <c r="AD808" s="294">
        <f>IF(NFI_Expiration=1,IF($A808&lt;VLOOKUP(M$5,NFI,5,0),1,0)*Table_NFI[[#This Row],[Blanket]],Table_NFI[[#This Row],[Blanket]])</f>
        <v>0</v>
      </c>
      <c r="AE808" s="294">
        <f>IF(NFI_Expiration=1,IF($A808&lt;VLOOKUP(N$5,NFI,5,0),1,0)*Table_NFI[[#This Row],[Kitchen Set]],Table_NFI[Kitchen Set])</f>
        <v>0</v>
      </c>
      <c r="AF808" s="294">
        <f>IF(NFI_Expiration=1,IF($A808&lt;VLOOKUP(O$5,NFI,5,0),1,0)*Table_NFI[[#This Row],[Clothes Kit]],Table_NFI[Clothes Kit])</f>
        <v>0</v>
      </c>
      <c r="AG808" s="294">
        <f>IF(NFI_Expiration=1,IF($A808&lt;VLOOKUP(P$5,NFI,5,0),1,0)*Table_NFI[[#This Row],[Plastic Bucket]],Table_NFI[Plastic Bucket])</f>
        <v>0</v>
      </c>
      <c r="AH808" s="294">
        <f>IF(NFI_Expiration=1,IF($A808&lt;VLOOKUP(Q$5,NFI,5,0),1,0)*Table_NFI[[#This Row],[Plastic Mat]],Table_NFI[Plastic Mat])*IF(Table_NFI[[#This Row],[Distribution Date]]&gt;"2014-04-01",1,2.5)</f>
        <v>0</v>
      </c>
      <c r="AI808" s="294">
        <f>IF(NFI_Expiration=1,IF($A808&lt;VLOOKUP(R$5,NFI,5,0),1,0)*Table_NFI[[#This Row],[Winter Clothes Adult]],Table_NFI[Winter Clothes Adult])</f>
        <v>0</v>
      </c>
      <c r="AJ808" s="294">
        <f>IF(NFI_Expiration=1,IF($A808&lt;VLOOKUP(S$5,NFI,5,0),1,0)*Table_NFI[[#This Row],[Winter Clothes Children]],Table_NFI[Winter Clothes Children])</f>
        <v>0</v>
      </c>
      <c r="AK808" s="294">
        <f>IF(NFI_Expiration=1,IF($A808&lt;VLOOKUP(T$5,NFI,5,0),1,0)*Table_NFI[[#This Row],[Winter Items Other]],Table_NFI[Winter Items Other])</f>
        <v>0</v>
      </c>
      <c r="AL808" s="294">
        <f>IF(NFI_Expiration=1,IF($A808&lt;VLOOKUP(M$5,NFI,5,0),1,0)*Table_NFI[[#This Row],[Winter Blanket]],Table_NFI[[#This Row],[Winter Blanket]])</f>
        <v>0</v>
      </c>
      <c r="AM808" s="294">
        <f>IF(Table_NFI[[#This Row],[Winter Clothes Adult]]+Table_NFI[[#This Row],[Winter Clothes Children]]+Table_NFI[[#This Row],[Winter Items Other]]+Table_NFI[[#This Row],[Winter Blanket]]&gt;0,1,0)</f>
        <v>0</v>
      </c>
      <c r="AN808" s="331">
        <f>IF(NFI_Expiration=1,IF($A808&lt;VLOOKUP(V$5,NFI,5,0),1,0)*Table_NFI[[#This Row],[Jerry Can]],Table_NFI[Jerry Can])</f>
        <v>0</v>
      </c>
      <c r="AO808" s="331">
        <f>IF(NFI_Expiration=1,IF($A808&lt;VLOOKUP(V$5,NFI,5,0),1,0)*Table_NFI[[#This Row],[Shelter Tool kit]],Table_NFI[Shelter Tool kit])</f>
        <v>0</v>
      </c>
      <c r="AP808" s="331">
        <f>IF(NFI_Expiration=1,IF($A808&lt;VLOOKUP(V$5,NFI,5,0),1,0)*Table_NFI[[#This Row],[Tent]],Table_NFI[Tent])</f>
        <v>0</v>
      </c>
      <c r="AQ808" s="473" t="str">
        <f>IFERROR(VLOOKUP(Table_NFI[[#This Row],[Camp Name]],CL,2,0),"")</f>
        <v>MMR001CMP169</v>
      </c>
      <c r="AR808" s="468">
        <f ca="1">IF(Table_NFI[[#This Row],[Pcode]]="","",IF(OFFSET(CampList[Opening Date],MATCH(Table_NFI[[#This Row],[Pcode]],CampList[CP_Pcode],0)-1,0,1,1)&gt;=NFI_Monitor_Date,1,0))</f>
        <v>0</v>
      </c>
      <c r="AS808" s="473" t="str">
        <f>IFERROR(VLOOKUP(Table_NFI[[#This Row],[Camp Name]],CL,3,0),"")</f>
        <v>Open</v>
      </c>
      <c r="AT808" s="294" t="str">
        <f ca="1">IF(Table_NFI[[#This Row],[Pcode]]="","",OFFSET(CampList[Priority],MATCH(Table_NFI[[#This Row],[Pcode]],CampList[CP_Pcode],0)-1,0,1,1))</f>
        <v>P4</v>
      </c>
      <c r="AU808" s="293">
        <f>IFERROR(Table_NFI[[#This Row],[Kitchen Set]]/VLOOKUP(Table_NFI[[#This Row],[Camp Name]],CL,4,0),"")</f>
        <v>0</v>
      </c>
      <c r="AV808" s="466" t="s">
        <v>1092</v>
      </c>
      <c r="AW808" s="469"/>
    </row>
    <row r="809" spans="1:49" ht="14.45" customHeight="1" x14ac:dyDescent="0.25">
      <c r="A809" s="297">
        <f t="shared" si="12"/>
        <v>46.7</v>
      </c>
      <c r="B809" s="465">
        <v>41274</v>
      </c>
      <c r="C809" s="466" t="s">
        <v>453</v>
      </c>
      <c r="D809" s="467" t="s">
        <v>453</v>
      </c>
      <c r="E809" s="466" t="s">
        <v>380</v>
      </c>
      <c r="F809" s="290" t="s">
        <v>527</v>
      </c>
      <c r="G809" s="290" t="s">
        <v>60</v>
      </c>
      <c r="H809" s="291">
        <v>3</v>
      </c>
      <c r="I809" s="291"/>
      <c r="J809" s="291"/>
      <c r="K809" s="291"/>
      <c r="L809" s="292"/>
      <c r="M809" s="292"/>
      <c r="N809" s="292"/>
      <c r="O809" s="292"/>
      <c r="P809" s="294">
        <v>0</v>
      </c>
      <c r="Q809" s="294">
        <v>0</v>
      </c>
      <c r="R809" s="294"/>
      <c r="S809" s="294"/>
      <c r="T809" s="294"/>
      <c r="U809" s="294"/>
      <c r="V809" s="431"/>
      <c r="W809" s="294"/>
      <c r="X809" s="294"/>
      <c r="Y809" s="294">
        <f>IF(NFI_Expiration=1,IF($A809&lt;VLOOKUP(H$5,NFI,5,0),1,0)*Table_NFI[[#This Row],[Hygiene Kit]],Table_NFI[Hygiene Kit])</f>
        <v>0</v>
      </c>
      <c r="Z809" s="294">
        <f>IF(NFI_Expiration=1,IF($A809&lt;VLOOKUP(I$5,NFI,5,0),1,0)*Table_NFI[[#This Row],[NFI Core Kit]],Table_NFI[NFI Core Kit])</f>
        <v>0</v>
      </c>
      <c r="AA809" s="294">
        <f>IF(NFI_Expiration=1,IF($A809&lt;VLOOKUP(J$5,NFI,5,0),1,0)*Table_NFI[[#This Row],[Sanitary Kit]],Table_NFI[Sanitary Kit])</f>
        <v>0</v>
      </c>
      <c r="AB809" s="294">
        <f>IF(NFI_Expiration=1,IF($A809&lt;VLOOKUP(K$5,NFI,5,0),1,0)*Table_NFI[[#This Row],[Mosquito net]],Table_NFI[Mosquito net])</f>
        <v>0</v>
      </c>
      <c r="AC809" s="294">
        <f>IF(NFI_Expiration=1,IF($A809&lt;VLOOKUP(L$5,NFI,5,0),1,0)*Table_NFI[[#This Row],[Tarpaulin]],Table_NFI[[#This Row],[Tarpaulin]])</f>
        <v>0</v>
      </c>
      <c r="AD809" s="294">
        <f>IF(NFI_Expiration=1,IF($A809&lt;VLOOKUP(M$5,NFI,5,0),1,0)*Table_NFI[[#This Row],[Blanket]],Table_NFI[[#This Row],[Blanket]])</f>
        <v>0</v>
      </c>
      <c r="AE809" s="294">
        <f>IF(NFI_Expiration=1,IF($A809&lt;VLOOKUP(N$5,NFI,5,0),1,0)*Table_NFI[[#This Row],[Kitchen Set]],Table_NFI[Kitchen Set])</f>
        <v>0</v>
      </c>
      <c r="AF809" s="294">
        <f>IF(NFI_Expiration=1,IF($A809&lt;VLOOKUP(O$5,NFI,5,0),1,0)*Table_NFI[[#This Row],[Clothes Kit]],Table_NFI[Clothes Kit])</f>
        <v>0</v>
      </c>
      <c r="AG809" s="294">
        <f>IF(NFI_Expiration=1,IF($A809&lt;VLOOKUP(P$5,NFI,5,0),1,0)*Table_NFI[[#This Row],[Plastic Bucket]],Table_NFI[Plastic Bucket])</f>
        <v>0</v>
      </c>
      <c r="AH809" s="294">
        <f>IF(NFI_Expiration=1,IF($A809&lt;VLOOKUP(Q$5,NFI,5,0),1,0)*Table_NFI[[#This Row],[Plastic Mat]],Table_NFI[Plastic Mat])*IF(Table_NFI[[#This Row],[Distribution Date]]&gt;"2014-04-01",1,2.5)</f>
        <v>0</v>
      </c>
      <c r="AI809" s="294">
        <f>IF(NFI_Expiration=1,IF($A809&lt;VLOOKUP(R$5,NFI,5,0),1,0)*Table_NFI[[#This Row],[Winter Clothes Adult]],Table_NFI[Winter Clothes Adult])</f>
        <v>0</v>
      </c>
      <c r="AJ809" s="294">
        <f>IF(NFI_Expiration=1,IF($A809&lt;VLOOKUP(S$5,NFI,5,0),1,0)*Table_NFI[[#This Row],[Winter Clothes Children]],Table_NFI[Winter Clothes Children])</f>
        <v>0</v>
      </c>
      <c r="AK809" s="294">
        <f>IF(NFI_Expiration=1,IF($A809&lt;VLOOKUP(T$5,NFI,5,0),1,0)*Table_NFI[[#This Row],[Winter Items Other]],Table_NFI[Winter Items Other])</f>
        <v>0</v>
      </c>
      <c r="AL809" s="294">
        <f>IF(NFI_Expiration=1,IF($A809&lt;VLOOKUP(M$5,NFI,5,0),1,0)*Table_NFI[[#This Row],[Winter Blanket]],Table_NFI[[#This Row],[Winter Blanket]])</f>
        <v>0</v>
      </c>
      <c r="AM809" s="294">
        <f>IF(Table_NFI[[#This Row],[Winter Clothes Adult]]+Table_NFI[[#This Row],[Winter Clothes Children]]+Table_NFI[[#This Row],[Winter Items Other]]+Table_NFI[[#This Row],[Winter Blanket]]&gt;0,1,0)</f>
        <v>0</v>
      </c>
      <c r="AN809" s="331">
        <f>IF(NFI_Expiration=1,IF($A809&lt;VLOOKUP(V$5,NFI,5,0),1,0)*Table_NFI[[#This Row],[Jerry Can]],Table_NFI[Jerry Can])</f>
        <v>0</v>
      </c>
      <c r="AO809" s="331">
        <f>IF(NFI_Expiration=1,IF($A809&lt;VLOOKUP(V$5,NFI,5,0),1,0)*Table_NFI[[#This Row],[Shelter Tool kit]],Table_NFI[Shelter Tool kit])</f>
        <v>0</v>
      </c>
      <c r="AP809" s="331">
        <f>IF(NFI_Expiration=1,IF($A809&lt;VLOOKUP(V$5,NFI,5,0),1,0)*Table_NFI[[#This Row],[Tent]],Table_NFI[Tent])</f>
        <v>0</v>
      </c>
      <c r="AQ809" s="473" t="str">
        <f>IFERROR(VLOOKUP(Table_NFI[[#This Row],[Camp Name]],CL,2,0),"")</f>
        <v>MMR001CMP172</v>
      </c>
      <c r="AR809" s="468">
        <f ca="1">IF(Table_NFI[[#This Row],[Pcode]]="","",IF(OFFSET(CampList[Opening Date],MATCH(Table_NFI[[#This Row],[Pcode]],CampList[CP_Pcode],0)-1,0,1,1)&gt;=NFI_Monitor_Date,1,0))</f>
        <v>0</v>
      </c>
      <c r="AS809" s="473" t="str">
        <f>IFERROR(VLOOKUP(Table_NFI[[#This Row],[Camp Name]],CL,3,0),"")</f>
        <v>Closed</v>
      </c>
      <c r="AT809" s="294" t="str">
        <f ca="1">IF(Table_NFI[[#This Row],[Pcode]]="","",OFFSET(CampList[Priority],MATCH(Table_NFI[[#This Row],[Pcode]],CampList[CP_Pcode],0)-1,0,1,1))</f>
        <v/>
      </c>
      <c r="AU809" s="293" t="str">
        <f>IFERROR(Table_NFI[[#This Row],[Kitchen Set]]/VLOOKUP(Table_NFI[[#This Row],[Camp Name]],CL,4,0),"")</f>
        <v/>
      </c>
      <c r="AV809" s="466" t="s">
        <v>1092</v>
      </c>
      <c r="AW809" s="469"/>
    </row>
    <row r="810" spans="1:49" ht="14.45" customHeight="1" x14ac:dyDescent="0.25">
      <c r="A810" s="297">
        <f t="shared" si="12"/>
        <v>46.7</v>
      </c>
      <c r="B810" s="465">
        <v>41274</v>
      </c>
      <c r="C810" s="466" t="s">
        <v>453</v>
      </c>
      <c r="D810" s="467" t="s">
        <v>453</v>
      </c>
      <c r="E810" s="466" t="s">
        <v>380</v>
      </c>
      <c r="F810" s="290" t="s">
        <v>527</v>
      </c>
      <c r="G810" s="290" t="s">
        <v>76</v>
      </c>
      <c r="H810" s="291">
        <v>6</v>
      </c>
      <c r="I810" s="291"/>
      <c r="J810" s="291"/>
      <c r="K810" s="291"/>
      <c r="L810" s="292"/>
      <c r="M810" s="292"/>
      <c r="N810" s="292"/>
      <c r="O810" s="292"/>
      <c r="P810" s="294">
        <v>0</v>
      </c>
      <c r="Q810" s="294">
        <v>0</v>
      </c>
      <c r="R810" s="294"/>
      <c r="S810" s="294"/>
      <c r="T810" s="294"/>
      <c r="U810" s="294"/>
      <c r="V810" s="431"/>
      <c r="W810" s="294"/>
      <c r="X810" s="294"/>
      <c r="Y810" s="294">
        <f>IF(NFI_Expiration=1,IF($A810&lt;VLOOKUP(H$5,NFI,5,0),1,0)*Table_NFI[[#This Row],[Hygiene Kit]],Table_NFI[Hygiene Kit])</f>
        <v>0</v>
      </c>
      <c r="Z810" s="294">
        <f>IF(NFI_Expiration=1,IF($A810&lt;VLOOKUP(I$5,NFI,5,0),1,0)*Table_NFI[[#This Row],[NFI Core Kit]],Table_NFI[NFI Core Kit])</f>
        <v>0</v>
      </c>
      <c r="AA810" s="294">
        <f>IF(NFI_Expiration=1,IF($A810&lt;VLOOKUP(J$5,NFI,5,0),1,0)*Table_NFI[[#This Row],[Sanitary Kit]],Table_NFI[Sanitary Kit])</f>
        <v>0</v>
      </c>
      <c r="AB810" s="294">
        <f>IF(NFI_Expiration=1,IF($A810&lt;VLOOKUP(K$5,NFI,5,0),1,0)*Table_NFI[[#This Row],[Mosquito net]],Table_NFI[Mosquito net])</f>
        <v>0</v>
      </c>
      <c r="AC810" s="294">
        <f>IF(NFI_Expiration=1,IF($A810&lt;VLOOKUP(L$5,NFI,5,0),1,0)*Table_NFI[[#This Row],[Tarpaulin]],Table_NFI[[#This Row],[Tarpaulin]])</f>
        <v>0</v>
      </c>
      <c r="AD810" s="294">
        <f>IF(NFI_Expiration=1,IF($A810&lt;VLOOKUP(M$5,NFI,5,0),1,0)*Table_NFI[[#This Row],[Blanket]],Table_NFI[[#This Row],[Blanket]])</f>
        <v>0</v>
      </c>
      <c r="AE810" s="294">
        <f>IF(NFI_Expiration=1,IF($A810&lt;VLOOKUP(N$5,NFI,5,0),1,0)*Table_NFI[[#This Row],[Kitchen Set]],Table_NFI[Kitchen Set])</f>
        <v>0</v>
      </c>
      <c r="AF810" s="294">
        <f>IF(NFI_Expiration=1,IF($A810&lt;VLOOKUP(O$5,NFI,5,0),1,0)*Table_NFI[[#This Row],[Clothes Kit]],Table_NFI[Clothes Kit])</f>
        <v>0</v>
      </c>
      <c r="AG810" s="294">
        <f>IF(NFI_Expiration=1,IF($A810&lt;VLOOKUP(P$5,NFI,5,0),1,0)*Table_NFI[[#This Row],[Plastic Bucket]],Table_NFI[Plastic Bucket])</f>
        <v>0</v>
      </c>
      <c r="AH810" s="294">
        <f>IF(NFI_Expiration=1,IF($A810&lt;VLOOKUP(Q$5,NFI,5,0),1,0)*Table_NFI[[#This Row],[Plastic Mat]],Table_NFI[Plastic Mat])*IF(Table_NFI[[#This Row],[Distribution Date]]&gt;"2014-04-01",1,2.5)</f>
        <v>0</v>
      </c>
      <c r="AI810" s="294">
        <f>IF(NFI_Expiration=1,IF($A810&lt;VLOOKUP(R$5,NFI,5,0),1,0)*Table_NFI[[#This Row],[Winter Clothes Adult]],Table_NFI[Winter Clothes Adult])</f>
        <v>0</v>
      </c>
      <c r="AJ810" s="294">
        <f>IF(NFI_Expiration=1,IF($A810&lt;VLOOKUP(S$5,NFI,5,0),1,0)*Table_NFI[[#This Row],[Winter Clothes Children]],Table_NFI[Winter Clothes Children])</f>
        <v>0</v>
      </c>
      <c r="AK810" s="294">
        <f>IF(NFI_Expiration=1,IF($A810&lt;VLOOKUP(T$5,NFI,5,0),1,0)*Table_NFI[[#This Row],[Winter Items Other]],Table_NFI[Winter Items Other])</f>
        <v>0</v>
      </c>
      <c r="AL810" s="294">
        <f>IF(NFI_Expiration=1,IF($A810&lt;VLOOKUP(M$5,NFI,5,0),1,0)*Table_NFI[[#This Row],[Winter Blanket]],Table_NFI[[#This Row],[Winter Blanket]])</f>
        <v>0</v>
      </c>
      <c r="AM810" s="294">
        <f>IF(Table_NFI[[#This Row],[Winter Clothes Adult]]+Table_NFI[[#This Row],[Winter Clothes Children]]+Table_NFI[[#This Row],[Winter Items Other]]+Table_NFI[[#This Row],[Winter Blanket]]&gt;0,1,0)</f>
        <v>0</v>
      </c>
      <c r="AN810" s="331">
        <f>IF(NFI_Expiration=1,IF($A810&lt;VLOOKUP(V$5,NFI,5,0),1,0)*Table_NFI[[#This Row],[Jerry Can]],Table_NFI[Jerry Can])</f>
        <v>0</v>
      </c>
      <c r="AO810" s="331">
        <f>IF(NFI_Expiration=1,IF($A810&lt;VLOOKUP(V$5,NFI,5,0),1,0)*Table_NFI[[#This Row],[Shelter Tool kit]],Table_NFI[Shelter Tool kit])</f>
        <v>0</v>
      </c>
      <c r="AP810" s="331">
        <f>IF(NFI_Expiration=1,IF($A810&lt;VLOOKUP(V$5,NFI,5,0),1,0)*Table_NFI[[#This Row],[Tent]],Table_NFI[Tent])</f>
        <v>0</v>
      </c>
      <c r="AQ810" s="473" t="str">
        <f>IFERROR(VLOOKUP(Table_NFI[[#This Row],[Camp Name]],CL,2,0),"")</f>
        <v>MMR001CMP174</v>
      </c>
      <c r="AR810" s="468">
        <f ca="1">IF(Table_NFI[[#This Row],[Pcode]]="","",IF(OFFSET(CampList[Opening Date],MATCH(Table_NFI[[#This Row],[Pcode]],CampList[CP_Pcode],0)-1,0,1,1)&gt;=NFI_Monitor_Date,1,0))</f>
        <v>0</v>
      </c>
      <c r="AS810" s="473" t="str">
        <f>IFERROR(VLOOKUP(Table_NFI[[#This Row],[Camp Name]],CL,3,0),"")</f>
        <v>Open</v>
      </c>
      <c r="AT810" s="294" t="str">
        <f ca="1">IF(Table_NFI[[#This Row],[Pcode]]="","",OFFSET(CampList[Priority],MATCH(Table_NFI[[#This Row],[Pcode]],CampList[CP_Pcode],0)-1,0,1,1))</f>
        <v>P4</v>
      </c>
      <c r="AU810" s="293">
        <f>IFERROR(Table_NFI[[#This Row],[Kitchen Set]]/VLOOKUP(Table_NFI[[#This Row],[Camp Name]],CL,4,0),"")</f>
        <v>0</v>
      </c>
      <c r="AV810" s="466" t="s">
        <v>1092</v>
      </c>
      <c r="AW810" s="469"/>
    </row>
    <row r="811" spans="1:49" ht="14.45" customHeight="1" x14ac:dyDescent="0.25">
      <c r="A811" s="297">
        <f t="shared" si="12"/>
        <v>46.7</v>
      </c>
      <c r="B811" s="465">
        <v>41274</v>
      </c>
      <c r="C811" s="466" t="s">
        <v>453</v>
      </c>
      <c r="D811" s="467" t="s">
        <v>453</v>
      </c>
      <c r="E811" s="466" t="s">
        <v>380</v>
      </c>
      <c r="F811" s="466" t="s">
        <v>310</v>
      </c>
      <c r="G811" s="290" t="s">
        <v>313</v>
      </c>
      <c r="H811" s="291">
        <v>136</v>
      </c>
      <c r="I811" s="291"/>
      <c r="J811" s="291"/>
      <c r="K811" s="291"/>
      <c r="L811" s="292"/>
      <c r="M811" s="292"/>
      <c r="N811" s="292"/>
      <c r="O811" s="292"/>
      <c r="P811" s="294">
        <v>0</v>
      </c>
      <c r="Q811" s="294">
        <v>0</v>
      </c>
      <c r="R811" s="294"/>
      <c r="S811" s="294"/>
      <c r="T811" s="294"/>
      <c r="U811" s="294"/>
      <c r="V811" s="431"/>
      <c r="W811" s="294"/>
      <c r="X811" s="294"/>
      <c r="Y811" s="294">
        <f>IF(NFI_Expiration=1,IF($A811&lt;VLOOKUP(H$5,NFI,5,0),1,0)*Table_NFI[[#This Row],[Hygiene Kit]],Table_NFI[Hygiene Kit])</f>
        <v>0</v>
      </c>
      <c r="Z811" s="294">
        <f>IF(NFI_Expiration=1,IF($A811&lt;VLOOKUP(I$5,NFI,5,0),1,0)*Table_NFI[[#This Row],[NFI Core Kit]],Table_NFI[NFI Core Kit])</f>
        <v>0</v>
      </c>
      <c r="AA811" s="294">
        <f>IF(NFI_Expiration=1,IF($A811&lt;VLOOKUP(J$5,NFI,5,0),1,0)*Table_NFI[[#This Row],[Sanitary Kit]],Table_NFI[Sanitary Kit])</f>
        <v>0</v>
      </c>
      <c r="AB811" s="294">
        <f>IF(NFI_Expiration=1,IF($A811&lt;VLOOKUP(K$5,NFI,5,0),1,0)*Table_NFI[[#This Row],[Mosquito net]],Table_NFI[Mosquito net])</f>
        <v>0</v>
      </c>
      <c r="AC811" s="294">
        <f>IF(NFI_Expiration=1,IF($A811&lt;VLOOKUP(L$5,NFI,5,0),1,0)*Table_NFI[[#This Row],[Tarpaulin]],Table_NFI[[#This Row],[Tarpaulin]])</f>
        <v>0</v>
      </c>
      <c r="AD811" s="294">
        <f>IF(NFI_Expiration=1,IF($A811&lt;VLOOKUP(M$5,NFI,5,0),1,0)*Table_NFI[[#This Row],[Blanket]],Table_NFI[[#This Row],[Blanket]])</f>
        <v>0</v>
      </c>
      <c r="AE811" s="294">
        <f>IF(NFI_Expiration=1,IF($A811&lt;VLOOKUP(N$5,NFI,5,0),1,0)*Table_NFI[[#This Row],[Kitchen Set]],Table_NFI[Kitchen Set])</f>
        <v>0</v>
      </c>
      <c r="AF811" s="294">
        <f>IF(NFI_Expiration=1,IF($A811&lt;VLOOKUP(O$5,NFI,5,0),1,0)*Table_NFI[[#This Row],[Clothes Kit]],Table_NFI[Clothes Kit])</f>
        <v>0</v>
      </c>
      <c r="AG811" s="294">
        <f>IF(NFI_Expiration=1,IF($A811&lt;VLOOKUP(P$5,NFI,5,0),1,0)*Table_NFI[[#This Row],[Plastic Bucket]],Table_NFI[Plastic Bucket])</f>
        <v>0</v>
      </c>
      <c r="AH811" s="294">
        <f>IF(NFI_Expiration=1,IF($A811&lt;VLOOKUP(Q$5,NFI,5,0),1,0)*Table_NFI[[#This Row],[Plastic Mat]],Table_NFI[Plastic Mat])*IF(Table_NFI[[#This Row],[Distribution Date]]&gt;"2014-04-01",1,2.5)</f>
        <v>0</v>
      </c>
      <c r="AI811" s="294">
        <f>IF(NFI_Expiration=1,IF($A811&lt;VLOOKUP(R$5,NFI,5,0),1,0)*Table_NFI[[#This Row],[Winter Clothes Adult]],Table_NFI[Winter Clothes Adult])</f>
        <v>0</v>
      </c>
      <c r="AJ811" s="294">
        <f>IF(NFI_Expiration=1,IF($A811&lt;VLOOKUP(S$5,NFI,5,0),1,0)*Table_NFI[[#This Row],[Winter Clothes Children]],Table_NFI[Winter Clothes Children])</f>
        <v>0</v>
      </c>
      <c r="AK811" s="294">
        <f>IF(NFI_Expiration=1,IF($A811&lt;VLOOKUP(T$5,NFI,5,0),1,0)*Table_NFI[[#This Row],[Winter Items Other]],Table_NFI[Winter Items Other])</f>
        <v>0</v>
      </c>
      <c r="AL811" s="294">
        <f>IF(NFI_Expiration=1,IF($A811&lt;VLOOKUP(M$5,NFI,5,0),1,0)*Table_NFI[[#This Row],[Winter Blanket]],Table_NFI[[#This Row],[Winter Blanket]])</f>
        <v>0</v>
      </c>
      <c r="AM811" s="294">
        <f>IF(Table_NFI[[#This Row],[Winter Clothes Adult]]+Table_NFI[[#This Row],[Winter Clothes Children]]+Table_NFI[[#This Row],[Winter Items Other]]+Table_NFI[[#This Row],[Winter Blanket]]&gt;0,1,0)</f>
        <v>0</v>
      </c>
      <c r="AN811" s="331">
        <f>IF(NFI_Expiration=1,IF($A811&lt;VLOOKUP(V$5,NFI,5,0),1,0)*Table_NFI[[#This Row],[Jerry Can]],Table_NFI[Jerry Can])</f>
        <v>0</v>
      </c>
      <c r="AO811" s="331">
        <f>IF(NFI_Expiration=1,IF($A811&lt;VLOOKUP(V$5,NFI,5,0),1,0)*Table_NFI[[#This Row],[Shelter Tool kit]],Table_NFI[Shelter Tool kit])</f>
        <v>0</v>
      </c>
      <c r="AP811" s="331">
        <f>IF(NFI_Expiration=1,IF($A811&lt;VLOOKUP(V$5,NFI,5,0),1,0)*Table_NFI[[#This Row],[Tent]],Table_NFI[Tent])</f>
        <v>0</v>
      </c>
      <c r="AQ811" s="473" t="str">
        <f>IFERROR(VLOOKUP(Table_NFI[[#This Row],[Camp Name]],CL,2,0),"")</f>
        <v>MMR001CMP028</v>
      </c>
      <c r="AR811" s="468">
        <f ca="1">IF(Table_NFI[[#This Row],[Pcode]]="","",IF(OFFSET(CampList[Opening Date],MATCH(Table_NFI[[#This Row],[Pcode]],CampList[CP_Pcode],0)-1,0,1,1)&gt;=NFI_Monitor_Date,1,0))</f>
        <v>0</v>
      </c>
      <c r="AS811" s="473" t="str">
        <f>IFERROR(VLOOKUP(Table_NFI[[#This Row],[Camp Name]],CL,3,0),"")</f>
        <v>Open</v>
      </c>
      <c r="AT811" s="294" t="str">
        <f ca="1">IF(Table_NFI[[#This Row],[Pcode]]="","",OFFSET(CampList[Priority],MATCH(Table_NFI[[#This Row],[Pcode]],CampList[CP_Pcode],0)-1,0,1,1))</f>
        <v>P4</v>
      </c>
      <c r="AU811" s="293">
        <f>IFERROR(Table_NFI[[#This Row],[Kitchen Set]]/VLOOKUP(Table_NFI[[#This Row],[Camp Name]],CL,4,0),"")</f>
        <v>0</v>
      </c>
      <c r="AV811" s="466" t="s">
        <v>1092</v>
      </c>
      <c r="AW811" s="469"/>
    </row>
    <row r="812" spans="1:49" ht="14.45" customHeight="1" x14ac:dyDescent="0.25">
      <c r="A812" s="297">
        <f t="shared" si="12"/>
        <v>46.7</v>
      </c>
      <c r="B812" s="465">
        <v>41274</v>
      </c>
      <c r="C812" s="466" t="s">
        <v>453</v>
      </c>
      <c r="D812" s="466" t="s">
        <v>453</v>
      </c>
      <c r="E812" s="466" t="s">
        <v>380</v>
      </c>
      <c r="F812" s="466" t="s">
        <v>527</v>
      </c>
      <c r="G812" s="290" t="s">
        <v>88</v>
      </c>
      <c r="H812" s="291">
        <v>4</v>
      </c>
      <c r="I812" s="291"/>
      <c r="J812" s="291"/>
      <c r="K812" s="291"/>
      <c r="L812" s="292"/>
      <c r="M812" s="292"/>
      <c r="N812" s="292"/>
      <c r="O812" s="292"/>
      <c r="P812" s="294">
        <v>0</v>
      </c>
      <c r="Q812" s="294">
        <v>0</v>
      </c>
      <c r="R812" s="294"/>
      <c r="S812" s="294"/>
      <c r="T812" s="294"/>
      <c r="U812" s="294"/>
      <c r="V812" s="431"/>
      <c r="W812" s="294"/>
      <c r="X812" s="294"/>
      <c r="Y812" s="294">
        <f>IF(NFI_Expiration=1,IF($A812&lt;VLOOKUP(H$5,NFI,5,0),1,0)*Table_NFI[[#This Row],[Hygiene Kit]],Table_NFI[Hygiene Kit])</f>
        <v>0</v>
      </c>
      <c r="Z812" s="294">
        <f>IF(NFI_Expiration=1,IF($A812&lt;VLOOKUP(I$5,NFI,5,0),1,0)*Table_NFI[[#This Row],[NFI Core Kit]],Table_NFI[NFI Core Kit])</f>
        <v>0</v>
      </c>
      <c r="AA812" s="294">
        <f>IF(NFI_Expiration=1,IF($A812&lt;VLOOKUP(J$5,NFI,5,0),1,0)*Table_NFI[[#This Row],[Sanitary Kit]],Table_NFI[Sanitary Kit])</f>
        <v>0</v>
      </c>
      <c r="AB812" s="294">
        <f>IF(NFI_Expiration=1,IF($A812&lt;VLOOKUP(K$5,NFI,5,0),1,0)*Table_NFI[[#This Row],[Mosquito net]],Table_NFI[Mosquito net])</f>
        <v>0</v>
      </c>
      <c r="AC812" s="294">
        <f>IF(NFI_Expiration=1,IF($A812&lt;VLOOKUP(L$5,NFI,5,0),1,0)*Table_NFI[[#This Row],[Tarpaulin]],Table_NFI[[#This Row],[Tarpaulin]])</f>
        <v>0</v>
      </c>
      <c r="AD812" s="294">
        <f>IF(NFI_Expiration=1,IF($A812&lt;VLOOKUP(M$5,NFI,5,0),1,0)*Table_NFI[[#This Row],[Blanket]],Table_NFI[[#This Row],[Blanket]])</f>
        <v>0</v>
      </c>
      <c r="AE812" s="294">
        <f>IF(NFI_Expiration=1,IF($A812&lt;VLOOKUP(N$5,NFI,5,0),1,0)*Table_NFI[[#This Row],[Kitchen Set]],Table_NFI[Kitchen Set])</f>
        <v>0</v>
      </c>
      <c r="AF812" s="294">
        <f>IF(NFI_Expiration=1,IF($A812&lt;VLOOKUP(O$5,NFI,5,0),1,0)*Table_NFI[[#This Row],[Clothes Kit]],Table_NFI[Clothes Kit])</f>
        <v>0</v>
      </c>
      <c r="AG812" s="294">
        <f>IF(NFI_Expiration=1,IF($A812&lt;VLOOKUP(P$5,NFI,5,0),1,0)*Table_NFI[[#This Row],[Plastic Bucket]],Table_NFI[Plastic Bucket])</f>
        <v>0</v>
      </c>
      <c r="AH812" s="294">
        <f>IF(NFI_Expiration=1,IF($A812&lt;VLOOKUP(Q$5,NFI,5,0),1,0)*Table_NFI[[#This Row],[Plastic Mat]],Table_NFI[Plastic Mat])*IF(Table_NFI[[#This Row],[Distribution Date]]&gt;"2014-04-01",1,2.5)</f>
        <v>0</v>
      </c>
      <c r="AI812" s="294">
        <f>IF(NFI_Expiration=1,IF($A812&lt;VLOOKUP(R$5,NFI,5,0),1,0)*Table_NFI[[#This Row],[Winter Clothes Adult]],Table_NFI[Winter Clothes Adult])</f>
        <v>0</v>
      </c>
      <c r="AJ812" s="294">
        <f>IF(NFI_Expiration=1,IF($A812&lt;VLOOKUP(S$5,NFI,5,0),1,0)*Table_NFI[[#This Row],[Winter Clothes Children]],Table_NFI[Winter Clothes Children])</f>
        <v>0</v>
      </c>
      <c r="AK812" s="294">
        <f>IF(NFI_Expiration=1,IF($A812&lt;VLOOKUP(T$5,NFI,5,0),1,0)*Table_NFI[[#This Row],[Winter Items Other]],Table_NFI[Winter Items Other])</f>
        <v>0</v>
      </c>
      <c r="AL812" s="294">
        <f>IF(NFI_Expiration=1,IF($A812&lt;VLOOKUP(M$5,NFI,5,0),1,0)*Table_NFI[[#This Row],[Winter Blanket]],Table_NFI[[#This Row],[Winter Blanket]])</f>
        <v>0</v>
      </c>
      <c r="AM812" s="294">
        <f>IF(Table_NFI[[#This Row],[Winter Clothes Adult]]+Table_NFI[[#This Row],[Winter Clothes Children]]+Table_NFI[[#This Row],[Winter Items Other]]+Table_NFI[[#This Row],[Winter Blanket]]&gt;0,1,0)</f>
        <v>0</v>
      </c>
      <c r="AN812" s="331">
        <f>IF(NFI_Expiration=1,IF($A812&lt;VLOOKUP(V$5,NFI,5,0),1,0)*Table_NFI[[#This Row],[Jerry Can]],Table_NFI[Jerry Can])</f>
        <v>0</v>
      </c>
      <c r="AO812" s="331">
        <f>IF(NFI_Expiration=1,IF($A812&lt;VLOOKUP(V$5,NFI,5,0),1,0)*Table_NFI[[#This Row],[Shelter Tool kit]],Table_NFI[Shelter Tool kit])</f>
        <v>0</v>
      </c>
      <c r="AP812" s="331">
        <f>IF(NFI_Expiration=1,IF($A812&lt;VLOOKUP(V$5,NFI,5,0),1,0)*Table_NFI[[#This Row],[Tent]],Table_NFI[Tent])</f>
        <v>0</v>
      </c>
      <c r="AQ812" s="473" t="str">
        <f>IFERROR(VLOOKUP(Table_NFI[[#This Row],[Camp Name]],CL,2,0),"")</f>
        <v>MMR001CMP148</v>
      </c>
      <c r="AR812" s="468">
        <f ca="1">IF(Table_NFI[[#This Row],[Pcode]]="","",IF(OFFSET(CampList[Opening Date],MATCH(Table_NFI[[#This Row],[Pcode]],CampList[CP_Pcode],0)-1,0,1,1)&gt;=NFI_Monitor_Date,1,0))</f>
        <v>0</v>
      </c>
      <c r="AS812" s="473" t="str">
        <f>IFERROR(VLOOKUP(Table_NFI[[#This Row],[Camp Name]],CL,3,0),"")</f>
        <v>Open</v>
      </c>
      <c r="AT812" s="294" t="str">
        <f ca="1">IF(Table_NFI[[#This Row],[Pcode]]="","",OFFSET(CampList[Priority],MATCH(Table_NFI[[#This Row],[Pcode]],CampList[CP_Pcode],0)-1,0,1,1))</f>
        <v>P4</v>
      </c>
      <c r="AU812" s="293">
        <f>IFERROR(Table_NFI[[#This Row],[Kitchen Set]]/VLOOKUP(Table_NFI[[#This Row],[Camp Name]],CL,4,0),"")</f>
        <v>0</v>
      </c>
      <c r="AV812" s="466" t="s">
        <v>1092</v>
      </c>
      <c r="AW812" s="469"/>
    </row>
    <row r="813" spans="1:49" ht="14.45" customHeight="1" x14ac:dyDescent="0.25">
      <c r="A813" s="297">
        <f t="shared" si="12"/>
        <v>46.7</v>
      </c>
      <c r="B813" s="465">
        <v>41274</v>
      </c>
      <c r="C813" s="466" t="s">
        <v>453</v>
      </c>
      <c r="D813" s="467" t="s">
        <v>453</v>
      </c>
      <c r="E813" s="466" t="s">
        <v>380</v>
      </c>
      <c r="F813" s="290" t="s">
        <v>527</v>
      </c>
      <c r="G813" s="290" t="s">
        <v>44</v>
      </c>
      <c r="H813" s="291">
        <v>3</v>
      </c>
      <c r="I813" s="291"/>
      <c r="J813" s="291"/>
      <c r="K813" s="291"/>
      <c r="L813" s="292"/>
      <c r="M813" s="292"/>
      <c r="N813" s="292"/>
      <c r="O813" s="292"/>
      <c r="P813" s="294">
        <v>0</v>
      </c>
      <c r="Q813" s="294">
        <v>0</v>
      </c>
      <c r="R813" s="294"/>
      <c r="S813" s="294"/>
      <c r="T813" s="294"/>
      <c r="U813" s="294"/>
      <c r="V813" s="431"/>
      <c r="W813" s="294"/>
      <c r="X813" s="294"/>
      <c r="Y813" s="294">
        <f>IF(NFI_Expiration=1,IF($A813&lt;VLOOKUP(H$5,NFI,5,0),1,0)*Table_NFI[[#This Row],[Hygiene Kit]],Table_NFI[Hygiene Kit])</f>
        <v>0</v>
      </c>
      <c r="Z813" s="294">
        <f>IF(NFI_Expiration=1,IF($A813&lt;VLOOKUP(I$5,NFI,5,0),1,0)*Table_NFI[[#This Row],[NFI Core Kit]],Table_NFI[NFI Core Kit])</f>
        <v>0</v>
      </c>
      <c r="AA813" s="294">
        <f>IF(NFI_Expiration=1,IF($A813&lt;VLOOKUP(J$5,NFI,5,0),1,0)*Table_NFI[[#This Row],[Sanitary Kit]],Table_NFI[Sanitary Kit])</f>
        <v>0</v>
      </c>
      <c r="AB813" s="294">
        <f>IF(NFI_Expiration=1,IF($A813&lt;VLOOKUP(K$5,NFI,5,0),1,0)*Table_NFI[[#This Row],[Mosquito net]],Table_NFI[Mosquito net])</f>
        <v>0</v>
      </c>
      <c r="AC813" s="294">
        <f>IF(NFI_Expiration=1,IF($A813&lt;VLOOKUP(L$5,NFI,5,0),1,0)*Table_NFI[[#This Row],[Tarpaulin]],Table_NFI[[#This Row],[Tarpaulin]])</f>
        <v>0</v>
      </c>
      <c r="AD813" s="294">
        <f>IF(NFI_Expiration=1,IF($A813&lt;VLOOKUP(M$5,NFI,5,0),1,0)*Table_NFI[[#This Row],[Blanket]],Table_NFI[[#This Row],[Blanket]])</f>
        <v>0</v>
      </c>
      <c r="AE813" s="294">
        <f>IF(NFI_Expiration=1,IF($A813&lt;VLOOKUP(N$5,NFI,5,0),1,0)*Table_NFI[[#This Row],[Kitchen Set]],Table_NFI[Kitchen Set])</f>
        <v>0</v>
      </c>
      <c r="AF813" s="294">
        <f>IF(NFI_Expiration=1,IF($A813&lt;VLOOKUP(O$5,NFI,5,0),1,0)*Table_NFI[[#This Row],[Clothes Kit]],Table_NFI[Clothes Kit])</f>
        <v>0</v>
      </c>
      <c r="AG813" s="294">
        <f>IF(NFI_Expiration=1,IF($A813&lt;VLOOKUP(P$5,NFI,5,0),1,0)*Table_NFI[[#This Row],[Plastic Bucket]],Table_NFI[Plastic Bucket])</f>
        <v>0</v>
      </c>
      <c r="AH813" s="294">
        <f>IF(NFI_Expiration=1,IF($A813&lt;VLOOKUP(Q$5,NFI,5,0),1,0)*Table_NFI[[#This Row],[Plastic Mat]],Table_NFI[Plastic Mat])*IF(Table_NFI[[#This Row],[Distribution Date]]&gt;"2014-04-01",1,2.5)</f>
        <v>0</v>
      </c>
      <c r="AI813" s="294">
        <f>IF(NFI_Expiration=1,IF($A813&lt;VLOOKUP(R$5,NFI,5,0),1,0)*Table_NFI[[#This Row],[Winter Clothes Adult]],Table_NFI[Winter Clothes Adult])</f>
        <v>0</v>
      </c>
      <c r="AJ813" s="294">
        <f>IF(NFI_Expiration=1,IF($A813&lt;VLOOKUP(S$5,NFI,5,0),1,0)*Table_NFI[[#This Row],[Winter Clothes Children]],Table_NFI[Winter Clothes Children])</f>
        <v>0</v>
      </c>
      <c r="AK813" s="294">
        <f>IF(NFI_Expiration=1,IF($A813&lt;VLOOKUP(T$5,NFI,5,0),1,0)*Table_NFI[[#This Row],[Winter Items Other]],Table_NFI[Winter Items Other])</f>
        <v>0</v>
      </c>
      <c r="AL813" s="294">
        <f>IF(NFI_Expiration=1,IF($A813&lt;VLOOKUP(M$5,NFI,5,0),1,0)*Table_NFI[[#This Row],[Winter Blanket]],Table_NFI[[#This Row],[Winter Blanket]])</f>
        <v>0</v>
      </c>
      <c r="AM813" s="294">
        <f>IF(Table_NFI[[#This Row],[Winter Clothes Adult]]+Table_NFI[[#This Row],[Winter Clothes Children]]+Table_NFI[[#This Row],[Winter Items Other]]+Table_NFI[[#This Row],[Winter Blanket]]&gt;0,1,0)</f>
        <v>0</v>
      </c>
      <c r="AN813" s="331">
        <f>IF(NFI_Expiration=1,IF($A813&lt;VLOOKUP(V$5,NFI,5,0),1,0)*Table_NFI[[#This Row],[Jerry Can]],Table_NFI[Jerry Can])</f>
        <v>0</v>
      </c>
      <c r="AO813" s="331">
        <f>IF(NFI_Expiration=1,IF($A813&lt;VLOOKUP(V$5,NFI,5,0),1,0)*Table_NFI[[#This Row],[Shelter Tool kit]],Table_NFI[Shelter Tool kit])</f>
        <v>0</v>
      </c>
      <c r="AP813" s="331">
        <f>IF(NFI_Expiration=1,IF($A813&lt;VLOOKUP(V$5,NFI,5,0),1,0)*Table_NFI[[#This Row],[Tent]],Table_NFI[Tent])</f>
        <v>0</v>
      </c>
      <c r="AQ813" s="473" t="str">
        <f>IFERROR(VLOOKUP(Table_NFI[[#This Row],[Camp Name]],CL,2,0),"")</f>
        <v>MMR001CMP191</v>
      </c>
      <c r="AR813" s="468">
        <f ca="1">IF(Table_NFI[[#This Row],[Pcode]]="","",IF(OFFSET(CampList[Opening Date],MATCH(Table_NFI[[#This Row],[Pcode]],CampList[CP_Pcode],0)-1,0,1,1)&gt;=NFI_Monitor_Date,1,0))</f>
        <v>0</v>
      </c>
      <c r="AS813" s="473" t="str">
        <f>IFERROR(VLOOKUP(Table_NFI[[#This Row],[Camp Name]],CL,3,0),"")</f>
        <v>Open</v>
      </c>
      <c r="AT813" s="294" t="str">
        <f ca="1">IF(Table_NFI[[#This Row],[Pcode]]="","",OFFSET(CampList[Priority],MATCH(Table_NFI[[#This Row],[Pcode]],CampList[CP_Pcode],0)-1,0,1,1))</f>
        <v>P4</v>
      </c>
      <c r="AU813" s="293">
        <f>IFERROR(Table_NFI[[#This Row],[Kitchen Set]]/VLOOKUP(Table_NFI[[#This Row],[Camp Name]],CL,4,0),"")</f>
        <v>0</v>
      </c>
      <c r="AV813" s="466" t="s">
        <v>1092</v>
      </c>
      <c r="AW813" s="469"/>
    </row>
    <row r="814" spans="1:49" x14ac:dyDescent="0.25">
      <c r="A814" s="297">
        <f t="shared" si="12"/>
        <v>46.7</v>
      </c>
      <c r="B814" s="465">
        <v>41274</v>
      </c>
      <c r="C814" s="466" t="s">
        <v>453</v>
      </c>
      <c r="D814" s="467" t="s">
        <v>453</v>
      </c>
      <c r="E814" s="466" t="s">
        <v>380</v>
      </c>
      <c r="F814" s="290" t="s">
        <v>527</v>
      </c>
      <c r="G814" s="290" t="s">
        <v>92</v>
      </c>
      <c r="H814" s="291">
        <v>1</v>
      </c>
      <c r="I814" s="291"/>
      <c r="J814" s="291"/>
      <c r="K814" s="291"/>
      <c r="L814" s="292"/>
      <c r="M814" s="292"/>
      <c r="N814" s="292"/>
      <c r="O814" s="292"/>
      <c r="P814" s="294">
        <v>0</v>
      </c>
      <c r="Q814" s="294">
        <v>0</v>
      </c>
      <c r="R814" s="294"/>
      <c r="S814" s="294"/>
      <c r="T814" s="294"/>
      <c r="U814" s="294"/>
      <c r="V814" s="431"/>
      <c r="W814" s="294"/>
      <c r="X814" s="294"/>
      <c r="Y814" s="294">
        <f>IF(NFI_Expiration=1,IF($A814&lt;VLOOKUP(H$5,NFI,5,0),1,0)*Table_NFI[[#This Row],[Hygiene Kit]],Table_NFI[Hygiene Kit])</f>
        <v>0</v>
      </c>
      <c r="Z814" s="294">
        <f>IF(NFI_Expiration=1,IF($A814&lt;VLOOKUP(I$5,NFI,5,0),1,0)*Table_NFI[[#This Row],[NFI Core Kit]],Table_NFI[NFI Core Kit])</f>
        <v>0</v>
      </c>
      <c r="AA814" s="294">
        <f>IF(NFI_Expiration=1,IF($A814&lt;VLOOKUP(J$5,NFI,5,0),1,0)*Table_NFI[[#This Row],[Sanitary Kit]],Table_NFI[Sanitary Kit])</f>
        <v>0</v>
      </c>
      <c r="AB814" s="294">
        <f>IF(NFI_Expiration=1,IF($A814&lt;VLOOKUP(K$5,NFI,5,0),1,0)*Table_NFI[[#This Row],[Mosquito net]],Table_NFI[Mosquito net])</f>
        <v>0</v>
      </c>
      <c r="AC814" s="294">
        <f>IF(NFI_Expiration=1,IF($A814&lt;VLOOKUP(L$5,NFI,5,0),1,0)*Table_NFI[[#This Row],[Tarpaulin]],Table_NFI[[#This Row],[Tarpaulin]])</f>
        <v>0</v>
      </c>
      <c r="AD814" s="294">
        <f>IF(NFI_Expiration=1,IF($A814&lt;VLOOKUP(M$5,NFI,5,0),1,0)*Table_NFI[[#This Row],[Blanket]],Table_NFI[[#This Row],[Blanket]])</f>
        <v>0</v>
      </c>
      <c r="AE814" s="294">
        <f>IF(NFI_Expiration=1,IF($A814&lt;VLOOKUP(N$5,NFI,5,0),1,0)*Table_NFI[[#This Row],[Kitchen Set]],Table_NFI[Kitchen Set])</f>
        <v>0</v>
      </c>
      <c r="AF814" s="294">
        <f>IF(NFI_Expiration=1,IF($A814&lt;VLOOKUP(O$5,NFI,5,0),1,0)*Table_NFI[[#This Row],[Clothes Kit]],Table_NFI[Clothes Kit])</f>
        <v>0</v>
      </c>
      <c r="AG814" s="294">
        <f>IF(NFI_Expiration=1,IF($A814&lt;VLOOKUP(P$5,NFI,5,0),1,0)*Table_NFI[[#This Row],[Plastic Bucket]],Table_NFI[Plastic Bucket])</f>
        <v>0</v>
      </c>
      <c r="AH814" s="294">
        <f>IF(NFI_Expiration=1,IF($A814&lt;VLOOKUP(Q$5,NFI,5,0),1,0)*Table_NFI[[#This Row],[Plastic Mat]],Table_NFI[Plastic Mat])*IF(Table_NFI[[#This Row],[Distribution Date]]&gt;"2014-04-01",1,2.5)</f>
        <v>0</v>
      </c>
      <c r="AI814" s="294">
        <f>IF(NFI_Expiration=1,IF($A814&lt;VLOOKUP(R$5,NFI,5,0),1,0)*Table_NFI[[#This Row],[Winter Clothes Adult]],Table_NFI[Winter Clothes Adult])</f>
        <v>0</v>
      </c>
      <c r="AJ814" s="294">
        <f>IF(NFI_Expiration=1,IF($A814&lt;VLOOKUP(S$5,NFI,5,0),1,0)*Table_NFI[[#This Row],[Winter Clothes Children]],Table_NFI[Winter Clothes Children])</f>
        <v>0</v>
      </c>
      <c r="AK814" s="294">
        <f>IF(NFI_Expiration=1,IF($A814&lt;VLOOKUP(T$5,NFI,5,0),1,0)*Table_NFI[[#This Row],[Winter Items Other]],Table_NFI[Winter Items Other])</f>
        <v>0</v>
      </c>
      <c r="AL814" s="294">
        <f>IF(NFI_Expiration=1,IF($A814&lt;VLOOKUP(M$5,NFI,5,0),1,0)*Table_NFI[[#This Row],[Winter Blanket]],Table_NFI[[#This Row],[Winter Blanket]])</f>
        <v>0</v>
      </c>
      <c r="AM814" s="294">
        <f>IF(Table_NFI[[#This Row],[Winter Clothes Adult]]+Table_NFI[[#This Row],[Winter Clothes Children]]+Table_NFI[[#This Row],[Winter Items Other]]+Table_NFI[[#This Row],[Winter Blanket]]&gt;0,1,0)</f>
        <v>0</v>
      </c>
      <c r="AN814" s="331">
        <f>IF(NFI_Expiration=1,IF($A814&lt;VLOOKUP(V$5,NFI,5,0),1,0)*Table_NFI[[#This Row],[Jerry Can]],Table_NFI[Jerry Can])</f>
        <v>0</v>
      </c>
      <c r="AO814" s="331">
        <f>IF(NFI_Expiration=1,IF($A814&lt;VLOOKUP(V$5,NFI,5,0),1,0)*Table_NFI[[#This Row],[Shelter Tool kit]],Table_NFI[Shelter Tool kit])</f>
        <v>0</v>
      </c>
      <c r="AP814" s="331">
        <f>IF(NFI_Expiration=1,IF($A814&lt;VLOOKUP(V$5,NFI,5,0),1,0)*Table_NFI[[#This Row],[Tent]],Table_NFI[Tent])</f>
        <v>0</v>
      </c>
      <c r="AQ814" s="473" t="str">
        <f>IFERROR(VLOOKUP(Table_NFI[[#This Row],[Camp Name]],CL,2,0),"")</f>
        <v>MMR001CMP167</v>
      </c>
      <c r="AR814" s="468">
        <f ca="1">IF(Table_NFI[[#This Row],[Pcode]]="","",IF(OFFSET(CampList[Opening Date],MATCH(Table_NFI[[#This Row],[Pcode]],CampList[CP_Pcode],0)-1,0,1,1)&gt;=NFI_Monitor_Date,1,0))</f>
        <v>0</v>
      </c>
      <c r="AS814" s="473" t="str">
        <f>IFERROR(VLOOKUP(Table_NFI[[#This Row],[Camp Name]],CL,3,0),"")</f>
        <v>Open</v>
      </c>
      <c r="AT814" s="294" t="str">
        <f ca="1">IF(Table_NFI[[#This Row],[Pcode]]="","",OFFSET(CampList[Priority],MATCH(Table_NFI[[#This Row],[Pcode]],CampList[CP_Pcode],0)-1,0,1,1))</f>
        <v>P4</v>
      </c>
      <c r="AU814" s="293">
        <f>IFERROR(Table_NFI[[#This Row],[Kitchen Set]]/VLOOKUP(Table_NFI[[#This Row],[Camp Name]],CL,4,0),"")</f>
        <v>0</v>
      </c>
      <c r="AV814" s="466" t="s">
        <v>1092</v>
      </c>
      <c r="AW814" s="469"/>
    </row>
    <row r="815" spans="1:49" x14ac:dyDescent="0.25">
      <c r="A815" s="297">
        <f t="shared" si="12"/>
        <v>46.7</v>
      </c>
      <c r="B815" s="465">
        <v>41274</v>
      </c>
      <c r="C815" s="466" t="s">
        <v>453</v>
      </c>
      <c r="D815" s="466" t="s">
        <v>453</v>
      </c>
      <c r="E815" s="466" t="s">
        <v>380</v>
      </c>
      <c r="F815" s="290" t="s">
        <v>310</v>
      </c>
      <c r="G815" s="290" t="s">
        <v>320</v>
      </c>
      <c r="H815" s="291">
        <v>23</v>
      </c>
      <c r="I815" s="291"/>
      <c r="J815" s="291"/>
      <c r="K815" s="291"/>
      <c r="L815" s="292"/>
      <c r="M815" s="292"/>
      <c r="N815" s="292"/>
      <c r="O815" s="292"/>
      <c r="P815" s="294">
        <v>0</v>
      </c>
      <c r="Q815" s="294">
        <v>0</v>
      </c>
      <c r="R815" s="294"/>
      <c r="S815" s="294"/>
      <c r="T815" s="294"/>
      <c r="U815" s="294"/>
      <c r="V815" s="431"/>
      <c r="W815" s="294"/>
      <c r="X815" s="294"/>
      <c r="Y815" s="294">
        <f>IF(NFI_Expiration=1,IF($A815&lt;VLOOKUP(H$5,NFI,5,0),1,0)*Table_NFI[[#This Row],[Hygiene Kit]],Table_NFI[Hygiene Kit])</f>
        <v>0</v>
      </c>
      <c r="Z815" s="294">
        <f>IF(NFI_Expiration=1,IF($A815&lt;VLOOKUP(I$5,NFI,5,0),1,0)*Table_NFI[[#This Row],[NFI Core Kit]],Table_NFI[NFI Core Kit])</f>
        <v>0</v>
      </c>
      <c r="AA815" s="294">
        <f>IF(NFI_Expiration=1,IF($A815&lt;VLOOKUP(J$5,NFI,5,0),1,0)*Table_NFI[[#This Row],[Sanitary Kit]],Table_NFI[Sanitary Kit])</f>
        <v>0</v>
      </c>
      <c r="AB815" s="294">
        <f>IF(NFI_Expiration=1,IF($A815&lt;VLOOKUP(K$5,NFI,5,0),1,0)*Table_NFI[[#This Row],[Mosquito net]],Table_NFI[Mosquito net])</f>
        <v>0</v>
      </c>
      <c r="AC815" s="294">
        <f>IF(NFI_Expiration=1,IF($A815&lt;VLOOKUP(L$5,NFI,5,0),1,0)*Table_NFI[[#This Row],[Tarpaulin]],Table_NFI[[#This Row],[Tarpaulin]])</f>
        <v>0</v>
      </c>
      <c r="AD815" s="294">
        <f>IF(NFI_Expiration=1,IF($A815&lt;VLOOKUP(M$5,NFI,5,0),1,0)*Table_NFI[[#This Row],[Blanket]],Table_NFI[[#This Row],[Blanket]])</f>
        <v>0</v>
      </c>
      <c r="AE815" s="294">
        <f>IF(NFI_Expiration=1,IF($A815&lt;VLOOKUP(N$5,NFI,5,0),1,0)*Table_NFI[[#This Row],[Kitchen Set]],Table_NFI[Kitchen Set])</f>
        <v>0</v>
      </c>
      <c r="AF815" s="294">
        <f>IF(NFI_Expiration=1,IF($A815&lt;VLOOKUP(O$5,NFI,5,0),1,0)*Table_NFI[[#This Row],[Clothes Kit]],Table_NFI[Clothes Kit])</f>
        <v>0</v>
      </c>
      <c r="AG815" s="294">
        <f>IF(NFI_Expiration=1,IF($A815&lt;VLOOKUP(P$5,NFI,5,0),1,0)*Table_NFI[[#This Row],[Plastic Bucket]],Table_NFI[Plastic Bucket])</f>
        <v>0</v>
      </c>
      <c r="AH815" s="294">
        <f>IF(NFI_Expiration=1,IF($A815&lt;VLOOKUP(Q$5,NFI,5,0),1,0)*Table_NFI[[#This Row],[Plastic Mat]],Table_NFI[Plastic Mat])*IF(Table_NFI[[#This Row],[Distribution Date]]&gt;"2014-04-01",1,2.5)</f>
        <v>0</v>
      </c>
      <c r="AI815" s="294">
        <f>IF(NFI_Expiration=1,IF($A815&lt;VLOOKUP(R$5,NFI,5,0),1,0)*Table_NFI[[#This Row],[Winter Clothes Adult]],Table_NFI[Winter Clothes Adult])</f>
        <v>0</v>
      </c>
      <c r="AJ815" s="294">
        <f>IF(NFI_Expiration=1,IF($A815&lt;VLOOKUP(S$5,NFI,5,0),1,0)*Table_NFI[[#This Row],[Winter Clothes Children]],Table_NFI[Winter Clothes Children])</f>
        <v>0</v>
      </c>
      <c r="AK815" s="294">
        <f>IF(NFI_Expiration=1,IF($A815&lt;VLOOKUP(T$5,NFI,5,0),1,0)*Table_NFI[[#This Row],[Winter Items Other]],Table_NFI[Winter Items Other])</f>
        <v>0</v>
      </c>
      <c r="AL815" s="294">
        <f>IF(NFI_Expiration=1,IF($A815&lt;VLOOKUP(M$5,NFI,5,0),1,0)*Table_NFI[[#This Row],[Winter Blanket]],Table_NFI[[#This Row],[Winter Blanket]])</f>
        <v>0</v>
      </c>
      <c r="AM815" s="294">
        <f>IF(Table_NFI[[#This Row],[Winter Clothes Adult]]+Table_NFI[[#This Row],[Winter Clothes Children]]+Table_NFI[[#This Row],[Winter Items Other]]+Table_NFI[[#This Row],[Winter Blanket]]&gt;0,1,0)</f>
        <v>0</v>
      </c>
      <c r="AN815" s="331">
        <f>IF(NFI_Expiration=1,IF($A815&lt;VLOOKUP(V$5,NFI,5,0),1,0)*Table_NFI[[#This Row],[Jerry Can]],Table_NFI[Jerry Can])</f>
        <v>0</v>
      </c>
      <c r="AO815" s="331">
        <f>IF(NFI_Expiration=1,IF($A815&lt;VLOOKUP(V$5,NFI,5,0),1,0)*Table_NFI[[#This Row],[Shelter Tool kit]],Table_NFI[Shelter Tool kit])</f>
        <v>0</v>
      </c>
      <c r="AP815" s="331">
        <f>IF(NFI_Expiration=1,IF($A815&lt;VLOOKUP(V$5,NFI,5,0),1,0)*Table_NFI[[#This Row],[Tent]],Table_NFI[Tent])</f>
        <v>0</v>
      </c>
      <c r="AQ815" s="473" t="str">
        <f>IFERROR(VLOOKUP(Table_NFI[[#This Row],[Camp Name]],CL,2,0),"")</f>
        <v>MMR001CMP027</v>
      </c>
      <c r="AR815" s="468">
        <f ca="1">IF(Table_NFI[[#This Row],[Pcode]]="","",IF(OFFSET(CampList[Opening Date],MATCH(Table_NFI[[#This Row],[Pcode]],CampList[CP_Pcode],0)-1,0,1,1)&gt;=NFI_Monitor_Date,1,0))</f>
        <v>0</v>
      </c>
      <c r="AS815" s="473" t="str">
        <f>IFERROR(VLOOKUP(Table_NFI[[#This Row],[Camp Name]],CL,3,0),"")</f>
        <v>Open</v>
      </c>
      <c r="AT815" s="294" t="str">
        <f ca="1">IF(Table_NFI[[#This Row],[Pcode]]="","",OFFSET(CampList[Priority],MATCH(Table_NFI[[#This Row],[Pcode]],CampList[CP_Pcode],0)-1,0,1,1))</f>
        <v>P4</v>
      </c>
      <c r="AU815" s="293">
        <f>IFERROR(Table_NFI[[#This Row],[Kitchen Set]]/VLOOKUP(Table_NFI[[#This Row],[Camp Name]],CL,4,0),"")</f>
        <v>0</v>
      </c>
      <c r="AV815" s="466" t="s">
        <v>1092</v>
      </c>
      <c r="AW815" s="469"/>
    </row>
    <row r="816" spans="1:49" ht="14.45" customHeight="1" x14ac:dyDescent="0.25">
      <c r="A816" s="297">
        <f t="shared" si="12"/>
        <v>46.7</v>
      </c>
      <c r="B816" s="465">
        <v>41274</v>
      </c>
      <c r="C816" s="466" t="s">
        <v>453</v>
      </c>
      <c r="D816" s="467" t="s">
        <v>453</v>
      </c>
      <c r="E816" s="466" t="s">
        <v>380</v>
      </c>
      <c r="F816" s="290" t="s">
        <v>310</v>
      </c>
      <c r="G816" s="290" t="s">
        <v>328</v>
      </c>
      <c r="H816" s="291">
        <v>79</v>
      </c>
      <c r="I816" s="291"/>
      <c r="J816" s="291"/>
      <c r="K816" s="291"/>
      <c r="L816" s="292"/>
      <c r="M816" s="292"/>
      <c r="N816" s="292"/>
      <c r="O816" s="292"/>
      <c r="P816" s="294">
        <v>0</v>
      </c>
      <c r="Q816" s="294">
        <v>0</v>
      </c>
      <c r="R816" s="294"/>
      <c r="S816" s="294"/>
      <c r="T816" s="294"/>
      <c r="U816" s="294"/>
      <c r="V816" s="431"/>
      <c r="W816" s="294"/>
      <c r="X816" s="294"/>
      <c r="Y816" s="294">
        <f>IF(NFI_Expiration=1,IF($A816&lt;VLOOKUP(H$5,NFI,5,0),1,0)*Table_NFI[[#This Row],[Hygiene Kit]],Table_NFI[Hygiene Kit])</f>
        <v>0</v>
      </c>
      <c r="Z816" s="294">
        <f>IF(NFI_Expiration=1,IF($A816&lt;VLOOKUP(I$5,NFI,5,0),1,0)*Table_NFI[[#This Row],[NFI Core Kit]],Table_NFI[NFI Core Kit])</f>
        <v>0</v>
      </c>
      <c r="AA816" s="294">
        <f>IF(NFI_Expiration=1,IF($A816&lt;VLOOKUP(J$5,NFI,5,0),1,0)*Table_NFI[[#This Row],[Sanitary Kit]],Table_NFI[Sanitary Kit])</f>
        <v>0</v>
      </c>
      <c r="AB816" s="294">
        <f>IF(NFI_Expiration=1,IF($A816&lt;VLOOKUP(K$5,NFI,5,0),1,0)*Table_NFI[[#This Row],[Mosquito net]],Table_NFI[Mosquito net])</f>
        <v>0</v>
      </c>
      <c r="AC816" s="294">
        <f>IF(NFI_Expiration=1,IF($A816&lt;VLOOKUP(L$5,NFI,5,0),1,0)*Table_NFI[[#This Row],[Tarpaulin]],Table_NFI[[#This Row],[Tarpaulin]])</f>
        <v>0</v>
      </c>
      <c r="AD816" s="294">
        <f>IF(NFI_Expiration=1,IF($A816&lt;VLOOKUP(M$5,NFI,5,0),1,0)*Table_NFI[[#This Row],[Blanket]],Table_NFI[[#This Row],[Blanket]])</f>
        <v>0</v>
      </c>
      <c r="AE816" s="294">
        <f>IF(NFI_Expiration=1,IF($A816&lt;VLOOKUP(N$5,NFI,5,0),1,0)*Table_NFI[[#This Row],[Kitchen Set]],Table_NFI[Kitchen Set])</f>
        <v>0</v>
      </c>
      <c r="AF816" s="294">
        <f>IF(NFI_Expiration=1,IF($A816&lt;VLOOKUP(O$5,NFI,5,0),1,0)*Table_NFI[[#This Row],[Clothes Kit]],Table_NFI[Clothes Kit])</f>
        <v>0</v>
      </c>
      <c r="AG816" s="294">
        <f>IF(NFI_Expiration=1,IF($A816&lt;VLOOKUP(P$5,NFI,5,0),1,0)*Table_NFI[[#This Row],[Plastic Bucket]],Table_NFI[Plastic Bucket])</f>
        <v>0</v>
      </c>
      <c r="AH816" s="294">
        <f>IF(NFI_Expiration=1,IF($A816&lt;VLOOKUP(Q$5,NFI,5,0),1,0)*Table_NFI[[#This Row],[Plastic Mat]],Table_NFI[Plastic Mat])*IF(Table_NFI[[#This Row],[Distribution Date]]&gt;"2014-04-01",1,2.5)</f>
        <v>0</v>
      </c>
      <c r="AI816" s="294">
        <f>IF(NFI_Expiration=1,IF($A816&lt;VLOOKUP(R$5,NFI,5,0),1,0)*Table_NFI[[#This Row],[Winter Clothes Adult]],Table_NFI[Winter Clothes Adult])</f>
        <v>0</v>
      </c>
      <c r="AJ816" s="294">
        <f>IF(NFI_Expiration=1,IF($A816&lt;VLOOKUP(S$5,NFI,5,0),1,0)*Table_NFI[[#This Row],[Winter Clothes Children]],Table_NFI[Winter Clothes Children])</f>
        <v>0</v>
      </c>
      <c r="AK816" s="294">
        <f>IF(NFI_Expiration=1,IF($A816&lt;VLOOKUP(T$5,NFI,5,0),1,0)*Table_NFI[[#This Row],[Winter Items Other]],Table_NFI[Winter Items Other])</f>
        <v>0</v>
      </c>
      <c r="AL816" s="294">
        <f>IF(NFI_Expiration=1,IF($A816&lt;VLOOKUP(M$5,NFI,5,0),1,0)*Table_NFI[[#This Row],[Winter Blanket]],Table_NFI[[#This Row],[Winter Blanket]])</f>
        <v>0</v>
      </c>
      <c r="AM816" s="294">
        <f>IF(Table_NFI[[#This Row],[Winter Clothes Adult]]+Table_NFI[[#This Row],[Winter Clothes Children]]+Table_NFI[[#This Row],[Winter Items Other]]+Table_NFI[[#This Row],[Winter Blanket]]&gt;0,1,0)</f>
        <v>0</v>
      </c>
      <c r="AN816" s="331">
        <f>IF(NFI_Expiration=1,IF($A816&lt;VLOOKUP(V$5,NFI,5,0),1,0)*Table_NFI[[#This Row],[Jerry Can]],Table_NFI[Jerry Can])</f>
        <v>0</v>
      </c>
      <c r="AO816" s="331">
        <f>IF(NFI_Expiration=1,IF($A816&lt;VLOOKUP(V$5,NFI,5,0),1,0)*Table_NFI[[#This Row],[Shelter Tool kit]],Table_NFI[Shelter Tool kit])</f>
        <v>0</v>
      </c>
      <c r="AP816" s="331">
        <f>IF(NFI_Expiration=1,IF($A816&lt;VLOOKUP(V$5,NFI,5,0),1,0)*Table_NFI[[#This Row],[Tent]],Table_NFI[Tent])</f>
        <v>0</v>
      </c>
      <c r="AQ816" s="473" t="str">
        <f>IFERROR(VLOOKUP(Table_NFI[[#This Row],[Camp Name]],CL,2,0),"")</f>
        <v>MMR001CMP031</v>
      </c>
      <c r="AR816" s="468">
        <f ca="1">IF(Table_NFI[[#This Row],[Pcode]]="","",IF(OFFSET(CampList[Opening Date],MATCH(Table_NFI[[#This Row],[Pcode]],CampList[CP_Pcode],0)-1,0,1,1)&gt;=NFI_Monitor_Date,1,0))</f>
        <v>0</v>
      </c>
      <c r="AS816" s="473" t="str">
        <f>IFERROR(VLOOKUP(Table_NFI[[#This Row],[Camp Name]],CL,3,0),"")</f>
        <v>Open</v>
      </c>
      <c r="AT816" s="294" t="str">
        <f ca="1">IF(Table_NFI[[#This Row],[Pcode]]="","",OFFSET(CampList[Priority],MATCH(Table_NFI[[#This Row],[Pcode]],CampList[CP_Pcode],0)-1,0,1,1))</f>
        <v>P4</v>
      </c>
      <c r="AU816" s="293">
        <f>IFERROR(Table_NFI[[#This Row],[Kitchen Set]]/VLOOKUP(Table_NFI[[#This Row],[Camp Name]],CL,4,0),"")</f>
        <v>0</v>
      </c>
      <c r="AV816" s="466" t="s">
        <v>1092</v>
      </c>
      <c r="AW816" s="469"/>
    </row>
    <row r="817" spans="1:49" ht="14.45" customHeight="1" x14ac:dyDescent="0.25">
      <c r="A817" s="297">
        <f t="shared" si="12"/>
        <v>46.7</v>
      </c>
      <c r="B817" s="465">
        <v>41274</v>
      </c>
      <c r="C817" s="466" t="s">
        <v>453</v>
      </c>
      <c r="D817" s="467" t="s">
        <v>453</v>
      </c>
      <c r="E817" s="466" t="s">
        <v>380</v>
      </c>
      <c r="F817" s="290" t="s">
        <v>527</v>
      </c>
      <c r="G817" s="290" t="s">
        <v>54</v>
      </c>
      <c r="H817" s="291">
        <v>57</v>
      </c>
      <c r="I817" s="291"/>
      <c r="J817" s="291"/>
      <c r="K817" s="291"/>
      <c r="L817" s="292"/>
      <c r="M817" s="292"/>
      <c r="N817" s="292"/>
      <c r="O817" s="292"/>
      <c r="P817" s="294">
        <v>0</v>
      </c>
      <c r="Q817" s="294">
        <v>0</v>
      </c>
      <c r="R817" s="294"/>
      <c r="S817" s="294"/>
      <c r="T817" s="294"/>
      <c r="U817" s="294"/>
      <c r="V817" s="431"/>
      <c r="W817" s="294"/>
      <c r="X817" s="294"/>
      <c r="Y817" s="294">
        <f>IF(NFI_Expiration=1,IF($A817&lt;VLOOKUP(H$5,NFI,5,0),1,0)*Table_NFI[[#This Row],[Hygiene Kit]],Table_NFI[Hygiene Kit])</f>
        <v>0</v>
      </c>
      <c r="Z817" s="294">
        <f>IF(NFI_Expiration=1,IF($A817&lt;VLOOKUP(I$5,NFI,5,0),1,0)*Table_NFI[[#This Row],[NFI Core Kit]],Table_NFI[NFI Core Kit])</f>
        <v>0</v>
      </c>
      <c r="AA817" s="294">
        <f>IF(NFI_Expiration=1,IF($A817&lt;VLOOKUP(J$5,NFI,5,0),1,0)*Table_NFI[[#This Row],[Sanitary Kit]],Table_NFI[Sanitary Kit])</f>
        <v>0</v>
      </c>
      <c r="AB817" s="294">
        <f>IF(NFI_Expiration=1,IF($A817&lt;VLOOKUP(K$5,NFI,5,0),1,0)*Table_NFI[[#This Row],[Mosquito net]],Table_NFI[Mosquito net])</f>
        <v>0</v>
      </c>
      <c r="AC817" s="294">
        <f>IF(NFI_Expiration=1,IF($A817&lt;VLOOKUP(L$5,NFI,5,0),1,0)*Table_NFI[[#This Row],[Tarpaulin]],Table_NFI[[#This Row],[Tarpaulin]])</f>
        <v>0</v>
      </c>
      <c r="AD817" s="294">
        <f>IF(NFI_Expiration=1,IF($A817&lt;VLOOKUP(M$5,NFI,5,0),1,0)*Table_NFI[[#This Row],[Blanket]],Table_NFI[[#This Row],[Blanket]])</f>
        <v>0</v>
      </c>
      <c r="AE817" s="294">
        <f>IF(NFI_Expiration=1,IF($A817&lt;VLOOKUP(N$5,NFI,5,0),1,0)*Table_NFI[[#This Row],[Kitchen Set]],Table_NFI[Kitchen Set])</f>
        <v>0</v>
      </c>
      <c r="AF817" s="294">
        <f>IF(NFI_Expiration=1,IF($A817&lt;VLOOKUP(O$5,NFI,5,0),1,0)*Table_NFI[[#This Row],[Clothes Kit]],Table_NFI[Clothes Kit])</f>
        <v>0</v>
      </c>
      <c r="AG817" s="294">
        <f>IF(NFI_Expiration=1,IF($A817&lt;VLOOKUP(P$5,NFI,5,0),1,0)*Table_NFI[[#This Row],[Plastic Bucket]],Table_NFI[Plastic Bucket])</f>
        <v>0</v>
      </c>
      <c r="AH817" s="294">
        <f>IF(NFI_Expiration=1,IF($A817&lt;VLOOKUP(Q$5,NFI,5,0),1,0)*Table_NFI[[#This Row],[Plastic Mat]],Table_NFI[Plastic Mat])*IF(Table_NFI[[#This Row],[Distribution Date]]&gt;"2014-04-01",1,2.5)</f>
        <v>0</v>
      </c>
      <c r="AI817" s="294">
        <f>IF(NFI_Expiration=1,IF($A817&lt;VLOOKUP(R$5,NFI,5,0),1,0)*Table_NFI[[#This Row],[Winter Clothes Adult]],Table_NFI[Winter Clothes Adult])</f>
        <v>0</v>
      </c>
      <c r="AJ817" s="294">
        <f>IF(NFI_Expiration=1,IF($A817&lt;VLOOKUP(S$5,NFI,5,0),1,0)*Table_NFI[[#This Row],[Winter Clothes Children]],Table_NFI[Winter Clothes Children])</f>
        <v>0</v>
      </c>
      <c r="AK817" s="294">
        <f>IF(NFI_Expiration=1,IF($A817&lt;VLOOKUP(T$5,NFI,5,0),1,0)*Table_NFI[[#This Row],[Winter Items Other]],Table_NFI[Winter Items Other])</f>
        <v>0</v>
      </c>
      <c r="AL817" s="294">
        <f>IF(NFI_Expiration=1,IF($A817&lt;VLOOKUP(M$5,NFI,5,0),1,0)*Table_NFI[[#This Row],[Winter Blanket]],Table_NFI[[#This Row],[Winter Blanket]])</f>
        <v>0</v>
      </c>
      <c r="AM817" s="294">
        <f>IF(Table_NFI[[#This Row],[Winter Clothes Adult]]+Table_NFI[[#This Row],[Winter Clothes Children]]+Table_NFI[[#This Row],[Winter Items Other]]+Table_NFI[[#This Row],[Winter Blanket]]&gt;0,1,0)</f>
        <v>0</v>
      </c>
      <c r="AN817" s="331">
        <f>IF(NFI_Expiration=1,IF($A817&lt;VLOOKUP(V$5,NFI,5,0),1,0)*Table_NFI[[#This Row],[Jerry Can]],Table_NFI[Jerry Can])</f>
        <v>0</v>
      </c>
      <c r="AO817" s="331">
        <f>IF(NFI_Expiration=1,IF($A817&lt;VLOOKUP(V$5,NFI,5,0),1,0)*Table_NFI[[#This Row],[Shelter Tool kit]],Table_NFI[Shelter Tool kit])</f>
        <v>0</v>
      </c>
      <c r="AP817" s="331">
        <f>IF(NFI_Expiration=1,IF($A817&lt;VLOOKUP(V$5,NFI,5,0),1,0)*Table_NFI[[#This Row],[Tent]],Table_NFI[Tent])</f>
        <v>0</v>
      </c>
      <c r="AQ817" s="473" t="str">
        <f>IFERROR(VLOOKUP(Table_NFI[[#This Row],[Camp Name]],CL,2,0),"")</f>
        <v>MMR001CMP094</v>
      </c>
      <c r="AR817" s="468">
        <f ca="1">IF(Table_NFI[[#This Row],[Pcode]]="","",IF(OFFSET(CampList[Opening Date],MATCH(Table_NFI[[#This Row],[Pcode]],CampList[CP_Pcode],0)-1,0,1,1)&gt;=NFI_Monitor_Date,1,0))</f>
        <v>0</v>
      </c>
      <c r="AS817" s="473" t="str">
        <f>IFERROR(VLOOKUP(Table_NFI[[#This Row],[Camp Name]],CL,3,0),"")</f>
        <v>Closed</v>
      </c>
      <c r="AT817" s="294" t="str">
        <f ca="1">IF(Table_NFI[[#This Row],[Pcode]]="","",OFFSET(CampList[Priority],MATCH(Table_NFI[[#This Row],[Pcode]],CampList[CP_Pcode],0)-1,0,1,1))</f>
        <v/>
      </c>
      <c r="AU817" s="293" t="str">
        <f>IFERROR(Table_NFI[[#This Row],[Kitchen Set]]/VLOOKUP(Table_NFI[[#This Row],[Camp Name]],CL,4,0),"")</f>
        <v/>
      </c>
      <c r="AV817" s="466" t="s">
        <v>1092</v>
      </c>
      <c r="AW817" s="469"/>
    </row>
    <row r="818" spans="1:49" ht="14.45" customHeight="1" x14ac:dyDescent="0.25">
      <c r="A818" s="297">
        <f t="shared" si="12"/>
        <v>46.7</v>
      </c>
      <c r="B818" s="465">
        <v>41274</v>
      </c>
      <c r="C818" s="466" t="s">
        <v>453</v>
      </c>
      <c r="D818" s="467" t="s">
        <v>453</v>
      </c>
      <c r="E818" s="466" t="s">
        <v>380</v>
      </c>
      <c r="F818" s="290" t="s">
        <v>527</v>
      </c>
      <c r="G818" s="290" t="s">
        <v>66</v>
      </c>
      <c r="H818" s="291">
        <v>2</v>
      </c>
      <c r="I818" s="291"/>
      <c r="J818" s="291"/>
      <c r="K818" s="291"/>
      <c r="L818" s="292"/>
      <c r="M818" s="292"/>
      <c r="N818" s="292"/>
      <c r="O818" s="292"/>
      <c r="P818" s="294">
        <v>0</v>
      </c>
      <c r="Q818" s="294">
        <v>0</v>
      </c>
      <c r="R818" s="294"/>
      <c r="S818" s="294"/>
      <c r="T818" s="294"/>
      <c r="U818" s="294"/>
      <c r="V818" s="431"/>
      <c r="W818" s="294"/>
      <c r="X818" s="294"/>
      <c r="Y818" s="294">
        <f>IF(NFI_Expiration=1,IF($A818&lt;VLOOKUP(H$5,NFI,5,0),1,0)*Table_NFI[[#This Row],[Hygiene Kit]],Table_NFI[Hygiene Kit])</f>
        <v>0</v>
      </c>
      <c r="Z818" s="294">
        <f>IF(NFI_Expiration=1,IF($A818&lt;VLOOKUP(I$5,NFI,5,0),1,0)*Table_NFI[[#This Row],[NFI Core Kit]],Table_NFI[NFI Core Kit])</f>
        <v>0</v>
      </c>
      <c r="AA818" s="294">
        <f>IF(NFI_Expiration=1,IF($A818&lt;VLOOKUP(J$5,NFI,5,0),1,0)*Table_NFI[[#This Row],[Sanitary Kit]],Table_NFI[Sanitary Kit])</f>
        <v>0</v>
      </c>
      <c r="AB818" s="294">
        <f>IF(NFI_Expiration=1,IF($A818&lt;VLOOKUP(K$5,NFI,5,0),1,0)*Table_NFI[[#This Row],[Mosquito net]],Table_NFI[Mosquito net])</f>
        <v>0</v>
      </c>
      <c r="AC818" s="294">
        <f>IF(NFI_Expiration=1,IF($A818&lt;VLOOKUP(L$5,NFI,5,0),1,0)*Table_NFI[[#This Row],[Tarpaulin]],Table_NFI[[#This Row],[Tarpaulin]])</f>
        <v>0</v>
      </c>
      <c r="AD818" s="294">
        <f>IF(NFI_Expiration=1,IF($A818&lt;VLOOKUP(M$5,NFI,5,0),1,0)*Table_NFI[[#This Row],[Blanket]],Table_NFI[[#This Row],[Blanket]])</f>
        <v>0</v>
      </c>
      <c r="AE818" s="294">
        <f>IF(NFI_Expiration=1,IF($A818&lt;VLOOKUP(N$5,NFI,5,0),1,0)*Table_NFI[[#This Row],[Kitchen Set]],Table_NFI[Kitchen Set])</f>
        <v>0</v>
      </c>
      <c r="AF818" s="294">
        <f>IF(NFI_Expiration=1,IF($A818&lt;VLOOKUP(O$5,NFI,5,0),1,0)*Table_NFI[[#This Row],[Clothes Kit]],Table_NFI[Clothes Kit])</f>
        <v>0</v>
      </c>
      <c r="AG818" s="294">
        <f>IF(NFI_Expiration=1,IF($A818&lt;VLOOKUP(P$5,NFI,5,0),1,0)*Table_NFI[[#This Row],[Plastic Bucket]],Table_NFI[Plastic Bucket])</f>
        <v>0</v>
      </c>
      <c r="AH818" s="294">
        <f>IF(NFI_Expiration=1,IF($A818&lt;VLOOKUP(Q$5,NFI,5,0),1,0)*Table_NFI[[#This Row],[Plastic Mat]],Table_NFI[Plastic Mat])*IF(Table_NFI[[#This Row],[Distribution Date]]&gt;"2014-04-01",1,2.5)</f>
        <v>0</v>
      </c>
      <c r="AI818" s="294">
        <f>IF(NFI_Expiration=1,IF($A818&lt;VLOOKUP(R$5,NFI,5,0),1,0)*Table_NFI[[#This Row],[Winter Clothes Adult]],Table_NFI[Winter Clothes Adult])</f>
        <v>0</v>
      </c>
      <c r="AJ818" s="294">
        <f>IF(NFI_Expiration=1,IF($A818&lt;VLOOKUP(S$5,NFI,5,0),1,0)*Table_NFI[[#This Row],[Winter Clothes Children]],Table_NFI[Winter Clothes Children])</f>
        <v>0</v>
      </c>
      <c r="AK818" s="294">
        <f>IF(NFI_Expiration=1,IF($A818&lt;VLOOKUP(T$5,NFI,5,0),1,0)*Table_NFI[[#This Row],[Winter Items Other]],Table_NFI[Winter Items Other])</f>
        <v>0</v>
      </c>
      <c r="AL818" s="294">
        <f>IF(NFI_Expiration=1,IF($A818&lt;VLOOKUP(M$5,NFI,5,0),1,0)*Table_NFI[[#This Row],[Winter Blanket]],Table_NFI[[#This Row],[Winter Blanket]])</f>
        <v>0</v>
      </c>
      <c r="AM818" s="294">
        <f>IF(Table_NFI[[#This Row],[Winter Clothes Adult]]+Table_NFI[[#This Row],[Winter Clothes Children]]+Table_NFI[[#This Row],[Winter Items Other]]+Table_NFI[[#This Row],[Winter Blanket]]&gt;0,1,0)</f>
        <v>0</v>
      </c>
      <c r="AN818" s="331">
        <f>IF(NFI_Expiration=1,IF($A818&lt;VLOOKUP(V$5,NFI,5,0),1,0)*Table_NFI[[#This Row],[Jerry Can]],Table_NFI[Jerry Can])</f>
        <v>0</v>
      </c>
      <c r="AO818" s="331">
        <f>IF(NFI_Expiration=1,IF($A818&lt;VLOOKUP(V$5,NFI,5,0),1,0)*Table_NFI[[#This Row],[Shelter Tool kit]],Table_NFI[Shelter Tool kit])</f>
        <v>0</v>
      </c>
      <c r="AP818" s="331">
        <f>IF(NFI_Expiration=1,IF($A818&lt;VLOOKUP(V$5,NFI,5,0),1,0)*Table_NFI[[#This Row],[Tent]],Table_NFI[Tent])</f>
        <v>0</v>
      </c>
      <c r="AQ818" s="473" t="str">
        <f>IFERROR(VLOOKUP(Table_NFI[[#This Row],[Camp Name]],CL,2,0),"")</f>
        <v>MMR001CMP093</v>
      </c>
      <c r="AR818" s="468">
        <f ca="1">IF(Table_NFI[[#This Row],[Pcode]]="","",IF(OFFSET(CampList[Opening Date],MATCH(Table_NFI[[#This Row],[Pcode]],CampList[CP_Pcode],0)-1,0,1,1)&gt;=NFI_Monitor_Date,1,0))</f>
        <v>0</v>
      </c>
      <c r="AS818" s="473" t="str">
        <f>IFERROR(VLOOKUP(Table_NFI[[#This Row],[Camp Name]],CL,3,0),"")</f>
        <v>Closed</v>
      </c>
      <c r="AT818" s="294" t="str">
        <f ca="1">IF(Table_NFI[[#This Row],[Pcode]]="","",OFFSET(CampList[Priority],MATCH(Table_NFI[[#This Row],[Pcode]],CampList[CP_Pcode],0)-1,0,1,1))</f>
        <v/>
      </c>
      <c r="AU818" s="293" t="str">
        <f>IFERROR(Table_NFI[[#This Row],[Kitchen Set]]/VLOOKUP(Table_NFI[[#This Row],[Camp Name]],CL,4,0),"")</f>
        <v/>
      </c>
      <c r="AV818" s="466" t="s">
        <v>1092</v>
      </c>
      <c r="AW818" s="469"/>
    </row>
    <row r="819" spans="1:49" ht="14.45" customHeight="1" x14ac:dyDescent="0.25">
      <c r="A819" s="297">
        <f t="shared" si="12"/>
        <v>46.7</v>
      </c>
      <c r="B819" s="465">
        <v>41274</v>
      </c>
      <c r="C819" s="466" t="s">
        <v>453</v>
      </c>
      <c r="D819" s="467" t="s">
        <v>453</v>
      </c>
      <c r="E819" s="466" t="s">
        <v>380</v>
      </c>
      <c r="F819" s="290" t="s">
        <v>237</v>
      </c>
      <c r="G819" s="290" t="s">
        <v>263</v>
      </c>
      <c r="H819" s="291">
        <v>14</v>
      </c>
      <c r="I819" s="291"/>
      <c r="J819" s="291"/>
      <c r="K819" s="291"/>
      <c r="L819" s="292"/>
      <c r="M819" s="292"/>
      <c r="N819" s="292"/>
      <c r="O819" s="292"/>
      <c r="P819" s="294">
        <v>0</v>
      </c>
      <c r="Q819" s="294">
        <v>0</v>
      </c>
      <c r="R819" s="294"/>
      <c r="S819" s="294"/>
      <c r="T819" s="294"/>
      <c r="U819" s="294"/>
      <c r="V819" s="431"/>
      <c r="W819" s="294"/>
      <c r="X819" s="294"/>
      <c r="Y819" s="294">
        <f>IF(NFI_Expiration=1,IF($A819&lt;VLOOKUP(H$5,NFI,5,0),1,0)*Table_NFI[[#This Row],[Hygiene Kit]],Table_NFI[Hygiene Kit])</f>
        <v>0</v>
      </c>
      <c r="Z819" s="294">
        <f>IF(NFI_Expiration=1,IF($A819&lt;VLOOKUP(I$5,NFI,5,0),1,0)*Table_NFI[[#This Row],[NFI Core Kit]],Table_NFI[NFI Core Kit])</f>
        <v>0</v>
      </c>
      <c r="AA819" s="294">
        <f>IF(NFI_Expiration=1,IF($A819&lt;VLOOKUP(J$5,NFI,5,0),1,0)*Table_NFI[[#This Row],[Sanitary Kit]],Table_NFI[Sanitary Kit])</f>
        <v>0</v>
      </c>
      <c r="AB819" s="294">
        <f>IF(NFI_Expiration=1,IF($A819&lt;VLOOKUP(K$5,NFI,5,0),1,0)*Table_NFI[[#This Row],[Mosquito net]],Table_NFI[Mosquito net])</f>
        <v>0</v>
      </c>
      <c r="AC819" s="294">
        <f>IF(NFI_Expiration=1,IF($A819&lt;VLOOKUP(L$5,NFI,5,0),1,0)*Table_NFI[[#This Row],[Tarpaulin]],Table_NFI[[#This Row],[Tarpaulin]])</f>
        <v>0</v>
      </c>
      <c r="AD819" s="294">
        <f>IF(NFI_Expiration=1,IF($A819&lt;VLOOKUP(M$5,NFI,5,0),1,0)*Table_NFI[[#This Row],[Blanket]],Table_NFI[[#This Row],[Blanket]])</f>
        <v>0</v>
      </c>
      <c r="AE819" s="294">
        <f>IF(NFI_Expiration=1,IF($A819&lt;VLOOKUP(N$5,NFI,5,0),1,0)*Table_NFI[[#This Row],[Kitchen Set]],Table_NFI[Kitchen Set])</f>
        <v>0</v>
      </c>
      <c r="AF819" s="294">
        <f>IF(NFI_Expiration=1,IF($A819&lt;VLOOKUP(O$5,NFI,5,0),1,0)*Table_NFI[[#This Row],[Clothes Kit]],Table_NFI[Clothes Kit])</f>
        <v>0</v>
      </c>
      <c r="AG819" s="294">
        <f>IF(NFI_Expiration=1,IF($A819&lt;VLOOKUP(P$5,NFI,5,0),1,0)*Table_NFI[[#This Row],[Plastic Bucket]],Table_NFI[Plastic Bucket])</f>
        <v>0</v>
      </c>
      <c r="AH819" s="294">
        <f>IF(NFI_Expiration=1,IF($A819&lt;VLOOKUP(Q$5,NFI,5,0),1,0)*Table_NFI[[#This Row],[Plastic Mat]],Table_NFI[Plastic Mat])*IF(Table_NFI[[#This Row],[Distribution Date]]&gt;"2014-04-01",1,2.5)</f>
        <v>0</v>
      </c>
      <c r="AI819" s="294">
        <f>IF(NFI_Expiration=1,IF($A819&lt;VLOOKUP(R$5,NFI,5,0),1,0)*Table_NFI[[#This Row],[Winter Clothes Adult]],Table_NFI[Winter Clothes Adult])</f>
        <v>0</v>
      </c>
      <c r="AJ819" s="294">
        <f>IF(NFI_Expiration=1,IF($A819&lt;VLOOKUP(S$5,NFI,5,0),1,0)*Table_NFI[[#This Row],[Winter Clothes Children]],Table_NFI[Winter Clothes Children])</f>
        <v>0</v>
      </c>
      <c r="AK819" s="294">
        <f>IF(NFI_Expiration=1,IF($A819&lt;VLOOKUP(T$5,NFI,5,0),1,0)*Table_NFI[[#This Row],[Winter Items Other]],Table_NFI[Winter Items Other])</f>
        <v>0</v>
      </c>
      <c r="AL819" s="294">
        <f>IF(NFI_Expiration=1,IF($A819&lt;VLOOKUP(M$5,NFI,5,0),1,0)*Table_NFI[[#This Row],[Winter Blanket]],Table_NFI[[#This Row],[Winter Blanket]])</f>
        <v>0</v>
      </c>
      <c r="AM819" s="294">
        <f>IF(Table_NFI[[#This Row],[Winter Clothes Adult]]+Table_NFI[[#This Row],[Winter Clothes Children]]+Table_NFI[[#This Row],[Winter Items Other]]+Table_NFI[[#This Row],[Winter Blanket]]&gt;0,1,0)</f>
        <v>0</v>
      </c>
      <c r="AN819" s="331">
        <f>IF(NFI_Expiration=1,IF($A819&lt;VLOOKUP(V$5,NFI,5,0),1,0)*Table_NFI[[#This Row],[Jerry Can]],Table_NFI[Jerry Can])</f>
        <v>0</v>
      </c>
      <c r="AO819" s="331">
        <f>IF(NFI_Expiration=1,IF($A819&lt;VLOOKUP(V$5,NFI,5,0),1,0)*Table_NFI[[#This Row],[Shelter Tool kit]],Table_NFI[Shelter Tool kit])</f>
        <v>0</v>
      </c>
      <c r="AP819" s="331">
        <f>IF(NFI_Expiration=1,IF($A819&lt;VLOOKUP(V$5,NFI,5,0),1,0)*Table_NFI[[#This Row],[Tent]],Table_NFI[Tent])</f>
        <v>0</v>
      </c>
      <c r="AQ819" s="473" t="str">
        <f>IFERROR(VLOOKUP(Table_NFI[[#This Row],[Camp Name]],CL,2,0),"")</f>
        <v>MMR001CMP020</v>
      </c>
      <c r="AR819" s="468">
        <f ca="1">IF(Table_NFI[[#This Row],[Pcode]]="","",IF(OFFSET(CampList[Opening Date],MATCH(Table_NFI[[#This Row],[Pcode]],CampList[CP_Pcode],0)-1,0,1,1)&gt;=NFI_Monitor_Date,1,0))</f>
        <v>0</v>
      </c>
      <c r="AS819" s="473" t="str">
        <f>IFERROR(VLOOKUP(Table_NFI[[#This Row],[Camp Name]],CL,3,0),"")</f>
        <v>Open</v>
      </c>
      <c r="AT819" s="294" t="str">
        <f ca="1">IF(Table_NFI[[#This Row],[Pcode]]="","",OFFSET(CampList[Priority],MATCH(Table_NFI[[#This Row],[Pcode]],CampList[CP_Pcode],0)-1,0,1,1))</f>
        <v>P4</v>
      </c>
      <c r="AU819" s="293">
        <f>IFERROR(Table_NFI[[#This Row],[Kitchen Set]]/VLOOKUP(Table_NFI[[#This Row],[Camp Name]],CL,4,0),"")</f>
        <v>0</v>
      </c>
      <c r="AV819" s="466" t="s">
        <v>1092</v>
      </c>
      <c r="AW819" s="469"/>
    </row>
    <row r="820" spans="1:49" ht="14.45" customHeight="1" x14ac:dyDescent="0.25">
      <c r="A820" s="297">
        <f t="shared" si="12"/>
        <v>46.7</v>
      </c>
      <c r="B820" s="465">
        <v>41274</v>
      </c>
      <c r="C820" s="466" t="s">
        <v>453</v>
      </c>
      <c r="D820" s="466" t="s">
        <v>453</v>
      </c>
      <c r="E820" s="466" t="s">
        <v>380</v>
      </c>
      <c r="F820" s="466" t="s">
        <v>237</v>
      </c>
      <c r="G820" s="290" t="s">
        <v>265</v>
      </c>
      <c r="H820" s="291">
        <v>23</v>
      </c>
      <c r="I820" s="291"/>
      <c r="J820" s="291"/>
      <c r="K820" s="291"/>
      <c r="L820" s="292"/>
      <c r="M820" s="292"/>
      <c r="N820" s="292"/>
      <c r="O820" s="292"/>
      <c r="P820" s="294">
        <v>0</v>
      </c>
      <c r="Q820" s="294">
        <v>0</v>
      </c>
      <c r="R820" s="294"/>
      <c r="S820" s="294"/>
      <c r="T820" s="294"/>
      <c r="U820" s="294"/>
      <c r="V820" s="431"/>
      <c r="W820" s="294"/>
      <c r="X820" s="294"/>
      <c r="Y820" s="294">
        <f>IF(NFI_Expiration=1,IF($A820&lt;VLOOKUP(H$5,NFI,5,0),1,0)*Table_NFI[[#This Row],[Hygiene Kit]],Table_NFI[Hygiene Kit])</f>
        <v>0</v>
      </c>
      <c r="Z820" s="294">
        <f>IF(NFI_Expiration=1,IF($A820&lt;VLOOKUP(I$5,NFI,5,0),1,0)*Table_NFI[[#This Row],[NFI Core Kit]],Table_NFI[NFI Core Kit])</f>
        <v>0</v>
      </c>
      <c r="AA820" s="294">
        <f>IF(NFI_Expiration=1,IF($A820&lt;VLOOKUP(J$5,NFI,5,0),1,0)*Table_NFI[[#This Row],[Sanitary Kit]],Table_NFI[Sanitary Kit])</f>
        <v>0</v>
      </c>
      <c r="AB820" s="294">
        <f>IF(NFI_Expiration=1,IF($A820&lt;VLOOKUP(K$5,NFI,5,0),1,0)*Table_NFI[[#This Row],[Mosquito net]],Table_NFI[Mosquito net])</f>
        <v>0</v>
      </c>
      <c r="AC820" s="294">
        <f>IF(NFI_Expiration=1,IF($A820&lt;VLOOKUP(L$5,NFI,5,0),1,0)*Table_NFI[[#This Row],[Tarpaulin]],Table_NFI[[#This Row],[Tarpaulin]])</f>
        <v>0</v>
      </c>
      <c r="AD820" s="294">
        <f>IF(NFI_Expiration=1,IF($A820&lt;VLOOKUP(M$5,NFI,5,0),1,0)*Table_NFI[[#This Row],[Blanket]],Table_NFI[[#This Row],[Blanket]])</f>
        <v>0</v>
      </c>
      <c r="AE820" s="294">
        <f>IF(NFI_Expiration=1,IF($A820&lt;VLOOKUP(N$5,NFI,5,0),1,0)*Table_NFI[[#This Row],[Kitchen Set]],Table_NFI[Kitchen Set])</f>
        <v>0</v>
      </c>
      <c r="AF820" s="294">
        <f>IF(NFI_Expiration=1,IF($A820&lt;VLOOKUP(O$5,NFI,5,0),1,0)*Table_NFI[[#This Row],[Clothes Kit]],Table_NFI[Clothes Kit])</f>
        <v>0</v>
      </c>
      <c r="AG820" s="294">
        <f>IF(NFI_Expiration=1,IF($A820&lt;VLOOKUP(P$5,NFI,5,0),1,0)*Table_NFI[[#This Row],[Plastic Bucket]],Table_NFI[Plastic Bucket])</f>
        <v>0</v>
      </c>
      <c r="AH820" s="294">
        <f>IF(NFI_Expiration=1,IF($A820&lt;VLOOKUP(Q$5,NFI,5,0),1,0)*Table_NFI[[#This Row],[Plastic Mat]],Table_NFI[Plastic Mat])*IF(Table_NFI[[#This Row],[Distribution Date]]&gt;"2014-04-01",1,2.5)</f>
        <v>0</v>
      </c>
      <c r="AI820" s="294">
        <f>IF(NFI_Expiration=1,IF($A820&lt;VLOOKUP(R$5,NFI,5,0),1,0)*Table_NFI[[#This Row],[Winter Clothes Adult]],Table_NFI[Winter Clothes Adult])</f>
        <v>0</v>
      </c>
      <c r="AJ820" s="294">
        <f>IF(NFI_Expiration=1,IF($A820&lt;VLOOKUP(S$5,NFI,5,0),1,0)*Table_NFI[[#This Row],[Winter Clothes Children]],Table_NFI[Winter Clothes Children])</f>
        <v>0</v>
      </c>
      <c r="AK820" s="294">
        <f>IF(NFI_Expiration=1,IF($A820&lt;VLOOKUP(T$5,NFI,5,0),1,0)*Table_NFI[[#This Row],[Winter Items Other]],Table_NFI[Winter Items Other])</f>
        <v>0</v>
      </c>
      <c r="AL820" s="294">
        <f>IF(NFI_Expiration=1,IF($A820&lt;VLOOKUP(M$5,NFI,5,0),1,0)*Table_NFI[[#This Row],[Winter Blanket]],Table_NFI[[#This Row],[Winter Blanket]])</f>
        <v>0</v>
      </c>
      <c r="AM820" s="294">
        <f>IF(Table_NFI[[#This Row],[Winter Clothes Adult]]+Table_NFI[[#This Row],[Winter Clothes Children]]+Table_NFI[[#This Row],[Winter Items Other]]+Table_NFI[[#This Row],[Winter Blanket]]&gt;0,1,0)</f>
        <v>0</v>
      </c>
      <c r="AN820" s="331">
        <f>IF(NFI_Expiration=1,IF($A820&lt;VLOOKUP(V$5,NFI,5,0),1,0)*Table_NFI[[#This Row],[Jerry Can]],Table_NFI[Jerry Can])</f>
        <v>0</v>
      </c>
      <c r="AO820" s="331">
        <f>IF(NFI_Expiration=1,IF($A820&lt;VLOOKUP(V$5,NFI,5,0),1,0)*Table_NFI[[#This Row],[Shelter Tool kit]],Table_NFI[Shelter Tool kit])</f>
        <v>0</v>
      </c>
      <c r="AP820" s="331">
        <f>IF(NFI_Expiration=1,IF($A820&lt;VLOOKUP(V$5,NFI,5,0),1,0)*Table_NFI[[#This Row],[Tent]],Table_NFI[Tent])</f>
        <v>0</v>
      </c>
      <c r="AQ820" s="473" t="str">
        <f>IFERROR(VLOOKUP(Table_NFI[[#This Row],[Camp Name]],CL,2,0),"")</f>
        <v>MMR001CMP021</v>
      </c>
      <c r="AR820" s="468">
        <f ca="1">IF(Table_NFI[[#This Row],[Pcode]]="","",IF(OFFSET(CampList[Opening Date],MATCH(Table_NFI[[#This Row],[Pcode]],CampList[CP_Pcode],0)-1,0,1,1)&gt;=NFI_Monitor_Date,1,0))</f>
        <v>0</v>
      </c>
      <c r="AS820" s="473" t="str">
        <f>IFERROR(VLOOKUP(Table_NFI[[#This Row],[Camp Name]],CL,3,0),"")</f>
        <v>Open</v>
      </c>
      <c r="AT820" s="294" t="str">
        <f ca="1">IF(Table_NFI[[#This Row],[Pcode]]="","",OFFSET(CampList[Priority],MATCH(Table_NFI[[#This Row],[Pcode]],CampList[CP_Pcode],0)-1,0,1,1))</f>
        <v>P4</v>
      </c>
      <c r="AU820" s="293">
        <f>IFERROR(Table_NFI[[#This Row],[Kitchen Set]]/VLOOKUP(Table_NFI[[#This Row],[Camp Name]],CL,4,0),"")</f>
        <v>0</v>
      </c>
      <c r="AV820" s="466" t="s">
        <v>1092</v>
      </c>
      <c r="AW820" s="469"/>
    </row>
    <row r="821" spans="1:49" ht="14.45" customHeight="1" x14ac:dyDescent="0.25">
      <c r="A821" s="297">
        <f t="shared" si="12"/>
        <v>46.7</v>
      </c>
      <c r="B821" s="465">
        <v>41274</v>
      </c>
      <c r="C821" s="466" t="s">
        <v>453</v>
      </c>
      <c r="D821" s="467" t="s">
        <v>453</v>
      </c>
      <c r="E821" s="466" t="s">
        <v>380</v>
      </c>
      <c r="F821" s="290" t="s">
        <v>527</v>
      </c>
      <c r="G821" s="290" t="s">
        <v>136</v>
      </c>
      <c r="H821" s="291">
        <v>3</v>
      </c>
      <c r="I821" s="291"/>
      <c r="J821" s="291"/>
      <c r="K821" s="291"/>
      <c r="L821" s="292"/>
      <c r="M821" s="292"/>
      <c r="N821" s="292"/>
      <c r="O821" s="292"/>
      <c r="P821" s="294">
        <v>0</v>
      </c>
      <c r="Q821" s="294">
        <v>0</v>
      </c>
      <c r="R821" s="294"/>
      <c r="S821" s="294"/>
      <c r="T821" s="294"/>
      <c r="U821" s="294"/>
      <c r="V821" s="431"/>
      <c r="W821" s="294"/>
      <c r="X821" s="294"/>
      <c r="Y821" s="294">
        <f>IF(NFI_Expiration=1,IF($A821&lt;VLOOKUP(H$5,NFI,5,0),1,0)*Table_NFI[[#This Row],[Hygiene Kit]],Table_NFI[Hygiene Kit])</f>
        <v>0</v>
      </c>
      <c r="Z821" s="294">
        <f>IF(NFI_Expiration=1,IF($A821&lt;VLOOKUP(I$5,NFI,5,0),1,0)*Table_NFI[[#This Row],[NFI Core Kit]],Table_NFI[NFI Core Kit])</f>
        <v>0</v>
      </c>
      <c r="AA821" s="294">
        <f>IF(NFI_Expiration=1,IF($A821&lt;VLOOKUP(J$5,NFI,5,0),1,0)*Table_NFI[[#This Row],[Sanitary Kit]],Table_NFI[Sanitary Kit])</f>
        <v>0</v>
      </c>
      <c r="AB821" s="294">
        <f>IF(NFI_Expiration=1,IF($A821&lt;VLOOKUP(K$5,NFI,5,0),1,0)*Table_NFI[[#This Row],[Mosquito net]],Table_NFI[Mosquito net])</f>
        <v>0</v>
      </c>
      <c r="AC821" s="294">
        <f>IF(NFI_Expiration=1,IF($A821&lt;VLOOKUP(L$5,NFI,5,0),1,0)*Table_NFI[[#This Row],[Tarpaulin]],Table_NFI[[#This Row],[Tarpaulin]])</f>
        <v>0</v>
      </c>
      <c r="AD821" s="294">
        <f>IF(NFI_Expiration=1,IF($A821&lt;VLOOKUP(M$5,NFI,5,0),1,0)*Table_NFI[[#This Row],[Blanket]],Table_NFI[[#This Row],[Blanket]])</f>
        <v>0</v>
      </c>
      <c r="AE821" s="294">
        <f>IF(NFI_Expiration=1,IF($A821&lt;VLOOKUP(N$5,NFI,5,0),1,0)*Table_NFI[[#This Row],[Kitchen Set]],Table_NFI[Kitchen Set])</f>
        <v>0</v>
      </c>
      <c r="AF821" s="294">
        <f>IF(NFI_Expiration=1,IF($A821&lt;VLOOKUP(O$5,NFI,5,0),1,0)*Table_NFI[[#This Row],[Clothes Kit]],Table_NFI[Clothes Kit])</f>
        <v>0</v>
      </c>
      <c r="AG821" s="294">
        <f>IF(NFI_Expiration=1,IF($A821&lt;VLOOKUP(P$5,NFI,5,0),1,0)*Table_NFI[[#This Row],[Plastic Bucket]],Table_NFI[Plastic Bucket])</f>
        <v>0</v>
      </c>
      <c r="AH821" s="294">
        <f>IF(NFI_Expiration=1,IF($A821&lt;VLOOKUP(Q$5,NFI,5,0),1,0)*Table_NFI[[#This Row],[Plastic Mat]],Table_NFI[Plastic Mat])*IF(Table_NFI[[#This Row],[Distribution Date]]&gt;"2014-04-01",1,2.5)</f>
        <v>0</v>
      </c>
      <c r="AI821" s="294">
        <f>IF(NFI_Expiration=1,IF($A821&lt;VLOOKUP(R$5,NFI,5,0),1,0)*Table_NFI[[#This Row],[Winter Clothes Adult]],Table_NFI[Winter Clothes Adult])</f>
        <v>0</v>
      </c>
      <c r="AJ821" s="294">
        <f>IF(NFI_Expiration=1,IF($A821&lt;VLOOKUP(S$5,NFI,5,0),1,0)*Table_NFI[[#This Row],[Winter Clothes Children]],Table_NFI[Winter Clothes Children])</f>
        <v>0</v>
      </c>
      <c r="AK821" s="294">
        <f>IF(NFI_Expiration=1,IF($A821&lt;VLOOKUP(T$5,NFI,5,0),1,0)*Table_NFI[[#This Row],[Winter Items Other]],Table_NFI[Winter Items Other])</f>
        <v>0</v>
      </c>
      <c r="AL821" s="294">
        <f>IF(NFI_Expiration=1,IF($A821&lt;VLOOKUP(M$5,NFI,5,0),1,0)*Table_NFI[[#This Row],[Winter Blanket]],Table_NFI[[#This Row],[Winter Blanket]])</f>
        <v>0</v>
      </c>
      <c r="AM821" s="294">
        <f>IF(Table_NFI[[#This Row],[Winter Clothes Adult]]+Table_NFI[[#This Row],[Winter Clothes Children]]+Table_NFI[[#This Row],[Winter Items Other]]+Table_NFI[[#This Row],[Winter Blanket]]&gt;0,1,0)</f>
        <v>0</v>
      </c>
      <c r="AN821" s="331">
        <f>IF(NFI_Expiration=1,IF($A821&lt;VLOOKUP(V$5,NFI,5,0),1,0)*Table_NFI[[#This Row],[Jerry Can]],Table_NFI[Jerry Can])</f>
        <v>0</v>
      </c>
      <c r="AO821" s="331">
        <f>IF(NFI_Expiration=1,IF($A821&lt;VLOOKUP(V$5,NFI,5,0),1,0)*Table_NFI[[#This Row],[Shelter Tool kit]],Table_NFI[Shelter Tool kit])</f>
        <v>0</v>
      </c>
      <c r="AP821" s="331">
        <f>IF(NFI_Expiration=1,IF($A821&lt;VLOOKUP(V$5,NFI,5,0),1,0)*Table_NFI[[#This Row],[Tent]],Table_NFI[Tent])</f>
        <v>0</v>
      </c>
      <c r="AQ821" s="473" t="str">
        <f>IFERROR(VLOOKUP(Table_NFI[[#This Row],[Camp Name]],CL,2,0),"")</f>
        <v>MMR001CMP106</v>
      </c>
      <c r="AR821" s="468">
        <f ca="1">IF(Table_NFI[[#This Row],[Pcode]]="","",IF(OFFSET(CampList[Opening Date],MATCH(Table_NFI[[#This Row],[Pcode]],CampList[CP_Pcode],0)-1,0,1,1)&gt;=NFI_Monitor_Date,1,0))</f>
        <v>0</v>
      </c>
      <c r="AS821" s="473" t="str">
        <f>IFERROR(VLOOKUP(Table_NFI[[#This Row],[Camp Name]],CL,3,0),"")</f>
        <v>Closed</v>
      </c>
      <c r="AT821" s="294" t="str">
        <f ca="1">IF(Table_NFI[[#This Row],[Pcode]]="","",OFFSET(CampList[Priority],MATCH(Table_NFI[[#This Row],[Pcode]],CampList[CP_Pcode],0)-1,0,1,1))</f>
        <v/>
      </c>
      <c r="AU821" s="293" t="str">
        <f>IFERROR(Table_NFI[[#This Row],[Kitchen Set]]/VLOOKUP(Table_NFI[[#This Row],[Camp Name]],CL,4,0),"")</f>
        <v/>
      </c>
      <c r="AV821" s="466" t="s">
        <v>1092</v>
      </c>
      <c r="AW821" s="469"/>
    </row>
    <row r="822" spans="1:49" ht="14.45" customHeight="1" x14ac:dyDescent="0.25">
      <c r="A822" s="297">
        <f t="shared" si="12"/>
        <v>46.7</v>
      </c>
      <c r="B822" s="465">
        <v>41274</v>
      </c>
      <c r="C822" s="466" t="s">
        <v>453</v>
      </c>
      <c r="D822" s="466" t="s">
        <v>453</v>
      </c>
      <c r="E822" s="466" t="s">
        <v>380</v>
      </c>
      <c r="F822" s="290" t="s">
        <v>527</v>
      </c>
      <c r="G822" s="290" t="s">
        <v>84</v>
      </c>
      <c r="H822" s="291">
        <v>10</v>
      </c>
      <c r="I822" s="291"/>
      <c r="J822" s="291"/>
      <c r="K822" s="291"/>
      <c r="L822" s="292"/>
      <c r="M822" s="292"/>
      <c r="N822" s="292"/>
      <c r="O822" s="292"/>
      <c r="P822" s="294">
        <v>0</v>
      </c>
      <c r="Q822" s="294">
        <v>0</v>
      </c>
      <c r="R822" s="294"/>
      <c r="S822" s="294"/>
      <c r="T822" s="294"/>
      <c r="U822" s="294"/>
      <c r="V822" s="431"/>
      <c r="W822" s="294"/>
      <c r="X822" s="294"/>
      <c r="Y822" s="294">
        <f>IF(NFI_Expiration=1,IF($A822&lt;VLOOKUP(H$5,NFI,5,0),1,0)*Table_NFI[[#This Row],[Hygiene Kit]],Table_NFI[Hygiene Kit])</f>
        <v>0</v>
      </c>
      <c r="Z822" s="294">
        <f>IF(NFI_Expiration=1,IF($A822&lt;VLOOKUP(I$5,NFI,5,0),1,0)*Table_NFI[[#This Row],[NFI Core Kit]],Table_NFI[NFI Core Kit])</f>
        <v>0</v>
      </c>
      <c r="AA822" s="294">
        <f>IF(NFI_Expiration=1,IF($A822&lt;VLOOKUP(J$5,NFI,5,0),1,0)*Table_NFI[[#This Row],[Sanitary Kit]],Table_NFI[Sanitary Kit])</f>
        <v>0</v>
      </c>
      <c r="AB822" s="294">
        <f>IF(NFI_Expiration=1,IF($A822&lt;VLOOKUP(K$5,NFI,5,0),1,0)*Table_NFI[[#This Row],[Mosquito net]],Table_NFI[Mosquito net])</f>
        <v>0</v>
      </c>
      <c r="AC822" s="294">
        <f>IF(NFI_Expiration=1,IF($A822&lt;VLOOKUP(L$5,NFI,5,0),1,0)*Table_NFI[[#This Row],[Tarpaulin]],Table_NFI[[#This Row],[Tarpaulin]])</f>
        <v>0</v>
      </c>
      <c r="AD822" s="294">
        <f>IF(NFI_Expiration=1,IF($A822&lt;VLOOKUP(M$5,NFI,5,0),1,0)*Table_NFI[[#This Row],[Blanket]],Table_NFI[[#This Row],[Blanket]])</f>
        <v>0</v>
      </c>
      <c r="AE822" s="294">
        <f>IF(NFI_Expiration=1,IF($A822&lt;VLOOKUP(N$5,NFI,5,0),1,0)*Table_NFI[[#This Row],[Kitchen Set]],Table_NFI[Kitchen Set])</f>
        <v>0</v>
      </c>
      <c r="AF822" s="294">
        <f>IF(NFI_Expiration=1,IF($A822&lt;VLOOKUP(O$5,NFI,5,0),1,0)*Table_NFI[[#This Row],[Clothes Kit]],Table_NFI[Clothes Kit])</f>
        <v>0</v>
      </c>
      <c r="AG822" s="294">
        <f>IF(NFI_Expiration=1,IF($A822&lt;VLOOKUP(P$5,NFI,5,0),1,0)*Table_NFI[[#This Row],[Plastic Bucket]],Table_NFI[Plastic Bucket])</f>
        <v>0</v>
      </c>
      <c r="AH822" s="294">
        <f>IF(NFI_Expiration=1,IF($A822&lt;VLOOKUP(Q$5,NFI,5,0),1,0)*Table_NFI[[#This Row],[Plastic Mat]],Table_NFI[Plastic Mat])*IF(Table_NFI[[#This Row],[Distribution Date]]&gt;"2014-04-01",1,2.5)</f>
        <v>0</v>
      </c>
      <c r="AI822" s="294">
        <f>IF(NFI_Expiration=1,IF($A822&lt;VLOOKUP(R$5,NFI,5,0),1,0)*Table_NFI[[#This Row],[Winter Clothes Adult]],Table_NFI[Winter Clothes Adult])</f>
        <v>0</v>
      </c>
      <c r="AJ822" s="294">
        <f>IF(NFI_Expiration=1,IF($A822&lt;VLOOKUP(S$5,NFI,5,0),1,0)*Table_NFI[[#This Row],[Winter Clothes Children]],Table_NFI[Winter Clothes Children])</f>
        <v>0</v>
      </c>
      <c r="AK822" s="294">
        <f>IF(NFI_Expiration=1,IF($A822&lt;VLOOKUP(T$5,NFI,5,0),1,0)*Table_NFI[[#This Row],[Winter Items Other]],Table_NFI[Winter Items Other])</f>
        <v>0</v>
      </c>
      <c r="AL822" s="294">
        <f>IF(NFI_Expiration=1,IF($A822&lt;VLOOKUP(M$5,NFI,5,0),1,0)*Table_NFI[[#This Row],[Winter Blanket]],Table_NFI[[#This Row],[Winter Blanket]])</f>
        <v>0</v>
      </c>
      <c r="AM822" s="294">
        <f>IF(Table_NFI[[#This Row],[Winter Clothes Adult]]+Table_NFI[[#This Row],[Winter Clothes Children]]+Table_NFI[[#This Row],[Winter Items Other]]+Table_NFI[[#This Row],[Winter Blanket]]&gt;0,1,0)</f>
        <v>0</v>
      </c>
      <c r="AN822" s="331">
        <f>IF(NFI_Expiration=1,IF($A822&lt;VLOOKUP(V$5,NFI,5,0),1,0)*Table_NFI[[#This Row],[Jerry Can]],Table_NFI[Jerry Can])</f>
        <v>0</v>
      </c>
      <c r="AO822" s="331">
        <f>IF(NFI_Expiration=1,IF($A822&lt;VLOOKUP(V$5,NFI,5,0),1,0)*Table_NFI[[#This Row],[Shelter Tool kit]],Table_NFI[Shelter Tool kit])</f>
        <v>0</v>
      </c>
      <c r="AP822" s="331">
        <f>IF(NFI_Expiration=1,IF($A822&lt;VLOOKUP(V$5,NFI,5,0),1,0)*Table_NFI[[#This Row],[Tent]],Table_NFI[Tent])</f>
        <v>0</v>
      </c>
      <c r="AQ822" s="473" t="str">
        <f>IFERROR(VLOOKUP(Table_NFI[[#This Row],[Camp Name]],CL,2,0),"")</f>
        <v>MMR001CMP085</v>
      </c>
      <c r="AR822" s="468">
        <f ca="1">IF(Table_NFI[[#This Row],[Pcode]]="","",IF(OFFSET(CampList[Opening Date],MATCH(Table_NFI[[#This Row],[Pcode]],CampList[CP_Pcode],0)-1,0,1,1)&gt;=NFI_Monitor_Date,1,0))</f>
        <v>0</v>
      </c>
      <c r="AS822" s="473" t="str">
        <f>IFERROR(VLOOKUP(Table_NFI[[#This Row],[Camp Name]],CL,3,0),"")</f>
        <v>Closed</v>
      </c>
      <c r="AT822" s="294" t="str">
        <f ca="1">IF(Table_NFI[[#This Row],[Pcode]]="","",OFFSET(CampList[Priority],MATCH(Table_NFI[[#This Row],[Pcode]],CampList[CP_Pcode],0)-1,0,1,1))</f>
        <v/>
      </c>
      <c r="AU822" s="293" t="str">
        <f>IFERROR(Table_NFI[[#This Row],[Kitchen Set]]/VLOOKUP(Table_NFI[[#This Row],[Camp Name]],CL,4,0),"")</f>
        <v/>
      </c>
      <c r="AV822" s="466" t="s">
        <v>1092</v>
      </c>
      <c r="AW822" s="469"/>
    </row>
    <row r="823" spans="1:49" x14ac:dyDescent="0.25">
      <c r="A823" s="297">
        <f t="shared" si="12"/>
        <v>46.7</v>
      </c>
      <c r="B823" s="465">
        <v>41274</v>
      </c>
      <c r="C823" s="466" t="s">
        <v>453</v>
      </c>
      <c r="D823" s="467" t="s">
        <v>453</v>
      </c>
      <c r="E823" s="466" t="s">
        <v>380</v>
      </c>
      <c r="F823" s="290" t="s">
        <v>527</v>
      </c>
      <c r="G823" s="290" t="s">
        <v>100</v>
      </c>
      <c r="H823" s="291">
        <v>2</v>
      </c>
      <c r="I823" s="291"/>
      <c r="J823" s="291"/>
      <c r="K823" s="291"/>
      <c r="L823" s="292"/>
      <c r="M823" s="292"/>
      <c r="N823" s="292"/>
      <c r="O823" s="292"/>
      <c r="P823" s="294">
        <v>0</v>
      </c>
      <c r="Q823" s="294">
        <v>0</v>
      </c>
      <c r="R823" s="294"/>
      <c r="S823" s="294"/>
      <c r="T823" s="294"/>
      <c r="U823" s="294"/>
      <c r="V823" s="431"/>
      <c r="W823" s="294"/>
      <c r="X823" s="294"/>
      <c r="Y823" s="294">
        <f>IF(NFI_Expiration=1,IF($A823&lt;VLOOKUP(H$5,NFI,5,0),1,0)*Table_NFI[[#This Row],[Hygiene Kit]],Table_NFI[Hygiene Kit])</f>
        <v>0</v>
      </c>
      <c r="Z823" s="294">
        <f>IF(NFI_Expiration=1,IF($A823&lt;VLOOKUP(I$5,NFI,5,0),1,0)*Table_NFI[[#This Row],[NFI Core Kit]],Table_NFI[NFI Core Kit])</f>
        <v>0</v>
      </c>
      <c r="AA823" s="294">
        <f>IF(NFI_Expiration=1,IF($A823&lt;VLOOKUP(J$5,NFI,5,0),1,0)*Table_NFI[[#This Row],[Sanitary Kit]],Table_NFI[Sanitary Kit])</f>
        <v>0</v>
      </c>
      <c r="AB823" s="294">
        <f>IF(NFI_Expiration=1,IF($A823&lt;VLOOKUP(K$5,NFI,5,0),1,0)*Table_NFI[[#This Row],[Mosquito net]],Table_NFI[Mosquito net])</f>
        <v>0</v>
      </c>
      <c r="AC823" s="294">
        <f>IF(NFI_Expiration=1,IF($A823&lt;VLOOKUP(L$5,NFI,5,0),1,0)*Table_NFI[[#This Row],[Tarpaulin]],Table_NFI[[#This Row],[Tarpaulin]])</f>
        <v>0</v>
      </c>
      <c r="AD823" s="294">
        <f>IF(NFI_Expiration=1,IF($A823&lt;VLOOKUP(M$5,NFI,5,0),1,0)*Table_NFI[[#This Row],[Blanket]],Table_NFI[[#This Row],[Blanket]])</f>
        <v>0</v>
      </c>
      <c r="AE823" s="294">
        <f>IF(NFI_Expiration=1,IF($A823&lt;VLOOKUP(N$5,NFI,5,0),1,0)*Table_NFI[[#This Row],[Kitchen Set]],Table_NFI[Kitchen Set])</f>
        <v>0</v>
      </c>
      <c r="AF823" s="294">
        <f>IF(NFI_Expiration=1,IF($A823&lt;VLOOKUP(O$5,NFI,5,0),1,0)*Table_NFI[[#This Row],[Clothes Kit]],Table_NFI[Clothes Kit])</f>
        <v>0</v>
      </c>
      <c r="AG823" s="294">
        <f>IF(NFI_Expiration=1,IF($A823&lt;VLOOKUP(P$5,NFI,5,0),1,0)*Table_NFI[[#This Row],[Plastic Bucket]],Table_NFI[Plastic Bucket])</f>
        <v>0</v>
      </c>
      <c r="AH823" s="294">
        <f>IF(NFI_Expiration=1,IF($A823&lt;VLOOKUP(Q$5,NFI,5,0),1,0)*Table_NFI[[#This Row],[Plastic Mat]],Table_NFI[Plastic Mat])*IF(Table_NFI[[#This Row],[Distribution Date]]&gt;"2014-04-01",1,2.5)</f>
        <v>0</v>
      </c>
      <c r="AI823" s="294">
        <f>IF(NFI_Expiration=1,IF($A823&lt;VLOOKUP(R$5,NFI,5,0),1,0)*Table_NFI[[#This Row],[Winter Clothes Adult]],Table_NFI[Winter Clothes Adult])</f>
        <v>0</v>
      </c>
      <c r="AJ823" s="294">
        <f>IF(NFI_Expiration=1,IF($A823&lt;VLOOKUP(S$5,NFI,5,0),1,0)*Table_NFI[[#This Row],[Winter Clothes Children]],Table_NFI[Winter Clothes Children])</f>
        <v>0</v>
      </c>
      <c r="AK823" s="294">
        <f>IF(NFI_Expiration=1,IF($A823&lt;VLOOKUP(T$5,NFI,5,0),1,0)*Table_NFI[[#This Row],[Winter Items Other]],Table_NFI[Winter Items Other])</f>
        <v>0</v>
      </c>
      <c r="AL823" s="294">
        <f>IF(NFI_Expiration=1,IF($A823&lt;VLOOKUP(M$5,NFI,5,0),1,0)*Table_NFI[[#This Row],[Winter Blanket]],Table_NFI[[#This Row],[Winter Blanket]])</f>
        <v>0</v>
      </c>
      <c r="AM823" s="294">
        <f>IF(Table_NFI[[#This Row],[Winter Clothes Adult]]+Table_NFI[[#This Row],[Winter Clothes Children]]+Table_NFI[[#This Row],[Winter Items Other]]+Table_NFI[[#This Row],[Winter Blanket]]&gt;0,1,0)</f>
        <v>0</v>
      </c>
      <c r="AN823" s="331">
        <f>IF(NFI_Expiration=1,IF($A823&lt;VLOOKUP(V$5,NFI,5,0),1,0)*Table_NFI[[#This Row],[Jerry Can]],Table_NFI[Jerry Can])</f>
        <v>0</v>
      </c>
      <c r="AO823" s="331">
        <f>IF(NFI_Expiration=1,IF($A823&lt;VLOOKUP(V$5,NFI,5,0),1,0)*Table_NFI[[#This Row],[Shelter Tool kit]],Table_NFI[Shelter Tool kit])</f>
        <v>0</v>
      </c>
      <c r="AP823" s="331">
        <f>IF(NFI_Expiration=1,IF($A823&lt;VLOOKUP(V$5,NFI,5,0),1,0)*Table_NFI[[#This Row],[Tent]],Table_NFI[Tent])</f>
        <v>0</v>
      </c>
      <c r="AQ823" s="473" t="str">
        <f>IFERROR(VLOOKUP(Table_NFI[[#This Row],[Camp Name]],CL,2,0),"")</f>
        <v>MMR001CMP091</v>
      </c>
      <c r="AR823" s="468">
        <f ca="1">IF(Table_NFI[[#This Row],[Pcode]]="","",IF(OFFSET(CampList[Opening Date],MATCH(Table_NFI[[#This Row],[Pcode]],CampList[CP_Pcode],0)-1,0,1,1)&gt;=NFI_Monitor_Date,1,0))</f>
        <v>0</v>
      </c>
      <c r="AS823" s="473" t="str">
        <f>IFERROR(VLOOKUP(Table_NFI[[#This Row],[Camp Name]],CL,3,0),"")</f>
        <v>Open</v>
      </c>
      <c r="AT823" s="294" t="str">
        <f ca="1">IF(Table_NFI[[#This Row],[Pcode]]="","",OFFSET(CampList[Priority],MATCH(Table_NFI[[#This Row],[Pcode]],CampList[CP_Pcode],0)-1,0,1,1))</f>
        <v>P4</v>
      </c>
      <c r="AU823" s="293">
        <f>IFERROR(Table_NFI[[#This Row],[Kitchen Set]]/VLOOKUP(Table_NFI[[#This Row],[Camp Name]],CL,4,0),"")</f>
        <v>0</v>
      </c>
      <c r="AV823" s="466" t="s">
        <v>1092</v>
      </c>
      <c r="AW823" s="469"/>
    </row>
    <row r="824" spans="1:49" x14ac:dyDescent="0.25">
      <c r="A824" s="297">
        <f t="shared" si="12"/>
        <v>46.7</v>
      </c>
      <c r="B824" s="465">
        <v>41274</v>
      </c>
      <c r="C824" s="466" t="s">
        <v>453</v>
      </c>
      <c r="D824" s="466" t="s">
        <v>453</v>
      </c>
      <c r="E824" s="466" t="s">
        <v>380</v>
      </c>
      <c r="F824" s="290" t="s">
        <v>527</v>
      </c>
      <c r="G824" s="290" t="s">
        <v>98</v>
      </c>
      <c r="H824" s="291">
        <v>5</v>
      </c>
      <c r="I824" s="291"/>
      <c r="J824" s="291"/>
      <c r="K824" s="291"/>
      <c r="L824" s="292"/>
      <c r="M824" s="292"/>
      <c r="N824" s="292"/>
      <c r="O824" s="292"/>
      <c r="P824" s="294">
        <v>0</v>
      </c>
      <c r="Q824" s="294">
        <v>0</v>
      </c>
      <c r="R824" s="294"/>
      <c r="S824" s="294"/>
      <c r="T824" s="294"/>
      <c r="U824" s="294"/>
      <c r="V824" s="431"/>
      <c r="W824" s="294"/>
      <c r="X824" s="294"/>
      <c r="Y824" s="294">
        <f>IF(NFI_Expiration=1,IF($A824&lt;VLOOKUP(H$5,NFI,5,0),1,0)*Table_NFI[[#This Row],[Hygiene Kit]],Table_NFI[Hygiene Kit])</f>
        <v>0</v>
      </c>
      <c r="Z824" s="294">
        <f>IF(NFI_Expiration=1,IF($A824&lt;VLOOKUP(I$5,NFI,5,0),1,0)*Table_NFI[[#This Row],[NFI Core Kit]],Table_NFI[NFI Core Kit])</f>
        <v>0</v>
      </c>
      <c r="AA824" s="294">
        <f>IF(NFI_Expiration=1,IF($A824&lt;VLOOKUP(J$5,NFI,5,0),1,0)*Table_NFI[[#This Row],[Sanitary Kit]],Table_NFI[Sanitary Kit])</f>
        <v>0</v>
      </c>
      <c r="AB824" s="294">
        <f>IF(NFI_Expiration=1,IF($A824&lt;VLOOKUP(K$5,NFI,5,0),1,0)*Table_NFI[[#This Row],[Mosquito net]],Table_NFI[Mosquito net])</f>
        <v>0</v>
      </c>
      <c r="AC824" s="294">
        <f>IF(NFI_Expiration=1,IF($A824&lt;VLOOKUP(L$5,NFI,5,0),1,0)*Table_NFI[[#This Row],[Tarpaulin]],Table_NFI[[#This Row],[Tarpaulin]])</f>
        <v>0</v>
      </c>
      <c r="AD824" s="294">
        <f>IF(NFI_Expiration=1,IF($A824&lt;VLOOKUP(M$5,NFI,5,0),1,0)*Table_NFI[[#This Row],[Blanket]],Table_NFI[[#This Row],[Blanket]])</f>
        <v>0</v>
      </c>
      <c r="AE824" s="294">
        <f>IF(NFI_Expiration=1,IF($A824&lt;VLOOKUP(N$5,NFI,5,0),1,0)*Table_NFI[[#This Row],[Kitchen Set]],Table_NFI[Kitchen Set])</f>
        <v>0</v>
      </c>
      <c r="AF824" s="294">
        <f>IF(NFI_Expiration=1,IF($A824&lt;VLOOKUP(O$5,NFI,5,0),1,0)*Table_NFI[[#This Row],[Clothes Kit]],Table_NFI[Clothes Kit])</f>
        <v>0</v>
      </c>
      <c r="AG824" s="294">
        <f>IF(NFI_Expiration=1,IF($A824&lt;VLOOKUP(P$5,NFI,5,0),1,0)*Table_NFI[[#This Row],[Plastic Bucket]],Table_NFI[Plastic Bucket])</f>
        <v>0</v>
      </c>
      <c r="AH824" s="294">
        <f>IF(NFI_Expiration=1,IF($A824&lt;VLOOKUP(Q$5,NFI,5,0),1,0)*Table_NFI[[#This Row],[Plastic Mat]],Table_NFI[Plastic Mat])*IF(Table_NFI[[#This Row],[Distribution Date]]&gt;"2014-04-01",1,2.5)</f>
        <v>0</v>
      </c>
      <c r="AI824" s="294">
        <f>IF(NFI_Expiration=1,IF($A824&lt;VLOOKUP(R$5,NFI,5,0),1,0)*Table_NFI[[#This Row],[Winter Clothes Adult]],Table_NFI[Winter Clothes Adult])</f>
        <v>0</v>
      </c>
      <c r="AJ824" s="294">
        <f>IF(NFI_Expiration=1,IF($A824&lt;VLOOKUP(S$5,NFI,5,0),1,0)*Table_NFI[[#This Row],[Winter Clothes Children]],Table_NFI[Winter Clothes Children])</f>
        <v>0</v>
      </c>
      <c r="AK824" s="294">
        <f>IF(NFI_Expiration=1,IF($A824&lt;VLOOKUP(T$5,NFI,5,0),1,0)*Table_NFI[[#This Row],[Winter Items Other]],Table_NFI[Winter Items Other])</f>
        <v>0</v>
      </c>
      <c r="AL824" s="294">
        <f>IF(NFI_Expiration=1,IF($A824&lt;VLOOKUP(M$5,NFI,5,0),1,0)*Table_NFI[[#This Row],[Winter Blanket]],Table_NFI[[#This Row],[Winter Blanket]])</f>
        <v>0</v>
      </c>
      <c r="AM824" s="294">
        <f>IF(Table_NFI[[#This Row],[Winter Clothes Adult]]+Table_NFI[[#This Row],[Winter Clothes Children]]+Table_NFI[[#This Row],[Winter Items Other]]+Table_NFI[[#This Row],[Winter Blanket]]&gt;0,1,0)</f>
        <v>0</v>
      </c>
      <c r="AN824" s="331">
        <f>IF(NFI_Expiration=1,IF($A824&lt;VLOOKUP(V$5,NFI,5,0),1,0)*Table_NFI[[#This Row],[Jerry Can]],Table_NFI[Jerry Can])</f>
        <v>0</v>
      </c>
      <c r="AO824" s="331">
        <f>IF(NFI_Expiration=1,IF($A824&lt;VLOOKUP(V$5,NFI,5,0),1,0)*Table_NFI[[#This Row],[Shelter Tool kit]],Table_NFI[Shelter Tool kit])</f>
        <v>0</v>
      </c>
      <c r="AP824" s="331">
        <f>IF(NFI_Expiration=1,IF($A824&lt;VLOOKUP(V$5,NFI,5,0),1,0)*Table_NFI[[#This Row],[Tent]],Table_NFI[Tent])</f>
        <v>0</v>
      </c>
      <c r="AQ824" s="473" t="str">
        <f>IFERROR(VLOOKUP(Table_NFI[[#This Row],[Camp Name]],CL,2,0),"")</f>
        <v>MMR001CMP178</v>
      </c>
      <c r="AR824" s="468">
        <f ca="1">IF(Table_NFI[[#This Row],[Pcode]]="","",IF(OFFSET(CampList[Opening Date],MATCH(Table_NFI[[#This Row],[Pcode]],CampList[CP_Pcode],0)-1,0,1,1)&gt;=NFI_Monitor_Date,1,0))</f>
        <v>0</v>
      </c>
      <c r="AS824" s="473" t="str">
        <f>IFERROR(VLOOKUP(Table_NFI[[#This Row],[Camp Name]],CL,3,0),"")</f>
        <v>Closed</v>
      </c>
      <c r="AT824" s="294" t="str">
        <f ca="1">IF(Table_NFI[[#This Row],[Pcode]]="","",OFFSET(CampList[Priority],MATCH(Table_NFI[[#This Row],[Pcode]],CampList[CP_Pcode],0)-1,0,1,1))</f>
        <v/>
      </c>
      <c r="AU824" s="293" t="str">
        <f>IFERROR(Table_NFI[[#This Row],[Kitchen Set]]/VLOOKUP(Table_NFI[[#This Row],[Camp Name]],CL,4,0),"")</f>
        <v/>
      </c>
      <c r="AV824" s="466" t="s">
        <v>1092</v>
      </c>
      <c r="AW824" s="469"/>
    </row>
    <row r="825" spans="1:49" ht="14.45" customHeight="1" x14ac:dyDescent="0.25">
      <c r="A825" s="297">
        <f t="shared" si="12"/>
        <v>46.7</v>
      </c>
      <c r="B825" s="465">
        <v>41274</v>
      </c>
      <c r="C825" s="466" t="s">
        <v>453</v>
      </c>
      <c r="D825" s="466" t="s">
        <v>453</v>
      </c>
      <c r="E825" s="466" t="s">
        <v>380</v>
      </c>
      <c r="F825" s="290" t="s">
        <v>527</v>
      </c>
      <c r="G825" s="290" t="s">
        <v>142</v>
      </c>
      <c r="H825" s="291">
        <v>1</v>
      </c>
      <c r="I825" s="291"/>
      <c r="J825" s="291"/>
      <c r="K825" s="291"/>
      <c r="L825" s="292"/>
      <c r="M825" s="292"/>
      <c r="N825" s="292"/>
      <c r="O825" s="292"/>
      <c r="P825" s="294">
        <v>0</v>
      </c>
      <c r="Q825" s="294">
        <v>0</v>
      </c>
      <c r="R825" s="294"/>
      <c r="S825" s="294"/>
      <c r="T825" s="294"/>
      <c r="U825" s="294"/>
      <c r="V825" s="431"/>
      <c r="W825" s="294"/>
      <c r="X825" s="294"/>
      <c r="Y825" s="294">
        <f>IF(NFI_Expiration=1,IF($A825&lt;VLOOKUP(H$5,NFI,5,0),1,0)*Table_NFI[[#This Row],[Hygiene Kit]],Table_NFI[Hygiene Kit])</f>
        <v>0</v>
      </c>
      <c r="Z825" s="294">
        <f>IF(NFI_Expiration=1,IF($A825&lt;VLOOKUP(I$5,NFI,5,0),1,0)*Table_NFI[[#This Row],[NFI Core Kit]],Table_NFI[NFI Core Kit])</f>
        <v>0</v>
      </c>
      <c r="AA825" s="294">
        <f>IF(NFI_Expiration=1,IF($A825&lt;VLOOKUP(J$5,NFI,5,0),1,0)*Table_NFI[[#This Row],[Sanitary Kit]],Table_NFI[Sanitary Kit])</f>
        <v>0</v>
      </c>
      <c r="AB825" s="294">
        <f>IF(NFI_Expiration=1,IF($A825&lt;VLOOKUP(K$5,NFI,5,0),1,0)*Table_NFI[[#This Row],[Mosquito net]],Table_NFI[Mosquito net])</f>
        <v>0</v>
      </c>
      <c r="AC825" s="294">
        <f>IF(NFI_Expiration=1,IF($A825&lt;VLOOKUP(L$5,NFI,5,0),1,0)*Table_NFI[[#This Row],[Tarpaulin]],Table_NFI[[#This Row],[Tarpaulin]])</f>
        <v>0</v>
      </c>
      <c r="AD825" s="294">
        <f>IF(NFI_Expiration=1,IF($A825&lt;VLOOKUP(M$5,NFI,5,0),1,0)*Table_NFI[[#This Row],[Blanket]],Table_NFI[[#This Row],[Blanket]])</f>
        <v>0</v>
      </c>
      <c r="AE825" s="294">
        <f>IF(NFI_Expiration=1,IF($A825&lt;VLOOKUP(N$5,NFI,5,0),1,0)*Table_NFI[[#This Row],[Kitchen Set]],Table_NFI[Kitchen Set])</f>
        <v>0</v>
      </c>
      <c r="AF825" s="294">
        <f>IF(NFI_Expiration=1,IF($A825&lt;VLOOKUP(O$5,NFI,5,0),1,0)*Table_NFI[[#This Row],[Clothes Kit]],Table_NFI[Clothes Kit])</f>
        <v>0</v>
      </c>
      <c r="AG825" s="294">
        <f>IF(NFI_Expiration=1,IF($A825&lt;VLOOKUP(P$5,NFI,5,0),1,0)*Table_NFI[[#This Row],[Plastic Bucket]],Table_NFI[Plastic Bucket])</f>
        <v>0</v>
      </c>
      <c r="AH825" s="294">
        <f>IF(NFI_Expiration=1,IF($A825&lt;VLOOKUP(Q$5,NFI,5,0),1,0)*Table_NFI[[#This Row],[Plastic Mat]],Table_NFI[Plastic Mat])*IF(Table_NFI[[#This Row],[Distribution Date]]&gt;"2014-04-01",1,2.5)</f>
        <v>0</v>
      </c>
      <c r="AI825" s="294">
        <f>IF(NFI_Expiration=1,IF($A825&lt;VLOOKUP(R$5,NFI,5,0),1,0)*Table_NFI[[#This Row],[Winter Clothes Adult]],Table_NFI[Winter Clothes Adult])</f>
        <v>0</v>
      </c>
      <c r="AJ825" s="294">
        <f>IF(NFI_Expiration=1,IF($A825&lt;VLOOKUP(S$5,NFI,5,0),1,0)*Table_NFI[[#This Row],[Winter Clothes Children]],Table_NFI[Winter Clothes Children])</f>
        <v>0</v>
      </c>
      <c r="AK825" s="294">
        <f>IF(NFI_Expiration=1,IF($A825&lt;VLOOKUP(T$5,NFI,5,0),1,0)*Table_NFI[[#This Row],[Winter Items Other]],Table_NFI[Winter Items Other])</f>
        <v>0</v>
      </c>
      <c r="AL825" s="294">
        <f>IF(NFI_Expiration=1,IF($A825&lt;VLOOKUP(M$5,NFI,5,0),1,0)*Table_NFI[[#This Row],[Winter Blanket]],Table_NFI[[#This Row],[Winter Blanket]])</f>
        <v>0</v>
      </c>
      <c r="AM825" s="294">
        <f>IF(Table_NFI[[#This Row],[Winter Clothes Adult]]+Table_NFI[[#This Row],[Winter Clothes Children]]+Table_NFI[[#This Row],[Winter Items Other]]+Table_NFI[[#This Row],[Winter Blanket]]&gt;0,1,0)</f>
        <v>0</v>
      </c>
      <c r="AN825" s="331">
        <f>IF(NFI_Expiration=1,IF($A825&lt;VLOOKUP(V$5,NFI,5,0),1,0)*Table_NFI[[#This Row],[Jerry Can]],Table_NFI[Jerry Can])</f>
        <v>0</v>
      </c>
      <c r="AO825" s="331">
        <f>IF(NFI_Expiration=1,IF($A825&lt;VLOOKUP(V$5,NFI,5,0),1,0)*Table_NFI[[#This Row],[Shelter Tool kit]],Table_NFI[Shelter Tool kit])</f>
        <v>0</v>
      </c>
      <c r="AP825" s="331">
        <f>IF(NFI_Expiration=1,IF($A825&lt;VLOOKUP(V$5,NFI,5,0),1,0)*Table_NFI[[#This Row],[Tent]],Table_NFI[Tent])</f>
        <v>0</v>
      </c>
      <c r="AQ825" s="473" t="str">
        <f>IFERROR(VLOOKUP(Table_NFI[[#This Row],[Camp Name]],CL,2,0),"")</f>
        <v>MMR001CMP177</v>
      </c>
      <c r="AR825" s="468">
        <f ca="1">IF(Table_NFI[[#This Row],[Pcode]]="","",IF(OFFSET(CampList[Opening Date],MATCH(Table_NFI[[#This Row],[Pcode]],CampList[CP_Pcode],0)-1,0,1,1)&gt;=NFI_Monitor_Date,1,0))</f>
        <v>0</v>
      </c>
      <c r="AS825" s="473" t="str">
        <f>IFERROR(VLOOKUP(Table_NFI[[#This Row],[Camp Name]],CL,3,0),"")</f>
        <v>Closed</v>
      </c>
      <c r="AT825" s="294" t="str">
        <f ca="1">IF(Table_NFI[[#This Row],[Pcode]]="","",OFFSET(CampList[Priority],MATCH(Table_NFI[[#This Row],[Pcode]],CampList[CP_Pcode],0)-1,0,1,1))</f>
        <v/>
      </c>
      <c r="AU825" s="293" t="str">
        <f>IFERROR(Table_NFI[[#This Row],[Kitchen Set]]/VLOOKUP(Table_NFI[[#This Row],[Camp Name]],CL,4,0),"")</f>
        <v/>
      </c>
      <c r="AV825" s="466" t="s">
        <v>1092</v>
      </c>
      <c r="AW825" s="469"/>
    </row>
    <row r="826" spans="1:49" ht="14.45" customHeight="1" x14ac:dyDescent="0.25">
      <c r="A826" s="297">
        <f t="shared" si="12"/>
        <v>46.7</v>
      </c>
      <c r="B826" s="465">
        <v>41274</v>
      </c>
      <c r="C826" s="466" t="s">
        <v>453</v>
      </c>
      <c r="D826" s="467" t="s">
        <v>453</v>
      </c>
      <c r="E826" s="466" t="s">
        <v>380</v>
      </c>
      <c r="F826" s="290" t="s">
        <v>237</v>
      </c>
      <c r="G826" s="290" t="s">
        <v>267</v>
      </c>
      <c r="H826" s="291">
        <v>12</v>
      </c>
      <c r="I826" s="291"/>
      <c r="J826" s="291"/>
      <c r="K826" s="291"/>
      <c r="L826" s="292"/>
      <c r="M826" s="292"/>
      <c r="N826" s="292"/>
      <c r="O826" s="292"/>
      <c r="P826" s="294">
        <v>0</v>
      </c>
      <c r="Q826" s="294">
        <v>0</v>
      </c>
      <c r="R826" s="294"/>
      <c r="S826" s="294"/>
      <c r="T826" s="294"/>
      <c r="U826" s="294"/>
      <c r="V826" s="431"/>
      <c r="W826" s="294"/>
      <c r="X826" s="294"/>
      <c r="Y826" s="294">
        <f>IF(NFI_Expiration=1,IF($A826&lt;VLOOKUP(H$5,NFI,5,0),1,0)*Table_NFI[[#This Row],[Hygiene Kit]],Table_NFI[Hygiene Kit])</f>
        <v>0</v>
      </c>
      <c r="Z826" s="294">
        <f>IF(NFI_Expiration=1,IF($A826&lt;VLOOKUP(I$5,NFI,5,0),1,0)*Table_NFI[[#This Row],[NFI Core Kit]],Table_NFI[NFI Core Kit])</f>
        <v>0</v>
      </c>
      <c r="AA826" s="294">
        <f>IF(NFI_Expiration=1,IF($A826&lt;VLOOKUP(J$5,NFI,5,0),1,0)*Table_NFI[[#This Row],[Sanitary Kit]],Table_NFI[Sanitary Kit])</f>
        <v>0</v>
      </c>
      <c r="AB826" s="294">
        <f>IF(NFI_Expiration=1,IF($A826&lt;VLOOKUP(K$5,NFI,5,0),1,0)*Table_NFI[[#This Row],[Mosquito net]],Table_NFI[Mosquito net])</f>
        <v>0</v>
      </c>
      <c r="AC826" s="294">
        <f>IF(NFI_Expiration=1,IF($A826&lt;VLOOKUP(L$5,NFI,5,0),1,0)*Table_NFI[[#This Row],[Tarpaulin]],Table_NFI[[#This Row],[Tarpaulin]])</f>
        <v>0</v>
      </c>
      <c r="AD826" s="294">
        <f>IF(NFI_Expiration=1,IF($A826&lt;VLOOKUP(M$5,NFI,5,0),1,0)*Table_NFI[[#This Row],[Blanket]],Table_NFI[[#This Row],[Blanket]])</f>
        <v>0</v>
      </c>
      <c r="AE826" s="294">
        <f>IF(NFI_Expiration=1,IF($A826&lt;VLOOKUP(N$5,NFI,5,0),1,0)*Table_NFI[[#This Row],[Kitchen Set]],Table_NFI[Kitchen Set])</f>
        <v>0</v>
      </c>
      <c r="AF826" s="294">
        <f>IF(NFI_Expiration=1,IF($A826&lt;VLOOKUP(O$5,NFI,5,0),1,0)*Table_NFI[[#This Row],[Clothes Kit]],Table_NFI[Clothes Kit])</f>
        <v>0</v>
      </c>
      <c r="AG826" s="294">
        <f>IF(NFI_Expiration=1,IF($A826&lt;VLOOKUP(P$5,NFI,5,0),1,0)*Table_NFI[[#This Row],[Plastic Bucket]],Table_NFI[Plastic Bucket])</f>
        <v>0</v>
      </c>
      <c r="AH826" s="294">
        <f>IF(NFI_Expiration=1,IF($A826&lt;VLOOKUP(Q$5,NFI,5,0),1,0)*Table_NFI[[#This Row],[Plastic Mat]],Table_NFI[Plastic Mat])*IF(Table_NFI[[#This Row],[Distribution Date]]&gt;"2014-04-01",1,2.5)</f>
        <v>0</v>
      </c>
      <c r="AI826" s="294">
        <f>IF(NFI_Expiration=1,IF($A826&lt;VLOOKUP(R$5,NFI,5,0),1,0)*Table_NFI[[#This Row],[Winter Clothes Adult]],Table_NFI[Winter Clothes Adult])</f>
        <v>0</v>
      </c>
      <c r="AJ826" s="294">
        <f>IF(NFI_Expiration=1,IF($A826&lt;VLOOKUP(S$5,NFI,5,0),1,0)*Table_NFI[[#This Row],[Winter Clothes Children]],Table_NFI[Winter Clothes Children])</f>
        <v>0</v>
      </c>
      <c r="AK826" s="294">
        <f>IF(NFI_Expiration=1,IF($A826&lt;VLOOKUP(T$5,NFI,5,0),1,0)*Table_NFI[[#This Row],[Winter Items Other]],Table_NFI[Winter Items Other])</f>
        <v>0</v>
      </c>
      <c r="AL826" s="294">
        <f>IF(NFI_Expiration=1,IF($A826&lt;VLOOKUP(M$5,NFI,5,0),1,0)*Table_NFI[[#This Row],[Winter Blanket]],Table_NFI[[#This Row],[Winter Blanket]])</f>
        <v>0</v>
      </c>
      <c r="AM826" s="294">
        <f>IF(Table_NFI[[#This Row],[Winter Clothes Adult]]+Table_NFI[[#This Row],[Winter Clothes Children]]+Table_NFI[[#This Row],[Winter Items Other]]+Table_NFI[[#This Row],[Winter Blanket]]&gt;0,1,0)</f>
        <v>0</v>
      </c>
      <c r="AN826" s="331">
        <f>IF(NFI_Expiration=1,IF($A826&lt;VLOOKUP(V$5,NFI,5,0),1,0)*Table_NFI[[#This Row],[Jerry Can]],Table_NFI[Jerry Can])</f>
        <v>0</v>
      </c>
      <c r="AO826" s="331">
        <f>IF(NFI_Expiration=1,IF($A826&lt;VLOOKUP(V$5,NFI,5,0),1,0)*Table_NFI[[#This Row],[Shelter Tool kit]],Table_NFI[Shelter Tool kit])</f>
        <v>0</v>
      </c>
      <c r="AP826" s="331">
        <f>IF(NFI_Expiration=1,IF($A826&lt;VLOOKUP(V$5,NFI,5,0),1,0)*Table_NFI[[#This Row],[Tent]],Table_NFI[Tent])</f>
        <v>0</v>
      </c>
      <c r="AQ826" s="473" t="str">
        <f>IFERROR(VLOOKUP(Table_NFI[[#This Row],[Camp Name]],CL,2,0),"")</f>
        <v>MMR001CMP017</v>
      </c>
      <c r="AR826" s="468">
        <f ca="1">IF(Table_NFI[[#This Row],[Pcode]]="","",IF(OFFSET(CampList[Opening Date],MATCH(Table_NFI[[#This Row],[Pcode]],CampList[CP_Pcode],0)-1,0,1,1)&gt;=NFI_Monitor_Date,1,0))</f>
        <v>0</v>
      </c>
      <c r="AS826" s="473" t="str">
        <f>IFERROR(VLOOKUP(Table_NFI[[#This Row],[Camp Name]],CL,3,0),"")</f>
        <v>Closed</v>
      </c>
      <c r="AT826" s="294" t="str">
        <f ca="1">IF(Table_NFI[[#This Row],[Pcode]]="","",OFFSET(CampList[Priority],MATCH(Table_NFI[[#This Row],[Pcode]],CampList[CP_Pcode],0)-1,0,1,1))</f>
        <v>P4</v>
      </c>
      <c r="AU826" s="293" t="str">
        <f>IFERROR(Table_NFI[[#This Row],[Kitchen Set]]/VLOOKUP(Table_NFI[[#This Row],[Camp Name]],CL,4,0),"")</f>
        <v/>
      </c>
      <c r="AV826" s="466" t="s">
        <v>1092</v>
      </c>
      <c r="AW826" s="469"/>
    </row>
    <row r="827" spans="1:49" ht="14.45" customHeight="1" x14ac:dyDescent="0.25">
      <c r="A827" s="297">
        <f t="shared" si="12"/>
        <v>46.7</v>
      </c>
      <c r="B827" s="465">
        <v>41274</v>
      </c>
      <c r="C827" s="466" t="s">
        <v>453</v>
      </c>
      <c r="D827" s="467" t="s">
        <v>453</v>
      </c>
      <c r="E827" s="466" t="s">
        <v>380</v>
      </c>
      <c r="F827" s="290" t="s">
        <v>527</v>
      </c>
      <c r="G827" s="290" t="s">
        <v>611</v>
      </c>
      <c r="H827" s="291">
        <v>32</v>
      </c>
      <c r="I827" s="291"/>
      <c r="J827" s="291"/>
      <c r="K827" s="291"/>
      <c r="L827" s="292"/>
      <c r="M827" s="292"/>
      <c r="N827" s="292"/>
      <c r="O827" s="292"/>
      <c r="P827" s="294">
        <v>0</v>
      </c>
      <c r="Q827" s="294">
        <v>0</v>
      </c>
      <c r="R827" s="294"/>
      <c r="S827" s="294"/>
      <c r="T827" s="294"/>
      <c r="U827" s="294"/>
      <c r="V827" s="431"/>
      <c r="W827" s="294"/>
      <c r="X827" s="294"/>
      <c r="Y827" s="294">
        <f>IF(NFI_Expiration=1,IF($A827&lt;VLOOKUP(H$5,NFI,5,0),1,0)*Table_NFI[[#This Row],[Hygiene Kit]],Table_NFI[Hygiene Kit])</f>
        <v>0</v>
      </c>
      <c r="Z827" s="294">
        <f>IF(NFI_Expiration=1,IF($A827&lt;VLOOKUP(I$5,NFI,5,0),1,0)*Table_NFI[[#This Row],[NFI Core Kit]],Table_NFI[NFI Core Kit])</f>
        <v>0</v>
      </c>
      <c r="AA827" s="294">
        <f>IF(NFI_Expiration=1,IF($A827&lt;VLOOKUP(J$5,NFI,5,0),1,0)*Table_NFI[[#This Row],[Sanitary Kit]],Table_NFI[Sanitary Kit])</f>
        <v>0</v>
      </c>
      <c r="AB827" s="294">
        <f>IF(NFI_Expiration=1,IF($A827&lt;VLOOKUP(K$5,NFI,5,0),1,0)*Table_NFI[[#This Row],[Mosquito net]],Table_NFI[Mosquito net])</f>
        <v>0</v>
      </c>
      <c r="AC827" s="294">
        <f>IF(NFI_Expiration=1,IF($A827&lt;VLOOKUP(L$5,NFI,5,0),1,0)*Table_NFI[[#This Row],[Tarpaulin]],Table_NFI[[#This Row],[Tarpaulin]])</f>
        <v>0</v>
      </c>
      <c r="AD827" s="294">
        <f>IF(NFI_Expiration=1,IF($A827&lt;VLOOKUP(M$5,NFI,5,0),1,0)*Table_NFI[[#This Row],[Blanket]],Table_NFI[[#This Row],[Blanket]])</f>
        <v>0</v>
      </c>
      <c r="AE827" s="294">
        <f>IF(NFI_Expiration=1,IF($A827&lt;VLOOKUP(N$5,NFI,5,0),1,0)*Table_NFI[[#This Row],[Kitchen Set]],Table_NFI[Kitchen Set])</f>
        <v>0</v>
      </c>
      <c r="AF827" s="294">
        <f>IF(NFI_Expiration=1,IF($A827&lt;VLOOKUP(O$5,NFI,5,0),1,0)*Table_NFI[[#This Row],[Clothes Kit]],Table_NFI[Clothes Kit])</f>
        <v>0</v>
      </c>
      <c r="AG827" s="294">
        <f>IF(NFI_Expiration=1,IF($A827&lt;VLOOKUP(P$5,NFI,5,0),1,0)*Table_NFI[[#This Row],[Plastic Bucket]],Table_NFI[Plastic Bucket])</f>
        <v>0</v>
      </c>
      <c r="AH827" s="294">
        <f>IF(NFI_Expiration=1,IF($A827&lt;VLOOKUP(Q$5,NFI,5,0),1,0)*Table_NFI[[#This Row],[Plastic Mat]],Table_NFI[Plastic Mat])*IF(Table_NFI[[#This Row],[Distribution Date]]&gt;"2014-04-01",1,2.5)</f>
        <v>0</v>
      </c>
      <c r="AI827" s="294">
        <f>IF(NFI_Expiration=1,IF($A827&lt;VLOOKUP(R$5,NFI,5,0),1,0)*Table_NFI[[#This Row],[Winter Clothes Adult]],Table_NFI[Winter Clothes Adult])</f>
        <v>0</v>
      </c>
      <c r="AJ827" s="294">
        <f>IF(NFI_Expiration=1,IF($A827&lt;VLOOKUP(S$5,NFI,5,0),1,0)*Table_NFI[[#This Row],[Winter Clothes Children]],Table_NFI[Winter Clothes Children])</f>
        <v>0</v>
      </c>
      <c r="AK827" s="294">
        <f>IF(NFI_Expiration=1,IF($A827&lt;VLOOKUP(T$5,NFI,5,0),1,0)*Table_NFI[[#This Row],[Winter Items Other]],Table_NFI[Winter Items Other])</f>
        <v>0</v>
      </c>
      <c r="AL827" s="294">
        <f>IF(NFI_Expiration=1,IF($A827&lt;VLOOKUP(M$5,NFI,5,0),1,0)*Table_NFI[[#This Row],[Winter Blanket]],Table_NFI[[#This Row],[Winter Blanket]])</f>
        <v>0</v>
      </c>
      <c r="AM827" s="294">
        <f>IF(Table_NFI[[#This Row],[Winter Clothes Adult]]+Table_NFI[[#This Row],[Winter Clothes Children]]+Table_NFI[[#This Row],[Winter Items Other]]+Table_NFI[[#This Row],[Winter Blanket]]&gt;0,1,0)</f>
        <v>0</v>
      </c>
      <c r="AN827" s="331">
        <f>IF(NFI_Expiration=1,IF($A827&lt;VLOOKUP(V$5,NFI,5,0),1,0)*Table_NFI[[#This Row],[Jerry Can]],Table_NFI[Jerry Can])</f>
        <v>0</v>
      </c>
      <c r="AO827" s="331">
        <f>IF(NFI_Expiration=1,IF($A827&lt;VLOOKUP(V$5,NFI,5,0),1,0)*Table_NFI[[#This Row],[Shelter Tool kit]],Table_NFI[Shelter Tool kit])</f>
        <v>0</v>
      </c>
      <c r="AP827" s="331">
        <f>IF(NFI_Expiration=1,IF($A827&lt;VLOOKUP(V$5,NFI,5,0),1,0)*Table_NFI[[#This Row],[Tent]],Table_NFI[Tent])</f>
        <v>0</v>
      </c>
      <c r="AQ827" s="473" t="str">
        <f>IFERROR(VLOOKUP(Table_NFI[[#This Row],[Camp Name]],CL,2,0),"")</f>
        <v>MMR001CMP192</v>
      </c>
      <c r="AR827" s="468">
        <f ca="1">IF(Table_NFI[[#This Row],[Pcode]]="","",IF(OFFSET(CampList[Opening Date],MATCH(Table_NFI[[#This Row],[Pcode]],CampList[CP_Pcode],0)-1,0,1,1)&gt;=NFI_Monitor_Date,1,0))</f>
        <v>0</v>
      </c>
      <c r="AS827" s="473" t="str">
        <f>IFERROR(VLOOKUP(Table_NFI[[#This Row],[Camp Name]],CL,3,0),"")</f>
        <v>Open</v>
      </c>
      <c r="AT827" s="294" t="str">
        <f ca="1">IF(Table_NFI[[#This Row],[Pcode]]="","",OFFSET(CampList[Priority],MATCH(Table_NFI[[#This Row],[Pcode]],CampList[CP_Pcode],0)-1,0,1,1))</f>
        <v>P4</v>
      </c>
      <c r="AU827" s="293">
        <f>IFERROR(Table_NFI[[#This Row],[Kitchen Set]]/VLOOKUP(Table_NFI[[#This Row],[Camp Name]],CL,4,0),"")</f>
        <v>0</v>
      </c>
      <c r="AV827" s="466" t="s">
        <v>1092</v>
      </c>
      <c r="AW827" s="469"/>
    </row>
    <row r="828" spans="1:49" ht="14.45" customHeight="1" x14ac:dyDescent="0.25">
      <c r="A828" s="297">
        <f t="shared" si="12"/>
        <v>46.7</v>
      </c>
      <c r="B828" s="465">
        <v>41274</v>
      </c>
      <c r="C828" s="466" t="s">
        <v>453</v>
      </c>
      <c r="D828" s="467" t="s">
        <v>453</v>
      </c>
      <c r="E828" s="466" t="s">
        <v>380</v>
      </c>
      <c r="F828" s="290" t="s">
        <v>527</v>
      </c>
      <c r="G828" s="290" t="s">
        <v>108</v>
      </c>
      <c r="H828" s="291">
        <v>4</v>
      </c>
      <c r="I828" s="291"/>
      <c r="J828" s="291"/>
      <c r="K828" s="291"/>
      <c r="L828" s="292"/>
      <c r="M828" s="292"/>
      <c r="N828" s="292"/>
      <c r="O828" s="292"/>
      <c r="P828" s="294">
        <v>0</v>
      </c>
      <c r="Q828" s="294">
        <v>0</v>
      </c>
      <c r="R828" s="294"/>
      <c r="S828" s="294"/>
      <c r="T828" s="294"/>
      <c r="U828" s="294"/>
      <c r="V828" s="431"/>
      <c r="W828" s="294"/>
      <c r="X828" s="294"/>
      <c r="Y828" s="294">
        <f>IF(NFI_Expiration=1,IF($A828&lt;VLOOKUP(H$5,NFI,5,0),1,0)*Table_NFI[[#This Row],[Hygiene Kit]],Table_NFI[Hygiene Kit])</f>
        <v>0</v>
      </c>
      <c r="Z828" s="294">
        <f>IF(NFI_Expiration=1,IF($A828&lt;VLOOKUP(I$5,NFI,5,0),1,0)*Table_NFI[[#This Row],[NFI Core Kit]],Table_NFI[NFI Core Kit])</f>
        <v>0</v>
      </c>
      <c r="AA828" s="294">
        <f>IF(NFI_Expiration=1,IF($A828&lt;VLOOKUP(J$5,NFI,5,0),1,0)*Table_NFI[[#This Row],[Sanitary Kit]],Table_NFI[Sanitary Kit])</f>
        <v>0</v>
      </c>
      <c r="AB828" s="294">
        <f>IF(NFI_Expiration=1,IF($A828&lt;VLOOKUP(K$5,NFI,5,0),1,0)*Table_NFI[[#This Row],[Mosquito net]],Table_NFI[Mosquito net])</f>
        <v>0</v>
      </c>
      <c r="AC828" s="294">
        <f>IF(NFI_Expiration=1,IF($A828&lt;VLOOKUP(L$5,NFI,5,0),1,0)*Table_NFI[[#This Row],[Tarpaulin]],Table_NFI[[#This Row],[Tarpaulin]])</f>
        <v>0</v>
      </c>
      <c r="AD828" s="294">
        <f>IF(NFI_Expiration=1,IF($A828&lt;VLOOKUP(M$5,NFI,5,0),1,0)*Table_NFI[[#This Row],[Blanket]],Table_NFI[[#This Row],[Blanket]])</f>
        <v>0</v>
      </c>
      <c r="AE828" s="294">
        <f>IF(NFI_Expiration=1,IF($A828&lt;VLOOKUP(N$5,NFI,5,0),1,0)*Table_NFI[[#This Row],[Kitchen Set]],Table_NFI[Kitchen Set])</f>
        <v>0</v>
      </c>
      <c r="AF828" s="294">
        <f>IF(NFI_Expiration=1,IF($A828&lt;VLOOKUP(O$5,NFI,5,0),1,0)*Table_NFI[[#This Row],[Clothes Kit]],Table_NFI[Clothes Kit])</f>
        <v>0</v>
      </c>
      <c r="AG828" s="294">
        <f>IF(NFI_Expiration=1,IF($A828&lt;VLOOKUP(P$5,NFI,5,0),1,0)*Table_NFI[[#This Row],[Plastic Bucket]],Table_NFI[Plastic Bucket])</f>
        <v>0</v>
      </c>
      <c r="AH828" s="294">
        <f>IF(NFI_Expiration=1,IF($A828&lt;VLOOKUP(Q$5,NFI,5,0),1,0)*Table_NFI[[#This Row],[Plastic Mat]],Table_NFI[Plastic Mat])*IF(Table_NFI[[#This Row],[Distribution Date]]&gt;"2014-04-01",1,2.5)</f>
        <v>0</v>
      </c>
      <c r="AI828" s="294">
        <f>IF(NFI_Expiration=1,IF($A828&lt;VLOOKUP(R$5,NFI,5,0),1,0)*Table_NFI[[#This Row],[Winter Clothes Adult]],Table_NFI[Winter Clothes Adult])</f>
        <v>0</v>
      </c>
      <c r="AJ828" s="294">
        <f>IF(NFI_Expiration=1,IF($A828&lt;VLOOKUP(S$5,NFI,5,0),1,0)*Table_NFI[[#This Row],[Winter Clothes Children]],Table_NFI[Winter Clothes Children])</f>
        <v>0</v>
      </c>
      <c r="AK828" s="294">
        <f>IF(NFI_Expiration=1,IF($A828&lt;VLOOKUP(T$5,NFI,5,0),1,0)*Table_NFI[[#This Row],[Winter Items Other]],Table_NFI[Winter Items Other])</f>
        <v>0</v>
      </c>
      <c r="AL828" s="294">
        <f>IF(NFI_Expiration=1,IF($A828&lt;VLOOKUP(M$5,NFI,5,0),1,0)*Table_NFI[[#This Row],[Winter Blanket]],Table_NFI[[#This Row],[Winter Blanket]])</f>
        <v>0</v>
      </c>
      <c r="AM828" s="294">
        <f>IF(Table_NFI[[#This Row],[Winter Clothes Adult]]+Table_NFI[[#This Row],[Winter Clothes Children]]+Table_NFI[[#This Row],[Winter Items Other]]+Table_NFI[[#This Row],[Winter Blanket]]&gt;0,1,0)</f>
        <v>0</v>
      </c>
      <c r="AN828" s="331">
        <f>IF(NFI_Expiration=1,IF($A828&lt;VLOOKUP(V$5,NFI,5,0),1,0)*Table_NFI[[#This Row],[Jerry Can]],Table_NFI[Jerry Can])</f>
        <v>0</v>
      </c>
      <c r="AO828" s="331">
        <f>IF(NFI_Expiration=1,IF($A828&lt;VLOOKUP(V$5,NFI,5,0),1,0)*Table_NFI[[#This Row],[Shelter Tool kit]],Table_NFI[Shelter Tool kit])</f>
        <v>0</v>
      </c>
      <c r="AP828" s="331">
        <f>IF(NFI_Expiration=1,IF($A828&lt;VLOOKUP(V$5,NFI,5,0),1,0)*Table_NFI[[#This Row],[Tent]],Table_NFI[Tent])</f>
        <v>0</v>
      </c>
      <c r="AQ828" s="473" t="str">
        <f>IFERROR(VLOOKUP(Table_NFI[[#This Row],[Camp Name]],CL,2,0),"")</f>
        <v>MMR001CMP103</v>
      </c>
      <c r="AR828" s="468">
        <f ca="1">IF(Table_NFI[[#This Row],[Pcode]]="","",IF(OFFSET(CampList[Opening Date],MATCH(Table_NFI[[#This Row],[Pcode]],CampList[CP_Pcode],0)-1,0,1,1)&gt;=NFI_Monitor_Date,1,0))</f>
        <v>0</v>
      </c>
      <c r="AS828" s="473" t="str">
        <f>IFERROR(VLOOKUP(Table_NFI[[#This Row],[Camp Name]],CL,3,0),"")</f>
        <v>Open</v>
      </c>
      <c r="AT828" s="294" t="str">
        <f ca="1">IF(Table_NFI[[#This Row],[Pcode]]="","",OFFSET(CampList[Priority],MATCH(Table_NFI[[#This Row],[Pcode]],CampList[CP_Pcode],0)-1,0,1,1))</f>
        <v>P4</v>
      </c>
      <c r="AU828" s="293">
        <f>IFERROR(Table_NFI[[#This Row],[Kitchen Set]]/VLOOKUP(Table_NFI[[#This Row],[Camp Name]],CL,4,0),"")</f>
        <v>0</v>
      </c>
      <c r="AV828" s="466" t="s">
        <v>1092</v>
      </c>
      <c r="AW828" s="469"/>
    </row>
    <row r="829" spans="1:49" ht="14.45" customHeight="1" x14ac:dyDescent="0.25">
      <c r="A829" s="297">
        <f t="shared" si="12"/>
        <v>46.7</v>
      </c>
      <c r="B829" s="465">
        <v>41274</v>
      </c>
      <c r="C829" s="466" t="s">
        <v>453</v>
      </c>
      <c r="D829" s="467" t="s">
        <v>453</v>
      </c>
      <c r="E829" s="466" t="s">
        <v>380</v>
      </c>
      <c r="F829" s="290" t="s">
        <v>527</v>
      </c>
      <c r="G829" s="290" t="s">
        <v>112</v>
      </c>
      <c r="H829" s="291">
        <v>3</v>
      </c>
      <c r="I829" s="291"/>
      <c r="J829" s="291"/>
      <c r="K829" s="291"/>
      <c r="L829" s="292"/>
      <c r="M829" s="292"/>
      <c r="N829" s="292"/>
      <c r="O829" s="292"/>
      <c r="P829" s="294">
        <v>0</v>
      </c>
      <c r="Q829" s="294">
        <v>0</v>
      </c>
      <c r="R829" s="294"/>
      <c r="S829" s="294"/>
      <c r="T829" s="294"/>
      <c r="U829" s="294"/>
      <c r="V829" s="431"/>
      <c r="W829" s="294"/>
      <c r="X829" s="294"/>
      <c r="Y829" s="294">
        <f>IF(NFI_Expiration=1,IF($A829&lt;VLOOKUP(H$5,NFI,5,0),1,0)*Table_NFI[[#This Row],[Hygiene Kit]],Table_NFI[Hygiene Kit])</f>
        <v>0</v>
      </c>
      <c r="Z829" s="294">
        <f>IF(NFI_Expiration=1,IF($A829&lt;VLOOKUP(I$5,NFI,5,0),1,0)*Table_NFI[[#This Row],[NFI Core Kit]],Table_NFI[NFI Core Kit])</f>
        <v>0</v>
      </c>
      <c r="AA829" s="294">
        <f>IF(NFI_Expiration=1,IF($A829&lt;VLOOKUP(J$5,NFI,5,0),1,0)*Table_NFI[[#This Row],[Sanitary Kit]],Table_NFI[Sanitary Kit])</f>
        <v>0</v>
      </c>
      <c r="AB829" s="294">
        <f>IF(NFI_Expiration=1,IF($A829&lt;VLOOKUP(K$5,NFI,5,0),1,0)*Table_NFI[[#This Row],[Mosquito net]],Table_NFI[Mosquito net])</f>
        <v>0</v>
      </c>
      <c r="AC829" s="294">
        <f>IF(NFI_Expiration=1,IF($A829&lt;VLOOKUP(L$5,NFI,5,0),1,0)*Table_NFI[[#This Row],[Tarpaulin]],Table_NFI[[#This Row],[Tarpaulin]])</f>
        <v>0</v>
      </c>
      <c r="AD829" s="294">
        <f>IF(NFI_Expiration=1,IF($A829&lt;VLOOKUP(M$5,NFI,5,0),1,0)*Table_NFI[[#This Row],[Blanket]],Table_NFI[[#This Row],[Blanket]])</f>
        <v>0</v>
      </c>
      <c r="AE829" s="294">
        <f>IF(NFI_Expiration=1,IF($A829&lt;VLOOKUP(N$5,NFI,5,0),1,0)*Table_NFI[[#This Row],[Kitchen Set]],Table_NFI[Kitchen Set])</f>
        <v>0</v>
      </c>
      <c r="AF829" s="294">
        <f>IF(NFI_Expiration=1,IF($A829&lt;VLOOKUP(O$5,NFI,5,0),1,0)*Table_NFI[[#This Row],[Clothes Kit]],Table_NFI[Clothes Kit])</f>
        <v>0</v>
      </c>
      <c r="AG829" s="294">
        <f>IF(NFI_Expiration=1,IF($A829&lt;VLOOKUP(P$5,NFI,5,0),1,0)*Table_NFI[[#This Row],[Plastic Bucket]],Table_NFI[Plastic Bucket])</f>
        <v>0</v>
      </c>
      <c r="AH829" s="294">
        <f>IF(NFI_Expiration=1,IF($A829&lt;VLOOKUP(Q$5,NFI,5,0),1,0)*Table_NFI[[#This Row],[Plastic Mat]],Table_NFI[Plastic Mat])*IF(Table_NFI[[#This Row],[Distribution Date]]&gt;"2014-04-01",1,2.5)</f>
        <v>0</v>
      </c>
      <c r="AI829" s="294">
        <f>IF(NFI_Expiration=1,IF($A829&lt;VLOOKUP(R$5,NFI,5,0),1,0)*Table_NFI[[#This Row],[Winter Clothes Adult]],Table_NFI[Winter Clothes Adult])</f>
        <v>0</v>
      </c>
      <c r="AJ829" s="294">
        <f>IF(NFI_Expiration=1,IF($A829&lt;VLOOKUP(S$5,NFI,5,0),1,0)*Table_NFI[[#This Row],[Winter Clothes Children]],Table_NFI[Winter Clothes Children])</f>
        <v>0</v>
      </c>
      <c r="AK829" s="294">
        <f>IF(NFI_Expiration=1,IF($A829&lt;VLOOKUP(T$5,NFI,5,0),1,0)*Table_NFI[[#This Row],[Winter Items Other]],Table_NFI[Winter Items Other])</f>
        <v>0</v>
      </c>
      <c r="AL829" s="294">
        <f>IF(NFI_Expiration=1,IF($A829&lt;VLOOKUP(M$5,NFI,5,0),1,0)*Table_NFI[[#This Row],[Winter Blanket]],Table_NFI[[#This Row],[Winter Blanket]])</f>
        <v>0</v>
      </c>
      <c r="AM829" s="294">
        <f>IF(Table_NFI[[#This Row],[Winter Clothes Adult]]+Table_NFI[[#This Row],[Winter Clothes Children]]+Table_NFI[[#This Row],[Winter Items Other]]+Table_NFI[[#This Row],[Winter Blanket]]&gt;0,1,0)</f>
        <v>0</v>
      </c>
      <c r="AN829" s="331">
        <f>IF(NFI_Expiration=1,IF($A829&lt;VLOOKUP(V$5,NFI,5,0),1,0)*Table_NFI[[#This Row],[Jerry Can]],Table_NFI[Jerry Can])</f>
        <v>0</v>
      </c>
      <c r="AO829" s="331">
        <f>IF(NFI_Expiration=1,IF($A829&lt;VLOOKUP(V$5,NFI,5,0),1,0)*Table_NFI[[#This Row],[Shelter Tool kit]],Table_NFI[Shelter Tool kit])</f>
        <v>0</v>
      </c>
      <c r="AP829" s="331">
        <f>IF(NFI_Expiration=1,IF($A829&lt;VLOOKUP(V$5,NFI,5,0),1,0)*Table_NFI[[#This Row],[Tent]],Table_NFI[Tent])</f>
        <v>0</v>
      </c>
      <c r="AQ829" s="473" t="str">
        <f>IFERROR(VLOOKUP(Table_NFI[[#This Row],[Camp Name]],CL,2,0),"")</f>
        <v>MMR001CMP083</v>
      </c>
      <c r="AR829" s="468">
        <f ca="1">IF(Table_NFI[[#This Row],[Pcode]]="","",IF(OFFSET(CampList[Opening Date],MATCH(Table_NFI[[#This Row],[Pcode]],CampList[CP_Pcode],0)-1,0,1,1)&gt;=NFI_Monitor_Date,1,0))</f>
        <v>0</v>
      </c>
      <c r="AS829" s="473" t="str">
        <f>IFERROR(VLOOKUP(Table_NFI[[#This Row],[Camp Name]],CL,3,0),"")</f>
        <v>Closed</v>
      </c>
      <c r="AT829" s="294" t="str">
        <f ca="1">IF(Table_NFI[[#This Row],[Pcode]]="","",OFFSET(CampList[Priority],MATCH(Table_NFI[[#This Row],[Pcode]],CampList[CP_Pcode],0)-1,0,1,1))</f>
        <v/>
      </c>
      <c r="AU829" s="293" t="str">
        <f>IFERROR(Table_NFI[[#This Row],[Kitchen Set]]/VLOOKUP(Table_NFI[[#This Row],[Camp Name]],CL,4,0),"")</f>
        <v/>
      </c>
      <c r="AV829" s="466" t="s">
        <v>1092</v>
      </c>
      <c r="AW829" s="469"/>
    </row>
    <row r="830" spans="1:49" ht="14.45" customHeight="1" x14ac:dyDescent="0.25">
      <c r="A830" s="297">
        <f t="shared" si="12"/>
        <v>46.7</v>
      </c>
      <c r="B830" s="465">
        <v>41274</v>
      </c>
      <c r="C830" s="466" t="s">
        <v>453</v>
      </c>
      <c r="D830" s="467" t="s">
        <v>453</v>
      </c>
      <c r="E830" s="466" t="s">
        <v>380</v>
      </c>
      <c r="F830" s="290" t="s">
        <v>310</v>
      </c>
      <c r="G830" s="290" t="s">
        <v>318</v>
      </c>
      <c r="H830" s="291">
        <v>92</v>
      </c>
      <c r="I830" s="291"/>
      <c r="J830" s="291"/>
      <c r="K830" s="291"/>
      <c r="L830" s="292"/>
      <c r="M830" s="292"/>
      <c r="N830" s="292"/>
      <c r="O830" s="292"/>
      <c r="P830" s="294">
        <v>0</v>
      </c>
      <c r="Q830" s="294">
        <v>0</v>
      </c>
      <c r="R830" s="294"/>
      <c r="S830" s="294"/>
      <c r="T830" s="294"/>
      <c r="U830" s="294"/>
      <c r="V830" s="431"/>
      <c r="W830" s="294"/>
      <c r="X830" s="294"/>
      <c r="Y830" s="294">
        <f>IF(NFI_Expiration=1,IF($A830&lt;VLOOKUP(H$5,NFI,5,0),1,0)*Table_NFI[[#This Row],[Hygiene Kit]],Table_NFI[Hygiene Kit])</f>
        <v>0</v>
      </c>
      <c r="Z830" s="294">
        <f>IF(NFI_Expiration=1,IF($A830&lt;VLOOKUP(I$5,NFI,5,0),1,0)*Table_NFI[[#This Row],[NFI Core Kit]],Table_NFI[NFI Core Kit])</f>
        <v>0</v>
      </c>
      <c r="AA830" s="294">
        <f>IF(NFI_Expiration=1,IF($A830&lt;VLOOKUP(J$5,NFI,5,0),1,0)*Table_NFI[[#This Row],[Sanitary Kit]],Table_NFI[Sanitary Kit])</f>
        <v>0</v>
      </c>
      <c r="AB830" s="294">
        <f>IF(NFI_Expiration=1,IF($A830&lt;VLOOKUP(K$5,NFI,5,0),1,0)*Table_NFI[[#This Row],[Mosquito net]],Table_NFI[Mosquito net])</f>
        <v>0</v>
      </c>
      <c r="AC830" s="294">
        <f>IF(NFI_Expiration=1,IF($A830&lt;VLOOKUP(L$5,NFI,5,0),1,0)*Table_NFI[[#This Row],[Tarpaulin]],Table_NFI[[#This Row],[Tarpaulin]])</f>
        <v>0</v>
      </c>
      <c r="AD830" s="294">
        <f>IF(NFI_Expiration=1,IF($A830&lt;VLOOKUP(M$5,NFI,5,0),1,0)*Table_NFI[[#This Row],[Blanket]],Table_NFI[[#This Row],[Blanket]])</f>
        <v>0</v>
      </c>
      <c r="AE830" s="294">
        <f>IF(NFI_Expiration=1,IF($A830&lt;VLOOKUP(N$5,NFI,5,0),1,0)*Table_NFI[[#This Row],[Kitchen Set]],Table_NFI[Kitchen Set])</f>
        <v>0</v>
      </c>
      <c r="AF830" s="294">
        <f>IF(NFI_Expiration=1,IF($A830&lt;VLOOKUP(O$5,NFI,5,0),1,0)*Table_NFI[[#This Row],[Clothes Kit]],Table_NFI[Clothes Kit])</f>
        <v>0</v>
      </c>
      <c r="AG830" s="294">
        <f>IF(NFI_Expiration=1,IF($A830&lt;VLOOKUP(P$5,NFI,5,0),1,0)*Table_NFI[[#This Row],[Plastic Bucket]],Table_NFI[Plastic Bucket])</f>
        <v>0</v>
      </c>
      <c r="AH830" s="294">
        <f>IF(NFI_Expiration=1,IF($A830&lt;VLOOKUP(Q$5,NFI,5,0),1,0)*Table_NFI[[#This Row],[Plastic Mat]],Table_NFI[Plastic Mat])*IF(Table_NFI[[#This Row],[Distribution Date]]&gt;"2014-04-01",1,2.5)</f>
        <v>0</v>
      </c>
      <c r="AI830" s="294">
        <f>IF(NFI_Expiration=1,IF($A830&lt;VLOOKUP(R$5,NFI,5,0),1,0)*Table_NFI[[#This Row],[Winter Clothes Adult]],Table_NFI[Winter Clothes Adult])</f>
        <v>0</v>
      </c>
      <c r="AJ830" s="294">
        <f>IF(NFI_Expiration=1,IF($A830&lt;VLOOKUP(S$5,NFI,5,0),1,0)*Table_NFI[[#This Row],[Winter Clothes Children]],Table_NFI[Winter Clothes Children])</f>
        <v>0</v>
      </c>
      <c r="AK830" s="294">
        <f>IF(NFI_Expiration=1,IF($A830&lt;VLOOKUP(T$5,NFI,5,0),1,0)*Table_NFI[[#This Row],[Winter Items Other]],Table_NFI[Winter Items Other])</f>
        <v>0</v>
      </c>
      <c r="AL830" s="294">
        <f>IF(NFI_Expiration=1,IF($A830&lt;VLOOKUP(M$5,NFI,5,0),1,0)*Table_NFI[[#This Row],[Winter Blanket]],Table_NFI[[#This Row],[Winter Blanket]])</f>
        <v>0</v>
      </c>
      <c r="AM830" s="294">
        <f>IF(Table_NFI[[#This Row],[Winter Clothes Adult]]+Table_NFI[[#This Row],[Winter Clothes Children]]+Table_NFI[[#This Row],[Winter Items Other]]+Table_NFI[[#This Row],[Winter Blanket]]&gt;0,1,0)</f>
        <v>0</v>
      </c>
      <c r="AN830" s="331">
        <f>IF(NFI_Expiration=1,IF($A830&lt;VLOOKUP(V$5,NFI,5,0),1,0)*Table_NFI[[#This Row],[Jerry Can]],Table_NFI[Jerry Can])</f>
        <v>0</v>
      </c>
      <c r="AO830" s="331">
        <f>IF(NFI_Expiration=1,IF($A830&lt;VLOOKUP(V$5,NFI,5,0),1,0)*Table_NFI[[#This Row],[Shelter Tool kit]],Table_NFI[Shelter Tool kit])</f>
        <v>0</v>
      </c>
      <c r="AP830" s="331">
        <f>IF(NFI_Expiration=1,IF($A830&lt;VLOOKUP(V$5,NFI,5,0),1,0)*Table_NFI[[#This Row],[Tent]],Table_NFI[Tent])</f>
        <v>0</v>
      </c>
      <c r="AQ830" s="473" t="str">
        <f>IFERROR(VLOOKUP(Table_NFI[[#This Row],[Camp Name]],CL,2,0),"")</f>
        <v>MMR001CMP032</v>
      </c>
      <c r="AR830" s="468">
        <f ca="1">IF(Table_NFI[[#This Row],[Pcode]]="","",IF(OFFSET(CampList[Opening Date],MATCH(Table_NFI[[#This Row],[Pcode]],CampList[CP_Pcode],0)-1,0,1,1)&gt;=NFI_Monitor_Date,1,0))</f>
        <v>0</v>
      </c>
      <c r="AS830" s="473" t="str">
        <f>IFERROR(VLOOKUP(Table_NFI[[#This Row],[Camp Name]],CL,3,0),"")</f>
        <v>Open</v>
      </c>
      <c r="AT830" s="294" t="str">
        <f ca="1">IF(Table_NFI[[#This Row],[Pcode]]="","",OFFSET(CampList[Priority],MATCH(Table_NFI[[#This Row],[Pcode]],CampList[CP_Pcode],0)-1,0,1,1))</f>
        <v>P4</v>
      </c>
      <c r="AU830" s="293">
        <f>IFERROR(Table_NFI[[#This Row],[Kitchen Set]]/VLOOKUP(Table_NFI[[#This Row],[Camp Name]],CL,4,0),"")</f>
        <v>0</v>
      </c>
      <c r="AV830" s="466" t="s">
        <v>1092</v>
      </c>
      <c r="AW830" s="469"/>
    </row>
    <row r="831" spans="1:49" ht="14.45" customHeight="1" x14ac:dyDescent="0.25">
      <c r="A831" s="297">
        <f t="shared" si="12"/>
        <v>46.7</v>
      </c>
      <c r="B831" s="465">
        <v>41274</v>
      </c>
      <c r="C831" s="466" t="s">
        <v>453</v>
      </c>
      <c r="D831" s="467" t="s">
        <v>453</v>
      </c>
      <c r="E831" s="466" t="s">
        <v>380</v>
      </c>
      <c r="F831" s="290" t="s">
        <v>310</v>
      </c>
      <c r="G831" s="290" t="s">
        <v>338</v>
      </c>
      <c r="H831" s="291">
        <v>27</v>
      </c>
      <c r="I831" s="291"/>
      <c r="J831" s="291"/>
      <c r="K831" s="291"/>
      <c r="L831" s="292"/>
      <c r="M831" s="292"/>
      <c r="N831" s="292"/>
      <c r="O831" s="292"/>
      <c r="P831" s="294">
        <v>0</v>
      </c>
      <c r="Q831" s="294">
        <v>0</v>
      </c>
      <c r="R831" s="294"/>
      <c r="S831" s="294"/>
      <c r="T831" s="294"/>
      <c r="U831" s="294"/>
      <c r="V831" s="431"/>
      <c r="W831" s="294"/>
      <c r="X831" s="294"/>
      <c r="Y831" s="294">
        <f>IF(NFI_Expiration=1,IF($A831&lt;VLOOKUP(H$5,NFI,5,0),1,0)*Table_NFI[[#This Row],[Hygiene Kit]],Table_NFI[Hygiene Kit])</f>
        <v>0</v>
      </c>
      <c r="Z831" s="294">
        <f>IF(NFI_Expiration=1,IF($A831&lt;VLOOKUP(I$5,NFI,5,0),1,0)*Table_NFI[[#This Row],[NFI Core Kit]],Table_NFI[NFI Core Kit])</f>
        <v>0</v>
      </c>
      <c r="AA831" s="294">
        <f>IF(NFI_Expiration=1,IF($A831&lt;VLOOKUP(J$5,NFI,5,0),1,0)*Table_NFI[[#This Row],[Sanitary Kit]],Table_NFI[Sanitary Kit])</f>
        <v>0</v>
      </c>
      <c r="AB831" s="294">
        <f>IF(NFI_Expiration=1,IF($A831&lt;VLOOKUP(K$5,NFI,5,0),1,0)*Table_NFI[[#This Row],[Mosquito net]],Table_NFI[Mosquito net])</f>
        <v>0</v>
      </c>
      <c r="AC831" s="294">
        <f>IF(NFI_Expiration=1,IF($A831&lt;VLOOKUP(L$5,NFI,5,0),1,0)*Table_NFI[[#This Row],[Tarpaulin]],Table_NFI[[#This Row],[Tarpaulin]])</f>
        <v>0</v>
      </c>
      <c r="AD831" s="294">
        <f>IF(NFI_Expiration=1,IF($A831&lt;VLOOKUP(M$5,NFI,5,0),1,0)*Table_NFI[[#This Row],[Blanket]],Table_NFI[[#This Row],[Blanket]])</f>
        <v>0</v>
      </c>
      <c r="AE831" s="294">
        <f>IF(NFI_Expiration=1,IF($A831&lt;VLOOKUP(N$5,NFI,5,0),1,0)*Table_NFI[[#This Row],[Kitchen Set]],Table_NFI[Kitchen Set])</f>
        <v>0</v>
      </c>
      <c r="AF831" s="294">
        <f>IF(NFI_Expiration=1,IF($A831&lt;VLOOKUP(O$5,NFI,5,0),1,0)*Table_NFI[[#This Row],[Clothes Kit]],Table_NFI[Clothes Kit])</f>
        <v>0</v>
      </c>
      <c r="AG831" s="294">
        <f>IF(NFI_Expiration=1,IF($A831&lt;VLOOKUP(P$5,NFI,5,0),1,0)*Table_NFI[[#This Row],[Plastic Bucket]],Table_NFI[Plastic Bucket])</f>
        <v>0</v>
      </c>
      <c r="AH831" s="294">
        <f>IF(NFI_Expiration=1,IF($A831&lt;VLOOKUP(Q$5,NFI,5,0),1,0)*Table_NFI[[#This Row],[Plastic Mat]],Table_NFI[Plastic Mat])*IF(Table_NFI[[#This Row],[Distribution Date]]&gt;"2014-04-01",1,2.5)</f>
        <v>0</v>
      </c>
      <c r="AI831" s="294">
        <f>IF(NFI_Expiration=1,IF($A831&lt;VLOOKUP(R$5,NFI,5,0),1,0)*Table_NFI[[#This Row],[Winter Clothes Adult]],Table_NFI[Winter Clothes Adult])</f>
        <v>0</v>
      </c>
      <c r="AJ831" s="294">
        <f>IF(NFI_Expiration=1,IF($A831&lt;VLOOKUP(S$5,NFI,5,0),1,0)*Table_NFI[[#This Row],[Winter Clothes Children]],Table_NFI[Winter Clothes Children])</f>
        <v>0</v>
      </c>
      <c r="AK831" s="294">
        <f>IF(NFI_Expiration=1,IF($A831&lt;VLOOKUP(T$5,NFI,5,0),1,0)*Table_NFI[[#This Row],[Winter Items Other]],Table_NFI[Winter Items Other])</f>
        <v>0</v>
      </c>
      <c r="AL831" s="294">
        <f>IF(NFI_Expiration=1,IF($A831&lt;VLOOKUP(M$5,NFI,5,0),1,0)*Table_NFI[[#This Row],[Winter Blanket]],Table_NFI[[#This Row],[Winter Blanket]])</f>
        <v>0</v>
      </c>
      <c r="AM831" s="294">
        <f>IF(Table_NFI[[#This Row],[Winter Clothes Adult]]+Table_NFI[[#This Row],[Winter Clothes Children]]+Table_NFI[[#This Row],[Winter Items Other]]+Table_NFI[[#This Row],[Winter Blanket]]&gt;0,1,0)</f>
        <v>0</v>
      </c>
      <c r="AN831" s="331">
        <f>IF(NFI_Expiration=1,IF($A831&lt;VLOOKUP(V$5,NFI,5,0),1,0)*Table_NFI[[#This Row],[Jerry Can]],Table_NFI[Jerry Can])</f>
        <v>0</v>
      </c>
      <c r="AO831" s="331">
        <f>IF(NFI_Expiration=1,IF($A831&lt;VLOOKUP(V$5,NFI,5,0),1,0)*Table_NFI[[#This Row],[Shelter Tool kit]],Table_NFI[Shelter Tool kit])</f>
        <v>0</v>
      </c>
      <c r="AP831" s="331">
        <f>IF(NFI_Expiration=1,IF($A831&lt;VLOOKUP(V$5,NFI,5,0),1,0)*Table_NFI[[#This Row],[Tent]],Table_NFI[Tent])</f>
        <v>0</v>
      </c>
      <c r="AQ831" s="473" t="str">
        <f>IFERROR(VLOOKUP(Table_NFI[[#This Row],[Camp Name]],CL,2,0),"")</f>
        <v>MMR001CMP030</v>
      </c>
      <c r="AR831" s="468">
        <f ca="1">IF(Table_NFI[[#This Row],[Pcode]]="","",IF(OFFSET(CampList[Opening Date],MATCH(Table_NFI[[#This Row],[Pcode]],CampList[CP_Pcode],0)-1,0,1,1)&gt;=NFI_Monitor_Date,1,0))</f>
        <v>0</v>
      </c>
      <c r="AS831" s="473" t="str">
        <f>IFERROR(VLOOKUP(Table_NFI[[#This Row],[Camp Name]],CL,3,0),"")</f>
        <v>Open</v>
      </c>
      <c r="AT831" s="294" t="str">
        <f ca="1">IF(Table_NFI[[#This Row],[Pcode]]="","",OFFSET(CampList[Priority],MATCH(Table_NFI[[#This Row],[Pcode]],CampList[CP_Pcode],0)-1,0,1,1))</f>
        <v>P4</v>
      </c>
      <c r="AU831" s="293">
        <f>IFERROR(Table_NFI[[#This Row],[Kitchen Set]]/VLOOKUP(Table_NFI[[#This Row],[Camp Name]],CL,4,0),"")</f>
        <v>0</v>
      </c>
      <c r="AV831" s="466" t="s">
        <v>1092</v>
      </c>
      <c r="AW831" s="469"/>
    </row>
    <row r="832" spans="1:49" ht="14.45" customHeight="1" x14ac:dyDescent="0.25">
      <c r="A832" s="297">
        <f t="shared" si="12"/>
        <v>46.7</v>
      </c>
      <c r="B832" s="465">
        <v>41274</v>
      </c>
      <c r="C832" s="466" t="s">
        <v>453</v>
      </c>
      <c r="D832" s="467" t="s">
        <v>453</v>
      </c>
      <c r="E832" s="466" t="s">
        <v>380</v>
      </c>
      <c r="F832" s="290" t="s">
        <v>310</v>
      </c>
      <c r="G832" s="290" t="s">
        <v>351</v>
      </c>
      <c r="H832" s="291">
        <v>96</v>
      </c>
      <c r="I832" s="291"/>
      <c r="J832" s="291"/>
      <c r="K832" s="291"/>
      <c r="L832" s="292"/>
      <c r="M832" s="292"/>
      <c r="N832" s="292"/>
      <c r="O832" s="292"/>
      <c r="P832" s="294">
        <v>0</v>
      </c>
      <c r="Q832" s="294">
        <v>0</v>
      </c>
      <c r="R832" s="294"/>
      <c r="S832" s="294"/>
      <c r="T832" s="294"/>
      <c r="U832" s="294"/>
      <c r="V832" s="431"/>
      <c r="W832" s="294"/>
      <c r="X832" s="294"/>
      <c r="Y832" s="294">
        <f>IF(NFI_Expiration=1,IF($A832&lt;VLOOKUP(H$5,NFI,5,0),1,0)*Table_NFI[[#This Row],[Hygiene Kit]],Table_NFI[Hygiene Kit])</f>
        <v>0</v>
      </c>
      <c r="Z832" s="294">
        <f>IF(NFI_Expiration=1,IF($A832&lt;VLOOKUP(I$5,NFI,5,0),1,0)*Table_NFI[[#This Row],[NFI Core Kit]],Table_NFI[NFI Core Kit])</f>
        <v>0</v>
      </c>
      <c r="AA832" s="294">
        <f>IF(NFI_Expiration=1,IF($A832&lt;VLOOKUP(J$5,NFI,5,0),1,0)*Table_NFI[[#This Row],[Sanitary Kit]],Table_NFI[Sanitary Kit])</f>
        <v>0</v>
      </c>
      <c r="AB832" s="294">
        <f>IF(NFI_Expiration=1,IF($A832&lt;VLOOKUP(K$5,NFI,5,0),1,0)*Table_NFI[[#This Row],[Mosquito net]],Table_NFI[Mosquito net])</f>
        <v>0</v>
      </c>
      <c r="AC832" s="294">
        <f>IF(NFI_Expiration=1,IF($A832&lt;VLOOKUP(L$5,NFI,5,0),1,0)*Table_NFI[[#This Row],[Tarpaulin]],Table_NFI[[#This Row],[Tarpaulin]])</f>
        <v>0</v>
      </c>
      <c r="AD832" s="294">
        <f>IF(NFI_Expiration=1,IF($A832&lt;VLOOKUP(M$5,NFI,5,0),1,0)*Table_NFI[[#This Row],[Blanket]],Table_NFI[[#This Row],[Blanket]])</f>
        <v>0</v>
      </c>
      <c r="AE832" s="294">
        <f>IF(NFI_Expiration=1,IF($A832&lt;VLOOKUP(N$5,NFI,5,0),1,0)*Table_NFI[[#This Row],[Kitchen Set]],Table_NFI[Kitchen Set])</f>
        <v>0</v>
      </c>
      <c r="AF832" s="294">
        <f>IF(NFI_Expiration=1,IF($A832&lt;VLOOKUP(O$5,NFI,5,0),1,0)*Table_NFI[[#This Row],[Clothes Kit]],Table_NFI[Clothes Kit])</f>
        <v>0</v>
      </c>
      <c r="AG832" s="294">
        <f>IF(NFI_Expiration=1,IF($A832&lt;VLOOKUP(P$5,NFI,5,0),1,0)*Table_NFI[[#This Row],[Plastic Bucket]],Table_NFI[Plastic Bucket])</f>
        <v>0</v>
      </c>
      <c r="AH832" s="294">
        <f>IF(NFI_Expiration=1,IF($A832&lt;VLOOKUP(Q$5,NFI,5,0),1,0)*Table_NFI[[#This Row],[Plastic Mat]],Table_NFI[Plastic Mat])*IF(Table_NFI[[#This Row],[Distribution Date]]&gt;"2014-04-01",1,2.5)</f>
        <v>0</v>
      </c>
      <c r="AI832" s="294">
        <f>IF(NFI_Expiration=1,IF($A832&lt;VLOOKUP(R$5,NFI,5,0),1,0)*Table_NFI[[#This Row],[Winter Clothes Adult]],Table_NFI[Winter Clothes Adult])</f>
        <v>0</v>
      </c>
      <c r="AJ832" s="294">
        <f>IF(NFI_Expiration=1,IF($A832&lt;VLOOKUP(S$5,NFI,5,0),1,0)*Table_NFI[[#This Row],[Winter Clothes Children]],Table_NFI[Winter Clothes Children])</f>
        <v>0</v>
      </c>
      <c r="AK832" s="294">
        <f>IF(NFI_Expiration=1,IF($A832&lt;VLOOKUP(T$5,NFI,5,0),1,0)*Table_NFI[[#This Row],[Winter Items Other]],Table_NFI[Winter Items Other])</f>
        <v>0</v>
      </c>
      <c r="AL832" s="294">
        <f>IF(NFI_Expiration=1,IF($A832&lt;VLOOKUP(M$5,NFI,5,0),1,0)*Table_NFI[[#This Row],[Winter Blanket]],Table_NFI[[#This Row],[Winter Blanket]])</f>
        <v>0</v>
      </c>
      <c r="AM832" s="294">
        <f>IF(Table_NFI[[#This Row],[Winter Clothes Adult]]+Table_NFI[[#This Row],[Winter Clothes Children]]+Table_NFI[[#This Row],[Winter Items Other]]+Table_NFI[[#This Row],[Winter Blanket]]&gt;0,1,0)</f>
        <v>0</v>
      </c>
      <c r="AN832" s="331">
        <f>IF(NFI_Expiration=1,IF($A832&lt;VLOOKUP(V$5,NFI,5,0),1,0)*Table_NFI[[#This Row],[Jerry Can]],Table_NFI[Jerry Can])</f>
        <v>0</v>
      </c>
      <c r="AO832" s="331">
        <f>IF(NFI_Expiration=1,IF($A832&lt;VLOOKUP(V$5,NFI,5,0),1,0)*Table_NFI[[#This Row],[Shelter Tool kit]],Table_NFI[Shelter Tool kit])</f>
        <v>0</v>
      </c>
      <c r="AP832" s="331">
        <f>IF(NFI_Expiration=1,IF($A832&lt;VLOOKUP(V$5,NFI,5,0),1,0)*Table_NFI[[#This Row],[Tent]],Table_NFI[Tent])</f>
        <v>0</v>
      </c>
      <c r="AQ832" s="473" t="str">
        <f>IFERROR(VLOOKUP(Table_NFI[[#This Row],[Camp Name]],CL,2,0),"")</f>
        <v>MMR001CMP026</v>
      </c>
      <c r="AR832" s="468">
        <f ca="1">IF(Table_NFI[[#This Row],[Pcode]]="","",IF(OFFSET(CampList[Opening Date],MATCH(Table_NFI[[#This Row],[Pcode]],CampList[CP_Pcode],0)-1,0,1,1)&gt;=NFI_Monitor_Date,1,0))</f>
        <v>0</v>
      </c>
      <c r="AS832" s="473" t="str">
        <f>IFERROR(VLOOKUP(Table_NFI[[#This Row],[Camp Name]],CL,3,0),"")</f>
        <v>Open</v>
      </c>
      <c r="AT832" s="294" t="str">
        <f ca="1">IF(Table_NFI[[#This Row],[Pcode]]="","",OFFSET(CampList[Priority],MATCH(Table_NFI[[#This Row],[Pcode]],CampList[CP_Pcode],0)-1,0,1,1))</f>
        <v>P4</v>
      </c>
      <c r="AU832" s="293">
        <f>IFERROR(Table_NFI[[#This Row],[Kitchen Set]]/VLOOKUP(Table_NFI[[#This Row],[Camp Name]],CL,4,0),"")</f>
        <v>0</v>
      </c>
      <c r="AV832" s="466" t="s">
        <v>1092</v>
      </c>
      <c r="AW832" s="469"/>
    </row>
    <row r="833" spans="1:49" ht="14.45" customHeight="1" x14ac:dyDescent="0.25">
      <c r="A833" s="297">
        <f t="shared" si="12"/>
        <v>46.7</v>
      </c>
      <c r="B833" s="465">
        <v>41274</v>
      </c>
      <c r="C833" s="466" t="s">
        <v>453</v>
      </c>
      <c r="D833" s="467" t="s">
        <v>453</v>
      </c>
      <c r="E833" s="466" t="s">
        <v>380</v>
      </c>
      <c r="F833" s="290" t="s">
        <v>237</v>
      </c>
      <c r="G833" s="290" t="s">
        <v>279</v>
      </c>
      <c r="H833" s="291">
        <v>17</v>
      </c>
      <c r="I833" s="291"/>
      <c r="J833" s="291"/>
      <c r="K833" s="291"/>
      <c r="L833" s="292"/>
      <c r="M833" s="292"/>
      <c r="N833" s="292"/>
      <c r="O833" s="292"/>
      <c r="P833" s="294">
        <v>0</v>
      </c>
      <c r="Q833" s="294">
        <v>0</v>
      </c>
      <c r="R833" s="294"/>
      <c r="S833" s="294"/>
      <c r="T833" s="294"/>
      <c r="U833" s="294"/>
      <c r="V833" s="431"/>
      <c r="W833" s="294"/>
      <c r="X833" s="294"/>
      <c r="Y833" s="294">
        <f>IF(NFI_Expiration=1,IF($A833&lt;VLOOKUP(H$5,NFI,5,0),1,0)*Table_NFI[[#This Row],[Hygiene Kit]],Table_NFI[Hygiene Kit])</f>
        <v>0</v>
      </c>
      <c r="Z833" s="294">
        <f>IF(NFI_Expiration=1,IF($A833&lt;VLOOKUP(I$5,NFI,5,0),1,0)*Table_NFI[[#This Row],[NFI Core Kit]],Table_NFI[NFI Core Kit])</f>
        <v>0</v>
      </c>
      <c r="AA833" s="294">
        <f>IF(NFI_Expiration=1,IF($A833&lt;VLOOKUP(J$5,NFI,5,0),1,0)*Table_NFI[[#This Row],[Sanitary Kit]],Table_NFI[Sanitary Kit])</f>
        <v>0</v>
      </c>
      <c r="AB833" s="294">
        <f>IF(NFI_Expiration=1,IF($A833&lt;VLOOKUP(K$5,NFI,5,0),1,0)*Table_NFI[[#This Row],[Mosquito net]],Table_NFI[Mosquito net])</f>
        <v>0</v>
      </c>
      <c r="AC833" s="294">
        <f>IF(NFI_Expiration=1,IF($A833&lt;VLOOKUP(L$5,NFI,5,0),1,0)*Table_NFI[[#This Row],[Tarpaulin]],Table_NFI[[#This Row],[Tarpaulin]])</f>
        <v>0</v>
      </c>
      <c r="AD833" s="294">
        <f>IF(NFI_Expiration=1,IF($A833&lt;VLOOKUP(M$5,NFI,5,0),1,0)*Table_NFI[[#This Row],[Blanket]],Table_NFI[[#This Row],[Blanket]])</f>
        <v>0</v>
      </c>
      <c r="AE833" s="294">
        <f>IF(NFI_Expiration=1,IF($A833&lt;VLOOKUP(N$5,NFI,5,0),1,0)*Table_NFI[[#This Row],[Kitchen Set]],Table_NFI[Kitchen Set])</f>
        <v>0</v>
      </c>
      <c r="AF833" s="294">
        <f>IF(NFI_Expiration=1,IF($A833&lt;VLOOKUP(O$5,NFI,5,0),1,0)*Table_NFI[[#This Row],[Clothes Kit]],Table_NFI[Clothes Kit])</f>
        <v>0</v>
      </c>
      <c r="AG833" s="294">
        <f>IF(NFI_Expiration=1,IF($A833&lt;VLOOKUP(P$5,NFI,5,0),1,0)*Table_NFI[[#This Row],[Plastic Bucket]],Table_NFI[Plastic Bucket])</f>
        <v>0</v>
      </c>
      <c r="AH833" s="294">
        <f>IF(NFI_Expiration=1,IF($A833&lt;VLOOKUP(Q$5,NFI,5,0),1,0)*Table_NFI[[#This Row],[Plastic Mat]],Table_NFI[Plastic Mat])*IF(Table_NFI[[#This Row],[Distribution Date]]&gt;"2014-04-01",1,2.5)</f>
        <v>0</v>
      </c>
      <c r="AI833" s="294">
        <f>IF(NFI_Expiration=1,IF($A833&lt;VLOOKUP(R$5,NFI,5,0),1,0)*Table_NFI[[#This Row],[Winter Clothes Adult]],Table_NFI[Winter Clothes Adult])</f>
        <v>0</v>
      </c>
      <c r="AJ833" s="294">
        <f>IF(NFI_Expiration=1,IF($A833&lt;VLOOKUP(S$5,NFI,5,0),1,0)*Table_NFI[[#This Row],[Winter Clothes Children]],Table_NFI[Winter Clothes Children])</f>
        <v>0</v>
      </c>
      <c r="AK833" s="294">
        <f>IF(NFI_Expiration=1,IF($A833&lt;VLOOKUP(T$5,NFI,5,0),1,0)*Table_NFI[[#This Row],[Winter Items Other]],Table_NFI[Winter Items Other])</f>
        <v>0</v>
      </c>
      <c r="AL833" s="294">
        <f>IF(NFI_Expiration=1,IF($A833&lt;VLOOKUP(M$5,NFI,5,0),1,0)*Table_NFI[[#This Row],[Winter Blanket]],Table_NFI[[#This Row],[Winter Blanket]])</f>
        <v>0</v>
      </c>
      <c r="AM833" s="294">
        <f>IF(Table_NFI[[#This Row],[Winter Clothes Adult]]+Table_NFI[[#This Row],[Winter Clothes Children]]+Table_NFI[[#This Row],[Winter Items Other]]+Table_NFI[[#This Row],[Winter Blanket]]&gt;0,1,0)</f>
        <v>0</v>
      </c>
      <c r="AN833" s="331">
        <f>IF(NFI_Expiration=1,IF($A833&lt;VLOOKUP(V$5,NFI,5,0),1,0)*Table_NFI[[#This Row],[Jerry Can]],Table_NFI[Jerry Can])</f>
        <v>0</v>
      </c>
      <c r="AO833" s="331">
        <f>IF(NFI_Expiration=1,IF($A833&lt;VLOOKUP(V$5,NFI,5,0),1,0)*Table_NFI[[#This Row],[Shelter Tool kit]],Table_NFI[Shelter Tool kit])</f>
        <v>0</v>
      </c>
      <c r="AP833" s="331">
        <f>IF(NFI_Expiration=1,IF($A833&lt;VLOOKUP(V$5,NFI,5,0),1,0)*Table_NFI[[#This Row],[Tent]],Table_NFI[Tent])</f>
        <v>0</v>
      </c>
      <c r="AQ833" s="473" t="str">
        <f>IFERROR(VLOOKUP(Table_NFI[[#This Row],[Camp Name]],CL,2,0),"")</f>
        <v>MMR001CMP007</v>
      </c>
      <c r="AR833" s="468">
        <f ca="1">IF(Table_NFI[[#This Row],[Pcode]]="","",IF(OFFSET(CampList[Opening Date],MATCH(Table_NFI[[#This Row],[Pcode]],CampList[CP_Pcode],0)-1,0,1,1)&gt;=NFI_Monitor_Date,1,0))</f>
        <v>0</v>
      </c>
      <c r="AS833" s="473" t="str">
        <f>IFERROR(VLOOKUP(Table_NFI[[#This Row],[Camp Name]],CL,3,0),"")</f>
        <v>Open</v>
      </c>
      <c r="AT833" s="294" t="str">
        <f ca="1">IF(Table_NFI[[#This Row],[Pcode]]="","",OFFSET(CampList[Priority],MATCH(Table_NFI[[#This Row],[Pcode]],CampList[CP_Pcode],0)-1,0,1,1))</f>
        <v>P4</v>
      </c>
      <c r="AU833" s="293">
        <f>IFERROR(Table_NFI[[#This Row],[Kitchen Set]]/VLOOKUP(Table_NFI[[#This Row],[Camp Name]],CL,4,0),"")</f>
        <v>0</v>
      </c>
      <c r="AV833" s="466" t="s">
        <v>1092</v>
      </c>
      <c r="AW833" s="469"/>
    </row>
    <row r="834" spans="1:49" ht="14.45" customHeight="1" x14ac:dyDescent="0.25">
      <c r="A834" s="297">
        <f t="shared" si="12"/>
        <v>46.7</v>
      </c>
      <c r="B834" s="465">
        <v>41274</v>
      </c>
      <c r="C834" s="466" t="s">
        <v>453</v>
      </c>
      <c r="D834" s="467" t="s">
        <v>453</v>
      </c>
      <c r="E834" s="466" t="s">
        <v>380</v>
      </c>
      <c r="F834" s="290" t="s">
        <v>237</v>
      </c>
      <c r="G834" s="290" t="s">
        <v>1244</v>
      </c>
      <c r="H834" s="291">
        <v>34</v>
      </c>
      <c r="I834" s="291"/>
      <c r="J834" s="291"/>
      <c r="K834" s="291"/>
      <c r="L834" s="292"/>
      <c r="M834" s="292"/>
      <c r="N834" s="292"/>
      <c r="O834" s="292"/>
      <c r="P834" s="294">
        <v>0</v>
      </c>
      <c r="Q834" s="294">
        <v>0</v>
      </c>
      <c r="R834" s="294"/>
      <c r="S834" s="294"/>
      <c r="T834" s="294"/>
      <c r="U834" s="294"/>
      <c r="V834" s="431"/>
      <c r="W834" s="294"/>
      <c r="X834" s="294"/>
      <c r="Y834" s="294">
        <f>IF(NFI_Expiration=1,IF($A834&lt;VLOOKUP(H$5,NFI,5,0),1,0)*Table_NFI[[#This Row],[Hygiene Kit]],Table_NFI[Hygiene Kit])</f>
        <v>0</v>
      </c>
      <c r="Z834" s="294">
        <f>IF(NFI_Expiration=1,IF($A834&lt;VLOOKUP(I$5,NFI,5,0),1,0)*Table_NFI[[#This Row],[NFI Core Kit]],Table_NFI[NFI Core Kit])</f>
        <v>0</v>
      </c>
      <c r="AA834" s="294">
        <f>IF(NFI_Expiration=1,IF($A834&lt;VLOOKUP(J$5,NFI,5,0),1,0)*Table_NFI[[#This Row],[Sanitary Kit]],Table_NFI[Sanitary Kit])</f>
        <v>0</v>
      </c>
      <c r="AB834" s="294">
        <f>IF(NFI_Expiration=1,IF($A834&lt;VLOOKUP(K$5,NFI,5,0),1,0)*Table_NFI[[#This Row],[Mosquito net]],Table_NFI[Mosquito net])</f>
        <v>0</v>
      </c>
      <c r="AC834" s="294">
        <f>IF(NFI_Expiration=1,IF($A834&lt;VLOOKUP(L$5,NFI,5,0),1,0)*Table_NFI[[#This Row],[Tarpaulin]],Table_NFI[[#This Row],[Tarpaulin]])</f>
        <v>0</v>
      </c>
      <c r="AD834" s="294">
        <f>IF(NFI_Expiration=1,IF($A834&lt;VLOOKUP(M$5,NFI,5,0),1,0)*Table_NFI[[#This Row],[Blanket]],Table_NFI[[#This Row],[Blanket]])</f>
        <v>0</v>
      </c>
      <c r="AE834" s="294">
        <f>IF(NFI_Expiration=1,IF($A834&lt;VLOOKUP(N$5,NFI,5,0),1,0)*Table_NFI[[#This Row],[Kitchen Set]],Table_NFI[Kitchen Set])</f>
        <v>0</v>
      </c>
      <c r="AF834" s="294">
        <f>IF(NFI_Expiration=1,IF($A834&lt;VLOOKUP(O$5,NFI,5,0),1,0)*Table_NFI[[#This Row],[Clothes Kit]],Table_NFI[Clothes Kit])</f>
        <v>0</v>
      </c>
      <c r="AG834" s="294">
        <f>IF(NFI_Expiration=1,IF($A834&lt;VLOOKUP(P$5,NFI,5,0),1,0)*Table_NFI[[#This Row],[Plastic Bucket]],Table_NFI[Plastic Bucket])</f>
        <v>0</v>
      </c>
      <c r="AH834" s="294">
        <f>IF(NFI_Expiration=1,IF($A834&lt;VLOOKUP(Q$5,NFI,5,0),1,0)*Table_NFI[[#This Row],[Plastic Mat]],Table_NFI[Plastic Mat])*IF(Table_NFI[[#This Row],[Distribution Date]]&gt;"2014-04-01",1,2.5)</f>
        <v>0</v>
      </c>
      <c r="AI834" s="294">
        <f>IF(NFI_Expiration=1,IF($A834&lt;VLOOKUP(R$5,NFI,5,0),1,0)*Table_NFI[[#This Row],[Winter Clothes Adult]],Table_NFI[Winter Clothes Adult])</f>
        <v>0</v>
      </c>
      <c r="AJ834" s="294">
        <f>IF(NFI_Expiration=1,IF($A834&lt;VLOOKUP(S$5,NFI,5,0),1,0)*Table_NFI[[#This Row],[Winter Clothes Children]],Table_NFI[Winter Clothes Children])</f>
        <v>0</v>
      </c>
      <c r="AK834" s="294">
        <f>IF(NFI_Expiration=1,IF($A834&lt;VLOOKUP(T$5,NFI,5,0),1,0)*Table_NFI[[#This Row],[Winter Items Other]],Table_NFI[Winter Items Other])</f>
        <v>0</v>
      </c>
      <c r="AL834" s="294">
        <f>IF(NFI_Expiration=1,IF($A834&lt;VLOOKUP(M$5,NFI,5,0),1,0)*Table_NFI[[#This Row],[Winter Blanket]],Table_NFI[[#This Row],[Winter Blanket]])</f>
        <v>0</v>
      </c>
      <c r="AM834" s="294">
        <f>IF(Table_NFI[[#This Row],[Winter Clothes Adult]]+Table_NFI[[#This Row],[Winter Clothes Children]]+Table_NFI[[#This Row],[Winter Items Other]]+Table_NFI[[#This Row],[Winter Blanket]]&gt;0,1,0)</f>
        <v>0</v>
      </c>
      <c r="AN834" s="331">
        <f>IF(NFI_Expiration=1,IF($A834&lt;VLOOKUP(V$5,NFI,5,0),1,0)*Table_NFI[[#This Row],[Jerry Can]],Table_NFI[Jerry Can])</f>
        <v>0</v>
      </c>
      <c r="AO834" s="331">
        <f>IF(NFI_Expiration=1,IF($A834&lt;VLOOKUP(V$5,NFI,5,0),1,0)*Table_NFI[[#This Row],[Shelter Tool kit]],Table_NFI[Shelter Tool kit])</f>
        <v>0</v>
      </c>
      <c r="AP834" s="331">
        <f>IF(NFI_Expiration=1,IF($A834&lt;VLOOKUP(V$5,NFI,5,0),1,0)*Table_NFI[[#This Row],[Tent]],Table_NFI[Tent])</f>
        <v>0</v>
      </c>
      <c r="AQ834" s="473" t="str">
        <f>IFERROR(VLOOKUP(Table_NFI[[#This Row],[Camp Name]],CL,2,0),"")</f>
        <v>MMR001CMP023</v>
      </c>
      <c r="AR834" s="468">
        <f ca="1">IF(Table_NFI[[#This Row],[Pcode]]="","",IF(OFFSET(CampList[Opening Date],MATCH(Table_NFI[[#This Row],[Pcode]],CampList[CP_Pcode],0)-1,0,1,1)&gt;=NFI_Monitor_Date,1,0))</f>
        <v>0</v>
      </c>
      <c r="AS834" s="473" t="str">
        <f>IFERROR(VLOOKUP(Table_NFI[[#This Row],[Camp Name]],CL,3,0),"")</f>
        <v>Open</v>
      </c>
      <c r="AT834" s="294" t="str">
        <f ca="1">IF(Table_NFI[[#This Row],[Pcode]]="","",OFFSET(CampList[Priority],MATCH(Table_NFI[[#This Row],[Pcode]],CampList[CP_Pcode],0)-1,0,1,1))</f>
        <v>P4</v>
      </c>
      <c r="AU834" s="293">
        <f>IFERROR(Table_NFI[[#This Row],[Kitchen Set]]/VLOOKUP(Table_NFI[[#This Row],[Camp Name]],CL,4,0),"")</f>
        <v>0</v>
      </c>
      <c r="AV834" s="466" t="s">
        <v>1092</v>
      </c>
      <c r="AW834" s="469"/>
    </row>
    <row r="835" spans="1:49" ht="14.45" customHeight="1" x14ac:dyDescent="0.25">
      <c r="A835" s="297">
        <f t="shared" si="12"/>
        <v>46.7</v>
      </c>
      <c r="B835" s="465">
        <v>41274</v>
      </c>
      <c r="C835" s="466" t="s">
        <v>453</v>
      </c>
      <c r="D835" s="467" t="s">
        <v>453</v>
      </c>
      <c r="E835" s="466" t="s">
        <v>380</v>
      </c>
      <c r="F835" s="290" t="s">
        <v>237</v>
      </c>
      <c r="G835" s="290" t="s">
        <v>249</v>
      </c>
      <c r="H835" s="291">
        <v>14</v>
      </c>
      <c r="I835" s="291"/>
      <c r="J835" s="291"/>
      <c r="K835" s="291"/>
      <c r="L835" s="292"/>
      <c r="M835" s="292"/>
      <c r="N835" s="292"/>
      <c r="O835" s="292"/>
      <c r="P835" s="294">
        <v>0</v>
      </c>
      <c r="Q835" s="294">
        <v>0</v>
      </c>
      <c r="R835" s="294"/>
      <c r="S835" s="294"/>
      <c r="T835" s="294"/>
      <c r="U835" s="294"/>
      <c r="V835" s="431"/>
      <c r="W835" s="294"/>
      <c r="X835" s="294"/>
      <c r="Y835" s="294">
        <f>IF(NFI_Expiration=1,IF($A835&lt;VLOOKUP(H$5,NFI,5,0),1,0)*Table_NFI[[#This Row],[Hygiene Kit]],Table_NFI[Hygiene Kit])</f>
        <v>0</v>
      </c>
      <c r="Z835" s="294">
        <f>IF(NFI_Expiration=1,IF($A835&lt;VLOOKUP(I$5,NFI,5,0),1,0)*Table_NFI[[#This Row],[NFI Core Kit]],Table_NFI[NFI Core Kit])</f>
        <v>0</v>
      </c>
      <c r="AA835" s="294">
        <f>IF(NFI_Expiration=1,IF($A835&lt;VLOOKUP(J$5,NFI,5,0),1,0)*Table_NFI[[#This Row],[Sanitary Kit]],Table_NFI[Sanitary Kit])</f>
        <v>0</v>
      </c>
      <c r="AB835" s="294">
        <f>IF(NFI_Expiration=1,IF($A835&lt;VLOOKUP(K$5,NFI,5,0),1,0)*Table_NFI[[#This Row],[Mosquito net]],Table_NFI[Mosquito net])</f>
        <v>0</v>
      </c>
      <c r="AC835" s="294">
        <f>IF(NFI_Expiration=1,IF($A835&lt;VLOOKUP(L$5,NFI,5,0),1,0)*Table_NFI[[#This Row],[Tarpaulin]],Table_NFI[[#This Row],[Tarpaulin]])</f>
        <v>0</v>
      </c>
      <c r="AD835" s="294">
        <f>IF(NFI_Expiration=1,IF($A835&lt;VLOOKUP(M$5,NFI,5,0),1,0)*Table_NFI[[#This Row],[Blanket]],Table_NFI[[#This Row],[Blanket]])</f>
        <v>0</v>
      </c>
      <c r="AE835" s="294">
        <f>IF(NFI_Expiration=1,IF($A835&lt;VLOOKUP(N$5,NFI,5,0),1,0)*Table_NFI[[#This Row],[Kitchen Set]],Table_NFI[Kitchen Set])</f>
        <v>0</v>
      </c>
      <c r="AF835" s="294">
        <f>IF(NFI_Expiration=1,IF($A835&lt;VLOOKUP(O$5,NFI,5,0),1,0)*Table_NFI[[#This Row],[Clothes Kit]],Table_NFI[Clothes Kit])</f>
        <v>0</v>
      </c>
      <c r="AG835" s="294">
        <f>IF(NFI_Expiration=1,IF($A835&lt;VLOOKUP(P$5,NFI,5,0),1,0)*Table_NFI[[#This Row],[Plastic Bucket]],Table_NFI[Plastic Bucket])</f>
        <v>0</v>
      </c>
      <c r="AH835" s="294">
        <f>IF(NFI_Expiration=1,IF($A835&lt;VLOOKUP(Q$5,NFI,5,0),1,0)*Table_NFI[[#This Row],[Plastic Mat]],Table_NFI[Plastic Mat])*IF(Table_NFI[[#This Row],[Distribution Date]]&gt;"2014-04-01",1,2.5)</f>
        <v>0</v>
      </c>
      <c r="AI835" s="294">
        <f>IF(NFI_Expiration=1,IF($A835&lt;VLOOKUP(R$5,NFI,5,0),1,0)*Table_NFI[[#This Row],[Winter Clothes Adult]],Table_NFI[Winter Clothes Adult])</f>
        <v>0</v>
      </c>
      <c r="AJ835" s="294">
        <f>IF(NFI_Expiration=1,IF($A835&lt;VLOOKUP(S$5,NFI,5,0),1,0)*Table_NFI[[#This Row],[Winter Clothes Children]],Table_NFI[Winter Clothes Children])</f>
        <v>0</v>
      </c>
      <c r="AK835" s="294">
        <f>IF(NFI_Expiration=1,IF($A835&lt;VLOOKUP(T$5,NFI,5,0),1,0)*Table_NFI[[#This Row],[Winter Items Other]],Table_NFI[Winter Items Other])</f>
        <v>0</v>
      </c>
      <c r="AL835" s="294">
        <f>IF(NFI_Expiration=1,IF($A835&lt;VLOOKUP(M$5,NFI,5,0),1,0)*Table_NFI[[#This Row],[Winter Blanket]],Table_NFI[[#This Row],[Winter Blanket]])</f>
        <v>0</v>
      </c>
      <c r="AM835" s="294">
        <f>IF(Table_NFI[[#This Row],[Winter Clothes Adult]]+Table_NFI[[#This Row],[Winter Clothes Children]]+Table_NFI[[#This Row],[Winter Items Other]]+Table_NFI[[#This Row],[Winter Blanket]]&gt;0,1,0)</f>
        <v>0</v>
      </c>
      <c r="AN835" s="331">
        <f>IF(NFI_Expiration=1,IF($A835&lt;VLOOKUP(V$5,NFI,5,0),1,0)*Table_NFI[[#This Row],[Jerry Can]],Table_NFI[Jerry Can])</f>
        <v>0</v>
      </c>
      <c r="AO835" s="331">
        <f>IF(NFI_Expiration=1,IF($A835&lt;VLOOKUP(V$5,NFI,5,0),1,0)*Table_NFI[[#This Row],[Shelter Tool kit]],Table_NFI[Shelter Tool kit])</f>
        <v>0</v>
      </c>
      <c r="AP835" s="331">
        <f>IF(NFI_Expiration=1,IF($A835&lt;VLOOKUP(V$5,NFI,5,0),1,0)*Table_NFI[[#This Row],[Tent]],Table_NFI[Tent])</f>
        <v>0</v>
      </c>
      <c r="AQ835" s="473" t="str">
        <f>IFERROR(VLOOKUP(Table_NFI[[#This Row],[Camp Name]],CL,2,0),"")</f>
        <v>MMR001CMP004</v>
      </c>
      <c r="AR835" s="468">
        <f ca="1">IF(Table_NFI[[#This Row],[Pcode]]="","",IF(OFFSET(CampList[Opening Date],MATCH(Table_NFI[[#This Row],[Pcode]],CampList[CP_Pcode],0)-1,0,1,1)&gt;=NFI_Monitor_Date,1,0))</f>
        <v>0</v>
      </c>
      <c r="AS835" s="473" t="str">
        <f>IFERROR(VLOOKUP(Table_NFI[[#This Row],[Camp Name]],CL,3,0),"")</f>
        <v>Open</v>
      </c>
      <c r="AT835" s="294" t="str">
        <f ca="1">IF(Table_NFI[[#This Row],[Pcode]]="","",OFFSET(CampList[Priority],MATCH(Table_NFI[[#This Row],[Pcode]],CampList[CP_Pcode],0)-1,0,1,1))</f>
        <v>P4</v>
      </c>
      <c r="AU835" s="293">
        <f>IFERROR(Table_NFI[[#This Row],[Kitchen Set]]/VLOOKUP(Table_NFI[[#This Row],[Camp Name]],CL,4,0),"")</f>
        <v>0</v>
      </c>
      <c r="AV835" s="466" t="s">
        <v>1092</v>
      </c>
      <c r="AW835" s="469"/>
    </row>
    <row r="836" spans="1:49" ht="14.45" customHeight="1" x14ac:dyDescent="0.25">
      <c r="A836" s="297">
        <f t="shared" si="12"/>
        <v>46.7</v>
      </c>
      <c r="B836" s="465">
        <v>41274</v>
      </c>
      <c r="C836" s="466" t="s">
        <v>453</v>
      </c>
      <c r="D836" s="466" t="s">
        <v>453</v>
      </c>
      <c r="E836" s="466" t="s">
        <v>380</v>
      </c>
      <c r="F836" s="290" t="s">
        <v>310</v>
      </c>
      <c r="G836" s="290" t="s">
        <v>349</v>
      </c>
      <c r="H836" s="291">
        <v>68</v>
      </c>
      <c r="I836" s="291"/>
      <c r="J836" s="291"/>
      <c r="K836" s="291"/>
      <c r="L836" s="292"/>
      <c r="M836" s="292"/>
      <c r="N836" s="292"/>
      <c r="O836" s="292"/>
      <c r="P836" s="294">
        <v>0</v>
      </c>
      <c r="Q836" s="294">
        <v>0</v>
      </c>
      <c r="R836" s="294"/>
      <c r="S836" s="294"/>
      <c r="T836" s="294"/>
      <c r="U836" s="294"/>
      <c r="V836" s="431"/>
      <c r="W836" s="294"/>
      <c r="X836" s="294"/>
      <c r="Y836" s="294">
        <f>IF(NFI_Expiration=1,IF($A836&lt;VLOOKUP(H$5,NFI,5,0),1,0)*Table_NFI[[#This Row],[Hygiene Kit]],Table_NFI[Hygiene Kit])</f>
        <v>0</v>
      </c>
      <c r="Z836" s="294">
        <f>IF(NFI_Expiration=1,IF($A836&lt;VLOOKUP(I$5,NFI,5,0),1,0)*Table_NFI[[#This Row],[NFI Core Kit]],Table_NFI[NFI Core Kit])</f>
        <v>0</v>
      </c>
      <c r="AA836" s="294">
        <f>IF(NFI_Expiration=1,IF($A836&lt;VLOOKUP(J$5,NFI,5,0),1,0)*Table_NFI[[#This Row],[Sanitary Kit]],Table_NFI[Sanitary Kit])</f>
        <v>0</v>
      </c>
      <c r="AB836" s="294">
        <f>IF(NFI_Expiration=1,IF($A836&lt;VLOOKUP(K$5,NFI,5,0),1,0)*Table_NFI[[#This Row],[Mosquito net]],Table_NFI[Mosquito net])</f>
        <v>0</v>
      </c>
      <c r="AC836" s="294">
        <f>IF(NFI_Expiration=1,IF($A836&lt;VLOOKUP(L$5,NFI,5,0),1,0)*Table_NFI[[#This Row],[Tarpaulin]],Table_NFI[[#This Row],[Tarpaulin]])</f>
        <v>0</v>
      </c>
      <c r="AD836" s="294">
        <f>IF(NFI_Expiration=1,IF($A836&lt;VLOOKUP(M$5,NFI,5,0),1,0)*Table_NFI[[#This Row],[Blanket]],Table_NFI[[#This Row],[Blanket]])</f>
        <v>0</v>
      </c>
      <c r="AE836" s="294">
        <f>IF(NFI_Expiration=1,IF($A836&lt;VLOOKUP(N$5,NFI,5,0),1,0)*Table_NFI[[#This Row],[Kitchen Set]],Table_NFI[Kitchen Set])</f>
        <v>0</v>
      </c>
      <c r="AF836" s="294">
        <f>IF(NFI_Expiration=1,IF($A836&lt;VLOOKUP(O$5,NFI,5,0),1,0)*Table_NFI[[#This Row],[Clothes Kit]],Table_NFI[Clothes Kit])</f>
        <v>0</v>
      </c>
      <c r="AG836" s="294">
        <f>IF(NFI_Expiration=1,IF($A836&lt;VLOOKUP(P$5,NFI,5,0),1,0)*Table_NFI[[#This Row],[Plastic Bucket]],Table_NFI[Plastic Bucket])</f>
        <v>0</v>
      </c>
      <c r="AH836" s="294">
        <f>IF(NFI_Expiration=1,IF($A836&lt;VLOOKUP(Q$5,NFI,5,0),1,0)*Table_NFI[[#This Row],[Plastic Mat]],Table_NFI[Plastic Mat])*IF(Table_NFI[[#This Row],[Distribution Date]]&gt;"2014-04-01",1,2.5)</f>
        <v>0</v>
      </c>
      <c r="AI836" s="294">
        <f>IF(NFI_Expiration=1,IF($A836&lt;VLOOKUP(R$5,NFI,5,0),1,0)*Table_NFI[[#This Row],[Winter Clothes Adult]],Table_NFI[Winter Clothes Adult])</f>
        <v>0</v>
      </c>
      <c r="AJ836" s="294">
        <f>IF(NFI_Expiration=1,IF($A836&lt;VLOOKUP(S$5,NFI,5,0),1,0)*Table_NFI[[#This Row],[Winter Clothes Children]],Table_NFI[Winter Clothes Children])</f>
        <v>0</v>
      </c>
      <c r="AK836" s="294">
        <f>IF(NFI_Expiration=1,IF($A836&lt;VLOOKUP(T$5,NFI,5,0),1,0)*Table_NFI[[#This Row],[Winter Items Other]],Table_NFI[Winter Items Other])</f>
        <v>0</v>
      </c>
      <c r="AL836" s="294">
        <f>IF(NFI_Expiration=1,IF($A836&lt;VLOOKUP(M$5,NFI,5,0),1,0)*Table_NFI[[#This Row],[Winter Blanket]],Table_NFI[[#This Row],[Winter Blanket]])</f>
        <v>0</v>
      </c>
      <c r="AM836" s="294">
        <f>IF(Table_NFI[[#This Row],[Winter Clothes Adult]]+Table_NFI[[#This Row],[Winter Clothes Children]]+Table_NFI[[#This Row],[Winter Items Other]]+Table_NFI[[#This Row],[Winter Blanket]]&gt;0,1,0)</f>
        <v>0</v>
      </c>
      <c r="AN836" s="331">
        <f>IF(NFI_Expiration=1,IF($A836&lt;VLOOKUP(V$5,NFI,5,0),1,0)*Table_NFI[[#This Row],[Jerry Can]],Table_NFI[Jerry Can])</f>
        <v>0</v>
      </c>
      <c r="AO836" s="331">
        <f>IF(NFI_Expiration=1,IF($A836&lt;VLOOKUP(V$5,NFI,5,0),1,0)*Table_NFI[[#This Row],[Shelter Tool kit]],Table_NFI[Shelter Tool kit])</f>
        <v>0</v>
      </c>
      <c r="AP836" s="331">
        <f>IF(NFI_Expiration=1,IF($A836&lt;VLOOKUP(V$5,NFI,5,0),1,0)*Table_NFI[[#This Row],[Tent]],Table_NFI[Tent])</f>
        <v>0</v>
      </c>
      <c r="AQ836" s="473" t="str">
        <f>IFERROR(VLOOKUP(Table_NFI[[#This Row],[Camp Name]],CL,2,0),"")</f>
        <v>MMR001CMP037</v>
      </c>
      <c r="AR836" s="468">
        <f ca="1">IF(Table_NFI[[#This Row],[Pcode]]="","",IF(OFFSET(CampList[Opening Date],MATCH(Table_NFI[[#This Row],[Pcode]],CampList[CP_Pcode],0)-1,0,1,1)&gt;=NFI_Monitor_Date,1,0))</f>
        <v>0</v>
      </c>
      <c r="AS836" s="473" t="str">
        <f>IFERROR(VLOOKUP(Table_NFI[[#This Row],[Camp Name]],CL,3,0),"")</f>
        <v>Open</v>
      </c>
      <c r="AT836" s="294" t="str">
        <f ca="1">IF(Table_NFI[[#This Row],[Pcode]]="","",OFFSET(CampList[Priority],MATCH(Table_NFI[[#This Row],[Pcode]],CampList[CP_Pcode],0)-1,0,1,1))</f>
        <v>P4</v>
      </c>
      <c r="AU836" s="293">
        <f>IFERROR(Table_NFI[[#This Row],[Kitchen Set]]/VLOOKUP(Table_NFI[[#This Row],[Camp Name]],CL,4,0),"")</f>
        <v>0</v>
      </c>
      <c r="AV836" s="466" t="s">
        <v>1092</v>
      </c>
      <c r="AW836" s="469"/>
    </row>
    <row r="837" spans="1:49" ht="14.45" customHeight="1" x14ac:dyDescent="0.25">
      <c r="A837" s="297">
        <f t="shared" si="12"/>
        <v>46.7</v>
      </c>
      <c r="B837" s="465">
        <v>41274</v>
      </c>
      <c r="C837" s="466" t="s">
        <v>453</v>
      </c>
      <c r="D837" s="466" t="s">
        <v>453</v>
      </c>
      <c r="E837" s="466" t="s">
        <v>380</v>
      </c>
      <c r="F837" s="290" t="s">
        <v>310</v>
      </c>
      <c r="G837" s="290" t="s">
        <v>316</v>
      </c>
      <c r="H837" s="291">
        <v>56</v>
      </c>
      <c r="I837" s="291"/>
      <c r="J837" s="291"/>
      <c r="K837" s="291"/>
      <c r="L837" s="292"/>
      <c r="M837" s="292"/>
      <c r="N837" s="292"/>
      <c r="O837" s="292"/>
      <c r="P837" s="294">
        <v>0</v>
      </c>
      <c r="Q837" s="294">
        <v>0</v>
      </c>
      <c r="R837" s="294"/>
      <c r="S837" s="294"/>
      <c r="T837" s="294"/>
      <c r="U837" s="294"/>
      <c r="V837" s="431"/>
      <c r="W837" s="294"/>
      <c r="X837" s="294"/>
      <c r="Y837" s="294">
        <f>IF(NFI_Expiration=1,IF($A837&lt;VLOOKUP(H$5,NFI,5,0),1,0)*Table_NFI[[#This Row],[Hygiene Kit]],Table_NFI[Hygiene Kit])</f>
        <v>0</v>
      </c>
      <c r="Z837" s="294">
        <f>IF(NFI_Expiration=1,IF($A837&lt;VLOOKUP(I$5,NFI,5,0),1,0)*Table_NFI[[#This Row],[NFI Core Kit]],Table_NFI[NFI Core Kit])</f>
        <v>0</v>
      </c>
      <c r="AA837" s="294">
        <f>IF(NFI_Expiration=1,IF($A837&lt;VLOOKUP(J$5,NFI,5,0),1,0)*Table_NFI[[#This Row],[Sanitary Kit]],Table_NFI[Sanitary Kit])</f>
        <v>0</v>
      </c>
      <c r="AB837" s="294">
        <f>IF(NFI_Expiration=1,IF($A837&lt;VLOOKUP(K$5,NFI,5,0),1,0)*Table_NFI[[#This Row],[Mosquito net]],Table_NFI[Mosquito net])</f>
        <v>0</v>
      </c>
      <c r="AC837" s="294">
        <f>IF(NFI_Expiration=1,IF($A837&lt;VLOOKUP(L$5,NFI,5,0),1,0)*Table_NFI[[#This Row],[Tarpaulin]],Table_NFI[[#This Row],[Tarpaulin]])</f>
        <v>0</v>
      </c>
      <c r="AD837" s="294">
        <f>IF(NFI_Expiration=1,IF($A837&lt;VLOOKUP(M$5,NFI,5,0),1,0)*Table_NFI[[#This Row],[Blanket]],Table_NFI[[#This Row],[Blanket]])</f>
        <v>0</v>
      </c>
      <c r="AE837" s="294">
        <f>IF(NFI_Expiration=1,IF($A837&lt;VLOOKUP(N$5,NFI,5,0),1,0)*Table_NFI[[#This Row],[Kitchen Set]],Table_NFI[Kitchen Set])</f>
        <v>0</v>
      </c>
      <c r="AF837" s="294">
        <f>IF(NFI_Expiration=1,IF($A837&lt;VLOOKUP(O$5,NFI,5,0),1,0)*Table_NFI[[#This Row],[Clothes Kit]],Table_NFI[Clothes Kit])</f>
        <v>0</v>
      </c>
      <c r="AG837" s="294">
        <f>IF(NFI_Expiration=1,IF($A837&lt;VLOOKUP(P$5,NFI,5,0),1,0)*Table_NFI[[#This Row],[Plastic Bucket]],Table_NFI[Plastic Bucket])</f>
        <v>0</v>
      </c>
      <c r="AH837" s="294">
        <f>IF(NFI_Expiration=1,IF($A837&lt;VLOOKUP(Q$5,NFI,5,0),1,0)*Table_NFI[[#This Row],[Plastic Mat]],Table_NFI[Plastic Mat])*IF(Table_NFI[[#This Row],[Distribution Date]]&gt;"2014-04-01",1,2.5)</f>
        <v>0</v>
      </c>
      <c r="AI837" s="294">
        <f>IF(NFI_Expiration=1,IF($A837&lt;VLOOKUP(R$5,NFI,5,0),1,0)*Table_NFI[[#This Row],[Winter Clothes Adult]],Table_NFI[Winter Clothes Adult])</f>
        <v>0</v>
      </c>
      <c r="AJ837" s="294">
        <f>IF(NFI_Expiration=1,IF($A837&lt;VLOOKUP(S$5,NFI,5,0),1,0)*Table_NFI[[#This Row],[Winter Clothes Children]],Table_NFI[Winter Clothes Children])</f>
        <v>0</v>
      </c>
      <c r="AK837" s="294">
        <f>IF(NFI_Expiration=1,IF($A837&lt;VLOOKUP(T$5,NFI,5,0),1,0)*Table_NFI[[#This Row],[Winter Items Other]],Table_NFI[Winter Items Other])</f>
        <v>0</v>
      </c>
      <c r="AL837" s="294">
        <f>IF(NFI_Expiration=1,IF($A837&lt;VLOOKUP(M$5,NFI,5,0),1,0)*Table_NFI[[#This Row],[Winter Blanket]],Table_NFI[[#This Row],[Winter Blanket]])</f>
        <v>0</v>
      </c>
      <c r="AM837" s="294">
        <f>IF(Table_NFI[[#This Row],[Winter Clothes Adult]]+Table_NFI[[#This Row],[Winter Clothes Children]]+Table_NFI[[#This Row],[Winter Items Other]]+Table_NFI[[#This Row],[Winter Blanket]]&gt;0,1,0)</f>
        <v>0</v>
      </c>
      <c r="AN837" s="331">
        <f>IF(NFI_Expiration=1,IF($A837&lt;VLOOKUP(V$5,NFI,5,0),1,0)*Table_NFI[[#This Row],[Jerry Can]],Table_NFI[Jerry Can])</f>
        <v>0</v>
      </c>
      <c r="AO837" s="331">
        <f>IF(NFI_Expiration=1,IF($A837&lt;VLOOKUP(V$5,NFI,5,0),1,0)*Table_NFI[[#This Row],[Shelter Tool kit]],Table_NFI[Shelter Tool kit])</f>
        <v>0</v>
      </c>
      <c r="AP837" s="331">
        <f>IF(NFI_Expiration=1,IF($A837&lt;VLOOKUP(V$5,NFI,5,0),1,0)*Table_NFI[[#This Row],[Tent]],Table_NFI[Tent])</f>
        <v>0</v>
      </c>
      <c r="AQ837" s="473" t="str">
        <f>IFERROR(VLOOKUP(Table_NFI[[#This Row],[Camp Name]],CL,2,0),"")</f>
        <v>MMR001CMP038</v>
      </c>
      <c r="AR837" s="468">
        <f ca="1">IF(Table_NFI[[#This Row],[Pcode]]="","",IF(OFFSET(CampList[Opening Date],MATCH(Table_NFI[[#This Row],[Pcode]],CampList[CP_Pcode],0)-1,0,1,1)&gt;=NFI_Monitor_Date,1,0))</f>
        <v>0</v>
      </c>
      <c r="AS837" s="473" t="str">
        <f>IFERROR(VLOOKUP(Table_NFI[[#This Row],[Camp Name]],CL,3,0),"")</f>
        <v>Open</v>
      </c>
      <c r="AT837" s="294" t="str">
        <f ca="1">IF(Table_NFI[[#This Row],[Pcode]]="","",OFFSET(CampList[Priority],MATCH(Table_NFI[[#This Row],[Pcode]],CampList[CP_Pcode],0)-1,0,1,1))</f>
        <v>P4</v>
      </c>
      <c r="AU837" s="293">
        <f>IFERROR(Table_NFI[[#This Row],[Kitchen Set]]/VLOOKUP(Table_NFI[[#This Row],[Camp Name]],CL,4,0),"")</f>
        <v>0</v>
      </c>
      <c r="AV837" s="466" t="s">
        <v>1092</v>
      </c>
      <c r="AW837" s="469"/>
    </row>
    <row r="838" spans="1:49" ht="14.45" customHeight="1" x14ac:dyDescent="0.25">
      <c r="A838" s="297">
        <f t="shared" ref="A838:A901" si="13">IF(ISBLANK(B838),"",(Report_Date-B838)/30)</f>
        <v>46.7</v>
      </c>
      <c r="B838" s="465">
        <v>41274</v>
      </c>
      <c r="C838" s="466" t="s">
        <v>453</v>
      </c>
      <c r="D838" s="466" t="s">
        <v>453</v>
      </c>
      <c r="E838" s="466" t="s">
        <v>380</v>
      </c>
      <c r="F838" s="290" t="s">
        <v>527</v>
      </c>
      <c r="G838" s="290" t="s">
        <v>74</v>
      </c>
      <c r="H838" s="291">
        <v>3</v>
      </c>
      <c r="I838" s="291"/>
      <c r="J838" s="291"/>
      <c r="K838" s="291"/>
      <c r="L838" s="292"/>
      <c r="M838" s="292"/>
      <c r="N838" s="292"/>
      <c r="O838" s="292"/>
      <c r="P838" s="294">
        <v>0</v>
      </c>
      <c r="Q838" s="294">
        <v>0</v>
      </c>
      <c r="R838" s="294"/>
      <c r="S838" s="294"/>
      <c r="T838" s="294"/>
      <c r="U838" s="294"/>
      <c r="V838" s="431"/>
      <c r="W838" s="294"/>
      <c r="X838" s="294"/>
      <c r="Y838" s="294">
        <f>IF(NFI_Expiration=1,IF($A838&lt;VLOOKUP(H$5,NFI,5,0),1,0)*Table_NFI[[#This Row],[Hygiene Kit]],Table_NFI[Hygiene Kit])</f>
        <v>0</v>
      </c>
      <c r="Z838" s="294">
        <f>IF(NFI_Expiration=1,IF($A838&lt;VLOOKUP(I$5,NFI,5,0),1,0)*Table_NFI[[#This Row],[NFI Core Kit]],Table_NFI[NFI Core Kit])</f>
        <v>0</v>
      </c>
      <c r="AA838" s="294">
        <f>IF(NFI_Expiration=1,IF($A838&lt;VLOOKUP(J$5,NFI,5,0),1,0)*Table_NFI[[#This Row],[Sanitary Kit]],Table_NFI[Sanitary Kit])</f>
        <v>0</v>
      </c>
      <c r="AB838" s="294">
        <f>IF(NFI_Expiration=1,IF($A838&lt;VLOOKUP(K$5,NFI,5,0),1,0)*Table_NFI[[#This Row],[Mosquito net]],Table_NFI[Mosquito net])</f>
        <v>0</v>
      </c>
      <c r="AC838" s="294">
        <f>IF(NFI_Expiration=1,IF($A838&lt;VLOOKUP(L$5,NFI,5,0),1,0)*Table_NFI[[#This Row],[Tarpaulin]],Table_NFI[[#This Row],[Tarpaulin]])</f>
        <v>0</v>
      </c>
      <c r="AD838" s="294">
        <f>IF(NFI_Expiration=1,IF($A838&lt;VLOOKUP(M$5,NFI,5,0),1,0)*Table_NFI[[#This Row],[Blanket]],Table_NFI[[#This Row],[Blanket]])</f>
        <v>0</v>
      </c>
      <c r="AE838" s="294">
        <f>IF(NFI_Expiration=1,IF($A838&lt;VLOOKUP(N$5,NFI,5,0),1,0)*Table_NFI[[#This Row],[Kitchen Set]],Table_NFI[Kitchen Set])</f>
        <v>0</v>
      </c>
      <c r="AF838" s="294">
        <f>IF(NFI_Expiration=1,IF($A838&lt;VLOOKUP(O$5,NFI,5,0),1,0)*Table_NFI[[#This Row],[Clothes Kit]],Table_NFI[Clothes Kit])</f>
        <v>0</v>
      </c>
      <c r="AG838" s="294">
        <f>IF(NFI_Expiration=1,IF($A838&lt;VLOOKUP(P$5,NFI,5,0),1,0)*Table_NFI[[#This Row],[Plastic Bucket]],Table_NFI[Plastic Bucket])</f>
        <v>0</v>
      </c>
      <c r="AH838" s="294">
        <f>IF(NFI_Expiration=1,IF($A838&lt;VLOOKUP(Q$5,NFI,5,0),1,0)*Table_NFI[[#This Row],[Plastic Mat]],Table_NFI[Plastic Mat])*IF(Table_NFI[[#This Row],[Distribution Date]]&gt;"2014-04-01",1,2.5)</f>
        <v>0</v>
      </c>
      <c r="AI838" s="294">
        <f>IF(NFI_Expiration=1,IF($A838&lt;VLOOKUP(R$5,NFI,5,0),1,0)*Table_NFI[[#This Row],[Winter Clothes Adult]],Table_NFI[Winter Clothes Adult])</f>
        <v>0</v>
      </c>
      <c r="AJ838" s="294">
        <f>IF(NFI_Expiration=1,IF($A838&lt;VLOOKUP(S$5,NFI,5,0),1,0)*Table_NFI[[#This Row],[Winter Clothes Children]],Table_NFI[Winter Clothes Children])</f>
        <v>0</v>
      </c>
      <c r="AK838" s="294">
        <f>IF(NFI_Expiration=1,IF($A838&lt;VLOOKUP(T$5,NFI,5,0),1,0)*Table_NFI[[#This Row],[Winter Items Other]],Table_NFI[Winter Items Other])</f>
        <v>0</v>
      </c>
      <c r="AL838" s="294">
        <f>IF(NFI_Expiration=1,IF($A838&lt;VLOOKUP(M$5,NFI,5,0),1,0)*Table_NFI[[#This Row],[Winter Blanket]],Table_NFI[[#This Row],[Winter Blanket]])</f>
        <v>0</v>
      </c>
      <c r="AM838" s="294">
        <f>IF(Table_NFI[[#This Row],[Winter Clothes Adult]]+Table_NFI[[#This Row],[Winter Clothes Children]]+Table_NFI[[#This Row],[Winter Items Other]]+Table_NFI[[#This Row],[Winter Blanket]]&gt;0,1,0)</f>
        <v>0</v>
      </c>
      <c r="AN838" s="331">
        <f>IF(NFI_Expiration=1,IF($A838&lt;VLOOKUP(V$5,NFI,5,0),1,0)*Table_NFI[[#This Row],[Jerry Can]],Table_NFI[Jerry Can])</f>
        <v>0</v>
      </c>
      <c r="AO838" s="331">
        <f>IF(NFI_Expiration=1,IF($A838&lt;VLOOKUP(V$5,NFI,5,0),1,0)*Table_NFI[[#This Row],[Shelter Tool kit]],Table_NFI[Shelter Tool kit])</f>
        <v>0</v>
      </c>
      <c r="AP838" s="331">
        <f>IF(NFI_Expiration=1,IF($A838&lt;VLOOKUP(V$5,NFI,5,0),1,0)*Table_NFI[[#This Row],[Tent]],Table_NFI[Tent])</f>
        <v>0</v>
      </c>
      <c r="AQ838" s="473" t="str">
        <f>IFERROR(VLOOKUP(Table_NFI[[#This Row],[Camp Name]],CL,2,0),"")</f>
        <v>MMR001CMP175</v>
      </c>
      <c r="AR838" s="468">
        <f ca="1">IF(Table_NFI[[#This Row],[Pcode]]="","",IF(OFFSET(CampList[Opening Date],MATCH(Table_NFI[[#This Row],[Pcode]],CampList[CP_Pcode],0)-1,0,1,1)&gt;=NFI_Monitor_Date,1,0))</f>
        <v>0</v>
      </c>
      <c r="AS838" s="473" t="str">
        <f>IFERROR(VLOOKUP(Table_NFI[[#This Row],[Camp Name]],CL,3,0),"")</f>
        <v>Closed</v>
      </c>
      <c r="AT838" s="294" t="str">
        <f ca="1">IF(Table_NFI[[#This Row],[Pcode]]="","",OFFSET(CampList[Priority],MATCH(Table_NFI[[#This Row],[Pcode]],CampList[CP_Pcode],0)-1,0,1,1))</f>
        <v/>
      </c>
      <c r="AU838" s="293" t="str">
        <f>IFERROR(Table_NFI[[#This Row],[Kitchen Set]]/VLOOKUP(Table_NFI[[#This Row],[Camp Name]],CL,4,0),"")</f>
        <v/>
      </c>
      <c r="AV838" s="466" t="s">
        <v>1092</v>
      </c>
      <c r="AW838" s="469"/>
    </row>
    <row r="839" spans="1:49" ht="14.45" customHeight="1" x14ac:dyDescent="0.25">
      <c r="A839" s="297">
        <f t="shared" si="13"/>
        <v>46.7</v>
      </c>
      <c r="B839" s="465">
        <v>41274</v>
      </c>
      <c r="C839" s="466" t="s">
        <v>453</v>
      </c>
      <c r="D839" s="466" t="s">
        <v>453</v>
      </c>
      <c r="E839" s="466" t="s">
        <v>380</v>
      </c>
      <c r="F839" s="466" t="s">
        <v>237</v>
      </c>
      <c r="G839" s="290" t="s">
        <v>283</v>
      </c>
      <c r="H839" s="291">
        <v>24</v>
      </c>
      <c r="I839" s="291"/>
      <c r="J839" s="291"/>
      <c r="K839" s="291"/>
      <c r="L839" s="292"/>
      <c r="M839" s="292"/>
      <c r="N839" s="292"/>
      <c r="O839" s="292"/>
      <c r="P839" s="294">
        <v>0</v>
      </c>
      <c r="Q839" s="294">
        <v>0</v>
      </c>
      <c r="R839" s="294"/>
      <c r="S839" s="294"/>
      <c r="T839" s="294"/>
      <c r="U839" s="294"/>
      <c r="V839" s="431"/>
      <c r="W839" s="294"/>
      <c r="X839" s="294"/>
      <c r="Y839" s="294">
        <f>IF(NFI_Expiration=1,IF($A839&lt;VLOOKUP(H$5,NFI,5,0),1,0)*Table_NFI[[#This Row],[Hygiene Kit]],Table_NFI[Hygiene Kit])</f>
        <v>0</v>
      </c>
      <c r="Z839" s="294">
        <f>IF(NFI_Expiration=1,IF($A839&lt;VLOOKUP(I$5,NFI,5,0),1,0)*Table_NFI[[#This Row],[NFI Core Kit]],Table_NFI[NFI Core Kit])</f>
        <v>0</v>
      </c>
      <c r="AA839" s="294">
        <f>IF(NFI_Expiration=1,IF($A839&lt;VLOOKUP(J$5,NFI,5,0),1,0)*Table_NFI[[#This Row],[Sanitary Kit]],Table_NFI[Sanitary Kit])</f>
        <v>0</v>
      </c>
      <c r="AB839" s="294">
        <f>IF(NFI_Expiration=1,IF($A839&lt;VLOOKUP(K$5,NFI,5,0),1,0)*Table_NFI[[#This Row],[Mosquito net]],Table_NFI[Mosquito net])</f>
        <v>0</v>
      </c>
      <c r="AC839" s="294">
        <f>IF(NFI_Expiration=1,IF($A839&lt;VLOOKUP(L$5,NFI,5,0),1,0)*Table_NFI[[#This Row],[Tarpaulin]],Table_NFI[[#This Row],[Tarpaulin]])</f>
        <v>0</v>
      </c>
      <c r="AD839" s="294">
        <f>IF(NFI_Expiration=1,IF($A839&lt;VLOOKUP(M$5,NFI,5,0),1,0)*Table_NFI[[#This Row],[Blanket]],Table_NFI[[#This Row],[Blanket]])</f>
        <v>0</v>
      </c>
      <c r="AE839" s="294">
        <f>IF(NFI_Expiration=1,IF($A839&lt;VLOOKUP(N$5,NFI,5,0),1,0)*Table_NFI[[#This Row],[Kitchen Set]],Table_NFI[Kitchen Set])</f>
        <v>0</v>
      </c>
      <c r="AF839" s="294">
        <f>IF(NFI_Expiration=1,IF($A839&lt;VLOOKUP(O$5,NFI,5,0),1,0)*Table_NFI[[#This Row],[Clothes Kit]],Table_NFI[Clothes Kit])</f>
        <v>0</v>
      </c>
      <c r="AG839" s="294">
        <f>IF(NFI_Expiration=1,IF($A839&lt;VLOOKUP(P$5,NFI,5,0),1,0)*Table_NFI[[#This Row],[Plastic Bucket]],Table_NFI[Plastic Bucket])</f>
        <v>0</v>
      </c>
      <c r="AH839" s="294">
        <f>IF(NFI_Expiration=1,IF($A839&lt;VLOOKUP(Q$5,NFI,5,0),1,0)*Table_NFI[[#This Row],[Plastic Mat]],Table_NFI[Plastic Mat])*IF(Table_NFI[[#This Row],[Distribution Date]]&gt;"2014-04-01",1,2.5)</f>
        <v>0</v>
      </c>
      <c r="AI839" s="294">
        <f>IF(NFI_Expiration=1,IF($A839&lt;VLOOKUP(R$5,NFI,5,0),1,0)*Table_NFI[[#This Row],[Winter Clothes Adult]],Table_NFI[Winter Clothes Adult])</f>
        <v>0</v>
      </c>
      <c r="AJ839" s="294">
        <f>IF(NFI_Expiration=1,IF($A839&lt;VLOOKUP(S$5,NFI,5,0),1,0)*Table_NFI[[#This Row],[Winter Clothes Children]],Table_NFI[Winter Clothes Children])</f>
        <v>0</v>
      </c>
      <c r="AK839" s="294">
        <f>IF(NFI_Expiration=1,IF($A839&lt;VLOOKUP(T$5,NFI,5,0),1,0)*Table_NFI[[#This Row],[Winter Items Other]],Table_NFI[Winter Items Other])</f>
        <v>0</v>
      </c>
      <c r="AL839" s="294">
        <f>IF(NFI_Expiration=1,IF($A839&lt;VLOOKUP(M$5,NFI,5,0),1,0)*Table_NFI[[#This Row],[Winter Blanket]],Table_NFI[[#This Row],[Winter Blanket]])</f>
        <v>0</v>
      </c>
      <c r="AM839" s="294">
        <f>IF(Table_NFI[[#This Row],[Winter Clothes Adult]]+Table_NFI[[#This Row],[Winter Clothes Children]]+Table_NFI[[#This Row],[Winter Items Other]]+Table_NFI[[#This Row],[Winter Blanket]]&gt;0,1,0)</f>
        <v>0</v>
      </c>
      <c r="AN839" s="331">
        <f>IF(NFI_Expiration=1,IF($A839&lt;VLOOKUP(V$5,NFI,5,0),1,0)*Table_NFI[[#This Row],[Jerry Can]],Table_NFI[Jerry Can])</f>
        <v>0</v>
      </c>
      <c r="AO839" s="331">
        <f>IF(NFI_Expiration=1,IF($A839&lt;VLOOKUP(V$5,NFI,5,0),1,0)*Table_NFI[[#This Row],[Shelter Tool kit]],Table_NFI[Shelter Tool kit])</f>
        <v>0</v>
      </c>
      <c r="AP839" s="331">
        <f>IF(NFI_Expiration=1,IF($A839&lt;VLOOKUP(V$5,NFI,5,0),1,0)*Table_NFI[[#This Row],[Tent]],Table_NFI[Tent])</f>
        <v>0</v>
      </c>
      <c r="AQ839" s="473" t="str">
        <f>IFERROR(VLOOKUP(Table_NFI[[#This Row],[Camp Name]],CL,2,0),"")</f>
        <v>MMR001CMP022</v>
      </c>
      <c r="AR839" s="468">
        <f ca="1">IF(Table_NFI[[#This Row],[Pcode]]="","",IF(OFFSET(CampList[Opening Date],MATCH(Table_NFI[[#This Row],[Pcode]],CampList[CP_Pcode],0)-1,0,1,1)&gt;=NFI_Monitor_Date,1,0))</f>
        <v>0</v>
      </c>
      <c r="AS839" s="473" t="str">
        <f>IFERROR(VLOOKUP(Table_NFI[[#This Row],[Camp Name]],CL,3,0),"")</f>
        <v>Open</v>
      </c>
      <c r="AT839" s="294" t="str">
        <f ca="1">IF(Table_NFI[[#This Row],[Pcode]]="","",OFFSET(CampList[Priority],MATCH(Table_NFI[[#This Row],[Pcode]],CampList[CP_Pcode],0)-1,0,1,1))</f>
        <v>P4</v>
      </c>
      <c r="AU839" s="293">
        <f>IFERROR(Table_NFI[[#This Row],[Kitchen Set]]/VLOOKUP(Table_NFI[[#This Row],[Camp Name]],CL,4,0),"")</f>
        <v>0</v>
      </c>
      <c r="AV839" s="466" t="s">
        <v>1092</v>
      </c>
      <c r="AW839" s="469"/>
    </row>
    <row r="840" spans="1:49" ht="14.45" customHeight="1" x14ac:dyDescent="0.25">
      <c r="A840" s="297">
        <f t="shared" si="13"/>
        <v>46.7</v>
      </c>
      <c r="B840" s="465">
        <v>41274</v>
      </c>
      <c r="C840" s="466" t="s">
        <v>453</v>
      </c>
      <c r="D840" s="467" t="s">
        <v>453</v>
      </c>
      <c r="E840" s="466" t="s">
        <v>380</v>
      </c>
      <c r="F840" s="290" t="s">
        <v>527</v>
      </c>
      <c r="G840" s="290" t="s">
        <v>140</v>
      </c>
      <c r="H840" s="291">
        <v>42</v>
      </c>
      <c r="I840" s="296"/>
      <c r="J840" s="289"/>
      <c r="K840" s="289"/>
      <c r="L840" s="289"/>
      <c r="M840" s="289"/>
      <c r="N840" s="289"/>
      <c r="O840" s="289"/>
      <c r="P840" s="294">
        <v>0</v>
      </c>
      <c r="Q840" s="294">
        <v>0</v>
      </c>
      <c r="R840" s="294"/>
      <c r="S840" s="294"/>
      <c r="T840" s="294"/>
      <c r="U840" s="294"/>
      <c r="V840" s="431"/>
      <c r="W840" s="294"/>
      <c r="X840" s="294"/>
      <c r="Y840" s="294">
        <f>IF(NFI_Expiration=1,IF($A840&lt;VLOOKUP(H$5,NFI,5,0),1,0)*Table_NFI[[#This Row],[Hygiene Kit]],Table_NFI[Hygiene Kit])</f>
        <v>0</v>
      </c>
      <c r="Z840" s="294">
        <f>IF(NFI_Expiration=1,IF($A840&lt;VLOOKUP(I$5,NFI,5,0),1,0)*Table_NFI[[#This Row],[NFI Core Kit]],Table_NFI[NFI Core Kit])</f>
        <v>0</v>
      </c>
      <c r="AA840" s="294">
        <f>IF(NFI_Expiration=1,IF($A840&lt;VLOOKUP(J$5,NFI,5,0),1,0)*Table_NFI[[#This Row],[Sanitary Kit]],Table_NFI[Sanitary Kit])</f>
        <v>0</v>
      </c>
      <c r="AB840" s="294">
        <f>IF(NFI_Expiration=1,IF($A840&lt;VLOOKUP(K$5,NFI,5,0),1,0)*Table_NFI[[#This Row],[Mosquito net]],Table_NFI[Mosquito net])</f>
        <v>0</v>
      </c>
      <c r="AC840" s="294">
        <f>IF(NFI_Expiration=1,IF($A840&lt;VLOOKUP(L$5,NFI,5,0),1,0)*Table_NFI[[#This Row],[Tarpaulin]],Table_NFI[[#This Row],[Tarpaulin]])</f>
        <v>0</v>
      </c>
      <c r="AD840" s="294">
        <f>IF(NFI_Expiration=1,IF($A840&lt;VLOOKUP(M$5,NFI,5,0),1,0)*Table_NFI[[#This Row],[Blanket]],Table_NFI[[#This Row],[Blanket]])</f>
        <v>0</v>
      </c>
      <c r="AE840" s="294">
        <f>IF(NFI_Expiration=1,IF($A840&lt;VLOOKUP(N$5,NFI,5,0),1,0)*Table_NFI[[#This Row],[Kitchen Set]],Table_NFI[Kitchen Set])</f>
        <v>0</v>
      </c>
      <c r="AF840" s="294">
        <f>IF(NFI_Expiration=1,IF($A840&lt;VLOOKUP(O$5,NFI,5,0),1,0)*Table_NFI[[#This Row],[Clothes Kit]],Table_NFI[Clothes Kit])</f>
        <v>0</v>
      </c>
      <c r="AG840" s="294">
        <f>IF(NFI_Expiration=1,IF($A840&lt;VLOOKUP(P$5,NFI,5,0),1,0)*Table_NFI[[#This Row],[Plastic Bucket]],Table_NFI[Plastic Bucket])</f>
        <v>0</v>
      </c>
      <c r="AH840" s="294">
        <f>IF(NFI_Expiration=1,IF($A840&lt;VLOOKUP(Q$5,NFI,5,0),1,0)*Table_NFI[[#This Row],[Plastic Mat]],Table_NFI[Plastic Mat])*IF(Table_NFI[[#This Row],[Distribution Date]]&gt;"2014-04-01",1,2.5)</f>
        <v>0</v>
      </c>
      <c r="AI840" s="294">
        <f>IF(NFI_Expiration=1,IF($A840&lt;VLOOKUP(R$5,NFI,5,0),1,0)*Table_NFI[[#This Row],[Winter Clothes Adult]],Table_NFI[Winter Clothes Adult])</f>
        <v>0</v>
      </c>
      <c r="AJ840" s="294">
        <f>IF(NFI_Expiration=1,IF($A840&lt;VLOOKUP(S$5,NFI,5,0),1,0)*Table_NFI[[#This Row],[Winter Clothes Children]],Table_NFI[Winter Clothes Children])</f>
        <v>0</v>
      </c>
      <c r="AK840" s="294">
        <f>IF(NFI_Expiration=1,IF($A840&lt;VLOOKUP(T$5,NFI,5,0),1,0)*Table_NFI[[#This Row],[Winter Items Other]],Table_NFI[Winter Items Other])</f>
        <v>0</v>
      </c>
      <c r="AL840" s="294">
        <f>IF(NFI_Expiration=1,IF($A840&lt;VLOOKUP(M$5,NFI,5,0),1,0)*Table_NFI[[#This Row],[Winter Blanket]],Table_NFI[[#This Row],[Winter Blanket]])</f>
        <v>0</v>
      </c>
      <c r="AM840" s="294">
        <f>IF(Table_NFI[[#This Row],[Winter Clothes Adult]]+Table_NFI[[#This Row],[Winter Clothes Children]]+Table_NFI[[#This Row],[Winter Items Other]]+Table_NFI[[#This Row],[Winter Blanket]]&gt;0,1,0)</f>
        <v>0</v>
      </c>
      <c r="AN840" s="331">
        <f>IF(NFI_Expiration=1,IF($A840&lt;VLOOKUP(V$5,NFI,5,0),1,0)*Table_NFI[[#This Row],[Jerry Can]],Table_NFI[Jerry Can])</f>
        <v>0</v>
      </c>
      <c r="AO840" s="331">
        <f>IF(NFI_Expiration=1,IF($A840&lt;VLOOKUP(V$5,NFI,5,0),1,0)*Table_NFI[[#This Row],[Shelter Tool kit]],Table_NFI[Shelter Tool kit])</f>
        <v>0</v>
      </c>
      <c r="AP840" s="331">
        <f>IF(NFI_Expiration=1,IF($A840&lt;VLOOKUP(V$5,NFI,5,0),1,0)*Table_NFI[[#This Row],[Tent]],Table_NFI[Tent])</f>
        <v>0</v>
      </c>
      <c r="AQ840" s="473" t="str">
        <f>IFERROR(VLOOKUP(Table_NFI[[#This Row],[Camp Name]],CL,2,0),"")</f>
        <v>MMR001CMP105</v>
      </c>
      <c r="AR840" s="468">
        <f ca="1">IF(Table_NFI[[#This Row],[Pcode]]="","",IF(OFFSET(CampList[Opening Date],MATCH(Table_NFI[[#This Row],[Pcode]],CampList[CP_Pcode],0)-1,0,1,1)&gt;=NFI_Monitor_Date,1,0))</f>
        <v>0</v>
      </c>
      <c r="AS840" s="473" t="str">
        <f>IFERROR(VLOOKUP(Table_NFI[[#This Row],[Camp Name]],CL,3,0),"")</f>
        <v>Open</v>
      </c>
      <c r="AT840" s="294" t="str">
        <f ca="1">IF(Table_NFI[[#This Row],[Pcode]]="","",OFFSET(CampList[Priority],MATCH(Table_NFI[[#This Row],[Pcode]],CampList[CP_Pcode],0)-1,0,1,1))</f>
        <v>P4</v>
      </c>
      <c r="AU840" s="293">
        <f>IFERROR(Table_NFI[[#This Row],[Kitchen Set]]/VLOOKUP(Table_NFI[[#This Row],[Camp Name]],CL,4,0),"")</f>
        <v>0</v>
      </c>
      <c r="AV840" s="466" t="s">
        <v>1092</v>
      </c>
      <c r="AW840" s="469"/>
    </row>
    <row r="841" spans="1:49" ht="14.45" customHeight="1" x14ac:dyDescent="0.25">
      <c r="A841" s="297">
        <f t="shared" si="13"/>
        <v>47.033333333333331</v>
      </c>
      <c r="B841" s="465">
        <v>41264</v>
      </c>
      <c r="C841" s="466" t="s">
        <v>452</v>
      </c>
      <c r="D841" s="466" t="s">
        <v>452</v>
      </c>
      <c r="E841" s="466" t="s">
        <v>380</v>
      </c>
      <c r="F841" s="466" t="s">
        <v>5</v>
      </c>
      <c r="G841" s="290" t="s">
        <v>18</v>
      </c>
      <c r="H841" s="291"/>
      <c r="I841" s="291"/>
      <c r="J841" s="291"/>
      <c r="K841" s="291">
        <v>0</v>
      </c>
      <c r="L841" s="292">
        <v>12</v>
      </c>
      <c r="M841" s="292">
        <v>0</v>
      </c>
      <c r="N841" s="292">
        <v>12</v>
      </c>
      <c r="O841" s="292">
        <v>12</v>
      </c>
      <c r="P841" s="294">
        <v>12</v>
      </c>
      <c r="Q841" s="294">
        <v>12</v>
      </c>
      <c r="R841" s="294"/>
      <c r="S841" s="294"/>
      <c r="T841" s="294"/>
      <c r="U841" s="294"/>
      <c r="V841" s="431"/>
      <c r="W841" s="294"/>
      <c r="X841" s="294"/>
      <c r="Y841" s="294">
        <f>IF(NFI_Expiration=1,IF($A841&lt;VLOOKUP(H$5,NFI,5,0),1,0)*Table_NFI[[#This Row],[Hygiene Kit]],Table_NFI[Hygiene Kit])</f>
        <v>0</v>
      </c>
      <c r="Z841" s="294">
        <f>IF(NFI_Expiration=1,IF($A841&lt;VLOOKUP(I$5,NFI,5,0),1,0)*Table_NFI[[#This Row],[NFI Core Kit]],Table_NFI[NFI Core Kit])</f>
        <v>0</v>
      </c>
      <c r="AA841" s="294">
        <f>IF(NFI_Expiration=1,IF($A841&lt;VLOOKUP(J$5,NFI,5,0),1,0)*Table_NFI[[#This Row],[Sanitary Kit]],Table_NFI[Sanitary Kit])</f>
        <v>0</v>
      </c>
      <c r="AB841" s="294">
        <f>IF(NFI_Expiration=1,IF($A841&lt;VLOOKUP(K$5,NFI,5,0),1,0)*Table_NFI[[#This Row],[Mosquito net]],Table_NFI[Mosquito net])</f>
        <v>0</v>
      </c>
      <c r="AC841" s="294">
        <f>IF(NFI_Expiration=1,IF($A841&lt;VLOOKUP(L$5,NFI,5,0),1,0)*Table_NFI[[#This Row],[Tarpaulin]],Table_NFI[[#This Row],[Tarpaulin]])</f>
        <v>0</v>
      </c>
      <c r="AD841" s="294">
        <f>IF(NFI_Expiration=1,IF($A841&lt;VLOOKUP(M$5,NFI,5,0),1,0)*Table_NFI[[#This Row],[Blanket]],Table_NFI[[#This Row],[Blanket]])</f>
        <v>0</v>
      </c>
      <c r="AE841" s="294">
        <f>IF(NFI_Expiration=1,IF($A841&lt;VLOOKUP(N$5,NFI,5,0),1,0)*Table_NFI[[#This Row],[Kitchen Set]],Table_NFI[Kitchen Set])</f>
        <v>0</v>
      </c>
      <c r="AF841" s="294">
        <f>IF(NFI_Expiration=1,IF($A841&lt;VLOOKUP(O$5,NFI,5,0),1,0)*Table_NFI[[#This Row],[Clothes Kit]],Table_NFI[Clothes Kit])</f>
        <v>0</v>
      </c>
      <c r="AG841" s="294">
        <f>IF(NFI_Expiration=1,IF($A841&lt;VLOOKUP(P$5,NFI,5,0),1,0)*Table_NFI[[#This Row],[Plastic Bucket]],Table_NFI[Plastic Bucket])</f>
        <v>0</v>
      </c>
      <c r="AH841" s="294">
        <f>IF(NFI_Expiration=1,IF($A841&lt;VLOOKUP(Q$5,NFI,5,0),1,0)*Table_NFI[[#This Row],[Plastic Mat]],Table_NFI[Plastic Mat])*IF(Table_NFI[[#This Row],[Distribution Date]]&gt;"2014-04-01",1,2.5)</f>
        <v>0</v>
      </c>
      <c r="AI841" s="294">
        <f>IF(NFI_Expiration=1,IF($A841&lt;VLOOKUP(R$5,NFI,5,0),1,0)*Table_NFI[[#This Row],[Winter Clothes Adult]],Table_NFI[Winter Clothes Adult])</f>
        <v>0</v>
      </c>
      <c r="AJ841" s="294">
        <f>IF(NFI_Expiration=1,IF($A841&lt;VLOOKUP(S$5,NFI,5,0),1,0)*Table_NFI[[#This Row],[Winter Clothes Children]],Table_NFI[Winter Clothes Children])</f>
        <v>0</v>
      </c>
      <c r="AK841" s="294">
        <f>IF(NFI_Expiration=1,IF($A841&lt;VLOOKUP(T$5,NFI,5,0),1,0)*Table_NFI[[#This Row],[Winter Items Other]],Table_NFI[Winter Items Other])</f>
        <v>0</v>
      </c>
      <c r="AL841" s="294">
        <f>IF(NFI_Expiration=1,IF($A841&lt;VLOOKUP(M$5,NFI,5,0),1,0)*Table_NFI[[#This Row],[Winter Blanket]],Table_NFI[[#This Row],[Winter Blanket]])</f>
        <v>0</v>
      </c>
      <c r="AM841" s="294">
        <f>IF(Table_NFI[[#This Row],[Winter Clothes Adult]]+Table_NFI[[#This Row],[Winter Clothes Children]]+Table_NFI[[#This Row],[Winter Items Other]]+Table_NFI[[#This Row],[Winter Blanket]]&gt;0,1,0)</f>
        <v>0</v>
      </c>
      <c r="AN841" s="331">
        <f>IF(NFI_Expiration=1,IF($A841&lt;VLOOKUP(V$5,NFI,5,0),1,0)*Table_NFI[[#This Row],[Jerry Can]],Table_NFI[Jerry Can])</f>
        <v>0</v>
      </c>
      <c r="AO841" s="331">
        <f>IF(NFI_Expiration=1,IF($A841&lt;VLOOKUP(V$5,NFI,5,0),1,0)*Table_NFI[[#This Row],[Shelter Tool kit]],Table_NFI[Shelter Tool kit])</f>
        <v>0</v>
      </c>
      <c r="AP841" s="331">
        <f>IF(NFI_Expiration=1,IF($A841&lt;VLOOKUP(V$5,NFI,5,0),1,0)*Table_NFI[[#This Row],[Tent]],Table_NFI[Tent])</f>
        <v>0</v>
      </c>
      <c r="AQ841" s="473" t="str">
        <f>IFERROR(VLOOKUP(Table_NFI[[#This Row],[Camp Name]],CL,2,0),"")</f>
        <v>MMR001CMP049</v>
      </c>
      <c r="AR841" s="468">
        <f ca="1">IF(Table_NFI[[#This Row],[Pcode]]="","",IF(OFFSET(CampList[Opening Date],MATCH(Table_NFI[[#This Row],[Pcode]],CampList[CP_Pcode],0)-1,0,1,1)&gt;=NFI_Monitor_Date,1,0))</f>
        <v>0</v>
      </c>
      <c r="AS841" s="473" t="str">
        <f>IFERROR(VLOOKUP(Table_NFI[[#This Row],[Camp Name]],CL,3,0),"")</f>
        <v>Open</v>
      </c>
      <c r="AT841" s="294" t="str">
        <f ca="1">IF(Table_NFI[[#This Row],[Pcode]]="","",OFFSET(CampList[Priority],MATCH(Table_NFI[[#This Row],[Pcode]],CampList[CP_Pcode],0)-1,0,1,1))</f>
        <v>P4</v>
      </c>
      <c r="AU841" s="293">
        <f>IFERROR(Table_NFI[[#This Row],[Kitchen Set]]/VLOOKUP(Table_NFI[[#This Row],[Camp Name]],CL,4,0),"")</f>
        <v>0.10344827586206896</v>
      </c>
      <c r="AV841" s="466" t="s">
        <v>1092</v>
      </c>
      <c r="AW841" s="469"/>
    </row>
    <row r="842" spans="1:49" ht="14.45" customHeight="1" x14ac:dyDescent="0.25">
      <c r="A842" s="297">
        <f t="shared" si="13"/>
        <v>47.033333333333331</v>
      </c>
      <c r="B842" s="465">
        <v>41264</v>
      </c>
      <c r="C842" s="466" t="s">
        <v>452</v>
      </c>
      <c r="D842" s="467" t="s">
        <v>452</v>
      </c>
      <c r="E842" s="466" t="s">
        <v>380</v>
      </c>
      <c r="F842" s="290" t="s">
        <v>5</v>
      </c>
      <c r="G842" s="290" t="s">
        <v>22</v>
      </c>
      <c r="H842" s="291"/>
      <c r="I842" s="291"/>
      <c r="J842" s="291"/>
      <c r="K842" s="291">
        <v>0</v>
      </c>
      <c r="L842" s="292">
        <v>0</v>
      </c>
      <c r="M842" s="292">
        <v>73</v>
      </c>
      <c r="N842" s="292">
        <v>0</v>
      </c>
      <c r="O842" s="292">
        <v>0</v>
      </c>
      <c r="P842" s="294"/>
      <c r="Q842" s="294"/>
      <c r="R842" s="294"/>
      <c r="S842" s="294"/>
      <c r="T842" s="294"/>
      <c r="U842" s="294"/>
      <c r="V842" s="431"/>
      <c r="W842" s="294"/>
      <c r="X842" s="294"/>
      <c r="Y842" s="294">
        <f>IF(NFI_Expiration=1,IF($A842&lt;VLOOKUP(H$5,NFI,5,0),1,0)*Table_NFI[[#This Row],[Hygiene Kit]],Table_NFI[Hygiene Kit])</f>
        <v>0</v>
      </c>
      <c r="Z842" s="294">
        <f>IF(NFI_Expiration=1,IF($A842&lt;VLOOKUP(I$5,NFI,5,0),1,0)*Table_NFI[[#This Row],[NFI Core Kit]],Table_NFI[NFI Core Kit])</f>
        <v>0</v>
      </c>
      <c r="AA842" s="294">
        <f>IF(NFI_Expiration=1,IF($A842&lt;VLOOKUP(J$5,NFI,5,0),1,0)*Table_NFI[[#This Row],[Sanitary Kit]],Table_NFI[Sanitary Kit])</f>
        <v>0</v>
      </c>
      <c r="AB842" s="294">
        <f>IF(NFI_Expiration=1,IF($A842&lt;VLOOKUP(K$5,NFI,5,0),1,0)*Table_NFI[[#This Row],[Mosquito net]],Table_NFI[Mosquito net])</f>
        <v>0</v>
      </c>
      <c r="AC842" s="294">
        <f>IF(NFI_Expiration=1,IF($A842&lt;VLOOKUP(L$5,NFI,5,0),1,0)*Table_NFI[[#This Row],[Tarpaulin]],Table_NFI[[#This Row],[Tarpaulin]])</f>
        <v>0</v>
      </c>
      <c r="AD842" s="294">
        <f>IF(NFI_Expiration=1,IF($A842&lt;VLOOKUP(M$5,NFI,5,0),1,0)*Table_NFI[[#This Row],[Blanket]],Table_NFI[[#This Row],[Blanket]])</f>
        <v>0</v>
      </c>
      <c r="AE842" s="294">
        <f>IF(NFI_Expiration=1,IF($A842&lt;VLOOKUP(N$5,NFI,5,0),1,0)*Table_NFI[[#This Row],[Kitchen Set]],Table_NFI[Kitchen Set])</f>
        <v>0</v>
      </c>
      <c r="AF842" s="294">
        <f>IF(NFI_Expiration=1,IF($A842&lt;VLOOKUP(O$5,NFI,5,0),1,0)*Table_NFI[[#This Row],[Clothes Kit]],Table_NFI[Clothes Kit])</f>
        <v>0</v>
      </c>
      <c r="AG842" s="294">
        <f>IF(NFI_Expiration=1,IF($A842&lt;VLOOKUP(P$5,NFI,5,0),1,0)*Table_NFI[[#This Row],[Plastic Bucket]],Table_NFI[Plastic Bucket])</f>
        <v>0</v>
      </c>
      <c r="AH842" s="294">
        <f>IF(NFI_Expiration=1,IF($A842&lt;VLOOKUP(Q$5,NFI,5,0),1,0)*Table_NFI[[#This Row],[Plastic Mat]],Table_NFI[Plastic Mat])*IF(Table_NFI[[#This Row],[Distribution Date]]&gt;"2014-04-01",1,2.5)</f>
        <v>0</v>
      </c>
      <c r="AI842" s="294">
        <f>IF(NFI_Expiration=1,IF($A842&lt;VLOOKUP(R$5,NFI,5,0),1,0)*Table_NFI[[#This Row],[Winter Clothes Adult]],Table_NFI[Winter Clothes Adult])</f>
        <v>0</v>
      </c>
      <c r="AJ842" s="294">
        <f>IF(NFI_Expiration=1,IF($A842&lt;VLOOKUP(S$5,NFI,5,0),1,0)*Table_NFI[[#This Row],[Winter Clothes Children]],Table_NFI[Winter Clothes Children])</f>
        <v>0</v>
      </c>
      <c r="AK842" s="294">
        <f>IF(NFI_Expiration=1,IF($A842&lt;VLOOKUP(T$5,NFI,5,0),1,0)*Table_NFI[[#This Row],[Winter Items Other]],Table_NFI[Winter Items Other])</f>
        <v>0</v>
      </c>
      <c r="AL842" s="294">
        <f>IF(NFI_Expiration=1,IF($A842&lt;VLOOKUP(M$5,NFI,5,0),1,0)*Table_NFI[[#This Row],[Winter Blanket]],Table_NFI[[#This Row],[Winter Blanket]])</f>
        <v>0</v>
      </c>
      <c r="AM842" s="294">
        <f>IF(Table_NFI[[#This Row],[Winter Clothes Adult]]+Table_NFI[[#This Row],[Winter Clothes Children]]+Table_NFI[[#This Row],[Winter Items Other]]+Table_NFI[[#This Row],[Winter Blanket]]&gt;0,1,0)</f>
        <v>0</v>
      </c>
      <c r="AN842" s="331">
        <f>IF(NFI_Expiration=1,IF($A842&lt;VLOOKUP(V$5,NFI,5,0),1,0)*Table_NFI[[#This Row],[Jerry Can]],Table_NFI[Jerry Can])</f>
        <v>0</v>
      </c>
      <c r="AO842" s="331">
        <f>IF(NFI_Expiration=1,IF($A842&lt;VLOOKUP(V$5,NFI,5,0),1,0)*Table_NFI[[#This Row],[Shelter Tool kit]],Table_NFI[Shelter Tool kit])</f>
        <v>0</v>
      </c>
      <c r="AP842" s="331">
        <f>IF(NFI_Expiration=1,IF($A842&lt;VLOOKUP(V$5,NFI,5,0),1,0)*Table_NFI[[#This Row],[Tent]],Table_NFI[Tent])</f>
        <v>0</v>
      </c>
      <c r="AQ842" s="473" t="str">
        <f>IFERROR(VLOOKUP(Table_NFI[[#This Row],[Camp Name]],CL,2,0),"")</f>
        <v>MMR001CMP047</v>
      </c>
      <c r="AR842" s="468">
        <f ca="1">IF(Table_NFI[[#This Row],[Pcode]]="","",IF(OFFSET(CampList[Opening Date],MATCH(Table_NFI[[#This Row],[Pcode]],CampList[CP_Pcode],0)-1,0,1,1)&gt;=NFI_Monitor_Date,1,0))</f>
        <v>0</v>
      </c>
      <c r="AS842" s="473" t="str">
        <f>IFERROR(VLOOKUP(Table_NFI[[#This Row],[Camp Name]],CL,3,0),"")</f>
        <v>Open</v>
      </c>
      <c r="AT842" s="294" t="str">
        <f ca="1">IF(Table_NFI[[#This Row],[Pcode]]="","",OFFSET(CampList[Priority],MATCH(Table_NFI[[#This Row],[Pcode]],CampList[CP_Pcode],0)-1,0,1,1))</f>
        <v>P4</v>
      </c>
      <c r="AU842" s="293">
        <f>IFERROR(Table_NFI[[#This Row],[Kitchen Set]]/VLOOKUP(Table_NFI[[#This Row],[Camp Name]],CL,4,0),"")</f>
        <v>0</v>
      </c>
      <c r="AV842" s="466" t="s">
        <v>1092</v>
      </c>
      <c r="AW842" s="469"/>
    </row>
    <row r="843" spans="1:49" x14ac:dyDescent="0.25">
      <c r="A843" s="297">
        <f t="shared" si="13"/>
        <v>47.033333333333331</v>
      </c>
      <c r="B843" s="465">
        <v>41264</v>
      </c>
      <c r="C843" s="466" t="s">
        <v>452</v>
      </c>
      <c r="D843" s="467" t="s">
        <v>452</v>
      </c>
      <c r="E843" s="466" t="s">
        <v>380</v>
      </c>
      <c r="F843" s="290" t="s">
        <v>5</v>
      </c>
      <c r="G843" s="290" t="s">
        <v>22</v>
      </c>
      <c r="H843" s="291"/>
      <c r="I843" s="291"/>
      <c r="J843" s="291"/>
      <c r="K843" s="291">
        <v>24</v>
      </c>
      <c r="L843" s="292">
        <v>12</v>
      </c>
      <c r="M843" s="292">
        <v>24</v>
      </c>
      <c r="N843" s="292">
        <v>12</v>
      </c>
      <c r="O843" s="292">
        <v>12</v>
      </c>
      <c r="P843" s="294">
        <v>12</v>
      </c>
      <c r="Q843" s="294">
        <v>12</v>
      </c>
      <c r="R843" s="294"/>
      <c r="S843" s="294"/>
      <c r="T843" s="294"/>
      <c r="U843" s="294"/>
      <c r="V843" s="431"/>
      <c r="W843" s="294"/>
      <c r="X843" s="294"/>
      <c r="Y843" s="294">
        <f>IF(NFI_Expiration=1,IF($A843&lt;VLOOKUP(H$5,NFI,5,0),1,0)*Table_NFI[[#This Row],[Hygiene Kit]],Table_NFI[Hygiene Kit])</f>
        <v>0</v>
      </c>
      <c r="Z843" s="294">
        <f>IF(NFI_Expiration=1,IF($A843&lt;VLOOKUP(I$5,NFI,5,0),1,0)*Table_NFI[[#This Row],[NFI Core Kit]],Table_NFI[NFI Core Kit])</f>
        <v>0</v>
      </c>
      <c r="AA843" s="294">
        <f>IF(NFI_Expiration=1,IF($A843&lt;VLOOKUP(J$5,NFI,5,0),1,0)*Table_NFI[[#This Row],[Sanitary Kit]],Table_NFI[Sanitary Kit])</f>
        <v>0</v>
      </c>
      <c r="AB843" s="294">
        <f>IF(NFI_Expiration=1,IF($A843&lt;VLOOKUP(K$5,NFI,5,0),1,0)*Table_NFI[[#This Row],[Mosquito net]],Table_NFI[Mosquito net])</f>
        <v>0</v>
      </c>
      <c r="AC843" s="294">
        <f>IF(NFI_Expiration=1,IF($A843&lt;VLOOKUP(L$5,NFI,5,0),1,0)*Table_NFI[[#This Row],[Tarpaulin]],Table_NFI[[#This Row],[Tarpaulin]])</f>
        <v>0</v>
      </c>
      <c r="AD843" s="294">
        <f>IF(NFI_Expiration=1,IF($A843&lt;VLOOKUP(M$5,NFI,5,0),1,0)*Table_NFI[[#This Row],[Blanket]],Table_NFI[[#This Row],[Blanket]])</f>
        <v>0</v>
      </c>
      <c r="AE843" s="294">
        <f>IF(NFI_Expiration=1,IF($A843&lt;VLOOKUP(N$5,NFI,5,0),1,0)*Table_NFI[[#This Row],[Kitchen Set]],Table_NFI[Kitchen Set])</f>
        <v>0</v>
      </c>
      <c r="AF843" s="294">
        <f>IF(NFI_Expiration=1,IF($A843&lt;VLOOKUP(O$5,NFI,5,0),1,0)*Table_NFI[[#This Row],[Clothes Kit]],Table_NFI[Clothes Kit])</f>
        <v>0</v>
      </c>
      <c r="AG843" s="294">
        <f>IF(NFI_Expiration=1,IF($A843&lt;VLOOKUP(P$5,NFI,5,0),1,0)*Table_NFI[[#This Row],[Plastic Bucket]],Table_NFI[Plastic Bucket])</f>
        <v>0</v>
      </c>
      <c r="AH843" s="294">
        <f>IF(NFI_Expiration=1,IF($A843&lt;VLOOKUP(Q$5,NFI,5,0),1,0)*Table_NFI[[#This Row],[Plastic Mat]],Table_NFI[Plastic Mat])*IF(Table_NFI[[#This Row],[Distribution Date]]&gt;"2014-04-01",1,2.5)</f>
        <v>0</v>
      </c>
      <c r="AI843" s="294">
        <f>IF(NFI_Expiration=1,IF($A843&lt;VLOOKUP(R$5,NFI,5,0),1,0)*Table_NFI[[#This Row],[Winter Clothes Adult]],Table_NFI[Winter Clothes Adult])</f>
        <v>0</v>
      </c>
      <c r="AJ843" s="294">
        <f>IF(NFI_Expiration=1,IF($A843&lt;VLOOKUP(S$5,NFI,5,0),1,0)*Table_NFI[[#This Row],[Winter Clothes Children]],Table_NFI[Winter Clothes Children])</f>
        <v>0</v>
      </c>
      <c r="AK843" s="294">
        <f>IF(NFI_Expiration=1,IF($A843&lt;VLOOKUP(T$5,NFI,5,0),1,0)*Table_NFI[[#This Row],[Winter Items Other]],Table_NFI[Winter Items Other])</f>
        <v>0</v>
      </c>
      <c r="AL843" s="294">
        <f>IF(NFI_Expiration=1,IF($A843&lt;VLOOKUP(M$5,NFI,5,0),1,0)*Table_NFI[[#This Row],[Winter Blanket]],Table_NFI[[#This Row],[Winter Blanket]])</f>
        <v>0</v>
      </c>
      <c r="AM843" s="294">
        <f>IF(Table_NFI[[#This Row],[Winter Clothes Adult]]+Table_NFI[[#This Row],[Winter Clothes Children]]+Table_NFI[[#This Row],[Winter Items Other]]+Table_NFI[[#This Row],[Winter Blanket]]&gt;0,1,0)</f>
        <v>0</v>
      </c>
      <c r="AN843" s="331">
        <f>IF(NFI_Expiration=1,IF($A843&lt;VLOOKUP(V$5,NFI,5,0),1,0)*Table_NFI[[#This Row],[Jerry Can]],Table_NFI[Jerry Can])</f>
        <v>0</v>
      </c>
      <c r="AO843" s="331">
        <f>IF(NFI_Expiration=1,IF($A843&lt;VLOOKUP(V$5,NFI,5,0),1,0)*Table_NFI[[#This Row],[Shelter Tool kit]],Table_NFI[Shelter Tool kit])</f>
        <v>0</v>
      </c>
      <c r="AP843" s="331">
        <f>IF(NFI_Expiration=1,IF($A843&lt;VLOOKUP(V$5,NFI,5,0),1,0)*Table_NFI[[#This Row],[Tent]],Table_NFI[Tent])</f>
        <v>0</v>
      </c>
      <c r="AQ843" s="473" t="str">
        <f>IFERROR(VLOOKUP(Table_NFI[[#This Row],[Camp Name]],CL,2,0),"")</f>
        <v>MMR001CMP047</v>
      </c>
      <c r="AR843" s="468">
        <f ca="1">IF(Table_NFI[[#This Row],[Pcode]]="","",IF(OFFSET(CampList[Opening Date],MATCH(Table_NFI[[#This Row],[Pcode]],CampList[CP_Pcode],0)-1,0,1,1)&gt;=NFI_Monitor_Date,1,0))</f>
        <v>0</v>
      </c>
      <c r="AS843" s="473" t="str">
        <f>IFERROR(VLOOKUP(Table_NFI[[#This Row],[Camp Name]],CL,3,0),"")</f>
        <v>Open</v>
      </c>
      <c r="AT843" s="294" t="str">
        <f ca="1">IF(Table_NFI[[#This Row],[Pcode]]="","",OFFSET(CampList[Priority],MATCH(Table_NFI[[#This Row],[Pcode]],CampList[CP_Pcode],0)-1,0,1,1))</f>
        <v>P4</v>
      </c>
      <c r="AU843" s="293">
        <f>IFERROR(Table_NFI[[#This Row],[Kitchen Set]]/VLOOKUP(Table_NFI[[#This Row],[Camp Name]],CL,4,0),"")</f>
        <v>1.9169329073482427E-2</v>
      </c>
      <c r="AV843" s="466" t="s">
        <v>1092</v>
      </c>
      <c r="AW843" s="469"/>
    </row>
    <row r="844" spans="1:49" ht="14.45" customHeight="1" x14ac:dyDescent="0.25">
      <c r="A844" s="297">
        <f t="shared" si="13"/>
        <v>47.033333333333331</v>
      </c>
      <c r="B844" s="465">
        <v>41264</v>
      </c>
      <c r="C844" s="466" t="s">
        <v>452</v>
      </c>
      <c r="D844" s="467" t="s">
        <v>452</v>
      </c>
      <c r="E844" s="466" t="s">
        <v>380</v>
      </c>
      <c r="F844" s="290" t="s">
        <v>302</v>
      </c>
      <c r="G844" s="290" t="s">
        <v>306</v>
      </c>
      <c r="H844" s="291"/>
      <c r="I844" s="291"/>
      <c r="J844" s="291"/>
      <c r="K844" s="291">
        <v>0</v>
      </c>
      <c r="L844" s="292">
        <v>0</v>
      </c>
      <c r="M844" s="292">
        <v>83</v>
      </c>
      <c r="N844" s="292">
        <v>0</v>
      </c>
      <c r="O844" s="292">
        <v>0</v>
      </c>
      <c r="P844" s="294"/>
      <c r="Q844" s="294"/>
      <c r="R844" s="294"/>
      <c r="S844" s="294"/>
      <c r="T844" s="294"/>
      <c r="U844" s="294"/>
      <c r="V844" s="431"/>
      <c r="W844" s="294"/>
      <c r="X844" s="294"/>
      <c r="Y844" s="294">
        <f>IF(NFI_Expiration=1,IF($A844&lt;VLOOKUP(H$5,NFI,5,0),1,0)*Table_NFI[[#This Row],[Hygiene Kit]],Table_NFI[Hygiene Kit])</f>
        <v>0</v>
      </c>
      <c r="Z844" s="294">
        <f>IF(NFI_Expiration=1,IF($A844&lt;VLOOKUP(I$5,NFI,5,0),1,0)*Table_NFI[[#This Row],[NFI Core Kit]],Table_NFI[NFI Core Kit])</f>
        <v>0</v>
      </c>
      <c r="AA844" s="294">
        <f>IF(NFI_Expiration=1,IF($A844&lt;VLOOKUP(J$5,NFI,5,0),1,0)*Table_NFI[[#This Row],[Sanitary Kit]],Table_NFI[Sanitary Kit])</f>
        <v>0</v>
      </c>
      <c r="AB844" s="294">
        <f>IF(NFI_Expiration=1,IF($A844&lt;VLOOKUP(K$5,NFI,5,0),1,0)*Table_NFI[[#This Row],[Mosquito net]],Table_NFI[Mosquito net])</f>
        <v>0</v>
      </c>
      <c r="AC844" s="294">
        <f>IF(NFI_Expiration=1,IF($A844&lt;VLOOKUP(L$5,NFI,5,0),1,0)*Table_NFI[[#This Row],[Tarpaulin]],Table_NFI[[#This Row],[Tarpaulin]])</f>
        <v>0</v>
      </c>
      <c r="AD844" s="294">
        <f>IF(NFI_Expiration=1,IF($A844&lt;VLOOKUP(M$5,NFI,5,0),1,0)*Table_NFI[[#This Row],[Blanket]],Table_NFI[[#This Row],[Blanket]])</f>
        <v>0</v>
      </c>
      <c r="AE844" s="294">
        <f>IF(NFI_Expiration=1,IF($A844&lt;VLOOKUP(N$5,NFI,5,0),1,0)*Table_NFI[[#This Row],[Kitchen Set]],Table_NFI[Kitchen Set])</f>
        <v>0</v>
      </c>
      <c r="AF844" s="294">
        <f>IF(NFI_Expiration=1,IF($A844&lt;VLOOKUP(O$5,NFI,5,0),1,0)*Table_NFI[[#This Row],[Clothes Kit]],Table_NFI[Clothes Kit])</f>
        <v>0</v>
      </c>
      <c r="AG844" s="294">
        <f>IF(NFI_Expiration=1,IF($A844&lt;VLOOKUP(P$5,NFI,5,0),1,0)*Table_NFI[[#This Row],[Plastic Bucket]],Table_NFI[Plastic Bucket])</f>
        <v>0</v>
      </c>
      <c r="AH844" s="294">
        <f>IF(NFI_Expiration=1,IF($A844&lt;VLOOKUP(Q$5,NFI,5,0),1,0)*Table_NFI[[#This Row],[Plastic Mat]],Table_NFI[Plastic Mat])*IF(Table_NFI[[#This Row],[Distribution Date]]&gt;"2014-04-01",1,2.5)</f>
        <v>0</v>
      </c>
      <c r="AI844" s="294">
        <f>IF(NFI_Expiration=1,IF($A844&lt;VLOOKUP(R$5,NFI,5,0),1,0)*Table_NFI[[#This Row],[Winter Clothes Adult]],Table_NFI[Winter Clothes Adult])</f>
        <v>0</v>
      </c>
      <c r="AJ844" s="294">
        <f>IF(NFI_Expiration=1,IF($A844&lt;VLOOKUP(S$5,NFI,5,0),1,0)*Table_NFI[[#This Row],[Winter Clothes Children]],Table_NFI[Winter Clothes Children])</f>
        <v>0</v>
      </c>
      <c r="AK844" s="294">
        <f>IF(NFI_Expiration=1,IF($A844&lt;VLOOKUP(T$5,NFI,5,0),1,0)*Table_NFI[[#This Row],[Winter Items Other]],Table_NFI[Winter Items Other])</f>
        <v>0</v>
      </c>
      <c r="AL844" s="294">
        <f>IF(NFI_Expiration=1,IF($A844&lt;VLOOKUP(M$5,NFI,5,0),1,0)*Table_NFI[[#This Row],[Winter Blanket]],Table_NFI[[#This Row],[Winter Blanket]])</f>
        <v>0</v>
      </c>
      <c r="AM844" s="294">
        <f>IF(Table_NFI[[#This Row],[Winter Clothes Adult]]+Table_NFI[[#This Row],[Winter Clothes Children]]+Table_NFI[[#This Row],[Winter Items Other]]+Table_NFI[[#This Row],[Winter Blanket]]&gt;0,1,0)</f>
        <v>0</v>
      </c>
      <c r="AN844" s="331">
        <f>IF(NFI_Expiration=1,IF($A844&lt;VLOOKUP(V$5,NFI,5,0),1,0)*Table_NFI[[#This Row],[Jerry Can]],Table_NFI[Jerry Can])</f>
        <v>0</v>
      </c>
      <c r="AO844" s="331">
        <f>IF(NFI_Expiration=1,IF($A844&lt;VLOOKUP(V$5,NFI,5,0),1,0)*Table_NFI[[#This Row],[Shelter Tool kit]],Table_NFI[Shelter Tool kit])</f>
        <v>0</v>
      </c>
      <c r="AP844" s="331">
        <f>IF(NFI_Expiration=1,IF($A844&lt;VLOOKUP(V$5,NFI,5,0),1,0)*Table_NFI[[#This Row],[Tent]],Table_NFI[Tent])</f>
        <v>0</v>
      </c>
      <c r="AQ844" s="473" t="str">
        <f>IFERROR(VLOOKUP(Table_NFI[[#This Row],[Camp Name]],CL,2,0),"")</f>
        <v>MMR001CMP067</v>
      </c>
      <c r="AR844" s="468">
        <f ca="1">IF(Table_NFI[[#This Row],[Pcode]]="","",IF(OFFSET(CampList[Opening Date],MATCH(Table_NFI[[#This Row],[Pcode]],CampList[CP_Pcode],0)-1,0,1,1)&gt;=NFI_Monitor_Date,1,0))</f>
        <v>0</v>
      </c>
      <c r="AS844" s="473" t="str">
        <f>IFERROR(VLOOKUP(Table_NFI[[#This Row],[Camp Name]],CL,3,0),"")</f>
        <v>Open</v>
      </c>
      <c r="AT844" s="294" t="str">
        <f ca="1">IF(Table_NFI[[#This Row],[Pcode]]="","",OFFSET(CampList[Priority],MATCH(Table_NFI[[#This Row],[Pcode]],CampList[CP_Pcode],0)-1,0,1,1))</f>
        <v>P4</v>
      </c>
      <c r="AU844" s="293">
        <f>IFERROR(Table_NFI[[#This Row],[Kitchen Set]]/VLOOKUP(Table_NFI[[#This Row],[Camp Name]],CL,4,0),"")</f>
        <v>0</v>
      </c>
      <c r="AV844" s="466" t="s">
        <v>1092</v>
      </c>
      <c r="AW844" s="469"/>
    </row>
    <row r="845" spans="1:49" x14ac:dyDescent="0.25">
      <c r="A845" s="297">
        <f t="shared" si="13"/>
        <v>47.033333333333331</v>
      </c>
      <c r="B845" s="465">
        <v>41264</v>
      </c>
      <c r="C845" s="466" t="s">
        <v>905</v>
      </c>
      <c r="D845" s="466" t="s">
        <v>905</v>
      </c>
      <c r="E845" s="466" t="s">
        <v>380</v>
      </c>
      <c r="F845" s="466" t="s">
        <v>5</v>
      </c>
      <c r="G845" s="290" t="s">
        <v>26</v>
      </c>
      <c r="H845" s="294">
        <v>178</v>
      </c>
      <c r="I845" s="291"/>
      <c r="J845" s="291"/>
      <c r="K845" s="291"/>
      <c r="L845" s="292"/>
      <c r="M845" s="292"/>
      <c r="N845" s="292"/>
      <c r="O845" s="292"/>
      <c r="P845" s="294"/>
      <c r="Q845" s="294"/>
      <c r="R845" s="294"/>
      <c r="S845" s="294"/>
      <c r="T845" s="294"/>
      <c r="U845" s="294"/>
      <c r="V845" s="431"/>
      <c r="W845" s="294"/>
      <c r="X845" s="294"/>
      <c r="Y845" s="294">
        <f>IF(NFI_Expiration=1,IF($A845&lt;VLOOKUP(H$5,NFI,5,0),1,0)*Table_NFI[[#This Row],[Hygiene Kit]],Table_NFI[Hygiene Kit])</f>
        <v>0</v>
      </c>
      <c r="Z845" s="294">
        <f>IF(NFI_Expiration=1,IF($A845&lt;VLOOKUP(I$5,NFI,5,0),1,0)*Table_NFI[[#This Row],[NFI Core Kit]],Table_NFI[NFI Core Kit])</f>
        <v>0</v>
      </c>
      <c r="AA845" s="294">
        <f>IF(NFI_Expiration=1,IF($A845&lt;VLOOKUP(J$5,NFI,5,0),1,0)*Table_NFI[[#This Row],[Sanitary Kit]],Table_NFI[Sanitary Kit])</f>
        <v>0</v>
      </c>
      <c r="AB845" s="294">
        <f>IF(NFI_Expiration=1,IF($A845&lt;VLOOKUP(K$5,NFI,5,0),1,0)*Table_NFI[[#This Row],[Mosquito net]],Table_NFI[Mosquito net])</f>
        <v>0</v>
      </c>
      <c r="AC845" s="294">
        <f>IF(NFI_Expiration=1,IF($A845&lt;VLOOKUP(L$5,NFI,5,0),1,0)*Table_NFI[[#This Row],[Tarpaulin]],Table_NFI[[#This Row],[Tarpaulin]])</f>
        <v>0</v>
      </c>
      <c r="AD845" s="294">
        <f>IF(NFI_Expiration=1,IF($A845&lt;VLOOKUP(M$5,NFI,5,0),1,0)*Table_NFI[[#This Row],[Blanket]],Table_NFI[[#This Row],[Blanket]])</f>
        <v>0</v>
      </c>
      <c r="AE845" s="294">
        <f>IF(NFI_Expiration=1,IF($A845&lt;VLOOKUP(N$5,NFI,5,0),1,0)*Table_NFI[[#This Row],[Kitchen Set]],Table_NFI[Kitchen Set])</f>
        <v>0</v>
      </c>
      <c r="AF845" s="294">
        <f>IF(NFI_Expiration=1,IF($A845&lt;VLOOKUP(O$5,NFI,5,0),1,0)*Table_NFI[[#This Row],[Clothes Kit]],Table_NFI[Clothes Kit])</f>
        <v>0</v>
      </c>
      <c r="AG845" s="294">
        <f>IF(NFI_Expiration=1,IF($A845&lt;VLOOKUP(P$5,NFI,5,0),1,0)*Table_NFI[[#This Row],[Plastic Bucket]],Table_NFI[Plastic Bucket])</f>
        <v>0</v>
      </c>
      <c r="AH845" s="294">
        <f>IF(NFI_Expiration=1,IF($A845&lt;VLOOKUP(Q$5,NFI,5,0),1,0)*Table_NFI[[#This Row],[Plastic Mat]],Table_NFI[Plastic Mat])*IF(Table_NFI[[#This Row],[Distribution Date]]&gt;"2014-04-01",1,2.5)</f>
        <v>0</v>
      </c>
      <c r="AI845" s="294">
        <f>IF(NFI_Expiration=1,IF($A845&lt;VLOOKUP(R$5,NFI,5,0),1,0)*Table_NFI[[#This Row],[Winter Clothes Adult]],Table_NFI[Winter Clothes Adult])</f>
        <v>0</v>
      </c>
      <c r="AJ845" s="294">
        <f>IF(NFI_Expiration=1,IF($A845&lt;VLOOKUP(S$5,NFI,5,0),1,0)*Table_NFI[[#This Row],[Winter Clothes Children]],Table_NFI[Winter Clothes Children])</f>
        <v>0</v>
      </c>
      <c r="AK845" s="294">
        <f>IF(NFI_Expiration=1,IF($A845&lt;VLOOKUP(T$5,NFI,5,0),1,0)*Table_NFI[[#This Row],[Winter Items Other]],Table_NFI[Winter Items Other])</f>
        <v>0</v>
      </c>
      <c r="AL845" s="294">
        <f>IF(NFI_Expiration=1,IF($A845&lt;VLOOKUP(M$5,NFI,5,0),1,0)*Table_NFI[[#This Row],[Winter Blanket]],Table_NFI[[#This Row],[Winter Blanket]])</f>
        <v>0</v>
      </c>
      <c r="AM845" s="294">
        <f>IF(Table_NFI[[#This Row],[Winter Clothes Adult]]+Table_NFI[[#This Row],[Winter Clothes Children]]+Table_NFI[[#This Row],[Winter Items Other]]+Table_NFI[[#This Row],[Winter Blanket]]&gt;0,1,0)</f>
        <v>0</v>
      </c>
      <c r="AN845" s="331">
        <f>IF(NFI_Expiration=1,IF($A845&lt;VLOOKUP(V$5,NFI,5,0),1,0)*Table_NFI[[#This Row],[Jerry Can]],Table_NFI[Jerry Can])</f>
        <v>0</v>
      </c>
      <c r="AO845" s="331">
        <f>IF(NFI_Expiration=1,IF($A845&lt;VLOOKUP(V$5,NFI,5,0),1,0)*Table_NFI[[#This Row],[Shelter Tool kit]],Table_NFI[Shelter Tool kit])</f>
        <v>0</v>
      </c>
      <c r="AP845" s="331">
        <f>IF(NFI_Expiration=1,IF($A845&lt;VLOOKUP(V$5,NFI,5,0),1,0)*Table_NFI[[#This Row],[Tent]],Table_NFI[Tent])</f>
        <v>0</v>
      </c>
      <c r="AQ845" s="473" t="str">
        <f>IFERROR(VLOOKUP(Table_NFI[[#This Row],[Camp Name]],CL,2,0),"")</f>
        <v>MMR001CMP053</v>
      </c>
      <c r="AR845" s="468">
        <f ca="1">IF(Table_NFI[[#This Row],[Pcode]]="","",IF(OFFSET(CampList[Opening Date],MATCH(Table_NFI[[#This Row],[Pcode]],CampList[CP_Pcode],0)-1,0,1,1)&gt;=NFI_Monitor_Date,1,0))</f>
        <v>0</v>
      </c>
      <c r="AS845" s="473" t="str">
        <f>IFERROR(VLOOKUP(Table_NFI[[#This Row],[Camp Name]],CL,3,0),"")</f>
        <v>Open</v>
      </c>
      <c r="AT845" s="294" t="str">
        <f ca="1">IF(Table_NFI[[#This Row],[Pcode]]="","",OFFSET(CampList[Priority],MATCH(Table_NFI[[#This Row],[Pcode]],CampList[CP_Pcode],0)-1,0,1,1))</f>
        <v>P4</v>
      </c>
      <c r="AU845" s="293">
        <f>IFERROR(Table_NFI[[#This Row],[Kitchen Set]]/VLOOKUP(Table_NFI[[#This Row],[Camp Name]],CL,4,0),"")</f>
        <v>0</v>
      </c>
      <c r="AV845" s="466"/>
      <c r="AW845" s="469"/>
    </row>
    <row r="846" spans="1:49" ht="14.45" customHeight="1" x14ac:dyDescent="0.25">
      <c r="A846" s="297">
        <f t="shared" si="13"/>
        <v>47.033333333333331</v>
      </c>
      <c r="B846" s="465">
        <v>41264</v>
      </c>
      <c r="C846" s="466" t="s">
        <v>452</v>
      </c>
      <c r="D846" s="467" t="s">
        <v>452</v>
      </c>
      <c r="E846" s="466" t="s">
        <v>380</v>
      </c>
      <c r="F846" s="290" t="s">
        <v>5</v>
      </c>
      <c r="G846" s="290" t="s">
        <v>26</v>
      </c>
      <c r="H846" s="291"/>
      <c r="I846" s="291"/>
      <c r="J846" s="291"/>
      <c r="K846" s="291">
        <v>0</v>
      </c>
      <c r="L846" s="292">
        <v>3</v>
      </c>
      <c r="M846" s="292">
        <v>0</v>
      </c>
      <c r="N846" s="292">
        <v>3</v>
      </c>
      <c r="O846" s="292">
        <v>3</v>
      </c>
      <c r="P846" s="294">
        <v>3</v>
      </c>
      <c r="Q846" s="294">
        <v>3</v>
      </c>
      <c r="R846" s="294"/>
      <c r="S846" s="294"/>
      <c r="T846" s="294"/>
      <c r="U846" s="294"/>
      <c r="V846" s="431"/>
      <c r="W846" s="294"/>
      <c r="X846" s="294"/>
      <c r="Y846" s="294">
        <f>IF(NFI_Expiration=1,IF($A846&lt;VLOOKUP(H$5,NFI,5,0),1,0)*Table_NFI[[#This Row],[Hygiene Kit]],Table_NFI[Hygiene Kit])</f>
        <v>0</v>
      </c>
      <c r="Z846" s="294">
        <f>IF(NFI_Expiration=1,IF($A846&lt;VLOOKUP(I$5,NFI,5,0),1,0)*Table_NFI[[#This Row],[NFI Core Kit]],Table_NFI[NFI Core Kit])</f>
        <v>0</v>
      </c>
      <c r="AA846" s="294">
        <f>IF(NFI_Expiration=1,IF($A846&lt;VLOOKUP(J$5,NFI,5,0),1,0)*Table_NFI[[#This Row],[Sanitary Kit]],Table_NFI[Sanitary Kit])</f>
        <v>0</v>
      </c>
      <c r="AB846" s="294">
        <f>IF(NFI_Expiration=1,IF($A846&lt;VLOOKUP(K$5,NFI,5,0),1,0)*Table_NFI[[#This Row],[Mosquito net]],Table_NFI[Mosquito net])</f>
        <v>0</v>
      </c>
      <c r="AC846" s="294">
        <f>IF(NFI_Expiration=1,IF($A846&lt;VLOOKUP(L$5,NFI,5,0),1,0)*Table_NFI[[#This Row],[Tarpaulin]],Table_NFI[[#This Row],[Tarpaulin]])</f>
        <v>0</v>
      </c>
      <c r="AD846" s="294">
        <f>IF(NFI_Expiration=1,IF($A846&lt;VLOOKUP(M$5,NFI,5,0),1,0)*Table_NFI[[#This Row],[Blanket]],Table_NFI[[#This Row],[Blanket]])</f>
        <v>0</v>
      </c>
      <c r="AE846" s="294">
        <f>IF(NFI_Expiration=1,IF($A846&lt;VLOOKUP(N$5,NFI,5,0),1,0)*Table_NFI[[#This Row],[Kitchen Set]],Table_NFI[Kitchen Set])</f>
        <v>0</v>
      </c>
      <c r="AF846" s="294">
        <f>IF(NFI_Expiration=1,IF($A846&lt;VLOOKUP(O$5,NFI,5,0),1,0)*Table_NFI[[#This Row],[Clothes Kit]],Table_NFI[Clothes Kit])</f>
        <v>0</v>
      </c>
      <c r="AG846" s="294">
        <f>IF(NFI_Expiration=1,IF($A846&lt;VLOOKUP(P$5,NFI,5,0),1,0)*Table_NFI[[#This Row],[Plastic Bucket]],Table_NFI[Plastic Bucket])</f>
        <v>0</v>
      </c>
      <c r="AH846" s="294">
        <f>IF(NFI_Expiration=1,IF($A846&lt;VLOOKUP(Q$5,NFI,5,0),1,0)*Table_NFI[[#This Row],[Plastic Mat]],Table_NFI[Plastic Mat])*IF(Table_NFI[[#This Row],[Distribution Date]]&gt;"2014-04-01",1,2.5)</f>
        <v>0</v>
      </c>
      <c r="AI846" s="294">
        <f>IF(NFI_Expiration=1,IF($A846&lt;VLOOKUP(R$5,NFI,5,0),1,0)*Table_NFI[[#This Row],[Winter Clothes Adult]],Table_NFI[Winter Clothes Adult])</f>
        <v>0</v>
      </c>
      <c r="AJ846" s="294">
        <f>IF(NFI_Expiration=1,IF($A846&lt;VLOOKUP(S$5,NFI,5,0),1,0)*Table_NFI[[#This Row],[Winter Clothes Children]],Table_NFI[Winter Clothes Children])</f>
        <v>0</v>
      </c>
      <c r="AK846" s="294">
        <f>IF(NFI_Expiration=1,IF($A846&lt;VLOOKUP(T$5,NFI,5,0),1,0)*Table_NFI[[#This Row],[Winter Items Other]],Table_NFI[Winter Items Other])</f>
        <v>0</v>
      </c>
      <c r="AL846" s="294">
        <f>IF(NFI_Expiration=1,IF($A846&lt;VLOOKUP(M$5,NFI,5,0),1,0)*Table_NFI[[#This Row],[Winter Blanket]],Table_NFI[[#This Row],[Winter Blanket]])</f>
        <v>0</v>
      </c>
      <c r="AM846" s="294">
        <f>IF(Table_NFI[[#This Row],[Winter Clothes Adult]]+Table_NFI[[#This Row],[Winter Clothes Children]]+Table_NFI[[#This Row],[Winter Items Other]]+Table_NFI[[#This Row],[Winter Blanket]]&gt;0,1,0)</f>
        <v>0</v>
      </c>
      <c r="AN846" s="331">
        <f>IF(NFI_Expiration=1,IF($A846&lt;VLOOKUP(V$5,NFI,5,0),1,0)*Table_NFI[[#This Row],[Jerry Can]],Table_NFI[Jerry Can])</f>
        <v>0</v>
      </c>
      <c r="AO846" s="331">
        <f>IF(NFI_Expiration=1,IF($A846&lt;VLOOKUP(V$5,NFI,5,0),1,0)*Table_NFI[[#This Row],[Shelter Tool kit]],Table_NFI[Shelter Tool kit])</f>
        <v>0</v>
      </c>
      <c r="AP846" s="331">
        <f>IF(NFI_Expiration=1,IF($A846&lt;VLOOKUP(V$5,NFI,5,0),1,0)*Table_NFI[[#This Row],[Tent]],Table_NFI[Tent])</f>
        <v>0</v>
      </c>
      <c r="AQ846" s="473" t="str">
        <f>IFERROR(VLOOKUP(Table_NFI[[#This Row],[Camp Name]],CL,2,0),"")</f>
        <v>MMR001CMP053</v>
      </c>
      <c r="AR846" s="468">
        <f ca="1">IF(Table_NFI[[#This Row],[Pcode]]="","",IF(OFFSET(CampList[Opening Date],MATCH(Table_NFI[[#This Row],[Pcode]],CampList[CP_Pcode],0)-1,0,1,1)&gt;=NFI_Monitor_Date,1,0))</f>
        <v>0</v>
      </c>
      <c r="AS846" s="473" t="str">
        <f>IFERROR(VLOOKUP(Table_NFI[[#This Row],[Camp Name]],CL,3,0),"")</f>
        <v>Open</v>
      </c>
      <c r="AT846" s="294" t="str">
        <f ca="1">IF(Table_NFI[[#This Row],[Pcode]]="","",OFFSET(CampList[Priority],MATCH(Table_NFI[[#This Row],[Pcode]],CampList[CP_Pcode],0)-1,0,1,1))</f>
        <v>P4</v>
      </c>
      <c r="AU846" s="293">
        <f>IFERROR(Table_NFI[[#This Row],[Kitchen Set]]/VLOOKUP(Table_NFI[[#This Row],[Camp Name]],CL,4,0),"")</f>
        <v>0.2</v>
      </c>
      <c r="AV846" s="466" t="s">
        <v>1092</v>
      </c>
      <c r="AW846" s="469"/>
    </row>
    <row r="847" spans="1:49" ht="14.45" customHeight="1" x14ac:dyDescent="0.25">
      <c r="A847" s="297">
        <f t="shared" si="13"/>
        <v>47.06666666666667</v>
      </c>
      <c r="B847" s="465">
        <v>41263</v>
      </c>
      <c r="C847" s="466" t="s">
        <v>452</v>
      </c>
      <c r="D847" s="467" t="s">
        <v>460</v>
      </c>
      <c r="E847" s="466" t="s">
        <v>380</v>
      </c>
      <c r="F847" s="290" t="s">
        <v>527</v>
      </c>
      <c r="G847" s="290" t="s">
        <v>88</v>
      </c>
      <c r="H847" s="291"/>
      <c r="I847" s="296"/>
      <c r="J847" s="289"/>
      <c r="K847" s="289">
        <v>12</v>
      </c>
      <c r="L847" s="289">
        <v>0</v>
      </c>
      <c r="M847" s="289">
        <v>12</v>
      </c>
      <c r="N847" s="289">
        <v>0</v>
      </c>
      <c r="O847" s="289">
        <v>0</v>
      </c>
      <c r="P847" s="294"/>
      <c r="Q847" s="294"/>
      <c r="R847" s="294"/>
      <c r="S847" s="294"/>
      <c r="T847" s="294"/>
      <c r="U847" s="294"/>
      <c r="V847" s="431"/>
      <c r="W847" s="294"/>
      <c r="X847" s="294"/>
      <c r="Y847" s="294">
        <f>IF(NFI_Expiration=1,IF($A847&lt;VLOOKUP(H$5,NFI,5,0),1,0)*Table_NFI[[#This Row],[Hygiene Kit]],Table_NFI[Hygiene Kit])</f>
        <v>0</v>
      </c>
      <c r="Z847" s="294">
        <f>IF(NFI_Expiration=1,IF($A847&lt;VLOOKUP(I$5,NFI,5,0),1,0)*Table_NFI[[#This Row],[NFI Core Kit]],Table_NFI[NFI Core Kit])</f>
        <v>0</v>
      </c>
      <c r="AA847" s="294">
        <f>IF(NFI_Expiration=1,IF($A847&lt;VLOOKUP(J$5,NFI,5,0),1,0)*Table_NFI[[#This Row],[Sanitary Kit]],Table_NFI[Sanitary Kit])</f>
        <v>0</v>
      </c>
      <c r="AB847" s="294">
        <f>IF(NFI_Expiration=1,IF($A847&lt;VLOOKUP(K$5,NFI,5,0),1,0)*Table_NFI[[#This Row],[Mosquito net]],Table_NFI[Mosquito net])</f>
        <v>0</v>
      </c>
      <c r="AC847" s="294">
        <f>IF(NFI_Expiration=1,IF($A847&lt;VLOOKUP(L$5,NFI,5,0),1,0)*Table_NFI[[#This Row],[Tarpaulin]],Table_NFI[[#This Row],[Tarpaulin]])</f>
        <v>0</v>
      </c>
      <c r="AD847" s="294">
        <f>IF(NFI_Expiration=1,IF($A847&lt;VLOOKUP(M$5,NFI,5,0),1,0)*Table_NFI[[#This Row],[Blanket]],Table_NFI[[#This Row],[Blanket]])</f>
        <v>0</v>
      </c>
      <c r="AE847" s="294">
        <f>IF(NFI_Expiration=1,IF($A847&lt;VLOOKUP(N$5,NFI,5,0),1,0)*Table_NFI[[#This Row],[Kitchen Set]],Table_NFI[Kitchen Set])</f>
        <v>0</v>
      </c>
      <c r="AF847" s="294">
        <f>IF(NFI_Expiration=1,IF($A847&lt;VLOOKUP(O$5,NFI,5,0),1,0)*Table_NFI[[#This Row],[Clothes Kit]],Table_NFI[Clothes Kit])</f>
        <v>0</v>
      </c>
      <c r="AG847" s="294">
        <f>IF(NFI_Expiration=1,IF($A847&lt;VLOOKUP(P$5,NFI,5,0),1,0)*Table_NFI[[#This Row],[Plastic Bucket]],Table_NFI[Plastic Bucket])</f>
        <v>0</v>
      </c>
      <c r="AH847" s="294">
        <f>IF(NFI_Expiration=1,IF($A847&lt;VLOOKUP(Q$5,NFI,5,0),1,0)*Table_NFI[[#This Row],[Plastic Mat]],Table_NFI[Plastic Mat])*IF(Table_NFI[[#This Row],[Distribution Date]]&gt;"2014-04-01",1,2.5)</f>
        <v>0</v>
      </c>
      <c r="AI847" s="294">
        <f>IF(NFI_Expiration=1,IF($A847&lt;VLOOKUP(R$5,NFI,5,0),1,0)*Table_NFI[[#This Row],[Winter Clothes Adult]],Table_NFI[Winter Clothes Adult])</f>
        <v>0</v>
      </c>
      <c r="AJ847" s="294">
        <f>IF(NFI_Expiration=1,IF($A847&lt;VLOOKUP(S$5,NFI,5,0),1,0)*Table_NFI[[#This Row],[Winter Clothes Children]],Table_NFI[Winter Clothes Children])</f>
        <v>0</v>
      </c>
      <c r="AK847" s="294">
        <f>IF(NFI_Expiration=1,IF($A847&lt;VLOOKUP(T$5,NFI,5,0),1,0)*Table_NFI[[#This Row],[Winter Items Other]],Table_NFI[Winter Items Other])</f>
        <v>0</v>
      </c>
      <c r="AL847" s="294">
        <f>IF(NFI_Expiration=1,IF($A847&lt;VLOOKUP(M$5,NFI,5,0),1,0)*Table_NFI[[#This Row],[Winter Blanket]],Table_NFI[[#This Row],[Winter Blanket]])</f>
        <v>0</v>
      </c>
      <c r="AM847" s="294">
        <f>IF(Table_NFI[[#This Row],[Winter Clothes Adult]]+Table_NFI[[#This Row],[Winter Clothes Children]]+Table_NFI[[#This Row],[Winter Items Other]]+Table_NFI[[#This Row],[Winter Blanket]]&gt;0,1,0)</f>
        <v>0</v>
      </c>
      <c r="AN847" s="331">
        <f>IF(NFI_Expiration=1,IF($A847&lt;VLOOKUP(V$5,NFI,5,0),1,0)*Table_NFI[[#This Row],[Jerry Can]],Table_NFI[Jerry Can])</f>
        <v>0</v>
      </c>
      <c r="AO847" s="331">
        <f>IF(NFI_Expiration=1,IF($A847&lt;VLOOKUP(V$5,NFI,5,0),1,0)*Table_NFI[[#This Row],[Shelter Tool kit]],Table_NFI[Shelter Tool kit])</f>
        <v>0</v>
      </c>
      <c r="AP847" s="331">
        <f>IF(NFI_Expiration=1,IF($A847&lt;VLOOKUP(V$5,NFI,5,0),1,0)*Table_NFI[[#This Row],[Tent]],Table_NFI[Tent])</f>
        <v>0</v>
      </c>
      <c r="AQ847" s="473" t="str">
        <f>IFERROR(VLOOKUP(Table_NFI[[#This Row],[Camp Name]],CL,2,0),"")</f>
        <v>MMR001CMP148</v>
      </c>
      <c r="AR847" s="468">
        <f ca="1">IF(Table_NFI[[#This Row],[Pcode]]="","",IF(OFFSET(CampList[Opening Date],MATCH(Table_NFI[[#This Row],[Pcode]],CampList[CP_Pcode],0)-1,0,1,1)&gt;=NFI_Monitor_Date,1,0))</f>
        <v>0</v>
      </c>
      <c r="AS847" s="473" t="str">
        <f>IFERROR(VLOOKUP(Table_NFI[[#This Row],[Camp Name]],CL,3,0),"")</f>
        <v>Open</v>
      </c>
      <c r="AT847" s="294" t="str">
        <f ca="1">IF(Table_NFI[[#This Row],[Pcode]]="","",OFFSET(CampList[Priority],MATCH(Table_NFI[[#This Row],[Pcode]],CampList[CP_Pcode],0)-1,0,1,1))</f>
        <v>P4</v>
      </c>
      <c r="AU847" s="293">
        <f>IFERROR(Table_NFI[[#This Row],[Kitchen Set]]/VLOOKUP(Table_NFI[[#This Row],[Camp Name]],CL,4,0),"")</f>
        <v>0</v>
      </c>
      <c r="AV847" s="466" t="s">
        <v>1092</v>
      </c>
      <c r="AW847" s="469"/>
    </row>
    <row r="848" spans="1:49" ht="14.45" customHeight="1" x14ac:dyDescent="0.25">
      <c r="A848" s="297">
        <f t="shared" si="13"/>
        <v>47.06666666666667</v>
      </c>
      <c r="B848" s="465">
        <v>41263</v>
      </c>
      <c r="C848" s="466" t="s">
        <v>452</v>
      </c>
      <c r="D848" s="466" t="s">
        <v>452</v>
      </c>
      <c r="E848" s="466" t="s">
        <v>380</v>
      </c>
      <c r="F848" s="466" t="s">
        <v>237</v>
      </c>
      <c r="G848" s="290" t="s">
        <v>253</v>
      </c>
      <c r="H848" s="291"/>
      <c r="I848" s="291"/>
      <c r="J848" s="291"/>
      <c r="K848" s="291">
        <v>19</v>
      </c>
      <c r="L848" s="292">
        <v>10</v>
      </c>
      <c r="M848" s="292">
        <v>19</v>
      </c>
      <c r="N848" s="292">
        <v>10</v>
      </c>
      <c r="O848" s="292">
        <v>10</v>
      </c>
      <c r="P848" s="294">
        <v>10</v>
      </c>
      <c r="Q848" s="294">
        <v>10</v>
      </c>
      <c r="R848" s="294"/>
      <c r="S848" s="294"/>
      <c r="T848" s="294"/>
      <c r="U848" s="294"/>
      <c r="V848" s="431"/>
      <c r="W848" s="294"/>
      <c r="X848" s="294"/>
      <c r="Y848" s="294">
        <f>IF(NFI_Expiration=1,IF($A848&lt;VLOOKUP(H$5,NFI,5,0),1,0)*Table_NFI[[#This Row],[Hygiene Kit]],Table_NFI[Hygiene Kit])</f>
        <v>0</v>
      </c>
      <c r="Z848" s="294">
        <f>IF(NFI_Expiration=1,IF($A848&lt;VLOOKUP(I$5,NFI,5,0),1,0)*Table_NFI[[#This Row],[NFI Core Kit]],Table_NFI[NFI Core Kit])</f>
        <v>0</v>
      </c>
      <c r="AA848" s="294">
        <f>IF(NFI_Expiration=1,IF($A848&lt;VLOOKUP(J$5,NFI,5,0),1,0)*Table_NFI[[#This Row],[Sanitary Kit]],Table_NFI[Sanitary Kit])</f>
        <v>0</v>
      </c>
      <c r="AB848" s="294">
        <f>IF(NFI_Expiration=1,IF($A848&lt;VLOOKUP(K$5,NFI,5,0),1,0)*Table_NFI[[#This Row],[Mosquito net]],Table_NFI[Mosquito net])</f>
        <v>0</v>
      </c>
      <c r="AC848" s="294">
        <f>IF(NFI_Expiration=1,IF($A848&lt;VLOOKUP(L$5,NFI,5,0),1,0)*Table_NFI[[#This Row],[Tarpaulin]],Table_NFI[[#This Row],[Tarpaulin]])</f>
        <v>0</v>
      </c>
      <c r="AD848" s="294">
        <f>IF(NFI_Expiration=1,IF($A848&lt;VLOOKUP(M$5,NFI,5,0),1,0)*Table_NFI[[#This Row],[Blanket]],Table_NFI[[#This Row],[Blanket]])</f>
        <v>0</v>
      </c>
      <c r="AE848" s="294">
        <f>IF(NFI_Expiration=1,IF($A848&lt;VLOOKUP(N$5,NFI,5,0),1,0)*Table_NFI[[#This Row],[Kitchen Set]],Table_NFI[Kitchen Set])</f>
        <v>0</v>
      </c>
      <c r="AF848" s="294">
        <f>IF(NFI_Expiration=1,IF($A848&lt;VLOOKUP(O$5,NFI,5,0),1,0)*Table_NFI[[#This Row],[Clothes Kit]],Table_NFI[Clothes Kit])</f>
        <v>0</v>
      </c>
      <c r="AG848" s="294">
        <f>IF(NFI_Expiration=1,IF($A848&lt;VLOOKUP(P$5,NFI,5,0),1,0)*Table_NFI[[#This Row],[Plastic Bucket]],Table_NFI[Plastic Bucket])</f>
        <v>0</v>
      </c>
      <c r="AH848" s="294">
        <f>IF(NFI_Expiration=1,IF($A848&lt;VLOOKUP(Q$5,NFI,5,0),1,0)*Table_NFI[[#This Row],[Plastic Mat]],Table_NFI[Plastic Mat])*IF(Table_NFI[[#This Row],[Distribution Date]]&gt;"2014-04-01",1,2.5)</f>
        <v>0</v>
      </c>
      <c r="AI848" s="294">
        <f>IF(NFI_Expiration=1,IF($A848&lt;VLOOKUP(R$5,NFI,5,0),1,0)*Table_NFI[[#This Row],[Winter Clothes Adult]],Table_NFI[Winter Clothes Adult])</f>
        <v>0</v>
      </c>
      <c r="AJ848" s="294">
        <f>IF(NFI_Expiration=1,IF($A848&lt;VLOOKUP(S$5,NFI,5,0),1,0)*Table_NFI[[#This Row],[Winter Clothes Children]],Table_NFI[Winter Clothes Children])</f>
        <v>0</v>
      </c>
      <c r="AK848" s="294">
        <f>IF(NFI_Expiration=1,IF($A848&lt;VLOOKUP(T$5,NFI,5,0),1,0)*Table_NFI[[#This Row],[Winter Items Other]],Table_NFI[Winter Items Other])</f>
        <v>0</v>
      </c>
      <c r="AL848" s="294">
        <f>IF(NFI_Expiration=1,IF($A848&lt;VLOOKUP(M$5,NFI,5,0),1,0)*Table_NFI[[#This Row],[Winter Blanket]],Table_NFI[[#This Row],[Winter Blanket]])</f>
        <v>0</v>
      </c>
      <c r="AM848" s="294">
        <f>IF(Table_NFI[[#This Row],[Winter Clothes Adult]]+Table_NFI[[#This Row],[Winter Clothes Children]]+Table_NFI[[#This Row],[Winter Items Other]]+Table_NFI[[#This Row],[Winter Blanket]]&gt;0,1,0)</f>
        <v>0</v>
      </c>
      <c r="AN848" s="331">
        <f>IF(NFI_Expiration=1,IF($A848&lt;VLOOKUP(V$5,NFI,5,0),1,0)*Table_NFI[[#This Row],[Jerry Can]],Table_NFI[Jerry Can])</f>
        <v>0</v>
      </c>
      <c r="AO848" s="331">
        <f>IF(NFI_Expiration=1,IF($A848&lt;VLOOKUP(V$5,NFI,5,0),1,0)*Table_NFI[[#This Row],[Shelter Tool kit]],Table_NFI[Shelter Tool kit])</f>
        <v>0</v>
      </c>
      <c r="AP848" s="331">
        <f>IF(NFI_Expiration=1,IF($A848&lt;VLOOKUP(V$5,NFI,5,0),1,0)*Table_NFI[[#This Row],[Tent]],Table_NFI[Tent])</f>
        <v>0</v>
      </c>
      <c r="AQ848" s="473" t="str">
        <f>IFERROR(VLOOKUP(Table_NFI[[#This Row],[Camp Name]],CL,2,0),"")</f>
        <v>MMR001CMP018</v>
      </c>
      <c r="AR848" s="468">
        <f ca="1">IF(Table_NFI[[#This Row],[Pcode]]="","",IF(OFFSET(CampList[Opening Date],MATCH(Table_NFI[[#This Row],[Pcode]],CampList[CP_Pcode],0)-1,0,1,1)&gt;=NFI_Monitor_Date,1,0))</f>
        <v>0</v>
      </c>
      <c r="AS848" s="473" t="str">
        <f>IFERROR(VLOOKUP(Table_NFI[[#This Row],[Camp Name]],CL,3,0),"")</f>
        <v>Open</v>
      </c>
      <c r="AT848" s="294" t="str">
        <f ca="1">IF(Table_NFI[[#This Row],[Pcode]]="","",OFFSET(CampList[Priority],MATCH(Table_NFI[[#This Row],[Pcode]],CampList[CP_Pcode],0)-1,0,1,1))</f>
        <v>P4</v>
      </c>
      <c r="AU848" s="293">
        <f>IFERROR(Table_NFI[[#This Row],[Kitchen Set]]/VLOOKUP(Table_NFI[[#This Row],[Camp Name]],CL,4,0),"")</f>
        <v>5.0505050505050504E-2</v>
      </c>
      <c r="AV848" s="466" t="s">
        <v>1092</v>
      </c>
      <c r="AW848" s="469"/>
    </row>
    <row r="849" spans="1:49" x14ac:dyDescent="0.25">
      <c r="A849" s="297">
        <f t="shared" si="13"/>
        <v>47.1</v>
      </c>
      <c r="B849" s="465">
        <v>41262</v>
      </c>
      <c r="C849" s="466" t="s">
        <v>452</v>
      </c>
      <c r="D849" s="467" t="s">
        <v>452</v>
      </c>
      <c r="E849" s="466" t="s">
        <v>380</v>
      </c>
      <c r="F849" s="290" t="s">
        <v>237</v>
      </c>
      <c r="G849" s="290" t="s">
        <v>273</v>
      </c>
      <c r="H849" s="291"/>
      <c r="I849" s="296"/>
      <c r="J849" s="289"/>
      <c r="K849" s="289">
        <v>37</v>
      </c>
      <c r="L849" s="289">
        <v>10</v>
      </c>
      <c r="M849" s="289">
        <v>37</v>
      </c>
      <c r="N849" s="289">
        <v>10</v>
      </c>
      <c r="O849" s="289">
        <v>10</v>
      </c>
      <c r="P849" s="294">
        <v>10</v>
      </c>
      <c r="Q849" s="294">
        <v>10</v>
      </c>
      <c r="R849" s="294"/>
      <c r="S849" s="294"/>
      <c r="T849" s="294"/>
      <c r="U849" s="294"/>
      <c r="V849" s="622"/>
      <c r="W849" s="294"/>
      <c r="X849" s="294"/>
      <c r="Y849" s="294">
        <f>IF(NFI_Expiration=1,IF($A849&lt;VLOOKUP(H$5,NFI,5,0),1,0)*Table_NFI[[#This Row],[Hygiene Kit]],Table_NFI[Hygiene Kit])</f>
        <v>0</v>
      </c>
      <c r="Z849" s="294">
        <f>IF(NFI_Expiration=1,IF($A849&lt;VLOOKUP(I$5,NFI,5,0),1,0)*Table_NFI[[#This Row],[NFI Core Kit]],Table_NFI[NFI Core Kit])</f>
        <v>0</v>
      </c>
      <c r="AA849" s="294">
        <f>IF(NFI_Expiration=1,IF($A849&lt;VLOOKUP(J$5,NFI,5,0),1,0)*Table_NFI[[#This Row],[Sanitary Kit]],Table_NFI[Sanitary Kit])</f>
        <v>0</v>
      </c>
      <c r="AB849" s="294">
        <f>IF(NFI_Expiration=1,IF($A849&lt;VLOOKUP(K$5,NFI,5,0),1,0)*Table_NFI[[#This Row],[Mosquito net]],Table_NFI[Mosquito net])</f>
        <v>0</v>
      </c>
      <c r="AC849" s="294">
        <f>IF(NFI_Expiration=1,IF($A849&lt;VLOOKUP(L$5,NFI,5,0),1,0)*Table_NFI[[#This Row],[Tarpaulin]],Table_NFI[[#This Row],[Tarpaulin]])</f>
        <v>0</v>
      </c>
      <c r="AD849" s="294">
        <f>IF(NFI_Expiration=1,IF($A849&lt;VLOOKUP(M$5,NFI,5,0),1,0)*Table_NFI[[#This Row],[Blanket]],Table_NFI[[#This Row],[Blanket]])</f>
        <v>0</v>
      </c>
      <c r="AE849" s="294">
        <f>IF(NFI_Expiration=1,IF($A849&lt;VLOOKUP(N$5,NFI,5,0),1,0)*Table_NFI[[#This Row],[Kitchen Set]],Table_NFI[Kitchen Set])</f>
        <v>0</v>
      </c>
      <c r="AF849" s="294">
        <f>IF(NFI_Expiration=1,IF($A849&lt;VLOOKUP(O$5,NFI,5,0),1,0)*Table_NFI[[#This Row],[Clothes Kit]],Table_NFI[Clothes Kit])</f>
        <v>0</v>
      </c>
      <c r="AG849" s="294">
        <f>IF(NFI_Expiration=1,IF($A849&lt;VLOOKUP(P$5,NFI,5,0),1,0)*Table_NFI[[#This Row],[Plastic Bucket]],Table_NFI[Plastic Bucket])</f>
        <v>0</v>
      </c>
      <c r="AH849" s="294">
        <f>IF(NFI_Expiration=1,IF($A849&lt;VLOOKUP(Q$5,NFI,5,0),1,0)*Table_NFI[[#This Row],[Plastic Mat]],Table_NFI[Plastic Mat])*IF(Table_NFI[[#This Row],[Distribution Date]]&gt;"2014-04-01",1,2.5)</f>
        <v>0</v>
      </c>
      <c r="AI849" s="294">
        <f>IF(NFI_Expiration=1,IF($A849&lt;VLOOKUP(R$5,NFI,5,0),1,0)*Table_NFI[[#This Row],[Winter Clothes Adult]],Table_NFI[Winter Clothes Adult])</f>
        <v>0</v>
      </c>
      <c r="AJ849" s="294">
        <f>IF(NFI_Expiration=1,IF($A849&lt;VLOOKUP(S$5,NFI,5,0),1,0)*Table_NFI[[#This Row],[Winter Clothes Children]],Table_NFI[Winter Clothes Children])</f>
        <v>0</v>
      </c>
      <c r="AK849" s="294">
        <f>IF(NFI_Expiration=1,IF($A849&lt;VLOOKUP(T$5,NFI,5,0),1,0)*Table_NFI[[#This Row],[Winter Items Other]],Table_NFI[Winter Items Other])</f>
        <v>0</v>
      </c>
      <c r="AL849" s="294">
        <f>IF(NFI_Expiration=1,IF($A849&lt;VLOOKUP(M$5,NFI,5,0),1,0)*Table_NFI[[#This Row],[Winter Blanket]],Table_NFI[[#This Row],[Winter Blanket]])</f>
        <v>0</v>
      </c>
      <c r="AM849" s="294">
        <f>IF(Table_NFI[[#This Row],[Winter Clothes Adult]]+Table_NFI[[#This Row],[Winter Clothes Children]]+Table_NFI[[#This Row],[Winter Items Other]]+Table_NFI[[#This Row],[Winter Blanket]]&gt;0,1,0)</f>
        <v>0</v>
      </c>
      <c r="AN849" s="331">
        <f>IF(NFI_Expiration=1,IF($A849&lt;VLOOKUP(V$5,NFI,5,0),1,0)*Table_NFI[[#This Row],[Jerry Can]],Table_NFI[Jerry Can])</f>
        <v>0</v>
      </c>
      <c r="AO849" s="331">
        <f>IF(NFI_Expiration=1,IF($A849&lt;VLOOKUP(V$5,NFI,5,0),1,0)*Table_NFI[[#This Row],[Shelter Tool kit]],Table_NFI[Shelter Tool kit])</f>
        <v>0</v>
      </c>
      <c r="AP849" s="331">
        <f>IF(NFI_Expiration=1,IF($A849&lt;VLOOKUP(V$5,NFI,5,0),1,0)*Table_NFI[[#This Row],[Tent]],Table_NFI[Tent])</f>
        <v>0</v>
      </c>
      <c r="AQ849" s="473" t="str">
        <f>IFERROR(VLOOKUP(Table_NFI[[#This Row],[Camp Name]],CL,2,0),"")</f>
        <v>MMR001CMP162</v>
      </c>
      <c r="AR849" s="468">
        <f ca="1">IF(Table_NFI[[#This Row],[Pcode]]="","",IF(OFFSET(CampList[Opening Date],MATCH(Table_NFI[[#This Row],[Pcode]],CampList[CP_Pcode],0)-1,0,1,1)&gt;=NFI_Monitor_Date,1,0))</f>
        <v>0</v>
      </c>
      <c r="AS849" s="473" t="str">
        <f>IFERROR(VLOOKUP(Table_NFI[[#This Row],[Camp Name]],CL,3,0),"")</f>
        <v>Open</v>
      </c>
      <c r="AT849" s="294" t="str">
        <f ca="1">IF(Table_NFI[[#This Row],[Pcode]]="","",OFFSET(CampList[Priority],MATCH(Table_NFI[[#This Row],[Pcode]],CampList[CP_Pcode],0)-1,0,1,1))</f>
        <v>P4</v>
      </c>
      <c r="AU849" s="293">
        <f>IFERROR(Table_NFI[[#This Row],[Kitchen Set]]/VLOOKUP(Table_NFI[[#This Row],[Camp Name]],CL,4,0),"")</f>
        <v>0.21739130434782608</v>
      </c>
      <c r="AV849" s="466" t="s">
        <v>1092</v>
      </c>
      <c r="AW849" s="469"/>
    </row>
    <row r="850" spans="1:49" ht="15" customHeight="1" x14ac:dyDescent="0.2">
      <c r="A850" s="297">
        <f t="shared" si="13"/>
        <v>47.133333333333333</v>
      </c>
      <c r="B850" s="465">
        <v>41261</v>
      </c>
      <c r="C850" s="466" t="s">
        <v>905</v>
      </c>
      <c r="D850" s="467" t="s">
        <v>905</v>
      </c>
      <c r="E850" s="466" t="s">
        <v>380</v>
      </c>
      <c r="F850" s="290" t="s">
        <v>185</v>
      </c>
      <c r="G850" s="290" t="s">
        <v>186</v>
      </c>
      <c r="H850" s="291"/>
      <c r="I850" s="291"/>
      <c r="J850" s="584">
        <v>54</v>
      </c>
      <c r="K850" s="291"/>
      <c r="L850" s="292"/>
      <c r="M850" s="292"/>
      <c r="N850" s="292"/>
      <c r="O850" s="292"/>
      <c r="P850" s="294"/>
      <c r="Q850" s="294"/>
      <c r="R850" s="294"/>
      <c r="S850" s="294"/>
      <c r="T850" s="294"/>
      <c r="U850" s="294"/>
      <c r="V850" s="431"/>
      <c r="W850" s="294"/>
      <c r="X850" s="294"/>
      <c r="Y850" s="294">
        <f>IF(NFI_Expiration=1,IF($A850&lt;VLOOKUP(H$5,NFI,5,0),1,0)*Table_NFI[[#This Row],[Hygiene Kit]],Table_NFI[Hygiene Kit])</f>
        <v>0</v>
      </c>
      <c r="Z850" s="294">
        <f>IF(NFI_Expiration=1,IF($A850&lt;VLOOKUP(I$5,NFI,5,0),1,0)*Table_NFI[[#This Row],[NFI Core Kit]],Table_NFI[NFI Core Kit])</f>
        <v>0</v>
      </c>
      <c r="AA850" s="294">
        <f>IF(NFI_Expiration=1,IF($A850&lt;VLOOKUP(J$5,NFI,5,0),1,0)*Table_NFI[[#This Row],[Sanitary Kit]],Table_NFI[Sanitary Kit])</f>
        <v>0</v>
      </c>
      <c r="AB850" s="294">
        <f>IF(NFI_Expiration=1,IF($A850&lt;VLOOKUP(K$5,NFI,5,0),1,0)*Table_NFI[[#This Row],[Mosquito net]],Table_NFI[Mosquito net])</f>
        <v>0</v>
      </c>
      <c r="AC850" s="294">
        <f>IF(NFI_Expiration=1,IF($A850&lt;VLOOKUP(L$5,NFI,5,0),1,0)*Table_NFI[[#This Row],[Tarpaulin]],Table_NFI[[#This Row],[Tarpaulin]])</f>
        <v>0</v>
      </c>
      <c r="AD850" s="294">
        <f>IF(NFI_Expiration=1,IF($A850&lt;VLOOKUP(M$5,NFI,5,0),1,0)*Table_NFI[[#This Row],[Blanket]],Table_NFI[[#This Row],[Blanket]])</f>
        <v>0</v>
      </c>
      <c r="AE850" s="294">
        <f>IF(NFI_Expiration=1,IF($A850&lt;VLOOKUP(N$5,NFI,5,0),1,0)*Table_NFI[[#This Row],[Kitchen Set]],Table_NFI[Kitchen Set])</f>
        <v>0</v>
      </c>
      <c r="AF850" s="294">
        <f>IF(NFI_Expiration=1,IF($A850&lt;VLOOKUP(O$5,NFI,5,0),1,0)*Table_NFI[[#This Row],[Clothes Kit]],Table_NFI[Clothes Kit])</f>
        <v>0</v>
      </c>
      <c r="AG850" s="294">
        <f>IF(NFI_Expiration=1,IF($A850&lt;VLOOKUP(P$5,NFI,5,0),1,0)*Table_NFI[[#This Row],[Plastic Bucket]],Table_NFI[Plastic Bucket])</f>
        <v>0</v>
      </c>
      <c r="AH850" s="294">
        <f>IF(NFI_Expiration=1,IF($A850&lt;VLOOKUP(Q$5,NFI,5,0),1,0)*Table_NFI[[#This Row],[Plastic Mat]],Table_NFI[Plastic Mat])*IF(Table_NFI[[#This Row],[Distribution Date]]&gt;"2014-04-01",1,2.5)</f>
        <v>0</v>
      </c>
      <c r="AI850" s="294">
        <f>IF(NFI_Expiration=1,IF($A850&lt;VLOOKUP(R$5,NFI,5,0),1,0)*Table_NFI[[#This Row],[Winter Clothes Adult]],Table_NFI[Winter Clothes Adult])</f>
        <v>0</v>
      </c>
      <c r="AJ850" s="294">
        <f>IF(NFI_Expiration=1,IF($A850&lt;VLOOKUP(S$5,NFI,5,0),1,0)*Table_NFI[[#This Row],[Winter Clothes Children]],Table_NFI[Winter Clothes Children])</f>
        <v>0</v>
      </c>
      <c r="AK850" s="294">
        <f>IF(NFI_Expiration=1,IF($A850&lt;VLOOKUP(T$5,NFI,5,0),1,0)*Table_NFI[[#This Row],[Winter Items Other]],Table_NFI[Winter Items Other])</f>
        <v>0</v>
      </c>
      <c r="AL850" s="294">
        <f>IF(NFI_Expiration=1,IF($A850&lt;VLOOKUP(M$5,NFI,5,0),1,0)*Table_NFI[[#This Row],[Winter Blanket]],Table_NFI[[#This Row],[Winter Blanket]])</f>
        <v>0</v>
      </c>
      <c r="AM850" s="294">
        <f>IF(Table_NFI[[#This Row],[Winter Clothes Adult]]+Table_NFI[[#This Row],[Winter Clothes Children]]+Table_NFI[[#This Row],[Winter Items Other]]+Table_NFI[[#This Row],[Winter Blanket]]&gt;0,1,0)</f>
        <v>0</v>
      </c>
      <c r="AN850" s="331">
        <f>IF(NFI_Expiration=1,IF($A850&lt;VLOOKUP(V$5,NFI,5,0),1,0)*Table_NFI[[#This Row],[Jerry Can]],Table_NFI[Jerry Can])</f>
        <v>0</v>
      </c>
      <c r="AO850" s="331">
        <f>IF(NFI_Expiration=1,IF($A850&lt;VLOOKUP(V$5,NFI,5,0),1,0)*Table_NFI[[#This Row],[Shelter Tool kit]],Table_NFI[Shelter Tool kit])</f>
        <v>0</v>
      </c>
      <c r="AP850" s="331">
        <f>IF(NFI_Expiration=1,IF($A850&lt;VLOOKUP(V$5,NFI,5,0),1,0)*Table_NFI[[#This Row],[Tent]],Table_NFI[Tent])</f>
        <v>0</v>
      </c>
      <c r="AQ850" s="473" t="str">
        <f>IFERROR(VLOOKUP(Table_NFI[[#This Row],[Camp Name]],CL,2,0),"")</f>
        <v>MMR001CMP071</v>
      </c>
      <c r="AR850" s="468">
        <f ca="1">IF(Table_NFI[[#This Row],[Pcode]]="","",IF(OFFSET(CampList[Opening Date],MATCH(Table_NFI[[#This Row],[Pcode]],CampList[CP_Pcode],0)-1,0,1,1)&gt;=NFI_Monitor_Date,1,0))</f>
        <v>0</v>
      </c>
      <c r="AS850" s="473" t="str">
        <f>IFERROR(VLOOKUP(Table_NFI[[#This Row],[Camp Name]],CL,3,0),"")</f>
        <v>Open</v>
      </c>
      <c r="AT850" s="294" t="str">
        <f ca="1">IF(Table_NFI[[#This Row],[Pcode]]="","",OFFSET(CampList[Priority],MATCH(Table_NFI[[#This Row],[Pcode]],CampList[CP_Pcode],0)-1,0,1,1))</f>
        <v>P3</v>
      </c>
      <c r="AU850" s="293">
        <f>IFERROR(Table_NFI[[#This Row],[Kitchen Set]]/VLOOKUP(Table_NFI[[#This Row],[Camp Name]],CL,4,0),"")</f>
        <v>0</v>
      </c>
      <c r="AV850" s="466"/>
      <c r="AW850" s="469"/>
    </row>
    <row r="851" spans="1:49" x14ac:dyDescent="0.25">
      <c r="A851" s="297">
        <f t="shared" si="13"/>
        <v>47.133333333333333</v>
      </c>
      <c r="B851" s="465">
        <v>41261</v>
      </c>
      <c r="C851" s="466" t="s">
        <v>452</v>
      </c>
      <c r="D851" s="467" t="s">
        <v>452</v>
      </c>
      <c r="E851" s="466" t="s">
        <v>380</v>
      </c>
      <c r="F851" s="290" t="s">
        <v>237</v>
      </c>
      <c r="G851" s="290" t="s">
        <v>281</v>
      </c>
      <c r="H851" s="291"/>
      <c r="I851" s="291"/>
      <c r="J851" s="291"/>
      <c r="K851" s="291">
        <v>30</v>
      </c>
      <c r="L851" s="292">
        <v>20</v>
      </c>
      <c r="M851" s="292">
        <v>30</v>
      </c>
      <c r="N851" s="292">
        <v>20</v>
      </c>
      <c r="O851" s="292">
        <v>20</v>
      </c>
      <c r="P851" s="294">
        <v>20</v>
      </c>
      <c r="Q851" s="294">
        <v>20</v>
      </c>
      <c r="R851" s="294"/>
      <c r="S851" s="294"/>
      <c r="T851" s="294"/>
      <c r="U851" s="294"/>
      <c r="V851" s="431"/>
      <c r="W851" s="294"/>
      <c r="X851" s="294"/>
      <c r="Y851" s="294">
        <f>IF(NFI_Expiration=1,IF($A851&lt;VLOOKUP(H$5,NFI,5,0),1,0)*Table_NFI[[#This Row],[Hygiene Kit]],Table_NFI[Hygiene Kit])</f>
        <v>0</v>
      </c>
      <c r="Z851" s="294">
        <f>IF(NFI_Expiration=1,IF($A851&lt;VLOOKUP(I$5,NFI,5,0),1,0)*Table_NFI[[#This Row],[NFI Core Kit]],Table_NFI[NFI Core Kit])</f>
        <v>0</v>
      </c>
      <c r="AA851" s="294">
        <f>IF(NFI_Expiration=1,IF($A851&lt;VLOOKUP(J$5,NFI,5,0),1,0)*Table_NFI[[#This Row],[Sanitary Kit]],Table_NFI[Sanitary Kit])</f>
        <v>0</v>
      </c>
      <c r="AB851" s="294">
        <f>IF(NFI_Expiration=1,IF($A851&lt;VLOOKUP(K$5,NFI,5,0),1,0)*Table_NFI[[#This Row],[Mosquito net]],Table_NFI[Mosquito net])</f>
        <v>0</v>
      </c>
      <c r="AC851" s="294">
        <f>IF(NFI_Expiration=1,IF($A851&lt;VLOOKUP(L$5,NFI,5,0),1,0)*Table_NFI[[#This Row],[Tarpaulin]],Table_NFI[[#This Row],[Tarpaulin]])</f>
        <v>0</v>
      </c>
      <c r="AD851" s="294">
        <f>IF(NFI_Expiration=1,IF($A851&lt;VLOOKUP(M$5,NFI,5,0),1,0)*Table_NFI[[#This Row],[Blanket]],Table_NFI[[#This Row],[Blanket]])</f>
        <v>0</v>
      </c>
      <c r="AE851" s="294">
        <f>IF(NFI_Expiration=1,IF($A851&lt;VLOOKUP(N$5,NFI,5,0),1,0)*Table_NFI[[#This Row],[Kitchen Set]],Table_NFI[Kitchen Set])</f>
        <v>0</v>
      </c>
      <c r="AF851" s="294">
        <f>IF(NFI_Expiration=1,IF($A851&lt;VLOOKUP(O$5,NFI,5,0),1,0)*Table_NFI[[#This Row],[Clothes Kit]],Table_NFI[Clothes Kit])</f>
        <v>0</v>
      </c>
      <c r="AG851" s="294">
        <f>IF(NFI_Expiration=1,IF($A851&lt;VLOOKUP(P$5,NFI,5,0),1,0)*Table_NFI[[#This Row],[Plastic Bucket]],Table_NFI[Plastic Bucket])</f>
        <v>0</v>
      </c>
      <c r="AH851" s="294">
        <f>IF(NFI_Expiration=1,IF($A851&lt;VLOOKUP(Q$5,NFI,5,0),1,0)*Table_NFI[[#This Row],[Plastic Mat]],Table_NFI[Plastic Mat])*IF(Table_NFI[[#This Row],[Distribution Date]]&gt;"2014-04-01",1,2.5)</f>
        <v>0</v>
      </c>
      <c r="AI851" s="294">
        <f>IF(NFI_Expiration=1,IF($A851&lt;VLOOKUP(R$5,NFI,5,0),1,0)*Table_NFI[[#This Row],[Winter Clothes Adult]],Table_NFI[Winter Clothes Adult])</f>
        <v>0</v>
      </c>
      <c r="AJ851" s="294">
        <f>IF(NFI_Expiration=1,IF($A851&lt;VLOOKUP(S$5,NFI,5,0),1,0)*Table_NFI[[#This Row],[Winter Clothes Children]],Table_NFI[Winter Clothes Children])</f>
        <v>0</v>
      </c>
      <c r="AK851" s="294">
        <f>IF(NFI_Expiration=1,IF($A851&lt;VLOOKUP(T$5,NFI,5,0),1,0)*Table_NFI[[#This Row],[Winter Items Other]],Table_NFI[Winter Items Other])</f>
        <v>0</v>
      </c>
      <c r="AL851" s="294">
        <f>IF(NFI_Expiration=1,IF($A851&lt;VLOOKUP(M$5,NFI,5,0),1,0)*Table_NFI[[#This Row],[Winter Blanket]],Table_NFI[[#This Row],[Winter Blanket]])</f>
        <v>0</v>
      </c>
      <c r="AM851" s="294">
        <f>IF(Table_NFI[[#This Row],[Winter Clothes Adult]]+Table_NFI[[#This Row],[Winter Clothes Children]]+Table_NFI[[#This Row],[Winter Items Other]]+Table_NFI[[#This Row],[Winter Blanket]]&gt;0,1,0)</f>
        <v>0</v>
      </c>
      <c r="AN851" s="331">
        <f>IF(NFI_Expiration=1,IF($A851&lt;VLOOKUP(V$5,NFI,5,0),1,0)*Table_NFI[[#This Row],[Jerry Can]],Table_NFI[Jerry Can])</f>
        <v>0</v>
      </c>
      <c r="AO851" s="331">
        <f>IF(NFI_Expiration=1,IF($A851&lt;VLOOKUP(V$5,NFI,5,0),1,0)*Table_NFI[[#This Row],[Shelter Tool kit]],Table_NFI[Shelter Tool kit])</f>
        <v>0</v>
      </c>
      <c r="AP851" s="331">
        <f>IF(NFI_Expiration=1,IF($A851&lt;VLOOKUP(V$5,NFI,5,0),1,0)*Table_NFI[[#This Row],[Tent]],Table_NFI[Tent])</f>
        <v>0</v>
      </c>
      <c r="AQ851" s="473" t="str">
        <f>IFERROR(VLOOKUP(Table_NFI[[#This Row],[Camp Name]],CL,2,0),"")</f>
        <v>MMR001CMP009</v>
      </c>
      <c r="AR851" s="468">
        <f ca="1">IF(Table_NFI[[#This Row],[Pcode]]="","",IF(OFFSET(CampList[Opening Date],MATCH(Table_NFI[[#This Row],[Pcode]],CampList[CP_Pcode],0)-1,0,1,1)&gt;=NFI_Monitor_Date,1,0))</f>
        <v>0</v>
      </c>
      <c r="AS851" s="473" t="str">
        <f>IFERROR(VLOOKUP(Table_NFI[[#This Row],[Camp Name]],CL,3,0),"")</f>
        <v>Open</v>
      </c>
      <c r="AT851" s="294" t="str">
        <f ca="1">IF(Table_NFI[[#This Row],[Pcode]]="","",OFFSET(CampList[Priority],MATCH(Table_NFI[[#This Row],[Pcode]],CampList[CP_Pcode],0)-1,0,1,1))</f>
        <v>P4</v>
      </c>
      <c r="AU851" s="293">
        <f>IFERROR(Table_NFI[[#This Row],[Kitchen Set]]/VLOOKUP(Table_NFI[[#This Row],[Camp Name]],CL,4,0),"")</f>
        <v>0.27397260273972601</v>
      </c>
      <c r="AV851" s="466" t="s">
        <v>1092</v>
      </c>
      <c r="AW851" s="469"/>
    </row>
    <row r="852" spans="1:49" x14ac:dyDescent="0.25">
      <c r="A852" s="297">
        <f t="shared" si="13"/>
        <v>47.233333333333334</v>
      </c>
      <c r="B852" s="465">
        <v>41258</v>
      </c>
      <c r="C852" s="466" t="s">
        <v>905</v>
      </c>
      <c r="D852" s="467" t="s">
        <v>460</v>
      </c>
      <c r="E852" s="466" t="s">
        <v>380</v>
      </c>
      <c r="F852" s="290" t="s">
        <v>151</v>
      </c>
      <c r="G852" s="290" t="s">
        <v>188</v>
      </c>
      <c r="H852" s="291">
        <v>587</v>
      </c>
      <c r="I852" s="291"/>
      <c r="J852" s="291"/>
      <c r="K852" s="291"/>
      <c r="L852" s="292"/>
      <c r="M852" s="292"/>
      <c r="N852" s="292"/>
      <c r="O852" s="292"/>
      <c r="P852" s="294">
        <v>0</v>
      </c>
      <c r="Q852" s="294">
        <v>0</v>
      </c>
      <c r="R852" s="294"/>
      <c r="S852" s="294"/>
      <c r="T852" s="294"/>
      <c r="U852" s="294"/>
      <c r="V852" s="431"/>
      <c r="W852" s="294"/>
      <c r="X852" s="294"/>
      <c r="Y852" s="294">
        <f>IF(NFI_Expiration=1,IF($A852&lt;VLOOKUP(H$5,NFI,5,0),1,0)*Table_NFI[[#This Row],[Hygiene Kit]],Table_NFI[Hygiene Kit])</f>
        <v>0</v>
      </c>
      <c r="Z852" s="294">
        <f>IF(NFI_Expiration=1,IF($A852&lt;VLOOKUP(I$5,NFI,5,0),1,0)*Table_NFI[[#This Row],[NFI Core Kit]],Table_NFI[NFI Core Kit])</f>
        <v>0</v>
      </c>
      <c r="AA852" s="294">
        <f>IF(NFI_Expiration=1,IF($A852&lt;VLOOKUP(J$5,NFI,5,0),1,0)*Table_NFI[[#This Row],[Sanitary Kit]],Table_NFI[Sanitary Kit])</f>
        <v>0</v>
      </c>
      <c r="AB852" s="294">
        <f>IF(NFI_Expiration=1,IF($A852&lt;VLOOKUP(K$5,NFI,5,0),1,0)*Table_NFI[[#This Row],[Mosquito net]],Table_NFI[Mosquito net])</f>
        <v>0</v>
      </c>
      <c r="AC852" s="294">
        <f>IF(NFI_Expiration=1,IF($A852&lt;VLOOKUP(L$5,NFI,5,0),1,0)*Table_NFI[[#This Row],[Tarpaulin]],Table_NFI[[#This Row],[Tarpaulin]])</f>
        <v>0</v>
      </c>
      <c r="AD852" s="294">
        <f>IF(NFI_Expiration=1,IF($A852&lt;VLOOKUP(M$5,NFI,5,0),1,0)*Table_NFI[[#This Row],[Blanket]],Table_NFI[[#This Row],[Blanket]])</f>
        <v>0</v>
      </c>
      <c r="AE852" s="294">
        <f>IF(NFI_Expiration=1,IF($A852&lt;VLOOKUP(N$5,NFI,5,0),1,0)*Table_NFI[[#This Row],[Kitchen Set]],Table_NFI[Kitchen Set])</f>
        <v>0</v>
      </c>
      <c r="AF852" s="294">
        <f>IF(NFI_Expiration=1,IF($A852&lt;VLOOKUP(O$5,NFI,5,0),1,0)*Table_NFI[[#This Row],[Clothes Kit]],Table_NFI[Clothes Kit])</f>
        <v>0</v>
      </c>
      <c r="AG852" s="294">
        <f>IF(NFI_Expiration=1,IF($A852&lt;VLOOKUP(P$5,NFI,5,0),1,0)*Table_NFI[[#This Row],[Plastic Bucket]],Table_NFI[Plastic Bucket])</f>
        <v>0</v>
      </c>
      <c r="AH852" s="294">
        <f>IF(NFI_Expiration=1,IF($A852&lt;VLOOKUP(Q$5,NFI,5,0),1,0)*Table_NFI[[#This Row],[Plastic Mat]],Table_NFI[Plastic Mat])*IF(Table_NFI[[#This Row],[Distribution Date]]&gt;"2014-04-01",1,2.5)</f>
        <v>0</v>
      </c>
      <c r="AI852" s="294">
        <f>IF(NFI_Expiration=1,IF($A852&lt;VLOOKUP(R$5,NFI,5,0),1,0)*Table_NFI[[#This Row],[Winter Clothes Adult]],Table_NFI[Winter Clothes Adult])</f>
        <v>0</v>
      </c>
      <c r="AJ852" s="294">
        <f>IF(NFI_Expiration=1,IF($A852&lt;VLOOKUP(S$5,NFI,5,0),1,0)*Table_NFI[[#This Row],[Winter Clothes Children]],Table_NFI[Winter Clothes Children])</f>
        <v>0</v>
      </c>
      <c r="AK852" s="294">
        <f>IF(NFI_Expiration=1,IF($A852&lt;VLOOKUP(T$5,NFI,5,0),1,0)*Table_NFI[[#This Row],[Winter Items Other]],Table_NFI[Winter Items Other])</f>
        <v>0</v>
      </c>
      <c r="AL852" s="294">
        <f>IF(NFI_Expiration=1,IF($A852&lt;VLOOKUP(M$5,NFI,5,0),1,0)*Table_NFI[[#This Row],[Winter Blanket]],Table_NFI[[#This Row],[Winter Blanket]])</f>
        <v>0</v>
      </c>
      <c r="AM852" s="294">
        <f>IF(Table_NFI[[#This Row],[Winter Clothes Adult]]+Table_NFI[[#This Row],[Winter Clothes Children]]+Table_NFI[[#This Row],[Winter Items Other]]+Table_NFI[[#This Row],[Winter Blanket]]&gt;0,1,0)</f>
        <v>0</v>
      </c>
      <c r="AN852" s="331">
        <f>IF(NFI_Expiration=1,IF($A852&lt;VLOOKUP(V$5,NFI,5,0),1,0)*Table_NFI[[#This Row],[Jerry Can]],Table_NFI[Jerry Can])</f>
        <v>0</v>
      </c>
      <c r="AO852" s="331">
        <f>IF(NFI_Expiration=1,IF($A852&lt;VLOOKUP(V$5,NFI,5,0),1,0)*Table_NFI[[#This Row],[Shelter Tool kit]],Table_NFI[Shelter Tool kit])</f>
        <v>0</v>
      </c>
      <c r="AP852" s="331">
        <f>IF(NFI_Expiration=1,IF($A852&lt;VLOOKUP(V$5,NFI,5,0),1,0)*Table_NFI[[#This Row],[Tent]],Table_NFI[Tent])</f>
        <v>0</v>
      </c>
      <c r="AQ852" s="473" t="str">
        <f>IFERROR(VLOOKUP(Table_NFI[[#This Row],[Camp Name]],CL,2,0),"")</f>
        <v>MMR001CMP129</v>
      </c>
      <c r="AR852" s="468">
        <f ca="1">IF(Table_NFI[[#This Row],[Pcode]]="","",IF(OFFSET(CampList[Opening Date],MATCH(Table_NFI[[#This Row],[Pcode]],CampList[CP_Pcode],0)-1,0,1,1)&gt;=NFI_Monitor_Date,1,0))</f>
        <v>0</v>
      </c>
      <c r="AS852" s="473" t="str">
        <f>IFERROR(VLOOKUP(Table_NFI[[#This Row],[Camp Name]],CL,3,0),"")</f>
        <v>Open</v>
      </c>
      <c r="AT852" s="294" t="str">
        <f ca="1">IF(Table_NFI[[#This Row],[Pcode]]="","",OFFSET(CampList[Priority],MATCH(Table_NFI[[#This Row],[Pcode]],CampList[CP_Pcode],0)-1,0,1,1))</f>
        <v>P2</v>
      </c>
      <c r="AU852" s="293">
        <f>IFERROR(Table_NFI[[#This Row],[Kitchen Set]]/VLOOKUP(Table_NFI[[#This Row],[Camp Name]],CL,4,0),"")</f>
        <v>0</v>
      </c>
      <c r="AV852" s="466" t="s">
        <v>1092</v>
      </c>
      <c r="AW852" s="469"/>
    </row>
    <row r="853" spans="1:49" x14ac:dyDescent="0.25">
      <c r="A853" s="297">
        <f t="shared" si="13"/>
        <v>47.3</v>
      </c>
      <c r="B853" s="465">
        <v>41256</v>
      </c>
      <c r="C853" s="466" t="s">
        <v>452</v>
      </c>
      <c r="D853" s="467" t="s">
        <v>452</v>
      </c>
      <c r="E853" s="466" t="s">
        <v>380</v>
      </c>
      <c r="F853" s="290" t="s">
        <v>237</v>
      </c>
      <c r="G853" s="290" t="s">
        <v>271</v>
      </c>
      <c r="H853" s="291"/>
      <c r="I853" s="291"/>
      <c r="J853" s="291"/>
      <c r="K853" s="291">
        <v>16</v>
      </c>
      <c r="L853" s="292">
        <v>7</v>
      </c>
      <c r="M853" s="292">
        <v>16</v>
      </c>
      <c r="N853" s="292">
        <v>7</v>
      </c>
      <c r="O853" s="292">
        <v>7</v>
      </c>
      <c r="P853" s="294">
        <v>7</v>
      </c>
      <c r="Q853" s="294">
        <v>7</v>
      </c>
      <c r="R853" s="294"/>
      <c r="S853" s="294"/>
      <c r="T853" s="294"/>
      <c r="U853" s="294"/>
      <c r="V853" s="431"/>
      <c r="W853" s="294"/>
      <c r="X853" s="294"/>
      <c r="Y853" s="294">
        <f>IF(NFI_Expiration=1,IF($A853&lt;VLOOKUP(H$5,NFI,5,0),1,0)*Table_NFI[[#This Row],[Hygiene Kit]],Table_NFI[Hygiene Kit])</f>
        <v>0</v>
      </c>
      <c r="Z853" s="294">
        <f>IF(NFI_Expiration=1,IF($A853&lt;VLOOKUP(I$5,NFI,5,0),1,0)*Table_NFI[[#This Row],[NFI Core Kit]],Table_NFI[NFI Core Kit])</f>
        <v>0</v>
      </c>
      <c r="AA853" s="294">
        <f>IF(NFI_Expiration=1,IF($A853&lt;VLOOKUP(J$5,NFI,5,0),1,0)*Table_NFI[[#This Row],[Sanitary Kit]],Table_NFI[Sanitary Kit])</f>
        <v>0</v>
      </c>
      <c r="AB853" s="294">
        <f>IF(NFI_Expiration=1,IF($A853&lt;VLOOKUP(K$5,NFI,5,0),1,0)*Table_NFI[[#This Row],[Mosquito net]],Table_NFI[Mosquito net])</f>
        <v>0</v>
      </c>
      <c r="AC853" s="294">
        <f>IF(NFI_Expiration=1,IF($A853&lt;VLOOKUP(L$5,NFI,5,0),1,0)*Table_NFI[[#This Row],[Tarpaulin]],Table_NFI[[#This Row],[Tarpaulin]])</f>
        <v>0</v>
      </c>
      <c r="AD853" s="294">
        <f>IF(NFI_Expiration=1,IF($A853&lt;VLOOKUP(M$5,NFI,5,0),1,0)*Table_NFI[[#This Row],[Blanket]],Table_NFI[[#This Row],[Blanket]])</f>
        <v>0</v>
      </c>
      <c r="AE853" s="294">
        <f>IF(NFI_Expiration=1,IF($A853&lt;VLOOKUP(N$5,NFI,5,0),1,0)*Table_NFI[[#This Row],[Kitchen Set]],Table_NFI[Kitchen Set])</f>
        <v>0</v>
      </c>
      <c r="AF853" s="294">
        <f>IF(NFI_Expiration=1,IF($A853&lt;VLOOKUP(O$5,NFI,5,0),1,0)*Table_NFI[[#This Row],[Clothes Kit]],Table_NFI[Clothes Kit])</f>
        <v>0</v>
      </c>
      <c r="AG853" s="294">
        <f>IF(NFI_Expiration=1,IF($A853&lt;VLOOKUP(P$5,NFI,5,0),1,0)*Table_NFI[[#This Row],[Plastic Bucket]],Table_NFI[Plastic Bucket])</f>
        <v>0</v>
      </c>
      <c r="AH853" s="294">
        <f>IF(NFI_Expiration=1,IF($A853&lt;VLOOKUP(Q$5,NFI,5,0),1,0)*Table_NFI[[#This Row],[Plastic Mat]],Table_NFI[Plastic Mat])*IF(Table_NFI[[#This Row],[Distribution Date]]&gt;"2014-04-01",1,2.5)</f>
        <v>0</v>
      </c>
      <c r="AI853" s="294">
        <f>IF(NFI_Expiration=1,IF($A853&lt;VLOOKUP(R$5,NFI,5,0),1,0)*Table_NFI[[#This Row],[Winter Clothes Adult]],Table_NFI[Winter Clothes Adult])</f>
        <v>0</v>
      </c>
      <c r="AJ853" s="294">
        <f>IF(NFI_Expiration=1,IF($A853&lt;VLOOKUP(S$5,NFI,5,0),1,0)*Table_NFI[[#This Row],[Winter Clothes Children]],Table_NFI[Winter Clothes Children])</f>
        <v>0</v>
      </c>
      <c r="AK853" s="294">
        <f>IF(NFI_Expiration=1,IF($A853&lt;VLOOKUP(T$5,NFI,5,0),1,0)*Table_NFI[[#This Row],[Winter Items Other]],Table_NFI[Winter Items Other])</f>
        <v>0</v>
      </c>
      <c r="AL853" s="294">
        <f>IF(NFI_Expiration=1,IF($A853&lt;VLOOKUP(M$5,NFI,5,0),1,0)*Table_NFI[[#This Row],[Winter Blanket]],Table_NFI[[#This Row],[Winter Blanket]])</f>
        <v>0</v>
      </c>
      <c r="AM853" s="294">
        <f>IF(Table_NFI[[#This Row],[Winter Clothes Adult]]+Table_NFI[[#This Row],[Winter Clothes Children]]+Table_NFI[[#This Row],[Winter Items Other]]+Table_NFI[[#This Row],[Winter Blanket]]&gt;0,1,0)</f>
        <v>0</v>
      </c>
      <c r="AN853" s="331">
        <f>IF(NFI_Expiration=1,IF($A853&lt;VLOOKUP(V$5,NFI,5,0),1,0)*Table_NFI[[#This Row],[Jerry Can]],Table_NFI[Jerry Can])</f>
        <v>0</v>
      </c>
      <c r="AO853" s="331">
        <f>IF(NFI_Expiration=1,IF($A853&lt;VLOOKUP(V$5,NFI,5,0),1,0)*Table_NFI[[#This Row],[Shelter Tool kit]],Table_NFI[Shelter Tool kit])</f>
        <v>0</v>
      </c>
      <c r="AP853" s="331">
        <f>IF(NFI_Expiration=1,IF($A853&lt;VLOOKUP(V$5,NFI,5,0),1,0)*Table_NFI[[#This Row],[Tent]],Table_NFI[Tent])</f>
        <v>0</v>
      </c>
      <c r="AQ853" s="473" t="str">
        <f>IFERROR(VLOOKUP(Table_NFI[[#This Row],[Camp Name]],CL,2,0),"")</f>
        <v>MMR001CMP024</v>
      </c>
      <c r="AR853" s="468">
        <f ca="1">IF(Table_NFI[[#This Row],[Pcode]]="","",IF(OFFSET(CampList[Opening Date],MATCH(Table_NFI[[#This Row],[Pcode]],CampList[CP_Pcode],0)-1,0,1,1)&gt;=NFI_Monitor_Date,1,0))</f>
        <v>0</v>
      </c>
      <c r="AS853" s="473" t="str">
        <f>IFERROR(VLOOKUP(Table_NFI[[#This Row],[Camp Name]],CL,3,0),"")</f>
        <v>Open</v>
      </c>
      <c r="AT853" s="294" t="str">
        <f ca="1">IF(Table_NFI[[#This Row],[Pcode]]="","",OFFSET(CampList[Priority],MATCH(Table_NFI[[#This Row],[Pcode]],CampList[CP_Pcode],0)-1,0,1,1))</f>
        <v>P4</v>
      </c>
      <c r="AU853" s="293">
        <f>IFERROR(Table_NFI[[#This Row],[Kitchen Set]]/VLOOKUP(Table_NFI[[#This Row],[Camp Name]],CL,4,0),"")</f>
        <v>0.10294117647058823</v>
      </c>
      <c r="AV853" s="466" t="s">
        <v>1092</v>
      </c>
      <c r="AW853" s="469"/>
    </row>
    <row r="854" spans="1:49" x14ac:dyDescent="0.25">
      <c r="A854" s="297">
        <f t="shared" si="13"/>
        <v>47.333333333333336</v>
      </c>
      <c r="B854" s="465">
        <v>41255</v>
      </c>
      <c r="C854" s="466" t="s">
        <v>905</v>
      </c>
      <c r="D854" s="466" t="s">
        <v>905</v>
      </c>
      <c r="E854" s="466" t="s">
        <v>380</v>
      </c>
      <c r="F854" s="466" t="s">
        <v>185</v>
      </c>
      <c r="G854" s="290" t="s">
        <v>196</v>
      </c>
      <c r="H854" s="294">
        <v>5228</v>
      </c>
      <c r="I854" s="291"/>
      <c r="J854" s="291"/>
      <c r="K854" s="291"/>
      <c r="L854" s="292"/>
      <c r="M854" s="292"/>
      <c r="N854" s="292"/>
      <c r="O854" s="292"/>
      <c r="P854" s="294">
        <v>0</v>
      </c>
      <c r="Q854" s="294">
        <v>0</v>
      </c>
      <c r="R854" s="294"/>
      <c r="S854" s="294"/>
      <c r="T854" s="294"/>
      <c r="U854" s="294"/>
      <c r="V854" s="431"/>
      <c r="W854" s="294"/>
      <c r="X854" s="294"/>
      <c r="Y854" s="294">
        <f>IF(NFI_Expiration=1,IF($A854&lt;VLOOKUP(H$5,NFI,5,0),1,0)*Table_NFI[[#This Row],[Hygiene Kit]],Table_NFI[Hygiene Kit])</f>
        <v>0</v>
      </c>
      <c r="Z854" s="294">
        <f>IF(NFI_Expiration=1,IF($A854&lt;VLOOKUP(I$5,NFI,5,0),1,0)*Table_NFI[[#This Row],[NFI Core Kit]],Table_NFI[NFI Core Kit])</f>
        <v>0</v>
      </c>
      <c r="AA854" s="294">
        <f>IF(NFI_Expiration=1,IF($A854&lt;VLOOKUP(J$5,NFI,5,0),1,0)*Table_NFI[[#This Row],[Sanitary Kit]],Table_NFI[Sanitary Kit])</f>
        <v>0</v>
      </c>
      <c r="AB854" s="294">
        <f>IF(NFI_Expiration=1,IF($A854&lt;VLOOKUP(K$5,NFI,5,0),1,0)*Table_NFI[[#This Row],[Mosquito net]],Table_NFI[Mosquito net])</f>
        <v>0</v>
      </c>
      <c r="AC854" s="294">
        <f>IF(NFI_Expiration=1,IF($A854&lt;VLOOKUP(L$5,NFI,5,0),1,0)*Table_NFI[[#This Row],[Tarpaulin]],Table_NFI[[#This Row],[Tarpaulin]])</f>
        <v>0</v>
      </c>
      <c r="AD854" s="294">
        <f>IF(NFI_Expiration=1,IF($A854&lt;VLOOKUP(M$5,NFI,5,0),1,0)*Table_NFI[[#This Row],[Blanket]],Table_NFI[[#This Row],[Blanket]])</f>
        <v>0</v>
      </c>
      <c r="AE854" s="294">
        <f>IF(NFI_Expiration=1,IF($A854&lt;VLOOKUP(N$5,NFI,5,0),1,0)*Table_NFI[[#This Row],[Kitchen Set]],Table_NFI[Kitchen Set])</f>
        <v>0</v>
      </c>
      <c r="AF854" s="294">
        <f>IF(NFI_Expiration=1,IF($A854&lt;VLOOKUP(O$5,NFI,5,0),1,0)*Table_NFI[[#This Row],[Clothes Kit]],Table_NFI[Clothes Kit])</f>
        <v>0</v>
      </c>
      <c r="AG854" s="294">
        <f>IF(NFI_Expiration=1,IF($A854&lt;VLOOKUP(P$5,NFI,5,0),1,0)*Table_NFI[[#This Row],[Plastic Bucket]],Table_NFI[Plastic Bucket])</f>
        <v>0</v>
      </c>
      <c r="AH854" s="294">
        <f>IF(NFI_Expiration=1,IF($A854&lt;VLOOKUP(Q$5,NFI,5,0),1,0)*Table_NFI[[#This Row],[Plastic Mat]],Table_NFI[Plastic Mat])*IF(Table_NFI[[#This Row],[Distribution Date]]&gt;"2014-04-01",1,2.5)</f>
        <v>0</v>
      </c>
      <c r="AI854" s="294">
        <f>IF(NFI_Expiration=1,IF($A854&lt;VLOOKUP(R$5,NFI,5,0),1,0)*Table_NFI[[#This Row],[Winter Clothes Adult]],Table_NFI[Winter Clothes Adult])</f>
        <v>0</v>
      </c>
      <c r="AJ854" s="294">
        <f>IF(NFI_Expiration=1,IF($A854&lt;VLOOKUP(S$5,NFI,5,0),1,0)*Table_NFI[[#This Row],[Winter Clothes Children]],Table_NFI[Winter Clothes Children])</f>
        <v>0</v>
      </c>
      <c r="AK854" s="294">
        <f>IF(NFI_Expiration=1,IF($A854&lt;VLOOKUP(T$5,NFI,5,0),1,0)*Table_NFI[[#This Row],[Winter Items Other]],Table_NFI[Winter Items Other])</f>
        <v>0</v>
      </c>
      <c r="AL854" s="294">
        <f>IF(NFI_Expiration=1,IF($A854&lt;VLOOKUP(M$5,NFI,5,0),1,0)*Table_NFI[[#This Row],[Winter Blanket]],Table_NFI[[#This Row],[Winter Blanket]])</f>
        <v>0</v>
      </c>
      <c r="AM854" s="294">
        <f>IF(Table_NFI[[#This Row],[Winter Clothes Adult]]+Table_NFI[[#This Row],[Winter Clothes Children]]+Table_NFI[[#This Row],[Winter Items Other]]+Table_NFI[[#This Row],[Winter Blanket]]&gt;0,1,0)</f>
        <v>0</v>
      </c>
      <c r="AN854" s="331">
        <f>IF(NFI_Expiration=1,IF($A854&lt;VLOOKUP(V$5,NFI,5,0),1,0)*Table_NFI[[#This Row],[Jerry Can]],Table_NFI[Jerry Can])</f>
        <v>0</v>
      </c>
      <c r="AO854" s="331">
        <f>IF(NFI_Expiration=1,IF($A854&lt;VLOOKUP(V$5,NFI,5,0),1,0)*Table_NFI[[#This Row],[Shelter Tool kit]],Table_NFI[Shelter Tool kit])</f>
        <v>0</v>
      </c>
      <c r="AP854" s="331">
        <f>IF(NFI_Expiration=1,IF($A854&lt;VLOOKUP(V$5,NFI,5,0),1,0)*Table_NFI[[#This Row],[Tent]],Table_NFI[Tent])</f>
        <v>0</v>
      </c>
      <c r="AQ854" s="473" t="str">
        <f>IFERROR(VLOOKUP(Table_NFI[[#This Row],[Camp Name]],CL,2,0),"")</f>
        <v>MMR001CMP121</v>
      </c>
      <c r="AR854" s="468">
        <f ca="1">IF(Table_NFI[[#This Row],[Pcode]]="","",IF(OFFSET(CampList[Opening Date],MATCH(Table_NFI[[#This Row],[Pcode]],CampList[CP_Pcode],0)-1,0,1,1)&gt;=NFI_Monitor_Date,1,0))</f>
        <v>0</v>
      </c>
      <c r="AS854" s="473" t="str">
        <f>IFERROR(VLOOKUP(Table_NFI[[#This Row],[Camp Name]],CL,3,0),"")</f>
        <v>Open</v>
      </c>
      <c r="AT854" s="294" t="str">
        <f ca="1">IF(Table_NFI[[#This Row],[Pcode]]="","",OFFSET(CampList[Priority],MATCH(Table_NFI[[#This Row],[Pcode]],CampList[CP_Pcode],0)-1,0,1,1))</f>
        <v>P2</v>
      </c>
      <c r="AU854" s="293">
        <f>IFERROR(Table_NFI[[#This Row],[Kitchen Set]]/VLOOKUP(Table_NFI[[#This Row],[Camp Name]],CL,4,0),"")</f>
        <v>0</v>
      </c>
      <c r="AV854" s="466" t="s">
        <v>1092</v>
      </c>
      <c r="AW854" s="469"/>
    </row>
    <row r="855" spans="1:49" x14ac:dyDescent="0.25">
      <c r="A855" s="297">
        <f t="shared" si="13"/>
        <v>47.366666666666667</v>
      </c>
      <c r="B855" s="465">
        <v>41254</v>
      </c>
      <c r="C855" s="466" t="s">
        <v>905</v>
      </c>
      <c r="D855" s="467" t="s">
        <v>905</v>
      </c>
      <c r="E855" s="466" t="s">
        <v>380</v>
      </c>
      <c r="F855" s="290" t="s">
        <v>185</v>
      </c>
      <c r="G855" s="290" t="s">
        <v>194</v>
      </c>
      <c r="H855" s="291">
        <v>1658</v>
      </c>
      <c r="I855" s="296"/>
      <c r="J855" s="289"/>
      <c r="K855" s="289"/>
      <c r="L855" s="289"/>
      <c r="M855" s="289"/>
      <c r="N855" s="289"/>
      <c r="O855" s="289"/>
      <c r="P855" s="294">
        <v>0</v>
      </c>
      <c r="Q855" s="294">
        <v>0</v>
      </c>
      <c r="R855" s="294"/>
      <c r="S855" s="294"/>
      <c r="T855" s="294"/>
      <c r="U855" s="294"/>
      <c r="V855" s="431"/>
      <c r="W855" s="294"/>
      <c r="X855" s="294"/>
      <c r="Y855" s="294">
        <f>IF(NFI_Expiration=1,IF($A855&lt;VLOOKUP(H$5,NFI,5,0),1,0)*Table_NFI[[#This Row],[Hygiene Kit]],Table_NFI[Hygiene Kit])</f>
        <v>0</v>
      </c>
      <c r="Z855" s="294">
        <f>IF(NFI_Expiration=1,IF($A855&lt;VLOOKUP(I$5,NFI,5,0),1,0)*Table_NFI[[#This Row],[NFI Core Kit]],Table_NFI[NFI Core Kit])</f>
        <v>0</v>
      </c>
      <c r="AA855" s="294">
        <f>IF(NFI_Expiration=1,IF($A855&lt;VLOOKUP(J$5,NFI,5,0),1,0)*Table_NFI[[#This Row],[Sanitary Kit]],Table_NFI[Sanitary Kit])</f>
        <v>0</v>
      </c>
      <c r="AB855" s="294">
        <f>IF(NFI_Expiration=1,IF($A855&lt;VLOOKUP(K$5,NFI,5,0),1,0)*Table_NFI[[#This Row],[Mosquito net]],Table_NFI[Mosquito net])</f>
        <v>0</v>
      </c>
      <c r="AC855" s="294">
        <f>IF(NFI_Expiration=1,IF($A855&lt;VLOOKUP(L$5,NFI,5,0),1,0)*Table_NFI[[#This Row],[Tarpaulin]],Table_NFI[[#This Row],[Tarpaulin]])</f>
        <v>0</v>
      </c>
      <c r="AD855" s="294">
        <f>IF(NFI_Expiration=1,IF($A855&lt;VLOOKUP(M$5,NFI,5,0),1,0)*Table_NFI[[#This Row],[Blanket]],Table_NFI[[#This Row],[Blanket]])</f>
        <v>0</v>
      </c>
      <c r="AE855" s="294">
        <f>IF(NFI_Expiration=1,IF($A855&lt;VLOOKUP(N$5,NFI,5,0),1,0)*Table_NFI[[#This Row],[Kitchen Set]],Table_NFI[Kitchen Set])</f>
        <v>0</v>
      </c>
      <c r="AF855" s="294">
        <f>IF(NFI_Expiration=1,IF($A855&lt;VLOOKUP(O$5,NFI,5,0),1,0)*Table_NFI[[#This Row],[Clothes Kit]],Table_NFI[Clothes Kit])</f>
        <v>0</v>
      </c>
      <c r="AG855" s="294">
        <f>IF(NFI_Expiration=1,IF($A855&lt;VLOOKUP(P$5,NFI,5,0),1,0)*Table_NFI[[#This Row],[Plastic Bucket]],Table_NFI[Plastic Bucket])</f>
        <v>0</v>
      </c>
      <c r="AH855" s="294">
        <f>IF(NFI_Expiration=1,IF($A855&lt;VLOOKUP(Q$5,NFI,5,0),1,0)*Table_NFI[[#This Row],[Plastic Mat]],Table_NFI[Plastic Mat])*IF(Table_NFI[[#This Row],[Distribution Date]]&gt;"2014-04-01",1,2.5)</f>
        <v>0</v>
      </c>
      <c r="AI855" s="294">
        <f>IF(NFI_Expiration=1,IF($A855&lt;VLOOKUP(R$5,NFI,5,0),1,0)*Table_NFI[[#This Row],[Winter Clothes Adult]],Table_NFI[Winter Clothes Adult])</f>
        <v>0</v>
      </c>
      <c r="AJ855" s="294">
        <f>IF(NFI_Expiration=1,IF($A855&lt;VLOOKUP(S$5,NFI,5,0),1,0)*Table_NFI[[#This Row],[Winter Clothes Children]],Table_NFI[Winter Clothes Children])</f>
        <v>0</v>
      </c>
      <c r="AK855" s="294">
        <f>IF(NFI_Expiration=1,IF($A855&lt;VLOOKUP(T$5,NFI,5,0),1,0)*Table_NFI[[#This Row],[Winter Items Other]],Table_NFI[Winter Items Other])</f>
        <v>0</v>
      </c>
      <c r="AL855" s="294">
        <f>IF(NFI_Expiration=1,IF($A855&lt;VLOOKUP(M$5,NFI,5,0),1,0)*Table_NFI[[#This Row],[Winter Blanket]],Table_NFI[[#This Row],[Winter Blanket]])</f>
        <v>0</v>
      </c>
      <c r="AM855" s="294">
        <f>IF(Table_NFI[[#This Row],[Winter Clothes Adult]]+Table_NFI[[#This Row],[Winter Clothes Children]]+Table_NFI[[#This Row],[Winter Items Other]]+Table_NFI[[#This Row],[Winter Blanket]]&gt;0,1,0)</f>
        <v>0</v>
      </c>
      <c r="AN855" s="331">
        <f>IF(NFI_Expiration=1,IF($A855&lt;VLOOKUP(V$5,NFI,5,0),1,0)*Table_NFI[[#This Row],[Jerry Can]],Table_NFI[Jerry Can])</f>
        <v>0</v>
      </c>
      <c r="AO855" s="331">
        <f>IF(NFI_Expiration=1,IF($A855&lt;VLOOKUP(V$5,NFI,5,0),1,0)*Table_NFI[[#This Row],[Shelter Tool kit]],Table_NFI[Shelter Tool kit])</f>
        <v>0</v>
      </c>
      <c r="AP855" s="331">
        <f>IF(NFI_Expiration=1,IF($A855&lt;VLOOKUP(V$5,NFI,5,0),1,0)*Table_NFI[[#This Row],[Tent]],Table_NFI[Tent])</f>
        <v>0</v>
      </c>
      <c r="AQ855" s="473" t="str">
        <f>IFERROR(VLOOKUP(Table_NFI[[#This Row],[Camp Name]],CL,2,0),"")</f>
        <v>MMR001CMP122</v>
      </c>
      <c r="AR855" s="468">
        <f ca="1">IF(Table_NFI[[#This Row],[Pcode]]="","",IF(OFFSET(CampList[Opening Date],MATCH(Table_NFI[[#This Row],[Pcode]],CampList[CP_Pcode],0)-1,0,1,1)&gt;=NFI_Monitor_Date,1,0))</f>
        <v>0</v>
      </c>
      <c r="AS855" s="473" t="str">
        <f>IFERROR(VLOOKUP(Table_NFI[[#This Row],[Camp Name]],CL,3,0),"")</f>
        <v>Open</v>
      </c>
      <c r="AT855" s="294" t="str">
        <f ca="1">IF(Table_NFI[[#This Row],[Pcode]]="","",OFFSET(CampList[Priority],MATCH(Table_NFI[[#This Row],[Pcode]],CampList[CP_Pcode],0)-1,0,1,1))</f>
        <v>P2</v>
      </c>
      <c r="AU855" s="293">
        <f>IFERROR(Table_NFI[[#This Row],[Kitchen Set]]/VLOOKUP(Table_NFI[[#This Row],[Camp Name]],CL,4,0),"")</f>
        <v>0</v>
      </c>
      <c r="AV855" s="466" t="s">
        <v>1092</v>
      </c>
      <c r="AW855" s="469"/>
    </row>
    <row r="856" spans="1:49" x14ac:dyDescent="0.25">
      <c r="A856" s="297">
        <f t="shared" si="13"/>
        <v>47.4</v>
      </c>
      <c r="B856" s="465">
        <v>41253</v>
      </c>
      <c r="C856" s="466" t="s">
        <v>905</v>
      </c>
      <c r="D856" s="467" t="s">
        <v>460</v>
      </c>
      <c r="E856" s="466" t="s">
        <v>380</v>
      </c>
      <c r="F856" s="290" t="s">
        <v>310</v>
      </c>
      <c r="G856" s="290" t="s">
        <v>353</v>
      </c>
      <c r="H856" s="291">
        <v>4285</v>
      </c>
      <c r="I856" s="296"/>
      <c r="J856" s="289"/>
      <c r="K856" s="289"/>
      <c r="L856" s="289"/>
      <c r="M856" s="289"/>
      <c r="N856" s="289"/>
      <c r="O856" s="289"/>
      <c r="P856" s="294">
        <v>0</v>
      </c>
      <c r="Q856" s="294">
        <v>0</v>
      </c>
      <c r="R856" s="294"/>
      <c r="S856" s="294"/>
      <c r="T856" s="294"/>
      <c r="U856" s="294"/>
      <c r="V856" s="431"/>
      <c r="W856" s="331"/>
      <c r="X856" s="331"/>
      <c r="Y856" s="294">
        <f>IF(NFI_Expiration=1,IF($A856&lt;VLOOKUP(H$5,NFI,5,0),1,0)*Table_NFI[[#This Row],[Hygiene Kit]],Table_NFI[Hygiene Kit])</f>
        <v>0</v>
      </c>
      <c r="Z856" s="294">
        <f>IF(NFI_Expiration=1,IF($A856&lt;VLOOKUP(I$5,NFI,5,0),1,0)*Table_NFI[[#This Row],[NFI Core Kit]],Table_NFI[NFI Core Kit])</f>
        <v>0</v>
      </c>
      <c r="AA856" s="294">
        <f>IF(NFI_Expiration=1,IF($A856&lt;VLOOKUP(J$5,NFI,5,0),1,0)*Table_NFI[[#This Row],[Sanitary Kit]],Table_NFI[Sanitary Kit])</f>
        <v>0</v>
      </c>
      <c r="AB856" s="294">
        <f>IF(NFI_Expiration=1,IF($A856&lt;VLOOKUP(K$5,NFI,5,0),1,0)*Table_NFI[[#This Row],[Mosquito net]],Table_NFI[Mosquito net])</f>
        <v>0</v>
      </c>
      <c r="AC856" s="294">
        <f>IF(NFI_Expiration=1,IF($A856&lt;VLOOKUP(L$5,NFI,5,0),1,0)*Table_NFI[[#This Row],[Tarpaulin]],Table_NFI[[#This Row],[Tarpaulin]])</f>
        <v>0</v>
      </c>
      <c r="AD856" s="294">
        <f>IF(NFI_Expiration=1,IF($A856&lt;VLOOKUP(M$5,NFI,5,0),1,0)*Table_NFI[[#This Row],[Blanket]],Table_NFI[[#This Row],[Blanket]])</f>
        <v>0</v>
      </c>
      <c r="AE856" s="294">
        <f>IF(NFI_Expiration=1,IF($A856&lt;VLOOKUP(N$5,NFI,5,0),1,0)*Table_NFI[[#This Row],[Kitchen Set]],Table_NFI[Kitchen Set])</f>
        <v>0</v>
      </c>
      <c r="AF856" s="294">
        <f>IF(NFI_Expiration=1,IF($A856&lt;VLOOKUP(O$5,NFI,5,0),1,0)*Table_NFI[[#This Row],[Clothes Kit]],Table_NFI[Clothes Kit])</f>
        <v>0</v>
      </c>
      <c r="AG856" s="294">
        <f>IF(NFI_Expiration=1,IF($A856&lt;VLOOKUP(P$5,NFI,5,0),1,0)*Table_NFI[[#This Row],[Plastic Bucket]],Table_NFI[Plastic Bucket])</f>
        <v>0</v>
      </c>
      <c r="AH856" s="294">
        <f>IF(NFI_Expiration=1,IF($A856&lt;VLOOKUP(Q$5,NFI,5,0),1,0)*Table_NFI[[#This Row],[Plastic Mat]],Table_NFI[Plastic Mat])*IF(Table_NFI[[#This Row],[Distribution Date]]&gt;"2014-04-01",1,2.5)</f>
        <v>0</v>
      </c>
      <c r="AI856" s="294">
        <f>IF(NFI_Expiration=1,IF($A856&lt;VLOOKUP(R$5,NFI,5,0),1,0)*Table_NFI[[#This Row],[Winter Clothes Adult]],Table_NFI[Winter Clothes Adult])</f>
        <v>0</v>
      </c>
      <c r="AJ856" s="294">
        <f>IF(NFI_Expiration=1,IF($A856&lt;VLOOKUP(S$5,NFI,5,0),1,0)*Table_NFI[[#This Row],[Winter Clothes Children]],Table_NFI[Winter Clothes Children])</f>
        <v>0</v>
      </c>
      <c r="AK856" s="294">
        <f>IF(NFI_Expiration=1,IF($A856&lt;VLOOKUP(T$5,NFI,5,0),1,0)*Table_NFI[[#This Row],[Winter Items Other]],Table_NFI[Winter Items Other])</f>
        <v>0</v>
      </c>
      <c r="AL856" s="294">
        <f>IF(NFI_Expiration=1,IF($A856&lt;VLOOKUP(M$5,NFI,5,0),1,0)*Table_NFI[[#This Row],[Winter Blanket]],Table_NFI[[#This Row],[Winter Blanket]])</f>
        <v>0</v>
      </c>
      <c r="AM856" s="294">
        <f>IF(Table_NFI[[#This Row],[Winter Clothes Adult]]+Table_NFI[[#This Row],[Winter Clothes Children]]+Table_NFI[[#This Row],[Winter Items Other]]+Table_NFI[[#This Row],[Winter Blanket]]&gt;0,1,0)</f>
        <v>0</v>
      </c>
      <c r="AN856" s="331">
        <f>IF(NFI_Expiration=1,IF($A856&lt;VLOOKUP(V$5,NFI,5,0),1,0)*Table_NFI[[#This Row],[Jerry Can]],Table_NFI[Jerry Can])</f>
        <v>0</v>
      </c>
      <c r="AO856" s="331">
        <f>IF(NFI_Expiration=1,IF($A856&lt;VLOOKUP(V$5,NFI,5,0),1,0)*Table_NFI[[#This Row],[Shelter Tool kit]],Table_NFI[Shelter Tool kit])</f>
        <v>0</v>
      </c>
      <c r="AP856" s="331">
        <f>IF(NFI_Expiration=1,IF($A856&lt;VLOOKUP(V$5,NFI,5,0),1,0)*Table_NFI[[#This Row],[Tent]],Table_NFI[Tent])</f>
        <v>0</v>
      </c>
      <c r="AQ856" s="473" t="str">
        <f>IFERROR(VLOOKUP(Table_NFI[[#This Row],[Camp Name]],CL,2,0),"")</f>
        <v>MMR001CMP116</v>
      </c>
      <c r="AR856" s="468">
        <f ca="1">IF(Table_NFI[[#This Row],[Pcode]]="","",IF(OFFSET(CampList[Opening Date],MATCH(Table_NFI[[#This Row],[Pcode]],CampList[CP_Pcode],0)-1,0,1,1)&gt;=NFI_Monitor_Date,1,0))</f>
        <v>0</v>
      </c>
      <c r="AS856" s="473" t="str">
        <f>IFERROR(VLOOKUP(Table_NFI[[#This Row],[Camp Name]],CL,3,0),"")</f>
        <v>Open</v>
      </c>
      <c r="AT856" s="294" t="str">
        <f ca="1">IF(Table_NFI[[#This Row],[Pcode]]="","",OFFSET(CampList[Priority],MATCH(Table_NFI[[#This Row],[Pcode]],CampList[CP_Pcode],0)-1,0,1,1))</f>
        <v>P4</v>
      </c>
      <c r="AU856" s="293">
        <f>IFERROR(Table_NFI[[#This Row],[Kitchen Set]]/VLOOKUP(Table_NFI[[#This Row],[Camp Name]],CL,4,0),"")</f>
        <v>0</v>
      </c>
      <c r="AV856" s="466" t="s">
        <v>1092</v>
      </c>
      <c r="AW856" s="469"/>
    </row>
    <row r="857" spans="1:49" x14ac:dyDescent="0.25">
      <c r="A857" s="297">
        <f t="shared" si="13"/>
        <v>47.466666666666669</v>
      </c>
      <c r="B857" s="465">
        <v>41251</v>
      </c>
      <c r="C857" s="466" t="s">
        <v>905</v>
      </c>
      <c r="D857" s="467" t="s">
        <v>460</v>
      </c>
      <c r="E857" s="466" t="s">
        <v>380</v>
      </c>
      <c r="F857" s="290" t="s">
        <v>310</v>
      </c>
      <c r="G857" s="290" t="s">
        <v>1248</v>
      </c>
      <c r="H857" s="291">
        <v>1690</v>
      </c>
      <c r="I857" s="291"/>
      <c r="J857" s="291"/>
      <c r="K857" s="291"/>
      <c r="L857" s="292"/>
      <c r="M857" s="292"/>
      <c r="N857" s="292"/>
      <c r="O857" s="292"/>
      <c r="P857" s="294">
        <v>0</v>
      </c>
      <c r="Q857" s="294">
        <v>0</v>
      </c>
      <c r="R857" s="294"/>
      <c r="S857" s="294"/>
      <c r="T857" s="294"/>
      <c r="U857" s="294"/>
      <c r="V857" s="431"/>
      <c r="W857" s="331"/>
      <c r="X857" s="331"/>
      <c r="Y857" s="294">
        <f>IF(NFI_Expiration=1,IF($A857&lt;VLOOKUP(H$5,NFI,5,0),1,0)*Table_NFI[[#This Row],[Hygiene Kit]],Table_NFI[Hygiene Kit])</f>
        <v>0</v>
      </c>
      <c r="Z857" s="294">
        <f>IF(NFI_Expiration=1,IF($A857&lt;VLOOKUP(I$5,NFI,5,0),1,0)*Table_NFI[[#This Row],[NFI Core Kit]],Table_NFI[NFI Core Kit])</f>
        <v>0</v>
      </c>
      <c r="AA857" s="294">
        <f>IF(NFI_Expiration=1,IF($A857&lt;VLOOKUP(J$5,NFI,5,0),1,0)*Table_NFI[[#This Row],[Sanitary Kit]],Table_NFI[Sanitary Kit])</f>
        <v>0</v>
      </c>
      <c r="AB857" s="294">
        <f>IF(NFI_Expiration=1,IF($A857&lt;VLOOKUP(K$5,NFI,5,0),1,0)*Table_NFI[[#This Row],[Mosquito net]],Table_NFI[Mosquito net])</f>
        <v>0</v>
      </c>
      <c r="AC857" s="294">
        <f>IF(NFI_Expiration=1,IF($A857&lt;VLOOKUP(L$5,NFI,5,0),1,0)*Table_NFI[[#This Row],[Tarpaulin]],Table_NFI[[#This Row],[Tarpaulin]])</f>
        <v>0</v>
      </c>
      <c r="AD857" s="294">
        <f>IF(NFI_Expiration=1,IF($A857&lt;VLOOKUP(M$5,NFI,5,0),1,0)*Table_NFI[[#This Row],[Blanket]],Table_NFI[[#This Row],[Blanket]])</f>
        <v>0</v>
      </c>
      <c r="AE857" s="294">
        <f>IF(NFI_Expiration=1,IF($A857&lt;VLOOKUP(N$5,NFI,5,0),1,0)*Table_NFI[[#This Row],[Kitchen Set]],Table_NFI[Kitchen Set])</f>
        <v>0</v>
      </c>
      <c r="AF857" s="294">
        <f>IF(NFI_Expiration=1,IF($A857&lt;VLOOKUP(O$5,NFI,5,0),1,0)*Table_NFI[[#This Row],[Clothes Kit]],Table_NFI[Clothes Kit])</f>
        <v>0</v>
      </c>
      <c r="AG857" s="294">
        <f>IF(NFI_Expiration=1,IF($A857&lt;VLOOKUP(P$5,NFI,5,0),1,0)*Table_NFI[[#This Row],[Plastic Bucket]],Table_NFI[Plastic Bucket])</f>
        <v>0</v>
      </c>
      <c r="AH857" s="294">
        <f>IF(NFI_Expiration=1,IF($A857&lt;VLOOKUP(Q$5,NFI,5,0),1,0)*Table_NFI[[#This Row],[Plastic Mat]],Table_NFI[Plastic Mat])*IF(Table_NFI[[#This Row],[Distribution Date]]&gt;"2014-04-01",1,2.5)</f>
        <v>0</v>
      </c>
      <c r="AI857" s="294">
        <f>IF(NFI_Expiration=1,IF($A857&lt;VLOOKUP(R$5,NFI,5,0),1,0)*Table_NFI[[#This Row],[Winter Clothes Adult]],Table_NFI[Winter Clothes Adult])</f>
        <v>0</v>
      </c>
      <c r="AJ857" s="294">
        <f>IF(NFI_Expiration=1,IF($A857&lt;VLOOKUP(S$5,NFI,5,0),1,0)*Table_NFI[[#This Row],[Winter Clothes Children]],Table_NFI[Winter Clothes Children])</f>
        <v>0</v>
      </c>
      <c r="AK857" s="294">
        <f>IF(NFI_Expiration=1,IF($A857&lt;VLOOKUP(T$5,NFI,5,0),1,0)*Table_NFI[[#This Row],[Winter Items Other]],Table_NFI[Winter Items Other])</f>
        <v>0</v>
      </c>
      <c r="AL857" s="294">
        <f>IF(NFI_Expiration=1,IF($A857&lt;VLOOKUP(M$5,NFI,5,0),1,0)*Table_NFI[[#This Row],[Winter Blanket]],Table_NFI[[#This Row],[Winter Blanket]])</f>
        <v>0</v>
      </c>
      <c r="AM857" s="294">
        <f>IF(Table_NFI[[#This Row],[Winter Clothes Adult]]+Table_NFI[[#This Row],[Winter Clothes Children]]+Table_NFI[[#This Row],[Winter Items Other]]+Table_NFI[[#This Row],[Winter Blanket]]&gt;0,1,0)</f>
        <v>0</v>
      </c>
      <c r="AN857" s="331">
        <f>IF(NFI_Expiration=1,IF($A857&lt;VLOOKUP(V$5,NFI,5,0),1,0)*Table_NFI[[#This Row],[Jerry Can]],Table_NFI[Jerry Can])</f>
        <v>0</v>
      </c>
      <c r="AO857" s="331">
        <f>IF(NFI_Expiration=1,IF($A857&lt;VLOOKUP(V$5,NFI,5,0),1,0)*Table_NFI[[#This Row],[Shelter Tool kit]],Table_NFI[Shelter Tool kit])</f>
        <v>0</v>
      </c>
      <c r="AP857" s="331">
        <f>IF(NFI_Expiration=1,IF($A857&lt;VLOOKUP(V$5,NFI,5,0),1,0)*Table_NFI[[#This Row],[Tent]],Table_NFI[Tent])</f>
        <v>0</v>
      </c>
      <c r="AQ857" s="473" t="str">
        <f>IFERROR(VLOOKUP(Table_NFI[[#This Row],[Camp Name]],CL,2,0),"")</f>
        <v>MMR001CMP117</v>
      </c>
      <c r="AR857" s="468">
        <f ca="1">IF(Table_NFI[[#This Row],[Pcode]]="","",IF(OFFSET(CampList[Opening Date],MATCH(Table_NFI[[#This Row],[Pcode]],CampList[CP_Pcode],0)-1,0,1,1)&gt;=NFI_Monitor_Date,1,0))</f>
        <v>0</v>
      </c>
      <c r="AS857" s="473" t="str">
        <f>IFERROR(VLOOKUP(Table_NFI[[#This Row],[Camp Name]],CL,3,0),"")</f>
        <v>Closed</v>
      </c>
      <c r="AT857" s="294" t="str">
        <f ca="1">IF(Table_NFI[[#This Row],[Pcode]]="","",OFFSET(CampList[Priority],MATCH(Table_NFI[[#This Row],[Pcode]],CampList[CP_Pcode],0)-1,0,1,1))</f>
        <v>P2</v>
      </c>
      <c r="AU857" s="293" t="str">
        <f>IFERROR(Table_NFI[[#This Row],[Kitchen Set]]/VLOOKUP(Table_NFI[[#This Row],[Camp Name]],CL,4,0),"")</f>
        <v/>
      </c>
      <c r="AV857" s="466" t="s">
        <v>1092</v>
      </c>
      <c r="AW857" s="469"/>
    </row>
    <row r="858" spans="1:49" x14ac:dyDescent="0.25">
      <c r="A858" s="297">
        <f t="shared" si="13"/>
        <v>48.333333333333336</v>
      </c>
      <c r="B858" s="465">
        <v>41225</v>
      </c>
      <c r="C858" s="466" t="s">
        <v>452</v>
      </c>
      <c r="D858" s="467" t="s">
        <v>452</v>
      </c>
      <c r="E858" s="466" t="s">
        <v>380</v>
      </c>
      <c r="F858" s="290" t="s">
        <v>310</v>
      </c>
      <c r="G858" s="290" t="s">
        <v>318</v>
      </c>
      <c r="H858" s="291"/>
      <c r="I858" s="291"/>
      <c r="J858" s="291"/>
      <c r="K858" s="291">
        <v>12</v>
      </c>
      <c r="L858" s="292">
        <v>12</v>
      </c>
      <c r="M858" s="292">
        <v>12</v>
      </c>
      <c r="N858" s="292">
        <v>5</v>
      </c>
      <c r="O858" s="292">
        <v>5</v>
      </c>
      <c r="P858" s="294">
        <v>5</v>
      </c>
      <c r="Q858" s="294">
        <v>5</v>
      </c>
      <c r="R858" s="294"/>
      <c r="S858" s="294"/>
      <c r="T858" s="294"/>
      <c r="U858" s="294"/>
      <c r="V858" s="431"/>
      <c r="W858" s="331"/>
      <c r="X858" s="331"/>
      <c r="Y858" s="294">
        <f>IF(NFI_Expiration=1,IF($A858&lt;VLOOKUP(H$5,NFI,5,0),1,0)*Table_NFI[[#This Row],[Hygiene Kit]],Table_NFI[Hygiene Kit])</f>
        <v>0</v>
      </c>
      <c r="Z858" s="294">
        <f>IF(NFI_Expiration=1,IF($A858&lt;VLOOKUP(I$5,NFI,5,0),1,0)*Table_NFI[[#This Row],[NFI Core Kit]],Table_NFI[NFI Core Kit])</f>
        <v>0</v>
      </c>
      <c r="AA858" s="294">
        <f>IF(NFI_Expiration=1,IF($A858&lt;VLOOKUP(J$5,NFI,5,0),1,0)*Table_NFI[[#This Row],[Sanitary Kit]],Table_NFI[Sanitary Kit])</f>
        <v>0</v>
      </c>
      <c r="AB858" s="294">
        <f>IF(NFI_Expiration=1,IF($A858&lt;VLOOKUP(K$5,NFI,5,0),1,0)*Table_NFI[[#This Row],[Mosquito net]],Table_NFI[Mosquito net])</f>
        <v>0</v>
      </c>
      <c r="AC858" s="294">
        <f>IF(NFI_Expiration=1,IF($A858&lt;VLOOKUP(L$5,NFI,5,0),1,0)*Table_NFI[[#This Row],[Tarpaulin]],Table_NFI[[#This Row],[Tarpaulin]])</f>
        <v>0</v>
      </c>
      <c r="AD858" s="294">
        <f>IF(NFI_Expiration=1,IF($A858&lt;VLOOKUP(M$5,NFI,5,0),1,0)*Table_NFI[[#This Row],[Blanket]],Table_NFI[[#This Row],[Blanket]])</f>
        <v>0</v>
      </c>
      <c r="AE858" s="294">
        <f>IF(NFI_Expiration=1,IF($A858&lt;VLOOKUP(N$5,NFI,5,0),1,0)*Table_NFI[[#This Row],[Kitchen Set]],Table_NFI[Kitchen Set])</f>
        <v>0</v>
      </c>
      <c r="AF858" s="294">
        <f>IF(NFI_Expiration=1,IF($A858&lt;VLOOKUP(O$5,NFI,5,0),1,0)*Table_NFI[[#This Row],[Clothes Kit]],Table_NFI[Clothes Kit])</f>
        <v>0</v>
      </c>
      <c r="AG858" s="294">
        <f>IF(NFI_Expiration=1,IF($A858&lt;VLOOKUP(P$5,NFI,5,0),1,0)*Table_NFI[[#This Row],[Plastic Bucket]],Table_NFI[Plastic Bucket])</f>
        <v>0</v>
      </c>
      <c r="AH858" s="294">
        <f>IF(NFI_Expiration=1,IF($A858&lt;VLOOKUP(Q$5,NFI,5,0),1,0)*Table_NFI[[#This Row],[Plastic Mat]],Table_NFI[Plastic Mat])*IF(Table_NFI[[#This Row],[Distribution Date]]&gt;"2014-04-01",1,2.5)</f>
        <v>0</v>
      </c>
      <c r="AI858" s="294">
        <f>IF(NFI_Expiration=1,IF($A858&lt;VLOOKUP(R$5,NFI,5,0),1,0)*Table_NFI[[#This Row],[Winter Clothes Adult]],Table_NFI[Winter Clothes Adult])</f>
        <v>0</v>
      </c>
      <c r="AJ858" s="294">
        <f>IF(NFI_Expiration=1,IF($A858&lt;VLOOKUP(S$5,NFI,5,0),1,0)*Table_NFI[[#This Row],[Winter Clothes Children]],Table_NFI[Winter Clothes Children])</f>
        <v>0</v>
      </c>
      <c r="AK858" s="294">
        <f>IF(NFI_Expiration=1,IF($A858&lt;VLOOKUP(T$5,NFI,5,0),1,0)*Table_NFI[[#This Row],[Winter Items Other]],Table_NFI[Winter Items Other])</f>
        <v>0</v>
      </c>
      <c r="AL858" s="294">
        <f>IF(NFI_Expiration=1,IF($A858&lt;VLOOKUP(M$5,NFI,5,0),1,0)*Table_NFI[[#This Row],[Winter Blanket]],Table_NFI[[#This Row],[Winter Blanket]])</f>
        <v>0</v>
      </c>
      <c r="AM858" s="294">
        <f>IF(Table_NFI[[#This Row],[Winter Clothes Adult]]+Table_NFI[[#This Row],[Winter Clothes Children]]+Table_NFI[[#This Row],[Winter Items Other]]+Table_NFI[[#This Row],[Winter Blanket]]&gt;0,1,0)</f>
        <v>0</v>
      </c>
      <c r="AN858" s="331">
        <f>IF(NFI_Expiration=1,IF($A858&lt;VLOOKUP(V$5,NFI,5,0),1,0)*Table_NFI[[#This Row],[Jerry Can]],Table_NFI[Jerry Can])</f>
        <v>0</v>
      </c>
      <c r="AO858" s="331">
        <f>IF(NFI_Expiration=1,IF($A858&lt;VLOOKUP(V$5,NFI,5,0),1,0)*Table_NFI[[#This Row],[Shelter Tool kit]],Table_NFI[Shelter Tool kit])</f>
        <v>0</v>
      </c>
      <c r="AP858" s="331">
        <f>IF(NFI_Expiration=1,IF($A858&lt;VLOOKUP(V$5,NFI,5,0),1,0)*Table_NFI[[#This Row],[Tent]],Table_NFI[Tent])</f>
        <v>0</v>
      </c>
      <c r="AQ858" s="473" t="str">
        <f>IFERROR(VLOOKUP(Table_NFI[[#This Row],[Camp Name]],CL,2,0),"")</f>
        <v>MMR001CMP032</v>
      </c>
      <c r="AR858" s="468">
        <f ca="1">IF(Table_NFI[[#This Row],[Pcode]]="","",IF(OFFSET(CampList[Opening Date],MATCH(Table_NFI[[#This Row],[Pcode]],CampList[CP_Pcode],0)-1,0,1,1)&gt;=NFI_Monitor_Date,1,0))</f>
        <v>0</v>
      </c>
      <c r="AS858" s="473" t="str">
        <f>IFERROR(VLOOKUP(Table_NFI[[#This Row],[Camp Name]],CL,3,0),"")</f>
        <v>Open</v>
      </c>
      <c r="AT858" s="294" t="str">
        <f ca="1">IF(Table_NFI[[#This Row],[Pcode]]="","",OFFSET(CampList[Priority],MATCH(Table_NFI[[#This Row],[Pcode]],CampList[CP_Pcode],0)-1,0,1,1))</f>
        <v>P4</v>
      </c>
      <c r="AU858" s="293">
        <f>IFERROR(Table_NFI[[#This Row],[Kitchen Set]]/VLOOKUP(Table_NFI[[#This Row],[Camp Name]],CL,4,0),"")</f>
        <v>5.4945054945054944E-2</v>
      </c>
      <c r="AV858" s="466" t="s">
        <v>1092</v>
      </c>
      <c r="AW858" s="469"/>
    </row>
    <row r="859" spans="1:49" x14ac:dyDescent="0.25">
      <c r="A859" s="297">
        <f t="shared" si="13"/>
        <v>48.4</v>
      </c>
      <c r="B859" s="465">
        <v>41223</v>
      </c>
      <c r="C859" s="466" t="s">
        <v>452</v>
      </c>
      <c r="D859" s="466" t="s">
        <v>452</v>
      </c>
      <c r="E859" s="466" t="s">
        <v>380</v>
      </c>
      <c r="F859" s="466" t="s">
        <v>527</v>
      </c>
      <c r="G859" s="290" t="s">
        <v>88</v>
      </c>
      <c r="H859" s="291"/>
      <c r="I859" s="291"/>
      <c r="J859" s="291"/>
      <c r="K859" s="291">
        <v>12</v>
      </c>
      <c r="L859" s="292">
        <v>0</v>
      </c>
      <c r="M859" s="292">
        <v>12</v>
      </c>
      <c r="N859" s="292">
        <v>0</v>
      </c>
      <c r="O859" s="292">
        <v>0</v>
      </c>
      <c r="P859" s="294"/>
      <c r="Q859" s="294"/>
      <c r="R859" s="294"/>
      <c r="S859" s="294"/>
      <c r="T859" s="294"/>
      <c r="U859" s="294"/>
      <c r="V859" s="431"/>
      <c r="W859" s="331"/>
      <c r="X859" s="331"/>
      <c r="Y859" s="294">
        <f>IF(NFI_Expiration=1,IF($A859&lt;VLOOKUP(H$5,NFI,5,0),1,0)*Table_NFI[[#This Row],[Hygiene Kit]],Table_NFI[Hygiene Kit])</f>
        <v>0</v>
      </c>
      <c r="Z859" s="294">
        <f>IF(NFI_Expiration=1,IF($A859&lt;VLOOKUP(I$5,NFI,5,0),1,0)*Table_NFI[[#This Row],[NFI Core Kit]],Table_NFI[NFI Core Kit])</f>
        <v>0</v>
      </c>
      <c r="AA859" s="294">
        <f>IF(NFI_Expiration=1,IF($A859&lt;VLOOKUP(J$5,NFI,5,0),1,0)*Table_NFI[[#This Row],[Sanitary Kit]],Table_NFI[Sanitary Kit])</f>
        <v>0</v>
      </c>
      <c r="AB859" s="294">
        <f>IF(NFI_Expiration=1,IF($A859&lt;VLOOKUP(K$5,NFI,5,0),1,0)*Table_NFI[[#This Row],[Mosquito net]],Table_NFI[Mosquito net])</f>
        <v>0</v>
      </c>
      <c r="AC859" s="294">
        <f>IF(NFI_Expiration=1,IF($A859&lt;VLOOKUP(L$5,NFI,5,0),1,0)*Table_NFI[[#This Row],[Tarpaulin]],Table_NFI[[#This Row],[Tarpaulin]])</f>
        <v>0</v>
      </c>
      <c r="AD859" s="294">
        <f>IF(NFI_Expiration=1,IF($A859&lt;VLOOKUP(M$5,NFI,5,0),1,0)*Table_NFI[[#This Row],[Blanket]],Table_NFI[[#This Row],[Blanket]])</f>
        <v>0</v>
      </c>
      <c r="AE859" s="294">
        <f>IF(NFI_Expiration=1,IF($A859&lt;VLOOKUP(N$5,NFI,5,0),1,0)*Table_NFI[[#This Row],[Kitchen Set]],Table_NFI[Kitchen Set])</f>
        <v>0</v>
      </c>
      <c r="AF859" s="294">
        <f>IF(NFI_Expiration=1,IF($A859&lt;VLOOKUP(O$5,NFI,5,0),1,0)*Table_NFI[[#This Row],[Clothes Kit]],Table_NFI[Clothes Kit])</f>
        <v>0</v>
      </c>
      <c r="AG859" s="294">
        <f>IF(NFI_Expiration=1,IF($A859&lt;VLOOKUP(P$5,NFI,5,0),1,0)*Table_NFI[[#This Row],[Plastic Bucket]],Table_NFI[Plastic Bucket])</f>
        <v>0</v>
      </c>
      <c r="AH859" s="294">
        <f>IF(NFI_Expiration=1,IF($A859&lt;VLOOKUP(Q$5,NFI,5,0),1,0)*Table_NFI[[#This Row],[Plastic Mat]],Table_NFI[Plastic Mat])*IF(Table_NFI[[#This Row],[Distribution Date]]&gt;"2014-04-01",1,2.5)</f>
        <v>0</v>
      </c>
      <c r="AI859" s="294">
        <f>IF(NFI_Expiration=1,IF($A859&lt;VLOOKUP(R$5,NFI,5,0),1,0)*Table_NFI[[#This Row],[Winter Clothes Adult]],Table_NFI[Winter Clothes Adult])</f>
        <v>0</v>
      </c>
      <c r="AJ859" s="294">
        <f>IF(NFI_Expiration=1,IF($A859&lt;VLOOKUP(S$5,NFI,5,0),1,0)*Table_NFI[[#This Row],[Winter Clothes Children]],Table_NFI[Winter Clothes Children])</f>
        <v>0</v>
      </c>
      <c r="AK859" s="294">
        <f>IF(NFI_Expiration=1,IF($A859&lt;VLOOKUP(T$5,NFI,5,0),1,0)*Table_NFI[[#This Row],[Winter Items Other]],Table_NFI[Winter Items Other])</f>
        <v>0</v>
      </c>
      <c r="AL859" s="294">
        <f>IF(NFI_Expiration=1,IF($A859&lt;VLOOKUP(M$5,NFI,5,0),1,0)*Table_NFI[[#This Row],[Winter Blanket]],Table_NFI[[#This Row],[Winter Blanket]])</f>
        <v>0</v>
      </c>
      <c r="AM859" s="294">
        <f>IF(Table_NFI[[#This Row],[Winter Clothes Adult]]+Table_NFI[[#This Row],[Winter Clothes Children]]+Table_NFI[[#This Row],[Winter Items Other]]+Table_NFI[[#This Row],[Winter Blanket]]&gt;0,1,0)</f>
        <v>0</v>
      </c>
      <c r="AN859" s="331">
        <f>IF(NFI_Expiration=1,IF($A859&lt;VLOOKUP(V$5,NFI,5,0),1,0)*Table_NFI[[#This Row],[Jerry Can]],Table_NFI[Jerry Can])</f>
        <v>0</v>
      </c>
      <c r="AO859" s="331">
        <f>IF(NFI_Expiration=1,IF($A859&lt;VLOOKUP(V$5,NFI,5,0),1,0)*Table_NFI[[#This Row],[Shelter Tool kit]],Table_NFI[Shelter Tool kit])</f>
        <v>0</v>
      </c>
      <c r="AP859" s="331">
        <f>IF(NFI_Expiration=1,IF($A859&lt;VLOOKUP(V$5,NFI,5,0),1,0)*Table_NFI[[#This Row],[Tent]],Table_NFI[Tent])</f>
        <v>0</v>
      </c>
      <c r="AQ859" s="473" t="str">
        <f>IFERROR(VLOOKUP(Table_NFI[[#This Row],[Camp Name]],CL,2,0),"")</f>
        <v>MMR001CMP148</v>
      </c>
      <c r="AR859" s="468">
        <f ca="1">IF(Table_NFI[[#This Row],[Pcode]]="","",IF(OFFSET(CampList[Opening Date],MATCH(Table_NFI[[#This Row],[Pcode]],CampList[CP_Pcode],0)-1,0,1,1)&gt;=NFI_Monitor_Date,1,0))</f>
        <v>0</v>
      </c>
      <c r="AS859" s="473" t="str">
        <f>IFERROR(VLOOKUP(Table_NFI[[#This Row],[Camp Name]],CL,3,0),"")</f>
        <v>Open</v>
      </c>
      <c r="AT859" s="294" t="str">
        <f ca="1">IF(Table_NFI[[#This Row],[Pcode]]="","",OFFSET(CampList[Priority],MATCH(Table_NFI[[#This Row],[Pcode]],CampList[CP_Pcode],0)-1,0,1,1))</f>
        <v>P4</v>
      </c>
      <c r="AU859" s="293">
        <f>IFERROR(Table_NFI[[#This Row],[Kitchen Set]]/VLOOKUP(Table_NFI[[#This Row],[Camp Name]],CL,4,0),"")</f>
        <v>0</v>
      </c>
      <c r="AV859" s="466" t="s">
        <v>1092</v>
      </c>
      <c r="AW859" s="469"/>
    </row>
    <row r="860" spans="1:49" x14ac:dyDescent="0.25">
      <c r="A860" s="297">
        <f t="shared" si="13"/>
        <v>48.56666666666667</v>
      </c>
      <c r="B860" s="465">
        <v>41218</v>
      </c>
      <c r="C860" s="466" t="s">
        <v>452</v>
      </c>
      <c r="D860" s="467" t="s">
        <v>452</v>
      </c>
      <c r="E860" s="466" t="s">
        <v>380</v>
      </c>
      <c r="F860" s="290" t="s">
        <v>527</v>
      </c>
      <c r="G860" s="290" t="s">
        <v>88</v>
      </c>
      <c r="H860" s="291"/>
      <c r="I860" s="291"/>
      <c r="J860" s="291"/>
      <c r="K860" s="291">
        <v>70</v>
      </c>
      <c r="L860" s="292">
        <v>40</v>
      </c>
      <c r="M860" s="292">
        <v>70</v>
      </c>
      <c r="N860" s="292">
        <v>40</v>
      </c>
      <c r="O860" s="292">
        <v>40</v>
      </c>
      <c r="P860" s="294">
        <v>40</v>
      </c>
      <c r="Q860" s="294">
        <v>40</v>
      </c>
      <c r="R860" s="294"/>
      <c r="S860" s="294"/>
      <c r="T860" s="294"/>
      <c r="U860" s="294"/>
      <c r="V860" s="431"/>
      <c r="W860" s="331"/>
      <c r="X860" s="331"/>
      <c r="Y860" s="294">
        <f>IF(NFI_Expiration=1,IF($A860&lt;VLOOKUP(H$5,NFI,5,0),1,0)*Table_NFI[[#This Row],[Hygiene Kit]],Table_NFI[Hygiene Kit])</f>
        <v>0</v>
      </c>
      <c r="Z860" s="294">
        <f>IF(NFI_Expiration=1,IF($A860&lt;VLOOKUP(I$5,NFI,5,0),1,0)*Table_NFI[[#This Row],[NFI Core Kit]],Table_NFI[NFI Core Kit])</f>
        <v>0</v>
      </c>
      <c r="AA860" s="294">
        <f>IF(NFI_Expiration=1,IF($A860&lt;VLOOKUP(J$5,NFI,5,0),1,0)*Table_NFI[[#This Row],[Sanitary Kit]],Table_NFI[Sanitary Kit])</f>
        <v>0</v>
      </c>
      <c r="AB860" s="294">
        <f>IF(NFI_Expiration=1,IF($A860&lt;VLOOKUP(K$5,NFI,5,0),1,0)*Table_NFI[[#This Row],[Mosquito net]],Table_NFI[Mosquito net])</f>
        <v>0</v>
      </c>
      <c r="AC860" s="294">
        <f>IF(NFI_Expiration=1,IF($A860&lt;VLOOKUP(L$5,NFI,5,0),1,0)*Table_NFI[[#This Row],[Tarpaulin]],Table_NFI[[#This Row],[Tarpaulin]])</f>
        <v>0</v>
      </c>
      <c r="AD860" s="294">
        <f>IF(NFI_Expiration=1,IF($A860&lt;VLOOKUP(M$5,NFI,5,0),1,0)*Table_NFI[[#This Row],[Blanket]],Table_NFI[[#This Row],[Blanket]])</f>
        <v>0</v>
      </c>
      <c r="AE860" s="294">
        <f>IF(NFI_Expiration=1,IF($A860&lt;VLOOKUP(N$5,NFI,5,0),1,0)*Table_NFI[[#This Row],[Kitchen Set]],Table_NFI[Kitchen Set])</f>
        <v>0</v>
      </c>
      <c r="AF860" s="294">
        <f>IF(NFI_Expiration=1,IF($A860&lt;VLOOKUP(O$5,NFI,5,0),1,0)*Table_NFI[[#This Row],[Clothes Kit]],Table_NFI[Clothes Kit])</f>
        <v>0</v>
      </c>
      <c r="AG860" s="294">
        <f>IF(NFI_Expiration=1,IF($A860&lt;VLOOKUP(P$5,NFI,5,0),1,0)*Table_NFI[[#This Row],[Plastic Bucket]],Table_NFI[Plastic Bucket])</f>
        <v>0</v>
      </c>
      <c r="AH860" s="294">
        <f>IF(NFI_Expiration=1,IF($A860&lt;VLOOKUP(Q$5,NFI,5,0),1,0)*Table_NFI[[#This Row],[Plastic Mat]],Table_NFI[Plastic Mat])*IF(Table_NFI[[#This Row],[Distribution Date]]&gt;"2014-04-01",1,2.5)</f>
        <v>0</v>
      </c>
      <c r="AI860" s="294">
        <f>IF(NFI_Expiration=1,IF($A860&lt;VLOOKUP(R$5,NFI,5,0),1,0)*Table_NFI[[#This Row],[Winter Clothes Adult]],Table_NFI[Winter Clothes Adult])</f>
        <v>0</v>
      </c>
      <c r="AJ860" s="294">
        <f>IF(NFI_Expiration=1,IF($A860&lt;VLOOKUP(S$5,NFI,5,0),1,0)*Table_NFI[[#This Row],[Winter Clothes Children]],Table_NFI[Winter Clothes Children])</f>
        <v>0</v>
      </c>
      <c r="AK860" s="294">
        <f>IF(NFI_Expiration=1,IF($A860&lt;VLOOKUP(T$5,NFI,5,0),1,0)*Table_NFI[[#This Row],[Winter Items Other]],Table_NFI[Winter Items Other])</f>
        <v>0</v>
      </c>
      <c r="AL860" s="294">
        <f>IF(NFI_Expiration=1,IF($A860&lt;VLOOKUP(M$5,NFI,5,0),1,0)*Table_NFI[[#This Row],[Winter Blanket]],Table_NFI[[#This Row],[Winter Blanket]])</f>
        <v>0</v>
      </c>
      <c r="AM860" s="294">
        <f>IF(Table_NFI[[#This Row],[Winter Clothes Adult]]+Table_NFI[[#This Row],[Winter Clothes Children]]+Table_NFI[[#This Row],[Winter Items Other]]+Table_NFI[[#This Row],[Winter Blanket]]&gt;0,1,0)</f>
        <v>0</v>
      </c>
      <c r="AN860" s="331">
        <f>IF(NFI_Expiration=1,IF($A860&lt;VLOOKUP(V$5,NFI,5,0),1,0)*Table_NFI[[#This Row],[Jerry Can]],Table_NFI[Jerry Can])</f>
        <v>0</v>
      </c>
      <c r="AO860" s="331">
        <f>IF(NFI_Expiration=1,IF($A860&lt;VLOOKUP(V$5,NFI,5,0),1,0)*Table_NFI[[#This Row],[Shelter Tool kit]],Table_NFI[Shelter Tool kit])</f>
        <v>0</v>
      </c>
      <c r="AP860" s="331">
        <f>IF(NFI_Expiration=1,IF($A860&lt;VLOOKUP(V$5,NFI,5,0),1,0)*Table_NFI[[#This Row],[Tent]],Table_NFI[Tent])</f>
        <v>0</v>
      </c>
      <c r="AQ860" s="473" t="str">
        <f>IFERROR(VLOOKUP(Table_NFI[[#This Row],[Camp Name]],CL,2,0),"")</f>
        <v>MMR001CMP148</v>
      </c>
      <c r="AR860" s="468">
        <f ca="1">IF(Table_NFI[[#This Row],[Pcode]]="","",IF(OFFSET(CampList[Opening Date],MATCH(Table_NFI[[#This Row],[Pcode]],CampList[CP_Pcode],0)-1,0,1,1)&gt;=NFI_Monitor_Date,1,0))</f>
        <v>0</v>
      </c>
      <c r="AS860" s="473" t="str">
        <f>IFERROR(VLOOKUP(Table_NFI[[#This Row],[Camp Name]],CL,3,0),"")</f>
        <v>Open</v>
      </c>
      <c r="AT860" s="294" t="str">
        <f ca="1">IF(Table_NFI[[#This Row],[Pcode]]="","",OFFSET(CampList[Priority],MATCH(Table_NFI[[#This Row],[Pcode]],CampList[CP_Pcode],0)-1,0,1,1))</f>
        <v>P4</v>
      </c>
      <c r="AU860" s="293">
        <f>IFERROR(Table_NFI[[#This Row],[Kitchen Set]]/VLOOKUP(Table_NFI[[#This Row],[Camp Name]],CL,4,0),"")</f>
        <v>3.0769230769230771</v>
      </c>
      <c r="AV860" s="466" t="s">
        <v>1092</v>
      </c>
      <c r="AW860" s="469"/>
    </row>
    <row r="861" spans="1:49" x14ac:dyDescent="0.25">
      <c r="A861" s="297">
        <f t="shared" si="13"/>
        <v>48.93333333333333</v>
      </c>
      <c r="B861" s="465">
        <v>41207</v>
      </c>
      <c r="C861" s="466" t="s">
        <v>905</v>
      </c>
      <c r="D861" s="466" t="s">
        <v>905</v>
      </c>
      <c r="E861" s="466" t="s">
        <v>380</v>
      </c>
      <c r="F861" s="290" t="s">
        <v>185</v>
      </c>
      <c r="G861" s="290" t="s">
        <v>521</v>
      </c>
      <c r="H861" s="294">
        <v>23</v>
      </c>
      <c r="I861" s="291"/>
      <c r="J861" s="291"/>
      <c r="K861" s="291"/>
      <c r="L861" s="292"/>
      <c r="M861" s="292"/>
      <c r="N861" s="292"/>
      <c r="O861" s="292"/>
      <c r="P861" s="294"/>
      <c r="Q861" s="294"/>
      <c r="R861" s="294"/>
      <c r="S861" s="294"/>
      <c r="T861" s="294"/>
      <c r="U861" s="294"/>
      <c r="V861" s="431"/>
      <c r="W861" s="331"/>
      <c r="X861" s="331"/>
      <c r="Y861" s="294">
        <f>IF(NFI_Expiration=1,IF($A861&lt;VLOOKUP(H$5,NFI,5,0),1,0)*Table_NFI[[#This Row],[Hygiene Kit]],Table_NFI[Hygiene Kit])</f>
        <v>0</v>
      </c>
      <c r="Z861" s="294">
        <f>IF(NFI_Expiration=1,IF($A861&lt;VLOOKUP(I$5,NFI,5,0),1,0)*Table_NFI[[#This Row],[NFI Core Kit]],Table_NFI[NFI Core Kit])</f>
        <v>0</v>
      </c>
      <c r="AA861" s="294">
        <f>IF(NFI_Expiration=1,IF($A861&lt;VLOOKUP(J$5,NFI,5,0),1,0)*Table_NFI[[#This Row],[Sanitary Kit]],Table_NFI[Sanitary Kit])</f>
        <v>0</v>
      </c>
      <c r="AB861" s="294">
        <f>IF(NFI_Expiration=1,IF($A861&lt;VLOOKUP(K$5,NFI,5,0),1,0)*Table_NFI[[#This Row],[Mosquito net]],Table_NFI[Mosquito net])</f>
        <v>0</v>
      </c>
      <c r="AC861" s="294">
        <f>IF(NFI_Expiration=1,IF($A861&lt;VLOOKUP(L$5,NFI,5,0),1,0)*Table_NFI[[#This Row],[Tarpaulin]],Table_NFI[[#This Row],[Tarpaulin]])</f>
        <v>0</v>
      </c>
      <c r="AD861" s="294">
        <f>IF(NFI_Expiration=1,IF($A861&lt;VLOOKUP(M$5,NFI,5,0),1,0)*Table_NFI[[#This Row],[Blanket]],Table_NFI[[#This Row],[Blanket]])</f>
        <v>0</v>
      </c>
      <c r="AE861" s="294">
        <f>IF(NFI_Expiration=1,IF($A861&lt;VLOOKUP(N$5,NFI,5,0),1,0)*Table_NFI[[#This Row],[Kitchen Set]],Table_NFI[Kitchen Set])</f>
        <v>0</v>
      </c>
      <c r="AF861" s="294">
        <f>IF(NFI_Expiration=1,IF($A861&lt;VLOOKUP(O$5,NFI,5,0),1,0)*Table_NFI[[#This Row],[Clothes Kit]],Table_NFI[Clothes Kit])</f>
        <v>0</v>
      </c>
      <c r="AG861" s="294">
        <f>IF(NFI_Expiration=1,IF($A861&lt;VLOOKUP(P$5,NFI,5,0),1,0)*Table_NFI[[#This Row],[Plastic Bucket]],Table_NFI[Plastic Bucket])</f>
        <v>0</v>
      </c>
      <c r="AH861" s="294">
        <f>IF(NFI_Expiration=1,IF($A861&lt;VLOOKUP(Q$5,NFI,5,0),1,0)*Table_NFI[[#This Row],[Plastic Mat]],Table_NFI[Plastic Mat])*IF(Table_NFI[[#This Row],[Distribution Date]]&gt;"2014-04-01",1,2.5)</f>
        <v>0</v>
      </c>
      <c r="AI861" s="294">
        <f>IF(NFI_Expiration=1,IF($A861&lt;VLOOKUP(R$5,NFI,5,0),1,0)*Table_NFI[[#This Row],[Winter Clothes Adult]],Table_NFI[Winter Clothes Adult])</f>
        <v>0</v>
      </c>
      <c r="AJ861" s="294">
        <f>IF(NFI_Expiration=1,IF($A861&lt;VLOOKUP(S$5,NFI,5,0),1,0)*Table_NFI[[#This Row],[Winter Clothes Children]],Table_NFI[Winter Clothes Children])</f>
        <v>0</v>
      </c>
      <c r="AK861" s="294">
        <f>IF(NFI_Expiration=1,IF($A861&lt;VLOOKUP(T$5,NFI,5,0),1,0)*Table_NFI[[#This Row],[Winter Items Other]],Table_NFI[Winter Items Other])</f>
        <v>0</v>
      </c>
      <c r="AL861" s="294">
        <f>IF(NFI_Expiration=1,IF($A861&lt;VLOOKUP(M$5,NFI,5,0),1,0)*Table_NFI[[#This Row],[Winter Blanket]],Table_NFI[[#This Row],[Winter Blanket]])</f>
        <v>0</v>
      </c>
      <c r="AM861" s="294">
        <f>IF(Table_NFI[[#This Row],[Winter Clothes Adult]]+Table_NFI[[#This Row],[Winter Clothes Children]]+Table_NFI[[#This Row],[Winter Items Other]]+Table_NFI[[#This Row],[Winter Blanket]]&gt;0,1,0)</f>
        <v>0</v>
      </c>
      <c r="AN861" s="331">
        <f>IF(NFI_Expiration=1,IF($A861&lt;VLOOKUP(V$5,NFI,5,0),1,0)*Table_NFI[[#This Row],[Jerry Can]],Table_NFI[Jerry Can])</f>
        <v>0</v>
      </c>
      <c r="AO861" s="331">
        <f>IF(NFI_Expiration=1,IF($A861&lt;VLOOKUP(V$5,NFI,5,0),1,0)*Table_NFI[[#This Row],[Shelter Tool kit]],Table_NFI[Shelter Tool kit])</f>
        <v>0</v>
      </c>
      <c r="AP861" s="331">
        <f>IF(NFI_Expiration=1,IF($A861&lt;VLOOKUP(V$5,NFI,5,0),1,0)*Table_NFI[[#This Row],[Tent]],Table_NFI[Tent])</f>
        <v>0</v>
      </c>
      <c r="AQ861" s="473" t="str">
        <f>IFERROR(VLOOKUP(Table_NFI[[#This Row],[Camp Name]],CL,2,0),"")</f>
        <v>MMR001CMP200</v>
      </c>
      <c r="AR861" s="468">
        <f ca="1">IF(Table_NFI[[#This Row],[Pcode]]="","",IF(OFFSET(CampList[Opening Date],MATCH(Table_NFI[[#This Row],[Pcode]],CampList[CP_Pcode],0)-1,0,1,1)&gt;=NFI_Monitor_Date,1,0))</f>
        <v>0</v>
      </c>
      <c r="AS861" s="473" t="str">
        <f>IFERROR(VLOOKUP(Table_NFI[[#This Row],[Camp Name]],CL,3,0),"")</f>
        <v>Open</v>
      </c>
      <c r="AT861" s="294" t="str">
        <f ca="1">IF(Table_NFI[[#This Row],[Pcode]]="","",OFFSET(CampList[Priority],MATCH(Table_NFI[[#This Row],[Pcode]],CampList[CP_Pcode],0)-1,0,1,1))</f>
        <v>P4</v>
      </c>
      <c r="AU861" s="293">
        <f>IFERROR(Table_NFI[[#This Row],[Kitchen Set]]/VLOOKUP(Table_NFI[[#This Row],[Camp Name]],CL,4,0),"")</f>
        <v>0</v>
      </c>
      <c r="AV861" s="466"/>
      <c r="AW861" s="469"/>
    </row>
    <row r="862" spans="1:49" x14ac:dyDescent="0.25">
      <c r="A862" s="297">
        <f t="shared" si="13"/>
        <v>49.133333333333333</v>
      </c>
      <c r="B862" s="465">
        <v>41201</v>
      </c>
      <c r="C862" s="466" t="s">
        <v>905</v>
      </c>
      <c r="D862" s="466" t="s">
        <v>905</v>
      </c>
      <c r="E862" s="466" t="s">
        <v>380</v>
      </c>
      <c r="F862" s="466" t="s">
        <v>5</v>
      </c>
      <c r="G862" s="466" t="s">
        <v>24</v>
      </c>
      <c r="H862" s="294">
        <v>47</v>
      </c>
      <c r="I862" s="291"/>
      <c r="J862" s="291"/>
      <c r="K862" s="291"/>
      <c r="L862" s="292"/>
      <c r="M862" s="292"/>
      <c r="N862" s="292"/>
      <c r="O862" s="292"/>
      <c r="P862" s="294"/>
      <c r="Q862" s="294"/>
      <c r="R862" s="294"/>
      <c r="S862" s="294"/>
      <c r="T862" s="294"/>
      <c r="U862" s="294"/>
      <c r="V862" s="431"/>
      <c r="W862" s="294"/>
      <c r="X862" s="294"/>
      <c r="Y862" s="294">
        <f>IF(NFI_Expiration=1,IF($A862&lt;VLOOKUP(H$5,NFI,5,0),1,0)*Table_NFI[[#This Row],[Hygiene Kit]],Table_NFI[Hygiene Kit])</f>
        <v>0</v>
      </c>
      <c r="Z862" s="294">
        <f>IF(NFI_Expiration=1,IF($A862&lt;VLOOKUP(I$5,NFI,5,0),1,0)*Table_NFI[[#This Row],[NFI Core Kit]],Table_NFI[NFI Core Kit])</f>
        <v>0</v>
      </c>
      <c r="AA862" s="294">
        <f>IF(NFI_Expiration=1,IF($A862&lt;VLOOKUP(J$5,NFI,5,0),1,0)*Table_NFI[[#This Row],[Sanitary Kit]],Table_NFI[Sanitary Kit])</f>
        <v>0</v>
      </c>
      <c r="AB862" s="294">
        <f>IF(NFI_Expiration=1,IF($A862&lt;VLOOKUP(K$5,NFI,5,0),1,0)*Table_NFI[[#This Row],[Mosquito net]],Table_NFI[Mosquito net])</f>
        <v>0</v>
      </c>
      <c r="AC862" s="294">
        <f>IF(NFI_Expiration=1,IF($A862&lt;VLOOKUP(L$5,NFI,5,0),1,0)*Table_NFI[[#This Row],[Tarpaulin]],Table_NFI[[#This Row],[Tarpaulin]])</f>
        <v>0</v>
      </c>
      <c r="AD862" s="294">
        <f>IF(NFI_Expiration=1,IF($A862&lt;VLOOKUP(M$5,NFI,5,0),1,0)*Table_NFI[[#This Row],[Blanket]],Table_NFI[[#This Row],[Blanket]])</f>
        <v>0</v>
      </c>
      <c r="AE862" s="294">
        <f>IF(NFI_Expiration=1,IF($A862&lt;VLOOKUP(N$5,NFI,5,0),1,0)*Table_NFI[[#This Row],[Kitchen Set]],Table_NFI[Kitchen Set])</f>
        <v>0</v>
      </c>
      <c r="AF862" s="294">
        <f>IF(NFI_Expiration=1,IF($A862&lt;VLOOKUP(O$5,NFI,5,0),1,0)*Table_NFI[[#This Row],[Clothes Kit]],Table_NFI[Clothes Kit])</f>
        <v>0</v>
      </c>
      <c r="AG862" s="294">
        <f>IF(NFI_Expiration=1,IF($A862&lt;VLOOKUP(P$5,NFI,5,0),1,0)*Table_NFI[[#This Row],[Plastic Bucket]],Table_NFI[Plastic Bucket])</f>
        <v>0</v>
      </c>
      <c r="AH862" s="294">
        <f>IF(NFI_Expiration=1,IF($A862&lt;VLOOKUP(Q$5,NFI,5,0),1,0)*Table_NFI[[#This Row],[Plastic Mat]],Table_NFI[Plastic Mat])*IF(Table_NFI[[#This Row],[Distribution Date]]&gt;"2014-04-01",1,2.5)</f>
        <v>0</v>
      </c>
      <c r="AI862" s="294">
        <f>IF(NFI_Expiration=1,IF($A862&lt;VLOOKUP(R$5,NFI,5,0),1,0)*Table_NFI[[#This Row],[Winter Clothes Adult]],Table_NFI[Winter Clothes Adult])</f>
        <v>0</v>
      </c>
      <c r="AJ862" s="294">
        <f>IF(NFI_Expiration=1,IF($A862&lt;VLOOKUP(S$5,NFI,5,0),1,0)*Table_NFI[[#This Row],[Winter Clothes Children]],Table_NFI[Winter Clothes Children])</f>
        <v>0</v>
      </c>
      <c r="AK862" s="294">
        <f>IF(NFI_Expiration=1,IF($A862&lt;VLOOKUP(T$5,NFI,5,0),1,0)*Table_NFI[[#This Row],[Winter Items Other]],Table_NFI[Winter Items Other])</f>
        <v>0</v>
      </c>
      <c r="AL862" s="294">
        <f>IF(NFI_Expiration=1,IF($A862&lt;VLOOKUP(M$5,NFI,5,0),1,0)*Table_NFI[[#This Row],[Winter Blanket]],Table_NFI[[#This Row],[Winter Blanket]])</f>
        <v>0</v>
      </c>
      <c r="AM862" s="294">
        <f>IF(Table_NFI[[#This Row],[Winter Clothes Adult]]+Table_NFI[[#This Row],[Winter Clothes Children]]+Table_NFI[[#This Row],[Winter Items Other]]+Table_NFI[[#This Row],[Winter Blanket]]&gt;0,1,0)</f>
        <v>0</v>
      </c>
      <c r="AN862" s="331">
        <f>IF(NFI_Expiration=1,IF($A862&lt;VLOOKUP(V$5,NFI,5,0),1,0)*Table_NFI[[#This Row],[Jerry Can]],Table_NFI[Jerry Can])</f>
        <v>0</v>
      </c>
      <c r="AO862" s="331">
        <f>IF(NFI_Expiration=1,IF($A862&lt;VLOOKUP(V$5,NFI,5,0),1,0)*Table_NFI[[#This Row],[Shelter Tool kit]],Table_NFI[Shelter Tool kit])</f>
        <v>0</v>
      </c>
      <c r="AP862" s="331">
        <f>IF(NFI_Expiration=1,IF($A862&lt;VLOOKUP(V$5,NFI,5,0),1,0)*Table_NFI[[#This Row],[Tent]],Table_NFI[Tent])</f>
        <v>0</v>
      </c>
      <c r="AQ862" s="473" t="str">
        <f>IFERROR(VLOOKUP(Table_NFI[[#This Row],[Camp Name]],CL,2,0),"")</f>
        <v>MMR001CMP055</v>
      </c>
      <c r="AR862" s="468">
        <f ca="1">IF(Table_NFI[[#This Row],[Pcode]]="","",IF(OFFSET(CampList[Opening Date],MATCH(Table_NFI[[#This Row],[Pcode]],CampList[CP_Pcode],0)-1,0,1,1)&gt;=NFI_Monitor_Date,1,0))</f>
        <v>0</v>
      </c>
      <c r="AS862" s="473" t="str">
        <f>IFERROR(VLOOKUP(Table_NFI[[#This Row],[Camp Name]],CL,3,0),"")</f>
        <v>Open</v>
      </c>
      <c r="AT862" s="294" t="str">
        <f ca="1">IF(Table_NFI[[#This Row],[Pcode]]="","",OFFSET(CampList[Priority],MATCH(Table_NFI[[#This Row],[Pcode]],CampList[CP_Pcode],0)-1,0,1,1))</f>
        <v>P4</v>
      </c>
      <c r="AU862" s="293">
        <f>IFERROR(Table_NFI[[#This Row],[Kitchen Set]]/VLOOKUP(Table_NFI[[#This Row],[Camp Name]],CL,4,0),"")</f>
        <v>0</v>
      </c>
      <c r="AV862" s="466"/>
      <c r="AW862" s="469"/>
    </row>
    <row r="863" spans="1:49" ht="14.45" customHeight="1" x14ac:dyDescent="0.25">
      <c r="A863" s="297">
        <f t="shared" si="13"/>
        <v>49.266666666666666</v>
      </c>
      <c r="B863" s="465">
        <v>41197</v>
      </c>
      <c r="C863" s="466" t="s">
        <v>905</v>
      </c>
      <c r="D863" s="466" t="s">
        <v>1002</v>
      </c>
      <c r="E863" s="466" t="s">
        <v>380</v>
      </c>
      <c r="F863" s="466" t="s">
        <v>302</v>
      </c>
      <c r="G863" s="466" t="s">
        <v>1436</v>
      </c>
      <c r="H863" s="294">
        <v>38</v>
      </c>
      <c r="I863" s="291"/>
      <c r="J863" s="292"/>
      <c r="K863" s="291"/>
      <c r="L863" s="292"/>
      <c r="M863" s="292"/>
      <c r="N863" s="292"/>
      <c r="O863" s="292"/>
      <c r="P863" s="294"/>
      <c r="Q863" s="294"/>
      <c r="R863" s="294"/>
      <c r="S863" s="294"/>
      <c r="T863" s="294"/>
      <c r="U863" s="294"/>
      <c r="V863" s="431"/>
      <c r="W863" s="294"/>
      <c r="X863" s="294"/>
      <c r="Y863" s="294">
        <f>IF(NFI_Expiration=1,IF($A863&lt;VLOOKUP(H$5,NFI,5,0),1,0)*Table_NFI[[#This Row],[Hygiene Kit]],Table_NFI[Hygiene Kit])</f>
        <v>0</v>
      </c>
      <c r="Z863" s="294">
        <f>IF(NFI_Expiration=1,IF($A863&lt;VLOOKUP(I$5,NFI,5,0),1,0)*Table_NFI[[#This Row],[NFI Core Kit]],Table_NFI[NFI Core Kit])</f>
        <v>0</v>
      </c>
      <c r="AA863" s="294">
        <f>IF(NFI_Expiration=1,IF($A863&lt;VLOOKUP(J$5,NFI,5,0),1,0)*Table_NFI[[#This Row],[Sanitary Kit]],Table_NFI[Sanitary Kit])</f>
        <v>0</v>
      </c>
      <c r="AB863" s="294">
        <f>IF(NFI_Expiration=1,IF($A863&lt;VLOOKUP(K$5,NFI,5,0),1,0)*Table_NFI[[#This Row],[Mosquito net]],Table_NFI[Mosquito net])</f>
        <v>0</v>
      </c>
      <c r="AC863" s="294">
        <f>IF(NFI_Expiration=1,IF($A863&lt;VLOOKUP(L$5,NFI,5,0),1,0)*Table_NFI[[#This Row],[Tarpaulin]],Table_NFI[[#This Row],[Tarpaulin]])</f>
        <v>0</v>
      </c>
      <c r="AD863" s="294">
        <f>IF(NFI_Expiration=1,IF($A863&lt;VLOOKUP(M$5,NFI,5,0),1,0)*Table_NFI[[#This Row],[Blanket]],Table_NFI[[#This Row],[Blanket]])</f>
        <v>0</v>
      </c>
      <c r="AE863" s="294">
        <f>IF(NFI_Expiration=1,IF($A863&lt;VLOOKUP(N$5,NFI,5,0),1,0)*Table_NFI[[#This Row],[Kitchen Set]],Table_NFI[Kitchen Set])</f>
        <v>0</v>
      </c>
      <c r="AF863" s="294">
        <f>IF(NFI_Expiration=1,IF($A863&lt;VLOOKUP(O$5,NFI,5,0),1,0)*Table_NFI[[#This Row],[Clothes Kit]],Table_NFI[Clothes Kit])</f>
        <v>0</v>
      </c>
      <c r="AG863" s="294">
        <f>IF(NFI_Expiration=1,IF($A863&lt;VLOOKUP(P$5,NFI,5,0),1,0)*Table_NFI[[#This Row],[Plastic Bucket]],Table_NFI[Plastic Bucket])</f>
        <v>0</v>
      </c>
      <c r="AH863" s="294">
        <f>IF(NFI_Expiration=1,IF($A863&lt;VLOOKUP(Q$5,NFI,5,0),1,0)*Table_NFI[[#This Row],[Plastic Mat]],Table_NFI[Plastic Mat])*IF(Table_NFI[[#This Row],[Distribution Date]]&gt;"2014-04-01",1,2.5)</f>
        <v>0</v>
      </c>
      <c r="AI863" s="294">
        <f>IF(NFI_Expiration=1,IF($A863&lt;VLOOKUP(R$5,NFI,5,0),1,0)*Table_NFI[[#This Row],[Winter Clothes Adult]],Table_NFI[Winter Clothes Adult])</f>
        <v>0</v>
      </c>
      <c r="AJ863" s="294">
        <f>IF(NFI_Expiration=1,IF($A863&lt;VLOOKUP(S$5,NFI,5,0),1,0)*Table_NFI[[#This Row],[Winter Clothes Children]],Table_NFI[Winter Clothes Children])</f>
        <v>0</v>
      </c>
      <c r="AK863" s="294">
        <f>IF(NFI_Expiration=1,IF($A863&lt;VLOOKUP(T$5,NFI,5,0),1,0)*Table_NFI[[#This Row],[Winter Items Other]],Table_NFI[Winter Items Other])</f>
        <v>0</v>
      </c>
      <c r="AL863" s="294">
        <f>IF(NFI_Expiration=1,IF($A863&lt;VLOOKUP(M$5,NFI,5,0),1,0)*Table_NFI[[#This Row],[Winter Blanket]],Table_NFI[[#This Row],[Winter Blanket]])</f>
        <v>0</v>
      </c>
      <c r="AM863" s="294">
        <f>IF(Table_NFI[[#This Row],[Winter Clothes Adult]]+Table_NFI[[#This Row],[Winter Clothes Children]]+Table_NFI[[#This Row],[Winter Items Other]]+Table_NFI[[#This Row],[Winter Blanket]]&gt;0,1,0)</f>
        <v>0</v>
      </c>
      <c r="AN863" s="331">
        <f>IF(NFI_Expiration=1,IF($A863&lt;VLOOKUP(V$5,NFI,5,0),1,0)*Table_NFI[[#This Row],[Jerry Can]],Table_NFI[Jerry Can])</f>
        <v>0</v>
      </c>
      <c r="AO863" s="331">
        <f>IF(NFI_Expiration=1,IF($A863&lt;VLOOKUP(V$5,NFI,5,0),1,0)*Table_NFI[[#This Row],[Shelter Tool kit]],Table_NFI[Shelter Tool kit])</f>
        <v>0</v>
      </c>
      <c r="AP863" s="331">
        <f>IF(NFI_Expiration=1,IF($A863&lt;VLOOKUP(V$5,NFI,5,0),1,0)*Table_NFI[[#This Row],[Tent]],Table_NFI[Tent])</f>
        <v>0</v>
      </c>
      <c r="AQ863" s="473" t="str">
        <f>IFERROR(VLOOKUP(Table_NFI[[#This Row],[Camp Name]],CL,2,0),"")</f>
        <v/>
      </c>
      <c r="AR863" s="468" t="str">
        <f ca="1">IF(Table_NFI[[#This Row],[Pcode]]="","",IF(OFFSET(CampList[Opening Date],MATCH(Table_NFI[[#This Row],[Pcode]],CampList[CP_Pcode],0)-1,0,1,1)&gt;=NFI_Monitor_Date,1,0))</f>
        <v/>
      </c>
      <c r="AS863" s="473" t="str">
        <f>IFERROR(VLOOKUP(Table_NFI[[#This Row],[Camp Name]],CL,3,0),"")</f>
        <v/>
      </c>
      <c r="AT863" s="294" t="str">
        <f ca="1">IF(Table_NFI[[#This Row],[Pcode]]="","",OFFSET(CampList[Priority],MATCH(Table_NFI[[#This Row],[Pcode]],CampList[CP_Pcode],0)-1,0,1,1))</f>
        <v/>
      </c>
      <c r="AU863" s="293" t="str">
        <f>IFERROR(Table_NFI[[#This Row],[Kitchen Set]]/VLOOKUP(Table_NFI[[#This Row],[Camp Name]],CL,4,0),"")</f>
        <v/>
      </c>
      <c r="AV863" s="466"/>
      <c r="AW863" s="469"/>
    </row>
    <row r="864" spans="1:49" ht="14.45" customHeight="1" x14ac:dyDescent="0.25">
      <c r="A864" s="297">
        <f t="shared" si="13"/>
        <v>49.4</v>
      </c>
      <c r="B864" s="465">
        <v>41193</v>
      </c>
      <c r="C864" s="466" t="s">
        <v>452</v>
      </c>
      <c r="D864" s="467" t="s">
        <v>452</v>
      </c>
      <c r="E864" s="466" t="s">
        <v>380</v>
      </c>
      <c r="F864" s="290" t="s">
        <v>185</v>
      </c>
      <c r="G864" s="290" t="s">
        <v>225</v>
      </c>
      <c r="H864" s="291"/>
      <c r="I864" s="291"/>
      <c r="J864" s="291"/>
      <c r="K864" s="291">
        <v>28</v>
      </c>
      <c r="L864" s="292">
        <v>17</v>
      </c>
      <c r="M864" s="292">
        <v>28</v>
      </c>
      <c r="N864" s="292">
        <v>17</v>
      </c>
      <c r="O864" s="292">
        <v>17</v>
      </c>
      <c r="P864" s="294">
        <v>17</v>
      </c>
      <c r="Q864" s="294">
        <v>17</v>
      </c>
      <c r="R864" s="294"/>
      <c r="S864" s="294"/>
      <c r="T864" s="294"/>
      <c r="U864" s="294"/>
      <c r="V864" s="431"/>
      <c r="W864" s="294"/>
      <c r="X864" s="294"/>
      <c r="Y864" s="294">
        <f>IF(NFI_Expiration=1,IF($A864&lt;VLOOKUP(H$5,NFI,5,0),1,0)*Table_NFI[[#This Row],[Hygiene Kit]],Table_NFI[Hygiene Kit])</f>
        <v>0</v>
      </c>
      <c r="Z864" s="294">
        <f>IF(NFI_Expiration=1,IF($A864&lt;VLOOKUP(I$5,NFI,5,0),1,0)*Table_NFI[[#This Row],[NFI Core Kit]],Table_NFI[NFI Core Kit])</f>
        <v>0</v>
      </c>
      <c r="AA864" s="294">
        <f>IF(NFI_Expiration=1,IF($A864&lt;VLOOKUP(J$5,NFI,5,0),1,0)*Table_NFI[[#This Row],[Sanitary Kit]],Table_NFI[Sanitary Kit])</f>
        <v>0</v>
      </c>
      <c r="AB864" s="294">
        <f>IF(NFI_Expiration=1,IF($A864&lt;VLOOKUP(K$5,NFI,5,0),1,0)*Table_NFI[[#This Row],[Mosquito net]],Table_NFI[Mosquito net])</f>
        <v>0</v>
      </c>
      <c r="AC864" s="294">
        <f>IF(NFI_Expiration=1,IF($A864&lt;VLOOKUP(L$5,NFI,5,0),1,0)*Table_NFI[[#This Row],[Tarpaulin]],Table_NFI[[#This Row],[Tarpaulin]])</f>
        <v>0</v>
      </c>
      <c r="AD864" s="294">
        <f>IF(NFI_Expiration=1,IF($A864&lt;VLOOKUP(M$5,NFI,5,0),1,0)*Table_NFI[[#This Row],[Blanket]],Table_NFI[[#This Row],[Blanket]])</f>
        <v>0</v>
      </c>
      <c r="AE864" s="294">
        <f>IF(NFI_Expiration=1,IF($A864&lt;VLOOKUP(N$5,NFI,5,0),1,0)*Table_NFI[[#This Row],[Kitchen Set]],Table_NFI[Kitchen Set])</f>
        <v>0</v>
      </c>
      <c r="AF864" s="294">
        <f>IF(NFI_Expiration=1,IF($A864&lt;VLOOKUP(O$5,NFI,5,0),1,0)*Table_NFI[[#This Row],[Clothes Kit]],Table_NFI[Clothes Kit])</f>
        <v>0</v>
      </c>
      <c r="AG864" s="294">
        <f>IF(NFI_Expiration=1,IF($A864&lt;VLOOKUP(P$5,NFI,5,0),1,0)*Table_NFI[[#This Row],[Plastic Bucket]],Table_NFI[Plastic Bucket])</f>
        <v>0</v>
      </c>
      <c r="AH864" s="294">
        <f>IF(NFI_Expiration=1,IF($A864&lt;VLOOKUP(Q$5,NFI,5,0),1,0)*Table_NFI[[#This Row],[Plastic Mat]],Table_NFI[Plastic Mat])*IF(Table_NFI[[#This Row],[Distribution Date]]&gt;"2014-04-01",1,2.5)</f>
        <v>0</v>
      </c>
      <c r="AI864" s="294">
        <f>IF(NFI_Expiration=1,IF($A864&lt;VLOOKUP(R$5,NFI,5,0),1,0)*Table_NFI[[#This Row],[Winter Clothes Adult]],Table_NFI[Winter Clothes Adult])</f>
        <v>0</v>
      </c>
      <c r="AJ864" s="294">
        <f>IF(NFI_Expiration=1,IF($A864&lt;VLOOKUP(S$5,NFI,5,0),1,0)*Table_NFI[[#This Row],[Winter Clothes Children]],Table_NFI[Winter Clothes Children])</f>
        <v>0</v>
      </c>
      <c r="AK864" s="294">
        <f>IF(NFI_Expiration=1,IF($A864&lt;VLOOKUP(T$5,NFI,5,0),1,0)*Table_NFI[[#This Row],[Winter Items Other]],Table_NFI[Winter Items Other])</f>
        <v>0</v>
      </c>
      <c r="AL864" s="294">
        <f>IF(NFI_Expiration=1,IF($A864&lt;VLOOKUP(M$5,NFI,5,0),1,0)*Table_NFI[[#This Row],[Winter Blanket]],Table_NFI[[#This Row],[Winter Blanket]])</f>
        <v>0</v>
      </c>
      <c r="AM864" s="294">
        <f>IF(Table_NFI[[#This Row],[Winter Clothes Adult]]+Table_NFI[[#This Row],[Winter Clothes Children]]+Table_NFI[[#This Row],[Winter Items Other]]+Table_NFI[[#This Row],[Winter Blanket]]&gt;0,1,0)</f>
        <v>0</v>
      </c>
      <c r="AN864" s="331">
        <f>IF(NFI_Expiration=1,IF($A864&lt;VLOOKUP(V$5,NFI,5,0),1,0)*Table_NFI[[#This Row],[Jerry Can]],Table_NFI[Jerry Can])</f>
        <v>0</v>
      </c>
      <c r="AO864" s="331">
        <f>IF(NFI_Expiration=1,IF($A864&lt;VLOOKUP(V$5,NFI,5,0),1,0)*Table_NFI[[#This Row],[Shelter Tool kit]],Table_NFI[Shelter Tool kit])</f>
        <v>0</v>
      </c>
      <c r="AP864" s="331">
        <f>IF(NFI_Expiration=1,IF($A864&lt;VLOOKUP(V$5,NFI,5,0),1,0)*Table_NFI[[#This Row],[Tent]],Table_NFI[Tent])</f>
        <v>0</v>
      </c>
      <c r="AQ864" s="473" t="str">
        <f>IFERROR(VLOOKUP(Table_NFI[[#This Row],[Camp Name]],CL,2,0),"")</f>
        <v>MMR001CMP073</v>
      </c>
      <c r="AR864" s="468">
        <f ca="1">IF(Table_NFI[[#This Row],[Pcode]]="","",IF(OFFSET(CampList[Opening Date],MATCH(Table_NFI[[#This Row],[Pcode]],CampList[CP_Pcode],0)-1,0,1,1)&gt;=NFI_Monitor_Date,1,0))</f>
        <v>0</v>
      </c>
      <c r="AS864" s="473" t="str">
        <f>IFERROR(VLOOKUP(Table_NFI[[#This Row],[Camp Name]],CL,3,0),"")</f>
        <v>Open</v>
      </c>
      <c r="AT864" s="294" t="str">
        <f ca="1">IF(Table_NFI[[#This Row],[Pcode]]="","",OFFSET(CampList[Priority],MATCH(Table_NFI[[#This Row],[Pcode]],CampList[CP_Pcode],0)-1,0,1,1))</f>
        <v>P3</v>
      </c>
      <c r="AU864" s="293">
        <f>IFERROR(Table_NFI[[#This Row],[Kitchen Set]]/VLOOKUP(Table_NFI[[#This Row],[Camp Name]],CL,4,0),"")</f>
        <v>0.41463414634146339</v>
      </c>
      <c r="AV864" s="466" t="s">
        <v>1092</v>
      </c>
      <c r="AW864" s="469"/>
    </row>
    <row r="865" spans="1:49" ht="14.45" customHeight="1" x14ac:dyDescent="0.25">
      <c r="A865" s="297">
        <f t="shared" si="13"/>
        <v>49.766666666666666</v>
      </c>
      <c r="B865" s="465">
        <v>41182</v>
      </c>
      <c r="C865" s="466" t="s">
        <v>452</v>
      </c>
      <c r="D865" s="466" t="s">
        <v>904</v>
      </c>
      <c r="E865" s="466" t="s">
        <v>380</v>
      </c>
      <c r="F865" s="466" t="s">
        <v>27</v>
      </c>
      <c r="G865" s="290" t="s">
        <v>37</v>
      </c>
      <c r="H865" s="291"/>
      <c r="I865" s="291"/>
      <c r="J865" s="291"/>
      <c r="K865" s="291">
        <v>34</v>
      </c>
      <c r="L865" s="292">
        <v>12</v>
      </c>
      <c r="M865" s="292">
        <v>34</v>
      </c>
      <c r="N865" s="292">
        <v>12</v>
      </c>
      <c r="O865" s="292">
        <v>12</v>
      </c>
      <c r="P865" s="294">
        <v>12</v>
      </c>
      <c r="Q865" s="294">
        <v>12</v>
      </c>
      <c r="R865" s="294"/>
      <c r="S865" s="294"/>
      <c r="T865" s="294"/>
      <c r="U865" s="294"/>
      <c r="V865" s="431"/>
      <c r="W865" s="294"/>
      <c r="X865" s="294"/>
      <c r="Y865" s="294">
        <f>IF(NFI_Expiration=1,IF($A865&lt;VLOOKUP(H$5,NFI,5,0),1,0)*Table_NFI[[#This Row],[Hygiene Kit]],Table_NFI[Hygiene Kit])</f>
        <v>0</v>
      </c>
      <c r="Z865" s="294">
        <f>IF(NFI_Expiration=1,IF($A865&lt;VLOOKUP(I$5,NFI,5,0),1,0)*Table_NFI[[#This Row],[NFI Core Kit]],Table_NFI[NFI Core Kit])</f>
        <v>0</v>
      </c>
      <c r="AA865" s="294">
        <f>IF(NFI_Expiration=1,IF($A865&lt;VLOOKUP(J$5,NFI,5,0),1,0)*Table_NFI[[#This Row],[Sanitary Kit]],Table_NFI[Sanitary Kit])</f>
        <v>0</v>
      </c>
      <c r="AB865" s="294">
        <f>IF(NFI_Expiration=1,IF($A865&lt;VLOOKUP(K$5,NFI,5,0),1,0)*Table_NFI[[#This Row],[Mosquito net]],Table_NFI[Mosquito net])</f>
        <v>0</v>
      </c>
      <c r="AC865" s="294">
        <f>IF(NFI_Expiration=1,IF($A865&lt;VLOOKUP(L$5,NFI,5,0),1,0)*Table_NFI[[#This Row],[Tarpaulin]],Table_NFI[[#This Row],[Tarpaulin]])</f>
        <v>0</v>
      </c>
      <c r="AD865" s="294">
        <f>IF(NFI_Expiration=1,IF($A865&lt;VLOOKUP(M$5,NFI,5,0),1,0)*Table_NFI[[#This Row],[Blanket]],Table_NFI[[#This Row],[Blanket]])</f>
        <v>0</v>
      </c>
      <c r="AE865" s="294">
        <f>IF(NFI_Expiration=1,IF($A865&lt;VLOOKUP(N$5,NFI,5,0),1,0)*Table_NFI[[#This Row],[Kitchen Set]],Table_NFI[Kitchen Set])</f>
        <v>0</v>
      </c>
      <c r="AF865" s="294">
        <f>IF(NFI_Expiration=1,IF($A865&lt;VLOOKUP(O$5,NFI,5,0),1,0)*Table_NFI[[#This Row],[Clothes Kit]],Table_NFI[Clothes Kit])</f>
        <v>0</v>
      </c>
      <c r="AG865" s="294">
        <f>IF(NFI_Expiration=1,IF($A865&lt;VLOOKUP(P$5,NFI,5,0),1,0)*Table_NFI[[#This Row],[Plastic Bucket]],Table_NFI[Plastic Bucket])</f>
        <v>0</v>
      </c>
      <c r="AH865" s="294">
        <f>IF(NFI_Expiration=1,IF($A865&lt;VLOOKUP(Q$5,NFI,5,0),1,0)*Table_NFI[[#This Row],[Plastic Mat]],Table_NFI[Plastic Mat])*IF(Table_NFI[[#This Row],[Distribution Date]]&gt;"2014-04-01",1,2.5)</f>
        <v>0</v>
      </c>
      <c r="AI865" s="294">
        <f>IF(NFI_Expiration=1,IF($A865&lt;VLOOKUP(R$5,NFI,5,0),1,0)*Table_NFI[[#This Row],[Winter Clothes Adult]],Table_NFI[Winter Clothes Adult])</f>
        <v>0</v>
      </c>
      <c r="AJ865" s="294">
        <f>IF(NFI_Expiration=1,IF($A865&lt;VLOOKUP(S$5,NFI,5,0),1,0)*Table_NFI[[#This Row],[Winter Clothes Children]],Table_NFI[Winter Clothes Children])</f>
        <v>0</v>
      </c>
      <c r="AK865" s="294">
        <f>IF(NFI_Expiration=1,IF($A865&lt;VLOOKUP(T$5,NFI,5,0),1,0)*Table_NFI[[#This Row],[Winter Items Other]],Table_NFI[Winter Items Other])</f>
        <v>0</v>
      </c>
      <c r="AL865" s="294">
        <f>IF(NFI_Expiration=1,IF($A865&lt;VLOOKUP(M$5,NFI,5,0),1,0)*Table_NFI[[#This Row],[Winter Blanket]],Table_NFI[[#This Row],[Winter Blanket]])</f>
        <v>0</v>
      </c>
      <c r="AM865" s="294">
        <f>IF(Table_NFI[[#This Row],[Winter Clothes Adult]]+Table_NFI[[#This Row],[Winter Clothes Children]]+Table_NFI[[#This Row],[Winter Items Other]]+Table_NFI[[#This Row],[Winter Blanket]]&gt;0,1,0)</f>
        <v>0</v>
      </c>
      <c r="AN865" s="331">
        <f>IF(NFI_Expiration=1,IF($A865&lt;VLOOKUP(V$5,NFI,5,0),1,0)*Table_NFI[[#This Row],[Jerry Can]],Table_NFI[Jerry Can])</f>
        <v>0</v>
      </c>
      <c r="AO865" s="331">
        <f>IF(NFI_Expiration=1,IF($A865&lt;VLOOKUP(V$5,NFI,5,0),1,0)*Table_NFI[[#This Row],[Shelter Tool kit]],Table_NFI[Shelter Tool kit])</f>
        <v>0</v>
      </c>
      <c r="AP865" s="331">
        <f>IF(NFI_Expiration=1,IF($A865&lt;VLOOKUP(V$5,NFI,5,0),1,0)*Table_NFI[[#This Row],[Tent]],Table_NFI[Tent])</f>
        <v>0</v>
      </c>
      <c r="AQ865" s="473" t="str">
        <f>IFERROR(VLOOKUP(Table_NFI[[#This Row],[Camp Name]],CL,2,0),"")</f>
        <v>MMR001CMP044</v>
      </c>
      <c r="AR865" s="468">
        <f ca="1">IF(Table_NFI[[#This Row],[Pcode]]="","",IF(OFFSET(CampList[Opening Date],MATCH(Table_NFI[[#This Row],[Pcode]],CampList[CP_Pcode],0)-1,0,1,1)&gt;=NFI_Monitor_Date,1,0))</f>
        <v>0</v>
      </c>
      <c r="AS865" s="473" t="str">
        <f>IFERROR(VLOOKUP(Table_NFI[[#This Row],[Camp Name]],CL,3,0),"")</f>
        <v>Closed</v>
      </c>
      <c r="AT865" s="294" t="str">
        <f ca="1">IF(Table_NFI[[#This Row],[Pcode]]="","",OFFSET(CampList[Priority],MATCH(Table_NFI[[#This Row],[Pcode]],CampList[CP_Pcode],0)-1,0,1,1))</f>
        <v/>
      </c>
      <c r="AU865" s="293" t="str">
        <f>IFERROR(Table_NFI[[#This Row],[Kitchen Set]]/VLOOKUP(Table_NFI[[#This Row],[Camp Name]],CL,4,0),"")</f>
        <v/>
      </c>
      <c r="AV865" s="466" t="s">
        <v>1092</v>
      </c>
      <c r="AW865" s="469"/>
    </row>
    <row r="866" spans="1:49" ht="14.45" customHeight="1" x14ac:dyDescent="0.25">
      <c r="A866" s="297">
        <f t="shared" si="13"/>
        <v>49.8</v>
      </c>
      <c r="B866" s="465">
        <v>41181</v>
      </c>
      <c r="C866" s="466" t="s">
        <v>452</v>
      </c>
      <c r="D866" s="466" t="s">
        <v>904</v>
      </c>
      <c r="E866" s="466" t="s">
        <v>380</v>
      </c>
      <c r="F866" s="466" t="s">
        <v>27</v>
      </c>
      <c r="G866" s="290" t="s">
        <v>365</v>
      </c>
      <c r="H866" s="291"/>
      <c r="I866" s="291"/>
      <c r="J866" s="291"/>
      <c r="K866" s="291">
        <v>34</v>
      </c>
      <c r="L866" s="292">
        <v>12</v>
      </c>
      <c r="M866" s="292">
        <v>34</v>
      </c>
      <c r="N866" s="292">
        <v>12</v>
      </c>
      <c r="O866" s="292">
        <v>12</v>
      </c>
      <c r="P866" s="294">
        <v>12</v>
      </c>
      <c r="Q866" s="294">
        <v>12</v>
      </c>
      <c r="R866" s="294"/>
      <c r="S866" s="294"/>
      <c r="T866" s="294"/>
      <c r="U866" s="294"/>
      <c r="V866" s="431"/>
      <c r="W866" s="294"/>
      <c r="X866" s="294"/>
      <c r="Y866" s="294">
        <f>IF(NFI_Expiration=1,IF($A866&lt;VLOOKUP(H$5,NFI,5,0),1,0)*Table_NFI[[#This Row],[Hygiene Kit]],Table_NFI[Hygiene Kit])</f>
        <v>0</v>
      </c>
      <c r="Z866" s="294">
        <f>IF(NFI_Expiration=1,IF($A866&lt;VLOOKUP(I$5,NFI,5,0),1,0)*Table_NFI[[#This Row],[NFI Core Kit]],Table_NFI[NFI Core Kit])</f>
        <v>0</v>
      </c>
      <c r="AA866" s="294">
        <f>IF(NFI_Expiration=1,IF($A866&lt;VLOOKUP(J$5,NFI,5,0),1,0)*Table_NFI[[#This Row],[Sanitary Kit]],Table_NFI[Sanitary Kit])</f>
        <v>0</v>
      </c>
      <c r="AB866" s="294">
        <f>IF(NFI_Expiration=1,IF($A866&lt;VLOOKUP(K$5,NFI,5,0),1,0)*Table_NFI[[#This Row],[Mosquito net]],Table_NFI[Mosquito net])</f>
        <v>0</v>
      </c>
      <c r="AC866" s="294">
        <f>IF(NFI_Expiration=1,IF($A866&lt;VLOOKUP(L$5,NFI,5,0),1,0)*Table_NFI[[#This Row],[Tarpaulin]],Table_NFI[[#This Row],[Tarpaulin]])</f>
        <v>0</v>
      </c>
      <c r="AD866" s="294">
        <f>IF(NFI_Expiration=1,IF($A866&lt;VLOOKUP(M$5,NFI,5,0),1,0)*Table_NFI[[#This Row],[Blanket]],Table_NFI[[#This Row],[Blanket]])</f>
        <v>0</v>
      </c>
      <c r="AE866" s="294">
        <f>IF(NFI_Expiration=1,IF($A866&lt;VLOOKUP(N$5,NFI,5,0),1,0)*Table_NFI[[#This Row],[Kitchen Set]],Table_NFI[Kitchen Set])</f>
        <v>0</v>
      </c>
      <c r="AF866" s="294">
        <f>IF(NFI_Expiration=1,IF($A866&lt;VLOOKUP(O$5,NFI,5,0),1,0)*Table_NFI[[#This Row],[Clothes Kit]],Table_NFI[Clothes Kit])</f>
        <v>0</v>
      </c>
      <c r="AG866" s="294">
        <f>IF(NFI_Expiration=1,IF($A866&lt;VLOOKUP(P$5,NFI,5,0),1,0)*Table_NFI[[#This Row],[Plastic Bucket]],Table_NFI[Plastic Bucket])</f>
        <v>0</v>
      </c>
      <c r="AH866" s="294">
        <f>IF(NFI_Expiration=1,IF($A866&lt;VLOOKUP(Q$5,NFI,5,0),1,0)*Table_NFI[[#This Row],[Plastic Mat]],Table_NFI[Plastic Mat])*IF(Table_NFI[[#This Row],[Distribution Date]]&gt;"2014-04-01",1,2.5)</f>
        <v>0</v>
      </c>
      <c r="AI866" s="294">
        <f>IF(NFI_Expiration=1,IF($A866&lt;VLOOKUP(R$5,NFI,5,0),1,0)*Table_NFI[[#This Row],[Winter Clothes Adult]],Table_NFI[Winter Clothes Adult])</f>
        <v>0</v>
      </c>
      <c r="AJ866" s="294">
        <f>IF(NFI_Expiration=1,IF($A866&lt;VLOOKUP(S$5,NFI,5,0),1,0)*Table_NFI[[#This Row],[Winter Clothes Children]],Table_NFI[Winter Clothes Children])</f>
        <v>0</v>
      </c>
      <c r="AK866" s="294">
        <f>IF(NFI_Expiration=1,IF($A866&lt;VLOOKUP(T$5,NFI,5,0),1,0)*Table_NFI[[#This Row],[Winter Items Other]],Table_NFI[Winter Items Other])</f>
        <v>0</v>
      </c>
      <c r="AL866" s="294">
        <f>IF(NFI_Expiration=1,IF($A866&lt;VLOOKUP(M$5,NFI,5,0),1,0)*Table_NFI[[#This Row],[Winter Blanket]],Table_NFI[[#This Row],[Winter Blanket]])</f>
        <v>0</v>
      </c>
      <c r="AM866" s="294">
        <f>IF(Table_NFI[[#This Row],[Winter Clothes Adult]]+Table_NFI[[#This Row],[Winter Clothes Children]]+Table_NFI[[#This Row],[Winter Items Other]]+Table_NFI[[#This Row],[Winter Blanket]]&gt;0,1,0)</f>
        <v>0</v>
      </c>
      <c r="AN866" s="331">
        <f>IF(NFI_Expiration=1,IF($A866&lt;VLOOKUP(V$5,NFI,5,0),1,0)*Table_NFI[[#This Row],[Jerry Can]],Table_NFI[Jerry Can])</f>
        <v>0</v>
      </c>
      <c r="AO866" s="331">
        <f>IF(NFI_Expiration=1,IF($A866&lt;VLOOKUP(V$5,NFI,5,0),1,0)*Table_NFI[[#This Row],[Shelter Tool kit]],Table_NFI[Shelter Tool kit])</f>
        <v>0</v>
      </c>
      <c r="AP866" s="331">
        <f>IF(NFI_Expiration=1,IF($A866&lt;VLOOKUP(V$5,NFI,5,0),1,0)*Table_NFI[[#This Row],[Tent]],Table_NFI[Tent])</f>
        <v>0</v>
      </c>
      <c r="AQ866" s="473" t="str">
        <f>IFERROR(VLOOKUP(Table_NFI[[#This Row],[Camp Name]],CL,2,0),"")</f>
        <v>MMR001CMP195</v>
      </c>
      <c r="AR866" s="468">
        <f ca="1">IF(Table_NFI[[#This Row],[Pcode]]="","",IF(OFFSET(CampList[Opening Date],MATCH(Table_NFI[[#This Row],[Pcode]],CampList[CP_Pcode],0)-1,0,1,1)&gt;=NFI_Monitor_Date,1,0))</f>
        <v>0</v>
      </c>
      <c r="AS866" s="473" t="str">
        <f>IFERROR(VLOOKUP(Table_NFI[[#This Row],[Camp Name]],CL,3,0),"")</f>
        <v>Open</v>
      </c>
      <c r="AT866" s="294" t="str">
        <f ca="1">IF(Table_NFI[[#This Row],[Pcode]]="","",OFFSET(CampList[Priority],MATCH(Table_NFI[[#This Row],[Pcode]],CampList[CP_Pcode],0)-1,0,1,1))</f>
        <v>P1</v>
      </c>
      <c r="AU866" s="293">
        <f>IFERROR(Table_NFI[[#This Row],[Kitchen Set]]/VLOOKUP(Table_NFI[[#This Row],[Camp Name]],CL,4,0),"")</f>
        <v>8.3916083916083919E-2</v>
      </c>
      <c r="AV866" s="466" t="s">
        <v>1092</v>
      </c>
      <c r="AW866" s="469"/>
    </row>
    <row r="867" spans="1:49" ht="14.45" customHeight="1" x14ac:dyDescent="0.25">
      <c r="A867" s="297">
        <f t="shared" si="13"/>
        <v>49.8</v>
      </c>
      <c r="B867" s="465">
        <v>41181</v>
      </c>
      <c r="C867" s="466" t="s">
        <v>452</v>
      </c>
      <c r="D867" s="466" t="s">
        <v>452</v>
      </c>
      <c r="E867" s="466" t="s">
        <v>380</v>
      </c>
      <c r="F867" s="290" t="s">
        <v>185</v>
      </c>
      <c r="G867" s="290" t="s">
        <v>190</v>
      </c>
      <c r="H867" s="291"/>
      <c r="I867" s="291"/>
      <c r="J867" s="291"/>
      <c r="K867" s="291">
        <v>151</v>
      </c>
      <c r="L867" s="294">
        <v>59</v>
      </c>
      <c r="M867" s="294">
        <v>151</v>
      </c>
      <c r="N867" s="294">
        <v>59</v>
      </c>
      <c r="O867" s="294">
        <v>59</v>
      </c>
      <c r="P867" s="294">
        <v>59</v>
      </c>
      <c r="Q867" s="294">
        <v>59</v>
      </c>
      <c r="R867" s="294"/>
      <c r="S867" s="294"/>
      <c r="T867" s="294"/>
      <c r="U867" s="294"/>
      <c r="V867" s="431"/>
      <c r="W867" s="294"/>
      <c r="X867" s="294"/>
      <c r="Y867" s="294">
        <f>IF(NFI_Expiration=1,IF($A867&lt;VLOOKUP(H$5,NFI,5,0),1,0)*Table_NFI[[#This Row],[Hygiene Kit]],Table_NFI[Hygiene Kit])</f>
        <v>0</v>
      </c>
      <c r="Z867" s="294">
        <f>IF(NFI_Expiration=1,IF($A867&lt;VLOOKUP(I$5,NFI,5,0),1,0)*Table_NFI[[#This Row],[NFI Core Kit]],Table_NFI[NFI Core Kit])</f>
        <v>0</v>
      </c>
      <c r="AA867" s="294">
        <f>IF(NFI_Expiration=1,IF($A867&lt;VLOOKUP(J$5,NFI,5,0),1,0)*Table_NFI[[#This Row],[Sanitary Kit]],Table_NFI[Sanitary Kit])</f>
        <v>0</v>
      </c>
      <c r="AB867" s="294">
        <f>IF(NFI_Expiration=1,IF($A867&lt;VLOOKUP(K$5,NFI,5,0),1,0)*Table_NFI[[#This Row],[Mosquito net]],Table_NFI[Mosquito net])</f>
        <v>0</v>
      </c>
      <c r="AC867" s="294">
        <f>IF(NFI_Expiration=1,IF($A867&lt;VLOOKUP(L$5,NFI,5,0),1,0)*Table_NFI[[#This Row],[Tarpaulin]],Table_NFI[[#This Row],[Tarpaulin]])</f>
        <v>0</v>
      </c>
      <c r="AD867" s="294">
        <f>IF(NFI_Expiration=1,IF($A867&lt;VLOOKUP(M$5,NFI,5,0),1,0)*Table_NFI[[#This Row],[Blanket]],Table_NFI[[#This Row],[Blanket]])</f>
        <v>0</v>
      </c>
      <c r="AE867" s="294">
        <f>IF(NFI_Expiration=1,IF($A867&lt;VLOOKUP(N$5,NFI,5,0),1,0)*Table_NFI[[#This Row],[Kitchen Set]],Table_NFI[Kitchen Set])</f>
        <v>0</v>
      </c>
      <c r="AF867" s="294">
        <f>IF(NFI_Expiration=1,IF($A867&lt;VLOOKUP(O$5,NFI,5,0),1,0)*Table_NFI[[#This Row],[Clothes Kit]],Table_NFI[Clothes Kit])</f>
        <v>0</v>
      </c>
      <c r="AG867" s="294">
        <f>IF(NFI_Expiration=1,IF($A867&lt;VLOOKUP(P$5,NFI,5,0),1,0)*Table_NFI[[#This Row],[Plastic Bucket]],Table_NFI[Plastic Bucket])</f>
        <v>0</v>
      </c>
      <c r="AH867" s="294">
        <f>IF(NFI_Expiration=1,IF($A867&lt;VLOOKUP(Q$5,NFI,5,0),1,0)*Table_NFI[[#This Row],[Plastic Mat]],Table_NFI[Plastic Mat])*IF(Table_NFI[[#This Row],[Distribution Date]]&gt;"2014-04-01",1,2.5)</f>
        <v>0</v>
      </c>
      <c r="AI867" s="294">
        <f>IF(NFI_Expiration=1,IF($A867&lt;VLOOKUP(R$5,NFI,5,0),1,0)*Table_NFI[[#This Row],[Winter Clothes Adult]],Table_NFI[Winter Clothes Adult])</f>
        <v>0</v>
      </c>
      <c r="AJ867" s="294">
        <f>IF(NFI_Expiration=1,IF($A867&lt;VLOOKUP(S$5,NFI,5,0),1,0)*Table_NFI[[#This Row],[Winter Clothes Children]],Table_NFI[Winter Clothes Children])</f>
        <v>0</v>
      </c>
      <c r="AK867" s="294">
        <f>IF(NFI_Expiration=1,IF($A867&lt;VLOOKUP(T$5,NFI,5,0),1,0)*Table_NFI[[#This Row],[Winter Items Other]],Table_NFI[Winter Items Other])</f>
        <v>0</v>
      </c>
      <c r="AL867" s="294">
        <f>IF(NFI_Expiration=1,IF($A867&lt;VLOOKUP(M$5,NFI,5,0),1,0)*Table_NFI[[#This Row],[Winter Blanket]],Table_NFI[[#This Row],[Winter Blanket]])</f>
        <v>0</v>
      </c>
      <c r="AM867" s="294">
        <f>IF(Table_NFI[[#This Row],[Winter Clothes Adult]]+Table_NFI[[#This Row],[Winter Clothes Children]]+Table_NFI[[#This Row],[Winter Items Other]]+Table_NFI[[#This Row],[Winter Blanket]]&gt;0,1,0)</f>
        <v>0</v>
      </c>
      <c r="AN867" s="331">
        <f>IF(NFI_Expiration=1,IF($A867&lt;VLOOKUP(V$5,NFI,5,0),1,0)*Table_NFI[[#This Row],[Jerry Can]],Table_NFI[Jerry Can])</f>
        <v>0</v>
      </c>
      <c r="AO867" s="331">
        <f>IF(NFI_Expiration=1,IF($A867&lt;VLOOKUP(V$5,NFI,5,0),1,0)*Table_NFI[[#This Row],[Shelter Tool kit]],Table_NFI[Shelter Tool kit])</f>
        <v>0</v>
      </c>
      <c r="AP867" s="331">
        <f>IF(NFI_Expiration=1,IF($A867&lt;VLOOKUP(V$5,NFI,5,0),1,0)*Table_NFI[[#This Row],[Tent]],Table_NFI[Tent])</f>
        <v>0</v>
      </c>
      <c r="AQ867" s="473" t="str">
        <f>IFERROR(VLOOKUP(Table_NFI[[#This Row],[Camp Name]],CL,2,0),"")</f>
        <v>MMR001CMP070</v>
      </c>
      <c r="AR867" s="468">
        <f ca="1">IF(Table_NFI[[#This Row],[Pcode]]="","",IF(OFFSET(CampList[Opening Date],MATCH(Table_NFI[[#This Row],[Pcode]],CampList[CP_Pcode],0)-1,0,1,1)&gt;=NFI_Monitor_Date,1,0))</f>
        <v>0</v>
      </c>
      <c r="AS867" s="473" t="str">
        <f>IFERROR(VLOOKUP(Table_NFI[[#This Row],[Camp Name]],CL,3,0),"")</f>
        <v>Open</v>
      </c>
      <c r="AT867" s="294" t="str">
        <f ca="1">IF(Table_NFI[[#This Row],[Pcode]]="","",OFFSET(CampList[Priority],MATCH(Table_NFI[[#This Row],[Pcode]],CampList[CP_Pcode],0)-1,0,1,1))</f>
        <v>P3</v>
      </c>
      <c r="AU867" s="293">
        <f>IFERROR(Table_NFI[[#This Row],[Kitchen Set]]/VLOOKUP(Table_NFI[[#This Row],[Camp Name]],CL,4,0),"")</f>
        <v>0.30729166666666669</v>
      </c>
      <c r="AV867" s="466" t="s">
        <v>1092</v>
      </c>
      <c r="AW867" s="469"/>
    </row>
    <row r="868" spans="1:49" ht="14.45" customHeight="1" x14ac:dyDescent="0.25">
      <c r="A868" s="297">
        <f t="shared" si="13"/>
        <v>49.833333333333336</v>
      </c>
      <c r="B868" s="465">
        <v>41180</v>
      </c>
      <c r="C868" s="466" t="s">
        <v>452</v>
      </c>
      <c r="D868" s="467" t="s">
        <v>904</v>
      </c>
      <c r="E868" s="466" t="s">
        <v>380</v>
      </c>
      <c r="F868" s="290" t="s">
        <v>27</v>
      </c>
      <c r="G868" s="290" t="s">
        <v>34</v>
      </c>
      <c r="H868" s="291"/>
      <c r="I868" s="291"/>
      <c r="J868" s="291"/>
      <c r="K868" s="291">
        <v>33</v>
      </c>
      <c r="L868" s="292">
        <v>11</v>
      </c>
      <c r="M868" s="292">
        <v>33</v>
      </c>
      <c r="N868" s="292">
        <v>11</v>
      </c>
      <c r="O868" s="292">
        <v>11</v>
      </c>
      <c r="P868" s="294">
        <v>11</v>
      </c>
      <c r="Q868" s="294">
        <v>11</v>
      </c>
      <c r="R868" s="294"/>
      <c r="S868" s="294"/>
      <c r="T868" s="294"/>
      <c r="U868" s="294"/>
      <c r="V868" s="431"/>
      <c r="W868" s="294"/>
      <c r="X868" s="294"/>
      <c r="Y868" s="294">
        <f>IF(NFI_Expiration=1,IF($A868&lt;VLOOKUP(H$5,NFI,5,0),1,0)*Table_NFI[[#This Row],[Hygiene Kit]],Table_NFI[Hygiene Kit])</f>
        <v>0</v>
      </c>
      <c r="Z868" s="294">
        <f>IF(NFI_Expiration=1,IF($A868&lt;VLOOKUP(I$5,NFI,5,0),1,0)*Table_NFI[[#This Row],[NFI Core Kit]],Table_NFI[NFI Core Kit])</f>
        <v>0</v>
      </c>
      <c r="AA868" s="294">
        <f>IF(NFI_Expiration=1,IF($A868&lt;VLOOKUP(J$5,NFI,5,0),1,0)*Table_NFI[[#This Row],[Sanitary Kit]],Table_NFI[Sanitary Kit])</f>
        <v>0</v>
      </c>
      <c r="AB868" s="294">
        <f>IF(NFI_Expiration=1,IF($A868&lt;VLOOKUP(K$5,NFI,5,0),1,0)*Table_NFI[[#This Row],[Mosquito net]],Table_NFI[Mosquito net])</f>
        <v>0</v>
      </c>
      <c r="AC868" s="294">
        <f>IF(NFI_Expiration=1,IF($A868&lt;VLOOKUP(L$5,NFI,5,0),1,0)*Table_NFI[[#This Row],[Tarpaulin]],Table_NFI[[#This Row],[Tarpaulin]])</f>
        <v>0</v>
      </c>
      <c r="AD868" s="294">
        <f>IF(NFI_Expiration=1,IF($A868&lt;VLOOKUP(M$5,NFI,5,0),1,0)*Table_NFI[[#This Row],[Blanket]],Table_NFI[[#This Row],[Blanket]])</f>
        <v>0</v>
      </c>
      <c r="AE868" s="294">
        <f>IF(NFI_Expiration=1,IF($A868&lt;VLOOKUP(N$5,NFI,5,0),1,0)*Table_NFI[[#This Row],[Kitchen Set]],Table_NFI[Kitchen Set])</f>
        <v>0</v>
      </c>
      <c r="AF868" s="294">
        <f>IF(NFI_Expiration=1,IF($A868&lt;VLOOKUP(O$5,NFI,5,0),1,0)*Table_NFI[[#This Row],[Clothes Kit]],Table_NFI[Clothes Kit])</f>
        <v>0</v>
      </c>
      <c r="AG868" s="294">
        <f>IF(NFI_Expiration=1,IF($A868&lt;VLOOKUP(P$5,NFI,5,0),1,0)*Table_NFI[[#This Row],[Plastic Bucket]],Table_NFI[Plastic Bucket])</f>
        <v>0</v>
      </c>
      <c r="AH868" s="294">
        <f>IF(NFI_Expiration=1,IF($A868&lt;VLOOKUP(Q$5,NFI,5,0),1,0)*Table_NFI[[#This Row],[Plastic Mat]],Table_NFI[Plastic Mat])*IF(Table_NFI[[#This Row],[Distribution Date]]&gt;"2014-04-01",1,2.5)</f>
        <v>0</v>
      </c>
      <c r="AI868" s="294">
        <f>IF(NFI_Expiration=1,IF($A868&lt;VLOOKUP(R$5,NFI,5,0),1,0)*Table_NFI[[#This Row],[Winter Clothes Adult]],Table_NFI[Winter Clothes Adult])</f>
        <v>0</v>
      </c>
      <c r="AJ868" s="294">
        <f>IF(NFI_Expiration=1,IF($A868&lt;VLOOKUP(S$5,NFI,5,0),1,0)*Table_NFI[[#This Row],[Winter Clothes Children]],Table_NFI[Winter Clothes Children])</f>
        <v>0</v>
      </c>
      <c r="AK868" s="294">
        <f>IF(NFI_Expiration=1,IF($A868&lt;VLOOKUP(T$5,NFI,5,0),1,0)*Table_NFI[[#This Row],[Winter Items Other]],Table_NFI[Winter Items Other])</f>
        <v>0</v>
      </c>
      <c r="AL868" s="294">
        <f>IF(NFI_Expiration=1,IF($A868&lt;VLOOKUP(M$5,NFI,5,0),1,0)*Table_NFI[[#This Row],[Winter Blanket]],Table_NFI[[#This Row],[Winter Blanket]])</f>
        <v>0</v>
      </c>
      <c r="AM868" s="294">
        <f>IF(Table_NFI[[#This Row],[Winter Clothes Adult]]+Table_NFI[[#This Row],[Winter Clothes Children]]+Table_NFI[[#This Row],[Winter Items Other]]+Table_NFI[[#This Row],[Winter Blanket]]&gt;0,1,0)</f>
        <v>0</v>
      </c>
      <c r="AN868" s="331">
        <f>IF(NFI_Expiration=1,IF($A868&lt;VLOOKUP(V$5,NFI,5,0),1,0)*Table_NFI[[#This Row],[Jerry Can]],Table_NFI[Jerry Can])</f>
        <v>0</v>
      </c>
      <c r="AO868" s="331">
        <f>IF(NFI_Expiration=1,IF($A868&lt;VLOOKUP(V$5,NFI,5,0),1,0)*Table_NFI[[#This Row],[Shelter Tool kit]],Table_NFI[Shelter Tool kit])</f>
        <v>0</v>
      </c>
      <c r="AP868" s="331">
        <f>IF(NFI_Expiration=1,IF($A868&lt;VLOOKUP(V$5,NFI,5,0),1,0)*Table_NFI[[#This Row],[Tent]],Table_NFI[Tent])</f>
        <v>0</v>
      </c>
      <c r="AQ868" s="473" t="str">
        <f>IFERROR(VLOOKUP(Table_NFI[[#This Row],[Camp Name]],CL,2,0),"")</f>
        <v>MMR001CMP045</v>
      </c>
      <c r="AR868" s="468">
        <f ca="1">IF(Table_NFI[[#This Row],[Pcode]]="","",IF(OFFSET(CampList[Opening Date],MATCH(Table_NFI[[#This Row],[Pcode]],CampList[CP_Pcode],0)-1,0,1,1)&gt;=NFI_Monitor_Date,1,0))</f>
        <v>0</v>
      </c>
      <c r="AS868" s="473" t="str">
        <f>IFERROR(VLOOKUP(Table_NFI[[#This Row],[Camp Name]],CL,3,0),"")</f>
        <v>Open</v>
      </c>
      <c r="AT868" s="294" t="str">
        <f ca="1">IF(Table_NFI[[#This Row],[Pcode]]="","",OFFSET(CampList[Priority],MATCH(Table_NFI[[#This Row],[Pcode]],CampList[CP_Pcode],0)-1,0,1,1))</f>
        <v>P1</v>
      </c>
      <c r="AU868" s="293" t="str">
        <f>IFERROR(Table_NFI[[#This Row],[Kitchen Set]]/VLOOKUP(Table_NFI[[#This Row],[Camp Name]],CL,4,0),"")</f>
        <v/>
      </c>
      <c r="AV868" s="466" t="s">
        <v>1092</v>
      </c>
      <c r="AW868" s="469"/>
    </row>
    <row r="869" spans="1:49" ht="14.45" customHeight="1" x14ac:dyDescent="0.25">
      <c r="A869" s="297">
        <f t="shared" si="13"/>
        <v>49.866666666666667</v>
      </c>
      <c r="B869" s="465">
        <v>41179</v>
      </c>
      <c r="C869" s="466" t="s">
        <v>452</v>
      </c>
      <c r="D869" s="466" t="s">
        <v>904</v>
      </c>
      <c r="E869" s="466" t="s">
        <v>380</v>
      </c>
      <c r="F869" s="290" t="s">
        <v>27</v>
      </c>
      <c r="G869" s="290" t="s">
        <v>364</v>
      </c>
      <c r="H869" s="291"/>
      <c r="I869" s="291"/>
      <c r="J869" s="291"/>
      <c r="K869" s="291">
        <v>33</v>
      </c>
      <c r="L869" s="294">
        <v>11</v>
      </c>
      <c r="M869" s="294">
        <v>33</v>
      </c>
      <c r="N869" s="294">
        <v>11</v>
      </c>
      <c r="O869" s="292">
        <v>11</v>
      </c>
      <c r="P869" s="294">
        <v>11</v>
      </c>
      <c r="Q869" s="294">
        <v>11</v>
      </c>
      <c r="R869" s="294"/>
      <c r="S869" s="294"/>
      <c r="T869" s="294"/>
      <c r="U869" s="294"/>
      <c r="V869" s="431"/>
      <c r="W869" s="294"/>
      <c r="X869" s="294"/>
      <c r="Y869" s="294">
        <f>IF(NFI_Expiration=1,IF($A869&lt;VLOOKUP(H$5,NFI,5,0),1,0)*Table_NFI[[#This Row],[Hygiene Kit]],Table_NFI[Hygiene Kit])</f>
        <v>0</v>
      </c>
      <c r="Z869" s="294">
        <f>IF(NFI_Expiration=1,IF($A869&lt;VLOOKUP(I$5,NFI,5,0),1,0)*Table_NFI[[#This Row],[NFI Core Kit]],Table_NFI[NFI Core Kit])</f>
        <v>0</v>
      </c>
      <c r="AA869" s="294">
        <f>IF(NFI_Expiration=1,IF($A869&lt;VLOOKUP(J$5,NFI,5,0),1,0)*Table_NFI[[#This Row],[Sanitary Kit]],Table_NFI[Sanitary Kit])</f>
        <v>0</v>
      </c>
      <c r="AB869" s="294">
        <f>IF(NFI_Expiration=1,IF($A869&lt;VLOOKUP(K$5,NFI,5,0),1,0)*Table_NFI[[#This Row],[Mosquito net]],Table_NFI[Mosquito net])</f>
        <v>0</v>
      </c>
      <c r="AC869" s="294">
        <f>IF(NFI_Expiration=1,IF($A869&lt;VLOOKUP(L$5,NFI,5,0),1,0)*Table_NFI[[#This Row],[Tarpaulin]],Table_NFI[[#This Row],[Tarpaulin]])</f>
        <v>0</v>
      </c>
      <c r="AD869" s="294">
        <f>IF(NFI_Expiration=1,IF($A869&lt;VLOOKUP(M$5,NFI,5,0),1,0)*Table_NFI[[#This Row],[Blanket]],Table_NFI[[#This Row],[Blanket]])</f>
        <v>0</v>
      </c>
      <c r="AE869" s="294">
        <f>IF(NFI_Expiration=1,IF($A869&lt;VLOOKUP(N$5,NFI,5,0),1,0)*Table_NFI[[#This Row],[Kitchen Set]],Table_NFI[Kitchen Set])</f>
        <v>0</v>
      </c>
      <c r="AF869" s="294">
        <f>IF(NFI_Expiration=1,IF($A869&lt;VLOOKUP(O$5,NFI,5,0),1,0)*Table_NFI[[#This Row],[Clothes Kit]],Table_NFI[Clothes Kit])</f>
        <v>0</v>
      </c>
      <c r="AG869" s="294">
        <f>IF(NFI_Expiration=1,IF($A869&lt;VLOOKUP(P$5,NFI,5,0),1,0)*Table_NFI[[#This Row],[Plastic Bucket]],Table_NFI[Plastic Bucket])</f>
        <v>0</v>
      </c>
      <c r="AH869" s="294">
        <f>IF(NFI_Expiration=1,IF($A869&lt;VLOOKUP(Q$5,NFI,5,0),1,0)*Table_NFI[[#This Row],[Plastic Mat]],Table_NFI[Plastic Mat])*IF(Table_NFI[[#This Row],[Distribution Date]]&gt;"2014-04-01",1,2.5)</f>
        <v>0</v>
      </c>
      <c r="AI869" s="294">
        <f>IF(NFI_Expiration=1,IF($A869&lt;VLOOKUP(R$5,NFI,5,0),1,0)*Table_NFI[[#This Row],[Winter Clothes Adult]],Table_NFI[Winter Clothes Adult])</f>
        <v>0</v>
      </c>
      <c r="AJ869" s="294">
        <f>IF(NFI_Expiration=1,IF($A869&lt;VLOOKUP(S$5,NFI,5,0),1,0)*Table_NFI[[#This Row],[Winter Clothes Children]],Table_NFI[Winter Clothes Children])</f>
        <v>0</v>
      </c>
      <c r="AK869" s="294">
        <f>IF(NFI_Expiration=1,IF($A869&lt;VLOOKUP(T$5,NFI,5,0),1,0)*Table_NFI[[#This Row],[Winter Items Other]],Table_NFI[Winter Items Other])</f>
        <v>0</v>
      </c>
      <c r="AL869" s="294">
        <f>IF(NFI_Expiration=1,IF($A869&lt;VLOOKUP(M$5,NFI,5,0),1,0)*Table_NFI[[#This Row],[Winter Blanket]],Table_NFI[[#This Row],[Winter Blanket]])</f>
        <v>0</v>
      </c>
      <c r="AM869" s="294">
        <f>IF(Table_NFI[[#This Row],[Winter Clothes Adult]]+Table_NFI[[#This Row],[Winter Clothes Children]]+Table_NFI[[#This Row],[Winter Items Other]]+Table_NFI[[#This Row],[Winter Blanket]]&gt;0,1,0)</f>
        <v>0</v>
      </c>
      <c r="AN869" s="331">
        <f>IF(NFI_Expiration=1,IF($A869&lt;VLOOKUP(V$5,NFI,5,0),1,0)*Table_NFI[[#This Row],[Jerry Can]],Table_NFI[Jerry Can])</f>
        <v>0</v>
      </c>
      <c r="AO869" s="331">
        <f>IF(NFI_Expiration=1,IF($A869&lt;VLOOKUP(V$5,NFI,5,0),1,0)*Table_NFI[[#This Row],[Shelter Tool kit]],Table_NFI[Shelter Tool kit])</f>
        <v>0</v>
      </c>
      <c r="AP869" s="331">
        <f>IF(NFI_Expiration=1,IF($A869&lt;VLOOKUP(V$5,NFI,5,0),1,0)*Table_NFI[[#This Row],[Tent]],Table_NFI[Tent])</f>
        <v>0</v>
      </c>
      <c r="AQ869" s="473" t="str">
        <f>IFERROR(VLOOKUP(Table_NFI[[#This Row],[Camp Name]],CL,2,0),"")</f>
        <v>MMR001CMP043</v>
      </c>
      <c r="AR869" s="468">
        <f ca="1">IF(Table_NFI[[#This Row],[Pcode]]="","",IF(OFFSET(CampList[Opening Date],MATCH(Table_NFI[[#This Row],[Pcode]],CampList[CP_Pcode],0)-1,0,1,1)&gt;=NFI_Monitor_Date,1,0))</f>
        <v>0</v>
      </c>
      <c r="AS869" s="473" t="str">
        <f>IFERROR(VLOOKUP(Table_NFI[[#This Row],[Camp Name]],CL,3,0),"")</f>
        <v>Open</v>
      </c>
      <c r="AT869" s="294" t="str">
        <f ca="1">IF(Table_NFI[[#This Row],[Pcode]]="","",OFFSET(CampList[Priority],MATCH(Table_NFI[[#This Row],[Pcode]],CampList[CP_Pcode],0)-1,0,1,1))</f>
        <v>P1</v>
      </c>
      <c r="AU869" s="293">
        <f>IFERROR(Table_NFI[[#This Row],[Kitchen Set]]/VLOOKUP(Table_NFI[[#This Row],[Camp Name]],CL,4,0),"")</f>
        <v>7.0512820512820512E-2</v>
      </c>
      <c r="AV869" s="466" t="s">
        <v>1092</v>
      </c>
      <c r="AW869" s="469"/>
    </row>
    <row r="870" spans="1:49" ht="14.45" customHeight="1" x14ac:dyDescent="0.25">
      <c r="A870" s="297">
        <f t="shared" si="13"/>
        <v>49.9</v>
      </c>
      <c r="B870" s="465">
        <v>41178</v>
      </c>
      <c r="C870" s="466" t="s">
        <v>452</v>
      </c>
      <c r="D870" s="466" t="s">
        <v>904</v>
      </c>
      <c r="E870" s="466" t="s">
        <v>380</v>
      </c>
      <c r="F870" s="290" t="s">
        <v>27</v>
      </c>
      <c r="G870" s="290" t="s">
        <v>32</v>
      </c>
      <c r="H870" s="291"/>
      <c r="I870" s="291"/>
      <c r="J870" s="291"/>
      <c r="K870" s="291">
        <v>33</v>
      </c>
      <c r="L870" s="294">
        <v>11</v>
      </c>
      <c r="M870" s="294">
        <v>33</v>
      </c>
      <c r="N870" s="294">
        <v>11</v>
      </c>
      <c r="O870" s="294">
        <v>11</v>
      </c>
      <c r="P870" s="294">
        <v>11</v>
      </c>
      <c r="Q870" s="294">
        <v>11</v>
      </c>
      <c r="R870" s="294"/>
      <c r="S870" s="294"/>
      <c r="T870" s="294"/>
      <c r="U870" s="294"/>
      <c r="V870" s="431"/>
      <c r="W870" s="294"/>
      <c r="X870" s="294"/>
      <c r="Y870" s="294">
        <f>IF(NFI_Expiration=1,IF($A870&lt;VLOOKUP(H$5,NFI,5,0),1,0)*Table_NFI[[#This Row],[Hygiene Kit]],Table_NFI[Hygiene Kit])</f>
        <v>0</v>
      </c>
      <c r="Z870" s="294">
        <f>IF(NFI_Expiration=1,IF($A870&lt;VLOOKUP(I$5,NFI,5,0),1,0)*Table_NFI[[#This Row],[NFI Core Kit]],Table_NFI[NFI Core Kit])</f>
        <v>0</v>
      </c>
      <c r="AA870" s="294">
        <f>IF(NFI_Expiration=1,IF($A870&lt;VLOOKUP(J$5,NFI,5,0),1,0)*Table_NFI[[#This Row],[Sanitary Kit]],Table_NFI[Sanitary Kit])</f>
        <v>0</v>
      </c>
      <c r="AB870" s="294">
        <f>IF(NFI_Expiration=1,IF($A870&lt;VLOOKUP(K$5,NFI,5,0),1,0)*Table_NFI[[#This Row],[Mosquito net]],Table_NFI[Mosquito net])</f>
        <v>0</v>
      </c>
      <c r="AC870" s="294">
        <f>IF(NFI_Expiration=1,IF($A870&lt;VLOOKUP(L$5,NFI,5,0),1,0)*Table_NFI[[#This Row],[Tarpaulin]],Table_NFI[[#This Row],[Tarpaulin]])</f>
        <v>0</v>
      </c>
      <c r="AD870" s="294">
        <f>IF(NFI_Expiration=1,IF($A870&lt;VLOOKUP(M$5,NFI,5,0),1,0)*Table_NFI[[#This Row],[Blanket]],Table_NFI[[#This Row],[Blanket]])</f>
        <v>0</v>
      </c>
      <c r="AE870" s="294">
        <f>IF(NFI_Expiration=1,IF($A870&lt;VLOOKUP(N$5,NFI,5,0),1,0)*Table_NFI[[#This Row],[Kitchen Set]],Table_NFI[Kitchen Set])</f>
        <v>0</v>
      </c>
      <c r="AF870" s="294">
        <f>IF(NFI_Expiration=1,IF($A870&lt;VLOOKUP(O$5,NFI,5,0),1,0)*Table_NFI[[#This Row],[Clothes Kit]],Table_NFI[Clothes Kit])</f>
        <v>0</v>
      </c>
      <c r="AG870" s="294">
        <f>IF(NFI_Expiration=1,IF($A870&lt;VLOOKUP(P$5,NFI,5,0),1,0)*Table_NFI[[#This Row],[Plastic Bucket]],Table_NFI[Plastic Bucket])</f>
        <v>0</v>
      </c>
      <c r="AH870" s="294">
        <f>IF(NFI_Expiration=1,IF($A870&lt;VLOOKUP(Q$5,NFI,5,0),1,0)*Table_NFI[[#This Row],[Plastic Mat]],Table_NFI[Plastic Mat])*IF(Table_NFI[[#This Row],[Distribution Date]]&gt;"2014-04-01",1,2.5)</f>
        <v>0</v>
      </c>
      <c r="AI870" s="294">
        <f>IF(NFI_Expiration=1,IF($A870&lt;VLOOKUP(R$5,NFI,5,0),1,0)*Table_NFI[[#This Row],[Winter Clothes Adult]],Table_NFI[Winter Clothes Adult])</f>
        <v>0</v>
      </c>
      <c r="AJ870" s="294">
        <f>IF(NFI_Expiration=1,IF($A870&lt;VLOOKUP(S$5,NFI,5,0),1,0)*Table_NFI[[#This Row],[Winter Clothes Children]],Table_NFI[Winter Clothes Children])</f>
        <v>0</v>
      </c>
      <c r="AK870" s="294">
        <f>IF(NFI_Expiration=1,IF($A870&lt;VLOOKUP(T$5,NFI,5,0),1,0)*Table_NFI[[#This Row],[Winter Items Other]],Table_NFI[Winter Items Other])</f>
        <v>0</v>
      </c>
      <c r="AL870" s="294">
        <f>IF(NFI_Expiration=1,IF($A870&lt;VLOOKUP(M$5,NFI,5,0),1,0)*Table_NFI[[#This Row],[Winter Blanket]],Table_NFI[[#This Row],[Winter Blanket]])</f>
        <v>0</v>
      </c>
      <c r="AM870" s="294">
        <f>IF(Table_NFI[[#This Row],[Winter Clothes Adult]]+Table_NFI[[#This Row],[Winter Clothes Children]]+Table_NFI[[#This Row],[Winter Items Other]]+Table_NFI[[#This Row],[Winter Blanket]]&gt;0,1,0)</f>
        <v>0</v>
      </c>
      <c r="AN870" s="331">
        <f>IF(NFI_Expiration=1,IF($A870&lt;VLOOKUP(V$5,NFI,5,0),1,0)*Table_NFI[[#This Row],[Jerry Can]],Table_NFI[Jerry Can])</f>
        <v>0</v>
      </c>
      <c r="AO870" s="331">
        <f>IF(NFI_Expiration=1,IF($A870&lt;VLOOKUP(V$5,NFI,5,0),1,0)*Table_NFI[[#This Row],[Shelter Tool kit]],Table_NFI[Shelter Tool kit])</f>
        <v>0</v>
      </c>
      <c r="AP870" s="331">
        <f>IF(NFI_Expiration=1,IF($A870&lt;VLOOKUP(V$5,NFI,5,0),1,0)*Table_NFI[[#This Row],[Tent]],Table_NFI[Tent])</f>
        <v>0</v>
      </c>
      <c r="AQ870" s="473" t="str">
        <f>IFERROR(VLOOKUP(Table_NFI[[#This Row],[Camp Name]],CL,2,0),"")</f>
        <v>MMR001CMP046</v>
      </c>
      <c r="AR870" s="468">
        <f ca="1">IF(Table_NFI[[#This Row],[Pcode]]="","",IF(OFFSET(CampList[Opening Date],MATCH(Table_NFI[[#This Row],[Pcode]],CampList[CP_Pcode],0)-1,0,1,1)&gt;=NFI_Monitor_Date,1,0))</f>
        <v>0</v>
      </c>
      <c r="AS870" s="473" t="str">
        <f>IFERROR(VLOOKUP(Table_NFI[[#This Row],[Camp Name]],CL,3,0),"")</f>
        <v>Closed</v>
      </c>
      <c r="AT870" s="294" t="str">
        <f ca="1">IF(Table_NFI[[#This Row],[Pcode]]="","",OFFSET(CampList[Priority],MATCH(Table_NFI[[#This Row],[Pcode]],CampList[CP_Pcode],0)-1,0,1,1))</f>
        <v>P1</v>
      </c>
      <c r="AU870" s="293" t="str">
        <f>IFERROR(Table_NFI[[#This Row],[Kitchen Set]]/VLOOKUP(Table_NFI[[#This Row],[Camp Name]],CL,4,0),"")</f>
        <v/>
      </c>
      <c r="AV870" s="466" t="s">
        <v>1092</v>
      </c>
      <c r="AW870" s="469"/>
    </row>
    <row r="871" spans="1:49" ht="14.45" customHeight="1" x14ac:dyDescent="0.25">
      <c r="A871" s="297">
        <f t="shared" si="13"/>
        <v>49.93333333333333</v>
      </c>
      <c r="B871" s="465">
        <v>41177</v>
      </c>
      <c r="C871" s="466" t="s">
        <v>452</v>
      </c>
      <c r="D871" s="466" t="s">
        <v>904</v>
      </c>
      <c r="E871" s="466" t="s">
        <v>380</v>
      </c>
      <c r="F871" s="290" t="s">
        <v>27</v>
      </c>
      <c r="G871" s="290" t="s">
        <v>28</v>
      </c>
      <c r="H871" s="291"/>
      <c r="I871" s="291"/>
      <c r="J871" s="291"/>
      <c r="K871" s="291">
        <v>33</v>
      </c>
      <c r="L871" s="294">
        <v>11</v>
      </c>
      <c r="M871" s="294">
        <v>33</v>
      </c>
      <c r="N871" s="294">
        <v>11</v>
      </c>
      <c r="O871" s="294">
        <v>11</v>
      </c>
      <c r="P871" s="294">
        <v>11</v>
      </c>
      <c r="Q871" s="294">
        <v>11</v>
      </c>
      <c r="R871" s="294"/>
      <c r="S871" s="294"/>
      <c r="T871" s="294"/>
      <c r="U871" s="294"/>
      <c r="V871" s="431"/>
      <c r="W871" s="294"/>
      <c r="X871" s="294"/>
      <c r="Y871" s="294">
        <f>IF(NFI_Expiration=1,IF($A871&lt;VLOOKUP(H$5,NFI,5,0),1,0)*Table_NFI[[#This Row],[Hygiene Kit]],Table_NFI[Hygiene Kit])</f>
        <v>0</v>
      </c>
      <c r="Z871" s="294">
        <f>IF(NFI_Expiration=1,IF($A871&lt;VLOOKUP(I$5,NFI,5,0),1,0)*Table_NFI[[#This Row],[NFI Core Kit]],Table_NFI[NFI Core Kit])</f>
        <v>0</v>
      </c>
      <c r="AA871" s="294">
        <f>IF(NFI_Expiration=1,IF($A871&lt;VLOOKUP(J$5,NFI,5,0),1,0)*Table_NFI[[#This Row],[Sanitary Kit]],Table_NFI[Sanitary Kit])</f>
        <v>0</v>
      </c>
      <c r="AB871" s="294">
        <f>IF(NFI_Expiration=1,IF($A871&lt;VLOOKUP(K$5,NFI,5,0),1,0)*Table_NFI[[#This Row],[Mosquito net]],Table_NFI[Mosquito net])</f>
        <v>0</v>
      </c>
      <c r="AC871" s="294">
        <f>IF(NFI_Expiration=1,IF($A871&lt;VLOOKUP(L$5,NFI,5,0),1,0)*Table_NFI[[#This Row],[Tarpaulin]],Table_NFI[[#This Row],[Tarpaulin]])</f>
        <v>0</v>
      </c>
      <c r="AD871" s="294">
        <f>IF(NFI_Expiration=1,IF($A871&lt;VLOOKUP(M$5,NFI,5,0),1,0)*Table_NFI[[#This Row],[Blanket]],Table_NFI[[#This Row],[Blanket]])</f>
        <v>0</v>
      </c>
      <c r="AE871" s="294">
        <f>IF(NFI_Expiration=1,IF($A871&lt;VLOOKUP(N$5,NFI,5,0),1,0)*Table_NFI[[#This Row],[Kitchen Set]],Table_NFI[Kitchen Set])</f>
        <v>0</v>
      </c>
      <c r="AF871" s="294">
        <f>IF(NFI_Expiration=1,IF($A871&lt;VLOOKUP(O$5,NFI,5,0),1,0)*Table_NFI[[#This Row],[Clothes Kit]],Table_NFI[Clothes Kit])</f>
        <v>0</v>
      </c>
      <c r="AG871" s="294">
        <f>IF(NFI_Expiration=1,IF($A871&lt;VLOOKUP(P$5,NFI,5,0),1,0)*Table_NFI[[#This Row],[Plastic Bucket]],Table_NFI[Plastic Bucket])</f>
        <v>0</v>
      </c>
      <c r="AH871" s="294">
        <f>IF(NFI_Expiration=1,IF($A871&lt;VLOOKUP(Q$5,NFI,5,0),1,0)*Table_NFI[[#This Row],[Plastic Mat]],Table_NFI[Plastic Mat])*IF(Table_NFI[[#This Row],[Distribution Date]]&gt;"2014-04-01",1,2.5)</f>
        <v>0</v>
      </c>
      <c r="AI871" s="294">
        <f>IF(NFI_Expiration=1,IF($A871&lt;VLOOKUP(R$5,NFI,5,0),1,0)*Table_NFI[[#This Row],[Winter Clothes Adult]],Table_NFI[Winter Clothes Adult])</f>
        <v>0</v>
      </c>
      <c r="AJ871" s="294">
        <f>IF(NFI_Expiration=1,IF($A871&lt;VLOOKUP(S$5,NFI,5,0),1,0)*Table_NFI[[#This Row],[Winter Clothes Children]],Table_NFI[Winter Clothes Children])</f>
        <v>0</v>
      </c>
      <c r="AK871" s="294">
        <f>IF(NFI_Expiration=1,IF($A871&lt;VLOOKUP(T$5,NFI,5,0),1,0)*Table_NFI[[#This Row],[Winter Items Other]],Table_NFI[Winter Items Other])</f>
        <v>0</v>
      </c>
      <c r="AL871" s="294">
        <f>IF(NFI_Expiration=1,IF($A871&lt;VLOOKUP(M$5,NFI,5,0),1,0)*Table_NFI[[#This Row],[Winter Blanket]],Table_NFI[[#This Row],[Winter Blanket]])</f>
        <v>0</v>
      </c>
      <c r="AM871" s="294">
        <f>IF(Table_NFI[[#This Row],[Winter Clothes Adult]]+Table_NFI[[#This Row],[Winter Clothes Children]]+Table_NFI[[#This Row],[Winter Items Other]]+Table_NFI[[#This Row],[Winter Blanket]]&gt;0,1,0)</f>
        <v>0</v>
      </c>
      <c r="AN871" s="331">
        <f>IF(NFI_Expiration=1,IF($A871&lt;VLOOKUP(V$5,NFI,5,0),1,0)*Table_NFI[[#This Row],[Jerry Can]],Table_NFI[Jerry Can])</f>
        <v>0</v>
      </c>
      <c r="AO871" s="331">
        <f>IF(NFI_Expiration=1,IF($A871&lt;VLOOKUP(V$5,NFI,5,0),1,0)*Table_NFI[[#This Row],[Shelter Tool kit]],Table_NFI[Shelter Tool kit])</f>
        <v>0</v>
      </c>
      <c r="AP871" s="331">
        <f>IF(NFI_Expiration=1,IF($A871&lt;VLOOKUP(V$5,NFI,5,0),1,0)*Table_NFI[[#This Row],[Tent]],Table_NFI[Tent])</f>
        <v>0</v>
      </c>
      <c r="AQ871" s="473" t="str">
        <f>IFERROR(VLOOKUP(Table_NFI[[#This Row],[Camp Name]],CL,2,0),"")</f>
        <v>MMR001CMP042</v>
      </c>
      <c r="AR871" s="468">
        <f ca="1">IF(Table_NFI[[#This Row],[Pcode]]="","",IF(OFFSET(CampList[Opening Date],MATCH(Table_NFI[[#This Row],[Pcode]],CampList[CP_Pcode],0)-1,0,1,1)&gt;=NFI_Monitor_Date,1,0))</f>
        <v>0</v>
      </c>
      <c r="AS871" s="473" t="str">
        <f>IFERROR(VLOOKUP(Table_NFI[[#This Row],[Camp Name]],CL,3,0),"")</f>
        <v>Open</v>
      </c>
      <c r="AT871" s="294" t="str">
        <f ca="1">IF(Table_NFI[[#This Row],[Pcode]]="","",OFFSET(CampList[Priority],MATCH(Table_NFI[[#This Row],[Pcode]],CampList[CP_Pcode],0)-1,0,1,1))</f>
        <v>P1</v>
      </c>
      <c r="AU871" s="293">
        <f>IFERROR(Table_NFI[[#This Row],[Kitchen Set]]/VLOOKUP(Table_NFI[[#This Row],[Camp Name]],CL,4,0),"")</f>
        <v>0.1</v>
      </c>
      <c r="AV871" s="466" t="s">
        <v>1092</v>
      </c>
      <c r="AW871" s="469"/>
    </row>
    <row r="872" spans="1:49" ht="14.45" customHeight="1" x14ac:dyDescent="0.25">
      <c r="A872" s="297">
        <f t="shared" si="13"/>
        <v>50.1</v>
      </c>
      <c r="B872" s="465">
        <v>41172</v>
      </c>
      <c r="C872" s="466" t="s">
        <v>905</v>
      </c>
      <c r="D872" s="466" t="s">
        <v>1002</v>
      </c>
      <c r="E872" s="466" t="s">
        <v>380</v>
      </c>
      <c r="F872" s="466" t="s">
        <v>302</v>
      </c>
      <c r="G872" s="466" t="s">
        <v>1432</v>
      </c>
      <c r="H872" s="294">
        <v>92</v>
      </c>
      <c r="I872" s="291"/>
      <c r="J872" s="292"/>
      <c r="K872" s="291"/>
      <c r="L872" s="292"/>
      <c r="M872" s="292"/>
      <c r="N872" s="292"/>
      <c r="O872" s="292"/>
      <c r="P872" s="294"/>
      <c r="Q872" s="294"/>
      <c r="R872" s="294"/>
      <c r="S872" s="294"/>
      <c r="T872" s="294"/>
      <c r="U872" s="294"/>
      <c r="V872" s="431"/>
      <c r="W872" s="294"/>
      <c r="X872" s="294"/>
      <c r="Y872" s="294">
        <f>IF(NFI_Expiration=1,IF($A872&lt;VLOOKUP(H$5,NFI,5,0),1,0)*Table_NFI[[#This Row],[Hygiene Kit]],Table_NFI[Hygiene Kit])</f>
        <v>0</v>
      </c>
      <c r="Z872" s="294">
        <f>IF(NFI_Expiration=1,IF($A872&lt;VLOOKUP(I$5,NFI,5,0),1,0)*Table_NFI[[#This Row],[NFI Core Kit]],Table_NFI[NFI Core Kit])</f>
        <v>0</v>
      </c>
      <c r="AA872" s="294">
        <f>IF(NFI_Expiration=1,IF($A872&lt;VLOOKUP(J$5,NFI,5,0),1,0)*Table_NFI[[#This Row],[Sanitary Kit]],Table_NFI[Sanitary Kit])</f>
        <v>0</v>
      </c>
      <c r="AB872" s="294">
        <f>IF(NFI_Expiration=1,IF($A872&lt;VLOOKUP(K$5,NFI,5,0),1,0)*Table_NFI[[#This Row],[Mosquito net]],Table_NFI[Mosquito net])</f>
        <v>0</v>
      </c>
      <c r="AC872" s="294">
        <f>IF(NFI_Expiration=1,IF($A872&lt;VLOOKUP(L$5,NFI,5,0),1,0)*Table_NFI[[#This Row],[Tarpaulin]],Table_NFI[[#This Row],[Tarpaulin]])</f>
        <v>0</v>
      </c>
      <c r="AD872" s="294">
        <f>IF(NFI_Expiration=1,IF($A872&lt;VLOOKUP(M$5,NFI,5,0),1,0)*Table_NFI[[#This Row],[Blanket]],Table_NFI[[#This Row],[Blanket]])</f>
        <v>0</v>
      </c>
      <c r="AE872" s="294">
        <f>IF(NFI_Expiration=1,IF($A872&lt;VLOOKUP(N$5,NFI,5,0),1,0)*Table_NFI[[#This Row],[Kitchen Set]],Table_NFI[Kitchen Set])</f>
        <v>0</v>
      </c>
      <c r="AF872" s="294">
        <f>IF(NFI_Expiration=1,IF($A872&lt;VLOOKUP(O$5,NFI,5,0),1,0)*Table_NFI[[#This Row],[Clothes Kit]],Table_NFI[Clothes Kit])</f>
        <v>0</v>
      </c>
      <c r="AG872" s="294">
        <f>IF(NFI_Expiration=1,IF($A872&lt;VLOOKUP(P$5,NFI,5,0),1,0)*Table_NFI[[#This Row],[Plastic Bucket]],Table_NFI[Plastic Bucket])</f>
        <v>0</v>
      </c>
      <c r="AH872" s="294">
        <f>IF(NFI_Expiration=1,IF($A872&lt;VLOOKUP(Q$5,NFI,5,0),1,0)*Table_NFI[[#This Row],[Plastic Mat]],Table_NFI[Plastic Mat])*IF(Table_NFI[[#This Row],[Distribution Date]]&gt;"2014-04-01",1,2.5)</f>
        <v>0</v>
      </c>
      <c r="AI872" s="294">
        <f>IF(NFI_Expiration=1,IF($A872&lt;VLOOKUP(R$5,NFI,5,0),1,0)*Table_NFI[[#This Row],[Winter Clothes Adult]],Table_NFI[Winter Clothes Adult])</f>
        <v>0</v>
      </c>
      <c r="AJ872" s="294">
        <f>IF(NFI_Expiration=1,IF($A872&lt;VLOOKUP(S$5,NFI,5,0),1,0)*Table_NFI[[#This Row],[Winter Clothes Children]],Table_NFI[Winter Clothes Children])</f>
        <v>0</v>
      </c>
      <c r="AK872" s="294">
        <f>IF(NFI_Expiration=1,IF($A872&lt;VLOOKUP(T$5,NFI,5,0),1,0)*Table_NFI[[#This Row],[Winter Items Other]],Table_NFI[Winter Items Other])</f>
        <v>0</v>
      </c>
      <c r="AL872" s="294">
        <f>IF(NFI_Expiration=1,IF($A872&lt;VLOOKUP(M$5,NFI,5,0),1,0)*Table_NFI[[#This Row],[Winter Blanket]],Table_NFI[[#This Row],[Winter Blanket]])</f>
        <v>0</v>
      </c>
      <c r="AM872" s="294">
        <f>IF(Table_NFI[[#This Row],[Winter Clothes Adult]]+Table_NFI[[#This Row],[Winter Clothes Children]]+Table_NFI[[#This Row],[Winter Items Other]]+Table_NFI[[#This Row],[Winter Blanket]]&gt;0,1,0)</f>
        <v>0</v>
      </c>
      <c r="AN872" s="331">
        <f>IF(NFI_Expiration=1,IF($A872&lt;VLOOKUP(V$5,NFI,5,0),1,0)*Table_NFI[[#This Row],[Jerry Can]],Table_NFI[Jerry Can])</f>
        <v>0</v>
      </c>
      <c r="AO872" s="331">
        <f>IF(NFI_Expiration=1,IF($A872&lt;VLOOKUP(V$5,NFI,5,0),1,0)*Table_NFI[[#This Row],[Shelter Tool kit]],Table_NFI[Shelter Tool kit])</f>
        <v>0</v>
      </c>
      <c r="AP872" s="331">
        <f>IF(NFI_Expiration=1,IF($A872&lt;VLOOKUP(V$5,NFI,5,0),1,0)*Table_NFI[[#This Row],[Tent]],Table_NFI[Tent])</f>
        <v>0</v>
      </c>
      <c r="AQ872" s="473" t="str">
        <f>IFERROR(VLOOKUP(Table_NFI[[#This Row],[Camp Name]],CL,2,0),"")</f>
        <v/>
      </c>
      <c r="AR872" s="468" t="str">
        <f ca="1">IF(Table_NFI[[#This Row],[Pcode]]="","",IF(OFFSET(CampList[Opening Date],MATCH(Table_NFI[[#This Row],[Pcode]],CampList[CP_Pcode],0)-1,0,1,1)&gt;=NFI_Monitor_Date,1,0))</f>
        <v/>
      </c>
      <c r="AS872" s="473" t="str">
        <f>IFERROR(VLOOKUP(Table_NFI[[#This Row],[Camp Name]],CL,3,0),"")</f>
        <v/>
      </c>
      <c r="AT872" s="294" t="str">
        <f ca="1">IF(Table_NFI[[#This Row],[Pcode]]="","",OFFSET(CampList[Priority],MATCH(Table_NFI[[#This Row],[Pcode]],CampList[CP_Pcode],0)-1,0,1,1))</f>
        <v/>
      </c>
      <c r="AU872" s="293" t="str">
        <f>IFERROR(Table_NFI[[#This Row],[Kitchen Set]]/VLOOKUP(Table_NFI[[#This Row],[Camp Name]],CL,4,0),"")</f>
        <v/>
      </c>
      <c r="AV872" s="466"/>
      <c r="AW872" s="469"/>
    </row>
    <row r="873" spans="1:49" ht="14.45" customHeight="1" x14ac:dyDescent="0.25">
      <c r="A873" s="297">
        <f t="shared" si="13"/>
        <v>50.166666666666664</v>
      </c>
      <c r="B873" s="465">
        <v>41170</v>
      </c>
      <c r="C873" s="466" t="s">
        <v>905</v>
      </c>
      <c r="D873" s="466" t="s">
        <v>1002</v>
      </c>
      <c r="E873" s="466" t="s">
        <v>380</v>
      </c>
      <c r="F873" s="290" t="s">
        <v>302</v>
      </c>
      <c r="G873" s="290" t="s">
        <v>306</v>
      </c>
      <c r="H873" s="294">
        <v>98</v>
      </c>
      <c r="I873" s="291"/>
      <c r="J873" s="291"/>
      <c r="K873" s="291"/>
      <c r="L873" s="292"/>
      <c r="M873" s="292"/>
      <c r="N873" s="292"/>
      <c r="O873" s="292"/>
      <c r="P873" s="294"/>
      <c r="Q873" s="294"/>
      <c r="R873" s="294"/>
      <c r="S873" s="294"/>
      <c r="T873" s="294"/>
      <c r="U873" s="294"/>
      <c r="V873" s="431"/>
      <c r="W873" s="294"/>
      <c r="X873" s="294"/>
      <c r="Y873" s="294">
        <f>IF(NFI_Expiration=1,IF($A873&lt;VLOOKUP(H$5,NFI,5,0),1,0)*Table_NFI[[#This Row],[Hygiene Kit]],Table_NFI[Hygiene Kit])</f>
        <v>0</v>
      </c>
      <c r="Z873" s="294">
        <f>IF(NFI_Expiration=1,IF($A873&lt;VLOOKUP(I$5,NFI,5,0),1,0)*Table_NFI[[#This Row],[NFI Core Kit]],Table_NFI[NFI Core Kit])</f>
        <v>0</v>
      </c>
      <c r="AA873" s="294">
        <f>IF(NFI_Expiration=1,IF($A873&lt;VLOOKUP(J$5,NFI,5,0),1,0)*Table_NFI[[#This Row],[Sanitary Kit]],Table_NFI[Sanitary Kit])</f>
        <v>0</v>
      </c>
      <c r="AB873" s="294">
        <f>IF(NFI_Expiration=1,IF($A873&lt;VLOOKUP(K$5,NFI,5,0),1,0)*Table_NFI[[#This Row],[Mosquito net]],Table_NFI[Mosquito net])</f>
        <v>0</v>
      </c>
      <c r="AC873" s="294">
        <f>IF(NFI_Expiration=1,IF($A873&lt;VLOOKUP(L$5,NFI,5,0),1,0)*Table_NFI[[#This Row],[Tarpaulin]],Table_NFI[[#This Row],[Tarpaulin]])</f>
        <v>0</v>
      </c>
      <c r="AD873" s="294">
        <f>IF(NFI_Expiration=1,IF($A873&lt;VLOOKUP(M$5,NFI,5,0),1,0)*Table_NFI[[#This Row],[Blanket]],Table_NFI[[#This Row],[Blanket]])</f>
        <v>0</v>
      </c>
      <c r="AE873" s="294">
        <f>IF(NFI_Expiration=1,IF($A873&lt;VLOOKUP(N$5,NFI,5,0),1,0)*Table_NFI[[#This Row],[Kitchen Set]],Table_NFI[Kitchen Set])</f>
        <v>0</v>
      </c>
      <c r="AF873" s="294">
        <f>IF(NFI_Expiration=1,IF($A873&lt;VLOOKUP(O$5,NFI,5,0),1,0)*Table_NFI[[#This Row],[Clothes Kit]],Table_NFI[Clothes Kit])</f>
        <v>0</v>
      </c>
      <c r="AG873" s="294">
        <f>IF(NFI_Expiration=1,IF($A873&lt;VLOOKUP(P$5,NFI,5,0),1,0)*Table_NFI[[#This Row],[Plastic Bucket]],Table_NFI[Plastic Bucket])</f>
        <v>0</v>
      </c>
      <c r="AH873" s="294">
        <f>IF(NFI_Expiration=1,IF($A873&lt;VLOOKUP(Q$5,NFI,5,0),1,0)*Table_NFI[[#This Row],[Plastic Mat]],Table_NFI[Plastic Mat])*IF(Table_NFI[[#This Row],[Distribution Date]]&gt;"2014-04-01",1,2.5)</f>
        <v>0</v>
      </c>
      <c r="AI873" s="294">
        <f>IF(NFI_Expiration=1,IF($A873&lt;VLOOKUP(R$5,NFI,5,0),1,0)*Table_NFI[[#This Row],[Winter Clothes Adult]],Table_NFI[Winter Clothes Adult])</f>
        <v>0</v>
      </c>
      <c r="AJ873" s="294">
        <f>IF(NFI_Expiration=1,IF($A873&lt;VLOOKUP(S$5,NFI,5,0),1,0)*Table_NFI[[#This Row],[Winter Clothes Children]],Table_NFI[Winter Clothes Children])</f>
        <v>0</v>
      </c>
      <c r="AK873" s="294">
        <f>IF(NFI_Expiration=1,IF($A873&lt;VLOOKUP(T$5,NFI,5,0),1,0)*Table_NFI[[#This Row],[Winter Items Other]],Table_NFI[Winter Items Other])</f>
        <v>0</v>
      </c>
      <c r="AL873" s="294">
        <f>IF(NFI_Expiration=1,IF($A873&lt;VLOOKUP(M$5,NFI,5,0),1,0)*Table_NFI[[#This Row],[Winter Blanket]],Table_NFI[[#This Row],[Winter Blanket]])</f>
        <v>0</v>
      </c>
      <c r="AM873" s="294">
        <f>IF(Table_NFI[[#This Row],[Winter Clothes Adult]]+Table_NFI[[#This Row],[Winter Clothes Children]]+Table_NFI[[#This Row],[Winter Items Other]]+Table_NFI[[#This Row],[Winter Blanket]]&gt;0,1,0)</f>
        <v>0</v>
      </c>
      <c r="AN873" s="331">
        <f>IF(NFI_Expiration=1,IF($A873&lt;VLOOKUP(V$5,NFI,5,0),1,0)*Table_NFI[[#This Row],[Jerry Can]],Table_NFI[Jerry Can])</f>
        <v>0</v>
      </c>
      <c r="AO873" s="331">
        <f>IF(NFI_Expiration=1,IF($A873&lt;VLOOKUP(V$5,NFI,5,0),1,0)*Table_NFI[[#This Row],[Shelter Tool kit]],Table_NFI[Shelter Tool kit])</f>
        <v>0</v>
      </c>
      <c r="AP873" s="331">
        <f>IF(NFI_Expiration=1,IF($A873&lt;VLOOKUP(V$5,NFI,5,0),1,0)*Table_NFI[[#This Row],[Tent]],Table_NFI[Tent])</f>
        <v>0</v>
      </c>
      <c r="AQ873" s="473" t="str">
        <f>IFERROR(VLOOKUP(Table_NFI[[#This Row],[Camp Name]],CL,2,0),"")</f>
        <v>MMR001CMP067</v>
      </c>
      <c r="AR873" s="468">
        <f ca="1">IF(Table_NFI[[#This Row],[Pcode]]="","",IF(OFFSET(CampList[Opening Date],MATCH(Table_NFI[[#This Row],[Pcode]],CampList[CP_Pcode],0)-1,0,1,1)&gt;=NFI_Monitor_Date,1,0))</f>
        <v>0</v>
      </c>
      <c r="AS873" s="473" t="str">
        <f>IFERROR(VLOOKUP(Table_NFI[[#This Row],[Camp Name]],CL,3,0),"")</f>
        <v>Open</v>
      </c>
      <c r="AT873" s="294" t="str">
        <f ca="1">IF(Table_NFI[[#This Row],[Pcode]]="","",OFFSET(CampList[Priority],MATCH(Table_NFI[[#This Row],[Pcode]],CampList[CP_Pcode],0)-1,0,1,1))</f>
        <v>P4</v>
      </c>
      <c r="AU873" s="293">
        <f>IFERROR(Table_NFI[[#This Row],[Kitchen Set]]/VLOOKUP(Table_NFI[[#This Row],[Camp Name]],CL,4,0),"")</f>
        <v>0</v>
      </c>
      <c r="AV873" s="466"/>
      <c r="AW873" s="469"/>
    </row>
    <row r="874" spans="1:49" ht="14.45" customHeight="1" x14ac:dyDescent="0.25">
      <c r="A874" s="297">
        <f t="shared" si="13"/>
        <v>50.166666666666664</v>
      </c>
      <c r="B874" s="465">
        <v>41170</v>
      </c>
      <c r="C874" s="466" t="s">
        <v>905</v>
      </c>
      <c r="D874" s="466" t="s">
        <v>1002</v>
      </c>
      <c r="E874" s="466" t="s">
        <v>380</v>
      </c>
      <c r="F874" s="290" t="s">
        <v>302</v>
      </c>
      <c r="G874" s="290" t="s">
        <v>308</v>
      </c>
      <c r="H874" s="294">
        <v>59</v>
      </c>
      <c r="I874" s="291"/>
      <c r="J874" s="291"/>
      <c r="K874" s="291"/>
      <c r="L874" s="292"/>
      <c r="M874" s="292"/>
      <c r="N874" s="292"/>
      <c r="O874" s="292"/>
      <c r="P874" s="294"/>
      <c r="Q874" s="294"/>
      <c r="R874" s="294"/>
      <c r="S874" s="294"/>
      <c r="T874" s="294"/>
      <c r="U874" s="294"/>
      <c r="V874" s="431"/>
      <c r="W874" s="294"/>
      <c r="X874" s="294"/>
      <c r="Y874" s="294">
        <f>IF(NFI_Expiration=1,IF($A874&lt;VLOOKUP(H$5,NFI,5,0),1,0)*Table_NFI[[#This Row],[Hygiene Kit]],Table_NFI[Hygiene Kit])</f>
        <v>0</v>
      </c>
      <c r="Z874" s="294">
        <f>IF(NFI_Expiration=1,IF($A874&lt;VLOOKUP(I$5,NFI,5,0),1,0)*Table_NFI[[#This Row],[NFI Core Kit]],Table_NFI[NFI Core Kit])</f>
        <v>0</v>
      </c>
      <c r="AA874" s="294">
        <f>IF(NFI_Expiration=1,IF($A874&lt;VLOOKUP(J$5,NFI,5,0),1,0)*Table_NFI[[#This Row],[Sanitary Kit]],Table_NFI[Sanitary Kit])</f>
        <v>0</v>
      </c>
      <c r="AB874" s="294">
        <f>IF(NFI_Expiration=1,IF($A874&lt;VLOOKUP(K$5,NFI,5,0),1,0)*Table_NFI[[#This Row],[Mosquito net]],Table_NFI[Mosquito net])</f>
        <v>0</v>
      </c>
      <c r="AC874" s="294">
        <f>IF(NFI_Expiration=1,IF($A874&lt;VLOOKUP(L$5,NFI,5,0),1,0)*Table_NFI[[#This Row],[Tarpaulin]],Table_NFI[[#This Row],[Tarpaulin]])</f>
        <v>0</v>
      </c>
      <c r="AD874" s="294">
        <f>IF(NFI_Expiration=1,IF($A874&lt;VLOOKUP(M$5,NFI,5,0),1,0)*Table_NFI[[#This Row],[Blanket]],Table_NFI[[#This Row],[Blanket]])</f>
        <v>0</v>
      </c>
      <c r="AE874" s="294">
        <f>IF(NFI_Expiration=1,IF($A874&lt;VLOOKUP(N$5,NFI,5,0),1,0)*Table_NFI[[#This Row],[Kitchen Set]],Table_NFI[Kitchen Set])</f>
        <v>0</v>
      </c>
      <c r="AF874" s="294">
        <f>IF(NFI_Expiration=1,IF($A874&lt;VLOOKUP(O$5,NFI,5,0),1,0)*Table_NFI[[#This Row],[Clothes Kit]],Table_NFI[Clothes Kit])</f>
        <v>0</v>
      </c>
      <c r="AG874" s="294">
        <f>IF(NFI_Expiration=1,IF($A874&lt;VLOOKUP(P$5,NFI,5,0),1,0)*Table_NFI[[#This Row],[Plastic Bucket]],Table_NFI[Plastic Bucket])</f>
        <v>0</v>
      </c>
      <c r="AH874" s="294">
        <f>IF(NFI_Expiration=1,IF($A874&lt;VLOOKUP(Q$5,NFI,5,0),1,0)*Table_NFI[[#This Row],[Plastic Mat]],Table_NFI[Plastic Mat])*IF(Table_NFI[[#This Row],[Distribution Date]]&gt;"2014-04-01",1,2.5)</f>
        <v>0</v>
      </c>
      <c r="AI874" s="294">
        <f>IF(NFI_Expiration=1,IF($A874&lt;VLOOKUP(R$5,NFI,5,0),1,0)*Table_NFI[[#This Row],[Winter Clothes Adult]],Table_NFI[Winter Clothes Adult])</f>
        <v>0</v>
      </c>
      <c r="AJ874" s="294">
        <f>IF(NFI_Expiration=1,IF($A874&lt;VLOOKUP(S$5,NFI,5,0),1,0)*Table_NFI[[#This Row],[Winter Clothes Children]],Table_NFI[Winter Clothes Children])</f>
        <v>0</v>
      </c>
      <c r="AK874" s="294">
        <f>IF(NFI_Expiration=1,IF($A874&lt;VLOOKUP(T$5,NFI,5,0),1,0)*Table_NFI[[#This Row],[Winter Items Other]],Table_NFI[Winter Items Other])</f>
        <v>0</v>
      </c>
      <c r="AL874" s="294">
        <f>IF(NFI_Expiration=1,IF($A874&lt;VLOOKUP(M$5,NFI,5,0),1,0)*Table_NFI[[#This Row],[Winter Blanket]],Table_NFI[[#This Row],[Winter Blanket]])</f>
        <v>0</v>
      </c>
      <c r="AM874" s="294">
        <f>IF(Table_NFI[[#This Row],[Winter Clothes Adult]]+Table_NFI[[#This Row],[Winter Clothes Children]]+Table_NFI[[#This Row],[Winter Items Other]]+Table_NFI[[#This Row],[Winter Blanket]]&gt;0,1,0)</f>
        <v>0</v>
      </c>
      <c r="AN874" s="331">
        <f>IF(NFI_Expiration=1,IF($A874&lt;VLOOKUP(V$5,NFI,5,0),1,0)*Table_NFI[[#This Row],[Jerry Can]],Table_NFI[Jerry Can])</f>
        <v>0</v>
      </c>
      <c r="AO874" s="331">
        <f>IF(NFI_Expiration=1,IF($A874&lt;VLOOKUP(V$5,NFI,5,0),1,0)*Table_NFI[[#This Row],[Shelter Tool kit]],Table_NFI[Shelter Tool kit])</f>
        <v>0</v>
      </c>
      <c r="AP874" s="331">
        <f>IF(NFI_Expiration=1,IF($A874&lt;VLOOKUP(V$5,NFI,5,0),1,0)*Table_NFI[[#This Row],[Tent]],Table_NFI[Tent])</f>
        <v>0</v>
      </c>
      <c r="AQ874" s="473" t="str">
        <f>IFERROR(VLOOKUP(Table_NFI[[#This Row],[Camp Name]],CL,2,0),"")</f>
        <v>MMR001CMP068</v>
      </c>
      <c r="AR874" s="468">
        <f ca="1">IF(Table_NFI[[#This Row],[Pcode]]="","",IF(OFFSET(CampList[Opening Date],MATCH(Table_NFI[[#This Row],[Pcode]],CampList[CP_Pcode],0)-1,0,1,1)&gt;=NFI_Monitor_Date,1,0))</f>
        <v>0</v>
      </c>
      <c r="AS874" s="473" t="str">
        <f>IFERROR(VLOOKUP(Table_NFI[[#This Row],[Camp Name]],CL,3,0),"")</f>
        <v>Open</v>
      </c>
      <c r="AT874" s="294" t="str">
        <f ca="1">IF(Table_NFI[[#This Row],[Pcode]]="","",OFFSET(CampList[Priority],MATCH(Table_NFI[[#This Row],[Pcode]],CampList[CP_Pcode],0)-1,0,1,1))</f>
        <v>P4</v>
      </c>
      <c r="AU874" s="293">
        <f>IFERROR(Table_NFI[[#This Row],[Kitchen Set]]/VLOOKUP(Table_NFI[[#This Row],[Camp Name]],CL,4,0),"")</f>
        <v>0</v>
      </c>
      <c r="AV874" s="466"/>
      <c r="AW874" s="469"/>
    </row>
    <row r="875" spans="1:49" x14ac:dyDescent="0.25">
      <c r="A875" s="297">
        <f t="shared" si="13"/>
        <v>50.166666666666664</v>
      </c>
      <c r="B875" s="465">
        <v>41170</v>
      </c>
      <c r="C875" s="466" t="s">
        <v>905</v>
      </c>
      <c r="D875" s="466" t="s">
        <v>1002</v>
      </c>
      <c r="E875" s="466" t="s">
        <v>380</v>
      </c>
      <c r="F875" s="466" t="s">
        <v>302</v>
      </c>
      <c r="G875" s="466" t="s">
        <v>1433</v>
      </c>
      <c r="H875" s="294">
        <v>45</v>
      </c>
      <c r="I875" s="291"/>
      <c r="J875" s="292"/>
      <c r="K875" s="291"/>
      <c r="L875" s="292"/>
      <c r="M875" s="292"/>
      <c r="N875" s="292"/>
      <c r="O875" s="292"/>
      <c r="P875" s="294"/>
      <c r="Q875" s="294"/>
      <c r="R875" s="294"/>
      <c r="S875" s="294"/>
      <c r="T875" s="294"/>
      <c r="U875" s="294"/>
      <c r="V875" s="431"/>
      <c r="W875" s="331"/>
      <c r="X875" s="331"/>
      <c r="Y875" s="294">
        <f>IF(NFI_Expiration=1,IF($A875&lt;VLOOKUP(H$5,NFI,5,0),1,0)*Table_NFI[[#This Row],[Hygiene Kit]],Table_NFI[Hygiene Kit])</f>
        <v>0</v>
      </c>
      <c r="Z875" s="294">
        <f>IF(NFI_Expiration=1,IF($A875&lt;VLOOKUP(I$5,NFI,5,0),1,0)*Table_NFI[[#This Row],[NFI Core Kit]],Table_NFI[NFI Core Kit])</f>
        <v>0</v>
      </c>
      <c r="AA875" s="294">
        <f>IF(NFI_Expiration=1,IF($A875&lt;VLOOKUP(J$5,NFI,5,0),1,0)*Table_NFI[[#This Row],[Sanitary Kit]],Table_NFI[Sanitary Kit])</f>
        <v>0</v>
      </c>
      <c r="AB875" s="294">
        <f>IF(NFI_Expiration=1,IF($A875&lt;VLOOKUP(K$5,NFI,5,0),1,0)*Table_NFI[[#This Row],[Mosquito net]],Table_NFI[Mosquito net])</f>
        <v>0</v>
      </c>
      <c r="AC875" s="294">
        <f>IF(NFI_Expiration=1,IF($A875&lt;VLOOKUP(L$5,NFI,5,0),1,0)*Table_NFI[[#This Row],[Tarpaulin]],Table_NFI[[#This Row],[Tarpaulin]])</f>
        <v>0</v>
      </c>
      <c r="AD875" s="294">
        <f>IF(NFI_Expiration=1,IF($A875&lt;VLOOKUP(M$5,NFI,5,0),1,0)*Table_NFI[[#This Row],[Blanket]],Table_NFI[[#This Row],[Blanket]])</f>
        <v>0</v>
      </c>
      <c r="AE875" s="294">
        <f>IF(NFI_Expiration=1,IF($A875&lt;VLOOKUP(N$5,NFI,5,0),1,0)*Table_NFI[[#This Row],[Kitchen Set]],Table_NFI[Kitchen Set])</f>
        <v>0</v>
      </c>
      <c r="AF875" s="294">
        <f>IF(NFI_Expiration=1,IF($A875&lt;VLOOKUP(O$5,NFI,5,0),1,0)*Table_NFI[[#This Row],[Clothes Kit]],Table_NFI[Clothes Kit])</f>
        <v>0</v>
      </c>
      <c r="AG875" s="294">
        <f>IF(NFI_Expiration=1,IF($A875&lt;VLOOKUP(P$5,NFI,5,0),1,0)*Table_NFI[[#This Row],[Plastic Bucket]],Table_NFI[Plastic Bucket])</f>
        <v>0</v>
      </c>
      <c r="AH875" s="294">
        <f>IF(NFI_Expiration=1,IF($A875&lt;VLOOKUP(Q$5,NFI,5,0),1,0)*Table_NFI[[#This Row],[Plastic Mat]],Table_NFI[Plastic Mat])*IF(Table_NFI[[#This Row],[Distribution Date]]&gt;"2014-04-01",1,2.5)</f>
        <v>0</v>
      </c>
      <c r="AI875" s="294">
        <f>IF(NFI_Expiration=1,IF($A875&lt;VLOOKUP(R$5,NFI,5,0),1,0)*Table_NFI[[#This Row],[Winter Clothes Adult]],Table_NFI[Winter Clothes Adult])</f>
        <v>0</v>
      </c>
      <c r="AJ875" s="294">
        <f>IF(NFI_Expiration=1,IF($A875&lt;VLOOKUP(S$5,NFI,5,0),1,0)*Table_NFI[[#This Row],[Winter Clothes Children]],Table_NFI[Winter Clothes Children])</f>
        <v>0</v>
      </c>
      <c r="AK875" s="294">
        <f>IF(NFI_Expiration=1,IF($A875&lt;VLOOKUP(T$5,NFI,5,0),1,0)*Table_NFI[[#This Row],[Winter Items Other]],Table_NFI[Winter Items Other])</f>
        <v>0</v>
      </c>
      <c r="AL875" s="294">
        <f>IF(NFI_Expiration=1,IF($A875&lt;VLOOKUP(M$5,NFI,5,0),1,0)*Table_NFI[[#This Row],[Winter Blanket]],Table_NFI[[#This Row],[Winter Blanket]])</f>
        <v>0</v>
      </c>
      <c r="AM875" s="294">
        <f>IF(Table_NFI[[#This Row],[Winter Clothes Adult]]+Table_NFI[[#This Row],[Winter Clothes Children]]+Table_NFI[[#This Row],[Winter Items Other]]+Table_NFI[[#This Row],[Winter Blanket]]&gt;0,1,0)</f>
        <v>0</v>
      </c>
      <c r="AN875" s="331">
        <f>IF(NFI_Expiration=1,IF($A875&lt;VLOOKUP(V$5,NFI,5,0),1,0)*Table_NFI[[#This Row],[Jerry Can]],Table_NFI[Jerry Can])</f>
        <v>0</v>
      </c>
      <c r="AO875" s="331">
        <f>IF(NFI_Expiration=1,IF($A875&lt;VLOOKUP(V$5,NFI,5,0),1,0)*Table_NFI[[#This Row],[Shelter Tool kit]],Table_NFI[Shelter Tool kit])</f>
        <v>0</v>
      </c>
      <c r="AP875" s="331">
        <f>IF(NFI_Expiration=1,IF($A875&lt;VLOOKUP(V$5,NFI,5,0),1,0)*Table_NFI[[#This Row],[Tent]],Table_NFI[Tent])</f>
        <v>0</v>
      </c>
      <c r="AQ875" s="473" t="str">
        <f>IFERROR(VLOOKUP(Table_NFI[[#This Row],[Camp Name]],CL,2,0),"")</f>
        <v/>
      </c>
      <c r="AR875" s="468" t="str">
        <f ca="1">IF(Table_NFI[[#This Row],[Pcode]]="","",IF(OFFSET(CampList[Opening Date],MATCH(Table_NFI[[#This Row],[Pcode]],CampList[CP_Pcode],0)-1,0,1,1)&gt;=NFI_Monitor_Date,1,0))</f>
        <v/>
      </c>
      <c r="AS875" s="473" t="str">
        <f>IFERROR(VLOOKUP(Table_NFI[[#This Row],[Camp Name]],CL,3,0),"")</f>
        <v/>
      </c>
      <c r="AT875" s="294" t="str">
        <f ca="1">IF(Table_NFI[[#This Row],[Pcode]]="","",OFFSET(CampList[Priority],MATCH(Table_NFI[[#This Row],[Pcode]],CampList[CP_Pcode],0)-1,0,1,1))</f>
        <v/>
      </c>
      <c r="AU875" s="293" t="str">
        <f>IFERROR(Table_NFI[[#This Row],[Kitchen Set]]/VLOOKUP(Table_NFI[[#This Row],[Camp Name]],CL,4,0),"")</f>
        <v/>
      </c>
      <c r="AV875" s="466"/>
      <c r="AW875" s="469"/>
    </row>
    <row r="876" spans="1:49" x14ac:dyDescent="0.25">
      <c r="A876" s="297">
        <f t="shared" si="13"/>
        <v>50.166666666666664</v>
      </c>
      <c r="B876" s="465">
        <v>41170</v>
      </c>
      <c r="C876" s="466" t="s">
        <v>905</v>
      </c>
      <c r="D876" s="466" t="s">
        <v>1002</v>
      </c>
      <c r="E876" s="466" t="s">
        <v>380</v>
      </c>
      <c r="F876" s="466" t="s">
        <v>302</v>
      </c>
      <c r="G876" s="466" t="s">
        <v>1434</v>
      </c>
      <c r="H876" s="294">
        <v>22</v>
      </c>
      <c r="I876" s="291"/>
      <c r="J876" s="292"/>
      <c r="K876" s="291"/>
      <c r="L876" s="292"/>
      <c r="M876" s="292"/>
      <c r="N876" s="292"/>
      <c r="O876" s="292"/>
      <c r="P876" s="294"/>
      <c r="Q876" s="294"/>
      <c r="R876" s="294"/>
      <c r="S876" s="294"/>
      <c r="T876" s="294"/>
      <c r="U876" s="294"/>
      <c r="V876" s="622"/>
      <c r="W876" s="331"/>
      <c r="X876" s="331"/>
      <c r="Y876" s="294">
        <f>IF(NFI_Expiration=1,IF($A876&lt;VLOOKUP(H$5,NFI,5,0),1,0)*Table_NFI[[#This Row],[Hygiene Kit]],Table_NFI[Hygiene Kit])</f>
        <v>0</v>
      </c>
      <c r="Z876" s="294">
        <f>IF(NFI_Expiration=1,IF($A876&lt;VLOOKUP(I$5,NFI,5,0),1,0)*Table_NFI[[#This Row],[NFI Core Kit]],Table_NFI[NFI Core Kit])</f>
        <v>0</v>
      </c>
      <c r="AA876" s="294">
        <f>IF(NFI_Expiration=1,IF($A876&lt;VLOOKUP(J$5,NFI,5,0),1,0)*Table_NFI[[#This Row],[Sanitary Kit]],Table_NFI[Sanitary Kit])</f>
        <v>0</v>
      </c>
      <c r="AB876" s="294">
        <f>IF(NFI_Expiration=1,IF($A876&lt;VLOOKUP(K$5,NFI,5,0),1,0)*Table_NFI[[#This Row],[Mosquito net]],Table_NFI[Mosquito net])</f>
        <v>0</v>
      </c>
      <c r="AC876" s="294">
        <f>IF(NFI_Expiration=1,IF($A876&lt;VLOOKUP(L$5,NFI,5,0),1,0)*Table_NFI[[#This Row],[Tarpaulin]],Table_NFI[[#This Row],[Tarpaulin]])</f>
        <v>0</v>
      </c>
      <c r="AD876" s="294">
        <f>IF(NFI_Expiration=1,IF($A876&lt;VLOOKUP(M$5,NFI,5,0),1,0)*Table_NFI[[#This Row],[Blanket]],Table_NFI[[#This Row],[Blanket]])</f>
        <v>0</v>
      </c>
      <c r="AE876" s="294">
        <f>IF(NFI_Expiration=1,IF($A876&lt;VLOOKUP(N$5,NFI,5,0),1,0)*Table_NFI[[#This Row],[Kitchen Set]],Table_NFI[Kitchen Set])</f>
        <v>0</v>
      </c>
      <c r="AF876" s="294">
        <f>IF(NFI_Expiration=1,IF($A876&lt;VLOOKUP(O$5,NFI,5,0),1,0)*Table_NFI[[#This Row],[Clothes Kit]],Table_NFI[Clothes Kit])</f>
        <v>0</v>
      </c>
      <c r="AG876" s="294">
        <f>IF(NFI_Expiration=1,IF($A876&lt;VLOOKUP(P$5,NFI,5,0),1,0)*Table_NFI[[#This Row],[Plastic Bucket]],Table_NFI[Plastic Bucket])</f>
        <v>0</v>
      </c>
      <c r="AH876" s="294">
        <f>IF(NFI_Expiration=1,IF($A876&lt;VLOOKUP(Q$5,NFI,5,0),1,0)*Table_NFI[[#This Row],[Plastic Mat]],Table_NFI[Plastic Mat])*IF(Table_NFI[[#This Row],[Distribution Date]]&gt;"2014-04-01",1,2.5)</f>
        <v>0</v>
      </c>
      <c r="AI876" s="294">
        <f>IF(NFI_Expiration=1,IF($A876&lt;VLOOKUP(R$5,NFI,5,0),1,0)*Table_NFI[[#This Row],[Winter Clothes Adult]],Table_NFI[Winter Clothes Adult])</f>
        <v>0</v>
      </c>
      <c r="AJ876" s="294">
        <f>IF(NFI_Expiration=1,IF($A876&lt;VLOOKUP(S$5,NFI,5,0),1,0)*Table_NFI[[#This Row],[Winter Clothes Children]],Table_NFI[Winter Clothes Children])</f>
        <v>0</v>
      </c>
      <c r="AK876" s="294">
        <f>IF(NFI_Expiration=1,IF($A876&lt;VLOOKUP(T$5,NFI,5,0),1,0)*Table_NFI[[#This Row],[Winter Items Other]],Table_NFI[Winter Items Other])</f>
        <v>0</v>
      </c>
      <c r="AL876" s="294">
        <f>IF(NFI_Expiration=1,IF($A876&lt;VLOOKUP(M$5,NFI,5,0),1,0)*Table_NFI[[#This Row],[Winter Blanket]],Table_NFI[[#This Row],[Winter Blanket]])</f>
        <v>0</v>
      </c>
      <c r="AM876" s="294">
        <f>IF(Table_NFI[[#This Row],[Winter Clothes Adult]]+Table_NFI[[#This Row],[Winter Clothes Children]]+Table_NFI[[#This Row],[Winter Items Other]]+Table_NFI[[#This Row],[Winter Blanket]]&gt;0,1,0)</f>
        <v>0</v>
      </c>
      <c r="AN876" s="331">
        <f>IF(NFI_Expiration=1,IF($A876&lt;VLOOKUP(V$5,NFI,5,0),1,0)*Table_NFI[[#This Row],[Jerry Can]],Table_NFI[Jerry Can])</f>
        <v>0</v>
      </c>
      <c r="AO876" s="331">
        <f>IF(NFI_Expiration=1,IF($A876&lt;VLOOKUP(V$5,NFI,5,0),1,0)*Table_NFI[[#This Row],[Shelter Tool kit]],Table_NFI[Shelter Tool kit])</f>
        <v>0</v>
      </c>
      <c r="AP876" s="331">
        <f>IF(NFI_Expiration=1,IF($A876&lt;VLOOKUP(V$5,NFI,5,0),1,0)*Table_NFI[[#This Row],[Tent]],Table_NFI[Tent])</f>
        <v>0</v>
      </c>
      <c r="AQ876" s="473" t="str">
        <f>IFERROR(VLOOKUP(Table_NFI[[#This Row],[Camp Name]],CL,2,0),"")</f>
        <v/>
      </c>
      <c r="AR876" s="468" t="str">
        <f ca="1">IF(Table_NFI[[#This Row],[Pcode]]="","",IF(OFFSET(CampList[Opening Date],MATCH(Table_NFI[[#This Row],[Pcode]],CampList[CP_Pcode],0)-1,0,1,1)&gt;=NFI_Monitor_Date,1,0))</f>
        <v/>
      </c>
      <c r="AS876" s="473" t="str">
        <f>IFERROR(VLOOKUP(Table_NFI[[#This Row],[Camp Name]],CL,3,0),"")</f>
        <v/>
      </c>
      <c r="AT876" s="294" t="str">
        <f ca="1">IF(Table_NFI[[#This Row],[Pcode]]="","",OFFSET(CampList[Priority],MATCH(Table_NFI[[#This Row],[Pcode]],CampList[CP_Pcode],0)-1,0,1,1))</f>
        <v/>
      </c>
      <c r="AU876" s="293" t="str">
        <f>IFERROR(Table_NFI[[#This Row],[Kitchen Set]]/VLOOKUP(Table_NFI[[#This Row],[Camp Name]],CL,4,0),"")</f>
        <v/>
      </c>
      <c r="AV876" s="466"/>
      <c r="AW876" s="469"/>
    </row>
    <row r="877" spans="1:49" x14ac:dyDescent="0.25">
      <c r="A877" s="297">
        <f t="shared" si="13"/>
        <v>50.166666666666664</v>
      </c>
      <c r="B877" s="465">
        <v>41170</v>
      </c>
      <c r="C877" s="466" t="s">
        <v>905</v>
      </c>
      <c r="D877" s="466" t="s">
        <v>1002</v>
      </c>
      <c r="E877" s="466" t="s">
        <v>380</v>
      </c>
      <c r="F877" s="466" t="s">
        <v>302</v>
      </c>
      <c r="G877" s="466" t="s">
        <v>1435</v>
      </c>
      <c r="H877" s="294">
        <v>130</v>
      </c>
      <c r="I877" s="291"/>
      <c r="J877" s="292"/>
      <c r="K877" s="291"/>
      <c r="L877" s="292"/>
      <c r="M877" s="292"/>
      <c r="N877" s="292"/>
      <c r="O877" s="292"/>
      <c r="P877" s="294"/>
      <c r="Q877" s="294"/>
      <c r="R877" s="294"/>
      <c r="S877" s="294"/>
      <c r="T877" s="294"/>
      <c r="U877" s="294"/>
      <c r="V877" s="431"/>
      <c r="W877" s="331"/>
      <c r="X877" s="331"/>
      <c r="Y877" s="294">
        <f>IF(NFI_Expiration=1,IF($A877&lt;VLOOKUP(H$5,NFI,5,0),1,0)*Table_NFI[[#This Row],[Hygiene Kit]],Table_NFI[Hygiene Kit])</f>
        <v>0</v>
      </c>
      <c r="Z877" s="294">
        <f>IF(NFI_Expiration=1,IF($A877&lt;VLOOKUP(I$5,NFI,5,0),1,0)*Table_NFI[[#This Row],[NFI Core Kit]],Table_NFI[NFI Core Kit])</f>
        <v>0</v>
      </c>
      <c r="AA877" s="294">
        <f>IF(NFI_Expiration=1,IF($A877&lt;VLOOKUP(J$5,NFI,5,0),1,0)*Table_NFI[[#This Row],[Sanitary Kit]],Table_NFI[Sanitary Kit])</f>
        <v>0</v>
      </c>
      <c r="AB877" s="294">
        <f>IF(NFI_Expiration=1,IF($A877&lt;VLOOKUP(K$5,NFI,5,0),1,0)*Table_NFI[[#This Row],[Mosquito net]],Table_NFI[Mosquito net])</f>
        <v>0</v>
      </c>
      <c r="AC877" s="294">
        <f>IF(NFI_Expiration=1,IF($A877&lt;VLOOKUP(L$5,NFI,5,0),1,0)*Table_NFI[[#This Row],[Tarpaulin]],Table_NFI[[#This Row],[Tarpaulin]])</f>
        <v>0</v>
      </c>
      <c r="AD877" s="294">
        <f>IF(NFI_Expiration=1,IF($A877&lt;VLOOKUP(M$5,NFI,5,0),1,0)*Table_NFI[[#This Row],[Blanket]],Table_NFI[[#This Row],[Blanket]])</f>
        <v>0</v>
      </c>
      <c r="AE877" s="294">
        <f>IF(NFI_Expiration=1,IF($A877&lt;VLOOKUP(N$5,NFI,5,0),1,0)*Table_NFI[[#This Row],[Kitchen Set]],Table_NFI[Kitchen Set])</f>
        <v>0</v>
      </c>
      <c r="AF877" s="294">
        <f>IF(NFI_Expiration=1,IF($A877&lt;VLOOKUP(O$5,NFI,5,0),1,0)*Table_NFI[[#This Row],[Clothes Kit]],Table_NFI[Clothes Kit])</f>
        <v>0</v>
      </c>
      <c r="AG877" s="294">
        <f>IF(NFI_Expiration=1,IF($A877&lt;VLOOKUP(P$5,NFI,5,0),1,0)*Table_NFI[[#This Row],[Plastic Bucket]],Table_NFI[Plastic Bucket])</f>
        <v>0</v>
      </c>
      <c r="AH877" s="294">
        <f>IF(NFI_Expiration=1,IF($A877&lt;VLOOKUP(Q$5,NFI,5,0),1,0)*Table_NFI[[#This Row],[Plastic Mat]],Table_NFI[Plastic Mat])*IF(Table_NFI[[#This Row],[Distribution Date]]&gt;"2014-04-01",1,2.5)</f>
        <v>0</v>
      </c>
      <c r="AI877" s="294">
        <f>IF(NFI_Expiration=1,IF($A877&lt;VLOOKUP(R$5,NFI,5,0),1,0)*Table_NFI[[#This Row],[Winter Clothes Adult]],Table_NFI[Winter Clothes Adult])</f>
        <v>0</v>
      </c>
      <c r="AJ877" s="294">
        <f>IF(NFI_Expiration=1,IF($A877&lt;VLOOKUP(S$5,NFI,5,0),1,0)*Table_NFI[[#This Row],[Winter Clothes Children]],Table_NFI[Winter Clothes Children])</f>
        <v>0</v>
      </c>
      <c r="AK877" s="294">
        <f>IF(NFI_Expiration=1,IF($A877&lt;VLOOKUP(T$5,NFI,5,0),1,0)*Table_NFI[[#This Row],[Winter Items Other]],Table_NFI[Winter Items Other])</f>
        <v>0</v>
      </c>
      <c r="AL877" s="294">
        <f>IF(NFI_Expiration=1,IF($A877&lt;VLOOKUP(M$5,NFI,5,0),1,0)*Table_NFI[[#This Row],[Winter Blanket]],Table_NFI[[#This Row],[Winter Blanket]])</f>
        <v>0</v>
      </c>
      <c r="AM877" s="294">
        <f>IF(Table_NFI[[#This Row],[Winter Clothes Adult]]+Table_NFI[[#This Row],[Winter Clothes Children]]+Table_NFI[[#This Row],[Winter Items Other]]+Table_NFI[[#This Row],[Winter Blanket]]&gt;0,1,0)</f>
        <v>0</v>
      </c>
      <c r="AN877" s="331">
        <f>IF(NFI_Expiration=1,IF($A877&lt;VLOOKUP(V$5,NFI,5,0),1,0)*Table_NFI[[#This Row],[Jerry Can]],Table_NFI[Jerry Can])</f>
        <v>0</v>
      </c>
      <c r="AO877" s="331">
        <f>IF(NFI_Expiration=1,IF($A877&lt;VLOOKUP(V$5,NFI,5,0),1,0)*Table_NFI[[#This Row],[Shelter Tool kit]],Table_NFI[Shelter Tool kit])</f>
        <v>0</v>
      </c>
      <c r="AP877" s="331">
        <f>IF(NFI_Expiration=1,IF($A877&lt;VLOOKUP(V$5,NFI,5,0),1,0)*Table_NFI[[#This Row],[Tent]],Table_NFI[Tent])</f>
        <v>0</v>
      </c>
      <c r="AQ877" s="473" t="str">
        <f>IFERROR(VLOOKUP(Table_NFI[[#This Row],[Camp Name]],CL,2,0),"")</f>
        <v/>
      </c>
      <c r="AR877" s="468" t="str">
        <f ca="1">IF(Table_NFI[[#This Row],[Pcode]]="","",IF(OFFSET(CampList[Opening Date],MATCH(Table_NFI[[#This Row],[Pcode]],CampList[CP_Pcode],0)-1,0,1,1)&gt;=NFI_Monitor_Date,1,0))</f>
        <v/>
      </c>
      <c r="AS877" s="473" t="str">
        <f>IFERROR(VLOOKUP(Table_NFI[[#This Row],[Camp Name]],CL,3,0),"")</f>
        <v/>
      </c>
      <c r="AT877" s="294" t="str">
        <f ca="1">IF(Table_NFI[[#This Row],[Pcode]]="","",OFFSET(CampList[Priority],MATCH(Table_NFI[[#This Row],[Pcode]],CampList[CP_Pcode],0)-1,0,1,1))</f>
        <v/>
      </c>
      <c r="AU877" s="293" t="str">
        <f>IFERROR(Table_NFI[[#This Row],[Kitchen Set]]/VLOOKUP(Table_NFI[[#This Row],[Camp Name]],CL,4,0),"")</f>
        <v/>
      </c>
      <c r="AV877" s="466"/>
      <c r="AW877" s="469"/>
    </row>
    <row r="878" spans="1:49" x14ac:dyDescent="0.25">
      <c r="A878" s="297">
        <f t="shared" si="13"/>
        <v>50.2</v>
      </c>
      <c r="B878" s="465">
        <v>41169</v>
      </c>
      <c r="C878" s="466" t="s">
        <v>452</v>
      </c>
      <c r="D878" s="466" t="s">
        <v>452</v>
      </c>
      <c r="E878" s="466" t="s">
        <v>380</v>
      </c>
      <c r="F878" s="290" t="s">
        <v>185</v>
      </c>
      <c r="G878" s="290" t="s">
        <v>202</v>
      </c>
      <c r="H878" s="291"/>
      <c r="I878" s="291"/>
      <c r="J878" s="291"/>
      <c r="K878" s="291">
        <v>86</v>
      </c>
      <c r="L878" s="292">
        <v>43</v>
      </c>
      <c r="M878" s="292">
        <v>86</v>
      </c>
      <c r="N878" s="292">
        <v>43</v>
      </c>
      <c r="O878" s="292">
        <v>43</v>
      </c>
      <c r="P878" s="294">
        <v>43</v>
      </c>
      <c r="Q878" s="294">
        <v>43</v>
      </c>
      <c r="R878" s="294"/>
      <c r="S878" s="294"/>
      <c r="T878" s="294"/>
      <c r="U878" s="294"/>
      <c r="V878" s="431"/>
      <c r="W878" s="331"/>
      <c r="X878" s="331"/>
      <c r="Y878" s="294">
        <f>IF(NFI_Expiration=1,IF($A878&lt;VLOOKUP(H$5,NFI,5,0),1,0)*Table_NFI[[#This Row],[Hygiene Kit]],Table_NFI[Hygiene Kit])</f>
        <v>0</v>
      </c>
      <c r="Z878" s="294">
        <f>IF(NFI_Expiration=1,IF($A878&lt;VLOOKUP(I$5,NFI,5,0),1,0)*Table_NFI[[#This Row],[NFI Core Kit]],Table_NFI[NFI Core Kit])</f>
        <v>0</v>
      </c>
      <c r="AA878" s="294">
        <f>IF(NFI_Expiration=1,IF($A878&lt;VLOOKUP(J$5,NFI,5,0),1,0)*Table_NFI[[#This Row],[Sanitary Kit]],Table_NFI[Sanitary Kit])</f>
        <v>0</v>
      </c>
      <c r="AB878" s="294">
        <f>IF(NFI_Expiration=1,IF($A878&lt;VLOOKUP(K$5,NFI,5,0),1,0)*Table_NFI[[#This Row],[Mosquito net]],Table_NFI[Mosquito net])</f>
        <v>0</v>
      </c>
      <c r="AC878" s="294">
        <f>IF(NFI_Expiration=1,IF($A878&lt;VLOOKUP(L$5,NFI,5,0),1,0)*Table_NFI[[#This Row],[Tarpaulin]],Table_NFI[[#This Row],[Tarpaulin]])</f>
        <v>0</v>
      </c>
      <c r="AD878" s="294">
        <f>IF(NFI_Expiration=1,IF($A878&lt;VLOOKUP(M$5,NFI,5,0),1,0)*Table_NFI[[#This Row],[Blanket]],Table_NFI[[#This Row],[Blanket]])</f>
        <v>0</v>
      </c>
      <c r="AE878" s="294">
        <f>IF(NFI_Expiration=1,IF($A878&lt;VLOOKUP(N$5,NFI,5,0),1,0)*Table_NFI[[#This Row],[Kitchen Set]],Table_NFI[Kitchen Set])</f>
        <v>0</v>
      </c>
      <c r="AF878" s="294">
        <f>IF(NFI_Expiration=1,IF($A878&lt;VLOOKUP(O$5,NFI,5,0),1,0)*Table_NFI[[#This Row],[Clothes Kit]],Table_NFI[Clothes Kit])</f>
        <v>0</v>
      </c>
      <c r="AG878" s="294">
        <f>IF(NFI_Expiration=1,IF($A878&lt;VLOOKUP(P$5,NFI,5,0),1,0)*Table_NFI[[#This Row],[Plastic Bucket]],Table_NFI[Plastic Bucket])</f>
        <v>0</v>
      </c>
      <c r="AH878" s="294">
        <f>IF(NFI_Expiration=1,IF($A878&lt;VLOOKUP(Q$5,NFI,5,0),1,0)*Table_NFI[[#This Row],[Plastic Mat]],Table_NFI[Plastic Mat])*IF(Table_NFI[[#This Row],[Distribution Date]]&gt;"2014-04-01",1,2.5)</f>
        <v>0</v>
      </c>
      <c r="AI878" s="294">
        <f>IF(NFI_Expiration=1,IF($A878&lt;VLOOKUP(R$5,NFI,5,0),1,0)*Table_NFI[[#This Row],[Winter Clothes Adult]],Table_NFI[Winter Clothes Adult])</f>
        <v>0</v>
      </c>
      <c r="AJ878" s="294">
        <f>IF(NFI_Expiration=1,IF($A878&lt;VLOOKUP(S$5,NFI,5,0),1,0)*Table_NFI[[#This Row],[Winter Clothes Children]],Table_NFI[Winter Clothes Children])</f>
        <v>0</v>
      </c>
      <c r="AK878" s="294">
        <f>IF(NFI_Expiration=1,IF($A878&lt;VLOOKUP(T$5,NFI,5,0),1,0)*Table_NFI[[#This Row],[Winter Items Other]],Table_NFI[Winter Items Other])</f>
        <v>0</v>
      </c>
      <c r="AL878" s="294">
        <f>IF(NFI_Expiration=1,IF($A878&lt;VLOOKUP(M$5,NFI,5,0),1,0)*Table_NFI[[#This Row],[Winter Blanket]],Table_NFI[[#This Row],[Winter Blanket]])</f>
        <v>0</v>
      </c>
      <c r="AM878" s="294">
        <f>IF(Table_NFI[[#This Row],[Winter Clothes Adult]]+Table_NFI[[#This Row],[Winter Clothes Children]]+Table_NFI[[#This Row],[Winter Items Other]]+Table_NFI[[#This Row],[Winter Blanket]]&gt;0,1,0)</f>
        <v>0</v>
      </c>
      <c r="AN878" s="331">
        <f>IF(NFI_Expiration=1,IF($A878&lt;VLOOKUP(V$5,NFI,5,0),1,0)*Table_NFI[[#This Row],[Jerry Can]],Table_NFI[Jerry Can])</f>
        <v>0</v>
      </c>
      <c r="AO878" s="331">
        <f>IF(NFI_Expiration=1,IF($A878&lt;VLOOKUP(V$5,NFI,5,0),1,0)*Table_NFI[[#This Row],[Shelter Tool kit]],Table_NFI[Shelter Tool kit])</f>
        <v>0</v>
      </c>
      <c r="AP878" s="331">
        <f>IF(NFI_Expiration=1,IF($A878&lt;VLOOKUP(V$5,NFI,5,0),1,0)*Table_NFI[[#This Row],[Tent]],Table_NFI[Tent])</f>
        <v>0</v>
      </c>
      <c r="AQ878" s="473" t="str">
        <f>IFERROR(VLOOKUP(Table_NFI[[#This Row],[Camp Name]],CL,2,0),"")</f>
        <v>MMR001CMP062</v>
      </c>
      <c r="AR878" s="468">
        <f ca="1">IF(Table_NFI[[#This Row],[Pcode]]="","",IF(OFFSET(CampList[Opening Date],MATCH(Table_NFI[[#This Row],[Pcode]],CampList[CP_Pcode],0)-1,0,1,1)&gt;=NFI_Monitor_Date,1,0))</f>
        <v>0</v>
      </c>
      <c r="AS878" s="473" t="str">
        <f>IFERROR(VLOOKUP(Table_NFI[[#This Row],[Camp Name]],CL,3,0),"")</f>
        <v>Open</v>
      </c>
      <c r="AT878" s="294" t="str">
        <f ca="1">IF(Table_NFI[[#This Row],[Pcode]]="","",OFFSET(CampList[Priority],MATCH(Table_NFI[[#This Row],[Pcode]],CampList[CP_Pcode],0)-1,0,1,1))</f>
        <v>P4</v>
      </c>
      <c r="AU878" s="293">
        <f>IFERROR(Table_NFI[[#This Row],[Kitchen Set]]/VLOOKUP(Table_NFI[[#This Row],[Camp Name]],CL,4,0),"")</f>
        <v>0.1634980988593156</v>
      </c>
      <c r="AV878" s="466" t="s">
        <v>1092</v>
      </c>
      <c r="AW878" s="469"/>
    </row>
    <row r="879" spans="1:49" x14ac:dyDescent="0.25">
      <c r="A879" s="297">
        <f t="shared" si="13"/>
        <v>50.2</v>
      </c>
      <c r="B879" s="465">
        <v>41169</v>
      </c>
      <c r="C879" s="466" t="s">
        <v>452</v>
      </c>
      <c r="D879" s="466" t="s">
        <v>452</v>
      </c>
      <c r="E879" s="466" t="s">
        <v>380</v>
      </c>
      <c r="F879" s="290" t="s">
        <v>185</v>
      </c>
      <c r="G879" s="290" t="s">
        <v>211</v>
      </c>
      <c r="H879" s="291"/>
      <c r="I879" s="291"/>
      <c r="J879" s="291"/>
      <c r="K879" s="291">
        <v>86</v>
      </c>
      <c r="L879" s="294">
        <v>43</v>
      </c>
      <c r="M879" s="294">
        <v>86</v>
      </c>
      <c r="N879" s="294">
        <v>43</v>
      </c>
      <c r="O879" s="294">
        <v>43</v>
      </c>
      <c r="P879" s="294">
        <v>43</v>
      </c>
      <c r="Q879" s="294">
        <v>43</v>
      </c>
      <c r="R879" s="294"/>
      <c r="S879" s="294"/>
      <c r="T879" s="294"/>
      <c r="U879" s="294"/>
      <c r="V879" s="431"/>
      <c r="W879" s="331"/>
      <c r="X879" s="331"/>
      <c r="Y879" s="294">
        <f>IF(NFI_Expiration=1,IF($A879&lt;VLOOKUP(H$5,NFI,5,0),1,0)*Table_NFI[[#This Row],[Hygiene Kit]],Table_NFI[Hygiene Kit])</f>
        <v>0</v>
      </c>
      <c r="Z879" s="294">
        <f>IF(NFI_Expiration=1,IF($A879&lt;VLOOKUP(I$5,NFI,5,0),1,0)*Table_NFI[[#This Row],[NFI Core Kit]],Table_NFI[NFI Core Kit])</f>
        <v>0</v>
      </c>
      <c r="AA879" s="294">
        <f>IF(NFI_Expiration=1,IF($A879&lt;VLOOKUP(J$5,NFI,5,0),1,0)*Table_NFI[[#This Row],[Sanitary Kit]],Table_NFI[Sanitary Kit])</f>
        <v>0</v>
      </c>
      <c r="AB879" s="294">
        <f>IF(NFI_Expiration=1,IF($A879&lt;VLOOKUP(K$5,NFI,5,0),1,0)*Table_NFI[[#This Row],[Mosquito net]],Table_NFI[Mosquito net])</f>
        <v>0</v>
      </c>
      <c r="AC879" s="294">
        <f>IF(NFI_Expiration=1,IF($A879&lt;VLOOKUP(L$5,NFI,5,0),1,0)*Table_NFI[[#This Row],[Tarpaulin]],Table_NFI[[#This Row],[Tarpaulin]])</f>
        <v>0</v>
      </c>
      <c r="AD879" s="294">
        <f>IF(NFI_Expiration=1,IF($A879&lt;VLOOKUP(M$5,NFI,5,0),1,0)*Table_NFI[[#This Row],[Blanket]],Table_NFI[[#This Row],[Blanket]])</f>
        <v>0</v>
      </c>
      <c r="AE879" s="294">
        <f>IF(NFI_Expiration=1,IF($A879&lt;VLOOKUP(N$5,NFI,5,0),1,0)*Table_NFI[[#This Row],[Kitchen Set]],Table_NFI[Kitchen Set])</f>
        <v>0</v>
      </c>
      <c r="AF879" s="294">
        <f>IF(NFI_Expiration=1,IF($A879&lt;VLOOKUP(O$5,NFI,5,0),1,0)*Table_NFI[[#This Row],[Clothes Kit]],Table_NFI[Clothes Kit])</f>
        <v>0</v>
      </c>
      <c r="AG879" s="294">
        <f>IF(NFI_Expiration=1,IF($A879&lt;VLOOKUP(P$5,NFI,5,0),1,0)*Table_NFI[[#This Row],[Plastic Bucket]],Table_NFI[Plastic Bucket])</f>
        <v>0</v>
      </c>
      <c r="AH879" s="294">
        <f>IF(NFI_Expiration=1,IF($A879&lt;VLOOKUP(Q$5,NFI,5,0),1,0)*Table_NFI[[#This Row],[Plastic Mat]],Table_NFI[Plastic Mat])*IF(Table_NFI[[#This Row],[Distribution Date]]&gt;"2014-04-01",1,2.5)</f>
        <v>0</v>
      </c>
      <c r="AI879" s="294">
        <f>IF(NFI_Expiration=1,IF($A879&lt;VLOOKUP(R$5,NFI,5,0),1,0)*Table_NFI[[#This Row],[Winter Clothes Adult]],Table_NFI[Winter Clothes Adult])</f>
        <v>0</v>
      </c>
      <c r="AJ879" s="294">
        <f>IF(NFI_Expiration=1,IF($A879&lt;VLOOKUP(S$5,NFI,5,0),1,0)*Table_NFI[[#This Row],[Winter Clothes Children]],Table_NFI[Winter Clothes Children])</f>
        <v>0</v>
      </c>
      <c r="AK879" s="294">
        <f>IF(NFI_Expiration=1,IF($A879&lt;VLOOKUP(T$5,NFI,5,0),1,0)*Table_NFI[[#This Row],[Winter Items Other]],Table_NFI[Winter Items Other])</f>
        <v>0</v>
      </c>
      <c r="AL879" s="294">
        <f>IF(NFI_Expiration=1,IF($A879&lt;VLOOKUP(M$5,NFI,5,0),1,0)*Table_NFI[[#This Row],[Winter Blanket]],Table_NFI[[#This Row],[Winter Blanket]])</f>
        <v>0</v>
      </c>
      <c r="AM879" s="294">
        <f>IF(Table_NFI[[#This Row],[Winter Clothes Adult]]+Table_NFI[[#This Row],[Winter Clothes Children]]+Table_NFI[[#This Row],[Winter Items Other]]+Table_NFI[[#This Row],[Winter Blanket]]&gt;0,1,0)</f>
        <v>0</v>
      </c>
      <c r="AN879" s="331">
        <f>IF(NFI_Expiration=1,IF($A879&lt;VLOOKUP(V$5,NFI,5,0),1,0)*Table_NFI[[#This Row],[Jerry Can]],Table_NFI[Jerry Can])</f>
        <v>0</v>
      </c>
      <c r="AO879" s="331">
        <f>IF(NFI_Expiration=1,IF($A879&lt;VLOOKUP(V$5,NFI,5,0),1,0)*Table_NFI[[#This Row],[Shelter Tool kit]],Table_NFI[Shelter Tool kit])</f>
        <v>0</v>
      </c>
      <c r="AP879" s="331">
        <f>IF(NFI_Expiration=1,IF($A879&lt;VLOOKUP(V$5,NFI,5,0),1,0)*Table_NFI[[#This Row],[Tent]],Table_NFI[Tent])</f>
        <v>0</v>
      </c>
      <c r="AQ879" s="473" t="str">
        <f>IFERROR(VLOOKUP(Table_NFI[[#This Row],[Camp Name]],CL,2,0),"")</f>
        <v>MMR001CMP057</v>
      </c>
      <c r="AR879" s="468">
        <f ca="1">IF(Table_NFI[[#This Row],[Pcode]]="","",IF(OFFSET(CampList[Opening Date],MATCH(Table_NFI[[#This Row],[Pcode]],CampList[CP_Pcode],0)-1,0,1,1)&gt;=NFI_Monitor_Date,1,0))</f>
        <v>0</v>
      </c>
      <c r="AS879" s="473" t="str">
        <f>IFERROR(VLOOKUP(Table_NFI[[#This Row],[Camp Name]],CL,3,0),"")</f>
        <v>Closed</v>
      </c>
      <c r="AT879" s="294" t="str">
        <f ca="1">IF(Table_NFI[[#This Row],[Pcode]]="","",OFFSET(CampList[Priority],MATCH(Table_NFI[[#This Row],[Pcode]],CampList[CP_Pcode],0)-1,0,1,1))</f>
        <v>P4</v>
      </c>
      <c r="AU879" s="293" t="str">
        <f>IFERROR(Table_NFI[[#This Row],[Kitchen Set]]/VLOOKUP(Table_NFI[[#This Row],[Camp Name]],CL,4,0),"")</f>
        <v/>
      </c>
      <c r="AV879" s="466" t="s">
        <v>1092</v>
      </c>
      <c r="AW879" s="469"/>
    </row>
    <row r="880" spans="1:49" x14ac:dyDescent="0.25">
      <c r="A880" s="297">
        <f t="shared" si="13"/>
        <v>50.3</v>
      </c>
      <c r="B880" s="465">
        <v>41166</v>
      </c>
      <c r="C880" s="466" t="s">
        <v>452</v>
      </c>
      <c r="D880" s="466" t="s">
        <v>452</v>
      </c>
      <c r="E880" s="466" t="s">
        <v>380</v>
      </c>
      <c r="F880" s="290" t="s">
        <v>310</v>
      </c>
      <c r="G880" s="290" t="s">
        <v>330</v>
      </c>
      <c r="H880" s="291"/>
      <c r="I880" s="291"/>
      <c r="J880" s="291"/>
      <c r="K880" s="291">
        <v>94</v>
      </c>
      <c r="L880" s="292">
        <v>48</v>
      </c>
      <c r="M880" s="292">
        <v>94</v>
      </c>
      <c r="N880" s="292">
        <v>48</v>
      </c>
      <c r="O880" s="292">
        <v>48</v>
      </c>
      <c r="P880" s="294">
        <v>48</v>
      </c>
      <c r="Q880" s="294">
        <v>48</v>
      </c>
      <c r="R880" s="294"/>
      <c r="S880" s="294"/>
      <c r="T880" s="294"/>
      <c r="U880" s="294"/>
      <c r="V880" s="622"/>
      <c r="W880" s="331"/>
      <c r="X880" s="331"/>
      <c r="Y880" s="294">
        <f>IF(NFI_Expiration=1,IF($A880&lt;VLOOKUP(H$5,NFI,5,0),1,0)*Table_NFI[[#This Row],[Hygiene Kit]],Table_NFI[Hygiene Kit])</f>
        <v>0</v>
      </c>
      <c r="Z880" s="294">
        <f>IF(NFI_Expiration=1,IF($A880&lt;VLOOKUP(I$5,NFI,5,0),1,0)*Table_NFI[[#This Row],[NFI Core Kit]],Table_NFI[NFI Core Kit])</f>
        <v>0</v>
      </c>
      <c r="AA880" s="294">
        <f>IF(NFI_Expiration=1,IF($A880&lt;VLOOKUP(J$5,NFI,5,0),1,0)*Table_NFI[[#This Row],[Sanitary Kit]],Table_NFI[Sanitary Kit])</f>
        <v>0</v>
      </c>
      <c r="AB880" s="294">
        <f>IF(NFI_Expiration=1,IF($A880&lt;VLOOKUP(K$5,NFI,5,0),1,0)*Table_NFI[[#This Row],[Mosquito net]],Table_NFI[Mosquito net])</f>
        <v>0</v>
      </c>
      <c r="AC880" s="294">
        <f>IF(NFI_Expiration=1,IF($A880&lt;VLOOKUP(L$5,NFI,5,0),1,0)*Table_NFI[[#This Row],[Tarpaulin]],Table_NFI[[#This Row],[Tarpaulin]])</f>
        <v>0</v>
      </c>
      <c r="AD880" s="294">
        <f>IF(NFI_Expiration=1,IF($A880&lt;VLOOKUP(M$5,NFI,5,0),1,0)*Table_NFI[[#This Row],[Blanket]],Table_NFI[[#This Row],[Blanket]])</f>
        <v>0</v>
      </c>
      <c r="AE880" s="294">
        <f>IF(NFI_Expiration=1,IF($A880&lt;VLOOKUP(N$5,NFI,5,0),1,0)*Table_NFI[[#This Row],[Kitchen Set]],Table_NFI[Kitchen Set])</f>
        <v>0</v>
      </c>
      <c r="AF880" s="294">
        <f>IF(NFI_Expiration=1,IF($A880&lt;VLOOKUP(O$5,NFI,5,0),1,0)*Table_NFI[[#This Row],[Clothes Kit]],Table_NFI[Clothes Kit])</f>
        <v>0</v>
      </c>
      <c r="AG880" s="294">
        <f>IF(NFI_Expiration=1,IF($A880&lt;VLOOKUP(P$5,NFI,5,0),1,0)*Table_NFI[[#This Row],[Plastic Bucket]],Table_NFI[Plastic Bucket])</f>
        <v>0</v>
      </c>
      <c r="AH880" s="294">
        <f>IF(NFI_Expiration=1,IF($A880&lt;VLOOKUP(Q$5,NFI,5,0),1,0)*Table_NFI[[#This Row],[Plastic Mat]],Table_NFI[Plastic Mat])*IF(Table_NFI[[#This Row],[Distribution Date]]&gt;"2014-04-01",1,2.5)</f>
        <v>0</v>
      </c>
      <c r="AI880" s="294">
        <f>IF(NFI_Expiration=1,IF($A880&lt;VLOOKUP(R$5,NFI,5,0),1,0)*Table_NFI[[#This Row],[Winter Clothes Adult]],Table_NFI[Winter Clothes Adult])</f>
        <v>0</v>
      </c>
      <c r="AJ880" s="294">
        <f>IF(NFI_Expiration=1,IF($A880&lt;VLOOKUP(S$5,NFI,5,0),1,0)*Table_NFI[[#This Row],[Winter Clothes Children]],Table_NFI[Winter Clothes Children])</f>
        <v>0</v>
      </c>
      <c r="AK880" s="294">
        <f>IF(NFI_Expiration=1,IF($A880&lt;VLOOKUP(T$5,NFI,5,0),1,0)*Table_NFI[[#This Row],[Winter Items Other]],Table_NFI[Winter Items Other])</f>
        <v>0</v>
      </c>
      <c r="AL880" s="294">
        <f>IF(NFI_Expiration=1,IF($A880&lt;VLOOKUP(M$5,NFI,5,0),1,0)*Table_NFI[[#This Row],[Winter Blanket]],Table_NFI[[#This Row],[Winter Blanket]])</f>
        <v>0</v>
      </c>
      <c r="AM880" s="294">
        <f>IF(Table_NFI[[#This Row],[Winter Clothes Adult]]+Table_NFI[[#This Row],[Winter Clothes Children]]+Table_NFI[[#This Row],[Winter Items Other]]+Table_NFI[[#This Row],[Winter Blanket]]&gt;0,1,0)</f>
        <v>0</v>
      </c>
      <c r="AN880" s="331">
        <f>IF(NFI_Expiration=1,IF($A880&lt;VLOOKUP(V$5,NFI,5,0),1,0)*Table_NFI[[#This Row],[Jerry Can]],Table_NFI[Jerry Can])</f>
        <v>0</v>
      </c>
      <c r="AO880" s="331">
        <f>IF(NFI_Expiration=1,IF($A880&lt;VLOOKUP(V$5,NFI,5,0),1,0)*Table_NFI[[#This Row],[Shelter Tool kit]],Table_NFI[Shelter Tool kit])</f>
        <v>0</v>
      </c>
      <c r="AP880" s="331">
        <f>IF(NFI_Expiration=1,IF($A880&lt;VLOOKUP(V$5,NFI,5,0),1,0)*Table_NFI[[#This Row],[Tent]],Table_NFI[Tent])</f>
        <v>0</v>
      </c>
      <c r="AQ880" s="473" t="str">
        <f>IFERROR(VLOOKUP(Table_NFI[[#This Row],[Camp Name]],CL,2,0),"")</f>
        <v>MMR001CMP029</v>
      </c>
      <c r="AR880" s="468">
        <f ca="1">IF(Table_NFI[[#This Row],[Pcode]]="","",IF(OFFSET(CampList[Opening Date],MATCH(Table_NFI[[#This Row],[Pcode]],CampList[CP_Pcode],0)-1,0,1,1)&gt;=NFI_Monitor_Date,1,0))</f>
        <v>0</v>
      </c>
      <c r="AS880" s="473" t="str">
        <f>IFERROR(VLOOKUP(Table_NFI[[#This Row],[Camp Name]],CL,3,0),"")</f>
        <v>Open</v>
      </c>
      <c r="AT880" s="294" t="str">
        <f ca="1">IF(Table_NFI[[#This Row],[Pcode]]="","",OFFSET(CampList[Priority],MATCH(Table_NFI[[#This Row],[Pcode]],CampList[CP_Pcode],0)-1,0,1,1))</f>
        <v>P4</v>
      </c>
      <c r="AU880" s="293">
        <f>IFERROR(Table_NFI[[#This Row],[Kitchen Set]]/VLOOKUP(Table_NFI[[#This Row],[Camp Name]],CL,4,0),"")</f>
        <v>0.21524663677130046</v>
      </c>
      <c r="AV880" s="466" t="s">
        <v>1092</v>
      </c>
      <c r="AW880" s="469"/>
    </row>
    <row r="881" spans="1:49" ht="15" customHeight="1" x14ac:dyDescent="0.25">
      <c r="A881" s="297">
        <f t="shared" si="13"/>
        <v>50.3</v>
      </c>
      <c r="B881" s="465">
        <v>41166</v>
      </c>
      <c r="C881" s="466" t="s">
        <v>452</v>
      </c>
      <c r="D881" s="466" t="s">
        <v>452</v>
      </c>
      <c r="E881" s="466" t="s">
        <v>380</v>
      </c>
      <c r="F881" s="466" t="s">
        <v>310</v>
      </c>
      <c r="G881" s="290" t="s">
        <v>316</v>
      </c>
      <c r="H881" s="291"/>
      <c r="I881" s="291"/>
      <c r="J881" s="291"/>
      <c r="K881" s="291">
        <v>14</v>
      </c>
      <c r="L881" s="292">
        <v>8</v>
      </c>
      <c r="M881" s="292">
        <v>14</v>
      </c>
      <c r="N881" s="292">
        <v>8</v>
      </c>
      <c r="O881" s="292">
        <v>8</v>
      </c>
      <c r="P881" s="294">
        <v>8</v>
      </c>
      <c r="Q881" s="294">
        <v>8</v>
      </c>
      <c r="R881" s="294"/>
      <c r="S881" s="294"/>
      <c r="T881" s="294"/>
      <c r="U881" s="294"/>
      <c r="V881" s="431"/>
      <c r="W881" s="331"/>
      <c r="X881" s="331"/>
      <c r="Y881" s="294">
        <f>IF(NFI_Expiration=1,IF($A881&lt;VLOOKUP(H$5,NFI,5,0),1,0)*Table_NFI[[#This Row],[Hygiene Kit]],Table_NFI[Hygiene Kit])</f>
        <v>0</v>
      </c>
      <c r="Z881" s="294">
        <f>IF(NFI_Expiration=1,IF($A881&lt;VLOOKUP(I$5,NFI,5,0),1,0)*Table_NFI[[#This Row],[NFI Core Kit]],Table_NFI[NFI Core Kit])</f>
        <v>0</v>
      </c>
      <c r="AA881" s="294">
        <f>IF(NFI_Expiration=1,IF($A881&lt;VLOOKUP(J$5,NFI,5,0),1,0)*Table_NFI[[#This Row],[Sanitary Kit]],Table_NFI[Sanitary Kit])</f>
        <v>0</v>
      </c>
      <c r="AB881" s="294">
        <f>IF(NFI_Expiration=1,IF($A881&lt;VLOOKUP(K$5,NFI,5,0),1,0)*Table_NFI[[#This Row],[Mosquito net]],Table_NFI[Mosquito net])</f>
        <v>0</v>
      </c>
      <c r="AC881" s="294">
        <f>IF(NFI_Expiration=1,IF($A881&lt;VLOOKUP(L$5,NFI,5,0),1,0)*Table_NFI[[#This Row],[Tarpaulin]],Table_NFI[[#This Row],[Tarpaulin]])</f>
        <v>0</v>
      </c>
      <c r="AD881" s="294">
        <f>IF(NFI_Expiration=1,IF($A881&lt;VLOOKUP(M$5,NFI,5,0),1,0)*Table_NFI[[#This Row],[Blanket]],Table_NFI[[#This Row],[Blanket]])</f>
        <v>0</v>
      </c>
      <c r="AE881" s="294">
        <f>IF(NFI_Expiration=1,IF($A881&lt;VLOOKUP(N$5,NFI,5,0),1,0)*Table_NFI[[#This Row],[Kitchen Set]],Table_NFI[Kitchen Set])</f>
        <v>0</v>
      </c>
      <c r="AF881" s="294">
        <f>IF(NFI_Expiration=1,IF($A881&lt;VLOOKUP(O$5,NFI,5,0),1,0)*Table_NFI[[#This Row],[Clothes Kit]],Table_NFI[Clothes Kit])</f>
        <v>0</v>
      </c>
      <c r="AG881" s="294">
        <f>IF(NFI_Expiration=1,IF($A881&lt;VLOOKUP(P$5,NFI,5,0),1,0)*Table_NFI[[#This Row],[Plastic Bucket]],Table_NFI[Plastic Bucket])</f>
        <v>0</v>
      </c>
      <c r="AH881" s="294">
        <f>IF(NFI_Expiration=1,IF($A881&lt;VLOOKUP(Q$5,NFI,5,0),1,0)*Table_NFI[[#This Row],[Plastic Mat]],Table_NFI[Plastic Mat])*IF(Table_NFI[[#This Row],[Distribution Date]]&gt;"2014-04-01",1,2.5)</f>
        <v>0</v>
      </c>
      <c r="AI881" s="294">
        <f>IF(NFI_Expiration=1,IF($A881&lt;VLOOKUP(R$5,NFI,5,0),1,0)*Table_NFI[[#This Row],[Winter Clothes Adult]],Table_NFI[Winter Clothes Adult])</f>
        <v>0</v>
      </c>
      <c r="AJ881" s="294">
        <f>IF(NFI_Expiration=1,IF($A881&lt;VLOOKUP(S$5,NFI,5,0),1,0)*Table_NFI[[#This Row],[Winter Clothes Children]],Table_NFI[Winter Clothes Children])</f>
        <v>0</v>
      </c>
      <c r="AK881" s="294">
        <f>IF(NFI_Expiration=1,IF($A881&lt;VLOOKUP(T$5,NFI,5,0),1,0)*Table_NFI[[#This Row],[Winter Items Other]],Table_NFI[Winter Items Other])</f>
        <v>0</v>
      </c>
      <c r="AL881" s="294">
        <f>IF(NFI_Expiration=1,IF($A881&lt;VLOOKUP(M$5,NFI,5,0),1,0)*Table_NFI[[#This Row],[Winter Blanket]],Table_NFI[[#This Row],[Winter Blanket]])</f>
        <v>0</v>
      </c>
      <c r="AM881" s="294">
        <f>IF(Table_NFI[[#This Row],[Winter Clothes Adult]]+Table_NFI[[#This Row],[Winter Clothes Children]]+Table_NFI[[#This Row],[Winter Items Other]]+Table_NFI[[#This Row],[Winter Blanket]]&gt;0,1,0)</f>
        <v>0</v>
      </c>
      <c r="AN881" s="331">
        <f>IF(NFI_Expiration=1,IF($A881&lt;VLOOKUP(V$5,NFI,5,0),1,0)*Table_NFI[[#This Row],[Jerry Can]],Table_NFI[Jerry Can])</f>
        <v>0</v>
      </c>
      <c r="AO881" s="331">
        <f>IF(NFI_Expiration=1,IF($A881&lt;VLOOKUP(V$5,NFI,5,0),1,0)*Table_NFI[[#This Row],[Shelter Tool kit]],Table_NFI[Shelter Tool kit])</f>
        <v>0</v>
      </c>
      <c r="AP881" s="331">
        <f>IF(NFI_Expiration=1,IF($A881&lt;VLOOKUP(V$5,NFI,5,0),1,0)*Table_NFI[[#This Row],[Tent]],Table_NFI[Tent])</f>
        <v>0</v>
      </c>
      <c r="AQ881" s="473" t="str">
        <f>IFERROR(VLOOKUP(Table_NFI[[#This Row],[Camp Name]],CL,2,0),"")</f>
        <v>MMR001CMP038</v>
      </c>
      <c r="AR881" s="468">
        <f ca="1">IF(Table_NFI[[#This Row],[Pcode]]="","",IF(OFFSET(CampList[Opening Date],MATCH(Table_NFI[[#This Row],[Pcode]],CampList[CP_Pcode],0)-1,0,1,1)&gt;=NFI_Monitor_Date,1,0))</f>
        <v>0</v>
      </c>
      <c r="AS881" s="473" t="str">
        <f>IFERROR(VLOOKUP(Table_NFI[[#This Row],[Camp Name]],CL,3,0),"")</f>
        <v>Open</v>
      </c>
      <c r="AT881" s="294" t="str">
        <f ca="1">IF(Table_NFI[[#This Row],[Pcode]]="","",OFFSET(CampList[Priority],MATCH(Table_NFI[[#This Row],[Pcode]],CampList[CP_Pcode],0)-1,0,1,1))</f>
        <v>P4</v>
      </c>
      <c r="AU881" s="293">
        <f>IFERROR(Table_NFI[[#This Row],[Kitchen Set]]/VLOOKUP(Table_NFI[[#This Row],[Camp Name]],CL,4,0),"")</f>
        <v>0.11428571428571428</v>
      </c>
      <c r="AV881" s="466" t="s">
        <v>1092</v>
      </c>
      <c r="AW881" s="469"/>
    </row>
    <row r="882" spans="1:49" x14ac:dyDescent="0.25">
      <c r="A882" s="297">
        <f t="shared" si="13"/>
        <v>50.43333333333333</v>
      </c>
      <c r="B882" s="465">
        <v>41162</v>
      </c>
      <c r="C882" s="466" t="s">
        <v>452</v>
      </c>
      <c r="D882" s="467" t="s">
        <v>452</v>
      </c>
      <c r="E882" s="466" t="s">
        <v>380</v>
      </c>
      <c r="F882" s="290" t="s">
        <v>237</v>
      </c>
      <c r="G882" s="290" t="s">
        <v>267</v>
      </c>
      <c r="H882" s="291"/>
      <c r="I882" s="291"/>
      <c r="J882" s="291"/>
      <c r="K882" s="291">
        <v>10</v>
      </c>
      <c r="L882" s="292">
        <v>6</v>
      </c>
      <c r="M882" s="292">
        <v>10</v>
      </c>
      <c r="N882" s="292">
        <v>6</v>
      </c>
      <c r="O882" s="292">
        <v>6</v>
      </c>
      <c r="P882" s="294">
        <v>6</v>
      </c>
      <c r="Q882" s="294">
        <v>6</v>
      </c>
      <c r="R882" s="294"/>
      <c r="S882" s="294"/>
      <c r="T882" s="294"/>
      <c r="U882" s="294"/>
      <c r="V882" s="431"/>
      <c r="W882" s="331"/>
      <c r="X882" s="331"/>
      <c r="Y882" s="294">
        <f>IF(NFI_Expiration=1,IF($A882&lt;VLOOKUP(H$5,NFI,5,0),1,0)*Table_NFI[[#This Row],[Hygiene Kit]],Table_NFI[Hygiene Kit])</f>
        <v>0</v>
      </c>
      <c r="Z882" s="294">
        <f>IF(NFI_Expiration=1,IF($A882&lt;VLOOKUP(I$5,NFI,5,0),1,0)*Table_NFI[[#This Row],[NFI Core Kit]],Table_NFI[NFI Core Kit])</f>
        <v>0</v>
      </c>
      <c r="AA882" s="294">
        <f>IF(NFI_Expiration=1,IF($A882&lt;VLOOKUP(J$5,NFI,5,0),1,0)*Table_NFI[[#This Row],[Sanitary Kit]],Table_NFI[Sanitary Kit])</f>
        <v>0</v>
      </c>
      <c r="AB882" s="294">
        <f>IF(NFI_Expiration=1,IF($A882&lt;VLOOKUP(K$5,NFI,5,0),1,0)*Table_NFI[[#This Row],[Mosquito net]],Table_NFI[Mosquito net])</f>
        <v>0</v>
      </c>
      <c r="AC882" s="294">
        <f>IF(NFI_Expiration=1,IF($A882&lt;VLOOKUP(L$5,NFI,5,0),1,0)*Table_NFI[[#This Row],[Tarpaulin]],Table_NFI[[#This Row],[Tarpaulin]])</f>
        <v>0</v>
      </c>
      <c r="AD882" s="294">
        <f>IF(NFI_Expiration=1,IF($A882&lt;VLOOKUP(M$5,NFI,5,0),1,0)*Table_NFI[[#This Row],[Blanket]],Table_NFI[[#This Row],[Blanket]])</f>
        <v>0</v>
      </c>
      <c r="AE882" s="294">
        <f>IF(NFI_Expiration=1,IF($A882&lt;VLOOKUP(N$5,NFI,5,0),1,0)*Table_NFI[[#This Row],[Kitchen Set]],Table_NFI[Kitchen Set])</f>
        <v>0</v>
      </c>
      <c r="AF882" s="294">
        <f>IF(NFI_Expiration=1,IF($A882&lt;VLOOKUP(O$5,NFI,5,0),1,0)*Table_NFI[[#This Row],[Clothes Kit]],Table_NFI[Clothes Kit])</f>
        <v>0</v>
      </c>
      <c r="AG882" s="294">
        <f>IF(NFI_Expiration=1,IF($A882&lt;VLOOKUP(P$5,NFI,5,0),1,0)*Table_NFI[[#This Row],[Plastic Bucket]],Table_NFI[Plastic Bucket])</f>
        <v>0</v>
      </c>
      <c r="AH882" s="294">
        <f>IF(NFI_Expiration=1,IF($A882&lt;VLOOKUP(Q$5,NFI,5,0),1,0)*Table_NFI[[#This Row],[Plastic Mat]],Table_NFI[Plastic Mat])*IF(Table_NFI[[#This Row],[Distribution Date]]&gt;"2014-04-01",1,2.5)</f>
        <v>0</v>
      </c>
      <c r="AI882" s="294">
        <f>IF(NFI_Expiration=1,IF($A882&lt;VLOOKUP(R$5,NFI,5,0),1,0)*Table_NFI[[#This Row],[Winter Clothes Adult]],Table_NFI[Winter Clothes Adult])</f>
        <v>0</v>
      </c>
      <c r="AJ882" s="294">
        <f>IF(NFI_Expiration=1,IF($A882&lt;VLOOKUP(S$5,NFI,5,0),1,0)*Table_NFI[[#This Row],[Winter Clothes Children]],Table_NFI[Winter Clothes Children])</f>
        <v>0</v>
      </c>
      <c r="AK882" s="294">
        <f>IF(NFI_Expiration=1,IF($A882&lt;VLOOKUP(T$5,NFI,5,0),1,0)*Table_NFI[[#This Row],[Winter Items Other]],Table_NFI[Winter Items Other])</f>
        <v>0</v>
      </c>
      <c r="AL882" s="294">
        <f>IF(NFI_Expiration=1,IF($A882&lt;VLOOKUP(M$5,NFI,5,0),1,0)*Table_NFI[[#This Row],[Winter Blanket]],Table_NFI[[#This Row],[Winter Blanket]])</f>
        <v>0</v>
      </c>
      <c r="AM882" s="294">
        <f>IF(Table_NFI[[#This Row],[Winter Clothes Adult]]+Table_NFI[[#This Row],[Winter Clothes Children]]+Table_NFI[[#This Row],[Winter Items Other]]+Table_NFI[[#This Row],[Winter Blanket]]&gt;0,1,0)</f>
        <v>0</v>
      </c>
      <c r="AN882" s="331">
        <f>IF(NFI_Expiration=1,IF($A882&lt;VLOOKUP(V$5,NFI,5,0),1,0)*Table_NFI[[#This Row],[Jerry Can]],Table_NFI[Jerry Can])</f>
        <v>0</v>
      </c>
      <c r="AO882" s="331">
        <f>IF(NFI_Expiration=1,IF($A882&lt;VLOOKUP(V$5,NFI,5,0),1,0)*Table_NFI[[#This Row],[Shelter Tool kit]],Table_NFI[Shelter Tool kit])</f>
        <v>0</v>
      </c>
      <c r="AP882" s="331">
        <f>IF(NFI_Expiration=1,IF($A882&lt;VLOOKUP(V$5,NFI,5,0),1,0)*Table_NFI[[#This Row],[Tent]],Table_NFI[Tent])</f>
        <v>0</v>
      </c>
      <c r="AQ882" s="473" t="str">
        <f>IFERROR(VLOOKUP(Table_NFI[[#This Row],[Camp Name]],CL,2,0),"")</f>
        <v>MMR001CMP017</v>
      </c>
      <c r="AR882" s="468">
        <f ca="1">IF(Table_NFI[[#This Row],[Pcode]]="","",IF(OFFSET(CampList[Opening Date],MATCH(Table_NFI[[#This Row],[Pcode]],CampList[CP_Pcode],0)-1,0,1,1)&gt;=NFI_Monitor_Date,1,0))</f>
        <v>0</v>
      </c>
      <c r="AS882" s="473" t="str">
        <f>IFERROR(VLOOKUP(Table_NFI[[#This Row],[Camp Name]],CL,3,0),"")</f>
        <v>Closed</v>
      </c>
      <c r="AT882" s="294" t="str">
        <f ca="1">IF(Table_NFI[[#This Row],[Pcode]]="","",OFFSET(CampList[Priority],MATCH(Table_NFI[[#This Row],[Pcode]],CampList[CP_Pcode],0)-1,0,1,1))</f>
        <v>P4</v>
      </c>
      <c r="AU882" s="293" t="str">
        <f>IFERROR(Table_NFI[[#This Row],[Kitchen Set]]/VLOOKUP(Table_NFI[[#This Row],[Camp Name]],CL,4,0),"")</f>
        <v/>
      </c>
      <c r="AV882" s="466" t="s">
        <v>1092</v>
      </c>
      <c r="AW882" s="469"/>
    </row>
    <row r="883" spans="1:49" x14ac:dyDescent="0.25">
      <c r="A883" s="297">
        <f t="shared" si="13"/>
        <v>50.6</v>
      </c>
      <c r="B883" s="465">
        <v>41157</v>
      </c>
      <c r="C883" s="466" t="s">
        <v>452</v>
      </c>
      <c r="D883" s="466" t="s">
        <v>452</v>
      </c>
      <c r="E883" s="466" t="s">
        <v>380</v>
      </c>
      <c r="F883" s="290" t="s">
        <v>185</v>
      </c>
      <c r="G883" s="290" t="s">
        <v>186</v>
      </c>
      <c r="H883" s="291"/>
      <c r="I883" s="291"/>
      <c r="J883" s="291"/>
      <c r="K883" s="291">
        <v>40</v>
      </c>
      <c r="L883" s="292">
        <v>17</v>
      </c>
      <c r="M883" s="292">
        <v>40</v>
      </c>
      <c r="N883" s="292">
        <v>17</v>
      </c>
      <c r="O883" s="292">
        <v>17</v>
      </c>
      <c r="P883" s="294">
        <v>17</v>
      </c>
      <c r="Q883" s="294">
        <v>17</v>
      </c>
      <c r="R883" s="294"/>
      <c r="S883" s="294"/>
      <c r="T883" s="294"/>
      <c r="U883" s="294"/>
      <c r="V883" s="431"/>
      <c r="W883" s="294"/>
      <c r="X883" s="294"/>
      <c r="Y883" s="294">
        <f>IF(NFI_Expiration=1,IF($A883&lt;VLOOKUP(H$5,NFI,5,0),1,0)*Table_NFI[[#This Row],[Hygiene Kit]],Table_NFI[Hygiene Kit])</f>
        <v>0</v>
      </c>
      <c r="Z883" s="294">
        <f>IF(NFI_Expiration=1,IF($A883&lt;VLOOKUP(I$5,NFI,5,0),1,0)*Table_NFI[[#This Row],[NFI Core Kit]],Table_NFI[NFI Core Kit])</f>
        <v>0</v>
      </c>
      <c r="AA883" s="294">
        <f>IF(NFI_Expiration=1,IF($A883&lt;VLOOKUP(J$5,NFI,5,0),1,0)*Table_NFI[[#This Row],[Sanitary Kit]],Table_NFI[Sanitary Kit])</f>
        <v>0</v>
      </c>
      <c r="AB883" s="294">
        <f>IF(NFI_Expiration=1,IF($A883&lt;VLOOKUP(K$5,NFI,5,0),1,0)*Table_NFI[[#This Row],[Mosquito net]],Table_NFI[Mosquito net])</f>
        <v>0</v>
      </c>
      <c r="AC883" s="294">
        <f>IF(NFI_Expiration=1,IF($A883&lt;VLOOKUP(L$5,NFI,5,0),1,0)*Table_NFI[[#This Row],[Tarpaulin]],Table_NFI[[#This Row],[Tarpaulin]])</f>
        <v>0</v>
      </c>
      <c r="AD883" s="294">
        <f>IF(NFI_Expiration=1,IF($A883&lt;VLOOKUP(M$5,NFI,5,0),1,0)*Table_NFI[[#This Row],[Blanket]],Table_NFI[[#This Row],[Blanket]])</f>
        <v>0</v>
      </c>
      <c r="AE883" s="294">
        <f>IF(NFI_Expiration=1,IF($A883&lt;VLOOKUP(N$5,NFI,5,0),1,0)*Table_NFI[[#This Row],[Kitchen Set]],Table_NFI[Kitchen Set])</f>
        <v>0</v>
      </c>
      <c r="AF883" s="294">
        <f>IF(NFI_Expiration=1,IF($A883&lt;VLOOKUP(O$5,NFI,5,0),1,0)*Table_NFI[[#This Row],[Clothes Kit]],Table_NFI[Clothes Kit])</f>
        <v>0</v>
      </c>
      <c r="AG883" s="294">
        <f>IF(NFI_Expiration=1,IF($A883&lt;VLOOKUP(P$5,NFI,5,0),1,0)*Table_NFI[[#This Row],[Plastic Bucket]],Table_NFI[Plastic Bucket])</f>
        <v>0</v>
      </c>
      <c r="AH883" s="294">
        <f>IF(NFI_Expiration=1,IF($A883&lt;VLOOKUP(Q$5,NFI,5,0),1,0)*Table_NFI[[#This Row],[Plastic Mat]],Table_NFI[Plastic Mat])*IF(Table_NFI[[#This Row],[Distribution Date]]&gt;"2014-04-01",1,2.5)</f>
        <v>0</v>
      </c>
      <c r="AI883" s="294">
        <f>IF(NFI_Expiration=1,IF($A883&lt;VLOOKUP(R$5,NFI,5,0),1,0)*Table_NFI[[#This Row],[Winter Clothes Adult]],Table_NFI[Winter Clothes Adult])</f>
        <v>0</v>
      </c>
      <c r="AJ883" s="294">
        <f>IF(NFI_Expiration=1,IF($A883&lt;VLOOKUP(S$5,NFI,5,0),1,0)*Table_NFI[[#This Row],[Winter Clothes Children]],Table_NFI[Winter Clothes Children])</f>
        <v>0</v>
      </c>
      <c r="AK883" s="294">
        <f>IF(NFI_Expiration=1,IF($A883&lt;VLOOKUP(T$5,NFI,5,0),1,0)*Table_NFI[[#This Row],[Winter Items Other]],Table_NFI[Winter Items Other])</f>
        <v>0</v>
      </c>
      <c r="AL883" s="294">
        <f>IF(NFI_Expiration=1,IF($A883&lt;VLOOKUP(M$5,NFI,5,0),1,0)*Table_NFI[[#This Row],[Winter Blanket]],Table_NFI[[#This Row],[Winter Blanket]])</f>
        <v>0</v>
      </c>
      <c r="AM883" s="294">
        <f>IF(Table_NFI[[#This Row],[Winter Clothes Adult]]+Table_NFI[[#This Row],[Winter Clothes Children]]+Table_NFI[[#This Row],[Winter Items Other]]+Table_NFI[[#This Row],[Winter Blanket]]&gt;0,1,0)</f>
        <v>0</v>
      </c>
      <c r="AN883" s="331">
        <f>IF(NFI_Expiration=1,IF($A883&lt;VLOOKUP(V$5,NFI,5,0),1,0)*Table_NFI[[#This Row],[Jerry Can]],Table_NFI[Jerry Can])</f>
        <v>0</v>
      </c>
      <c r="AO883" s="331">
        <f>IF(NFI_Expiration=1,IF($A883&lt;VLOOKUP(V$5,NFI,5,0),1,0)*Table_NFI[[#This Row],[Shelter Tool kit]],Table_NFI[Shelter Tool kit])</f>
        <v>0</v>
      </c>
      <c r="AP883" s="331">
        <f>IF(NFI_Expiration=1,IF($A883&lt;VLOOKUP(V$5,NFI,5,0),1,0)*Table_NFI[[#This Row],[Tent]],Table_NFI[Tent])</f>
        <v>0</v>
      </c>
      <c r="AQ883" s="473" t="str">
        <f>IFERROR(VLOOKUP(Table_NFI[[#This Row],[Camp Name]],CL,2,0),"")</f>
        <v>MMR001CMP071</v>
      </c>
      <c r="AR883" s="468">
        <f ca="1">IF(Table_NFI[[#This Row],[Pcode]]="","",IF(OFFSET(CampList[Opening Date],MATCH(Table_NFI[[#This Row],[Pcode]],CampList[CP_Pcode],0)-1,0,1,1)&gt;=NFI_Monitor_Date,1,0))</f>
        <v>0</v>
      </c>
      <c r="AS883" s="473" t="str">
        <f>IFERROR(VLOOKUP(Table_NFI[[#This Row],[Camp Name]],CL,3,0),"")</f>
        <v>Open</v>
      </c>
      <c r="AT883" s="294" t="str">
        <f ca="1">IF(Table_NFI[[#This Row],[Pcode]]="","",OFFSET(CampList[Priority],MATCH(Table_NFI[[#This Row],[Pcode]],CampList[CP_Pcode],0)-1,0,1,1))</f>
        <v>P3</v>
      </c>
      <c r="AU883" s="293">
        <f>IFERROR(Table_NFI[[#This Row],[Kitchen Set]]/VLOOKUP(Table_NFI[[#This Row],[Camp Name]],CL,4,0),"")</f>
        <v>0.4358974358974359</v>
      </c>
      <c r="AV883" s="466" t="s">
        <v>1092</v>
      </c>
      <c r="AW883" s="469"/>
    </row>
    <row r="884" spans="1:49" ht="14.45" customHeight="1" x14ac:dyDescent="0.25">
      <c r="A884" s="297">
        <f t="shared" si="13"/>
        <v>50.6</v>
      </c>
      <c r="B884" s="465">
        <v>41157</v>
      </c>
      <c r="C884" s="466" t="s">
        <v>452</v>
      </c>
      <c r="D884" s="467" t="s">
        <v>452</v>
      </c>
      <c r="E884" s="466" t="s">
        <v>380</v>
      </c>
      <c r="F884" s="290" t="s">
        <v>185</v>
      </c>
      <c r="G884" s="290" t="s">
        <v>223</v>
      </c>
      <c r="H884" s="291"/>
      <c r="I884" s="291"/>
      <c r="J884" s="291"/>
      <c r="K884" s="291">
        <v>21</v>
      </c>
      <c r="L884" s="292">
        <v>10</v>
      </c>
      <c r="M884" s="292">
        <v>21</v>
      </c>
      <c r="N884" s="292">
        <v>10</v>
      </c>
      <c r="O884" s="292">
        <v>10</v>
      </c>
      <c r="P884" s="294">
        <v>10</v>
      </c>
      <c r="Q884" s="294">
        <v>10</v>
      </c>
      <c r="R884" s="294"/>
      <c r="S884" s="294"/>
      <c r="T884" s="294"/>
      <c r="U884" s="294"/>
      <c r="V884" s="431"/>
      <c r="W884" s="294"/>
      <c r="X884" s="294"/>
      <c r="Y884" s="294">
        <f>IF(NFI_Expiration=1,IF($A884&lt;VLOOKUP(H$5,NFI,5,0),1,0)*Table_NFI[[#This Row],[Hygiene Kit]],Table_NFI[Hygiene Kit])</f>
        <v>0</v>
      </c>
      <c r="Z884" s="294">
        <f>IF(NFI_Expiration=1,IF($A884&lt;VLOOKUP(I$5,NFI,5,0),1,0)*Table_NFI[[#This Row],[NFI Core Kit]],Table_NFI[NFI Core Kit])</f>
        <v>0</v>
      </c>
      <c r="AA884" s="294">
        <f>IF(NFI_Expiration=1,IF($A884&lt;VLOOKUP(J$5,NFI,5,0),1,0)*Table_NFI[[#This Row],[Sanitary Kit]],Table_NFI[Sanitary Kit])</f>
        <v>0</v>
      </c>
      <c r="AB884" s="294">
        <f>IF(NFI_Expiration=1,IF($A884&lt;VLOOKUP(K$5,NFI,5,0),1,0)*Table_NFI[[#This Row],[Mosquito net]],Table_NFI[Mosquito net])</f>
        <v>0</v>
      </c>
      <c r="AC884" s="294">
        <f>IF(NFI_Expiration=1,IF($A884&lt;VLOOKUP(L$5,NFI,5,0),1,0)*Table_NFI[[#This Row],[Tarpaulin]],Table_NFI[[#This Row],[Tarpaulin]])</f>
        <v>0</v>
      </c>
      <c r="AD884" s="294">
        <f>IF(NFI_Expiration=1,IF($A884&lt;VLOOKUP(M$5,NFI,5,0),1,0)*Table_NFI[[#This Row],[Blanket]],Table_NFI[[#This Row],[Blanket]])</f>
        <v>0</v>
      </c>
      <c r="AE884" s="294">
        <f>IF(NFI_Expiration=1,IF($A884&lt;VLOOKUP(N$5,NFI,5,0),1,0)*Table_NFI[[#This Row],[Kitchen Set]],Table_NFI[Kitchen Set])</f>
        <v>0</v>
      </c>
      <c r="AF884" s="294">
        <f>IF(NFI_Expiration=1,IF($A884&lt;VLOOKUP(O$5,NFI,5,0),1,0)*Table_NFI[[#This Row],[Clothes Kit]],Table_NFI[Clothes Kit])</f>
        <v>0</v>
      </c>
      <c r="AG884" s="294">
        <f>IF(NFI_Expiration=1,IF($A884&lt;VLOOKUP(P$5,NFI,5,0),1,0)*Table_NFI[[#This Row],[Plastic Bucket]],Table_NFI[Plastic Bucket])</f>
        <v>0</v>
      </c>
      <c r="AH884" s="294">
        <f>IF(NFI_Expiration=1,IF($A884&lt;VLOOKUP(Q$5,NFI,5,0),1,0)*Table_NFI[[#This Row],[Plastic Mat]],Table_NFI[Plastic Mat])*IF(Table_NFI[[#This Row],[Distribution Date]]&gt;"2014-04-01",1,2.5)</f>
        <v>0</v>
      </c>
      <c r="AI884" s="294">
        <f>IF(NFI_Expiration=1,IF($A884&lt;VLOOKUP(R$5,NFI,5,0),1,0)*Table_NFI[[#This Row],[Winter Clothes Adult]],Table_NFI[Winter Clothes Adult])</f>
        <v>0</v>
      </c>
      <c r="AJ884" s="294">
        <f>IF(NFI_Expiration=1,IF($A884&lt;VLOOKUP(S$5,NFI,5,0),1,0)*Table_NFI[[#This Row],[Winter Clothes Children]],Table_NFI[Winter Clothes Children])</f>
        <v>0</v>
      </c>
      <c r="AK884" s="294">
        <f>IF(NFI_Expiration=1,IF($A884&lt;VLOOKUP(T$5,NFI,5,0),1,0)*Table_NFI[[#This Row],[Winter Items Other]],Table_NFI[Winter Items Other])</f>
        <v>0</v>
      </c>
      <c r="AL884" s="294">
        <f>IF(NFI_Expiration=1,IF($A884&lt;VLOOKUP(M$5,NFI,5,0),1,0)*Table_NFI[[#This Row],[Winter Blanket]],Table_NFI[[#This Row],[Winter Blanket]])</f>
        <v>0</v>
      </c>
      <c r="AM884" s="294">
        <f>IF(Table_NFI[[#This Row],[Winter Clothes Adult]]+Table_NFI[[#This Row],[Winter Clothes Children]]+Table_NFI[[#This Row],[Winter Items Other]]+Table_NFI[[#This Row],[Winter Blanket]]&gt;0,1,0)</f>
        <v>0</v>
      </c>
      <c r="AN884" s="331">
        <f>IF(NFI_Expiration=1,IF($A884&lt;VLOOKUP(V$5,NFI,5,0),1,0)*Table_NFI[[#This Row],[Jerry Can]],Table_NFI[Jerry Can])</f>
        <v>0</v>
      </c>
      <c r="AO884" s="331">
        <f>IF(NFI_Expiration=1,IF($A884&lt;VLOOKUP(V$5,NFI,5,0),1,0)*Table_NFI[[#This Row],[Shelter Tool kit]],Table_NFI[Shelter Tool kit])</f>
        <v>0</v>
      </c>
      <c r="AP884" s="331">
        <f>IF(NFI_Expiration=1,IF($A884&lt;VLOOKUP(V$5,NFI,5,0),1,0)*Table_NFI[[#This Row],[Tent]],Table_NFI[Tent])</f>
        <v>0</v>
      </c>
      <c r="AQ884" s="473" t="str">
        <f>IFERROR(VLOOKUP(Table_NFI[[#This Row],[Camp Name]],CL,2,0),"")</f>
        <v>MMR001CMP069</v>
      </c>
      <c r="AR884" s="468">
        <f ca="1">IF(Table_NFI[[#This Row],[Pcode]]="","",IF(OFFSET(CampList[Opening Date],MATCH(Table_NFI[[#This Row],[Pcode]],CampList[CP_Pcode],0)-1,0,1,1)&gt;=NFI_Monitor_Date,1,0))</f>
        <v>0</v>
      </c>
      <c r="AS884" s="473" t="str">
        <f>IFERROR(VLOOKUP(Table_NFI[[#This Row],[Camp Name]],CL,3,0),"")</f>
        <v>Open</v>
      </c>
      <c r="AT884" s="294" t="str">
        <f ca="1">IF(Table_NFI[[#This Row],[Pcode]]="","",OFFSET(CampList[Priority],MATCH(Table_NFI[[#This Row],[Pcode]],CampList[CP_Pcode],0)-1,0,1,1))</f>
        <v>P3</v>
      </c>
      <c r="AU884" s="293">
        <f>IFERROR(Table_NFI[[#This Row],[Kitchen Set]]/VLOOKUP(Table_NFI[[#This Row],[Camp Name]],CL,4,0),"")</f>
        <v>8.0645161290322578E-2</v>
      </c>
      <c r="AV884" s="466" t="s">
        <v>1092</v>
      </c>
      <c r="AW884" s="469"/>
    </row>
    <row r="885" spans="1:49" x14ac:dyDescent="0.25">
      <c r="A885" s="297">
        <f t="shared" si="13"/>
        <v>50.6</v>
      </c>
      <c r="B885" s="465">
        <v>41157</v>
      </c>
      <c r="C885" s="466" t="s">
        <v>452</v>
      </c>
      <c r="D885" s="466" t="s">
        <v>452</v>
      </c>
      <c r="E885" s="466" t="s">
        <v>380</v>
      </c>
      <c r="F885" s="466" t="s">
        <v>185</v>
      </c>
      <c r="G885" s="290" t="s">
        <v>190</v>
      </c>
      <c r="H885" s="291"/>
      <c r="I885" s="291"/>
      <c r="J885" s="291"/>
      <c r="K885" s="291">
        <v>133</v>
      </c>
      <c r="L885" s="292">
        <v>62</v>
      </c>
      <c r="M885" s="292">
        <v>133</v>
      </c>
      <c r="N885" s="292">
        <v>62</v>
      </c>
      <c r="O885" s="292">
        <v>62</v>
      </c>
      <c r="P885" s="294">
        <v>62</v>
      </c>
      <c r="Q885" s="294">
        <v>62</v>
      </c>
      <c r="R885" s="294"/>
      <c r="S885" s="294"/>
      <c r="T885" s="294"/>
      <c r="U885" s="294"/>
      <c r="V885" s="431"/>
      <c r="W885" s="294"/>
      <c r="X885" s="294"/>
      <c r="Y885" s="294">
        <f>IF(NFI_Expiration=1,IF($A885&lt;VLOOKUP(H$5,NFI,5,0),1,0)*Table_NFI[[#This Row],[Hygiene Kit]],Table_NFI[Hygiene Kit])</f>
        <v>0</v>
      </c>
      <c r="Z885" s="294">
        <f>IF(NFI_Expiration=1,IF($A885&lt;VLOOKUP(I$5,NFI,5,0),1,0)*Table_NFI[[#This Row],[NFI Core Kit]],Table_NFI[NFI Core Kit])</f>
        <v>0</v>
      </c>
      <c r="AA885" s="294">
        <f>IF(NFI_Expiration=1,IF($A885&lt;VLOOKUP(J$5,NFI,5,0),1,0)*Table_NFI[[#This Row],[Sanitary Kit]],Table_NFI[Sanitary Kit])</f>
        <v>0</v>
      </c>
      <c r="AB885" s="294">
        <f>IF(NFI_Expiration=1,IF($A885&lt;VLOOKUP(K$5,NFI,5,0),1,0)*Table_NFI[[#This Row],[Mosquito net]],Table_NFI[Mosquito net])</f>
        <v>0</v>
      </c>
      <c r="AC885" s="294">
        <f>IF(NFI_Expiration=1,IF($A885&lt;VLOOKUP(L$5,NFI,5,0),1,0)*Table_NFI[[#This Row],[Tarpaulin]],Table_NFI[[#This Row],[Tarpaulin]])</f>
        <v>0</v>
      </c>
      <c r="AD885" s="294">
        <f>IF(NFI_Expiration=1,IF($A885&lt;VLOOKUP(M$5,NFI,5,0),1,0)*Table_NFI[[#This Row],[Blanket]],Table_NFI[[#This Row],[Blanket]])</f>
        <v>0</v>
      </c>
      <c r="AE885" s="294">
        <f>IF(NFI_Expiration=1,IF($A885&lt;VLOOKUP(N$5,NFI,5,0),1,0)*Table_NFI[[#This Row],[Kitchen Set]],Table_NFI[Kitchen Set])</f>
        <v>0</v>
      </c>
      <c r="AF885" s="294">
        <f>IF(NFI_Expiration=1,IF($A885&lt;VLOOKUP(O$5,NFI,5,0),1,0)*Table_NFI[[#This Row],[Clothes Kit]],Table_NFI[Clothes Kit])</f>
        <v>0</v>
      </c>
      <c r="AG885" s="294">
        <f>IF(NFI_Expiration=1,IF($A885&lt;VLOOKUP(P$5,NFI,5,0),1,0)*Table_NFI[[#This Row],[Plastic Bucket]],Table_NFI[Plastic Bucket])</f>
        <v>0</v>
      </c>
      <c r="AH885" s="294">
        <f>IF(NFI_Expiration=1,IF($A885&lt;VLOOKUP(Q$5,NFI,5,0),1,0)*Table_NFI[[#This Row],[Plastic Mat]],Table_NFI[Plastic Mat])*IF(Table_NFI[[#This Row],[Distribution Date]]&gt;"2014-04-01",1,2.5)</f>
        <v>0</v>
      </c>
      <c r="AI885" s="294">
        <f>IF(NFI_Expiration=1,IF($A885&lt;VLOOKUP(R$5,NFI,5,0),1,0)*Table_NFI[[#This Row],[Winter Clothes Adult]],Table_NFI[Winter Clothes Adult])</f>
        <v>0</v>
      </c>
      <c r="AJ885" s="294">
        <f>IF(NFI_Expiration=1,IF($A885&lt;VLOOKUP(S$5,NFI,5,0),1,0)*Table_NFI[[#This Row],[Winter Clothes Children]],Table_NFI[Winter Clothes Children])</f>
        <v>0</v>
      </c>
      <c r="AK885" s="294">
        <f>IF(NFI_Expiration=1,IF($A885&lt;VLOOKUP(T$5,NFI,5,0),1,0)*Table_NFI[[#This Row],[Winter Items Other]],Table_NFI[Winter Items Other])</f>
        <v>0</v>
      </c>
      <c r="AL885" s="294">
        <f>IF(NFI_Expiration=1,IF($A885&lt;VLOOKUP(M$5,NFI,5,0),1,0)*Table_NFI[[#This Row],[Winter Blanket]],Table_NFI[[#This Row],[Winter Blanket]])</f>
        <v>0</v>
      </c>
      <c r="AM885" s="294">
        <f>IF(Table_NFI[[#This Row],[Winter Clothes Adult]]+Table_NFI[[#This Row],[Winter Clothes Children]]+Table_NFI[[#This Row],[Winter Items Other]]+Table_NFI[[#This Row],[Winter Blanket]]&gt;0,1,0)</f>
        <v>0</v>
      </c>
      <c r="AN885" s="331">
        <f>IF(NFI_Expiration=1,IF($A885&lt;VLOOKUP(V$5,NFI,5,0),1,0)*Table_NFI[[#This Row],[Jerry Can]],Table_NFI[Jerry Can])</f>
        <v>0</v>
      </c>
      <c r="AO885" s="331">
        <f>IF(NFI_Expiration=1,IF($A885&lt;VLOOKUP(V$5,NFI,5,0),1,0)*Table_NFI[[#This Row],[Shelter Tool kit]],Table_NFI[Shelter Tool kit])</f>
        <v>0</v>
      </c>
      <c r="AP885" s="331">
        <f>IF(NFI_Expiration=1,IF($A885&lt;VLOOKUP(V$5,NFI,5,0),1,0)*Table_NFI[[#This Row],[Tent]],Table_NFI[Tent])</f>
        <v>0</v>
      </c>
      <c r="AQ885" s="473" t="str">
        <f>IFERROR(VLOOKUP(Table_NFI[[#This Row],[Camp Name]],CL,2,0),"")</f>
        <v>MMR001CMP070</v>
      </c>
      <c r="AR885" s="468">
        <f ca="1">IF(Table_NFI[[#This Row],[Pcode]]="","",IF(OFFSET(CampList[Opening Date],MATCH(Table_NFI[[#This Row],[Pcode]],CampList[CP_Pcode],0)-1,0,1,1)&gt;=NFI_Monitor_Date,1,0))</f>
        <v>0</v>
      </c>
      <c r="AS885" s="473" t="str">
        <f>IFERROR(VLOOKUP(Table_NFI[[#This Row],[Camp Name]],CL,3,0),"")</f>
        <v>Open</v>
      </c>
      <c r="AT885" s="294" t="str">
        <f ca="1">IF(Table_NFI[[#This Row],[Pcode]]="","",OFFSET(CampList[Priority],MATCH(Table_NFI[[#This Row],[Pcode]],CampList[CP_Pcode],0)-1,0,1,1))</f>
        <v>P3</v>
      </c>
      <c r="AU885" s="293">
        <f>IFERROR(Table_NFI[[#This Row],[Kitchen Set]]/VLOOKUP(Table_NFI[[#This Row],[Camp Name]],CL,4,0),"")</f>
        <v>0.32291666666666669</v>
      </c>
      <c r="AV885" s="466" t="s">
        <v>1092</v>
      </c>
      <c r="AW885" s="469"/>
    </row>
    <row r="886" spans="1:49" ht="14.45" customHeight="1" x14ac:dyDescent="0.25">
      <c r="A886" s="297">
        <f t="shared" si="13"/>
        <v>50.6</v>
      </c>
      <c r="B886" s="465">
        <v>41157</v>
      </c>
      <c r="C886" s="466" t="s">
        <v>452</v>
      </c>
      <c r="D886" s="467" t="s">
        <v>452</v>
      </c>
      <c r="E886" s="466" t="s">
        <v>380</v>
      </c>
      <c r="F886" s="290" t="s">
        <v>185</v>
      </c>
      <c r="G886" s="290" t="s">
        <v>225</v>
      </c>
      <c r="H886" s="291"/>
      <c r="I886" s="291"/>
      <c r="J886" s="291"/>
      <c r="K886" s="291">
        <v>26</v>
      </c>
      <c r="L886" s="292">
        <v>11</v>
      </c>
      <c r="M886" s="292">
        <v>26</v>
      </c>
      <c r="N886" s="292">
        <v>11</v>
      </c>
      <c r="O886" s="292">
        <v>11</v>
      </c>
      <c r="P886" s="294">
        <v>11</v>
      </c>
      <c r="Q886" s="294">
        <v>11</v>
      </c>
      <c r="R886" s="294"/>
      <c r="S886" s="294"/>
      <c r="T886" s="294"/>
      <c r="U886" s="294"/>
      <c r="V886" s="431"/>
      <c r="W886" s="294"/>
      <c r="X886" s="294"/>
      <c r="Y886" s="294">
        <f>IF(NFI_Expiration=1,IF($A886&lt;VLOOKUP(H$5,NFI,5,0),1,0)*Table_NFI[[#This Row],[Hygiene Kit]],Table_NFI[Hygiene Kit])</f>
        <v>0</v>
      </c>
      <c r="Z886" s="294">
        <f>IF(NFI_Expiration=1,IF($A886&lt;VLOOKUP(I$5,NFI,5,0),1,0)*Table_NFI[[#This Row],[NFI Core Kit]],Table_NFI[NFI Core Kit])</f>
        <v>0</v>
      </c>
      <c r="AA886" s="294">
        <f>IF(NFI_Expiration=1,IF($A886&lt;VLOOKUP(J$5,NFI,5,0),1,0)*Table_NFI[[#This Row],[Sanitary Kit]],Table_NFI[Sanitary Kit])</f>
        <v>0</v>
      </c>
      <c r="AB886" s="294">
        <f>IF(NFI_Expiration=1,IF($A886&lt;VLOOKUP(K$5,NFI,5,0),1,0)*Table_NFI[[#This Row],[Mosquito net]],Table_NFI[Mosquito net])</f>
        <v>0</v>
      </c>
      <c r="AC886" s="294">
        <f>IF(NFI_Expiration=1,IF($A886&lt;VLOOKUP(L$5,NFI,5,0),1,0)*Table_NFI[[#This Row],[Tarpaulin]],Table_NFI[[#This Row],[Tarpaulin]])</f>
        <v>0</v>
      </c>
      <c r="AD886" s="294">
        <f>IF(NFI_Expiration=1,IF($A886&lt;VLOOKUP(M$5,NFI,5,0),1,0)*Table_NFI[[#This Row],[Blanket]],Table_NFI[[#This Row],[Blanket]])</f>
        <v>0</v>
      </c>
      <c r="AE886" s="294">
        <f>IF(NFI_Expiration=1,IF($A886&lt;VLOOKUP(N$5,NFI,5,0),1,0)*Table_NFI[[#This Row],[Kitchen Set]],Table_NFI[Kitchen Set])</f>
        <v>0</v>
      </c>
      <c r="AF886" s="294">
        <f>IF(NFI_Expiration=1,IF($A886&lt;VLOOKUP(O$5,NFI,5,0),1,0)*Table_NFI[[#This Row],[Clothes Kit]],Table_NFI[Clothes Kit])</f>
        <v>0</v>
      </c>
      <c r="AG886" s="294">
        <f>IF(NFI_Expiration=1,IF($A886&lt;VLOOKUP(P$5,NFI,5,0),1,0)*Table_NFI[[#This Row],[Plastic Bucket]],Table_NFI[Plastic Bucket])</f>
        <v>0</v>
      </c>
      <c r="AH886" s="294">
        <f>IF(NFI_Expiration=1,IF($A886&lt;VLOOKUP(Q$5,NFI,5,0),1,0)*Table_NFI[[#This Row],[Plastic Mat]],Table_NFI[Plastic Mat])*IF(Table_NFI[[#This Row],[Distribution Date]]&gt;"2014-04-01",1,2.5)</f>
        <v>0</v>
      </c>
      <c r="AI886" s="294">
        <f>IF(NFI_Expiration=1,IF($A886&lt;VLOOKUP(R$5,NFI,5,0),1,0)*Table_NFI[[#This Row],[Winter Clothes Adult]],Table_NFI[Winter Clothes Adult])</f>
        <v>0</v>
      </c>
      <c r="AJ886" s="294">
        <f>IF(NFI_Expiration=1,IF($A886&lt;VLOOKUP(S$5,NFI,5,0),1,0)*Table_NFI[[#This Row],[Winter Clothes Children]],Table_NFI[Winter Clothes Children])</f>
        <v>0</v>
      </c>
      <c r="AK886" s="294">
        <f>IF(NFI_Expiration=1,IF($A886&lt;VLOOKUP(T$5,NFI,5,0),1,0)*Table_NFI[[#This Row],[Winter Items Other]],Table_NFI[Winter Items Other])</f>
        <v>0</v>
      </c>
      <c r="AL886" s="294">
        <f>IF(NFI_Expiration=1,IF($A886&lt;VLOOKUP(M$5,NFI,5,0),1,0)*Table_NFI[[#This Row],[Winter Blanket]],Table_NFI[[#This Row],[Winter Blanket]])</f>
        <v>0</v>
      </c>
      <c r="AM886" s="294">
        <f>IF(Table_NFI[[#This Row],[Winter Clothes Adult]]+Table_NFI[[#This Row],[Winter Clothes Children]]+Table_NFI[[#This Row],[Winter Items Other]]+Table_NFI[[#This Row],[Winter Blanket]]&gt;0,1,0)</f>
        <v>0</v>
      </c>
      <c r="AN886" s="331">
        <f>IF(NFI_Expiration=1,IF($A886&lt;VLOOKUP(V$5,NFI,5,0),1,0)*Table_NFI[[#This Row],[Jerry Can]],Table_NFI[Jerry Can])</f>
        <v>0</v>
      </c>
      <c r="AO886" s="331">
        <f>IF(NFI_Expiration=1,IF($A886&lt;VLOOKUP(V$5,NFI,5,0),1,0)*Table_NFI[[#This Row],[Shelter Tool kit]],Table_NFI[Shelter Tool kit])</f>
        <v>0</v>
      </c>
      <c r="AP886" s="331">
        <f>IF(NFI_Expiration=1,IF($A886&lt;VLOOKUP(V$5,NFI,5,0),1,0)*Table_NFI[[#This Row],[Tent]],Table_NFI[Tent])</f>
        <v>0</v>
      </c>
      <c r="AQ886" s="473" t="str">
        <f>IFERROR(VLOOKUP(Table_NFI[[#This Row],[Camp Name]],CL,2,0),"")</f>
        <v>MMR001CMP073</v>
      </c>
      <c r="AR886" s="468">
        <f ca="1">IF(Table_NFI[[#This Row],[Pcode]]="","",IF(OFFSET(CampList[Opening Date],MATCH(Table_NFI[[#This Row],[Pcode]],CampList[CP_Pcode],0)-1,0,1,1)&gt;=NFI_Monitor_Date,1,0))</f>
        <v>0</v>
      </c>
      <c r="AS886" s="473" t="str">
        <f>IFERROR(VLOOKUP(Table_NFI[[#This Row],[Camp Name]],CL,3,0),"")</f>
        <v>Open</v>
      </c>
      <c r="AT886" s="294" t="str">
        <f ca="1">IF(Table_NFI[[#This Row],[Pcode]]="","",OFFSET(CampList[Priority],MATCH(Table_NFI[[#This Row],[Pcode]],CampList[CP_Pcode],0)-1,0,1,1))</f>
        <v>P3</v>
      </c>
      <c r="AU886" s="293">
        <f>IFERROR(Table_NFI[[#This Row],[Kitchen Set]]/VLOOKUP(Table_NFI[[#This Row],[Camp Name]],CL,4,0),"")</f>
        <v>0.26829268292682928</v>
      </c>
      <c r="AV886" s="466" t="s">
        <v>1092</v>
      </c>
      <c r="AW886" s="469"/>
    </row>
    <row r="887" spans="1:49" ht="14.45" customHeight="1" x14ac:dyDescent="0.25">
      <c r="A887" s="297">
        <f t="shared" si="13"/>
        <v>50.833333333333336</v>
      </c>
      <c r="B887" s="465">
        <v>41150</v>
      </c>
      <c r="C887" s="466" t="s">
        <v>452</v>
      </c>
      <c r="D887" s="467" t="s">
        <v>452</v>
      </c>
      <c r="E887" s="466" t="s">
        <v>380</v>
      </c>
      <c r="F887" s="290" t="s">
        <v>185</v>
      </c>
      <c r="G887" s="290" t="s">
        <v>229</v>
      </c>
      <c r="H887" s="291"/>
      <c r="I887" s="291"/>
      <c r="J887" s="291"/>
      <c r="K887" s="291">
        <v>112</v>
      </c>
      <c r="L887" s="292">
        <v>41</v>
      </c>
      <c r="M887" s="292">
        <v>112</v>
      </c>
      <c r="N887" s="292">
        <v>41</v>
      </c>
      <c r="O887" s="292">
        <v>41</v>
      </c>
      <c r="P887" s="294">
        <v>41</v>
      </c>
      <c r="Q887" s="294">
        <v>41</v>
      </c>
      <c r="R887" s="294"/>
      <c r="S887" s="294"/>
      <c r="T887" s="294"/>
      <c r="U887" s="294"/>
      <c r="V887" s="431"/>
      <c r="W887" s="294"/>
      <c r="X887" s="294"/>
      <c r="Y887" s="294">
        <f>IF(NFI_Expiration=1,IF($A887&lt;VLOOKUP(H$5,NFI,5,0),1,0)*Table_NFI[[#This Row],[Hygiene Kit]],Table_NFI[Hygiene Kit])</f>
        <v>0</v>
      </c>
      <c r="Z887" s="294">
        <f>IF(NFI_Expiration=1,IF($A887&lt;VLOOKUP(I$5,NFI,5,0),1,0)*Table_NFI[[#This Row],[NFI Core Kit]],Table_NFI[NFI Core Kit])</f>
        <v>0</v>
      </c>
      <c r="AA887" s="294">
        <f>IF(NFI_Expiration=1,IF($A887&lt;VLOOKUP(J$5,NFI,5,0),1,0)*Table_NFI[[#This Row],[Sanitary Kit]],Table_NFI[Sanitary Kit])</f>
        <v>0</v>
      </c>
      <c r="AB887" s="294">
        <f>IF(NFI_Expiration=1,IF($A887&lt;VLOOKUP(K$5,NFI,5,0),1,0)*Table_NFI[[#This Row],[Mosquito net]],Table_NFI[Mosquito net])</f>
        <v>0</v>
      </c>
      <c r="AC887" s="294">
        <f>IF(NFI_Expiration=1,IF($A887&lt;VLOOKUP(L$5,NFI,5,0),1,0)*Table_NFI[[#This Row],[Tarpaulin]],Table_NFI[[#This Row],[Tarpaulin]])</f>
        <v>0</v>
      </c>
      <c r="AD887" s="294">
        <f>IF(NFI_Expiration=1,IF($A887&lt;VLOOKUP(M$5,NFI,5,0),1,0)*Table_NFI[[#This Row],[Blanket]],Table_NFI[[#This Row],[Blanket]])</f>
        <v>0</v>
      </c>
      <c r="AE887" s="294">
        <f>IF(NFI_Expiration=1,IF($A887&lt;VLOOKUP(N$5,NFI,5,0),1,0)*Table_NFI[[#This Row],[Kitchen Set]],Table_NFI[Kitchen Set])</f>
        <v>0</v>
      </c>
      <c r="AF887" s="294">
        <f>IF(NFI_Expiration=1,IF($A887&lt;VLOOKUP(O$5,NFI,5,0),1,0)*Table_NFI[[#This Row],[Clothes Kit]],Table_NFI[Clothes Kit])</f>
        <v>0</v>
      </c>
      <c r="AG887" s="294">
        <f>IF(NFI_Expiration=1,IF($A887&lt;VLOOKUP(P$5,NFI,5,0),1,0)*Table_NFI[[#This Row],[Plastic Bucket]],Table_NFI[Plastic Bucket])</f>
        <v>0</v>
      </c>
      <c r="AH887" s="294">
        <f>IF(NFI_Expiration=1,IF($A887&lt;VLOOKUP(Q$5,NFI,5,0),1,0)*Table_NFI[[#This Row],[Plastic Mat]],Table_NFI[Plastic Mat])*IF(Table_NFI[[#This Row],[Distribution Date]]&gt;"2014-04-01",1,2.5)</f>
        <v>0</v>
      </c>
      <c r="AI887" s="294">
        <f>IF(NFI_Expiration=1,IF($A887&lt;VLOOKUP(R$5,NFI,5,0),1,0)*Table_NFI[[#This Row],[Winter Clothes Adult]],Table_NFI[Winter Clothes Adult])</f>
        <v>0</v>
      </c>
      <c r="AJ887" s="294">
        <f>IF(NFI_Expiration=1,IF($A887&lt;VLOOKUP(S$5,NFI,5,0),1,0)*Table_NFI[[#This Row],[Winter Clothes Children]],Table_NFI[Winter Clothes Children])</f>
        <v>0</v>
      </c>
      <c r="AK887" s="294">
        <f>IF(NFI_Expiration=1,IF($A887&lt;VLOOKUP(T$5,NFI,5,0),1,0)*Table_NFI[[#This Row],[Winter Items Other]],Table_NFI[Winter Items Other])</f>
        <v>0</v>
      </c>
      <c r="AL887" s="294">
        <f>IF(NFI_Expiration=1,IF($A887&lt;VLOOKUP(M$5,NFI,5,0),1,0)*Table_NFI[[#This Row],[Winter Blanket]],Table_NFI[[#This Row],[Winter Blanket]])</f>
        <v>0</v>
      </c>
      <c r="AM887" s="294">
        <f>IF(Table_NFI[[#This Row],[Winter Clothes Adult]]+Table_NFI[[#This Row],[Winter Clothes Children]]+Table_NFI[[#This Row],[Winter Items Other]]+Table_NFI[[#This Row],[Winter Blanket]]&gt;0,1,0)</f>
        <v>0</v>
      </c>
      <c r="AN887" s="331">
        <f>IF(NFI_Expiration=1,IF($A887&lt;VLOOKUP(V$5,NFI,5,0),1,0)*Table_NFI[[#This Row],[Jerry Can]],Table_NFI[Jerry Can])</f>
        <v>0</v>
      </c>
      <c r="AO887" s="331">
        <f>IF(NFI_Expiration=1,IF($A887&lt;VLOOKUP(V$5,NFI,5,0),1,0)*Table_NFI[[#This Row],[Shelter Tool kit]],Table_NFI[Shelter Tool kit])</f>
        <v>0</v>
      </c>
      <c r="AP887" s="331">
        <f>IF(NFI_Expiration=1,IF($A887&lt;VLOOKUP(V$5,NFI,5,0),1,0)*Table_NFI[[#This Row],[Tent]],Table_NFI[Tent])</f>
        <v>0</v>
      </c>
      <c r="AQ887" s="473" t="str">
        <f>IFERROR(VLOOKUP(Table_NFI[[#This Row],[Camp Name]],CL,2,0),"")</f>
        <v>MMR001CMP072</v>
      </c>
      <c r="AR887" s="468">
        <f ca="1">IF(Table_NFI[[#This Row],[Pcode]]="","",IF(OFFSET(CampList[Opening Date],MATCH(Table_NFI[[#This Row],[Pcode]],CampList[CP_Pcode],0)-1,0,1,1)&gt;=NFI_Monitor_Date,1,0))</f>
        <v>0</v>
      </c>
      <c r="AS887" s="473" t="str">
        <f>IFERROR(VLOOKUP(Table_NFI[[#This Row],[Camp Name]],CL,3,0),"")</f>
        <v>Open</v>
      </c>
      <c r="AT887" s="294" t="str">
        <f ca="1">IF(Table_NFI[[#This Row],[Pcode]]="","",OFFSET(CampList[Priority],MATCH(Table_NFI[[#This Row],[Pcode]],CampList[CP_Pcode],0)-1,0,1,1))</f>
        <v>P3</v>
      </c>
      <c r="AU887" s="293">
        <f>IFERROR(Table_NFI[[#This Row],[Kitchen Set]]/VLOOKUP(Table_NFI[[#This Row],[Camp Name]],CL,4,0),"")</f>
        <v>0.83673469387755106</v>
      </c>
      <c r="AV887" s="466" t="s">
        <v>1092</v>
      </c>
      <c r="AW887" s="469"/>
    </row>
    <row r="888" spans="1:49" ht="14.45" customHeight="1" x14ac:dyDescent="0.25">
      <c r="A888" s="297">
        <f t="shared" si="13"/>
        <v>50.9</v>
      </c>
      <c r="B888" s="465">
        <v>41148</v>
      </c>
      <c r="C888" s="466" t="s">
        <v>452</v>
      </c>
      <c r="D888" s="467" t="s">
        <v>452</v>
      </c>
      <c r="E888" s="466" t="s">
        <v>380</v>
      </c>
      <c r="F888" s="290" t="s">
        <v>237</v>
      </c>
      <c r="G888" s="290" t="s">
        <v>253</v>
      </c>
      <c r="H888" s="291"/>
      <c r="I888" s="291"/>
      <c r="J888" s="291"/>
      <c r="K888" s="291">
        <v>7</v>
      </c>
      <c r="L888" s="292">
        <v>4</v>
      </c>
      <c r="M888" s="292">
        <v>7</v>
      </c>
      <c r="N888" s="292">
        <v>3</v>
      </c>
      <c r="O888" s="292">
        <v>3</v>
      </c>
      <c r="P888" s="294">
        <v>3</v>
      </c>
      <c r="Q888" s="294">
        <v>3</v>
      </c>
      <c r="R888" s="294"/>
      <c r="S888" s="294"/>
      <c r="T888" s="294"/>
      <c r="U888" s="294"/>
      <c r="V888" s="431"/>
      <c r="W888" s="294"/>
      <c r="X888" s="294"/>
      <c r="Y888" s="294">
        <f>IF(NFI_Expiration=1,IF($A888&lt;VLOOKUP(H$5,NFI,5,0),1,0)*Table_NFI[[#This Row],[Hygiene Kit]],Table_NFI[Hygiene Kit])</f>
        <v>0</v>
      </c>
      <c r="Z888" s="294">
        <f>IF(NFI_Expiration=1,IF($A888&lt;VLOOKUP(I$5,NFI,5,0),1,0)*Table_NFI[[#This Row],[NFI Core Kit]],Table_NFI[NFI Core Kit])</f>
        <v>0</v>
      </c>
      <c r="AA888" s="294">
        <f>IF(NFI_Expiration=1,IF($A888&lt;VLOOKUP(J$5,NFI,5,0),1,0)*Table_NFI[[#This Row],[Sanitary Kit]],Table_NFI[Sanitary Kit])</f>
        <v>0</v>
      </c>
      <c r="AB888" s="294">
        <f>IF(NFI_Expiration=1,IF($A888&lt;VLOOKUP(K$5,NFI,5,0),1,0)*Table_NFI[[#This Row],[Mosquito net]],Table_NFI[Mosquito net])</f>
        <v>0</v>
      </c>
      <c r="AC888" s="294">
        <f>IF(NFI_Expiration=1,IF($A888&lt;VLOOKUP(L$5,NFI,5,0),1,0)*Table_NFI[[#This Row],[Tarpaulin]],Table_NFI[[#This Row],[Tarpaulin]])</f>
        <v>0</v>
      </c>
      <c r="AD888" s="294">
        <f>IF(NFI_Expiration=1,IF($A888&lt;VLOOKUP(M$5,NFI,5,0),1,0)*Table_NFI[[#This Row],[Blanket]],Table_NFI[[#This Row],[Blanket]])</f>
        <v>0</v>
      </c>
      <c r="AE888" s="294">
        <f>IF(NFI_Expiration=1,IF($A888&lt;VLOOKUP(N$5,NFI,5,0),1,0)*Table_NFI[[#This Row],[Kitchen Set]],Table_NFI[Kitchen Set])</f>
        <v>0</v>
      </c>
      <c r="AF888" s="294">
        <f>IF(NFI_Expiration=1,IF($A888&lt;VLOOKUP(O$5,NFI,5,0),1,0)*Table_NFI[[#This Row],[Clothes Kit]],Table_NFI[Clothes Kit])</f>
        <v>0</v>
      </c>
      <c r="AG888" s="294">
        <f>IF(NFI_Expiration=1,IF($A888&lt;VLOOKUP(P$5,NFI,5,0),1,0)*Table_NFI[[#This Row],[Plastic Bucket]],Table_NFI[Plastic Bucket])</f>
        <v>0</v>
      </c>
      <c r="AH888" s="294">
        <f>IF(NFI_Expiration=1,IF($A888&lt;VLOOKUP(Q$5,NFI,5,0),1,0)*Table_NFI[[#This Row],[Plastic Mat]],Table_NFI[Plastic Mat])*IF(Table_NFI[[#This Row],[Distribution Date]]&gt;"2014-04-01",1,2.5)</f>
        <v>0</v>
      </c>
      <c r="AI888" s="294">
        <f>IF(NFI_Expiration=1,IF($A888&lt;VLOOKUP(R$5,NFI,5,0),1,0)*Table_NFI[[#This Row],[Winter Clothes Adult]],Table_NFI[Winter Clothes Adult])</f>
        <v>0</v>
      </c>
      <c r="AJ888" s="294">
        <f>IF(NFI_Expiration=1,IF($A888&lt;VLOOKUP(S$5,NFI,5,0),1,0)*Table_NFI[[#This Row],[Winter Clothes Children]],Table_NFI[Winter Clothes Children])</f>
        <v>0</v>
      </c>
      <c r="AK888" s="294">
        <f>IF(NFI_Expiration=1,IF($A888&lt;VLOOKUP(T$5,NFI,5,0),1,0)*Table_NFI[[#This Row],[Winter Items Other]],Table_NFI[Winter Items Other])</f>
        <v>0</v>
      </c>
      <c r="AL888" s="294">
        <f>IF(NFI_Expiration=1,IF($A888&lt;VLOOKUP(M$5,NFI,5,0),1,0)*Table_NFI[[#This Row],[Winter Blanket]],Table_NFI[[#This Row],[Winter Blanket]])</f>
        <v>0</v>
      </c>
      <c r="AM888" s="294">
        <f>IF(Table_NFI[[#This Row],[Winter Clothes Adult]]+Table_NFI[[#This Row],[Winter Clothes Children]]+Table_NFI[[#This Row],[Winter Items Other]]+Table_NFI[[#This Row],[Winter Blanket]]&gt;0,1,0)</f>
        <v>0</v>
      </c>
      <c r="AN888" s="331">
        <f>IF(NFI_Expiration=1,IF($A888&lt;VLOOKUP(V$5,NFI,5,0),1,0)*Table_NFI[[#This Row],[Jerry Can]],Table_NFI[Jerry Can])</f>
        <v>0</v>
      </c>
      <c r="AO888" s="331">
        <f>IF(NFI_Expiration=1,IF($A888&lt;VLOOKUP(V$5,NFI,5,0),1,0)*Table_NFI[[#This Row],[Shelter Tool kit]],Table_NFI[Shelter Tool kit])</f>
        <v>0</v>
      </c>
      <c r="AP888" s="331">
        <f>IF(NFI_Expiration=1,IF($A888&lt;VLOOKUP(V$5,NFI,5,0),1,0)*Table_NFI[[#This Row],[Tent]],Table_NFI[Tent])</f>
        <v>0</v>
      </c>
      <c r="AQ888" s="473" t="str">
        <f>IFERROR(VLOOKUP(Table_NFI[[#This Row],[Camp Name]],CL,2,0),"")</f>
        <v>MMR001CMP018</v>
      </c>
      <c r="AR888" s="468">
        <f ca="1">IF(Table_NFI[[#This Row],[Pcode]]="","",IF(OFFSET(CampList[Opening Date],MATCH(Table_NFI[[#This Row],[Pcode]],CampList[CP_Pcode],0)-1,0,1,1)&gt;=NFI_Monitor_Date,1,0))</f>
        <v>0</v>
      </c>
      <c r="AS888" s="473" t="str">
        <f>IFERROR(VLOOKUP(Table_NFI[[#This Row],[Camp Name]],CL,3,0),"")</f>
        <v>Open</v>
      </c>
      <c r="AT888" s="294" t="str">
        <f ca="1">IF(Table_NFI[[#This Row],[Pcode]]="","",OFFSET(CampList[Priority],MATCH(Table_NFI[[#This Row],[Pcode]],CampList[CP_Pcode],0)-1,0,1,1))</f>
        <v>P4</v>
      </c>
      <c r="AU888" s="293">
        <f>IFERROR(Table_NFI[[#This Row],[Kitchen Set]]/VLOOKUP(Table_NFI[[#This Row],[Camp Name]],CL,4,0),"")</f>
        <v>1.5151515151515152E-2</v>
      </c>
      <c r="AV888" s="466" t="s">
        <v>1092</v>
      </c>
      <c r="AW888" s="469"/>
    </row>
    <row r="889" spans="1:49" ht="14.45" customHeight="1" x14ac:dyDescent="0.25">
      <c r="A889" s="297">
        <f t="shared" si="13"/>
        <v>50.9</v>
      </c>
      <c r="B889" s="465">
        <v>41148</v>
      </c>
      <c r="C889" s="466" t="s">
        <v>452</v>
      </c>
      <c r="D889" s="466" t="s">
        <v>452</v>
      </c>
      <c r="E889" s="466" t="s">
        <v>380</v>
      </c>
      <c r="F889" s="290" t="s">
        <v>237</v>
      </c>
      <c r="G889" s="290" t="s">
        <v>259</v>
      </c>
      <c r="H889" s="291"/>
      <c r="I889" s="291"/>
      <c r="J889" s="291"/>
      <c r="K889" s="291">
        <v>2</v>
      </c>
      <c r="L889" s="292">
        <v>1</v>
      </c>
      <c r="M889" s="292">
        <v>2</v>
      </c>
      <c r="N889" s="292">
        <v>1</v>
      </c>
      <c r="O889" s="292">
        <v>1</v>
      </c>
      <c r="P889" s="294">
        <v>1</v>
      </c>
      <c r="Q889" s="294">
        <v>1</v>
      </c>
      <c r="R889" s="294"/>
      <c r="S889" s="294"/>
      <c r="T889" s="294"/>
      <c r="U889" s="294"/>
      <c r="V889" s="431"/>
      <c r="W889" s="294"/>
      <c r="X889" s="294"/>
      <c r="Y889" s="294">
        <f>IF(NFI_Expiration=1,IF($A889&lt;VLOOKUP(H$5,NFI,5,0),1,0)*Table_NFI[[#This Row],[Hygiene Kit]],Table_NFI[Hygiene Kit])</f>
        <v>0</v>
      </c>
      <c r="Z889" s="294">
        <f>IF(NFI_Expiration=1,IF($A889&lt;VLOOKUP(I$5,NFI,5,0),1,0)*Table_NFI[[#This Row],[NFI Core Kit]],Table_NFI[NFI Core Kit])</f>
        <v>0</v>
      </c>
      <c r="AA889" s="294">
        <f>IF(NFI_Expiration=1,IF($A889&lt;VLOOKUP(J$5,NFI,5,0),1,0)*Table_NFI[[#This Row],[Sanitary Kit]],Table_NFI[Sanitary Kit])</f>
        <v>0</v>
      </c>
      <c r="AB889" s="294">
        <f>IF(NFI_Expiration=1,IF($A889&lt;VLOOKUP(K$5,NFI,5,0),1,0)*Table_NFI[[#This Row],[Mosquito net]],Table_NFI[Mosquito net])</f>
        <v>0</v>
      </c>
      <c r="AC889" s="294">
        <f>IF(NFI_Expiration=1,IF($A889&lt;VLOOKUP(L$5,NFI,5,0),1,0)*Table_NFI[[#This Row],[Tarpaulin]],Table_NFI[[#This Row],[Tarpaulin]])</f>
        <v>0</v>
      </c>
      <c r="AD889" s="294">
        <f>IF(NFI_Expiration=1,IF($A889&lt;VLOOKUP(M$5,NFI,5,0),1,0)*Table_NFI[[#This Row],[Blanket]],Table_NFI[[#This Row],[Blanket]])</f>
        <v>0</v>
      </c>
      <c r="AE889" s="294">
        <f>IF(NFI_Expiration=1,IF($A889&lt;VLOOKUP(N$5,NFI,5,0),1,0)*Table_NFI[[#This Row],[Kitchen Set]],Table_NFI[Kitchen Set])</f>
        <v>0</v>
      </c>
      <c r="AF889" s="294">
        <f>IF(NFI_Expiration=1,IF($A889&lt;VLOOKUP(O$5,NFI,5,0),1,0)*Table_NFI[[#This Row],[Clothes Kit]],Table_NFI[Clothes Kit])</f>
        <v>0</v>
      </c>
      <c r="AG889" s="294">
        <f>IF(NFI_Expiration=1,IF($A889&lt;VLOOKUP(P$5,NFI,5,0),1,0)*Table_NFI[[#This Row],[Plastic Bucket]],Table_NFI[Plastic Bucket])</f>
        <v>0</v>
      </c>
      <c r="AH889" s="294">
        <f>IF(NFI_Expiration=1,IF($A889&lt;VLOOKUP(Q$5,NFI,5,0),1,0)*Table_NFI[[#This Row],[Plastic Mat]],Table_NFI[Plastic Mat])*IF(Table_NFI[[#This Row],[Distribution Date]]&gt;"2014-04-01",1,2.5)</f>
        <v>0</v>
      </c>
      <c r="AI889" s="294">
        <f>IF(NFI_Expiration=1,IF($A889&lt;VLOOKUP(R$5,NFI,5,0),1,0)*Table_NFI[[#This Row],[Winter Clothes Adult]],Table_NFI[Winter Clothes Adult])</f>
        <v>0</v>
      </c>
      <c r="AJ889" s="294">
        <f>IF(NFI_Expiration=1,IF($A889&lt;VLOOKUP(S$5,NFI,5,0),1,0)*Table_NFI[[#This Row],[Winter Clothes Children]],Table_NFI[Winter Clothes Children])</f>
        <v>0</v>
      </c>
      <c r="AK889" s="294">
        <f>IF(NFI_Expiration=1,IF($A889&lt;VLOOKUP(T$5,NFI,5,0),1,0)*Table_NFI[[#This Row],[Winter Items Other]],Table_NFI[Winter Items Other])</f>
        <v>0</v>
      </c>
      <c r="AL889" s="294">
        <f>IF(NFI_Expiration=1,IF($A889&lt;VLOOKUP(M$5,NFI,5,0),1,0)*Table_NFI[[#This Row],[Winter Blanket]],Table_NFI[[#This Row],[Winter Blanket]])</f>
        <v>0</v>
      </c>
      <c r="AM889" s="294">
        <f>IF(Table_NFI[[#This Row],[Winter Clothes Adult]]+Table_NFI[[#This Row],[Winter Clothes Children]]+Table_NFI[[#This Row],[Winter Items Other]]+Table_NFI[[#This Row],[Winter Blanket]]&gt;0,1,0)</f>
        <v>0</v>
      </c>
      <c r="AN889" s="331">
        <f>IF(NFI_Expiration=1,IF($A889&lt;VLOOKUP(V$5,NFI,5,0),1,0)*Table_NFI[[#This Row],[Jerry Can]],Table_NFI[Jerry Can])</f>
        <v>0</v>
      </c>
      <c r="AO889" s="331">
        <f>IF(NFI_Expiration=1,IF($A889&lt;VLOOKUP(V$5,NFI,5,0),1,0)*Table_NFI[[#This Row],[Shelter Tool kit]],Table_NFI[Shelter Tool kit])</f>
        <v>0</v>
      </c>
      <c r="AP889" s="331">
        <f>IF(NFI_Expiration=1,IF($A889&lt;VLOOKUP(V$5,NFI,5,0),1,0)*Table_NFI[[#This Row],[Tent]],Table_NFI[Tent])</f>
        <v>0</v>
      </c>
      <c r="AQ889" s="473" t="str">
        <f>IFERROR(VLOOKUP(Table_NFI[[#This Row],[Camp Name]],CL,2,0),"")</f>
        <v>MMR001CMP016</v>
      </c>
      <c r="AR889" s="468">
        <f ca="1">IF(Table_NFI[[#This Row],[Pcode]]="","",IF(OFFSET(CampList[Opening Date],MATCH(Table_NFI[[#This Row],[Pcode]],CampList[CP_Pcode],0)-1,0,1,1)&gt;=NFI_Monitor_Date,1,0))</f>
        <v>0</v>
      </c>
      <c r="AS889" s="473" t="str">
        <f>IFERROR(VLOOKUP(Table_NFI[[#This Row],[Camp Name]],CL,3,0),"")</f>
        <v>Open</v>
      </c>
      <c r="AT889" s="294" t="str">
        <f ca="1">IF(Table_NFI[[#This Row],[Pcode]]="","",OFFSET(CampList[Priority],MATCH(Table_NFI[[#This Row],[Pcode]],CampList[CP_Pcode],0)-1,0,1,1))</f>
        <v>P4</v>
      </c>
      <c r="AU889" s="293">
        <f>IFERROR(Table_NFI[[#This Row],[Kitchen Set]]/VLOOKUP(Table_NFI[[#This Row],[Camp Name]],CL,4,0),"")</f>
        <v>1.6666666666666666E-2</v>
      </c>
      <c r="AV889" s="466" t="s">
        <v>1092</v>
      </c>
      <c r="AW889" s="469"/>
    </row>
    <row r="890" spans="1:49" ht="14.45" customHeight="1" x14ac:dyDescent="0.25">
      <c r="A890" s="297">
        <f t="shared" si="13"/>
        <v>50.9</v>
      </c>
      <c r="B890" s="465">
        <v>41148</v>
      </c>
      <c r="C890" s="466" t="s">
        <v>452</v>
      </c>
      <c r="D890" s="467" t="s">
        <v>452</v>
      </c>
      <c r="E890" s="466" t="s">
        <v>380</v>
      </c>
      <c r="F890" s="290" t="s">
        <v>237</v>
      </c>
      <c r="G890" s="290" t="s">
        <v>263</v>
      </c>
      <c r="H890" s="291"/>
      <c r="I890" s="291"/>
      <c r="J890" s="291"/>
      <c r="K890" s="291">
        <v>2</v>
      </c>
      <c r="L890" s="292">
        <v>1</v>
      </c>
      <c r="M890" s="292">
        <v>2</v>
      </c>
      <c r="N890" s="292">
        <v>1</v>
      </c>
      <c r="O890" s="292">
        <v>1</v>
      </c>
      <c r="P890" s="294">
        <v>1</v>
      </c>
      <c r="Q890" s="294">
        <v>1</v>
      </c>
      <c r="R890" s="294"/>
      <c r="S890" s="294"/>
      <c r="T890" s="294"/>
      <c r="U890" s="294"/>
      <c r="V890" s="431"/>
      <c r="W890" s="294"/>
      <c r="X890" s="294"/>
      <c r="Y890" s="294">
        <f>IF(NFI_Expiration=1,IF($A890&lt;VLOOKUP(H$5,NFI,5,0),1,0)*Table_NFI[[#This Row],[Hygiene Kit]],Table_NFI[Hygiene Kit])</f>
        <v>0</v>
      </c>
      <c r="Z890" s="294">
        <f>IF(NFI_Expiration=1,IF($A890&lt;VLOOKUP(I$5,NFI,5,0),1,0)*Table_NFI[[#This Row],[NFI Core Kit]],Table_NFI[NFI Core Kit])</f>
        <v>0</v>
      </c>
      <c r="AA890" s="294">
        <f>IF(NFI_Expiration=1,IF($A890&lt;VLOOKUP(J$5,NFI,5,0),1,0)*Table_NFI[[#This Row],[Sanitary Kit]],Table_NFI[Sanitary Kit])</f>
        <v>0</v>
      </c>
      <c r="AB890" s="294">
        <f>IF(NFI_Expiration=1,IF($A890&lt;VLOOKUP(K$5,NFI,5,0),1,0)*Table_NFI[[#This Row],[Mosquito net]],Table_NFI[Mosquito net])</f>
        <v>0</v>
      </c>
      <c r="AC890" s="294">
        <f>IF(NFI_Expiration=1,IF($A890&lt;VLOOKUP(L$5,NFI,5,0),1,0)*Table_NFI[[#This Row],[Tarpaulin]],Table_NFI[[#This Row],[Tarpaulin]])</f>
        <v>0</v>
      </c>
      <c r="AD890" s="294">
        <f>IF(NFI_Expiration=1,IF($A890&lt;VLOOKUP(M$5,NFI,5,0),1,0)*Table_NFI[[#This Row],[Blanket]],Table_NFI[[#This Row],[Blanket]])</f>
        <v>0</v>
      </c>
      <c r="AE890" s="294">
        <f>IF(NFI_Expiration=1,IF($A890&lt;VLOOKUP(N$5,NFI,5,0),1,0)*Table_NFI[[#This Row],[Kitchen Set]],Table_NFI[Kitchen Set])</f>
        <v>0</v>
      </c>
      <c r="AF890" s="294">
        <f>IF(NFI_Expiration=1,IF($A890&lt;VLOOKUP(O$5,NFI,5,0),1,0)*Table_NFI[[#This Row],[Clothes Kit]],Table_NFI[Clothes Kit])</f>
        <v>0</v>
      </c>
      <c r="AG890" s="294">
        <f>IF(NFI_Expiration=1,IF($A890&lt;VLOOKUP(P$5,NFI,5,0),1,0)*Table_NFI[[#This Row],[Plastic Bucket]],Table_NFI[Plastic Bucket])</f>
        <v>0</v>
      </c>
      <c r="AH890" s="294">
        <f>IF(NFI_Expiration=1,IF($A890&lt;VLOOKUP(Q$5,NFI,5,0),1,0)*Table_NFI[[#This Row],[Plastic Mat]],Table_NFI[Plastic Mat])*IF(Table_NFI[[#This Row],[Distribution Date]]&gt;"2014-04-01",1,2.5)</f>
        <v>0</v>
      </c>
      <c r="AI890" s="294">
        <f>IF(NFI_Expiration=1,IF($A890&lt;VLOOKUP(R$5,NFI,5,0),1,0)*Table_NFI[[#This Row],[Winter Clothes Adult]],Table_NFI[Winter Clothes Adult])</f>
        <v>0</v>
      </c>
      <c r="AJ890" s="294">
        <f>IF(NFI_Expiration=1,IF($A890&lt;VLOOKUP(S$5,NFI,5,0),1,0)*Table_NFI[[#This Row],[Winter Clothes Children]],Table_NFI[Winter Clothes Children])</f>
        <v>0</v>
      </c>
      <c r="AK890" s="294">
        <f>IF(NFI_Expiration=1,IF($A890&lt;VLOOKUP(T$5,NFI,5,0),1,0)*Table_NFI[[#This Row],[Winter Items Other]],Table_NFI[Winter Items Other])</f>
        <v>0</v>
      </c>
      <c r="AL890" s="294">
        <f>IF(NFI_Expiration=1,IF($A890&lt;VLOOKUP(M$5,NFI,5,0),1,0)*Table_NFI[[#This Row],[Winter Blanket]],Table_NFI[[#This Row],[Winter Blanket]])</f>
        <v>0</v>
      </c>
      <c r="AM890" s="294">
        <f>IF(Table_NFI[[#This Row],[Winter Clothes Adult]]+Table_NFI[[#This Row],[Winter Clothes Children]]+Table_NFI[[#This Row],[Winter Items Other]]+Table_NFI[[#This Row],[Winter Blanket]]&gt;0,1,0)</f>
        <v>0</v>
      </c>
      <c r="AN890" s="331">
        <f>IF(NFI_Expiration=1,IF($A890&lt;VLOOKUP(V$5,NFI,5,0),1,0)*Table_NFI[[#This Row],[Jerry Can]],Table_NFI[Jerry Can])</f>
        <v>0</v>
      </c>
      <c r="AO890" s="331">
        <f>IF(NFI_Expiration=1,IF($A890&lt;VLOOKUP(V$5,NFI,5,0),1,0)*Table_NFI[[#This Row],[Shelter Tool kit]],Table_NFI[Shelter Tool kit])</f>
        <v>0</v>
      </c>
      <c r="AP890" s="331">
        <f>IF(NFI_Expiration=1,IF($A890&lt;VLOOKUP(V$5,NFI,5,0),1,0)*Table_NFI[[#This Row],[Tent]],Table_NFI[Tent])</f>
        <v>0</v>
      </c>
      <c r="AQ890" s="473" t="str">
        <f>IFERROR(VLOOKUP(Table_NFI[[#This Row],[Camp Name]],CL,2,0),"")</f>
        <v>MMR001CMP020</v>
      </c>
      <c r="AR890" s="468">
        <f ca="1">IF(Table_NFI[[#This Row],[Pcode]]="","",IF(OFFSET(CampList[Opening Date],MATCH(Table_NFI[[#This Row],[Pcode]],CampList[CP_Pcode],0)-1,0,1,1)&gt;=NFI_Monitor_Date,1,0))</f>
        <v>0</v>
      </c>
      <c r="AS890" s="473" t="str">
        <f>IFERROR(VLOOKUP(Table_NFI[[#This Row],[Camp Name]],CL,3,0),"")</f>
        <v>Open</v>
      </c>
      <c r="AT890" s="294" t="str">
        <f ca="1">IF(Table_NFI[[#This Row],[Pcode]]="","",OFFSET(CampList[Priority],MATCH(Table_NFI[[#This Row],[Pcode]],CampList[CP_Pcode],0)-1,0,1,1))</f>
        <v>P4</v>
      </c>
      <c r="AU890" s="293">
        <f>IFERROR(Table_NFI[[#This Row],[Kitchen Set]]/VLOOKUP(Table_NFI[[#This Row],[Camp Name]],CL,4,0),"")</f>
        <v>4.7619047619047616E-2</v>
      </c>
      <c r="AV890" s="466" t="s">
        <v>1092</v>
      </c>
      <c r="AW890" s="469"/>
    </row>
    <row r="891" spans="1:49" ht="14.45" customHeight="1" x14ac:dyDescent="0.25">
      <c r="A891" s="297">
        <f t="shared" si="13"/>
        <v>50.9</v>
      </c>
      <c r="B891" s="465">
        <v>41148</v>
      </c>
      <c r="C891" s="466" t="s">
        <v>452</v>
      </c>
      <c r="D891" s="467" t="s">
        <v>452</v>
      </c>
      <c r="E891" s="466" t="s">
        <v>380</v>
      </c>
      <c r="F891" s="290" t="s">
        <v>237</v>
      </c>
      <c r="G891" s="290" t="s">
        <v>265</v>
      </c>
      <c r="H891" s="291"/>
      <c r="I891" s="291"/>
      <c r="J891" s="291"/>
      <c r="K891" s="291">
        <v>10</v>
      </c>
      <c r="L891" s="292">
        <v>5</v>
      </c>
      <c r="M891" s="292">
        <v>10</v>
      </c>
      <c r="N891" s="292">
        <v>5</v>
      </c>
      <c r="O891" s="292">
        <v>5</v>
      </c>
      <c r="P891" s="294">
        <v>5</v>
      </c>
      <c r="Q891" s="294">
        <v>5</v>
      </c>
      <c r="R891" s="294"/>
      <c r="S891" s="294"/>
      <c r="T891" s="294"/>
      <c r="U891" s="294"/>
      <c r="V891" s="431"/>
      <c r="W891" s="294"/>
      <c r="X891" s="294"/>
      <c r="Y891" s="294">
        <f>IF(NFI_Expiration=1,IF($A891&lt;VLOOKUP(H$5,NFI,5,0),1,0)*Table_NFI[[#This Row],[Hygiene Kit]],Table_NFI[Hygiene Kit])</f>
        <v>0</v>
      </c>
      <c r="Z891" s="294">
        <f>IF(NFI_Expiration=1,IF($A891&lt;VLOOKUP(I$5,NFI,5,0),1,0)*Table_NFI[[#This Row],[NFI Core Kit]],Table_NFI[NFI Core Kit])</f>
        <v>0</v>
      </c>
      <c r="AA891" s="294">
        <f>IF(NFI_Expiration=1,IF($A891&lt;VLOOKUP(J$5,NFI,5,0),1,0)*Table_NFI[[#This Row],[Sanitary Kit]],Table_NFI[Sanitary Kit])</f>
        <v>0</v>
      </c>
      <c r="AB891" s="294">
        <f>IF(NFI_Expiration=1,IF($A891&lt;VLOOKUP(K$5,NFI,5,0),1,0)*Table_NFI[[#This Row],[Mosquito net]],Table_NFI[Mosquito net])</f>
        <v>0</v>
      </c>
      <c r="AC891" s="294">
        <f>IF(NFI_Expiration=1,IF($A891&lt;VLOOKUP(L$5,NFI,5,0),1,0)*Table_NFI[[#This Row],[Tarpaulin]],Table_NFI[[#This Row],[Tarpaulin]])</f>
        <v>0</v>
      </c>
      <c r="AD891" s="294">
        <f>IF(NFI_Expiration=1,IF($A891&lt;VLOOKUP(M$5,NFI,5,0),1,0)*Table_NFI[[#This Row],[Blanket]],Table_NFI[[#This Row],[Blanket]])</f>
        <v>0</v>
      </c>
      <c r="AE891" s="294">
        <f>IF(NFI_Expiration=1,IF($A891&lt;VLOOKUP(N$5,NFI,5,0),1,0)*Table_NFI[[#This Row],[Kitchen Set]],Table_NFI[Kitchen Set])</f>
        <v>0</v>
      </c>
      <c r="AF891" s="294">
        <f>IF(NFI_Expiration=1,IF($A891&lt;VLOOKUP(O$5,NFI,5,0),1,0)*Table_NFI[[#This Row],[Clothes Kit]],Table_NFI[Clothes Kit])</f>
        <v>0</v>
      </c>
      <c r="AG891" s="294">
        <f>IF(NFI_Expiration=1,IF($A891&lt;VLOOKUP(P$5,NFI,5,0),1,0)*Table_NFI[[#This Row],[Plastic Bucket]],Table_NFI[Plastic Bucket])</f>
        <v>0</v>
      </c>
      <c r="AH891" s="294">
        <f>IF(NFI_Expiration=1,IF($A891&lt;VLOOKUP(Q$5,NFI,5,0),1,0)*Table_NFI[[#This Row],[Plastic Mat]],Table_NFI[Plastic Mat])*IF(Table_NFI[[#This Row],[Distribution Date]]&gt;"2014-04-01",1,2.5)</f>
        <v>0</v>
      </c>
      <c r="AI891" s="294">
        <f>IF(NFI_Expiration=1,IF($A891&lt;VLOOKUP(R$5,NFI,5,0),1,0)*Table_NFI[[#This Row],[Winter Clothes Adult]],Table_NFI[Winter Clothes Adult])</f>
        <v>0</v>
      </c>
      <c r="AJ891" s="294">
        <f>IF(NFI_Expiration=1,IF($A891&lt;VLOOKUP(S$5,NFI,5,0),1,0)*Table_NFI[[#This Row],[Winter Clothes Children]],Table_NFI[Winter Clothes Children])</f>
        <v>0</v>
      </c>
      <c r="AK891" s="294">
        <f>IF(NFI_Expiration=1,IF($A891&lt;VLOOKUP(T$5,NFI,5,0),1,0)*Table_NFI[[#This Row],[Winter Items Other]],Table_NFI[Winter Items Other])</f>
        <v>0</v>
      </c>
      <c r="AL891" s="294">
        <f>IF(NFI_Expiration=1,IF($A891&lt;VLOOKUP(M$5,NFI,5,0),1,0)*Table_NFI[[#This Row],[Winter Blanket]],Table_NFI[[#This Row],[Winter Blanket]])</f>
        <v>0</v>
      </c>
      <c r="AM891" s="294">
        <f>IF(Table_NFI[[#This Row],[Winter Clothes Adult]]+Table_NFI[[#This Row],[Winter Clothes Children]]+Table_NFI[[#This Row],[Winter Items Other]]+Table_NFI[[#This Row],[Winter Blanket]]&gt;0,1,0)</f>
        <v>0</v>
      </c>
      <c r="AN891" s="331">
        <f>IF(NFI_Expiration=1,IF($A891&lt;VLOOKUP(V$5,NFI,5,0),1,0)*Table_NFI[[#This Row],[Jerry Can]],Table_NFI[Jerry Can])</f>
        <v>0</v>
      </c>
      <c r="AO891" s="331">
        <f>IF(NFI_Expiration=1,IF($A891&lt;VLOOKUP(V$5,NFI,5,0),1,0)*Table_NFI[[#This Row],[Shelter Tool kit]],Table_NFI[Shelter Tool kit])</f>
        <v>0</v>
      </c>
      <c r="AP891" s="331">
        <f>IF(NFI_Expiration=1,IF($A891&lt;VLOOKUP(V$5,NFI,5,0),1,0)*Table_NFI[[#This Row],[Tent]],Table_NFI[Tent])</f>
        <v>0</v>
      </c>
      <c r="AQ891" s="473" t="str">
        <f>IFERROR(VLOOKUP(Table_NFI[[#This Row],[Camp Name]],CL,2,0),"")</f>
        <v>MMR001CMP021</v>
      </c>
      <c r="AR891" s="468">
        <f ca="1">IF(Table_NFI[[#This Row],[Pcode]]="","",IF(OFFSET(CampList[Opening Date],MATCH(Table_NFI[[#This Row],[Pcode]],CampList[CP_Pcode],0)-1,0,1,1)&gt;=NFI_Monitor_Date,1,0))</f>
        <v>0</v>
      </c>
      <c r="AS891" s="473" t="str">
        <f>IFERROR(VLOOKUP(Table_NFI[[#This Row],[Camp Name]],CL,3,0),"")</f>
        <v>Open</v>
      </c>
      <c r="AT891" s="294" t="str">
        <f ca="1">IF(Table_NFI[[#This Row],[Pcode]]="","",OFFSET(CampList[Priority],MATCH(Table_NFI[[#This Row],[Pcode]],CampList[CP_Pcode],0)-1,0,1,1))</f>
        <v>P4</v>
      </c>
      <c r="AU891" s="293">
        <f>IFERROR(Table_NFI[[#This Row],[Kitchen Set]]/VLOOKUP(Table_NFI[[#This Row],[Camp Name]],CL,4,0),"")</f>
        <v>0.35714285714285715</v>
      </c>
      <c r="AV891" s="466" t="s">
        <v>1092</v>
      </c>
      <c r="AW891" s="469"/>
    </row>
    <row r="892" spans="1:49" ht="14.45" customHeight="1" x14ac:dyDescent="0.25">
      <c r="A892" s="297">
        <f t="shared" si="13"/>
        <v>50.9</v>
      </c>
      <c r="B892" s="465">
        <v>41148</v>
      </c>
      <c r="C892" s="466" t="s">
        <v>452</v>
      </c>
      <c r="D892" s="467" t="s">
        <v>452</v>
      </c>
      <c r="E892" s="466" t="s">
        <v>380</v>
      </c>
      <c r="F892" s="290" t="s">
        <v>237</v>
      </c>
      <c r="G892" s="290" t="s">
        <v>283</v>
      </c>
      <c r="H892" s="291"/>
      <c r="I892" s="291"/>
      <c r="J892" s="291"/>
      <c r="K892" s="291">
        <v>10</v>
      </c>
      <c r="L892" s="292">
        <v>5</v>
      </c>
      <c r="M892" s="292">
        <v>10</v>
      </c>
      <c r="N892" s="292">
        <v>5</v>
      </c>
      <c r="O892" s="292">
        <v>5</v>
      </c>
      <c r="P892" s="294">
        <v>5</v>
      </c>
      <c r="Q892" s="294">
        <v>5</v>
      </c>
      <c r="R892" s="294"/>
      <c r="S892" s="294"/>
      <c r="T892" s="294"/>
      <c r="U892" s="294"/>
      <c r="V892" s="431"/>
      <c r="W892" s="294"/>
      <c r="X892" s="294"/>
      <c r="Y892" s="294">
        <f>IF(NFI_Expiration=1,IF($A892&lt;VLOOKUP(H$5,NFI,5,0),1,0)*Table_NFI[[#This Row],[Hygiene Kit]],Table_NFI[Hygiene Kit])</f>
        <v>0</v>
      </c>
      <c r="Z892" s="294">
        <f>IF(NFI_Expiration=1,IF($A892&lt;VLOOKUP(I$5,NFI,5,0),1,0)*Table_NFI[[#This Row],[NFI Core Kit]],Table_NFI[NFI Core Kit])</f>
        <v>0</v>
      </c>
      <c r="AA892" s="294">
        <f>IF(NFI_Expiration=1,IF($A892&lt;VLOOKUP(J$5,NFI,5,0),1,0)*Table_NFI[[#This Row],[Sanitary Kit]],Table_NFI[Sanitary Kit])</f>
        <v>0</v>
      </c>
      <c r="AB892" s="294">
        <f>IF(NFI_Expiration=1,IF($A892&lt;VLOOKUP(K$5,NFI,5,0),1,0)*Table_NFI[[#This Row],[Mosquito net]],Table_NFI[Mosquito net])</f>
        <v>0</v>
      </c>
      <c r="AC892" s="294">
        <f>IF(NFI_Expiration=1,IF($A892&lt;VLOOKUP(L$5,NFI,5,0),1,0)*Table_NFI[[#This Row],[Tarpaulin]],Table_NFI[[#This Row],[Tarpaulin]])</f>
        <v>0</v>
      </c>
      <c r="AD892" s="294">
        <f>IF(NFI_Expiration=1,IF($A892&lt;VLOOKUP(M$5,NFI,5,0),1,0)*Table_NFI[[#This Row],[Blanket]],Table_NFI[[#This Row],[Blanket]])</f>
        <v>0</v>
      </c>
      <c r="AE892" s="294">
        <f>IF(NFI_Expiration=1,IF($A892&lt;VLOOKUP(N$5,NFI,5,0),1,0)*Table_NFI[[#This Row],[Kitchen Set]],Table_NFI[Kitchen Set])</f>
        <v>0</v>
      </c>
      <c r="AF892" s="294">
        <f>IF(NFI_Expiration=1,IF($A892&lt;VLOOKUP(O$5,NFI,5,0),1,0)*Table_NFI[[#This Row],[Clothes Kit]],Table_NFI[Clothes Kit])</f>
        <v>0</v>
      </c>
      <c r="AG892" s="294">
        <f>IF(NFI_Expiration=1,IF($A892&lt;VLOOKUP(P$5,NFI,5,0),1,0)*Table_NFI[[#This Row],[Plastic Bucket]],Table_NFI[Plastic Bucket])</f>
        <v>0</v>
      </c>
      <c r="AH892" s="294">
        <f>IF(NFI_Expiration=1,IF($A892&lt;VLOOKUP(Q$5,NFI,5,0),1,0)*Table_NFI[[#This Row],[Plastic Mat]],Table_NFI[Plastic Mat])*IF(Table_NFI[[#This Row],[Distribution Date]]&gt;"2014-04-01",1,2.5)</f>
        <v>0</v>
      </c>
      <c r="AI892" s="294">
        <f>IF(NFI_Expiration=1,IF($A892&lt;VLOOKUP(R$5,NFI,5,0),1,0)*Table_NFI[[#This Row],[Winter Clothes Adult]],Table_NFI[Winter Clothes Adult])</f>
        <v>0</v>
      </c>
      <c r="AJ892" s="294">
        <f>IF(NFI_Expiration=1,IF($A892&lt;VLOOKUP(S$5,NFI,5,0),1,0)*Table_NFI[[#This Row],[Winter Clothes Children]],Table_NFI[Winter Clothes Children])</f>
        <v>0</v>
      </c>
      <c r="AK892" s="294">
        <f>IF(NFI_Expiration=1,IF($A892&lt;VLOOKUP(T$5,NFI,5,0),1,0)*Table_NFI[[#This Row],[Winter Items Other]],Table_NFI[Winter Items Other])</f>
        <v>0</v>
      </c>
      <c r="AL892" s="294">
        <f>IF(NFI_Expiration=1,IF($A892&lt;VLOOKUP(M$5,NFI,5,0),1,0)*Table_NFI[[#This Row],[Winter Blanket]],Table_NFI[[#This Row],[Winter Blanket]])</f>
        <v>0</v>
      </c>
      <c r="AM892" s="294">
        <f>IF(Table_NFI[[#This Row],[Winter Clothes Adult]]+Table_NFI[[#This Row],[Winter Clothes Children]]+Table_NFI[[#This Row],[Winter Items Other]]+Table_NFI[[#This Row],[Winter Blanket]]&gt;0,1,0)</f>
        <v>0</v>
      </c>
      <c r="AN892" s="331">
        <f>IF(NFI_Expiration=1,IF($A892&lt;VLOOKUP(V$5,NFI,5,0),1,0)*Table_NFI[[#This Row],[Jerry Can]],Table_NFI[Jerry Can])</f>
        <v>0</v>
      </c>
      <c r="AO892" s="331">
        <f>IF(NFI_Expiration=1,IF($A892&lt;VLOOKUP(V$5,NFI,5,0),1,0)*Table_NFI[[#This Row],[Shelter Tool kit]],Table_NFI[Shelter Tool kit])</f>
        <v>0</v>
      </c>
      <c r="AP892" s="331">
        <f>IF(NFI_Expiration=1,IF($A892&lt;VLOOKUP(V$5,NFI,5,0),1,0)*Table_NFI[[#This Row],[Tent]],Table_NFI[Tent])</f>
        <v>0</v>
      </c>
      <c r="AQ892" s="473" t="str">
        <f>IFERROR(VLOOKUP(Table_NFI[[#This Row],[Camp Name]],CL,2,0),"")</f>
        <v>MMR001CMP022</v>
      </c>
      <c r="AR892" s="468">
        <f ca="1">IF(Table_NFI[[#This Row],[Pcode]]="","",IF(OFFSET(CampList[Opening Date],MATCH(Table_NFI[[#This Row],[Pcode]],CampList[CP_Pcode],0)-1,0,1,1)&gt;=NFI_Monitor_Date,1,0))</f>
        <v>0</v>
      </c>
      <c r="AS892" s="473" t="str">
        <f>IFERROR(VLOOKUP(Table_NFI[[#This Row],[Camp Name]],CL,3,0),"")</f>
        <v>Open</v>
      </c>
      <c r="AT892" s="294" t="str">
        <f ca="1">IF(Table_NFI[[#This Row],[Pcode]]="","",OFFSET(CampList[Priority],MATCH(Table_NFI[[#This Row],[Pcode]],CampList[CP_Pcode],0)-1,0,1,1))</f>
        <v>P4</v>
      </c>
      <c r="AU892" s="293">
        <f>IFERROR(Table_NFI[[#This Row],[Kitchen Set]]/VLOOKUP(Table_NFI[[#This Row],[Camp Name]],CL,4,0),"")</f>
        <v>0.7142857142857143</v>
      </c>
      <c r="AV892" s="466" t="s">
        <v>1092</v>
      </c>
      <c r="AW892" s="469"/>
    </row>
    <row r="893" spans="1:49" ht="14.45" customHeight="1" x14ac:dyDescent="0.25">
      <c r="A893" s="297">
        <f t="shared" si="13"/>
        <v>51.3</v>
      </c>
      <c r="B893" s="465">
        <v>41136</v>
      </c>
      <c r="C893" s="466" t="s">
        <v>905</v>
      </c>
      <c r="D893" s="466" t="s">
        <v>905</v>
      </c>
      <c r="E893" s="466" t="s">
        <v>380</v>
      </c>
      <c r="F893" s="466" t="s">
        <v>185</v>
      </c>
      <c r="G893" s="290" t="s">
        <v>223</v>
      </c>
      <c r="H893" s="294">
        <v>73</v>
      </c>
      <c r="I893" s="291"/>
      <c r="J893" s="291"/>
      <c r="K893" s="291"/>
      <c r="L893" s="292"/>
      <c r="M893" s="292"/>
      <c r="N893" s="292"/>
      <c r="O893" s="292"/>
      <c r="P893" s="294"/>
      <c r="Q893" s="294"/>
      <c r="R893" s="294"/>
      <c r="S893" s="294"/>
      <c r="T893" s="294"/>
      <c r="U893" s="294"/>
      <c r="V893" s="431"/>
      <c r="W893" s="294"/>
      <c r="X893" s="294"/>
      <c r="Y893" s="294">
        <f>IF(NFI_Expiration=1,IF($A893&lt;VLOOKUP(H$5,NFI,5,0),1,0)*Table_NFI[[#This Row],[Hygiene Kit]],Table_NFI[Hygiene Kit])</f>
        <v>0</v>
      </c>
      <c r="Z893" s="294">
        <f>IF(NFI_Expiration=1,IF($A893&lt;VLOOKUP(I$5,NFI,5,0),1,0)*Table_NFI[[#This Row],[NFI Core Kit]],Table_NFI[NFI Core Kit])</f>
        <v>0</v>
      </c>
      <c r="AA893" s="294">
        <f>IF(NFI_Expiration=1,IF($A893&lt;VLOOKUP(J$5,NFI,5,0),1,0)*Table_NFI[[#This Row],[Sanitary Kit]],Table_NFI[Sanitary Kit])</f>
        <v>0</v>
      </c>
      <c r="AB893" s="294">
        <f>IF(NFI_Expiration=1,IF($A893&lt;VLOOKUP(K$5,NFI,5,0),1,0)*Table_NFI[[#This Row],[Mosquito net]],Table_NFI[Mosquito net])</f>
        <v>0</v>
      </c>
      <c r="AC893" s="294">
        <f>IF(NFI_Expiration=1,IF($A893&lt;VLOOKUP(L$5,NFI,5,0),1,0)*Table_NFI[[#This Row],[Tarpaulin]],Table_NFI[[#This Row],[Tarpaulin]])</f>
        <v>0</v>
      </c>
      <c r="AD893" s="294">
        <f>IF(NFI_Expiration=1,IF($A893&lt;VLOOKUP(M$5,NFI,5,0),1,0)*Table_NFI[[#This Row],[Blanket]],Table_NFI[[#This Row],[Blanket]])</f>
        <v>0</v>
      </c>
      <c r="AE893" s="294">
        <f>IF(NFI_Expiration=1,IF($A893&lt;VLOOKUP(N$5,NFI,5,0),1,0)*Table_NFI[[#This Row],[Kitchen Set]],Table_NFI[Kitchen Set])</f>
        <v>0</v>
      </c>
      <c r="AF893" s="294">
        <f>IF(NFI_Expiration=1,IF($A893&lt;VLOOKUP(O$5,NFI,5,0),1,0)*Table_NFI[[#This Row],[Clothes Kit]],Table_NFI[Clothes Kit])</f>
        <v>0</v>
      </c>
      <c r="AG893" s="294">
        <f>IF(NFI_Expiration=1,IF($A893&lt;VLOOKUP(P$5,NFI,5,0),1,0)*Table_NFI[[#This Row],[Plastic Bucket]],Table_NFI[Plastic Bucket])</f>
        <v>0</v>
      </c>
      <c r="AH893" s="294">
        <f>IF(NFI_Expiration=1,IF($A893&lt;VLOOKUP(Q$5,NFI,5,0),1,0)*Table_NFI[[#This Row],[Plastic Mat]],Table_NFI[Plastic Mat])*IF(Table_NFI[[#This Row],[Distribution Date]]&gt;"2014-04-01",1,2.5)</f>
        <v>0</v>
      </c>
      <c r="AI893" s="294">
        <f>IF(NFI_Expiration=1,IF($A893&lt;VLOOKUP(R$5,NFI,5,0),1,0)*Table_NFI[[#This Row],[Winter Clothes Adult]],Table_NFI[Winter Clothes Adult])</f>
        <v>0</v>
      </c>
      <c r="AJ893" s="294">
        <f>IF(NFI_Expiration=1,IF($A893&lt;VLOOKUP(S$5,NFI,5,0),1,0)*Table_NFI[[#This Row],[Winter Clothes Children]],Table_NFI[Winter Clothes Children])</f>
        <v>0</v>
      </c>
      <c r="AK893" s="294">
        <f>IF(NFI_Expiration=1,IF($A893&lt;VLOOKUP(T$5,NFI,5,0),1,0)*Table_NFI[[#This Row],[Winter Items Other]],Table_NFI[Winter Items Other])</f>
        <v>0</v>
      </c>
      <c r="AL893" s="294">
        <f>IF(NFI_Expiration=1,IF($A893&lt;VLOOKUP(M$5,NFI,5,0),1,0)*Table_NFI[[#This Row],[Winter Blanket]],Table_NFI[[#This Row],[Winter Blanket]])</f>
        <v>0</v>
      </c>
      <c r="AM893" s="294">
        <f>IF(Table_NFI[[#This Row],[Winter Clothes Adult]]+Table_NFI[[#This Row],[Winter Clothes Children]]+Table_NFI[[#This Row],[Winter Items Other]]+Table_NFI[[#This Row],[Winter Blanket]]&gt;0,1,0)</f>
        <v>0</v>
      </c>
      <c r="AN893" s="331">
        <f>IF(NFI_Expiration=1,IF($A893&lt;VLOOKUP(V$5,NFI,5,0),1,0)*Table_NFI[[#This Row],[Jerry Can]],Table_NFI[Jerry Can])</f>
        <v>0</v>
      </c>
      <c r="AO893" s="331">
        <f>IF(NFI_Expiration=1,IF($A893&lt;VLOOKUP(V$5,NFI,5,0),1,0)*Table_NFI[[#This Row],[Shelter Tool kit]],Table_NFI[Shelter Tool kit])</f>
        <v>0</v>
      </c>
      <c r="AP893" s="331">
        <f>IF(NFI_Expiration=1,IF($A893&lt;VLOOKUP(V$5,NFI,5,0),1,0)*Table_NFI[[#This Row],[Tent]],Table_NFI[Tent])</f>
        <v>0</v>
      </c>
      <c r="AQ893" s="473" t="str">
        <f>IFERROR(VLOOKUP(Table_NFI[[#This Row],[Camp Name]],CL,2,0),"")</f>
        <v>MMR001CMP069</v>
      </c>
      <c r="AR893" s="468">
        <f ca="1">IF(Table_NFI[[#This Row],[Pcode]]="","",IF(OFFSET(CampList[Opening Date],MATCH(Table_NFI[[#This Row],[Pcode]],CampList[CP_Pcode],0)-1,0,1,1)&gt;=NFI_Monitor_Date,1,0))</f>
        <v>0</v>
      </c>
      <c r="AS893" s="473" t="str">
        <f>IFERROR(VLOOKUP(Table_NFI[[#This Row],[Camp Name]],CL,3,0),"")</f>
        <v>Open</v>
      </c>
      <c r="AT893" s="294" t="str">
        <f ca="1">IF(Table_NFI[[#This Row],[Pcode]]="","",OFFSET(CampList[Priority],MATCH(Table_NFI[[#This Row],[Pcode]],CampList[CP_Pcode],0)-1,0,1,1))</f>
        <v>P3</v>
      </c>
      <c r="AU893" s="293">
        <f>IFERROR(Table_NFI[[#This Row],[Kitchen Set]]/VLOOKUP(Table_NFI[[#This Row],[Camp Name]],CL,4,0),"")</f>
        <v>0</v>
      </c>
      <c r="AV893" s="466"/>
      <c r="AW893" s="469"/>
    </row>
    <row r="894" spans="1:49" ht="14.45" customHeight="1" x14ac:dyDescent="0.25">
      <c r="A894" s="297">
        <f t="shared" si="13"/>
        <v>51.366666666666667</v>
      </c>
      <c r="B894" s="465">
        <v>41134</v>
      </c>
      <c r="C894" s="466" t="s">
        <v>452</v>
      </c>
      <c r="D894" s="467" t="s">
        <v>573</v>
      </c>
      <c r="E894" s="466" t="s">
        <v>380</v>
      </c>
      <c r="F894" s="290" t="s">
        <v>5</v>
      </c>
      <c r="G894" s="290" t="s">
        <v>22</v>
      </c>
      <c r="H894" s="291"/>
      <c r="I894" s="291"/>
      <c r="J894" s="291"/>
      <c r="K894" s="291">
        <v>310</v>
      </c>
      <c r="L894" s="292">
        <v>151</v>
      </c>
      <c r="M894" s="292">
        <v>310</v>
      </c>
      <c r="N894" s="292">
        <v>151</v>
      </c>
      <c r="O894" s="292">
        <v>151</v>
      </c>
      <c r="P894" s="294">
        <v>151</v>
      </c>
      <c r="Q894" s="294">
        <v>151</v>
      </c>
      <c r="R894" s="294"/>
      <c r="S894" s="294"/>
      <c r="T894" s="294"/>
      <c r="U894" s="294"/>
      <c r="V894" s="431"/>
      <c r="W894" s="294"/>
      <c r="X894" s="294"/>
      <c r="Y894" s="294">
        <f>IF(NFI_Expiration=1,IF($A894&lt;VLOOKUP(H$5,NFI,5,0),1,0)*Table_NFI[[#This Row],[Hygiene Kit]],Table_NFI[Hygiene Kit])</f>
        <v>0</v>
      </c>
      <c r="Z894" s="294">
        <f>IF(NFI_Expiration=1,IF($A894&lt;VLOOKUP(I$5,NFI,5,0),1,0)*Table_NFI[[#This Row],[NFI Core Kit]],Table_NFI[NFI Core Kit])</f>
        <v>0</v>
      </c>
      <c r="AA894" s="294">
        <f>IF(NFI_Expiration=1,IF($A894&lt;VLOOKUP(J$5,NFI,5,0),1,0)*Table_NFI[[#This Row],[Sanitary Kit]],Table_NFI[Sanitary Kit])</f>
        <v>0</v>
      </c>
      <c r="AB894" s="294">
        <f>IF(NFI_Expiration=1,IF($A894&lt;VLOOKUP(K$5,NFI,5,0),1,0)*Table_NFI[[#This Row],[Mosquito net]],Table_NFI[Mosquito net])</f>
        <v>0</v>
      </c>
      <c r="AC894" s="294">
        <f>IF(NFI_Expiration=1,IF($A894&lt;VLOOKUP(L$5,NFI,5,0),1,0)*Table_NFI[[#This Row],[Tarpaulin]],Table_NFI[[#This Row],[Tarpaulin]])</f>
        <v>0</v>
      </c>
      <c r="AD894" s="294">
        <f>IF(NFI_Expiration=1,IF($A894&lt;VLOOKUP(M$5,NFI,5,0),1,0)*Table_NFI[[#This Row],[Blanket]],Table_NFI[[#This Row],[Blanket]])</f>
        <v>0</v>
      </c>
      <c r="AE894" s="294">
        <f>IF(NFI_Expiration=1,IF($A894&lt;VLOOKUP(N$5,NFI,5,0),1,0)*Table_NFI[[#This Row],[Kitchen Set]],Table_NFI[Kitchen Set])</f>
        <v>0</v>
      </c>
      <c r="AF894" s="294">
        <f>IF(NFI_Expiration=1,IF($A894&lt;VLOOKUP(O$5,NFI,5,0),1,0)*Table_NFI[[#This Row],[Clothes Kit]],Table_NFI[Clothes Kit])</f>
        <v>0</v>
      </c>
      <c r="AG894" s="294">
        <f>IF(NFI_Expiration=1,IF($A894&lt;VLOOKUP(P$5,NFI,5,0),1,0)*Table_NFI[[#This Row],[Plastic Bucket]],Table_NFI[Plastic Bucket])</f>
        <v>0</v>
      </c>
      <c r="AH894" s="294">
        <f>IF(NFI_Expiration=1,IF($A894&lt;VLOOKUP(Q$5,NFI,5,0),1,0)*Table_NFI[[#This Row],[Plastic Mat]],Table_NFI[Plastic Mat])*IF(Table_NFI[[#This Row],[Distribution Date]]&gt;"2014-04-01",1,2.5)</f>
        <v>0</v>
      </c>
      <c r="AI894" s="294">
        <f>IF(NFI_Expiration=1,IF($A894&lt;VLOOKUP(R$5,NFI,5,0),1,0)*Table_NFI[[#This Row],[Winter Clothes Adult]],Table_NFI[Winter Clothes Adult])</f>
        <v>0</v>
      </c>
      <c r="AJ894" s="294">
        <f>IF(NFI_Expiration=1,IF($A894&lt;VLOOKUP(S$5,NFI,5,0),1,0)*Table_NFI[[#This Row],[Winter Clothes Children]],Table_NFI[Winter Clothes Children])</f>
        <v>0</v>
      </c>
      <c r="AK894" s="294">
        <f>IF(NFI_Expiration=1,IF($A894&lt;VLOOKUP(T$5,NFI,5,0),1,0)*Table_NFI[[#This Row],[Winter Items Other]],Table_NFI[Winter Items Other])</f>
        <v>0</v>
      </c>
      <c r="AL894" s="294">
        <f>IF(NFI_Expiration=1,IF($A894&lt;VLOOKUP(M$5,NFI,5,0),1,0)*Table_NFI[[#This Row],[Winter Blanket]],Table_NFI[[#This Row],[Winter Blanket]])</f>
        <v>0</v>
      </c>
      <c r="AM894" s="294">
        <f>IF(Table_NFI[[#This Row],[Winter Clothes Adult]]+Table_NFI[[#This Row],[Winter Clothes Children]]+Table_NFI[[#This Row],[Winter Items Other]]+Table_NFI[[#This Row],[Winter Blanket]]&gt;0,1,0)</f>
        <v>0</v>
      </c>
      <c r="AN894" s="331">
        <f>IF(NFI_Expiration=1,IF($A894&lt;VLOOKUP(V$5,NFI,5,0),1,0)*Table_NFI[[#This Row],[Jerry Can]],Table_NFI[Jerry Can])</f>
        <v>0</v>
      </c>
      <c r="AO894" s="331">
        <f>IF(NFI_Expiration=1,IF($A894&lt;VLOOKUP(V$5,NFI,5,0),1,0)*Table_NFI[[#This Row],[Shelter Tool kit]],Table_NFI[Shelter Tool kit])</f>
        <v>0</v>
      </c>
      <c r="AP894" s="331">
        <f>IF(NFI_Expiration=1,IF($A894&lt;VLOOKUP(V$5,NFI,5,0),1,0)*Table_NFI[[#This Row],[Tent]],Table_NFI[Tent])</f>
        <v>0</v>
      </c>
      <c r="AQ894" s="473" t="str">
        <f>IFERROR(VLOOKUP(Table_NFI[[#This Row],[Camp Name]],CL,2,0),"")</f>
        <v>MMR001CMP047</v>
      </c>
      <c r="AR894" s="468">
        <f ca="1">IF(Table_NFI[[#This Row],[Pcode]]="","",IF(OFFSET(CampList[Opening Date],MATCH(Table_NFI[[#This Row],[Pcode]],CampList[CP_Pcode],0)-1,0,1,1)&gt;=NFI_Monitor_Date,1,0))</f>
        <v>0</v>
      </c>
      <c r="AS894" s="473" t="str">
        <f>IFERROR(VLOOKUP(Table_NFI[[#This Row],[Camp Name]],CL,3,0),"")</f>
        <v>Open</v>
      </c>
      <c r="AT894" s="294" t="str">
        <f ca="1">IF(Table_NFI[[#This Row],[Pcode]]="","",OFFSET(CampList[Priority],MATCH(Table_NFI[[#This Row],[Pcode]],CampList[CP_Pcode],0)-1,0,1,1))</f>
        <v>P4</v>
      </c>
      <c r="AU894" s="293">
        <f>IFERROR(Table_NFI[[#This Row],[Kitchen Set]]/VLOOKUP(Table_NFI[[#This Row],[Camp Name]],CL,4,0),"")</f>
        <v>0.24121405750798722</v>
      </c>
      <c r="AV894" s="466" t="s">
        <v>1092</v>
      </c>
      <c r="AW894" s="469"/>
    </row>
    <row r="895" spans="1:49" ht="14.45" customHeight="1" x14ac:dyDescent="0.25">
      <c r="A895" s="297">
        <f t="shared" si="13"/>
        <v>51.5</v>
      </c>
      <c r="B895" s="465">
        <v>41130</v>
      </c>
      <c r="C895" s="466" t="s">
        <v>452</v>
      </c>
      <c r="D895" s="467" t="s">
        <v>452</v>
      </c>
      <c r="E895" s="466" t="s">
        <v>380</v>
      </c>
      <c r="F895" s="290" t="s">
        <v>237</v>
      </c>
      <c r="G895" s="290" t="s">
        <v>253</v>
      </c>
      <c r="H895" s="291"/>
      <c r="I895" s="296"/>
      <c r="J895" s="289"/>
      <c r="K895" s="289">
        <v>7</v>
      </c>
      <c r="L895" s="289">
        <v>3</v>
      </c>
      <c r="M895" s="289">
        <v>7</v>
      </c>
      <c r="N895" s="289">
        <v>3</v>
      </c>
      <c r="O895" s="289">
        <v>3</v>
      </c>
      <c r="P895" s="294">
        <v>3</v>
      </c>
      <c r="Q895" s="294">
        <v>3</v>
      </c>
      <c r="R895" s="294"/>
      <c r="S895" s="294"/>
      <c r="T895" s="294"/>
      <c r="U895" s="294"/>
      <c r="V895" s="431"/>
      <c r="W895" s="294"/>
      <c r="X895" s="294"/>
      <c r="Y895" s="294">
        <f>IF(NFI_Expiration=1,IF($A895&lt;VLOOKUP(H$5,NFI,5,0),1,0)*Table_NFI[[#This Row],[Hygiene Kit]],Table_NFI[Hygiene Kit])</f>
        <v>0</v>
      </c>
      <c r="Z895" s="294">
        <f>IF(NFI_Expiration=1,IF($A895&lt;VLOOKUP(I$5,NFI,5,0),1,0)*Table_NFI[[#This Row],[NFI Core Kit]],Table_NFI[NFI Core Kit])</f>
        <v>0</v>
      </c>
      <c r="AA895" s="294">
        <f>IF(NFI_Expiration=1,IF($A895&lt;VLOOKUP(J$5,NFI,5,0),1,0)*Table_NFI[[#This Row],[Sanitary Kit]],Table_NFI[Sanitary Kit])</f>
        <v>0</v>
      </c>
      <c r="AB895" s="294">
        <f>IF(NFI_Expiration=1,IF($A895&lt;VLOOKUP(K$5,NFI,5,0),1,0)*Table_NFI[[#This Row],[Mosquito net]],Table_NFI[Mosquito net])</f>
        <v>0</v>
      </c>
      <c r="AC895" s="294">
        <f>IF(NFI_Expiration=1,IF($A895&lt;VLOOKUP(L$5,NFI,5,0),1,0)*Table_NFI[[#This Row],[Tarpaulin]],Table_NFI[[#This Row],[Tarpaulin]])</f>
        <v>0</v>
      </c>
      <c r="AD895" s="294">
        <f>IF(NFI_Expiration=1,IF($A895&lt;VLOOKUP(M$5,NFI,5,0),1,0)*Table_NFI[[#This Row],[Blanket]],Table_NFI[[#This Row],[Blanket]])</f>
        <v>0</v>
      </c>
      <c r="AE895" s="294">
        <f>IF(NFI_Expiration=1,IF($A895&lt;VLOOKUP(N$5,NFI,5,0),1,0)*Table_NFI[[#This Row],[Kitchen Set]],Table_NFI[Kitchen Set])</f>
        <v>0</v>
      </c>
      <c r="AF895" s="294">
        <f>IF(NFI_Expiration=1,IF($A895&lt;VLOOKUP(O$5,NFI,5,0),1,0)*Table_NFI[[#This Row],[Clothes Kit]],Table_NFI[Clothes Kit])</f>
        <v>0</v>
      </c>
      <c r="AG895" s="294">
        <f>IF(NFI_Expiration=1,IF($A895&lt;VLOOKUP(P$5,NFI,5,0),1,0)*Table_NFI[[#This Row],[Plastic Bucket]],Table_NFI[Plastic Bucket])</f>
        <v>0</v>
      </c>
      <c r="AH895" s="294">
        <f>IF(NFI_Expiration=1,IF($A895&lt;VLOOKUP(Q$5,NFI,5,0),1,0)*Table_NFI[[#This Row],[Plastic Mat]],Table_NFI[Plastic Mat])*IF(Table_NFI[[#This Row],[Distribution Date]]&gt;"2014-04-01",1,2.5)</f>
        <v>0</v>
      </c>
      <c r="AI895" s="294">
        <f>IF(NFI_Expiration=1,IF($A895&lt;VLOOKUP(R$5,NFI,5,0),1,0)*Table_NFI[[#This Row],[Winter Clothes Adult]],Table_NFI[Winter Clothes Adult])</f>
        <v>0</v>
      </c>
      <c r="AJ895" s="294">
        <f>IF(NFI_Expiration=1,IF($A895&lt;VLOOKUP(S$5,NFI,5,0),1,0)*Table_NFI[[#This Row],[Winter Clothes Children]],Table_NFI[Winter Clothes Children])</f>
        <v>0</v>
      </c>
      <c r="AK895" s="294">
        <f>IF(NFI_Expiration=1,IF($A895&lt;VLOOKUP(T$5,NFI,5,0),1,0)*Table_NFI[[#This Row],[Winter Items Other]],Table_NFI[Winter Items Other])</f>
        <v>0</v>
      </c>
      <c r="AL895" s="294">
        <f>IF(NFI_Expiration=1,IF($A895&lt;VLOOKUP(M$5,NFI,5,0),1,0)*Table_NFI[[#This Row],[Winter Blanket]],Table_NFI[[#This Row],[Winter Blanket]])</f>
        <v>0</v>
      </c>
      <c r="AM895" s="294">
        <f>IF(Table_NFI[[#This Row],[Winter Clothes Adult]]+Table_NFI[[#This Row],[Winter Clothes Children]]+Table_NFI[[#This Row],[Winter Items Other]]+Table_NFI[[#This Row],[Winter Blanket]]&gt;0,1,0)</f>
        <v>0</v>
      </c>
      <c r="AN895" s="331">
        <f>IF(NFI_Expiration=1,IF($A895&lt;VLOOKUP(V$5,NFI,5,0),1,0)*Table_NFI[[#This Row],[Jerry Can]],Table_NFI[Jerry Can])</f>
        <v>0</v>
      </c>
      <c r="AO895" s="331">
        <f>IF(NFI_Expiration=1,IF($A895&lt;VLOOKUP(V$5,NFI,5,0),1,0)*Table_NFI[[#This Row],[Shelter Tool kit]],Table_NFI[Shelter Tool kit])</f>
        <v>0</v>
      </c>
      <c r="AP895" s="331">
        <f>IF(NFI_Expiration=1,IF($A895&lt;VLOOKUP(V$5,NFI,5,0),1,0)*Table_NFI[[#This Row],[Tent]],Table_NFI[Tent])</f>
        <v>0</v>
      </c>
      <c r="AQ895" s="473" t="str">
        <f>IFERROR(VLOOKUP(Table_NFI[[#This Row],[Camp Name]],CL,2,0),"")</f>
        <v>MMR001CMP018</v>
      </c>
      <c r="AR895" s="468">
        <f ca="1">IF(Table_NFI[[#This Row],[Pcode]]="","",IF(OFFSET(CampList[Opening Date],MATCH(Table_NFI[[#This Row],[Pcode]],CampList[CP_Pcode],0)-1,0,1,1)&gt;=NFI_Monitor_Date,1,0))</f>
        <v>0</v>
      </c>
      <c r="AS895" s="473" t="str">
        <f>IFERROR(VLOOKUP(Table_NFI[[#This Row],[Camp Name]],CL,3,0),"")</f>
        <v>Open</v>
      </c>
      <c r="AT895" s="294" t="str">
        <f ca="1">IF(Table_NFI[[#This Row],[Pcode]]="","",OFFSET(CampList[Priority],MATCH(Table_NFI[[#This Row],[Pcode]],CampList[CP_Pcode],0)-1,0,1,1))</f>
        <v>P4</v>
      </c>
      <c r="AU895" s="293">
        <f>IFERROR(Table_NFI[[#This Row],[Kitchen Set]]/VLOOKUP(Table_NFI[[#This Row],[Camp Name]],CL,4,0),"")</f>
        <v>1.5151515151515152E-2</v>
      </c>
      <c r="AV895" s="466" t="s">
        <v>1092</v>
      </c>
      <c r="AW895" s="469"/>
    </row>
    <row r="896" spans="1:49" ht="14.45" customHeight="1" x14ac:dyDescent="0.25">
      <c r="A896" s="297">
        <f t="shared" si="13"/>
        <v>51.5</v>
      </c>
      <c r="B896" s="465">
        <v>41130</v>
      </c>
      <c r="C896" s="466" t="s">
        <v>452</v>
      </c>
      <c r="D896" s="467" t="s">
        <v>452</v>
      </c>
      <c r="E896" s="466" t="s">
        <v>380</v>
      </c>
      <c r="F896" s="290" t="s">
        <v>237</v>
      </c>
      <c r="G896" s="290" t="s">
        <v>259</v>
      </c>
      <c r="H896" s="291"/>
      <c r="I896" s="291"/>
      <c r="J896" s="291"/>
      <c r="K896" s="291">
        <v>2</v>
      </c>
      <c r="L896" s="292">
        <v>1</v>
      </c>
      <c r="M896" s="292">
        <v>2</v>
      </c>
      <c r="N896" s="292">
        <v>1</v>
      </c>
      <c r="O896" s="292">
        <v>1</v>
      </c>
      <c r="P896" s="294">
        <v>1</v>
      </c>
      <c r="Q896" s="294">
        <v>1</v>
      </c>
      <c r="R896" s="294"/>
      <c r="S896" s="294"/>
      <c r="T896" s="294"/>
      <c r="U896" s="294"/>
      <c r="V896" s="431"/>
      <c r="W896" s="294"/>
      <c r="X896" s="294"/>
      <c r="Y896" s="294">
        <f>IF(NFI_Expiration=1,IF($A896&lt;VLOOKUP(H$5,NFI,5,0),1,0)*Table_NFI[[#This Row],[Hygiene Kit]],Table_NFI[Hygiene Kit])</f>
        <v>0</v>
      </c>
      <c r="Z896" s="294">
        <f>IF(NFI_Expiration=1,IF($A896&lt;VLOOKUP(I$5,NFI,5,0),1,0)*Table_NFI[[#This Row],[NFI Core Kit]],Table_NFI[NFI Core Kit])</f>
        <v>0</v>
      </c>
      <c r="AA896" s="294">
        <f>IF(NFI_Expiration=1,IF($A896&lt;VLOOKUP(J$5,NFI,5,0),1,0)*Table_NFI[[#This Row],[Sanitary Kit]],Table_NFI[Sanitary Kit])</f>
        <v>0</v>
      </c>
      <c r="AB896" s="294">
        <f>IF(NFI_Expiration=1,IF($A896&lt;VLOOKUP(K$5,NFI,5,0),1,0)*Table_NFI[[#This Row],[Mosquito net]],Table_NFI[Mosquito net])</f>
        <v>0</v>
      </c>
      <c r="AC896" s="294">
        <f>IF(NFI_Expiration=1,IF($A896&lt;VLOOKUP(L$5,NFI,5,0),1,0)*Table_NFI[[#This Row],[Tarpaulin]],Table_NFI[[#This Row],[Tarpaulin]])</f>
        <v>0</v>
      </c>
      <c r="AD896" s="294">
        <f>IF(NFI_Expiration=1,IF($A896&lt;VLOOKUP(M$5,NFI,5,0),1,0)*Table_NFI[[#This Row],[Blanket]],Table_NFI[[#This Row],[Blanket]])</f>
        <v>0</v>
      </c>
      <c r="AE896" s="294">
        <f>IF(NFI_Expiration=1,IF($A896&lt;VLOOKUP(N$5,NFI,5,0),1,0)*Table_NFI[[#This Row],[Kitchen Set]],Table_NFI[Kitchen Set])</f>
        <v>0</v>
      </c>
      <c r="AF896" s="294">
        <f>IF(NFI_Expiration=1,IF($A896&lt;VLOOKUP(O$5,NFI,5,0),1,0)*Table_NFI[[#This Row],[Clothes Kit]],Table_NFI[Clothes Kit])</f>
        <v>0</v>
      </c>
      <c r="AG896" s="294">
        <f>IF(NFI_Expiration=1,IF($A896&lt;VLOOKUP(P$5,NFI,5,0),1,0)*Table_NFI[[#This Row],[Plastic Bucket]],Table_NFI[Plastic Bucket])</f>
        <v>0</v>
      </c>
      <c r="AH896" s="294">
        <f>IF(NFI_Expiration=1,IF($A896&lt;VLOOKUP(Q$5,NFI,5,0),1,0)*Table_NFI[[#This Row],[Plastic Mat]],Table_NFI[Plastic Mat])*IF(Table_NFI[[#This Row],[Distribution Date]]&gt;"2014-04-01",1,2.5)</f>
        <v>0</v>
      </c>
      <c r="AI896" s="294">
        <f>IF(NFI_Expiration=1,IF($A896&lt;VLOOKUP(R$5,NFI,5,0),1,0)*Table_NFI[[#This Row],[Winter Clothes Adult]],Table_NFI[Winter Clothes Adult])</f>
        <v>0</v>
      </c>
      <c r="AJ896" s="294">
        <f>IF(NFI_Expiration=1,IF($A896&lt;VLOOKUP(S$5,NFI,5,0),1,0)*Table_NFI[[#This Row],[Winter Clothes Children]],Table_NFI[Winter Clothes Children])</f>
        <v>0</v>
      </c>
      <c r="AK896" s="294">
        <f>IF(NFI_Expiration=1,IF($A896&lt;VLOOKUP(T$5,NFI,5,0),1,0)*Table_NFI[[#This Row],[Winter Items Other]],Table_NFI[Winter Items Other])</f>
        <v>0</v>
      </c>
      <c r="AL896" s="294">
        <f>IF(NFI_Expiration=1,IF($A896&lt;VLOOKUP(M$5,NFI,5,0),1,0)*Table_NFI[[#This Row],[Winter Blanket]],Table_NFI[[#This Row],[Winter Blanket]])</f>
        <v>0</v>
      </c>
      <c r="AM896" s="294">
        <f>IF(Table_NFI[[#This Row],[Winter Clothes Adult]]+Table_NFI[[#This Row],[Winter Clothes Children]]+Table_NFI[[#This Row],[Winter Items Other]]+Table_NFI[[#This Row],[Winter Blanket]]&gt;0,1,0)</f>
        <v>0</v>
      </c>
      <c r="AN896" s="331">
        <f>IF(NFI_Expiration=1,IF($A896&lt;VLOOKUP(V$5,NFI,5,0),1,0)*Table_NFI[[#This Row],[Jerry Can]],Table_NFI[Jerry Can])</f>
        <v>0</v>
      </c>
      <c r="AO896" s="331">
        <f>IF(NFI_Expiration=1,IF($A896&lt;VLOOKUP(V$5,NFI,5,0),1,0)*Table_NFI[[#This Row],[Shelter Tool kit]],Table_NFI[Shelter Tool kit])</f>
        <v>0</v>
      </c>
      <c r="AP896" s="331">
        <f>IF(NFI_Expiration=1,IF($A896&lt;VLOOKUP(V$5,NFI,5,0),1,0)*Table_NFI[[#This Row],[Tent]],Table_NFI[Tent])</f>
        <v>0</v>
      </c>
      <c r="AQ896" s="473" t="str">
        <f>IFERROR(VLOOKUP(Table_NFI[[#This Row],[Camp Name]],CL,2,0),"")</f>
        <v>MMR001CMP016</v>
      </c>
      <c r="AR896" s="468">
        <f ca="1">IF(Table_NFI[[#This Row],[Pcode]]="","",IF(OFFSET(CampList[Opening Date],MATCH(Table_NFI[[#This Row],[Pcode]],CampList[CP_Pcode],0)-1,0,1,1)&gt;=NFI_Monitor_Date,1,0))</f>
        <v>0</v>
      </c>
      <c r="AS896" s="473" t="str">
        <f>IFERROR(VLOOKUP(Table_NFI[[#This Row],[Camp Name]],CL,3,0),"")</f>
        <v>Open</v>
      </c>
      <c r="AT896" s="294" t="str">
        <f ca="1">IF(Table_NFI[[#This Row],[Pcode]]="","",OFFSET(CampList[Priority],MATCH(Table_NFI[[#This Row],[Pcode]],CampList[CP_Pcode],0)-1,0,1,1))</f>
        <v>P4</v>
      </c>
      <c r="AU896" s="293">
        <f>IFERROR(Table_NFI[[#This Row],[Kitchen Set]]/VLOOKUP(Table_NFI[[#This Row],[Camp Name]],CL,4,0),"")</f>
        <v>1.6666666666666666E-2</v>
      </c>
      <c r="AV896" s="466" t="s">
        <v>1092</v>
      </c>
      <c r="AW896" s="469"/>
    </row>
    <row r="897" spans="1:49" ht="14.45" customHeight="1" x14ac:dyDescent="0.25">
      <c r="A897" s="297">
        <f t="shared" si="13"/>
        <v>51.5</v>
      </c>
      <c r="B897" s="465">
        <v>41130</v>
      </c>
      <c r="C897" s="466" t="s">
        <v>452</v>
      </c>
      <c r="D897" s="466" t="s">
        <v>452</v>
      </c>
      <c r="E897" s="466" t="s">
        <v>380</v>
      </c>
      <c r="F897" s="290" t="s">
        <v>237</v>
      </c>
      <c r="G897" s="290" t="s">
        <v>263</v>
      </c>
      <c r="H897" s="291"/>
      <c r="I897" s="291"/>
      <c r="J897" s="291"/>
      <c r="K897" s="291">
        <v>2</v>
      </c>
      <c r="L897" s="292">
        <v>1</v>
      </c>
      <c r="M897" s="292">
        <v>2</v>
      </c>
      <c r="N897" s="292">
        <v>1</v>
      </c>
      <c r="O897" s="292">
        <v>1</v>
      </c>
      <c r="P897" s="294">
        <v>1</v>
      </c>
      <c r="Q897" s="294">
        <v>1</v>
      </c>
      <c r="R897" s="294"/>
      <c r="S897" s="294"/>
      <c r="T897" s="294"/>
      <c r="U897" s="294"/>
      <c r="V897" s="431"/>
      <c r="W897" s="294"/>
      <c r="X897" s="294"/>
      <c r="Y897" s="294">
        <f>IF(NFI_Expiration=1,IF($A897&lt;VLOOKUP(H$5,NFI,5,0),1,0)*Table_NFI[[#This Row],[Hygiene Kit]],Table_NFI[Hygiene Kit])</f>
        <v>0</v>
      </c>
      <c r="Z897" s="294">
        <f>IF(NFI_Expiration=1,IF($A897&lt;VLOOKUP(I$5,NFI,5,0),1,0)*Table_NFI[[#This Row],[NFI Core Kit]],Table_NFI[NFI Core Kit])</f>
        <v>0</v>
      </c>
      <c r="AA897" s="294">
        <f>IF(NFI_Expiration=1,IF($A897&lt;VLOOKUP(J$5,NFI,5,0),1,0)*Table_NFI[[#This Row],[Sanitary Kit]],Table_NFI[Sanitary Kit])</f>
        <v>0</v>
      </c>
      <c r="AB897" s="294">
        <f>IF(NFI_Expiration=1,IF($A897&lt;VLOOKUP(K$5,NFI,5,0),1,0)*Table_NFI[[#This Row],[Mosquito net]],Table_NFI[Mosquito net])</f>
        <v>0</v>
      </c>
      <c r="AC897" s="294">
        <f>IF(NFI_Expiration=1,IF($A897&lt;VLOOKUP(L$5,NFI,5,0),1,0)*Table_NFI[[#This Row],[Tarpaulin]],Table_NFI[[#This Row],[Tarpaulin]])</f>
        <v>0</v>
      </c>
      <c r="AD897" s="294">
        <f>IF(NFI_Expiration=1,IF($A897&lt;VLOOKUP(M$5,NFI,5,0),1,0)*Table_NFI[[#This Row],[Blanket]],Table_NFI[[#This Row],[Blanket]])</f>
        <v>0</v>
      </c>
      <c r="AE897" s="294">
        <f>IF(NFI_Expiration=1,IF($A897&lt;VLOOKUP(N$5,NFI,5,0),1,0)*Table_NFI[[#This Row],[Kitchen Set]],Table_NFI[Kitchen Set])</f>
        <v>0</v>
      </c>
      <c r="AF897" s="294">
        <f>IF(NFI_Expiration=1,IF($A897&lt;VLOOKUP(O$5,NFI,5,0),1,0)*Table_NFI[[#This Row],[Clothes Kit]],Table_NFI[Clothes Kit])</f>
        <v>0</v>
      </c>
      <c r="AG897" s="294">
        <f>IF(NFI_Expiration=1,IF($A897&lt;VLOOKUP(P$5,NFI,5,0),1,0)*Table_NFI[[#This Row],[Plastic Bucket]],Table_NFI[Plastic Bucket])</f>
        <v>0</v>
      </c>
      <c r="AH897" s="294">
        <f>IF(NFI_Expiration=1,IF($A897&lt;VLOOKUP(Q$5,NFI,5,0),1,0)*Table_NFI[[#This Row],[Plastic Mat]],Table_NFI[Plastic Mat])*IF(Table_NFI[[#This Row],[Distribution Date]]&gt;"2014-04-01",1,2.5)</f>
        <v>0</v>
      </c>
      <c r="AI897" s="294">
        <f>IF(NFI_Expiration=1,IF($A897&lt;VLOOKUP(R$5,NFI,5,0),1,0)*Table_NFI[[#This Row],[Winter Clothes Adult]],Table_NFI[Winter Clothes Adult])</f>
        <v>0</v>
      </c>
      <c r="AJ897" s="294">
        <f>IF(NFI_Expiration=1,IF($A897&lt;VLOOKUP(S$5,NFI,5,0),1,0)*Table_NFI[[#This Row],[Winter Clothes Children]],Table_NFI[Winter Clothes Children])</f>
        <v>0</v>
      </c>
      <c r="AK897" s="294">
        <f>IF(NFI_Expiration=1,IF($A897&lt;VLOOKUP(T$5,NFI,5,0),1,0)*Table_NFI[[#This Row],[Winter Items Other]],Table_NFI[Winter Items Other])</f>
        <v>0</v>
      </c>
      <c r="AL897" s="294">
        <f>IF(NFI_Expiration=1,IF($A897&lt;VLOOKUP(M$5,NFI,5,0),1,0)*Table_NFI[[#This Row],[Winter Blanket]],Table_NFI[[#This Row],[Winter Blanket]])</f>
        <v>0</v>
      </c>
      <c r="AM897" s="294">
        <f>IF(Table_NFI[[#This Row],[Winter Clothes Adult]]+Table_NFI[[#This Row],[Winter Clothes Children]]+Table_NFI[[#This Row],[Winter Items Other]]+Table_NFI[[#This Row],[Winter Blanket]]&gt;0,1,0)</f>
        <v>0</v>
      </c>
      <c r="AN897" s="331">
        <f>IF(NFI_Expiration=1,IF($A897&lt;VLOOKUP(V$5,NFI,5,0),1,0)*Table_NFI[[#This Row],[Jerry Can]],Table_NFI[Jerry Can])</f>
        <v>0</v>
      </c>
      <c r="AO897" s="331">
        <f>IF(NFI_Expiration=1,IF($A897&lt;VLOOKUP(V$5,NFI,5,0),1,0)*Table_NFI[[#This Row],[Shelter Tool kit]],Table_NFI[Shelter Tool kit])</f>
        <v>0</v>
      </c>
      <c r="AP897" s="331">
        <f>IF(NFI_Expiration=1,IF($A897&lt;VLOOKUP(V$5,NFI,5,0),1,0)*Table_NFI[[#This Row],[Tent]],Table_NFI[Tent])</f>
        <v>0</v>
      </c>
      <c r="AQ897" s="473" t="str">
        <f>IFERROR(VLOOKUP(Table_NFI[[#This Row],[Camp Name]],CL,2,0),"")</f>
        <v>MMR001CMP020</v>
      </c>
      <c r="AR897" s="468">
        <f ca="1">IF(Table_NFI[[#This Row],[Pcode]]="","",IF(OFFSET(CampList[Opening Date],MATCH(Table_NFI[[#This Row],[Pcode]],CampList[CP_Pcode],0)-1,0,1,1)&gt;=NFI_Monitor_Date,1,0))</f>
        <v>0</v>
      </c>
      <c r="AS897" s="473" t="str">
        <f>IFERROR(VLOOKUP(Table_NFI[[#This Row],[Camp Name]],CL,3,0),"")</f>
        <v>Open</v>
      </c>
      <c r="AT897" s="294" t="str">
        <f ca="1">IF(Table_NFI[[#This Row],[Pcode]]="","",OFFSET(CampList[Priority],MATCH(Table_NFI[[#This Row],[Pcode]],CampList[CP_Pcode],0)-1,0,1,1))</f>
        <v>P4</v>
      </c>
      <c r="AU897" s="293">
        <f>IFERROR(Table_NFI[[#This Row],[Kitchen Set]]/VLOOKUP(Table_NFI[[#This Row],[Camp Name]],CL,4,0),"")</f>
        <v>4.7619047619047616E-2</v>
      </c>
      <c r="AV897" s="466" t="s">
        <v>1092</v>
      </c>
      <c r="AW897" s="469"/>
    </row>
    <row r="898" spans="1:49" ht="14.45" customHeight="1" x14ac:dyDescent="0.25">
      <c r="A898" s="297">
        <f t="shared" si="13"/>
        <v>51.5</v>
      </c>
      <c r="B898" s="465">
        <v>41130</v>
      </c>
      <c r="C898" s="466" t="s">
        <v>452</v>
      </c>
      <c r="D898" s="466" t="s">
        <v>452</v>
      </c>
      <c r="E898" s="466" t="s">
        <v>380</v>
      </c>
      <c r="F898" s="290" t="s">
        <v>237</v>
      </c>
      <c r="G898" s="290" t="s">
        <v>265</v>
      </c>
      <c r="H898" s="291"/>
      <c r="I898" s="291"/>
      <c r="J898" s="291"/>
      <c r="K898" s="291">
        <v>10</v>
      </c>
      <c r="L898" s="292">
        <v>5</v>
      </c>
      <c r="M898" s="292">
        <v>10</v>
      </c>
      <c r="N898" s="292">
        <v>5</v>
      </c>
      <c r="O898" s="292">
        <v>5</v>
      </c>
      <c r="P898" s="294">
        <v>5</v>
      </c>
      <c r="Q898" s="294">
        <v>5</v>
      </c>
      <c r="R898" s="294"/>
      <c r="S898" s="294"/>
      <c r="T898" s="294"/>
      <c r="U898" s="294"/>
      <c r="V898" s="431"/>
      <c r="W898" s="294"/>
      <c r="X898" s="294"/>
      <c r="Y898" s="294">
        <f>IF(NFI_Expiration=1,IF($A898&lt;VLOOKUP(H$5,NFI,5,0),1,0)*Table_NFI[[#This Row],[Hygiene Kit]],Table_NFI[Hygiene Kit])</f>
        <v>0</v>
      </c>
      <c r="Z898" s="294">
        <f>IF(NFI_Expiration=1,IF($A898&lt;VLOOKUP(I$5,NFI,5,0),1,0)*Table_NFI[[#This Row],[NFI Core Kit]],Table_NFI[NFI Core Kit])</f>
        <v>0</v>
      </c>
      <c r="AA898" s="294">
        <f>IF(NFI_Expiration=1,IF($A898&lt;VLOOKUP(J$5,NFI,5,0),1,0)*Table_NFI[[#This Row],[Sanitary Kit]],Table_NFI[Sanitary Kit])</f>
        <v>0</v>
      </c>
      <c r="AB898" s="294">
        <f>IF(NFI_Expiration=1,IF($A898&lt;VLOOKUP(K$5,NFI,5,0),1,0)*Table_NFI[[#This Row],[Mosquito net]],Table_NFI[Mosquito net])</f>
        <v>0</v>
      </c>
      <c r="AC898" s="294">
        <f>IF(NFI_Expiration=1,IF($A898&lt;VLOOKUP(L$5,NFI,5,0),1,0)*Table_NFI[[#This Row],[Tarpaulin]],Table_NFI[[#This Row],[Tarpaulin]])</f>
        <v>0</v>
      </c>
      <c r="AD898" s="294">
        <f>IF(NFI_Expiration=1,IF($A898&lt;VLOOKUP(M$5,NFI,5,0),1,0)*Table_NFI[[#This Row],[Blanket]],Table_NFI[[#This Row],[Blanket]])</f>
        <v>0</v>
      </c>
      <c r="AE898" s="294">
        <f>IF(NFI_Expiration=1,IF($A898&lt;VLOOKUP(N$5,NFI,5,0),1,0)*Table_NFI[[#This Row],[Kitchen Set]],Table_NFI[Kitchen Set])</f>
        <v>0</v>
      </c>
      <c r="AF898" s="294">
        <f>IF(NFI_Expiration=1,IF($A898&lt;VLOOKUP(O$5,NFI,5,0),1,0)*Table_NFI[[#This Row],[Clothes Kit]],Table_NFI[Clothes Kit])</f>
        <v>0</v>
      </c>
      <c r="AG898" s="294">
        <f>IF(NFI_Expiration=1,IF($A898&lt;VLOOKUP(P$5,NFI,5,0),1,0)*Table_NFI[[#This Row],[Plastic Bucket]],Table_NFI[Plastic Bucket])</f>
        <v>0</v>
      </c>
      <c r="AH898" s="294">
        <f>IF(NFI_Expiration=1,IF($A898&lt;VLOOKUP(Q$5,NFI,5,0),1,0)*Table_NFI[[#This Row],[Plastic Mat]],Table_NFI[Plastic Mat])*IF(Table_NFI[[#This Row],[Distribution Date]]&gt;"2014-04-01",1,2.5)</f>
        <v>0</v>
      </c>
      <c r="AI898" s="294">
        <f>IF(NFI_Expiration=1,IF($A898&lt;VLOOKUP(R$5,NFI,5,0),1,0)*Table_NFI[[#This Row],[Winter Clothes Adult]],Table_NFI[Winter Clothes Adult])</f>
        <v>0</v>
      </c>
      <c r="AJ898" s="294">
        <f>IF(NFI_Expiration=1,IF($A898&lt;VLOOKUP(S$5,NFI,5,0),1,0)*Table_NFI[[#This Row],[Winter Clothes Children]],Table_NFI[Winter Clothes Children])</f>
        <v>0</v>
      </c>
      <c r="AK898" s="294">
        <f>IF(NFI_Expiration=1,IF($A898&lt;VLOOKUP(T$5,NFI,5,0),1,0)*Table_NFI[[#This Row],[Winter Items Other]],Table_NFI[Winter Items Other])</f>
        <v>0</v>
      </c>
      <c r="AL898" s="294">
        <f>IF(NFI_Expiration=1,IF($A898&lt;VLOOKUP(M$5,NFI,5,0),1,0)*Table_NFI[[#This Row],[Winter Blanket]],Table_NFI[[#This Row],[Winter Blanket]])</f>
        <v>0</v>
      </c>
      <c r="AM898" s="294">
        <f>IF(Table_NFI[[#This Row],[Winter Clothes Adult]]+Table_NFI[[#This Row],[Winter Clothes Children]]+Table_NFI[[#This Row],[Winter Items Other]]+Table_NFI[[#This Row],[Winter Blanket]]&gt;0,1,0)</f>
        <v>0</v>
      </c>
      <c r="AN898" s="331">
        <f>IF(NFI_Expiration=1,IF($A898&lt;VLOOKUP(V$5,NFI,5,0),1,0)*Table_NFI[[#This Row],[Jerry Can]],Table_NFI[Jerry Can])</f>
        <v>0</v>
      </c>
      <c r="AO898" s="331">
        <f>IF(NFI_Expiration=1,IF($A898&lt;VLOOKUP(V$5,NFI,5,0),1,0)*Table_NFI[[#This Row],[Shelter Tool kit]],Table_NFI[Shelter Tool kit])</f>
        <v>0</v>
      </c>
      <c r="AP898" s="331">
        <f>IF(NFI_Expiration=1,IF($A898&lt;VLOOKUP(V$5,NFI,5,0),1,0)*Table_NFI[[#This Row],[Tent]],Table_NFI[Tent])</f>
        <v>0</v>
      </c>
      <c r="AQ898" s="473" t="str">
        <f>IFERROR(VLOOKUP(Table_NFI[[#This Row],[Camp Name]],CL,2,0),"")</f>
        <v>MMR001CMP021</v>
      </c>
      <c r="AR898" s="468">
        <f ca="1">IF(Table_NFI[[#This Row],[Pcode]]="","",IF(OFFSET(CampList[Opening Date],MATCH(Table_NFI[[#This Row],[Pcode]],CampList[CP_Pcode],0)-1,0,1,1)&gt;=NFI_Monitor_Date,1,0))</f>
        <v>0</v>
      </c>
      <c r="AS898" s="473" t="str">
        <f>IFERROR(VLOOKUP(Table_NFI[[#This Row],[Camp Name]],CL,3,0),"")</f>
        <v>Open</v>
      </c>
      <c r="AT898" s="294" t="str">
        <f ca="1">IF(Table_NFI[[#This Row],[Pcode]]="","",OFFSET(CampList[Priority],MATCH(Table_NFI[[#This Row],[Pcode]],CampList[CP_Pcode],0)-1,0,1,1))</f>
        <v>P4</v>
      </c>
      <c r="AU898" s="293">
        <f>IFERROR(Table_NFI[[#This Row],[Kitchen Set]]/VLOOKUP(Table_NFI[[#This Row],[Camp Name]],CL,4,0),"")</f>
        <v>0.35714285714285715</v>
      </c>
      <c r="AV898" s="466" t="s">
        <v>1092</v>
      </c>
      <c r="AW898" s="469"/>
    </row>
    <row r="899" spans="1:49" ht="14.45" customHeight="1" x14ac:dyDescent="0.25">
      <c r="A899" s="297">
        <f t="shared" si="13"/>
        <v>51.5</v>
      </c>
      <c r="B899" s="465">
        <v>41130</v>
      </c>
      <c r="C899" s="466" t="s">
        <v>452</v>
      </c>
      <c r="D899" s="467" t="s">
        <v>452</v>
      </c>
      <c r="E899" s="466" t="s">
        <v>380</v>
      </c>
      <c r="F899" s="290" t="s">
        <v>237</v>
      </c>
      <c r="G899" s="290" t="s">
        <v>271</v>
      </c>
      <c r="H899" s="291"/>
      <c r="I899" s="291"/>
      <c r="J899" s="291"/>
      <c r="K899" s="291">
        <v>42</v>
      </c>
      <c r="L899" s="292">
        <v>20</v>
      </c>
      <c r="M899" s="292">
        <v>42</v>
      </c>
      <c r="N899" s="292">
        <v>20</v>
      </c>
      <c r="O899" s="292">
        <v>20</v>
      </c>
      <c r="P899" s="294">
        <v>20</v>
      </c>
      <c r="Q899" s="294">
        <v>20</v>
      </c>
      <c r="R899" s="294"/>
      <c r="S899" s="294"/>
      <c r="T899" s="294"/>
      <c r="U899" s="294"/>
      <c r="V899" s="431"/>
      <c r="W899" s="294"/>
      <c r="X899" s="294"/>
      <c r="Y899" s="294">
        <f>IF(NFI_Expiration=1,IF($A899&lt;VLOOKUP(H$5,NFI,5,0),1,0)*Table_NFI[[#This Row],[Hygiene Kit]],Table_NFI[Hygiene Kit])</f>
        <v>0</v>
      </c>
      <c r="Z899" s="294">
        <f>IF(NFI_Expiration=1,IF($A899&lt;VLOOKUP(I$5,NFI,5,0),1,0)*Table_NFI[[#This Row],[NFI Core Kit]],Table_NFI[NFI Core Kit])</f>
        <v>0</v>
      </c>
      <c r="AA899" s="294">
        <f>IF(NFI_Expiration=1,IF($A899&lt;VLOOKUP(J$5,NFI,5,0),1,0)*Table_NFI[[#This Row],[Sanitary Kit]],Table_NFI[Sanitary Kit])</f>
        <v>0</v>
      </c>
      <c r="AB899" s="294">
        <f>IF(NFI_Expiration=1,IF($A899&lt;VLOOKUP(K$5,NFI,5,0),1,0)*Table_NFI[[#This Row],[Mosquito net]],Table_NFI[Mosquito net])</f>
        <v>0</v>
      </c>
      <c r="AC899" s="294">
        <f>IF(NFI_Expiration=1,IF($A899&lt;VLOOKUP(L$5,NFI,5,0),1,0)*Table_NFI[[#This Row],[Tarpaulin]],Table_NFI[[#This Row],[Tarpaulin]])</f>
        <v>0</v>
      </c>
      <c r="AD899" s="294">
        <f>IF(NFI_Expiration=1,IF($A899&lt;VLOOKUP(M$5,NFI,5,0),1,0)*Table_NFI[[#This Row],[Blanket]],Table_NFI[[#This Row],[Blanket]])</f>
        <v>0</v>
      </c>
      <c r="AE899" s="294">
        <f>IF(NFI_Expiration=1,IF($A899&lt;VLOOKUP(N$5,NFI,5,0),1,0)*Table_NFI[[#This Row],[Kitchen Set]],Table_NFI[Kitchen Set])</f>
        <v>0</v>
      </c>
      <c r="AF899" s="294">
        <f>IF(NFI_Expiration=1,IF($A899&lt;VLOOKUP(O$5,NFI,5,0),1,0)*Table_NFI[[#This Row],[Clothes Kit]],Table_NFI[Clothes Kit])</f>
        <v>0</v>
      </c>
      <c r="AG899" s="294">
        <f>IF(NFI_Expiration=1,IF($A899&lt;VLOOKUP(P$5,NFI,5,0),1,0)*Table_NFI[[#This Row],[Plastic Bucket]],Table_NFI[Plastic Bucket])</f>
        <v>0</v>
      </c>
      <c r="AH899" s="294">
        <f>IF(NFI_Expiration=1,IF($A899&lt;VLOOKUP(Q$5,NFI,5,0),1,0)*Table_NFI[[#This Row],[Plastic Mat]],Table_NFI[Plastic Mat])*IF(Table_NFI[[#This Row],[Distribution Date]]&gt;"2014-04-01",1,2.5)</f>
        <v>0</v>
      </c>
      <c r="AI899" s="294">
        <f>IF(NFI_Expiration=1,IF($A899&lt;VLOOKUP(R$5,NFI,5,0),1,0)*Table_NFI[[#This Row],[Winter Clothes Adult]],Table_NFI[Winter Clothes Adult])</f>
        <v>0</v>
      </c>
      <c r="AJ899" s="294">
        <f>IF(NFI_Expiration=1,IF($A899&lt;VLOOKUP(S$5,NFI,5,0),1,0)*Table_NFI[[#This Row],[Winter Clothes Children]],Table_NFI[Winter Clothes Children])</f>
        <v>0</v>
      </c>
      <c r="AK899" s="294">
        <f>IF(NFI_Expiration=1,IF($A899&lt;VLOOKUP(T$5,NFI,5,0),1,0)*Table_NFI[[#This Row],[Winter Items Other]],Table_NFI[Winter Items Other])</f>
        <v>0</v>
      </c>
      <c r="AL899" s="294">
        <f>IF(NFI_Expiration=1,IF($A899&lt;VLOOKUP(M$5,NFI,5,0),1,0)*Table_NFI[[#This Row],[Winter Blanket]],Table_NFI[[#This Row],[Winter Blanket]])</f>
        <v>0</v>
      </c>
      <c r="AM899" s="294">
        <f>IF(Table_NFI[[#This Row],[Winter Clothes Adult]]+Table_NFI[[#This Row],[Winter Clothes Children]]+Table_NFI[[#This Row],[Winter Items Other]]+Table_NFI[[#This Row],[Winter Blanket]]&gt;0,1,0)</f>
        <v>0</v>
      </c>
      <c r="AN899" s="331">
        <f>IF(NFI_Expiration=1,IF($A899&lt;VLOOKUP(V$5,NFI,5,0),1,0)*Table_NFI[[#This Row],[Jerry Can]],Table_NFI[Jerry Can])</f>
        <v>0</v>
      </c>
      <c r="AO899" s="331">
        <f>IF(NFI_Expiration=1,IF($A899&lt;VLOOKUP(V$5,NFI,5,0),1,0)*Table_NFI[[#This Row],[Shelter Tool kit]],Table_NFI[Shelter Tool kit])</f>
        <v>0</v>
      </c>
      <c r="AP899" s="331">
        <f>IF(NFI_Expiration=1,IF($A899&lt;VLOOKUP(V$5,NFI,5,0),1,0)*Table_NFI[[#This Row],[Tent]],Table_NFI[Tent])</f>
        <v>0</v>
      </c>
      <c r="AQ899" s="473" t="str">
        <f>IFERROR(VLOOKUP(Table_NFI[[#This Row],[Camp Name]],CL,2,0),"")</f>
        <v>MMR001CMP024</v>
      </c>
      <c r="AR899" s="468">
        <f ca="1">IF(Table_NFI[[#This Row],[Pcode]]="","",IF(OFFSET(CampList[Opening Date],MATCH(Table_NFI[[#This Row],[Pcode]],CampList[CP_Pcode],0)-1,0,1,1)&gt;=NFI_Monitor_Date,1,0))</f>
        <v>0</v>
      </c>
      <c r="AS899" s="473" t="str">
        <f>IFERROR(VLOOKUP(Table_NFI[[#This Row],[Camp Name]],CL,3,0),"")</f>
        <v>Open</v>
      </c>
      <c r="AT899" s="294" t="str">
        <f ca="1">IF(Table_NFI[[#This Row],[Pcode]]="","",OFFSET(CampList[Priority],MATCH(Table_NFI[[#This Row],[Pcode]],CampList[CP_Pcode],0)-1,0,1,1))</f>
        <v>P4</v>
      </c>
      <c r="AU899" s="293">
        <f>IFERROR(Table_NFI[[#This Row],[Kitchen Set]]/VLOOKUP(Table_NFI[[#This Row],[Camp Name]],CL,4,0),"")</f>
        <v>0.29411764705882354</v>
      </c>
      <c r="AV899" s="466" t="s">
        <v>1092</v>
      </c>
      <c r="AW899" s="469"/>
    </row>
    <row r="900" spans="1:49" ht="14.45" customHeight="1" x14ac:dyDescent="0.25">
      <c r="A900" s="297">
        <f t="shared" si="13"/>
        <v>51.5</v>
      </c>
      <c r="B900" s="465">
        <v>41130</v>
      </c>
      <c r="C900" s="466" t="s">
        <v>452</v>
      </c>
      <c r="D900" s="466" t="s">
        <v>452</v>
      </c>
      <c r="E900" s="466" t="s">
        <v>380</v>
      </c>
      <c r="F900" s="290" t="s">
        <v>237</v>
      </c>
      <c r="G900" s="290" t="s">
        <v>283</v>
      </c>
      <c r="H900" s="291"/>
      <c r="I900" s="291"/>
      <c r="J900" s="291"/>
      <c r="K900" s="291">
        <v>10</v>
      </c>
      <c r="L900" s="292">
        <v>5</v>
      </c>
      <c r="M900" s="292">
        <v>10</v>
      </c>
      <c r="N900" s="292">
        <v>5</v>
      </c>
      <c r="O900" s="292">
        <v>5</v>
      </c>
      <c r="P900" s="294">
        <v>5</v>
      </c>
      <c r="Q900" s="294">
        <v>5</v>
      </c>
      <c r="R900" s="294"/>
      <c r="S900" s="294"/>
      <c r="T900" s="294"/>
      <c r="U900" s="294"/>
      <c r="V900" s="431"/>
      <c r="W900" s="294"/>
      <c r="X900" s="294"/>
      <c r="Y900" s="294">
        <f>IF(NFI_Expiration=1,IF($A900&lt;VLOOKUP(H$5,NFI,5,0),1,0)*Table_NFI[[#This Row],[Hygiene Kit]],Table_NFI[Hygiene Kit])</f>
        <v>0</v>
      </c>
      <c r="Z900" s="294">
        <f>IF(NFI_Expiration=1,IF($A900&lt;VLOOKUP(I$5,NFI,5,0),1,0)*Table_NFI[[#This Row],[NFI Core Kit]],Table_NFI[NFI Core Kit])</f>
        <v>0</v>
      </c>
      <c r="AA900" s="294">
        <f>IF(NFI_Expiration=1,IF($A900&lt;VLOOKUP(J$5,NFI,5,0),1,0)*Table_NFI[[#This Row],[Sanitary Kit]],Table_NFI[Sanitary Kit])</f>
        <v>0</v>
      </c>
      <c r="AB900" s="294">
        <f>IF(NFI_Expiration=1,IF($A900&lt;VLOOKUP(K$5,NFI,5,0),1,0)*Table_NFI[[#This Row],[Mosquito net]],Table_NFI[Mosquito net])</f>
        <v>0</v>
      </c>
      <c r="AC900" s="294">
        <f>IF(NFI_Expiration=1,IF($A900&lt;VLOOKUP(L$5,NFI,5,0),1,0)*Table_NFI[[#This Row],[Tarpaulin]],Table_NFI[[#This Row],[Tarpaulin]])</f>
        <v>0</v>
      </c>
      <c r="AD900" s="294">
        <f>IF(NFI_Expiration=1,IF($A900&lt;VLOOKUP(M$5,NFI,5,0),1,0)*Table_NFI[[#This Row],[Blanket]],Table_NFI[[#This Row],[Blanket]])</f>
        <v>0</v>
      </c>
      <c r="AE900" s="294">
        <f>IF(NFI_Expiration=1,IF($A900&lt;VLOOKUP(N$5,NFI,5,0),1,0)*Table_NFI[[#This Row],[Kitchen Set]],Table_NFI[Kitchen Set])</f>
        <v>0</v>
      </c>
      <c r="AF900" s="294">
        <f>IF(NFI_Expiration=1,IF($A900&lt;VLOOKUP(O$5,NFI,5,0),1,0)*Table_NFI[[#This Row],[Clothes Kit]],Table_NFI[Clothes Kit])</f>
        <v>0</v>
      </c>
      <c r="AG900" s="294">
        <f>IF(NFI_Expiration=1,IF($A900&lt;VLOOKUP(P$5,NFI,5,0),1,0)*Table_NFI[[#This Row],[Plastic Bucket]],Table_NFI[Plastic Bucket])</f>
        <v>0</v>
      </c>
      <c r="AH900" s="294">
        <f>IF(NFI_Expiration=1,IF($A900&lt;VLOOKUP(Q$5,NFI,5,0),1,0)*Table_NFI[[#This Row],[Plastic Mat]],Table_NFI[Plastic Mat])*IF(Table_NFI[[#This Row],[Distribution Date]]&gt;"2014-04-01",1,2.5)</f>
        <v>0</v>
      </c>
      <c r="AI900" s="294">
        <f>IF(NFI_Expiration=1,IF($A900&lt;VLOOKUP(R$5,NFI,5,0),1,0)*Table_NFI[[#This Row],[Winter Clothes Adult]],Table_NFI[Winter Clothes Adult])</f>
        <v>0</v>
      </c>
      <c r="AJ900" s="294">
        <f>IF(NFI_Expiration=1,IF($A900&lt;VLOOKUP(S$5,NFI,5,0),1,0)*Table_NFI[[#This Row],[Winter Clothes Children]],Table_NFI[Winter Clothes Children])</f>
        <v>0</v>
      </c>
      <c r="AK900" s="294">
        <f>IF(NFI_Expiration=1,IF($A900&lt;VLOOKUP(T$5,NFI,5,0),1,0)*Table_NFI[[#This Row],[Winter Items Other]],Table_NFI[Winter Items Other])</f>
        <v>0</v>
      </c>
      <c r="AL900" s="294">
        <f>IF(NFI_Expiration=1,IF($A900&lt;VLOOKUP(M$5,NFI,5,0),1,0)*Table_NFI[[#This Row],[Winter Blanket]],Table_NFI[[#This Row],[Winter Blanket]])</f>
        <v>0</v>
      </c>
      <c r="AM900" s="294">
        <f>IF(Table_NFI[[#This Row],[Winter Clothes Adult]]+Table_NFI[[#This Row],[Winter Clothes Children]]+Table_NFI[[#This Row],[Winter Items Other]]+Table_NFI[[#This Row],[Winter Blanket]]&gt;0,1,0)</f>
        <v>0</v>
      </c>
      <c r="AN900" s="331">
        <f>IF(NFI_Expiration=1,IF($A900&lt;VLOOKUP(V$5,NFI,5,0),1,0)*Table_NFI[[#This Row],[Jerry Can]],Table_NFI[Jerry Can])</f>
        <v>0</v>
      </c>
      <c r="AO900" s="331">
        <f>IF(NFI_Expiration=1,IF($A900&lt;VLOOKUP(V$5,NFI,5,0),1,0)*Table_NFI[[#This Row],[Shelter Tool kit]],Table_NFI[Shelter Tool kit])</f>
        <v>0</v>
      </c>
      <c r="AP900" s="331">
        <f>IF(NFI_Expiration=1,IF($A900&lt;VLOOKUP(V$5,NFI,5,0),1,0)*Table_NFI[[#This Row],[Tent]],Table_NFI[Tent])</f>
        <v>0</v>
      </c>
      <c r="AQ900" s="473" t="str">
        <f>IFERROR(VLOOKUP(Table_NFI[[#This Row],[Camp Name]],CL,2,0),"")</f>
        <v>MMR001CMP022</v>
      </c>
      <c r="AR900" s="468">
        <f ca="1">IF(Table_NFI[[#This Row],[Pcode]]="","",IF(OFFSET(CampList[Opening Date],MATCH(Table_NFI[[#This Row],[Pcode]],CampList[CP_Pcode],0)-1,0,1,1)&gt;=NFI_Monitor_Date,1,0))</f>
        <v>0</v>
      </c>
      <c r="AS900" s="473" t="str">
        <f>IFERROR(VLOOKUP(Table_NFI[[#This Row],[Camp Name]],CL,3,0),"")</f>
        <v>Open</v>
      </c>
      <c r="AT900" s="294" t="str">
        <f ca="1">IF(Table_NFI[[#This Row],[Pcode]]="","",OFFSET(CampList[Priority],MATCH(Table_NFI[[#This Row],[Pcode]],CampList[CP_Pcode],0)-1,0,1,1))</f>
        <v>P4</v>
      </c>
      <c r="AU900" s="293">
        <f>IFERROR(Table_NFI[[#This Row],[Kitchen Set]]/VLOOKUP(Table_NFI[[#This Row],[Camp Name]],CL,4,0),"")</f>
        <v>0.7142857142857143</v>
      </c>
      <c r="AV900" s="466" t="s">
        <v>1092</v>
      </c>
      <c r="AW900" s="469"/>
    </row>
    <row r="901" spans="1:49" ht="14.45" customHeight="1" x14ac:dyDescent="0.25">
      <c r="A901" s="297">
        <f t="shared" si="13"/>
        <v>51.56666666666667</v>
      </c>
      <c r="B901" s="465">
        <v>41128</v>
      </c>
      <c r="C901" s="466" t="s">
        <v>452</v>
      </c>
      <c r="D901" s="467" t="s">
        <v>573</v>
      </c>
      <c r="E901" s="466" t="s">
        <v>380</v>
      </c>
      <c r="F901" s="290" t="s">
        <v>151</v>
      </c>
      <c r="G901" s="290" t="s">
        <v>152</v>
      </c>
      <c r="H901" s="291"/>
      <c r="I901" s="291"/>
      <c r="J901" s="291"/>
      <c r="K901" s="291">
        <v>0</v>
      </c>
      <c r="L901" s="292">
        <v>73</v>
      </c>
      <c r="M901" s="292">
        <v>0</v>
      </c>
      <c r="N901" s="292">
        <v>73</v>
      </c>
      <c r="O901" s="292">
        <v>73</v>
      </c>
      <c r="P901" s="294">
        <v>73</v>
      </c>
      <c r="Q901" s="294">
        <v>73</v>
      </c>
      <c r="R901" s="294"/>
      <c r="S901" s="294"/>
      <c r="T901" s="294"/>
      <c r="U901" s="294"/>
      <c r="V901" s="431"/>
      <c r="W901" s="294"/>
      <c r="X901" s="294"/>
      <c r="Y901" s="294">
        <f>IF(NFI_Expiration=1,IF($A901&lt;VLOOKUP(H$5,NFI,5,0),1,0)*Table_NFI[[#This Row],[Hygiene Kit]],Table_NFI[Hygiene Kit])</f>
        <v>0</v>
      </c>
      <c r="Z901" s="294">
        <f>IF(NFI_Expiration=1,IF($A901&lt;VLOOKUP(I$5,NFI,5,0),1,0)*Table_NFI[[#This Row],[NFI Core Kit]],Table_NFI[NFI Core Kit])</f>
        <v>0</v>
      </c>
      <c r="AA901" s="294">
        <f>IF(NFI_Expiration=1,IF($A901&lt;VLOOKUP(J$5,NFI,5,0),1,0)*Table_NFI[[#This Row],[Sanitary Kit]],Table_NFI[Sanitary Kit])</f>
        <v>0</v>
      </c>
      <c r="AB901" s="294">
        <f>IF(NFI_Expiration=1,IF($A901&lt;VLOOKUP(K$5,NFI,5,0),1,0)*Table_NFI[[#This Row],[Mosquito net]],Table_NFI[Mosquito net])</f>
        <v>0</v>
      </c>
      <c r="AC901" s="294">
        <f>IF(NFI_Expiration=1,IF($A901&lt;VLOOKUP(L$5,NFI,5,0),1,0)*Table_NFI[[#This Row],[Tarpaulin]],Table_NFI[[#This Row],[Tarpaulin]])</f>
        <v>0</v>
      </c>
      <c r="AD901" s="294">
        <f>IF(NFI_Expiration=1,IF($A901&lt;VLOOKUP(M$5,NFI,5,0),1,0)*Table_NFI[[#This Row],[Blanket]],Table_NFI[[#This Row],[Blanket]])</f>
        <v>0</v>
      </c>
      <c r="AE901" s="294">
        <f>IF(NFI_Expiration=1,IF($A901&lt;VLOOKUP(N$5,NFI,5,0),1,0)*Table_NFI[[#This Row],[Kitchen Set]],Table_NFI[Kitchen Set])</f>
        <v>0</v>
      </c>
      <c r="AF901" s="294">
        <f>IF(NFI_Expiration=1,IF($A901&lt;VLOOKUP(O$5,NFI,5,0),1,0)*Table_NFI[[#This Row],[Clothes Kit]],Table_NFI[Clothes Kit])</f>
        <v>0</v>
      </c>
      <c r="AG901" s="294">
        <f>IF(NFI_Expiration=1,IF($A901&lt;VLOOKUP(P$5,NFI,5,0),1,0)*Table_NFI[[#This Row],[Plastic Bucket]],Table_NFI[Plastic Bucket])</f>
        <v>0</v>
      </c>
      <c r="AH901" s="294">
        <f>IF(NFI_Expiration=1,IF($A901&lt;VLOOKUP(Q$5,NFI,5,0),1,0)*Table_NFI[[#This Row],[Plastic Mat]],Table_NFI[Plastic Mat])*IF(Table_NFI[[#This Row],[Distribution Date]]&gt;"2014-04-01",1,2.5)</f>
        <v>0</v>
      </c>
      <c r="AI901" s="294">
        <f>IF(NFI_Expiration=1,IF($A901&lt;VLOOKUP(R$5,NFI,5,0),1,0)*Table_NFI[[#This Row],[Winter Clothes Adult]],Table_NFI[Winter Clothes Adult])</f>
        <v>0</v>
      </c>
      <c r="AJ901" s="294">
        <f>IF(NFI_Expiration=1,IF($A901&lt;VLOOKUP(S$5,NFI,5,0),1,0)*Table_NFI[[#This Row],[Winter Clothes Children]],Table_NFI[Winter Clothes Children])</f>
        <v>0</v>
      </c>
      <c r="AK901" s="294">
        <f>IF(NFI_Expiration=1,IF($A901&lt;VLOOKUP(T$5,NFI,5,0),1,0)*Table_NFI[[#This Row],[Winter Items Other]],Table_NFI[Winter Items Other])</f>
        <v>0</v>
      </c>
      <c r="AL901" s="294">
        <f>IF(NFI_Expiration=1,IF($A901&lt;VLOOKUP(M$5,NFI,5,0),1,0)*Table_NFI[[#This Row],[Winter Blanket]],Table_NFI[[#This Row],[Winter Blanket]])</f>
        <v>0</v>
      </c>
      <c r="AM901" s="294">
        <f>IF(Table_NFI[[#This Row],[Winter Clothes Adult]]+Table_NFI[[#This Row],[Winter Clothes Children]]+Table_NFI[[#This Row],[Winter Items Other]]+Table_NFI[[#This Row],[Winter Blanket]]&gt;0,1,0)</f>
        <v>0</v>
      </c>
      <c r="AN901" s="331">
        <f>IF(NFI_Expiration=1,IF($A901&lt;VLOOKUP(V$5,NFI,5,0),1,0)*Table_NFI[[#This Row],[Jerry Can]],Table_NFI[Jerry Can])</f>
        <v>0</v>
      </c>
      <c r="AO901" s="331">
        <f>IF(NFI_Expiration=1,IF($A901&lt;VLOOKUP(V$5,NFI,5,0),1,0)*Table_NFI[[#This Row],[Shelter Tool kit]],Table_NFI[Shelter Tool kit])</f>
        <v>0</v>
      </c>
      <c r="AP901" s="331">
        <f>IF(NFI_Expiration=1,IF($A901&lt;VLOOKUP(V$5,NFI,5,0),1,0)*Table_NFI[[#This Row],[Tent]],Table_NFI[Tent])</f>
        <v>0</v>
      </c>
      <c r="AQ901" s="473" t="str">
        <f>IFERROR(VLOOKUP(Table_NFI[[#This Row],[Camp Name]],CL,2,0),"")</f>
        <v>MMR001CMP066</v>
      </c>
      <c r="AR901" s="468">
        <f ca="1">IF(Table_NFI[[#This Row],[Pcode]]="","",IF(OFFSET(CampList[Opening Date],MATCH(Table_NFI[[#This Row],[Pcode]],CampList[CP_Pcode],0)-1,0,1,1)&gt;=NFI_Monitor_Date,1,0))</f>
        <v>0</v>
      </c>
      <c r="AS901" s="473" t="str">
        <f>IFERROR(VLOOKUP(Table_NFI[[#This Row],[Camp Name]],CL,3,0),"")</f>
        <v>Open</v>
      </c>
      <c r="AT901" s="294" t="str">
        <f ca="1">IF(Table_NFI[[#This Row],[Pcode]]="","",OFFSET(CampList[Priority],MATCH(Table_NFI[[#This Row],[Pcode]],CampList[CP_Pcode],0)-1,0,1,1))</f>
        <v>P4</v>
      </c>
      <c r="AU901" s="293">
        <f>IFERROR(Table_NFI[[#This Row],[Kitchen Set]]/VLOOKUP(Table_NFI[[#This Row],[Camp Name]],CL,4,0),"")</f>
        <v>0.37055837563451777</v>
      </c>
      <c r="AV901" s="466" t="s">
        <v>1092</v>
      </c>
      <c r="AW901" s="469"/>
    </row>
    <row r="902" spans="1:49" ht="14.45" customHeight="1" x14ac:dyDescent="0.25">
      <c r="A902" s="297">
        <f t="shared" ref="A902:A965" si="14">IF(ISBLANK(B902),"",(Report_Date-B902)/30)</f>
        <v>51.93333333333333</v>
      </c>
      <c r="B902" s="465">
        <v>41117</v>
      </c>
      <c r="C902" s="466" t="s">
        <v>452</v>
      </c>
      <c r="D902" s="467" t="s">
        <v>452</v>
      </c>
      <c r="E902" s="466" t="s">
        <v>380</v>
      </c>
      <c r="F902" s="290" t="s">
        <v>173</v>
      </c>
      <c r="G902" s="290" t="s">
        <v>174</v>
      </c>
      <c r="H902" s="291"/>
      <c r="I902" s="291"/>
      <c r="J902" s="291"/>
      <c r="K902" s="291">
        <v>35</v>
      </c>
      <c r="L902" s="292">
        <v>14</v>
      </c>
      <c r="M902" s="292">
        <v>35</v>
      </c>
      <c r="N902" s="292">
        <v>14</v>
      </c>
      <c r="O902" s="292">
        <v>14</v>
      </c>
      <c r="P902" s="294">
        <v>14</v>
      </c>
      <c r="Q902" s="294">
        <v>14</v>
      </c>
      <c r="R902" s="294"/>
      <c r="S902" s="294"/>
      <c r="T902" s="294"/>
      <c r="U902" s="294"/>
      <c r="V902" s="431"/>
      <c r="W902" s="294"/>
      <c r="X902" s="294"/>
      <c r="Y902" s="294">
        <f>IF(NFI_Expiration=1,IF($A902&lt;VLOOKUP(H$5,NFI,5,0),1,0)*Table_NFI[[#This Row],[Hygiene Kit]],Table_NFI[Hygiene Kit])</f>
        <v>0</v>
      </c>
      <c r="Z902" s="294">
        <f>IF(NFI_Expiration=1,IF($A902&lt;VLOOKUP(I$5,NFI,5,0),1,0)*Table_NFI[[#This Row],[NFI Core Kit]],Table_NFI[NFI Core Kit])</f>
        <v>0</v>
      </c>
      <c r="AA902" s="294">
        <f>IF(NFI_Expiration=1,IF($A902&lt;VLOOKUP(J$5,NFI,5,0),1,0)*Table_NFI[[#This Row],[Sanitary Kit]],Table_NFI[Sanitary Kit])</f>
        <v>0</v>
      </c>
      <c r="AB902" s="294">
        <f>IF(NFI_Expiration=1,IF($A902&lt;VLOOKUP(K$5,NFI,5,0),1,0)*Table_NFI[[#This Row],[Mosquito net]],Table_NFI[Mosquito net])</f>
        <v>0</v>
      </c>
      <c r="AC902" s="294">
        <f>IF(NFI_Expiration=1,IF($A902&lt;VLOOKUP(L$5,NFI,5,0),1,0)*Table_NFI[[#This Row],[Tarpaulin]],Table_NFI[[#This Row],[Tarpaulin]])</f>
        <v>0</v>
      </c>
      <c r="AD902" s="294">
        <f>IF(NFI_Expiration=1,IF($A902&lt;VLOOKUP(M$5,NFI,5,0),1,0)*Table_NFI[[#This Row],[Blanket]],Table_NFI[[#This Row],[Blanket]])</f>
        <v>0</v>
      </c>
      <c r="AE902" s="294">
        <f>IF(NFI_Expiration=1,IF($A902&lt;VLOOKUP(N$5,NFI,5,0),1,0)*Table_NFI[[#This Row],[Kitchen Set]],Table_NFI[Kitchen Set])</f>
        <v>0</v>
      </c>
      <c r="AF902" s="294">
        <f>IF(NFI_Expiration=1,IF($A902&lt;VLOOKUP(O$5,NFI,5,0),1,0)*Table_NFI[[#This Row],[Clothes Kit]],Table_NFI[Clothes Kit])</f>
        <v>0</v>
      </c>
      <c r="AG902" s="294">
        <f>IF(NFI_Expiration=1,IF($A902&lt;VLOOKUP(P$5,NFI,5,0),1,0)*Table_NFI[[#This Row],[Plastic Bucket]],Table_NFI[Plastic Bucket])</f>
        <v>0</v>
      </c>
      <c r="AH902" s="294">
        <f>IF(NFI_Expiration=1,IF($A902&lt;VLOOKUP(Q$5,NFI,5,0),1,0)*Table_NFI[[#This Row],[Plastic Mat]],Table_NFI[Plastic Mat])*IF(Table_NFI[[#This Row],[Distribution Date]]&gt;"2014-04-01",1,2.5)</f>
        <v>0</v>
      </c>
      <c r="AI902" s="294">
        <f>IF(NFI_Expiration=1,IF($A902&lt;VLOOKUP(R$5,NFI,5,0),1,0)*Table_NFI[[#This Row],[Winter Clothes Adult]],Table_NFI[Winter Clothes Adult])</f>
        <v>0</v>
      </c>
      <c r="AJ902" s="294">
        <f>IF(NFI_Expiration=1,IF($A902&lt;VLOOKUP(S$5,NFI,5,0),1,0)*Table_NFI[[#This Row],[Winter Clothes Children]],Table_NFI[Winter Clothes Children])</f>
        <v>0</v>
      </c>
      <c r="AK902" s="294">
        <f>IF(NFI_Expiration=1,IF($A902&lt;VLOOKUP(T$5,NFI,5,0),1,0)*Table_NFI[[#This Row],[Winter Items Other]],Table_NFI[Winter Items Other])</f>
        <v>0</v>
      </c>
      <c r="AL902" s="294">
        <f>IF(NFI_Expiration=1,IF($A902&lt;VLOOKUP(M$5,NFI,5,0),1,0)*Table_NFI[[#This Row],[Winter Blanket]],Table_NFI[[#This Row],[Winter Blanket]])</f>
        <v>0</v>
      </c>
      <c r="AM902" s="294">
        <f>IF(Table_NFI[[#This Row],[Winter Clothes Adult]]+Table_NFI[[#This Row],[Winter Clothes Children]]+Table_NFI[[#This Row],[Winter Items Other]]+Table_NFI[[#This Row],[Winter Blanket]]&gt;0,1,0)</f>
        <v>0</v>
      </c>
      <c r="AN902" s="331">
        <f>IF(NFI_Expiration=1,IF($A902&lt;VLOOKUP(V$5,NFI,5,0),1,0)*Table_NFI[[#This Row],[Jerry Can]],Table_NFI[Jerry Can])</f>
        <v>0</v>
      </c>
      <c r="AO902" s="331">
        <f>IF(NFI_Expiration=1,IF($A902&lt;VLOOKUP(V$5,NFI,5,0),1,0)*Table_NFI[[#This Row],[Shelter Tool kit]],Table_NFI[Shelter Tool kit])</f>
        <v>0</v>
      </c>
      <c r="AP902" s="331">
        <f>IF(NFI_Expiration=1,IF($A902&lt;VLOOKUP(V$5,NFI,5,0),1,0)*Table_NFI[[#This Row],[Tent]],Table_NFI[Tent])</f>
        <v>0</v>
      </c>
      <c r="AQ902" s="473" t="str">
        <f>IFERROR(VLOOKUP(Table_NFI[[#This Row],[Camp Name]],CL,2,0),"")</f>
        <v>MMR001CMP078</v>
      </c>
      <c r="AR902" s="468">
        <f ca="1">IF(Table_NFI[[#This Row],[Pcode]]="","",IF(OFFSET(CampList[Opening Date],MATCH(Table_NFI[[#This Row],[Pcode]],CampList[CP_Pcode],0)-1,0,1,1)&gt;=NFI_Monitor_Date,1,0))</f>
        <v>0</v>
      </c>
      <c r="AS902" s="473" t="str">
        <f>IFERROR(VLOOKUP(Table_NFI[[#This Row],[Camp Name]],CL,3,0),"")</f>
        <v>Open</v>
      </c>
      <c r="AT902" s="294" t="str">
        <f ca="1">IF(Table_NFI[[#This Row],[Pcode]]="","",OFFSET(CampList[Priority],MATCH(Table_NFI[[#This Row],[Pcode]],CampList[CP_Pcode],0)-1,0,1,1))</f>
        <v>P4</v>
      </c>
      <c r="AU902" s="293">
        <f>IFERROR(Table_NFI[[#This Row],[Kitchen Set]]/VLOOKUP(Table_NFI[[#This Row],[Camp Name]],CL,4,0),"")</f>
        <v>1.0769230769230769</v>
      </c>
      <c r="AV902" s="466" t="s">
        <v>1092</v>
      </c>
      <c r="AW902" s="469"/>
    </row>
    <row r="903" spans="1:49" ht="14.45" customHeight="1" x14ac:dyDescent="0.25">
      <c r="A903" s="297">
        <f t="shared" si="14"/>
        <v>51.93333333333333</v>
      </c>
      <c r="B903" s="465">
        <v>41117</v>
      </c>
      <c r="C903" s="466" t="s">
        <v>452</v>
      </c>
      <c r="D903" s="467" t="s">
        <v>452</v>
      </c>
      <c r="E903" s="466" t="s">
        <v>380</v>
      </c>
      <c r="F903" s="290" t="s">
        <v>180</v>
      </c>
      <c r="G903" s="290" t="s">
        <v>181</v>
      </c>
      <c r="H903" s="291"/>
      <c r="I903" s="291"/>
      <c r="J903" s="291"/>
      <c r="K903" s="291">
        <v>0</v>
      </c>
      <c r="L903" s="292">
        <v>8</v>
      </c>
      <c r="M903" s="292">
        <v>0</v>
      </c>
      <c r="N903" s="292">
        <v>8</v>
      </c>
      <c r="O903" s="292">
        <v>8</v>
      </c>
      <c r="P903" s="294">
        <v>8</v>
      </c>
      <c r="Q903" s="294">
        <v>8</v>
      </c>
      <c r="R903" s="294"/>
      <c r="S903" s="294"/>
      <c r="T903" s="294"/>
      <c r="U903" s="294"/>
      <c r="V903" s="431"/>
      <c r="W903" s="294"/>
      <c r="X903" s="294"/>
      <c r="Y903" s="294">
        <f>IF(NFI_Expiration=1,IF($A903&lt;VLOOKUP(H$5,NFI,5,0),1,0)*Table_NFI[[#This Row],[Hygiene Kit]],Table_NFI[Hygiene Kit])</f>
        <v>0</v>
      </c>
      <c r="Z903" s="294">
        <f>IF(NFI_Expiration=1,IF($A903&lt;VLOOKUP(I$5,NFI,5,0),1,0)*Table_NFI[[#This Row],[NFI Core Kit]],Table_NFI[NFI Core Kit])</f>
        <v>0</v>
      </c>
      <c r="AA903" s="294">
        <f>IF(NFI_Expiration=1,IF($A903&lt;VLOOKUP(J$5,NFI,5,0),1,0)*Table_NFI[[#This Row],[Sanitary Kit]],Table_NFI[Sanitary Kit])</f>
        <v>0</v>
      </c>
      <c r="AB903" s="294">
        <f>IF(NFI_Expiration=1,IF($A903&lt;VLOOKUP(K$5,NFI,5,0),1,0)*Table_NFI[[#This Row],[Mosquito net]],Table_NFI[Mosquito net])</f>
        <v>0</v>
      </c>
      <c r="AC903" s="294">
        <f>IF(NFI_Expiration=1,IF($A903&lt;VLOOKUP(L$5,NFI,5,0),1,0)*Table_NFI[[#This Row],[Tarpaulin]],Table_NFI[[#This Row],[Tarpaulin]])</f>
        <v>0</v>
      </c>
      <c r="AD903" s="294">
        <f>IF(NFI_Expiration=1,IF($A903&lt;VLOOKUP(M$5,NFI,5,0),1,0)*Table_NFI[[#This Row],[Blanket]],Table_NFI[[#This Row],[Blanket]])</f>
        <v>0</v>
      </c>
      <c r="AE903" s="294">
        <f>IF(NFI_Expiration=1,IF($A903&lt;VLOOKUP(N$5,NFI,5,0),1,0)*Table_NFI[[#This Row],[Kitchen Set]],Table_NFI[Kitchen Set])</f>
        <v>0</v>
      </c>
      <c r="AF903" s="294">
        <f>IF(NFI_Expiration=1,IF($A903&lt;VLOOKUP(O$5,NFI,5,0),1,0)*Table_NFI[[#This Row],[Clothes Kit]],Table_NFI[Clothes Kit])</f>
        <v>0</v>
      </c>
      <c r="AG903" s="294">
        <f>IF(NFI_Expiration=1,IF($A903&lt;VLOOKUP(P$5,NFI,5,0),1,0)*Table_NFI[[#This Row],[Plastic Bucket]],Table_NFI[Plastic Bucket])</f>
        <v>0</v>
      </c>
      <c r="AH903" s="294">
        <f>IF(NFI_Expiration=1,IF($A903&lt;VLOOKUP(Q$5,NFI,5,0),1,0)*Table_NFI[[#This Row],[Plastic Mat]],Table_NFI[Plastic Mat])*IF(Table_NFI[[#This Row],[Distribution Date]]&gt;"2014-04-01",1,2.5)</f>
        <v>0</v>
      </c>
      <c r="AI903" s="294">
        <f>IF(NFI_Expiration=1,IF($A903&lt;VLOOKUP(R$5,NFI,5,0),1,0)*Table_NFI[[#This Row],[Winter Clothes Adult]],Table_NFI[Winter Clothes Adult])</f>
        <v>0</v>
      </c>
      <c r="AJ903" s="294">
        <f>IF(NFI_Expiration=1,IF($A903&lt;VLOOKUP(S$5,NFI,5,0),1,0)*Table_NFI[[#This Row],[Winter Clothes Children]],Table_NFI[Winter Clothes Children])</f>
        <v>0</v>
      </c>
      <c r="AK903" s="294">
        <f>IF(NFI_Expiration=1,IF($A903&lt;VLOOKUP(T$5,NFI,5,0),1,0)*Table_NFI[[#This Row],[Winter Items Other]],Table_NFI[Winter Items Other])</f>
        <v>0</v>
      </c>
      <c r="AL903" s="294">
        <f>IF(NFI_Expiration=1,IF($A903&lt;VLOOKUP(M$5,NFI,5,0),1,0)*Table_NFI[[#This Row],[Winter Blanket]],Table_NFI[[#This Row],[Winter Blanket]])</f>
        <v>0</v>
      </c>
      <c r="AM903" s="294">
        <f>IF(Table_NFI[[#This Row],[Winter Clothes Adult]]+Table_NFI[[#This Row],[Winter Clothes Children]]+Table_NFI[[#This Row],[Winter Items Other]]+Table_NFI[[#This Row],[Winter Blanket]]&gt;0,1,0)</f>
        <v>0</v>
      </c>
      <c r="AN903" s="331">
        <f>IF(NFI_Expiration=1,IF($A903&lt;VLOOKUP(V$5,NFI,5,0),1,0)*Table_NFI[[#This Row],[Jerry Can]],Table_NFI[Jerry Can])</f>
        <v>0</v>
      </c>
      <c r="AO903" s="331">
        <f>IF(NFI_Expiration=1,IF($A903&lt;VLOOKUP(V$5,NFI,5,0),1,0)*Table_NFI[[#This Row],[Shelter Tool kit]],Table_NFI[Shelter Tool kit])</f>
        <v>0</v>
      </c>
      <c r="AP903" s="331">
        <f>IF(NFI_Expiration=1,IF($A903&lt;VLOOKUP(V$5,NFI,5,0),1,0)*Table_NFI[[#This Row],[Tent]],Table_NFI[Tent])</f>
        <v>0</v>
      </c>
      <c r="AQ903" s="473" t="str">
        <f>IFERROR(VLOOKUP(Table_NFI[[#This Row],[Camp Name]],CL,2,0),"")</f>
        <v>MMR001CMP080</v>
      </c>
      <c r="AR903" s="468">
        <f ca="1">IF(Table_NFI[[#This Row],[Pcode]]="","",IF(OFFSET(CampList[Opening Date],MATCH(Table_NFI[[#This Row],[Pcode]],CampList[CP_Pcode],0)-1,0,1,1)&gt;=NFI_Monitor_Date,1,0))</f>
        <v>0</v>
      </c>
      <c r="AS903" s="473" t="str">
        <f>IFERROR(VLOOKUP(Table_NFI[[#This Row],[Camp Name]],CL,3,0),"")</f>
        <v>Open</v>
      </c>
      <c r="AT903" s="294" t="str">
        <f ca="1">IF(Table_NFI[[#This Row],[Pcode]]="","",OFFSET(CampList[Priority],MATCH(Table_NFI[[#This Row],[Pcode]],CampList[CP_Pcode],0)-1,0,1,1))</f>
        <v>P4</v>
      </c>
      <c r="AU903" s="293">
        <f>IFERROR(Table_NFI[[#This Row],[Kitchen Set]]/VLOOKUP(Table_NFI[[#This Row],[Camp Name]],CL,4,0),"")</f>
        <v>0.66666666666666663</v>
      </c>
      <c r="AV903" s="466" t="s">
        <v>1092</v>
      </c>
      <c r="AW903" s="469"/>
    </row>
    <row r="904" spans="1:49" ht="14.45" customHeight="1" x14ac:dyDescent="0.25">
      <c r="A904" s="297">
        <f t="shared" si="14"/>
        <v>51.966666666666669</v>
      </c>
      <c r="B904" s="465">
        <v>41116</v>
      </c>
      <c r="C904" s="466" t="s">
        <v>452</v>
      </c>
      <c r="D904" s="466" t="s">
        <v>452</v>
      </c>
      <c r="E904" s="466" t="s">
        <v>380</v>
      </c>
      <c r="F904" s="466" t="s">
        <v>173</v>
      </c>
      <c r="G904" s="290" t="s">
        <v>176</v>
      </c>
      <c r="H904" s="291"/>
      <c r="I904" s="291"/>
      <c r="J904" s="291"/>
      <c r="K904" s="291">
        <v>31</v>
      </c>
      <c r="L904" s="292">
        <v>15</v>
      </c>
      <c r="M904" s="292">
        <v>31</v>
      </c>
      <c r="N904" s="292">
        <v>15</v>
      </c>
      <c r="O904" s="292">
        <v>16</v>
      </c>
      <c r="P904" s="294">
        <v>16</v>
      </c>
      <c r="Q904" s="294">
        <v>16</v>
      </c>
      <c r="R904" s="294"/>
      <c r="S904" s="294"/>
      <c r="T904" s="294"/>
      <c r="U904" s="294"/>
      <c r="V904" s="431"/>
      <c r="W904" s="294"/>
      <c r="X904" s="294"/>
      <c r="Y904" s="294">
        <f>IF(NFI_Expiration=1,IF($A904&lt;VLOOKUP(H$5,NFI,5,0),1,0)*Table_NFI[[#This Row],[Hygiene Kit]],Table_NFI[Hygiene Kit])</f>
        <v>0</v>
      </c>
      <c r="Z904" s="294">
        <f>IF(NFI_Expiration=1,IF($A904&lt;VLOOKUP(I$5,NFI,5,0),1,0)*Table_NFI[[#This Row],[NFI Core Kit]],Table_NFI[NFI Core Kit])</f>
        <v>0</v>
      </c>
      <c r="AA904" s="294">
        <f>IF(NFI_Expiration=1,IF($A904&lt;VLOOKUP(J$5,NFI,5,0),1,0)*Table_NFI[[#This Row],[Sanitary Kit]],Table_NFI[Sanitary Kit])</f>
        <v>0</v>
      </c>
      <c r="AB904" s="294">
        <f>IF(NFI_Expiration=1,IF($A904&lt;VLOOKUP(K$5,NFI,5,0),1,0)*Table_NFI[[#This Row],[Mosquito net]],Table_NFI[Mosquito net])</f>
        <v>0</v>
      </c>
      <c r="AC904" s="294">
        <f>IF(NFI_Expiration=1,IF($A904&lt;VLOOKUP(L$5,NFI,5,0),1,0)*Table_NFI[[#This Row],[Tarpaulin]],Table_NFI[[#This Row],[Tarpaulin]])</f>
        <v>0</v>
      </c>
      <c r="AD904" s="294">
        <f>IF(NFI_Expiration=1,IF($A904&lt;VLOOKUP(M$5,NFI,5,0),1,0)*Table_NFI[[#This Row],[Blanket]],Table_NFI[[#This Row],[Blanket]])</f>
        <v>0</v>
      </c>
      <c r="AE904" s="294">
        <f>IF(NFI_Expiration=1,IF($A904&lt;VLOOKUP(N$5,NFI,5,0),1,0)*Table_NFI[[#This Row],[Kitchen Set]],Table_NFI[Kitchen Set])</f>
        <v>0</v>
      </c>
      <c r="AF904" s="294">
        <f>IF(NFI_Expiration=1,IF($A904&lt;VLOOKUP(O$5,NFI,5,0),1,0)*Table_NFI[[#This Row],[Clothes Kit]],Table_NFI[Clothes Kit])</f>
        <v>0</v>
      </c>
      <c r="AG904" s="294">
        <f>IF(NFI_Expiration=1,IF($A904&lt;VLOOKUP(P$5,NFI,5,0),1,0)*Table_NFI[[#This Row],[Plastic Bucket]],Table_NFI[Plastic Bucket])</f>
        <v>0</v>
      </c>
      <c r="AH904" s="294">
        <f>IF(NFI_Expiration=1,IF($A904&lt;VLOOKUP(Q$5,NFI,5,0),1,0)*Table_NFI[[#This Row],[Plastic Mat]],Table_NFI[Plastic Mat])*IF(Table_NFI[[#This Row],[Distribution Date]]&gt;"2014-04-01",1,2.5)</f>
        <v>0</v>
      </c>
      <c r="AI904" s="294">
        <f>IF(NFI_Expiration=1,IF($A904&lt;VLOOKUP(R$5,NFI,5,0),1,0)*Table_NFI[[#This Row],[Winter Clothes Adult]],Table_NFI[Winter Clothes Adult])</f>
        <v>0</v>
      </c>
      <c r="AJ904" s="294">
        <f>IF(NFI_Expiration=1,IF($A904&lt;VLOOKUP(S$5,NFI,5,0),1,0)*Table_NFI[[#This Row],[Winter Clothes Children]],Table_NFI[Winter Clothes Children])</f>
        <v>0</v>
      </c>
      <c r="AK904" s="294">
        <f>IF(NFI_Expiration=1,IF($A904&lt;VLOOKUP(T$5,NFI,5,0),1,0)*Table_NFI[[#This Row],[Winter Items Other]],Table_NFI[Winter Items Other])</f>
        <v>0</v>
      </c>
      <c r="AL904" s="294">
        <f>IF(NFI_Expiration=1,IF($A904&lt;VLOOKUP(M$5,NFI,5,0),1,0)*Table_NFI[[#This Row],[Winter Blanket]],Table_NFI[[#This Row],[Winter Blanket]])</f>
        <v>0</v>
      </c>
      <c r="AM904" s="294">
        <f>IF(Table_NFI[[#This Row],[Winter Clothes Adult]]+Table_NFI[[#This Row],[Winter Clothes Children]]+Table_NFI[[#This Row],[Winter Items Other]]+Table_NFI[[#This Row],[Winter Blanket]]&gt;0,1,0)</f>
        <v>0</v>
      </c>
      <c r="AN904" s="331">
        <f>IF(NFI_Expiration=1,IF($A904&lt;VLOOKUP(V$5,NFI,5,0),1,0)*Table_NFI[[#This Row],[Jerry Can]],Table_NFI[Jerry Can])</f>
        <v>0</v>
      </c>
      <c r="AO904" s="331">
        <f>IF(NFI_Expiration=1,IF($A904&lt;VLOOKUP(V$5,NFI,5,0),1,0)*Table_NFI[[#This Row],[Shelter Tool kit]],Table_NFI[Shelter Tool kit])</f>
        <v>0</v>
      </c>
      <c r="AP904" s="331">
        <f>IF(NFI_Expiration=1,IF($A904&lt;VLOOKUP(V$5,NFI,5,0),1,0)*Table_NFI[[#This Row],[Tent]],Table_NFI[Tent])</f>
        <v>0</v>
      </c>
      <c r="AQ904" s="473" t="str">
        <f>IFERROR(VLOOKUP(Table_NFI[[#This Row],[Camp Name]],CL,2,0),"")</f>
        <v>MMR001CMP077</v>
      </c>
      <c r="AR904" s="468">
        <f ca="1">IF(Table_NFI[[#This Row],[Pcode]]="","",IF(OFFSET(CampList[Opening Date],MATCH(Table_NFI[[#This Row],[Pcode]],CampList[CP_Pcode],0)-1,0,1,1)&gt;=NFI_Monitor_Date,1,0))</f>
        <v>0</v>
      </c>
      <c r="AS904" s="473" t="str">
        <f>IFERROR(VLOOKUP(Table_NFI[[#This Row],[Camp Name]],CL,3,0),"")</f>
        <v>Open</v>
      </c>
      <c r="AT904" s="294" t="str">
        <f ca="1">IF(Table_NFI[[#This Row],[Pcode]]="","",OFFSET(CampList[Priority],MATCH(Table_NFI[[#This Row],[Pcode]],CampList[CP_Pcode],0)-1,0,1,1))</f>
        <v>P4</v>
      </c>
      <c r="AU904" s="293">
        <f>IFERROR(Table_NFI[[#This Row],[Kitchen Set]]/VLOOKUP(Table_NFI[[#This Row],[Camp Name]],CL,4,0),"")</f>
        <v>1</v>
      </c>
      <c r="AV904" s="466" t="s">
        <v>1092</v>
      </c>
      <c r="AW904" s="469"/>
    </row>
    <row r="905" spans="1:49" s="470" customFormat="1" ht="14.45" customHeight="1" x14ac:dyDescent="0.25">
      <c r="A905" s="297">
        <f t="shared" si="14"/>
        <v>51.966666666666669</v>
      </c>
      <c r="B905" s="465">
        <v>41116</v>
      </c>
      <c r="C905" s="466" t="s">
        <v>452</v>
      </c>
      <c r="D905" s="467" t="s">
        <v>452</v>
      </c>
      <c r="E905" s="466" t="s">
        <v>380</v>
      </c>
      <c r="F905" s="290" t="s">
        <v>173</v>
      </c>
      <c r="G905" s="290" t="s">
        <v>178</v>
      </c>
      <c r="H905" s="291"/>
      <c r="I905" s="291"/>
      <c r="J905" s="291"/>
      <c r="K905" s="291">
        <v>21</v>
      </c>
      <c r="L905" s="292">
        <v>17</v>
      </c>
      <c r="M905" s="292">
        <v>21</v>
      </c>
      <c r="N905" s="292">
        <v>17</v>
      </c>
      <c r="O905" s="292">
        <v>17</v>
      </c>
      <c r="P905" s="294">
        <v>17</v>
      </c>
      <c r="Q905" s="294">
        <v>17</v>
      </c>
      <c r="R905" s="294"/>
      <c r="S905" s="294"/>
      <c r="T905" s="294"/>
      <c r="U905" s="294"/>
      <c r="V905" s="431"/>
      <c r="W905" s="294"/>
      <c r="X905" s="294"/>
      <c r="Y905" s="294">
        <f>IF(NFI_Expiration=1,IF($A905&lt;VLOOKUP(H$5,NFI,5,0),1,0)*Table_NFI[[#This Row],[Hygiene Kit]],Table_NFI[Hygiene Kit])</f>
        <v>0</v>
      </c>
      <c r="Z905" s="294">
        <f>IF(NFI_Expiration=1,IF($A905&lt;VLOOKUP(I$5,NFI,5,0),1,0)*Table_NFI[[#This Row],[NFI Core Kit]],Table_NFI[NFI Core Kit])</f>
        <v>0</v>
      </c>
      <c r="AA905" s="294">
        <f>IF(NFI_Expiration=1,IF($A905&lt;VLOOKUP(J$5,NFI,5,0),1,0)*Table_NFI[[#This Row],[Sanitary Kit]],Table_NFI[Sanitary Kit])</f>
        <v>0</v>
      </c>
      <c r="AB905" s="294">
        <f>IF(NFI_Expiration=1,IF($A905&lt;VLOOKUP(K$5,NFI,5,0),1,0)*Table_NFI[[#This Row],[Mosquito net]],Table_NFI[Mosquito net])</f>
        <v>0</v>
      </c>
      <c r="AC905" s="294">
        <f>IF(NFI_Expiration=1,IF($A905&lt;VLOOKUP(L$5,NFI,5,0),1,0)*Table_NFI[[#This Row],[Tarpaulin]],Table_NFI[[#This Row],[Tarpaulin]])</f>
        <v>0</v>
      </c>
      <c r="AD905" s="294">
        <f>IF(NFI_Expiration=1,IF($A905&lt;VLOOKUP(M$5,NFI,5,0),1,0)*Table_NFI[[#This Row],[Blanket]],Table_NFI[[#This Row],[Blanket]])</f>
        <v>0</v>
      </c>
      <c r="AE905" s="294">
        <f>IF(NFI_Expiration=1,IF($A905&lt;VLOOKUP(N$5,NFI,5,0),1,0)*Table_NFI[[#This Row],[Kitchen Set]],Table_NFI[Kitchen Set])</f>
        <v>0</v>
      </c>
      <c r="AF905" s="294">
        <f>IF(NFI_Expiration=1,IF($A905&lt;VLOOKUP(O$5,NFI,5,0),1,0)*Table_NFI[[#This Row],[Clothes Kit]],Table_NFI[Clothes Kit])</f>
        <v>0</v>
      </c>
      <c r="AG905" s="294">
        <f>IF(NFI_Expiration=1,IF($A905&lt;VLOOKUP(P$5,NFI,5,0),1,0)*Table_NFI[[#This Row],[Plastic Bucket]],Table_NFI[Plastic Bucket])</f>
        <v>0</v>
      </c>
      <c r="AH905" s="294">
        <f>IF(NFI_Expiration=1,IF($A905&lt;VLOOKUP(Q$5,NFI,5,0),1,0)*Table_NFI[[#This Row],[Plastic Mat]],Table_NFI[Plastic Mat])*IF(Table_NFI[[#This Row],[Distribution Date]]&gt;"2014-04-01",1,2.5)</f>
        <v>0</v>
      </c>
      <c r="AI905" s="294">
        <f>IF(NFI_Expiration=1,IF($A905&lt;VLOOKUP(R$5,NFI,5,0),1,0)*Table_NFI[[#This Row],[Winter Clothes Adult]],Table_NFI[Winter Clothes Adult])</f>
        <v>0</v>
      </c>
      <c r="AJ905" s="294">
        <f>IF(NFI_Expiration=1,IF($A905&lt;VLOOKUP(S$5,NFI,5,0),1,0)*Table_NFI[[#This Row],[Winter Clothes Children]],Table_NFI[Winter Clothes Children])</f>
        <v>0</v>
      </c>
      <c r="AK905" s="294">
        <f>IF(NFI_Expiration=1,IF($A905&lt;VLOOKUP(T$5,NFI,5,0),1,0)*Table_NFI[[#This Row],[Winter Items Other]],Table_NFI[Winter Items Other])</f>
        <v>0</v>
      </c>
      <c r="AL905" s="294">
        <f>IF(NFI_Expiration=1,IF($A905&lt;VLOOKUP(M$5,NFI,5,0),1,0)*Table_NFI[[#This Row],[Winter Blanket]],Table_NFI[[#This Row],[Winter Blanket]])</f>
        <v>0</v>
      </c>
      <c r="AM905" s="294">
        <f>IF(Table_NFI[[#This Row],[Winter Clothes Adult]]+Table_NFI[[#This Row],[Winter Clothes Children]]+Table_NFI[[#This Row],[Winter Items Other]]+Table_NFI[[#This Row],[Winter Blanket]]&gt;0,1,0)</f>
        <v>0</v>
      </c>
      <c r="AN905" s="331">
        <f>IF(NFI_Expiration=1,IF($A905&lt;VLOOKUP(V$5,NFI,5,0),1,0)*Table_NFI[[#This Row],[Jerry Can]],Table_NFI[Jerry Can])</f>
        <v>0</v>
      </c>
      <c r="AO905" s="331">
        <f>IF(NFI_Expiration=1,IF($A905&lt;VLOOKUP(V$5,NFI,5,0),1,0)*Table_NFI[[#This Row],[Shelter Tool kit]],Table_NFI[Shelter Tool kit])</f>
        <v>0</v>
      </c>
      <c r="AP905" s="331">
        <f>IF(NFI_Expiration=1,IF($A905&lt;VLOOKUP(V$5,NFI,5,0),1,0)*Table_NFI[[#This Row],[Tent]],Table_NFI[Tent])</f>
        <v>0</v>
      </c>
      <c r="AQ905" s="473" t="str">
        <f>IFERROR(VLOOKUP(Table_NFI[[#This Row],[Camp Name]],CL,2,0),"")</f>
        <v>MMR001CMP079</v>
      </c>
      <c r="AR905" s="468">
        <f ca="1">IF(Table_NFI[[#This Row],[Pcode]]="","",IF(OFFSET(CampList[Opening Date],MATCH(Table_NFI[[#This Row],[Pcode]],CampList[CP_Pcode],0)-1,0,1,1)&gt;=NFI_Monitor_Date,1,0))</f>
        <v>0</v>
      </c>
      <c r="AS905" s="473" t="str">
        <f>IFERROR(VLOOKUP(Table_NFI[[#This Row],[Camp Name]],CL,3,0),"")</f>
        <v>Open</v>
      </c>
      <c r="AT905" s="294" t="str">
        <f ca="1">IF(Table_NFI[[#This Row],[Pcode]]="","",OFFSET(CampList[Priority],MATCH(Table_NFI[[#This Row],[Pcode]],CampList[CP_Pcode],0)-1,0,1,1))</f>
        <v>P4</v>
      </c>
      <c r="AU905" s="293">
        <f>IFERROR(Table_NFI[[#This Row],[Kitchen Set]]/VLOOKUP(Table_NFI[[#This Row],[Camp Name]],CL,4,0),"")</f>
        <v>1.4166666666666667</v>
      </c>
      <c r="AV905" s="466" t="s">
        <v>1092</v>
      </c>
      <c r="AW905" s="469"/>
    </row>
    <row r="906" spans="1:49" s="470" customFormat="1" x14ac:dyDescent="0.25">
      <c r="A906" s="297">
        <f t="shared" si="14"/>
        <v>52.06666666666667</v>
      </c>
      <c r="B906" s="465">
        <v>41113</v>
      </c>
      <c r="C906" s="466" t="s">
        <v>452</v>
      </c>
      <c r="D906" s="467" t="s">
        <v>452</v>
      </c>
      <c r="E906" s="466" t="s">
        <v>380</v>
      </c>
      <c r="F906" s="290" t="s">
        <v>237</v>
      </c>
      <c r="G906" s="290" t="s">
        <v>255</v>
      </c>
      <c r="H906" s="291"/>
      <c r="I906" s="291"/>
      <c r="J906" s="291"/>
      <c r="K906" s="291">
        <v>19</v>
      </c>
      <c r="L906" s="292">
        <v>10</v>
      </c>
      <c r="M906" s="292">
        <v>19</v>
      </c>
      <c r="N906" s="292">
        <v>10</v>
      </c>
      <c r="O906" s="292">
        <v>11</v>
      </c>
      <c r="P906" s="294">
        <v>11</v>
      </c>
      <c r="Q906" s="294">
        <v>11</v>
      </c>
      <c r="R906" s="294"/>
      <c r="S906" s="294"/>
      <c r="T906" s="294"/>
      <c r="U906" s="294"/>
      <c r="V906" s="431"/>
      <c r="W906" s="294"/>
      <c r="X906" s="294"/>
      <c r="Y906" s="294">
        <f>IF(NFI_Expiration=1,IF($A906&lt;VLOOKUP(H$5,NFI,5,0),1,0)*Table_NFI[[#This Row],[Hygiene Kit]],Table_NFI[Hygiene Kit])</f>
        <v>0</v>
      </c>
      <c r="Z906" s="294">
        <f>IF(NFI_Expiration=1,IF($A906&lt;VLOOKUP(I$5,NFI,5,0),1,0)*Table_NFI[[#This Row],[NFI Core Kit]],Table_NFI[NFI Core Kit])</f>
        <v>0</v>
      </c>
      <c r="AA906" s="294">
        <f>IF(NFI_Expiration=1,IF($A906&lt;VLOOKUP(J$5,NFI,5,0),1,0)*Table_NFI[[#This Row],[Sanitary Kit]],Table_NFI[Sanitary Kit])</f>
        <v>0</v>
      </c>
      <c r="AB906" s="294">
        <f>IF(NFI_Expiration=1,IF($A906&lt;VLOOKUP(K$5,NFI,5,0),1,0)*Table_NFI[[#This Row],[Mosquito net]],Table_NFI[Mosquito net])</f>
        <v>0</v>
      </c>
      <c r="AC906" s="294">
        <f>IF(NFI_Expiration=1,IF($A906&lt;VLOOKUP(L$5,NFI,5,0),1,0)*Table_NFI[[#This Row],[Tarpaulin]],Table_NFI[[#This Row],[Tarpaulin]])</f>
        <v>0</v>
      </c>
      <c r="AD906" s="294">
        <f>IF(NFI_Expiration=1,IF($A906&lt;VLOOKUP(M$5,NFI,5,0),1,0)*Table_NFI[[#This Row],[Blanket]],Table_NFI[[#This Row],[Blanket]])</f>
        <v>0</v>
      </c>
      <c r="AE906" s="294">
        <f>IF(NFI_Expiration=1,IF($A906&lt;VLOOKUP(N$5,NFI,5,0),1,0)*Table_NFI[[#This Row],[Kitchen Set]],Table_NFI[Kitchen Set])</f>
        <v>0</v>
      </c>
      <c r="AF906" s="294">
        <f>IF(NFI_Expiration=1,IF($A906&lt;VLOOKUP(O$5,NFI,5,0),1,0)*Table_NFI[[#This Row],[Clothes Kit]],Table_NFI[Clothes Kit])</f>
        <v>0</v>
      </c>
      <c r="AG906" s="294">
        <f>IF(NFI_Expiration=1,IF($A906&lt;VLOOKUP(P$5,NFI,5,0),1,0)*Table_NFI[[#This Row],[Plastic Bucket]],Table_NFI[Plastic Bucket])</f>
        <v>0</v>
      </c>
      <c r="AH906" s="294">
        <f>IF(NFI_Expiration=1,IF($A906&lt;VLOOKUP(Q$5,NFI,5,0),1,0)*Table_NFI[[#This Row],[Plastic Mat]],Table_NFI[Plastic Mat])*IF(Table_NFI[[#This Row],[Distribution Date]]&gt;"2014-04-01",1,2.5)</f>
        <v>0</v>
      </c>
      <c r="AI906" s="294">
        <f>IF(NFI_Expiration=1,IF($A906&lt;VLOOKUP(R$5,NFI,5,0),1,0)*Table_NFI[[#This Row],[Winter Clothes Adult]],Table_NFI[Winter Clothes Adult])</f>
        <v>0</v>
      </c>
      <c r="AJ906" s="294">
        <f>IF(NFI_Expiration=1,IF($A906&lt;VLOOKUP(S$5,NFI,5,0),1,0)*Table_NFI[[#This Row],[Winter Clothes Children]],Table_NFI[Winter Clothes Children])</f>
        <v>0</v>
      </c>
      <c r="AK906" s="294">
        <f>IF(NFI_Expiration=1,IF($A906&lt;VLOOKUP(T$5,NFI,5,0),1,0)*Table_NFI[[#This Row],[Winter Items Other]],Table_NFI[Winter Items Other])</f>
        <v>0</v>
      </c>
      <c r="AL906" s="294">
        <f>IF(NFI_Expiration=1,IF($A906&lt;VLOOKUP(M$5,NFI,5,0),1,0)*Table_NFI[[#This Row],[Winter Blanket]],Table_NFI[[#This Row],[Winter Blanket]])</f>
        <v>0</v>
      </c>
      <c r="AM906" s="294">
        <f>IF(Table_NFI[[#This Row],[Winter Clothes Adult]]+Table_NFI[[#This Row],[Winter Clothes Children]]+Table_NFI[[#This Row],[Winter Items Other]]+Table_NFI[[#This Row],[Winter Blanket]]&gt;0,1,0)</f>
        <v>0</v>
      </c>
      <c r="AN906" s="331">
        <f>IF(NFI_Expiration=1,IF($A906&lt;VLOOKUP(V$5,NFI,5,0),1,0)*Table_NFI[[#This Row],[Jerry Can]],Table_NFI[Jerry Can])</f>
        <v>0</v>
      </c>
      <c r="AO906" s="331">
        <f>IF(NFI_Expiration=1,IF($A906&lt;VLOOKUP(V$5,NFI,5,0),1,0)*Table_NFI[[#This Row],[Shelter Tool kit]],Table_NFI[Shelter Tool kit])</f>
        <v>0</v>
      </c>
      <c r="AP906" s="331">
        <f>IF(NFI_Expiration=1,IF($A906&lt;VLOOKUP(V$5,NFI,5,0),1,0)*Table_NFI[[#This Row],[Tent]],Table_NFI[Tent])</f>
        <v>0</v>
      </c>
      <c r="AQ906" s="473" t="str">
        <f>IFERROR(VLOOKUP(Table_NFI[[#This Row],[Camp Name]],CL,2,0),"")</f>
        <v>MMR001CMP019</v>
      </c>
      <c r="AR906" s="468">
        <f ca="1">IF(Table_NFI[[#This Row],[Pcode]]="","",IF(OFFSET(CampList[Opening Date],MATCH(Table_NFI[[#This Row],[Pcode]],CampList[CP_Pcode],0)-1,0,1,1)&gt;=NFI_Monitor_Date,1,0))</f>
        <v>0</v>
      </c>
      <c r="AS906" s="473" t="str">
        <f>IFERROR(VLOOKUP(Table_NFI[[#This Row],[Camp Name]],CL,3,0),"")</f>
        <v>Open</v>
      </c>
      <c r="AT906" s="294" t="str">
        <f ca="1">IF(Table_NFI[[#This Row],[Pcode]]="","",OFFSET(CampList[Priority],MATCH(Table_NFI[[#This Row],[Pcode]],CampList[CP_Pcode],0)-1,0,1,1))</f>
        <v>P4</v>
      </c>
      <c r="AU906" s="293">
        <f>IFERROR(Table_NFI[[#This Row],[Kitchen Set]]/VLOOKUP(Table_NFI[[#This Row],[Camp Name]],CL,4,0),"")</f>
        <v>0.10101010101010101</v>
      </c>
      <c r="AV906" s="466" t="s">
        <v>1092</v>
      </c>
      <c r="AW906" s="469"/>
    </row>
    <row r="907" spans="1:49" s="470" customFormat="1" x14ac:dyDescent="0.25">
      <c r="A907" s="297">
        <f t="shared" si="14"/>
        <v>52.06666666666667</v>
      </c>
      <c r="B907" s="465">
        <v>41113</v>
      </c>
      <c r="C907" s="466" t="s">
        <v>452</v>
      </c>
      <c r="D907" s="467" t="s">
        <v>452</v>
      </c>
      <c r="E907" s="466" t="s">
        <v>380</v>
      </c>
      <c r="F907" s="290" t="s">
        <v>237</v>
      </c>
      <c r="G907" s="290" t="s">
        <v>259</v>
      </c>
      <c r="H907" s="291"/>
      <c r="I907" s="291"/>
      <c r="J907" s="291"/>
      <c r="K907" s="291">
        <v>72</v>
      </c>
      <c r="L907" s="292">
        <v>39</v>
      </c>
      <c r="M907" s="292">
        <v>72</v>
      </c>
      <c r="N907" s="292">
        <v>39</v>
      </c>
      <c r="O907" s="292">
        <v>39</v>
      </c>
      <c r="P907" s="294">
        <v>39</v>
      </c>
      <c r="Q907" s="294">
        <v>39</v>
      </c>
      <c r="R907" s="294"/>
      <c r="S907" s="294"/>
      <c r="T907" s="294"/>
      <c r="U907" s="294"/>
      <c r="V907" s="431"/>
      <c r="W907" s="294"/>
      <c r="X907" s="294"/>
      <c r="Y907" s="294">
        <f>IF(NFI_Expiration=1,IF($A907&lt;VLOOKUP(H$5,NFI,5,0),1,0)*Table_NFI[[#This Row],[Hygiene Kit]],Table_NFI[Hygiene Kit])</f>
        <v>0</v>
      </c>
      <c r="Z907" s="294">
        <f>IF(NFI_Expiration=1,IF($A907&lt;VLOOKUP(I$5,NFI,5,0),1,0)*Table_NFI[[#This Row],[NFI Core Kit]],Table_NFI[NFI Core Kit])</f>
        <v>0</v>
      </c>
      <c r="AA907" s="294">
        <f>IF(NFI_Expiration=1,IF($A907&lt;VLOOKUP(J$5,NFI,5,0),1,0)*Table_NFI[[#This Row],[Sanitary Kit]],Table_NFI[Sanitary Kit])</f>
        <v>0</v>
      </c>
      <c r="AB907" s="294">
        <f>IF(NFI_Expiration=1,IF($A907&lt;VLOOKUP(K$5,NFI,5,0),1,0)*Table_NFI[[#This Row],[Mosquito net]],Table_NFI[Mosquito net])</f>
        <v>0</v>
      </c>
      <c r="AC907" s="294">
        <f>IF(NFI_Expiration=1,IF($A907&lt;VLOOKUP(L$5,NFI,5,0),1,0)*Table_NFI[[#This Row],[Tarpaulin]],Table_NFI[[#This Row],[Tarpaulin]])</f>
        <v>0</v>
      </c>
      <c r="AD907" s="294">
        <f>IF(NFI_Expiration=1,IF($A907&lt;VLOOKUP(M$5,NFI,5,0),1,0)*Table_NFI[[#This Row],[Blanket]],Table_NFI[[#This Row],[Blanket]])</f>
        <v>0</v>
      </c>
      <c r="AE907" s="294">
        <f>IF(NFI_Expiration=1,IF($A907&lt;VLOOKUP(N$5,NFI,5,0),1,0)*Table_NFI[[#This Row],[Kitchen Set]],Table_NFI[Kitchen Set])</f>
        <v>0</v>
      </c>
      <c r="AF907" s="294">
        <f>IF(NFI_Expiration=1,IF($A907&lt;VLOOKUP(O$5,NFI,5,0),1,0)*Table_NFI[[#This Row],[Clothes Kit]],Table_NFI[Clothes Kit])</f>
        <v>0</v>
      </c>
      <c r="AG907" s="294">
        <f>IF(NFI_Expiration=1,IF($A907&lt;VLOOKUP(P$5,NFI,5,0),1,0)*Table_NFI[[#This Row],[Plastic Bucket]],Table_NFI[Plastic Bucket])</f>
        <v>0</v>
      </c>
      <c r="AH907" s="294">
        <f>IF(NFI_Expiration=1,IF($A907&lt;VLOOKUP(Q$5,NFI,5,0),1,0)*Table_NFI[[#This Row],[Plastic Mat]],Table_NFI[Plastic Mat])*IF(Table_NFI[[#This Row],[Distribution Date]]&gt;"2014-04-01",1,2.5)</f>
        <v>0</v>
      </c>
      <c r="AI907" s="294">
        <f>IF(NFI_Expiration=1,IF($A907&lt;VLOOKUP(R$5,NFI,5,0),1,0)*Table_NFI[[#This Row],[Winter Clothes Adult]],Table_NFI[Winter Clothes Adult])</f>
        <v>0</v>
      </c>
      <c r="AJ907" s="294">
        <f>IF(NFI_Expiration=1,IF($A907&lt;VLOOKUP(S$5,NFI,5,0),1,0)*Table_NFI[[#This Row],[Winter Clothes Children]],Table_NFI[Winter Clothes Children])</f>
        <v>0</v>
      </c>
      <c r="AK907" s="294">
        <f>IF(NFI_Expiration=1,IF($A907&lt;VLOOKUP(T$5,NFI,5,0),1,0)*Table_NFI[[#This Row],[Winter Items Other]],Table_NFI[Winter Items Other])</f>
        <v>0</v>
      </c>
      <c r="AL907" s="294">
        <f>IF(NFI_Expiration=1,IF($A907&lt;VLOOKUP(M$5,NFI,5,0),1,0)*Table_NFI[[#This Row],[Winter Blanket]],Table_NFI[[#This Row],[Winter Blanket]])</f>
        <v>0</v>
      </c>
      <c r="AM907" s="294">
        <f>IF(Table_NFI[[#This Row],[Winter Clothes Adult]]+Table_NFI[[#This Row],[Winter Clothes Children]]+Table_NFI[[#This Row],[Winter Items Other]]+Table_NFI[[#This Row],[Winter Blanket]]&gt;0,1,0)</f>
        <v>0</v>
      </c>
      <c r="AN907" s="331">
        <f>IF(NFI_Expiration=1,IF($A907&lt;VLOOKUP(V$5,NFI,5,0),1,0)*Table_NFI[[#This Row],[Jerry Can]],Table_NFI[Jerry Can])</f>
        <v>0</v>
      </c>
      <c r="AO907" s="331">
        <f>IF(NFI_Expiration=1,IF($A907&lt;VLOOKUP(V$5,NFI,5,0),1,0)*Table_NFI[[#This Row],[Shelter Tool kit]],Table_NFI[Shelter Tool kit])</f>
        <v>0</v>
      </c>
      <c r="AP907" s="331">
        <f>IF(NFI_Expiration=1,IF($A907&lt;VLOOKUP(V$5,NFI,5,0),1,0)*Table_NFI[[#This Row],[Tent]],Table_NFI[Tent])</f>
        <v>0</v>
      </c>
      <c r="AQ907" s="473" t="str">
        <f>IFERROR(VLOOKUP(Table_NFI[[#This Row],[Camp Name]],CL,2,0),"")</f>
        <v>MMR001CMP016</v>
      </c>
      <c r="AR907" s="468">
        <f ca="1">IF(Table_NFI[[#This Row],[Pcode]]="","",IF(OFFSET(CampList[Opening Date],MATCH(Table_NFI[[#This Row],[Pcode]],CampList[CP_Pcode],0)-1,0,1,1)&gt;=NFI_Monitor_Date,1,0))</f>
        <v>0</v>
      </c>
      <c r="AS907" s="473" t="str">
        <f>IFERROR(VLOOKUP(Table_NFI[[#This Row],[Camp Name]],CL,3,0),"")</f>
        <v>Open</v>
      </c>
      <c r="AT907" s="294" t="str">
        <f ca="1">IF(Table_NFI[[#This Row],[Pcode]]="","",OFFSET(CampList[Priority],MATCH(Table_NFI[[#This Row],[Pcode]],CampList[CP_Pcode],0)-1,0,1,1))</f>
        <v>P4</v>
      </c>
      <c r="AU907" s="293">
        <f>IFERROR(Table_NFI[[#This Row],[Kitchen Set]]/VLOOKUP(Table_NFI[[#This Row],[Camp Name]],CL,4,0),"")</f>
        <v>0.65</v>
      </c>
      <c r="AV907" s="466" t="s">
        <v>1092</v>
      </c>
      <c r="AW907" s="469"/>
    </row>
    <row r="908" spans="1:49" s="470" customFormat="1" ht="14.45" customHeight="1" x14ac:dyDescent="0.25">
      <c r="A908" s="297">
        <f t="shared" si="14"/>
        <v>52.06666666666667</v>
      </c>
      <c r="B908" s="465">
        <v>41113</v>
      </c>
      <c r="C908" s="466" t="s">
        <v>452</v>
      </c>
      <c r="D908" s="467" t="s">
        <v>452</v>
      </c>
      <c r="E908" s="466" t="s">
        <v>380</v>
      </c>
      <c r="F908" s="290" t="s">
        <v>237</v>
      </c>
      <c r="G908" s="290" t="s">
        <v>279</v>
      </c>
      <c r="H908" s="291"/>
      <c r="I908" s="296"/>
      <c r="J908" s="289"/>
      <c r="K908" s="289">
        <v>30</v>
      </c>
      <c r="L908" s="289">
        <v>12</v>
      </c>
      <c r="M908" s="289">
        <v>30</v>
      </c>
      <c r="N908" s="289">
        <v>12</v>
      </c>
      <c r="O908" s="289">
        <v>14</v>
      </c>
      <c r="P908" s="294">
        <v>14</v>
      </c>
      <c r="Q908" s="294">
        <v>14</v>
      </c>
      <c r="R908" s="294"/>
      <c r="S908" s="294"/>
      <c r="T908" s="294"/>
      <c r="U908" s="294"/>
      <c r="V908" s="431"/>
      <c r="W908" s="294"/>
      <c r="X908" s="294"/>
      <c r="Y908" s="294">
        <f>IF(NFI_Expiration=1,IF($A908&lt;VLOOKUP(H$5,NFI,5,0),1,0)*Table_NFI[[#This Row],[Hygiene Kit]],Table_NFI[Hygiene Kit])</f>
        <v>0</v>
      </c>
      <c r="Z908" s="294">
        <f>IF(NFI_Expiration=1,IF($A908&lt;VLOOKUP(I$5,NFI,5,0),1,0)*Table_NFI[[#This Row],[NFI Core Kit]],Table_NFI[NFI Core Kit])</f>
        <v>0</v>
      </c>
      <c r="AA908" s="294">
        <f>IF(NFI_Expiration=1,IF($A908&lt;VLOOKUP(J$5,NFI,5,0),1,0)*Table_NFI[[#This Row],[Sanitary Kit]],Table_NFI[Sanitary Kit])</f>
        <v>0</v>
      </c>
      <c r="AB908" s="294">
        <f>IF(NFI_Expiration=1,IF($A908&lt;VLOOKUP(K$5,NFI,5,0),1,0)*Table_NFI[[#This Row],[Mosquito net]],Table_NFI[Mosquito net])</f>
        <v>0</v>
      </c>
      <c r="AC908" s="294">
        <f>IF(NFI_Expiration=1,IF($A908&lt;VLOOKUP(L$5,NFI,5,0),1,0)*Table_NFI[[#This Row],[Tarpaulin]],Table_NFI[[#This Row],[Tarpaulin]])</f>
        <v>0</v>
      </c>
      <c r="AD908" s="294">
        <f>IF(NFI_Expiration=1,IF($A908&lt;VLOOKUP(M$5,NFI,5,0),1,0)*Table_NFI[[#This Row],[Blanket]],Table_NFI[[#This Row],[Blanket]])</f>
        <v>0</v>
      </c>
      <c r="AE908" s="294">
        <f>IF(NFI_Expiration=1,IF($A908&lt;VLOOKUP(N$5,NFI,5,0),1,0)*Table_NFI[[#This Row],[Kitchen Set]],Table_NFI[Kitchen Set])</f>
        <v>0</v>
      </c>
      <c r="AF908" s="294">
        <f>IF(NFI_Expiration=1,IF($A908&lt;VLOOKUP(O$5,NFI,5,0),1,0)*Table_NFI[[#This Row],[Clothes Kit]],Table_NFI[Clothes Kit])</f>
        <v>0</v>
      </c>
      <c r="AG908" s="294">
        <f>IF(NFI_Expiration=1,IF($A908&lt;VLOOKUP(P$5,NFI,5,0),1,0)*Table_NFI[[#This Row],[Plastic Bucket]],Table_NFI[Plastic Bucket])</f>
        <v>0</v>
      </c>
      <c r="AH908" s="294">
        <f>IF(NFI_Expiration=1,IF($A908&lt;VLOOKUP(Q$5,NFI,5,0),1,0)*Table_NFI[[#This Row],[Plastic Mat]],Table_NFI[Plastic Mat])*IF(Table_NFI[[#This Row],[Distribution Date]]&gt;"2014-04-01",1,2.5)</f>
        <v>0</v>
      </c>
      <c r="AI908" s="294">
        <f>IF(NFI_Expiration=1,IF($A908&lt;VLOOKUP(R$5,NFI,5,0),1,0)*Table_NFI[[#This Row],[Winter Clothes Adult]],Table_NFI[Winter Clothes Adult])</f>
        <v>0</v>
      </c>
      <c r="AJ908" s="294">
        <f>IF(NFI_Expiration=1,IF($A908&lt;VLOOKUP(S$5,NFI,5,0),1,0)*Table_NFI[[#This Row],[Winter Clothes Children]],Table_NFI[Winter Clothes Children])</f>
        <v>0</v>
      </c>
      <c r="AK908" s="294">
        <f>IF(NFI_Expiration=1,IF($A908&lt;VLOOKUP(T$5,NFI,5,0),1,0)*Table_NFI[[#This Row],[Winter Items Other]],Table_NFI[Winter Items Other])</f>
        <v>0</v>
      </c>
      <c r="AL908" s="294">
        <f>IF(NFI_Expiration=1,IF($A908&lt;VLOOKUP(M$5,NFI,5,0),1,0)*Table_NFI[[#This Row],[Winter Blanket]],Table_NFI[[#This Row],[Winter Blanket]])</f>
        <v>0</v>
      </c>
      <c r="AM908" s="294">
        <f>IF(Table_NFI[[#This Row],[Winter Clothes Adult]]+Table_NFI[[#This Row],[Winter Clothes Children]]+Table_NFI[[#This Row],[Winter Items Other]]+Table_NFI[[#This Row],[Winter Blanket]]&gt;0,1,0)</f>
        <v>0</v>
      </c>
      <c r="AN908" s="331">
        <f>IF(NFI_Expiration=1,IF($A908&lt;VLOOKUP(V$5,NFI,5,0),1,0)*Table_NFI[[#This Row],[Jerry Can]],Table_NFI[Jerry Can])</f>
        <v>0</v>
      </c>
      <c r="AO908" s="331">
        <f>IF(NFI_Expiration=1,IF($A908&lt;VLOOKUP(V$5,NFI,5,0),1,0)*Table_NFI[[#This Row],[Shelter Tool kit]],Table_NFI[Shelter Tool kit])</f>
        <v>0</v>
      </c>
      <c r="AP908" s="331">
        <f>IF(NFI_Expiration=1,IF($A908&lt;VLOOKUP(V$5,NFI,5,0),1,0)*Table_NFI[[#This Row],[Tent]],Table_NFI[Tent])</f>
        <v>0</v>
      </c>
      <c r="AQ908" s="473" t="str">
        <f>IFERROR(VLOOKUP(Table_NFI[[#This Row],[Camp Name]],CL,2,0),"")</f>
        <v>MMR001CMP007</v>
      </c>
      <c r="AR908" s="468">
        <f ca="1">IF(Table_NFI[[#This Row],[Pcode]]="","",IF(OFFSET(CampList[Opening Date],MATCH(Table_NFI[[#This Row],[Pcode]],CampList[CP_Pcode],0)-1,0,1,1)&gt;=NFI_Monitor_Date,1,0))</f>
        <v>0</v>
      </c>
      <c r="AS908" s="473" t="str">
        <f>IFERROR(VLOOKUP(Table_NFI[[#This Row],[Camp Name]],CL,3,0),"")</f>
        <v>Open</v>
      </c>
      <c r="AT908" s="294" t="str">
        <f ca="1">IF(Table_NFI[[#This Row],[Pcode]]="","",OFFSET(CampList[Priority],MATCH(Table_NFI[[#This Row],[Pcode]],CampList[CP_Pcode],0)-1,0,1,1))</f>
        <v>P4</v>
      </c>
      <c r="AU908" s="293">
        <f>IFERROR(Table_NFI[[#This Row],[Kitchen Set]]/VLOOKUP(Table_NFI[[#This Row],[Camp Name]],CL,4,0),"")</f>
        <v>0.54545454545454541</v>
      </c>
      <c r="AV908" s="466" t="s">
        <v>1092</v>
      </c>
      <c r="AW908" s="469"/>
    </row>
    <row r="909" spans="1:49" s="470" customFormat="1" ht="14.45" customHeight="1" x14ac:dyDescent="0.25">
      <c r="A909" s="297">
        <f t="shared" si="14"/>
        <v>52.06666666666667</v>
      </c>
      <c r="B909" s="465">
        <v>41113</v>
      </c>
      <c r="C909" s="466" t="s">
        <v>452</v>
      </c>
      <c r="D909" s="466" t="s">
        <v>452</v>
      </c>
      <c r="E909" s="466" t="s">
        <v>380</v>
      </c>
      <c r="F909" s="290" t="s">
        <v>237</v>
      </c>
      <c r="G909" s="290" t="s">
        <v>275</v>
      </c>
      <c r="H909" s="291"/>
      <c r="I909" s="291"/>
      <c r="J909" s="291"/>
      <c r="K909" s="291">
        <v>24</v>
      </c>
      <c r="L909" s="292">
        <v>8</v>
      </c>
      <c r="M909" s="292">
        <v>24</v>
      </c>
      <c r="N909" s="292">
        <v>8</v>
      </c>
      <c r="O909" s="292">
        <v>13</v>
      </c>
      <c r="P909" s="294">
        <v>13</v>
      </c>
      <c r="Q909" s="294">
        <v>13</v>
      </c>
      <c r="R909" s="294"/>
      <c r="S909" s="294"/>
      <c r="T909" s="294"/>
      <c r="U909" s="294"/>
      <c r="V909" s="431"/>
      <c r="W909" s="294"/>
      <c r="X909" s="294"/>
      <c r="Y909" s="294">
        <f>IF(NFI_Expiration=1,IF($A909&lt;VLOOKUP(H$5,NFI,5,0),1,0)*Table_NFI[[#This Row],[Hygiene Kit]],Table_NFI[Hygiene Kit])</f>
        <v>0</v>
      </c>
      <c r="Z909" s="294">
        <f>IF(NFI_Expiration=1,IF($A909&lt;VLOOKUP(I$5,NFI,5,0),1,0)*Table_NFI[[#This Row],[NFI Core Kit]],Table_NFI[NFI Core Kit])</f>
        <v>0</v>
      </c>
      <c r="AA909" s="294">
        <f>IF(NFI_Expiration=1,IF($A909&lt;VLOOKUP(J$5,NFI,5,0),1,0)*Table_NFI[[#This Row],[Sanitary Kit]],Table_NFI[Sanitary Kit])</f>
        <v>0</v>
      </c>
      <c r="AB909" s="294">
        <f>IF(NFI_Expiration=1,IF($A909&lt;VLOOKUP(K$5,NFI,5,0),1,0)*Table_NFI[[#This Row],[Mosquito net]],Table_NFI[Mosquito net])</f>
        <v>0</v>
      </c>
      <c r="AC909" s="294">
        <f>IF(NFI_Expiration=1,IF($A909&lt;VLOOKUP(L$5,NFI,5,0),1,0)*Table_NFI[[#This Row],[Tarpaulin]],Table_NFI[[#This Row],[Tarpaulin]])</f>
        <v>0</v>
      </c>
      <c r="AD909" s="294">
        <f>IF(NFI_Expiration=1,IF($A909&lt;VLOOKUP(M$5,NFI,5,0),1,0)*Table_NFI[[#This Row],[Blanket]],Table_NFI[[#This Row],[Blanket]])</f>
        <v>0</v>
      </c>
      <c r="AE909" s="294">
        <f>IF(NFI_Expiration=1,IF($A909&lt;VLOOKUP(N$5,NFI,5,0),1,0)*Table_NFI[[#This Row],[Kitchen Set]],Table_NFI[Kitchen Set])</f>
        <v>0</v>
      </c>
      <c r="AF909" s="294">
        <f>IF(NFI_Expiration=1,IF($A909&lt;VLOOKUP(O$5,NFI,5,0),1,0)*Table_NFI[[#This Row],[Clothes Kit]],Table_NFI[Clothes Kit])</f>
        <v>0</v>
      </c>
      <c r="AG909" s="294">
        <f>IF(NFI_Expiration=1,IF($A909&lt;VLOOKUP(P$5,NFI,5,0),1,0)*Table_NFI[[#This Row],[Plastic Bucket]],Table_NFI[Plastic Bucket])</f>
        <v>0</v>
      </c>
      <c r="AH909" s="294">
        <f>IF(NFI_Expiration=1,IF($A909&lt;VLOOKUP(Q$5,NFI,5,0),1,0)*Table_NFI[[#This Row],[Plastic Mat]],Table_NFI[Plastic Mat])*IF(Table_NFI[[#This Row],[Distribution Date]]&gt;"2014-04-01",1,2.5)</f>
        <v>0</v>
      </c>
      <c r="AI909" s="294">
        <f>IF(NFI_Expiration=1,IF($A909&lt;VLOOKUP(R$5,NFI,5,0),1,0)*Table_NFI[[#This Row],[Winter Clothes Adult]],Table_NFI[Winter Clothes Adult])</f>
        <v>0</v>
      </c>
      <c r="AJ909" s="294">
        <f>IF(NFI_Expiration=1,IF($A909&lt;VLOOKUP(S$5,NFI,5,0),1,0)*Table_NFI[[#This Row],[Winter Clothes Children]],Table_NFI[Winter Clothes Children])</f>
        <v>0</v>
      </c>
      <c r="AK909" s="294">
        <f>IF(NFI_Expiration=1,IF($A909&lt;VLOOKUP(T$5,NFI,5,0),1,0)*Table_NFI[[#This Row],[Winter Items Other]],Table_NFI[Winter Items Other])</f>
        <v>0</v>
      </c>
      <c r="AL909" s="294">
        <f>IF(NFI_Expiration=1,IF($A909&lt;VLOOKUP(M$5,NFI,5,0),1,0)*Table_NFI[[#This Row],[Winter Blanket]],Table_NFI[[#This Row],[Winter Blanket]])</f>
        <v>0</v>
      </c>
      <c r="AM909" s="294">
        <f>IF(Table_NFI[[#This Row],[Winter Clothes Adult]]+Table_NFI[[#This Row],[Winter Clothes Children]]+Table_NFI[[#This Row],[Winter Items Other]]+Table_NFI[[#This Row],[Winter Blanket]]&gt;0,1,0)</f>
        <v>0</v>
      </c>
      <c r="AN909" s="331">
        <f>IF(NFI_Expiration=1,IF($A909&lt;VLOOKUP(V$5,NFI,5,0),1,0)*Table_NFI[[#This Row],[Jerry Can]],Table_NFI[Jerry Can])</f>
        <v>0</v>
      </c>
      <c r="AO909" s="331">
        <f>IF(NFI_Expiration=1,IF($A909&lt;VLOOKUP(V$5,NFI,5,0),1,0)*Table_NFI[[#This Row],[Shelter Tool kit]],Table_NFI[Shelter Tool kit])</f>
        <v>0</v>
      </c>
      <c r="AP909" s="331">
        <f>IF(NFI_Expiration=1,IF($A909&lt;VLOOKUP(V$5,NFI,5,0),1,0)*Table_NFI[[#This Row],[Tent]],Table_NFI[Tent])</f>
        <v>0</v>
      </c>
      <c r="AQ909" s="473" t="str">
        <f>IFERROR(VLOOKUP(Table_NFI[[#This Row],[Camp Name]],CL,2,0),"")</f>
        <v>MMR001CMP005</v>
      </c>
      <c r="AR909" s="468">
        <f ca="1">IF(Table_NFI[[#This Row],[Pcode]]="","",IF(OFFSET(CampList[Opening Date],MATCH(Table_NFI[[#This Row],[Pcode]],CampList[CP_Pcode],0)-1,0,1,1)&gt;=NFI_Monitor_Date,1,0))</f>
        <v>0</v>
      </c>
      <c r="AS909" s="473" t="str">
        <f>IFERROR(VLOOKUP(Table_NFI[[#This Row],[Camp Name]],CL,3,0),"")</f>
        <v>Open</v>
      </c>
      <c r="AT909" s="294" t="str">
        <f ca="1">IF(Table_NFI[[#This Row],[Pcode]]="","",OFFSET(CampList[Priority],MATCH(Table_NFI[[#This Row],[Pcode]],CampList[CP_Pcode],0)-1,0,1,1))</f>
        <v>P4</v>
      </c>
      <c r="AU909" s="293">
        <f>IFERROR(Table_NFI[[#This Row],[Kitchen Set]]/VLOOKUP(Table_NFI[[#This Row],[Camp Name]],CL,4,0),"")</f>
        <v>0.25806451612903225</v>
      </c>
      <c r="AV909" s="466" t="s">
        <v>1092</v>
      </c>
      <c r="AW909" s="469"/>
    </row>
    <row r="910" spans="1:49" ht="14.45" customHeight="1" x14ac:dyDescent="0.25">
      <c r="A910" s="297">
        <f t="shared" si="14"/>
        <v>52.2</v>
      </c>
      <c r="B910" s="465">
        <v>41109</v>
      </c>
      <c r="C910" s="466" t="s">
        <v>452</v>
      </c>
      <c r="D910" s="467" t="s">
        <v>452</v>
      </c>
      <c r="E910" s="466" t="s">
        <v>380</v>
      </c>
      <c r="F910" s="290" t="s">
        <v>237</v>
      </c>
      <c r="G910" s="290" t="s">
        <v>257</v>
      </c>
      <c r="H910" s="291"/>
      <c r="I910" s="291"/>
      <c r="J910" s="291"/>
      <c r="K910" s="291">
        <v>6</v>
      </c>
      <c r="L910" s="292">
        <v>4</v>
      </c>
      <c r="M910" s="292">
        <v>6</v>
      </c>
      <c r="N910" s="292">
        <v>4</v>
      </c>
      <c r="O910" s="292">
        <v>4</v>
      </c>
      <c r="P910" s="294">
        <v>4</v>
      </c>
      <c r="Q910" s="294">
        <v>4</v>
      </c>
      <c r="R910" s="294"/>
      <c r="S910" s="294"/>
      <c r="T910" s="294"/>
      <c r="U910" s="294"/>
      <c r="V910" s="431"/>
      <c r="W910" s="294"/>
      <c r="X910" s="294"/>
      <c r="Y910" s="294">
        <f>IF(NFI_Expiration=1,IF($A910&lt;VLOOKUP(H$5,NFI,5,0),1,0)*Table_NFI[[#This Row],[Hygiene Kit]],Table_NFI[Hygiene Kit])</f>
        <v>0</v>
      </c>
      <c r="Z910" s="294">
        <f>IF(NFI_Expiration=1,IF($A910&lt;VLOOKUP(I$5,NFI,5,0),1,0)*Table_NFI[[#This Row],[NFI Core Kit]],Table_NFI[NFI Core Kit])</f>
        <v>0</v>
      </c>
      <c r="AA910" s="294">
        <f>IF(NFI_Expiration=1,IF($A910&lt;VLOOKUP(J$5,NFI,5,0),1,0)*Table_NFI[[#This Row],[Sanitary Kit]],Table_NFI[Sanitary Kit])</f>
        <v>0</v>
      </c>
      <c r="AB910" s="294">
        <f>IF(NFI_Expiration=1,IF($A910&lt;VLOOKUP(K$5,NFI,5,0),1,0)*Table_NFI[[#This Row],[Mosquito net]],Table_NFI[Mosquito net])</f>
        <v>0</v>
      </c>
      <c r="AC910" s="294">
        <f>IF(NFI_Expiration=1,IF($A910&lt;VLOOKUP(L$5,NFI,5,0),1,0)*Table_NFI[[#This Row],[Tarpaulin]],Table_NFI[[#This Row],[Tarpaulin]])</f>
        <v>0</v>
      </c>
      <c r="AD910" s="294">
        <f>IF(NFI_Expiration=1,IF($A910&lt;VLOOKUP(M$5,NFI,5,0),1,0)*Table_NFI[[#This Row],[Blanket]],Table_NFI[[#This Row],[Blanket]])</f>
        <v>0</v>
      </c>
      <c r="AE910" s="294">
        <f>IF(NFI_Expiration=1,IF($A910&lt;VLOOKUP(N$5,NFI,5,0),1,0)*Table_NFI[[#This Row],[Kitchen Set]],Table_NFI[Kitchen Set])</f>
        <v>0</v>
      </c>
      <c r="AF910" s="294">
        <f>IF(NFI_Expiration=1,IF($A910&lt;VLOOKUP(O$5,NFI,5,0),1,0)*Table_NFI[[#This Row],[Clothes Kit]],Table_NFI[Clothes Kit])</f>
        <v>0</v>
      </c>
      <c r="AG910" s="294">
        <f>IF(NFI_Expiration=1,IF($A910&lt;VLOOKUP(P$5,NFI,5,0),1,0)*Table_NFI[[#This Row],[Plastic Bucket]],Table_NFI[Plastic Bucket])</f>
        <v>0</v>
      </c>
      <c r="AH910" s="294">
        <f>IF(NFI_Expiration=1,IF($A910&lt;VLOOKUP(Q$5,NFI,5,0),1,0)*Table_NFI[[#This Row],[Plastic Mat]],Table_NFI[Plastic Mat])*IF(Table_NFI[[#This Row],[Distribution Date]]&gt;"2014-04-01",1,2.5)</f>
        <v>0</v>
      </c>
      <c r="AI910" s="294">
        <f>IF(NFI_Expiration=1,IF($A910&lt;VLOOKUP(R$5,NFI,5,0),1,0)*Table_NFI[[#This Row],[Winter Clothes Adult]],Table_NFI[Winter Clothes Adult])</f>
        <v>0</v>
      </c>
      <c r="AJ910" s="294">
        <f>IF(NFI_Expiration=1,IF($A910&lt;VLOOKUP(S$5,NFI,5,0),1,0)*Table_NFI[[#This Row],[Winter Clothes Children]],Table_NFI[Winter Clothes Children])</f>
        <v>0</v>
      </c>
      <c r="AK910" s="294">
        <f>IF(NFI_Expiration=1,IF($A910&lt;VLOOKUP(T$5,NFI,5,0),1,0)*Table_NFI[[#This Row],[Winter Items Other]],Table_NFI[Winter Items Other])</f>
        <v>0</v>
      </c>
      <c r="AL910" s="294">
        <f>IF(NFI_Expiration=1,IF($A910&lt;VLOOKUP(M$5,NFI,5,0),1,0)*Table_NFI[[#This Row],[Winter Blanket]],Table_NFI[[#This Row],[Winter Blanket]])</f>
        <v>0</v>
      </c>
      <c r="AM910" s="294">
        <f>IF(Table_NFI[[#This Row],[Winter Clothes Adult]]+Table_NFI[[#This Row],[Winter Clothes Children]]+Table_NFI[[#This Row],[Winter Items Other]]+Table_NFI[[#This Row],[Winter Blanket]]&gt;0,1,0)</f>
        <v>0</v>
      </c>
      <c r="AN910" s="331">
        <f>IF(NFI_Expiration=1,IF($A910&lt;VLOOKUP(V$5,NFI,5,0),1,0)*Table_NFI[[#This Row],[Jerry Can]],Table_NFI[Jerry Can])</f>
        <v>0</v>
      </c>
      <c r="AO910" s="331">
        <f>IF(NFI_Expiration=1,IF($A910&lt;VLOOKUP(V$5,NFI,5,0),1,0)*Table_NFI[[#This Row],[Shelter Tool kit]],Table_NFI[Shelter Tool kit])</f>
        <v>0</v>
      </c>
      <c r="AP910" s="331">
        <f>IF(NFI_Expiration=1,IF($A910&lt;VLOOKUP(V$5,NFI,5,0),1,0)*Table_NFI[[#This Row],[Tent]],Table_NFI[Tent])</f>
        <v>0</v>
      </c>
      <c r="AQ910" s="473" t="str">
        <f>IFERROR(VLOOKUP(Table_NFI[[#This Row],[Camp Name]],CL,2,0),"")</f>
        <v>MMR001CMP013</v>
      </c>
      <c r="AR910" s="468">
        <f ca="1">IF(Table_NFI[[#This Row],[Pcode]]="","",IF(OFFSET(CampList[Opening Date],MATCH(Table_NFI[[#This Row],[Pcode]],CampList[CP_Pcode],0)-1,0,1,1)&gt;=NFI_Monitor_Date,1,0))</f>
        <v>0</v>
      </c>
      <c r="AS910" s="473" t="str">
        <f>IFERROR(VLOOKUP(Table_NFI[[#This Row],[Camp Name]],CL,3,0),"")</f>
        <v>Open</v>
      </c>
      <c r="AT910" s="294" t="str">
        <f ca="1">IF(Table_NFI[[#This Row],[Pcode]]="","",OFFSET(CampList[Priority],MATCH(Table_NFI[[#This Row],[Pcode]],CampList[CP_Pcode],0)-1,0,1,1))</f>
        <v>P4</v>
      </c>
      <c r="AU910" s="293">
        <f>IFERROR(Table_NFI[[#This Row],[Kitchen Set]]/VLOOKUP(Table_NFI[[#This Row],[Camp Name]],CL,4,0),"")</f>
        <v>0.23529411764705882</v>
      </c>
      <c r="AV910" s="466" t="s">
        <v>1092</v>
      </c>
      <c r="AW910" s="469"/>
    </row>
    <row r="911" spans="1:49" ht="14.45" customHeight="1" x14ac:dyDescent="0.25">
      <c r="A911" s="297">
        <f t="shared" si="14"/>
        <v>52.2</v>
      </c>
      <c r="B911" s="465">
        <v>41109</v>
      </c>
      <c r="C911" s="466" t="s">
        <v>452</v>
      </c>
      <c r="D911" s="466" t="s">
        <v>452</v>
      </c>
      <c r="E911" s="466" t="s">
        <v>380</v>
      </c>
      <c r="F911" s="290" t="s">
        <v>237</v>
      </c>
      <c r="G911" s="290" t="s">
        <v>1244</v>
      </c>
      <c r="H911" s="291"/>
      <c r="I911" s="291"/>
      <c r="J911" s="291"/>
      <c r="K911" s="291">
        <v>3</v>
      </c>
      <c r="L911" s="292">
        <v>2</v>
      </c>
      <c r="M911" s="292">
        <v>3</v>
      </c>
      <c r="N911" s="292">
        <v>2</v>
      </c>
      <c r="O911" s="292">
        <v>2</v>
      </c>
      <c r="P911" s="294">
        <v>2</v>
      </c>
      <c r="Q911" s="294">
        <v>2</v>
      </c>
      <c r="R911" s="294"/>
      <c r="S911" s="294"/>
      <c r="T911" s="294"/>
      <c r="U911" s="294"/>
      <c r="V911" s="431"/>
      <c r="W911" s="294"/>
      <c r="X911" s="294"/>
      <c r="Y911" s="294">
        <f>IF(NFI_Expiration=1,IF($A911&lt;VLOOKUP(H$5,NFI,5,0),1,0)*Table_NFI[[#This Row],[Hygiene Kit]],Table_NFI[Hygiene Kit])</f>
        <v>0</v>
      </c>
      <c r="Z911" s="294">
        <f>IF(NFI_Expiration=1,IF($A911&lt;VLOOKUP(I$5,NFI,5,0),1,0)*Table_NFI[[#This Row],[NFI Core Kit]],Table_NFI[NFI Core Kit])</f>
        <v>0</v>
      </c>
      <c r="AA911" s="294">
        <f>IF(NFI_Expiration=1,IF($A911&lt;VLOOKUP(J$5,NFI,5,0),1,0)*Table_NFI[[#This Row],[Sanitary Kit]],Table_NFI[Sanitary Kit])</f>
        <v>0</v>
      </c>
      <c r="AB911" s="294">
        <f>IF(NFI_Expiration=1,IF($A911&lt;VLOOKUP(K$5,NFI,5,0),1,0)*Table_NFI[[#This Row],[Mosquito net]],Table_NFI[Mosquito net])</f>
        <v>0</v>
      </c>
      <c r="AC911" s="294">
        <f>IF(NFI_Expiration=1,IF($A911&lt;VLOOKUP(L$5,NFI,5,0),1,0)*Table_NFI[[#This Row],[Tarpaulin]],Table_NFI[[#This Row],[Tarpaulin]])</f>
        <v>0</v>
      </c>
      <c r="AD911" s="294">
        <f>IF(NFI_Expiration=1,IF($A911&lt;VLOOKUP(M$5,NFI,5,0),1,0)*Table_NFI[[#This Row],[Blanket]],Table_NFI[[#This Row],[Blanket]])</f>
        <v>0</v>
      </c>
      <c r="AE911" s="294">
        <f>IF(NFI_Expiration=1,IF($A911&lt;VLOOKUP(N$5,NFI,5,0),1,0)*Table_NFI[[#This Row],[Kitchen Set]],Table_NFI[Kitchen Set])</f>
        <v>0</v>
      </c>
      <c r="AF911" s="294">
        <f>IF(NFI_Expiration=1,IF($A911&lt;VLOOKUP(O$5,NFI,5,0),1,0)*Table_NFI[[#This Row],[Clothes Kit]],Table_NFI[Clothes Kit])</f>
        <v>0</v>
      </c>
      <c r="AG911" s="294">
        <f>IF(NFI_Expiration=1,IF($A911&lt;VLOOKUP(P$5,NFI,5,0),1,0)*Table_NFI[[#This Row],[Plastic Bucket]],Table_NFI[Plastic Bucket])</f>
        <v>0</v>
      </c>
      <c r="AH911" s="294">
        <f>IF(NFI_Expiration=1,IF($A911&lt;VLOOKUP(Q$5,NFI,5,0),1,0)*Table_NFI[[#This Row],[Plastic Mat]],Table_NFI[Plastic Mat])*IF(Table_NFI[[#This Row],[Distribution Date]]&gt;"2014-04-01",1,2.5)</f>
        <v>0</v>
      </c>
      <c r="AI911" s="294">
        <f>IF(NFI_Expiration=1,IF($A911&lt;VLOOKUP(R$5,NFI,5,0),1,0)*Table_NFI[[#This Row],[Winter Clothes Adult]],Table_NFI[Winter Clothes Adult])</f>
        <v>0</v>
      </c>
      <c r="AJ911" s="294">
        <f>IF(NFI_Expiration=1,IF($A911&lt;VLOOKUP(S$5,NFI,5,0),1,0)*Table_NFI[[#This Row],[Winter Clothes Children]],Table_NFI[Winter Clothes Children])</f>
        <v>0</v>
      </c>
      <c r="AK911" s="294">
        <f>IF(NFI_Expiration=1,IF($A911&lt;VLOOKUP(T$5,NFI,5,0),1,0)*Table_NFI[[#This Row],[Winter Items Other]],Table_NFI[Winter Items Other])</f>
        <v>0</v>
      </c>
      <c r="AL911" s="294">
        <f>IF(NFI_Expiration=1,IF($A911&lt;VLOOKUP(M$5,NFI,5,0),1,0)*Table_NFI[[#This Row],[Winter Blanket]],Table_NFI[[#This Row],[Winter Blanket]])</f>
        <v>0</v>
      </c>
      <c r="AM911" s="294">
        <f>IF(Table_NFI[[#This Row],[Winter Clothes Adult]]+Table_NFI[[#This Row],[Winter Clothes Children]]+Table_NFI[[#This Row],[Winter Items Other]]+Table_NFI[[#This Row],[Winter Blanket]]&gt;0,1,0)</f>
        <v>0</v>
      </c>
      <c r="AN911" s="331">
        <f>IF(NFI_Expiration=1,IF($A911&lt;VLOOKUP(V$5,NFI,5,0),1,0)*Table_NFI[[#This Row],[Jerry Can]],Table_NFI[Jerry Can])</f>
        <v>0</v>
      </c>
      <c r="AO911" s="331">
        <f>IF(NFI_Expiration=1,IF($A911&lt;VLOOKUP(V$5,NFI,5,0),1,0)*Table_NFI[[#This Row],[Shelter Tool kit]],Table_NFI[Shelter Tool kit])</f>
        <v>0</v>
      </c>
      <c r="AP911" s="331">
        <f>IF(NFI_Expiration=1,IF($A911&lt;VLOOKUP(V$5,NFI,5,0),1,0)*Table_NFI[[#This Row],[Tent]],Table_NFI[Tent])</f>
        <v>0</v>
      </c>
      <c r="AQ911" s="473" t="str">
        <f>IFERROR(VLOOKUP(Table_NFI[[#This Row],[Camp Name]],CL,2,0),"")</f>
        <v>MMR001CMP023</v>
      </c>
      <c r="AR911" s="468">
        <f ca="1">IF(Table_NFI[[#This Row],[Pcode]]="","",IF(OFFSET(CampList[Opening Date],MATCH(Table_NFI[[#This Row],[Pcode]],CampList[CP_Pcode],0)-1,0,1,1)&gt;=NFI_Monitor_Date,1,0))</f>
        <v>0</v>
      </c>
      <c r="AS911" s="473" t="str">
        <f>IFERROR(VLOOKUP(Table_NFI[[#This Row],[Camp Name]],CL,3,0),"")</f>
        <v>Open</v>
      </c>
      <c r="AT911" s="294" t="str">
        <f ca="1">IF(Table_NFI[[#This Row],[Pcode]]="","",OFFSET(CampList[Priority],MATCH(Table_NFI[[#This Row],[Pcode]],CampList[CP_Pcode],0)-1,0,1,1))</f>
        <v>P4</v>
      </c>
      <c r="AU911" s="293">
        <f>IFERROR(Table_NFI[[#This Row],[Kitchen Set]]/VLOOKUP(Table_NFI[[#This Row],[Camp Name]],CL,4,0),"")</f>
        <v>3.7037037037037035E-2</v>
      </c>
      <c r="AV911" s="466" t="s">
        <v>1092</v>
      </c>
      <c r="AW911" s="469"/>
    </row>
    <row r="912" spans="1:49" ht="14.45" customHeight="1" x14ac:dyDescent="0.25">
      <c r="A912" s="297">
        <f t="shared" si="14"/>
        <v>52.2</v>
      </c>
      <c r="B912" s="465">
        <v>41109</v>
      </c>
      <c r="C912" s="466" t="s">
        <v>452</v>
      </c>
      <c r="D912" s="466" t="s">
        <v>452</v>
      </c>
      <c r="E912" s="466" t="s">
        <v>380</v>
      </c>
      <c r="F912" s="290" t="s">
        <v>237</v>
      </c>
      <c r="G912" s="290" t="s">
        <v>283</v>
      </c>
      <c r="H912" s="291"/>
      <c r="I912" s="291"/>
      <c r="J912" s="291"/>
      <c r="K912" s="291">
        <v>9</v>
      </c>
      <c r="L912" s="292">
        <v>5</v>
      </c>
      <c r="M912" s="292">
        <v>9</v>
      </c>
      <c r="N912" s="292">
        <v>5</v>
      </c>
      <c r="O912" s="292">
        <v>5</v>
      </c>
      <c r="P912" s="294">
        <v>5</v>
      </c>
      <c r="Q912" s="294">
        <v>5</v>
      </c>
      <c r="R912" s="294"/>
      <c r="S912" s="294"/>
      <c r="T912" s="294"/>
      <c r="U912" s="294"/>
      <c r="V912" s="431"/>
      <c r="W912" s="294"/>
      <c r="X912" s="294"/>
      <c r="Y912" s="294">
        <f>IF(NFI_Expiration=1,IF($A912&lt;VLOOKUP(H$5,NFI,5,0),1,0)*Table_NFI[[#This Row],[Hygiene Kit]],Table_NFI[Hygiene Kit])</f>
        <v>0</v>
      </c>
      <c r="Z912" s="294">
        <f>IF(NFI_Expiration=1,IF($A912&lt;VLOOKUP(I$5,NFI,5,0),1,0)*Table_NFI[[#This Row],[NFI Core Kit]],Table_NFI[NFI Core Kit])</f>
        <v>0</v>
      </c>
      <c r="AA912" s="294">
        <f>IF(NFI_Expiration=1,IF($A912&lt;VLOOKUP(J$5,NFI,5,0),1,0)*Table_NFI[[#This Row],[Sanitary Kit]],Table_NFI[Sanitary Kit])</f>
        <v>0</v>
      </c>
      <c r="AB912" s="294">
        <f>IF(NFI_Expiration=1,IF($A912&lt;VLOOKUP(K$5,NFI,5,0),1,0)*Table_NFI[[#This Row],[Mosquito net]],Table_NFI[Mosquito net])</f>
        <v>0</v>
      </c>
      <c r="AC912" s="294">
        <f>IF(NFI_Expiration=1,IF($A912&lt;VLOOKUP(L$5,NFI,5,0),1,0)*Table_NFI[[#This Row],[Tarpaulin]],Table_NFI[[#This Row],[Tarpaulin]])</f>
        <v>0</v>
      </c>
      <c r="AD912" s="294">
        <f>IF(NFI_Expiration=1,IF($A912&lt;VLOOKUP(M$5,NFI,5,0),1,0)*Table_NFI[[#This Row],[Blanket]],Table_NFI[[#This Row],[Blanket]])</f>
        <v>0</v>
      </c>
      <c r="AE912" s="294">
        <f>IF(NFI_Expiration=1,IF($A912&lt;VLOOKUP(N$5,NFI,5,0),1,0)*Table_NFI[[#This Row],[Kitchen Set]],Table_NFI[Kitchen Set])</f>
        <v>0</v>
      </c>
      <c r="AF912" s="294">
        <f>IF(NFI_Expiration=1,IF($A912&lt;VLOOKUP(O$5,NFI,5,0),1,0)*Table_NFI[[#This Row],[Clothes Kit]],Table_NFI[Clothes Kit])</f>
        <v>0</v>
      </c>
      <c r="AG912" s="294">
        <f>IF(NFI_Expiration=1,IF($A912&lt;VLOOKUP(P$5,NFI,5,0),1,0)*Table_NFI[[#This Row],[Plastic Bucket]],Table_NFI[Plastic Bucket])</f>
        <v>0</v>
      </c>
      <c r="AH912" s="294">
        <f>IF(NFI_Expiration=1,IF($A912&lt;VLOOKUP(Q$5,NFI,5,0),1,0)*Table_NFI[[#This Row],[Plastic Mat]],Table_NFI[Plastic Mat])*IF(Table_NFI[[#This Row],[Distribution Date]]&gt;"2014-04-01",1,2.5)</f>
        <v>0</v>
      </c>
      <c r="AI912" s="294">
        <f>IF(NFI_Expiration=1,IF($A912&lt;VLOOKUP(R$5,NFI,5,0),1,0)*Table_NFI[[#This Row],[Winter Clothes Adult]],Table_NFI[Winter Clothes Adult])</f>
        <v>0</v>
      </c>
      <c r="AJ912" s="294">
        <f>IF(NFI_Expiration=1,IF($A912&lt;VLOOKUP(S$5,NFI,5,0),1,0)*Table_NFI[[#This Row],[Winter Clothes Children]],Table_NFI[Winter Clothes Children])</f>
        <v>0</v>
      </c>
      <c r="AK912" s="294">
        <f>IF(NFI_Expiration=1,IF($A912&lt;VLOOKUP(T$5,NFI,5,0),1,0)*Table_NFI[[#This Row],[Winter Items Other]],Table_NFI[Winter Items Other])</f>
        <v>0</v>
      </c>
      <c r="AL912" s="294">
        <f>IF(NFI_Expiration=1,IF($A912&lt;VLOOKUP(M$5,NFI,5,0),1,0)*Table_NFI[[#This Row],[Winter Blanket]],Table_NFI[[#This Row],[Winter Blanket]])</f>
        <v>0</v>
      </c>
      <c r="AM912" s="294">
        <f>IF(Table_NFI[[#This Row],[Winter Clothes Adult]]+Table_NFI[[#This Row],[Winter Clothes Children]]+Table_NFI[[#This Row],[Winter Items Other]]+Table_NFI[[#This Row],[Winter Blanket]]&gt;0,1,0)</f>
        <v>0</v>
      </c>
      <c r="AN912" s="331">
        <f>IF(NFI_Expiration=1,IF($A912&lt;VLOOKUP(V$5,NFI,5,0),1,0)*Table_NFI[[#This Row],[Jerry Can]],Table_NFI[Jerry Can])</f>
        <v>0</v>
      </c>
      <c r="AO912" s="331">
        <f>IF(NFI_Expiration=1,IF($A912&lt;VLOOKUP(V$5,NFI,5,0),1,0)*Table_NFI[[#This Row],[Shelter Tool kit]],Table_NFI[Shelter Tool kit])</f>
        <v>0</v>
      </c>
      <c r="AP912" s="331">
        <f>IF(NFI_Expiration=1,IF($A912&lt;VLOOKUP(V$5,NFI,5,0),1,0)*Table_NFI[[#This Row],[Tent]],Table_NFI[Tent])</f>
        <v>0</v>
      </c>
      <c r="AQ912" s="473" t="str">
        <f>IFERROR(VLOOKUP(Table_NFI[[#This Row],[Camp Name]],CL,2,0),"")</f>
        <v>MMR001CMP022</v>
      </c>
      <c r="AR912" s="468">
        <f ca="1">IF(Table_NFI[[#This Row],[Pcode]]="","",IF(OFFSET(CampList[Opening Date],MATCH(Table_NFI[[#This Row],[Pcode]],CampList[CP_Pcode],0)-1,0,1,1)&gt;=NFI_Monitor_Date,1,0))</f>
        <v>0</v>
      </c>
      <c r="AS912" s="473" t="str">
        <f>IFERROR(VLOOKUP(Table_NFI[[#This Row],[Camp Name]],CL,3,0),"")</f>
        <v>Open</v>
      </c>
      <c r="AT912" s="294" t="str">
        <f ca="1">IF(Table_NFI[[#This Row],[Pcode]]="","",OFFSET(CampList[Priority],MATCH(Table_NFI[[#This Row],[Pcode]],CampList[CP_Pcode],0)-1,0,1,1))</f>
        <v>P4</v>
      </c>
      <c r="AU912" s="293">
        <f>IFERROR(Table_NFI[[#This Row],[Kitchen Set]]/VLOOKUP(Table_NFI[[#This Row],[Camp Name]],CL,4,0),"")</f>
        <v>0.7142857142857143</v>
      </c>
      <c r="AV912" s="466" t="s">
        <v>1092</v>
      </c>
      <c r="AW912" s="469"/>
    </row>
    <row r="913" spans="1:49" ht="14.45" customHeight="1" x14ac:dyDescent="0.25">
      <c r="A913" s="297">
        <f t="shared" si="14"/>
        <v>52.233333333333334</v>
      </c>
      <c r="B913" s="465">
        <v>41108</v>
      </c>
      <c r="C913" s="466" t="s">
        <v>905</v>
      </c>
      <c r="D913" s="466" t="s">
        <v>1002</v>
      </c>
      <c r="E913" s="466" t="s">
        <v>380</v>
      </c>
      <c r="F913" s="466" t="s">
        <v>185</v>
      </c>
      <c r="G913" s="466" t="s">
        <v>192</v>
      </c>
      <c r="H913" s="294">
        <v>33</v>
      </c>
      <c r="I913" s="291"/>
      <c r="J913" s="291"/>
      <c r="K913" s="291"/>
      <c r="L913" s="292"/>
      <c r="M913" s="292"/>
      <c r="N913" s="292"/>
      <c r="O913" s="292"/>
      <c r="P913" s="294"/>
      <c r="Q913" s="294"/>
      <c r="R913" s="294"/>
      <c r="S913" s="294"/>
      <c r="T913" s="294"/>
      <c r="U913" s="294"/>
      <c r="V913" s="431"/>
      <c r="W913" s="294"/>
      <c r="X913" s="294"/>
      <c r="Y913" s="294">
        <f>IF(NFI_Expiration=1,IF($A913&lt;VLOOKUP(H$5,NFI,5,0),1,0)*Table_NFI[[#This Row],[Hygiene Kit]],Table_NFI[Hygiene Kit])</f>
        <v>0</v>
      </c>
      <c r="Z913" s="294">
        <f>IF(NFI_Expiration=1,IF($A913&lt;VLOOKUP(I$5,NFI,5,0),1,0)*Table_NFI[[#This Row],[NFI Core Kit]],Table_NFI[NFI Core Kit])</f>
        <v>0</v>
      </c>
      <c r="AA913" s="294">
        <f>IF(NFI_Expiration=1,IF($A913&lt;VLOOKUP(J$5,NFI,5,0),1,0)*Table_NFI[[#This Row],[Sanitary Kit]],Table_NFI[Sanitary Kit])</f>
        <v>0</v>
      </c>
      <c r="AB913" s="294">
        <f>IF(NFI_Expiration=1,IF($A913&lt;VLOOKUP(K$5,NFI,5,0),1,0)*Table_NFI[[#This Row],[Mosquito net]],Table_NFI[Mosquito net])</f>
        <v>0</v>
      </c>
      <c r="AC913" s="294">
        <f>IF(NFI_Expiration=1,IF($A913&lt;VLOOKUP(L$5,NFI,5,0),1,0)*Table_NFI[[#This Row],[Tarpaulin]],Table_NFI[[#This Row],[Tarpaulin]])</f>
        <v>0</v>
      </c>
      <c r="AD913" s="294">
        <f>IF(NFI_Expiration=1,IF($A913&lt;VLOOKUP(M$5,NFI,5,0),1,0)*Table_NFI[[#This Row],[Blanket]],Table_NFI[[#This Row],[Blanket]])</f>
        <v>0</v>
      </c>
      <c r="AE913" s="294">
        <f>IF(NFI_Expiration=1,IF($A913&lt;VLOOKUP(N$5,NFI,5,0),1,0)*Table_NFI[[#This Row],[Kitchen Set]],Table_NFI[Kitchen Set])</f>
        <v>0</v>
      </c>
      <c r="AF913" s="294">
        <f>IF(NFI_Expiration=1,IF($A913&lt;VLOOKUP(O$5,NFI,5,0),1,0)*Table_NFI[[#This Row],[Clothes Kit]],Table_NFI[Clothes Kit])</f>
        <v>0</v>
      </c>
      <c r="AG913" s="294">
        <f>IF(NFI_Expiration=1,IF($A913&lt;VLOOKUP(P$5,NFI,5,0),1,0)*Table_NFI[[#This Row],[Plastic Bucket]],Table_NFI[Plastic Bucket])</f>
        <v>0</v>
      </c>
      <c r="AH913" s="294">
        <f>IF(NFI_Expiration=1,IF($A913&lt;VLOOKUP(Q$5,NFI,5,0),1,0)*Table_NFI[[#This Row],[Plastic Mat]],Table_NFI[Plastic Mat])*IF(Table_NFI[[#This Row],[Distribution Date]]&gt;"2014-04-01",1,2.5)</f>
        <v>0</v>
      </c>
      <c r="AI913" s="294">
        <f>IF(NFI_Expiration=1,IF($A913&lt;VLOOKUP(R$5,NFI,5,0),1,0)*Table_NFI[[#This Row],[Winter Clothes Adult]],Table_NFI[Winter Clothes Adult])</f>
        <v>0</v>
      </c>
      <c r="AJ913" s="294">
        <f>IF(NFI_Expiration=1,IF($A913&lt;VLOOKUP(S$5,NFI,5,0),1,0)*Table_NFI[[#This Row],[Winter Clothes Children]],Table_NFI[Winter Clothes Children])</f>
        <v>0</v>
      </c>
      <c r="AK913" s="294">
        <f>IF(NFI_Expiration=1,IF($A913&lt;VLOOKUP(T$5,NFI,5,0),1,0)*Table_NFI[[#This Row],[Winter Items Other]],Table_NFI[Winter Items Other])</f>
        <v>0</v>
      </c>
      <c r="AL913" s="294">
        <f>IF(NFI_Expiration=1,IF($A913&lt;VLOOKUP(M$5,NFI,5,0),1,0)*Table_NFI[[#This Row],[Winter Blanket]],Table_NFI[[#This Row],[Winter Blanket]])</f>
        <v>0</v>
      </c>
      <c r="AM913" s="294">
        <f>IF(Table_NFI[[#This Row],[Winter Clothes Adult]]+Table_NFI[[#This Row],[Winter Clothes Children]]+Table_NFI[[#This Row],[Winter Items Other]]+Table_NFI[[#This Row],[Winter Blanket]]&gt;0,1,0)</f>
        <v>0</v>
      </c>
      <c r="AN913" s="331">
        <f>IF(NFI_Expiration=1,IF($A913&lt;VLOOKUP(V$5,NFI,5,0),1,0)*Table_NFI[[#This Row],[Jerry Can]],Table_NFI[Jerry Can])</f>
        <v>0</v>
      </c>
      <c r="AO913" s="331">
        <f>IF(NFI_Expiration=1,IF($A913&lt;VLOOKUP(V$5,NFI,5,0),1,0)*Table_NFI[[#This Row],[Shelter Tool kit]],Table_NFI[Shelter Tool kit])</f>
        <v>0</v>
      </c>
      <c r="AP913" s="331">
        <f>IF(NFI_Expiration=1,IF($A913&lt;VLOOKUP(V$5,NFI,5,0),1,0)*Table_NFI[[#This Row],[Tent]],Table_NFI[Tent])</f>
        <v>0</v>
      </c>
      <c r="AQ913" s="473" t="str">
        <f>IFERROR(VLOOKUP(Table_NFI[[#This Row],[Camp Name]],CL,2,0),"")</f>
        <v>MMR001CMP123</v>
      </c>
      <c r="AR913" s="468">
        <f ca="1">IF(Table_NFI[[#This Row],[Pcode]]="","",IF(OFFSET(CampList[Opening Date],MATCH(Table_NFI[[#This Row],[Pcode]],CampList[CP_Pcode],0)-1,0,1,1)&gt;=NFI_Monitor_Date,1,0))</f>
        <v>0</v>
      </c>
      <c r="AS913" s="473" t="str">
        <f>IFERROR(VLOOKUP(Table_NFI[[#This Row],[Camp Name]],CL,3,0),"")</f>
        <v>Open</v>
      </c>
      <c r="AT913" s="294" t="str">
        <f ca="1">IF(Table_NFI[[#This Row],[Pcode]]="","",OFFSET(CampList[Priority],MATCH(Table_NFI[[#This Row],[Pcode]],CampList[CP_Pcode],0)-1,0,1,1))</f>
        <v>P2</v>
      </c>
      <c r="AU913" s="293">
        <f>IFERROR(Table_NFI[[#This Row],[Kitchen Set]]/VLOOKUP(Table_NFI[[#This Row],[Camp Name]],CL,4,0),"")</f>
        <v>0</v>
      </c>
      <c r="AV913" s="466"/>
      <c r="AW913" s="469"/>
    </row>
    <row r="914" spans="1:49" x14ac:dyDescent="0.25">
      <c r="A914" s="297">
        <f t="shared" si="14"/>
        <v>52.233333333333334</v>
      </c>
      <c r="B914" s="465">
        <v>41108</v>
      </c>
      <c r="C914" s="466" t="s">
        <v>452</v>
      </c>
      <c r="D914" s="467" t="s">
        <v>452</v>
      </c>
      <c r="E914" s="466" t="s">
        <v>380</v>
      </c>
      <c r="F914" s="290" t="s">
        <v>151</v>
      </c>
      <c r="G914" s="290" t="s">
        <v>518</v>
      </c>
      <c r="H914" s="291"/>
      <c r="I914" s="291"/>
      <c r="J914" s="291"/>
      <c r="K914" s="291">
        <v>170</v>
      </c>
      <c r="L914" s="292">
        <v>16</v>
      </c>
      <c r="M914" s="292">
        <v>170</v>
      </c>
      <c r="N914" s="292">
        <v>85</v>
      </c>
      <c r="O914" s="292">
        <v>85</v>
      </c>
      <c r="P914" s="294">
        <v>85</v>
      </c>
      <c r="Q914" s="294">
        <v>85</v>
      </c>
      <c r="R914" s="294"/>
      <c r="S914" s="294"/>
      <c r="T914" s="294"/>
      <c r="U914" s="294"/>
      <c r="V914" s="431"/>
      <c r="W914" s="294"/>
      <c r="X914" s="294"/>
      <c r="Y914" s="294">
        <f>IF(NFI_Expiration=1,IF($A914&lt;VLOOKUP(H$5,NFI,5,0),1,0)*Table_NFI[[#This Row],[Hygiene Kit]],Table_NFI[Hygiene Kit])</f>
        <v>0</v>
      </c>
      <c r="Z914" s="294">
        <f>IF(NFI_Expiration=1,IF($A914&lt;VLOOKUP(I$5,NFI,5,0),1,0)*Table_NFI[[#This Row],[NFI Core Kit]],Table_NFI[NFI Core Kit])</f>
        <v>0</v>
      </c>
      <c r="AA914" s="294">
        <f>IF(NFI_Expiration=1,IF($A914&lt;VLOOKUP(J$5,NFI,5,0),1,0)*Table_NFI[[#This Row],[Sanitary Kit]],Table_NFI[Sanitary Kit])</f>
        <v>0</v>
      </c>
      <c r="AB914" s="294">
        <f>IF(NFI_Expiration=1,IF($A914&lt;VLOOKUP(K$5,NFI,5,0),1,0)*Table_NFI[[#This Row],[Mosquito net]],Table_NFI[Mosquito net])</f>
        <v>0</v>
      </c>
      <c r="AC914" s="294">
        <f>IF(NFI_Expiration=1,IF($A914&lt;VLOOKUP(L$5,NFI,5,0),1,0)*Table_NFI[[#This Row],[Tarpaulin]],Table_NFI[[#This Row],[Tarpaulin]])</f>
        <v>0</v>
      </c>
      <c r="AD914" s="294">
        <f>IF(NFI_Expiration=1,IF($A914&lt;VLOOKUP(M$5,NFI,5,0),1,0)*Table_NFI[[#This Row],[Blanket]],Table_NFI[[#This Row],[Blanket]])</f>
        <v>0</v>
      </c>
      <c r="AE914" s="294">
        <f>IF(NFI_Expiration=1,IF($A914&lt;VLOOKUP(N$5,NFI,5,0),1,0)*Table_NFI[[#This Row],[Kitchen Set]],Table_NFI[Kitchen Set])</f>
        <v>0</v>
      </c>
      <c r="AF914" s="294">
        <f>IF(NFI_Expiration=1,IF($A914&lt;VLOOKUP(O$5,NFI,5,0),1,0)*Table_NFI[[#This Row],[Clothes Kit]],Table_NFI[Clothes Kit])</f>
        <v>0</v>
      </c>
      <c r="AG914" s="294">
        <f>IF(NFI_Expiration=1,IF($A914&lt;VLOOKUP(P$5,NFI,5,0),1,0)*Table_NFI[[#This Row],[Plastic Bucket]],Table_NFI[Plastic Bucket])</f>
        <v>0</v>
      </c>
      <c r="AH914" s="294">
        <f>IF(NFI_Expiration=1,IF($A914&lt;VLOOKUP(Q$5,NFI,5,0),1,0)*Table_NFI[[#This Row],[Plastic Mat]],Table_NFI[Plastic Mat])*IF(Table_NFI[[#This Row],[Distribution Date]]&gt;"2014-04-01",1,2.5)</f>
        <v>0</v>
      </c>
      <c r="AI914" s="294">
        <f>IF(NFI_Expiration=1,IF($A914&lt;VLOOKUP(R$5,NFI,5,0),1,0)*Table_NFI[[#This Row],[Winter Clothes Adult]],Table_NFI[Winter Clothes Adult])</f>
        <v>0</v>
      </c>
      <c r="AJ914" s="294">
        <f>IF(NFI_Expiration=1,IF($A914&lt;VLOOKUP(S$5,NFI,5,0),1,0)*Table_NFI[[#This Row],[Winter Clothes Children]],Table_NFI[Winter Clothes Children])</f>
        <v>0</v>
      </c>
      <c r="AK914" s="294">
        <f>IF(NFI_Expiration=1,IF($A914&lt;VLOOKUP(T$5,NFI,5,0),1,0)*Table_NFI[[#This Row],[Winter Items Other]],Table_NFI[Winter Items Other])</f>
        <v>0</v>
      </c>
      <c r="AL914" s="294">
        <f>IF(NFI_Expiration=1,IF($A914&lt;VLOOKUP(M$5,NFI,5,0),1,0)*Table_NFI[[#This Row],[Winter Blanket]],Table_NFI[[#This Row],[Winter Blanket]])</f>
        <v>0</v>
      </c>
      <c r="AM914" s="294">
        <f>IF(Table_NFI[[#This Row],[Winter Clothes Adult]]+Table_NFI[[#This Row],[Winter Clothes Children]]+Table_NFI[[#This Row],[Winter Items Other]]+Table_NFI[[#This Row],[Winter Blanket]]&gt;0,1,0)</f>
        <v>0</v>
      </c>
      <c r="AN914" s="331">
        <f>IF(NFI_Expiration=1,IF($A914&lt;VLOOKUP(V$5,NFI,5,0),1,0)*Table_NFI[[#This Row],[Jerry Can]],Table_NFI[Jerry Can])</f>
        <v>0</v>
      </c>
      <c r="AO914" s="331">
        <f>IF(NFI_Expiration=1,IF($A914&lt;VLOOKUP(V$5,NFI,5,0),1,0)*Table_NFI[[#This Row],[Shelter Tool kit]],Table_NFI[Shelter Tool kit])</f>
        <v>0</v>
      </c>
      <c r="AP914" s="331">
        <f>IF(NFI_Expiration=1,IF($A914&lt;VLOOKUP(V$5,NFI,5,0),1,0)*Table_NFI[[#This Row],[Tent]],Table_NFI[Tent])</f>
        <v>0</v>
      </c>
      <c r="AQ914" s="473" t="str">
        <f>IFERROR(VLOOKUP(Table_NFI[[#This Row],[Camp Name]],CL,2,0),"")</f>
        <v>MMR001CMP203</v>
      </c>
      <c r="AR914" s="468">
        <f ca="1">IF(Table_NFI[[#This Row],[Pcode]]="","",IF(OFFSET(CampList[Opening Date],MATCH(Table_NFI[[#This Row],[Pcode]],CampList[CP_Pcode],0)-1,0,1,1)&gt;=NFI_Monitor_Date,1,0))</f>
        <v>0</v>
      </c>
      <c r="AS914" s="473" t="str">
        <f>IFERROR(VLOOKUP(Table_NFI[[#This Row],[Camp Name]],CL,3,0),"")</f>
        <v>Closed</v>
      </c>
      <c r="AT914" s="294" t="str">
        <f ca="1">IF(Table_NFI[[#This Row],[Pcode]]="","",OFFSET(CampList[Priority],MATCH(Table_NFI[[#This Row],[Pcode]],CampList[CP_Pcode],0)-1,0,1,1))</f>
        <v/>
      </c>
      <c r="AU914" s="293" t="str">
        <f>IFERROR(Table_NFI[[#This Row],[Kitchen Set]]/VLOOKUP(Table_NFI[[#This Row],[Camp Name]],CL,4,0),"")</f>
        <v/>
      </c>
      <c r="AV914" s="466" t="s">
        <v>1092</v>
      </c>
      <c r="AW914" s="469"/>
    </row>
    <row r="915" spans="1:49" x14ac:dyDescent="0.25">
      <c r="A915" s="297">
        <f t="shared" si="14"/>
        <v>52.233333333333334</v>
      </c>
      <c r="B915" s="465">
        <v>41108</v>
      </c>
      <c r="C915" s="466" t="s">
        <v>452</v>
      </c>
      <c r="D915" s="467" t="s">
        <v>452</v>
      </c>
      <c r="E915" s="466" t="s">
        <v>380</v>
      </c>
      <c r="F915" s="290" t="s">
        <v>151</v>
      </c>
      <c r="G915" s="290" t="s">
        <v>164</v>
      </c>
      <c r="H915" s="291"/>
      <c r="I915" s="291"/>
      <c r="J915" s="291"/>
      <c r="K915" s="291">
        <v>206</v>
      </c>
      <c r="L915" s="292">
        <v>78</v>
      </c>
      <c r="M915" s="292">
        <v>206</v>
      </c>
      <c r="N915" s="292">
        <v>103</v>
      </c>
      <c r="O915" s="292">
        <v>103</v>
      </c>
      <c r="P915" s="294">
        <v>103</v>
      </c>
      <c r="Q915" s="294">
        <v>103</v>
      </c>
      <c r="R915" s="294"/>
      <c r="S915" s="294"/>
      <c r="T915" s="294"/>
      <c r="U915" s="294"/>
      <c r="V915" s="431"/>
      <c r="W915" s="294"/>
      <c r="X915" s="294"/>
      <c r="Y915" s="294">
        <f>IF(NFI_Expiration=1,IF($A915&lt;VLOOKUP(H$5,NFI,5,0),1,0)*Table_NFI[[#This Row],[Hygiene Kit]],Table_NFI[Hygiene Kit])</f>
        <v>0</v>
      </c>
      <c r="Z915" s="294">
        <f>IF(NFI_Expiration=1,IF($A915&lt;VLOOKUP(I$5,NFI,5,0),1,0)*Table_NFI[[#This Row],[NFI Core Kit]],Table_NFI[NFI Core Kit])</f>
        <v>0</v>
      </c>
      <c r="AA915" s="294">
        <f>IF(NFI_Expiration=1,IF($A915&lt;VLOOKUP(J$5,NFI,5,0),1,0)*Table_NFI[[#This Row],[Sanitary Kit]],Table_NFI[Sanitary Kit])</f>
        <v>0</v>
      </c>
      <c r="AB915" s="294">
        <f>IF(NFI_Expiration=1,IF($A915&lt;VLOOKUP(K$5,NFI,5,0),1,0)*Table_NFI[[#This Row],[Mosquito net]],Table_NFI[Mosquito net])</f>
        <v>0</v>
      </c>
      <c r="AC915" s="294">
        <f>IF(NFI_Expiration=1,IF($A915&lt;VLOOKUP(L$5,NFI,5,0),1,0)*Table_NFI[[#This Row],[Tarpaulin]],Table_NFI[[#This Row],[Tarpaulin]])</f>
        <v>0</v>
      </c>
      <c r="AD915" s="294">
        <f>IF(NFI_Expiration=1,IF($A915&lt;VLOOKUP(M$5,NFI,5,0),1,0)*Table_NFI[[#This Row],[Blanket]],Table_NFI[[#This Row],[Blanket]])</f>
        <v>0</v>
      </c>
      <c r="AE915" s="294">
        <f>IF(NFI_Expiration=1,IF($A915&lt;VLOOKUP(N$5,NFI,5,0),1,0)*Table_NFI[[#This Row],[Kitchen Set]],Table_NFI[Kitchen Set])</f>
        <v>0</v>
      </c>
      <c r="AF915" s="294">
        <f>IF(NFI_Expiration=1,IF($A915&lt;VLOOKUP(O$5,NFI,5,0),1,0)*Table_NFI[[#This Row],[Clothes Kit]],Table_NFI[Clothes Kit])</f>
        <v>0</v>
      </c>
      <c r="AG915" s="294">
        <f>IF(NFI_Expiration=1,IF($A915&lt;VLOOKUP(P$5,NFI,5,0),1,0)*Table_NFI[[#This Row],[Plastic Bucket]],Table_NFI[Plastic Bucket])</f>
        <v>0</v>
      </c>
      <c r="AH915" s="294">
        <f>IF(NFI_Expiration=1,IF($A915&lt;VLOOKUP(Q$5,NFI,5,0),1,0)*Table_NFI[[#This Row],[Plastic Mat]],Table_NFI[Plastic Mat])*IF(Table_NFI[[#This Row],[Distribution Date]]&gt;"2014-04-01",1,2.5)</f>
        <v>0</v>
      </c>
      <c r="AI915" s="294">
        <f>IF(NFI_Expiration=1,IF($A915&lt;VLOOKUP(R$5,NFI,5,0),1,0)*Table_NFI[[#This Row],[Winter Clothes Adult]],Table_NFI[Winter Clothes Adult])</f>
        <v>0</v>
      </c>
      <c r="AJ915" s="294">
        <f>IF(NFI_Expiration=1,IF($A915&lt;VLOOKUP(S$5,NFI,5,0),1,0)*Table_NFI[[#This Row],[Winter Clothes Children]],Table_NFI[Winter Clothes Children])</f>
        <v>0</v>
      </c>
      <c r="AK915" s="294">
        <f>IF(NFI_Expiration=1,IF($A915&lt;VLOOKUP(T$5,NFI,5,0),1,0)*Table_NFI[[#This Row],[Winter Items Other]],Table_NFI[Winter Items Other])</f>
        <v>0</v>
      </c>
      <c r="AL915" s="294">
        <f>IF(NFI_Expiration=1,IF($A915&lt;VLOOKUP(M$5,NFI,5,0),1,0)*Table_NFI[[#This Row],[Winter Blanket]],Table_NFI[[#This Row],[Winter Blanket]])</f>
        <v>0</v>
      </c>
      <c r="AM915" s="294">
        <f>IF(Table_NFI[[#This Row],[Winter Clothes Adult]]+Table_NFI[[#This Row],[Winter Clothes Children]]+Table_NFI[[#This Row],[Winter Items Other]]+Table_NFI[[#This Row],[Winter Blanket]]&gt;0,1,0)</f>
        <v>0</v>
      </c>
      <c r="AN915" s="331">
        <f>IF(NFI_Expiration=1,IF($A915&lt;VLOOKUP(V$5,NFI,5,0),1,0)*Table_NFI[[#This Row],[Jerry Can]],Table_NFI[Jerry Can])</f>
        <v>0</v>
      </c>
      <c r="AO915" s="331">
        <f>IF(NFI_Expiration=1,IF($A915&lt;VLOOKUP(V$5,NFI,5,0),1,0)*Table_NFI[[#This Row],[Shelter Tool kit]],Table_NFI[Shelter Tool kit])</f>
        <v>0</v>
      </c>
      <c r="AP915" s="331">
        <f>IF(NFI_Expiration=1,IF($A915&lt;VLOOKUP(V$5,NFI,5,0),1,0)*Table_NFI[[#This Row],[Tent]],Table_NFI[Tent])</f>
        <v>0</v>
      </c>
      <c r="AQ915" s="473" t="str">
        <f>IFERROR(VLOOKUP(Table_NFI[[#This Row],[Camp Name]],CL,2,0),"")</f>
        <v>MMR001CMP137</v>
      </c>
      <c r="AR915" s="468">
        <f ca="1">IF(Table_NFI[[#This Row],[Pcode]]="","",IF(OFFSET(CampList[Opening Date],MATCH(Table_NFI[[#This Row],[Pcode]],CampList[CP_Pcode],0)-1,0,1,1)&gt;=NFI_Monitor_Date,1,0))</f>
        <v>0</v>
      </c>
      <c r="AS915" s="473" t="str">
        <f>IFERROR(VLOOKUP(Table_NFI[[#This Row],[Camp Name]],CL,3,0),"")</f>
        <v>Closed</v>
      </c>
      <c r="AT915" s="294" t="str">
        <f ca="1">IF(Table_NFI[[#This Row],[Pcode]]="","",OFFSET(CampList[Priority],MATCH(Table_NFI[[#This Row],[Pcode]],CampList[CP_Pcode],0)-1,0,1,1))</f>
        <v/>
      </c>
      <c r="AU915" s="293" t="str">
        <f>IFERROR(Table_NFI[[#This Row],[Kitchen Set]]/VLOOKUP(Table_NFI[[#This Row],[Camp Name]],CL,4,0),"")</f>
        <v/>
      </c>
      <c r="AV915" s="466" t="s">
        <v>1092</v>
      </c>
      <c r="AW915" s="469"/>
    </row>
    <row r="916" spans="1:49" x14ac:dyDescent="0.25">
      <c r="A916" s="297">
        <f t="shared" si="14"/>
        <v>52.266666666666666</v>
      </c>
      <c r="B916" s="465">
        <v>41107</v>
      </c>
      <c r="C916" s="466" t="s">
        <v>452</v>
      </c>
      <c r="D916" s="466" t="s">
        <v>452</v>
      </c>
      <c r="E916" s="466" t="s">
        <v>380</v>
      </c>
      <c r="F916" s="466" t="s">
        <v>310</v>
      </c>
      <c r="G916" s="290" t="s">
        <v>334</v>
      </c>
      <c r="H916" s="291"/>
      <c r="I916" s="291"/>
      <c r="J916" s="291"/>
      <c r="K916" s="291">
        <v>19</v>
      </c>
      <c r="L916" s="292">
        <v>19</v>
      </c>
      <c r="M916" s="292">
        <v>19</v>
      </c>
      <c r="N916" s="292">
        <v>19</v>
      </c>
      <c r="O916" s="292">
        <v>19</v>
      </c>
      <c r="P916" s="294">
        <v>19</v>
      </c>
      <c r="Q916" s="294">
        <v>19</v>
      </c>
      <c r="R916" s="294"/>
      <c r="S916" s="294"/>
      <c r="T916" s="294"/>
      <c r="U916" s="294"/>
      <c r="V916" s="431"/>
      <c r="W916" s="331"/>
      <c r="X916" s="331"/>
      <c r="Y916" s="294">
        <f>IF(NFI_Expiration=1,IF($A916&lt;VLOOKUP(H$5,NFI,5,0),1,0)*Table_NFI[[#This Row],[Hygiene Kit]],Table_NFI[Hygiene Kit])</f>
        <v>0</v>
      </c>
      <c r="Z916" s="294">
        <f>IF(NFI_Expiration=1,IF($A916&lt;VLOOKUP(I$5,NFI,5,0),1,0)*Table_NFI[[#This Row],[NFI Core Kit]],Table_NFI[NFI Core Kit])</f>
        <v>0</v>
      </c>
      <c r="AA916" s="294">
        <f>IF(NFI_Expiration=1,IF($A916&lt;VLOOKUP(J$5,NFI,5,0),1,0)*Table_NFI[[#This Row],[Sanitary Kit]],Table_NFI[Sanitary Kit])</f>
        <v>0</v>
      </c>
      <c r="AB916" s="294">
        <f>IF(NFI_Expiration=1,IF($A916&lt;VLOOKUP(K$5,NFI,5,0),1,0)*Table_NFI[[#This Row],[Mosquito net]],Table_NFI[Mosquito net])</f>
        <v>0</v>
      </c>
      <c r="AC916" s="294">
        <f>IF(NFI_Expiration=1,IF($A916&lt;VLOOKUP(L$5,NFI,5,0),1,0)*Table_NFI[[#This Row],[Tarpaulin]],Table_NFI[[#This Row],[Tarpaulin]])</f>
        <v>0</v>
      </c>
      <c r="AD916" s="294">
        <f>IF(NFI_Expiration=1,IF($A916&lt;VLOOKUP(M$5,NFI,5,0),1,0)*Table_NFI[[#This Row],[Blanket]],Table_NFI[[#This Row],[Blanket]])</f>
        <v>0</v>
      </c>
      <c r="AE916" s="294">
        <f>IF(NFI_Expiration=1,IF($A916&lt;VLOOKUP(N$5,NFI,5,0),1,0)*Table_NFI[[#This Row],[Kitchen Set]],Table_NFI[Kitchen Set])</f>
        <v>0</v>
      </c>
      <c r="AF916" s="294">
        <f>IF(NFI_Expiration=1,IF($A916&lt;VLOOKUP(O$5,NFI,5,0),1,0)*Table_NFI[[#This Row],[Clothes Kit]],Table_NFI[Clothes Kit])</f>
        <v>0</v>
      </c>
      <c r="AG916" s="294">
        <f>IF(NFI_Expiration=1,IF($A916&lt;VLOOKUP(P$5,NFI,5,0),1,0)*Table_NFI[[#This Row],[Plastic Bucket]],Table_NFI[Plastic Bucket])</f>
        <v>0</v>
      </c>
      <c r="AH916" s="294">
        <f>IF(NFI_Expiration=1,IF($A916&lt;VLOOKUP(Q$5,NFI,5,0),1,0)*Table_NFI[[#This Row],[Plastic Mat]],Table_NFI[Plastic Mat])*IF(Table_NFI[[#This Row],[Distribution Date]]&gt;"2014-04-01",1,2.5)</f>
        <v>0</v>
      </c>
      <c r="AI916" s="294">
        <f>IF(NFI_Expiration=1,IF($A916&lt;VLOOKUP(R$5,NFI,5,0),1,0)*Table_NFI[[#This Row],[Winter Clothes Adult]],Table_NFI[Winter Clothes Adult])</f>
        <v>0</v>
      </c>
      <c r="AJ916" s="294">
        <f>IF(NFI_Expiration=1,IF($A916&lt;VLOOKUP(S$5,NFI,5,0),1,0)*Table_NFI[[#This Row],[Winter Clothes Children]],Table_NFI[Winter Clothes Children])</f>
        <v>0</v>
      </c>
      <c r="AK916" s="294">
        <f>IF(NFI_Expiration=1,IF($A916&lt;VLOOKUP(T$5,NFI,5,0),1,0)*Table_NFI[[#This Row],[Winter Items Other]],Table_NFI[Winter Items Other])</f>
        <v>0</v>
      </c>
      <c r="AL916" s="294">
        <f>IF(NFI_Expiration=1,IF($A916&lt;VLOOKUP(M$5,NFI,5,0),1,0)*Table_NFI[[#This Row],[Winter Blanket]],Table_NFI[[#This Row],[Winter Blanket]])</f>
        <v>0</v>
      </c>
      <c r="AM916" s="294">
        <f>IF(Table_NFI[[#This Row],[Winter Clothes Adult]]+Table_NFI[[#This Row],[Winter Clothes Children]]+Table_NFI[[#This Row],[Winter Items Other]]+Table_NFI[[#This Row],[Winter Blanket]]&gt;0,1,0)</f>
        <v>0</v>
      </c>
      <c r="AN916" s="331">
        <f>IF(NFI_Expiration=1,IF($A916&lt;VLOOKUP(V$5,NFI,5,0),1,0)*Table_NFI[[#This Row],[Jerry Can]],Table_NFI[Jerry Can])</f>
        <v>0</v>
      </c>
      <c r="AO916" s="331">
        <f>IF(NFI_Expiration=1,IF($A916&lt;VLOOKUP(V$5,NFI,5,0),1,0)*Table_NFI[[#This Row],[Shelter Tool kit]],Table_NFI[Shelter Tool kit])</f>
        <v>0</v>
      </c>
      <c r="AP916" s="331">
        <f>IF(NFI_Expiration=1,IF($A916&lt;VLOOKUP(V$5,NFI,5,0),1,0)*Table_NFI[[#This Row],[Tent]],Table_NFI[Tent])</f>
        <v>0</v>
      </c>
      <c r="AQ916" s="473" t="str">
        <f>IFERROR(VLOOKUP(Table_NFI[[#This Row],[Camp Name]],CL,2,0),"")</f>
        <v>MMR001CMP113</v>
      </c>
      <c r="AR916" s="468">
        <f ca="1">IF(Table_NFI[[#This Row],[Pcode]]="","",IF(OFFSET(CampList[Opening Date],MATCH(Table_NFI[[#This Row],[Pcode]],CampList[CP_Pcode],0)-1,0,1,1)&gt;=NFI_Monitor_Date,1,0))</f>
        <v>0</v>
      </c>
      <c r="AS916" s="473" t="str">
        <f>IFERROR(VLOOKUP(Table_NFI[[#This Row],[Camp Name]],CL,3,0),"")</f>
        <v>Open</v>
      </c>
      <c r="AT916" s="294" t="str">
        <f ca="1">IF(Table_NFI[[#This Row],[Pcode]]="","",OFFSET(CampList[Priority],MATCH(Table_NFI[[#This Row],[Pcode]],CampList[CP_Pcode],0)-1,0,1,1))</f>
        <v>P1</v>
      </c>
      <c r="AU916" s="293">
        <f>IFERROR(Table_NFI[[#This Row],[Kitchen Set]]/VLOOKUP(Table_NFI[[#This Row],[Camp Name]],CL,4,0),"")</f>
        <v>0.11801242236024845</v>
      </c>
      <c r="AV916" s="466" t="s">
        <v>1092</v>
      </c>
      <c r="AW916" s="469"/>
    </row>
    <row r="917" spans="1:49" x14ac:dyDescent="0.25">
      <c r="A917" s="297">
        <f t="shared" si="14"/>
        <v>52.266666666666666</v>
      </c>
      <c r="B917" s="465">
        <v>41107</v>
      </c>
      <c r="C917" s="466" t="s">
        <v>452</v>
      </c>
      <c r="D917" s="467" t="s">
        <v>452</v>
      </c>
      <c r="E917" s="466" t="s">
        <v>380</v>
      </c>
      <c r="F917" s="290" t="s">
        <v>237</v>
      </c>
      <c r="G917" s="290" t="s">
        <v>243</v>
      </c>
      <c r="H917" s="291"/>
      <c r="I917" s="291"/>
      <c r="J917" s="291"/>
      <c r="K917" s="291">
        <v>5</v>
      </c>
      <c r="L917" s="292">
        <v>5</v>
      </c>
      <c r="M917" s="292">
        <v>5</v>
      </c>
      <c r="N917" s="292">
        <v>5</v>
      </c>
      <c r="O917" s="292">
        <v>5</v>
      </c>
      <c r="P917" s="294">
        <v>5</v>
      </c>
      <c r="Q917" s="294">
        <v>5</v>
      </c>
      <c r="R917" s="294"/>
      <c r="S917" s="294"/>
      <c r="T917" s="294"/>
      <c r="U917" s="294"/>
      <c r="V917" s="431"/>
      <c r="W917" s="294"/>
      <c r="X917" s="294"/>
      <c r="Y917" s="294">
        <f>IF(NFI_Expiration=1,IF($A917&lt;VLOOKUP(H$5,NFI,5,0),1,0)*Table_NFI[[#This Row],[Hygiene Kit]],Table_NFI[Hygiene Kit])</f>
        <v>0</v>
      </c>
      <c r="Z917" s="294">
        <f>IF(NFI_Expiration=1,IF($A917&lt;VLOOKUP(I$5,NFI,5,0),1,0)*Table_NFI[[#This Row],[NFI Core Kit]],Table_NFI[NFI Core Kit])</f>
        <v>0</v>
      </c>
      <c r="AA917" s="294">
        <f>IF(NFI_Expiration=1,IF($A917&lt;VLOOKUP(J$5,NFI,5,0),1,0)*Table_NFI[[#This Row],[Sanitary Kit]],Table_NFI[Sanitary Kit])</f>
        <v>0</v>
      </c>
      <c r="AB917" s="294">
        <f>IF(NFI_Expiration=1,IF($A917&lt;VLOOKUP(K$5,NFI,5,0),1,0)*Table_NFI[[#This Row],[Mosquito net]],Table_NFI[Mosquito net])</f>
        <v>0</v>
      </c>
      <c r="AC917" s="294">
        <f>IF(NFI_Expiration=1,IF($A917&lt;VLOOKUP(L$5,NFI,5,0),1,0)*Table_NFI[[#This Row],[Tarpaulin]],Table_NFI[[#This Row],[Tarpaulin]])</f>
        <v>0</v>
      </c>
      <c r="AD917" s="294">
        <f>IF(NFI_Expiration=1,IF($A917&lt;VLOOKUP(M$5,NFI,5,0),1,0)*Table_NFI[[#This Row],[Blanket]],Table_NFI[[#This Row],[Blanket]])</f>
        <v>0</v>
      </c>
      <c r="AE917" s="294">
        <f>IF(NFI_Expiration=1,IF($A917&lt;VLOOKUP(N$5,NFI,5,0),1,0)*Table_NFI[[#This Row],[Kitchen Set]],Table_NFI[Kitchen Set])</f>
        <v>0</v>
      </c>
      <c r="AF917" s="294">
        <f>IF(NFI_Expiration=1,IF($A917&lt;VLOOKUP(O$5,NFI,5,0),1,0)*Table_NFI[[#This Row],[Clothes Kit]],Table_NFI[Clothes Kit])</f>
        <v>0</v>
      </c>
      <c r="AG917" s="294">
        <f>IF(NFI_Expiration=1,IF($A917&lt;VLOOKUP(P$5,NFI,5,0),1,0)*Table_NFI[[#This Row],[Plastic Bucket]],Table_NFI[Plastic Bucket])</f>
        <v>0</v>
      </c>
      <c r="AH917" s="294">
        <f>IF(NFI_Expiration=1,IF($A917&lt;VLOOKUP(Q$5,NFI,5,0),1,0)*Table_NFI[[#This Row],[Plastic Mat]],Table_NFI[Plastic Mat])*IF(Table_NFI[[#This Row],[Distribution Date]]&gt;"2014-04-01",1,2.5)</f>
        <v>0</v>
      </c>
      <c r="AI917" s="294">
        <f>IF(NFI_Expiration=1,IF($A917&lt;VLOOKUP(R$5,NFI,5,0),1,0)*Table_NFI[[#This Row],[Winter Clothes Adult]],Table_NFI[Winter Clothes Adult])</f>
        <v>0</v>
      </c>
      <c r="AJ917" s="294">
        <f>IF(NFI_Expiration=1,IF($A917&lt;VLOOKUP(S$5,NFI,5,0),1,0)*Table_NFI[[#This Row],[Winter Clothes Children]],Table_NFI[Winter Clothes Children])</f>
        <v>0</v>
      </c>
      <c r="AK917" s="294">
        <f>IF(NFI_Expiration=1,IF($A917&lt;VLOOKUP(T$5,NFI,5,0),1,0)*Table_NFI[[#This Row],[Winter Items Other]],Table_NFI[Winter Items Other])</f>
        <v>0</v>
      </c>
      <c r="AL917" s="294">
        <f>IF(NFI_Expiration=1,IF($A917&lt;VLOOKUP(M$5,NFI,5,0),1,0)*Table_NFI[[#This Row],[Winter Blanket]],Table_NFI[[#This Row],[Winter Blanket]])</f>
        <v>0</v>
      </c>
      <c r="AM917" s="294">
        <f>IF(Table_NFI[[#This Row],[Winter Clothes Adult]]+Table_NFI[[#This Row],[Winter Clothes Children]]+Table_NFI[[#This Row],[Winter Items Other]]+Table_NFI[[#This Row],[Winter Blanket]]&gt;0,1,0)</f>
        <v>0</v>
      </c>
      <c r="AN917" s="331">
        <f>IF(NFI_Expiration=1,IF($A917&lt;VLOOKUP(V$5,NFI,5,0),1,0)*Table_NFI[[#This Row],[Jerry Can]],Table_NFI[Jerry Can])</f>
        <v>0</v>
      </c>
      <c r="AO917" s="331">
        <f>IF(NFI_Expiration=1,IF($A917&lt;VLOOKUP(V$5,NFI,5,0),1,0)*Table_NFI[[#This Row],[Shelter Tool kit]],Table_NFI[Shelter Tool kit])</f>
        <v>0</v>
      </c>
      <c r="AP917" s="331">
        <f>IF(NFI_Expiration=1,IF($A917&lt;VLOOKUP(V$5,NFI,5,0),1,0)*Table_NFI[[#This Row],[Tent]],Table_NFI[Tent])</f>
        <v>0</v>
      </c>
      <c r="AQ917" s="473" t="str">
        <f>IFERROR(VLOOKUP(Table_NFI[[#This Row],[Camp Name]],CL,2,0),"")</f>
        <v>MMR001CMP012</v>
      </c>
      <c r="AR917" s="468">
        <f ca="1">IF(Table_NFI[[#This Row],[Pcode]]="","",IF(OFFSET(CampList[Opening Date],MATCH(Table_NFI[[#This Row],[Pcode]],CampList[CP_Pcode],0)-1,0,1,1)&gt;=NFI_Monitor_Date,1,0))</f>
        <v>0</v>
      </c>
      <c r="AS917" s="473" t="str">
        <f>IFERROR(VLOOKUP(Table_NFI[[#This Row],[Camp Name]],CL,3,0),"")</f>
        <v>Open</v>
      </c>
      <c r="AT917" s="294" t="str">
        <f ca="1">IF(Table_NFI[[#This Row],[Pcode]]="","",OFFSET(CampList[Priority],MATCH(Table_NFI[[#This Row],[Pcode]],CampList[CP_Pcode],0)-1,0,1,1))</f>
        <v>P4</v>
      </c>
      <c r="AU917" s="293">
        <f>IFERROR(Table_NFI[[#This Row],[Kitchen Set]]/VLOOKUP(Table_NFI[[#This Row],[Camp Name]],CL,4,0),"")</f>
        <v>0.83333333333333337</v>
      </c>
      <c r="AV917" s="466" t="s">
        <v>1092</v>
      </c>
      <c r="AW917" s="469"/>
    </row>
    <row r="918" spans="1:49" ht="14.45" customHeight="1" x14ac:dyDescent="0.25">
      <c r="A918" s="297">
        <f t="shared" si="14"/>
        <v>52.266666666666666</v>
      </c>
      <c r="B918" s="465">
        <v>41107</v>
      </c>
      <c r="C918" s="466" t="s">
        <v>452</v>
      </c>
      <c r="D918" s="466" t="s">
        <v>452</v>
      </c>
      <c r="E918" s="466" t="s">
        <v>380</v>
      </c>
      <c r="F918" s="290" t="s">
        <v>237</v>
      </c>
      <c r="G918" s="290" t="s">
        <v>245</v>
      </c>
      <c r="H918" s="291"/>
      <c r="I918" s="291"/>
      <c r="J918" s="291"/>
      <c r="K918" s="291">
        <v>6</v>
      </c>
      <c r="L918" s="292">
        <v>6</v>
      </c>
      <c r="M918" s="292">
        <v>6</v>
      </c>
      <c r="N918" s="292">
        <v>6</v>
      </c>
      <c r="O918" s="292">
        <v>6</v>
      </c>
      <c r="P918" s="294">
        <v>6</v>
      </c>
      <c r="Q918" s="294">
        <v>6</v>
      </c>
      <c r="R918" s="294"/>
      <c r="S918" s="294"/>
      <c r="T918" s="294"/>
      <c r="U918" s="294"/>
      <c r="V918" s="431"/>
      <c r="W918" s="294"/>
      <c r="X918" s="294"/>
      <c r="Y918" s="294">
        <f>IF(NFI_Expiration=1,IF($A918&lt;VLOOKUP(H$5,NFI,5,0),1,0)*Table_NFI[[#This Row],[Hygiene Kit]],Table_NFI[Hygiene Kit])</f>
        <v>0</v>
      </c>
      <c r="Z918" s="294">
        <f>IF(NFI_Expiration=1,IF($A918&lt;VLOOKUP(I$5,NFI,5,0),1,0)*Table_NFI[[#This Row],[NFI Core Kit]],Table_NFI[NFI Core Kit])</f>
        <v>0</v>
      </c>
      <c r="AA918" s="294">
        <f>IF(NFI_Expiration=1,IF($A918&lt;VLOOKUP(J$5,NFI,5,0),1,0)*Table_NFI[[#This Row],[Sanitary Kit]],Table_NFI[Sanitary Kit])</f>
        <v>0</v>
      </c>
      <c r="AB918" s="294">
        <f>IF(NFI_Expiration=1,IF($A918&lt;VLOOKUP(K$5,NFI,5,0),1,0)*Table_NFI[[#This Row],[Mosquito net]],Table_NFI[Mosquito net])</f>
        <v>0</v>
      </c>
      <c r="AC918" s="294">
        <f>IF(NFI_Expiration=1,IF($A918&lt;VLOOKUP(L$5,NFI,5,0),1,0)*Table_NFI[[#This Row],[Tarpaulin]],Table_NFI[[#This Row],[Tarpaulin]])</f>
        <v>0</v>
      </c>
      <c r="AD918" s="294">
        <f>IF(NFI_Expiration=1,IF($A918&lt;VLOOKUP(M$5,NFI,5,0),1,0)*Table_NFI[[#This Row],[Blanket]],Table_NFI[[#This Row],[Blanket]])</f>
        <v>0</v>
      </c>
      <c r="AE918" s="294">
        <f>IF(NFI_Expiration=1,IF($A918&lt;VLOOKUP(N$5,NFI,5,0),1,0)*Table_NFI[[#This Row],[Kitchen Set]],Table_NFI[Kitchen Set])</f>
        <v>0</v>
      </c>
      <c r="AF918" s="294">
        <f>IF(NFI_Expiration=1,IF($A918&lt;VLOOKUP(O$5,NFI,5,0),1,0)*Table_NFI[[#This Row],[Clothes Kit]],Table_NFI[Clothes Kit])</f>
        <v>0</v>
      </c>
      <c r="AG918" s="294">
        <f>IF(NFI_Expiration=1,IF($A918&lt;VLOOKUP(P$5,NFI,5,0),1,0)*Table_NFI[[#This Row],[Plastic Bucket]],Table_NFI[Plastic Bucket])</f>
        <v>0</v>
      </c>
      <c r="AH918" s="294">
        <f>IF(NFI_Expiration=1,IF($A918&lt;VLOOKUP(Q$5,NFI,5,0),1,0)*Table_NFI[[#This Row],[Plastic Mat]],Table_NFI[Plastic Mat])*IF(Table_NFI[[#This Row],[Distribution Date]]&gt;"2014-04-01",1,2.5)</f>
        <v>0</v>
      </c>
      <c r="AI918" s="294">
        <f>IF(NFI_Expiration=1,IF($A918&lt;VLOOKUP(R$5,NFI,5,0),1,0)*Table_NFI[[#This Row],[Winter Clothes Adult]],Table_NFI[Winter Clothes Adult])</f>
        <v>0</v>
      </c>
      <c r="AJ918" s="294">
        <f>IF(NFI_Expiration=1,IF($A918&lt;VLOOKUP(S$5,NFI,5,0),1,0)*Table_NFI[[#This Row],[Winter Clothes Children]],Table_NFI[Winter Clothes Children])</f>
        <v>0</v>
      </c>
      <c r="AK918" s="294">
        <f>IF(NFI_Expiration=1,IF($A918&lt;VLOOKUP(T$5,NFI,5,0),1,0)*Table_NFI[[#This Row],[Winter Items Other]],Table_NFI[Winter Items Other])</f>
        <v>0</v>
      </c>
      <c r="AL918" s="294">
        <f>IF(NFI_Expiration=1,IF($A918&lt;VLOOKUP(M$5,NFI,5,0),1,0)*Table_NFI[[#This Row],[Winter Blanket]],Table_NFI[[#This Row],[Winter Blanket]])</f>
        <v>0</v>
      </c>
      <c r="AM918" s="294">
        <f>IF(Table_NFI[[#This Row],[Winter Clothes Adult]]+Table_NFI[[#This Row],[Winter Clothes Children]]+Table_NFI[[#This Row],[Winter Items Other]]+Table_NFI[[#This Row],[Winter Blanket]]&gt;0,1,0)</f>
        <v>0</v>
      </c>
      <c r="AN918" s="331">
        <f>IF(NFI_Expiration=1,IF($A918&lt;VLOOKUP(V$5,NFI,5,0),1,0)*Table_NFI[[#This Row],[Jerry Can]],Table_NFI[Jerry Can])</f>
        <v>0</v>
      </c>
      <c r="AO918" s="331">
        <f>IF(NFI_Expiration=1,IF($A918&lt;VLOOKUP(V$5,NFI,5,0),1,0)*Table_NFI[[#This Row],[Shelter Tool kit]],Table_NFI[Shelter Tool kit])</f>
        <v>0</v>
      </c>
      <c r="AP918" s="331">
        <f>IF(NFI_Expiration=1,IF($A918&lt;VLOOKUP(V$5,NFI,5,0),1,0)*Table_NFI[[#This Row],[Tent]],Table_NFI[Tent])</f>
        <v>0</v>
      </c>
      <c r="AQ918" s="473" t="str">
        <f>IFERROR(VLOOKUP(Table_NFI[[#This Row],[Camp Name]],CL,2,0),"")</f>
        <v>MMR001CMP010</v>
      </c>
      <c r="AR918" s="468">
        <f ca="1">IF(Table_NFI[[#This Row],[Pcode]]="","",IF(OFFSET(CampList[Opening Date],MATCH(Table_NFI[[#This Row],[Pcode]],CampList[CP_Pcode],0)-1,0,1,1)&gt;=NFI_Monitor_Date,1,0))</f>
        <v>0</v>
      </c>
      <c r="AS918" s="473" t="str">
        <f>IFERROR(VLOOKUP(Table_NFI[[#This Row],[Camp Name]],CL,3,0),"")</f>
        <v>Open</v>
      </c>
      <c r="AT918" s="294" t="str">
        <f ca="1">IF(Table_NFI[[#This Row],[Pcode]]="","",OFFSET(CampList[Priority],MATCH(Table_NFI[[#This Row],[Pcode]],CampList[CP_Pcode],0)-1,0,1,1))</f>
        <v>P4</v>
      </c>
      <c r="AU918" s="293">
        <f>IFERROR(Table_NFI[[#This Row],[Kitchen Set]]/VLOOKUP(Table_NFI[[#This Row],[Camp Name]],CL,4,0),"")</f>
        <v>1</v>
      </c>
      <c r="AV918" s="466" t="s">
        <v>1092</v>
      </c>
      <c r="AW918" s="469"/>
    </row>
    <row r="919" spans="1:49" ht="14.45" customHeight="1" x14ac:dyDescent="0.25">
      <c r="A919" s="297">
        <f t="shared" si="14"/>
        <v>52.266666666666666</v>
      </c>
      <c r="B919" s="465">
        <v>41107</v>
      </c>
      <c r="C919" s="466" t="s">
        <v>452</v>
      </c>
      <c r="D919" s="466" t="s">
        <v>452</v>
      </c>
      <c r="E919" s="466" t="s">
        <v>380</v>
      </c>
      <c r="F919" s="290" t="s">
        <v>237</v>
      </c>
      <c r="G919" s="290" t="s">
        <v>247</v>
      </c>
      <c r="H919" s="291"/>
      <c r="I919" s="291"/>
      <c r="J919" s="291"/>
      <c r="K919" s="291">
        <v>6</v>
      </c>
      <c r="L919" s="292">
        <v>6</v>
      </c>
      <c r="M919" s="292">
        <v>6</v>
      </c>
      <c r="N919" s="292">
        <v>6</v>
      </c>
      <c r="O919" s="292">
        <v>6</v>
      </c>
      <c r="P919" s="294">
        <v>6</v>
      </c>
      <c r="Q919" s="294">
        <v>6</v>
      </c>
      <c r="R919" s="294"/>
      <c r="S919" s="294"/>
      <c r="T919" s="294"/>
      <c r="U919" s="294"/>
      <c r="V919" s="431"/>
      <c r="W919" s="294"/>
      <c r="X919" s="294"/>
      <c r="Y919" s="294">
        <f>IF(NFI_Expiration=1,IF($A919&lt;VLOOKUP(H$5,NFI,5,0),1,0)*Table_NFI[[#This Row],[Hygiene Kit]],Table_NFI[Hygiene Kit])</f>
        <v>0</v>
      </c>
      <c r="Z919" s="294">
        <f>IF(NFI_Expiration=1,IF($A919&lt;VLOOKUP(I$5,NFI,5,0),1,0)*Table_NFI[[#This Row],[NFI Core Kit]],Table_NFI[NFI Core Kit])</f>
        <v>0</v>
      </c>
      <c r="AA919" s="294">
        <f>IF(NFI_Expiration=1,IF($A919&lt;VLOOKUP(J$5,NFI,5,0),1,0)*Table_NFI[[#This Row],[Sanitary Kit]],Table_NFI[Sanitary Kit])</f>
        <v>0</v>
      </c>
      <c r="AB919" s="294">
        <f>IF(NFI_Expiration=1,IF($A919&lt;VLOOKUP(K$5,NFI,5,0),1,0)*Table_NFI[[#This Row],[Mosquito net]],Table_NFI[Mosquito net])</f>
        <v>0</v>
      </c>
      <c r="AC919" s="294">
        <f>IF(NFI_Expiration=1,IF($A919&lt;VLOOKUP(L$5,NFI,5,0),1,0)*Table_NFI[[#This Row],[Tarpaulin]],Table_NFI[[#This Row],[Tarpaulin]])</f>
        <v>0</v>
      </c>
      <c r="AD919" s="294">
        <f>IF(NFI_Expiration=1,IF($A919&lt;VLOOKUP(M$5,NFI,5,0),1,0)*Table_NFI[[#This Row],[Blanket]],Table_NFI[[#This Row],[Blanket]])</f>
        <v>0</v>
      </c>
      <c r="AE919" s="294">
        <f>IF(NFI_Expiration=1,IF($A919&lt;VLOOKUP(N$5,NFI,5,0),1,0)*Table_NFI[[#This Row],[Kitchen Set]],Table_NFI[Kitchen Set])</f>
        <v>0</v>
      </c>
      <c r="AF919" s="294">
        <f>IF(NFI_Expiration=1,IF($A919&lt;VLOOKUP(O$5,NFI,5,0),1,0)*Table_NFI[[#This Row],[Clothes Kit]],Table_NFI[Clothes Kit])</f>
        <v>0</v>
      </c>
      <c r="AG919" s="294">
        <f>IF(NFI_Expiration=1,IF($A919&lt;VLOOKUP(P$5,NFI,5,0),1,0)*Table_NFI[[#This Row],[Plastic Bucket]],Table_NFI[Plastic Bucket])</f>
        <v>0</v>
      </c>
      <c r="AH919" s="294">
        <f>IF(NFI_Expiration=1,IF($A919&lt;VLOOKUP(Q$5,NFI,5,0),1,0)*Table_NFI[[#This Row],[Plastic Mat]],Table_NFI[Plastic Mat])*IF(Table_NFI[[#This Row],[Distribution Date]]&gt;"2014-04-01",1,2.5)</f>
        <v>0</v>
      </c>
      <c r="AI919" s="294">
        <f>IF(NFI_Expiration=1,IF($A919&lt;VLOOKUP(R$5,NFI,5,0),1,0)*Table_NFI[[#This Row],[Winter Clothes Adult]],Table_NFI[Winter Clothes Adult])</f>
        <v>0</v>
      </c>
      <c r="AJ919" s="294">
        <f>IF(NFI_Expiration=1,IF($A919&lt;VLOOKUP(S$5,NFI,5,0),1,0)*Table_NFI[[#This Row],[Winter Clothes Children]],Table_NFI[Winter Clothes Children])</f>
        <v>0</v>
      </c>
      <c r="AK919" s="294">
        <f>IF(NFI_Expiration=1,IF($A919&lt;VLOOKUP(T$5,NFI,5,0),1,0)*Table_NFI[[#This Row],[Winter Items Other]],Table_NFI[Winter Items Other])</f>
        <v>0</v>
      </c>
      <c r="AL919" s="294">
        <f>IF(NFI_Expiration=1,IF($A919&lt;VLOOKUP(M$5,NFI,5,0),1,0)*Table_NFI[[#This Row],[Winter Blanket]],Table_NFI[[#This Row],[Winter Blanket]])</f>
        <v>0</v>
      </c>
      <c r="AM919" s="294">
        <f>IF(Table_NFI[[#This Row],[Winter Clothes Adult]]+Table_NFI[[#This Row],[Winter Clothes Children]]+Table_NFI[[#This Row],[Winter Items Other]]+Table_NFI[[#This Row],[Winter Blanket]]&gt;0,1,0)</f>
        <v>0</v>
      </c>
      <c r="AN919" s="331">
        <f>IF(NFI_Expiration=1,IF($A919&lt;VLOOKUP(V$5,NFI,5,0),1,0)*Table_NFI[[#This Row],[Jerry Can]],Table_NFI[Jerry Can])</f>
        <v>0</v>
      </c>
      <c r="AO919" s="331">
        <f>IF(NFI_Expiration=1,IF($A919&lt;VLOOKUP(V$5,NFI,5,0),1,0)*Table_NFI[[#This Row],[Shelter Tool kit]],Table_NFI[Shelter Tool kit])</f>
        <v>0</v>
      </c>
      <c r="AP919" s="331">
        <f>IF(NFI_Expiration=1,IF($A919&lt;VLOOKUP(V$5,NFI,5,0),1,0)*Table_NFI[[#This Row],[Tent]],Table_NFI[Tent])</f>
        <v>0</v>
      </c>
      <c r="AQ919" s="473" t="str">
        <f>IFERROR(VLOOKUP(Table_NFI[[#This Row],[Camp Name]],CL,2,0),"")</f>
        <v>MMR001CMP011</v>
      </c>
      <c r="AR919" s="468">
        <f ca="1">IF(Table_NFI[[#This Row],[Pcode]]="","",IF(OFFSET(CampList[Opening Date],MATCH(Table_NFI[[#This Row],[Pcode]],CampList[CP_Pcode],0)-1,0,1,1)&gt;=NFI_Monitor_Date,1,0))</f>
        <v>0</v>
      </c>
      <c r="AS919" s="473" t="str">
        <f>IFERROR(VLOOKUP(Table_NFI[[#This Row],[Camp Name]],CL,3,0),"")</f>
        <v>Open</v>
      </c>
      <c r="AT919" s="294" t="str">
        <f ca="1">IF(Table_NFI[[#This Row],[Pcode]]="","",OFFSET(CampList[Priority],MATCH(Table_NFI[[#This Row],[Pcode]],CampList[CP_Pcode],0)-1,0,1,1))</f>
        <v>P4</v>
      </c>
      <c r="AU919" s="293">
        <f>IFERROR(Table_NFI[[#This Row],[Kitchen Set]]/VLOOKUP(Table_NFI[[#This Row],[Camp Name]],CL,4,0),"")</f>
        <v>0.3</v>
      </c>
      <c r="AV919" s="466" t="s">
        <v>1092</v>
      </c>
      <c r="AW919" s="469"/>
    </row>
    <row r="920" spans="1:49" ht="14.45" customHeight="1" x14ac:dyDescent="0.25">
      <c r="A920" s="297">
        <f t="shared" si="14"/>
        <v>52.266666666666666</v>
      </c>
      <c r="B920" s="465">
        <v>41107</v>
      </c>
      <c r="C920" s="466" t="s">
        <v>452</v>
      </c>
      <c r="D920" s="467" t="s">
        <v>452</v>
      </c>
      <c r="E920" s="466" t="s">
        <v>380</v>
      </c>
      <c r="F920" s="290" t="s">
        <v>185</v>
      </c>
      <c r="G920" s="290" t="s">
        <v>192</v>
      </c>
      <c r="H920" s="291"/>
      <c r="I920" s="296"/>
      <c r="J920" s="289"/>
      <c r="K920" s="289">
        <v>380</v>
      </c>
      <c r="L920" s="289">
        <v>156</v>
      </c>
      <c r="M920" s="289">
        <v>380</v>
      </c>
      <c r="N920" s="289">
        <v>156</v>
      </c>
      <c r="O920" s="289">
        <v>156</v>
      </c>
      <c r="P920" s="294">
        <v>156</v>
      </c>
      <c r="Q920" s="294">
        <v>156</v>
      </c>
      <c r="R920" s="294"/>
      <c r="S920" s="294"/>
      <c r="T920" s="294"/>
      <c r="U920" s="294"/>
      <c r="V920" s="431"/>
      <c r="W920" s="294"/>
      <c r="X920" s="294"/>
      <c r="Y920" s="294">
        <f>IF(NFI_Expiration=1,IF($A920&lt;VLOOKUP(H$5,NFI,5,0),1,0)*Table_NFI[[#This Row],[Hygiene Kit]],Table_NFI[Hygiene Kit])</f>
        <v>0</v>
      </c>
      <c r="Z920" s="294">
        <f>IF(NFI_Expiration=1,IF($A920&lt;VLOOKUP(I$5,NFI,5,0),1,0)*Table_NFI[[#This Row],[NFI Core Kit]],Table_NFI[NFI Core Kit])</f>
        <v>0</v>
      </c>
      <c r="AA920" s="294">
        <f>IF(NFI_Expiration=1,IF($A920&lt;VLOOKUP(J$5,NFI,5,0),1,0)*Table_NFI[[#This Row],[Sanitary Kit]],Table_NFI[Sanitary Kit])</f>
        <v>0</v>
      </c>
      <c r="AB920" s="294">
        <f>IF(NFI_Expiration=1,IF($A920&lt;VLOOKUP(K$5,NFI,5,0),1,0)*Table_NFI[[#This Row],[Mosquito net]],Table_NFI[Mosquito net])</f>
        <v>0</v>
      </c>
      <c r="AC920" s="294">
        <f>IF(NFI_Expiration=1,IF($A920&lt;VLOOKUP(L$5,NFI,5,0),1,0)*Table_NFI[[#This Row],[Tarpaulin]],Table_NFI[[#This Row],[Tarpaulin]])</f>
        <v>0</v>
      </c>
      <c r="AD920" s="294">
        <f>IF(NFI_Expiration=1,IF($A920&lt;VLOOKUP(M$5,NFI,5,0),1,0)*Table_NFI[[#This Row],[Blanket]],Table_NFI[[#This Row],[Blanket]])</f>
        <v>0</v>
      </c>
      <c r="AE920" s="294">
        <f>IF(NFI_Expiration=1,IF($A920&lt;VLOOKUP(N$5,NFI,5,0),1,0)*Table_NFI[[#This Row],[Kitchen Set]],Table_NFI[Kitchen Set])</f>
        <v>0</v>
      </c>
      <c r="AF920" s="294">
        <f>IF(NFI_Expiration=1,IF($A920&lt;VLOOKUP(O$5,NFI,5,0),1,0)*Table_NFI[[#This Row],[Clothes Kit]],Table_NFI[Clothes Kit])</f>
        <v>0</v>
      </c>
      <c r="AG920" s="294">
        <f>IF(NFI_Expiration=1,IF($A920&lt;VLOOKUP(P$5,NFI,5,0),1,0)*Table_NFI[[#This Row],[Plastic Bucket]],Table_NFI[Plastic Bucket])</f>
        <v>0</v>
      </c>
      <c r="AH920" s="294">
        <f>IF(NFI_Expiration=1,IF($A920&lt;VLOOKUP(Q$5,NFI,5,0),1,0)*Table_NFI[[#This Row],[Plastic Mat]],Table_NFI[Plastic Mat])*IF(Table_NFI[[#This Row],[Distribution Date]]&gt;"2014-04-01",1,2.5)</f>
        <v>0</v>
      </c>
      <c r="AI920" s="294">
        <f>IF(NFI_Expiration=1,IF($A920&lt;VLOOKUP(R$5,NFI,5,0),1,0)*Table_NFI[[#This Row],[Winter Clothes Adult]],Table_NFI[Winter Clothes Adult])</f>
        <v>0</v>
      </c>
      <c r="AJ920" s="294">
        <f>IF(NFI_Expiration=1,IF($A920&lt;VLOOKUP(S$5,NFI,5,0),1,0)*Table_NFI[[#This Row],[Winter Clothes Children]],Table_NFI[Winter Clothes Children])</f>
        <v>0</v>
      </c>
      <c r="AK920" s="294">
        <f>IF(NFI_Expiration=1,IF($A920&lt;VLOOKUP(T$5,NFI,5,0),1,0)*Table_NFI[[#This Row],[Winter Items Other]],Table_NFI[Winter Items Other])</f>
        <v>0</v>
      </c>
      <c r="AL920" s="294">
        <f>IF(NFI_Expiration=1,IF($A920&lt;VLOOKUP(M$5,NFI,5,0),1,0)*Table_NFI[[#This Row],[Winter Blanket]],Table_NFI[[#This Row],[Winter Blanket]])</f>
        <v>0</v>
      </c>
      <c r="AM920" s="294">
        <f>IF(Table_NFI[[#This Row],[Winter Clothes Adult]]+Table_NFI[[#This Row],[Winter Clothes Children]]+Table_NFI[[#This Row],[Winter Items Other]]+Table_NFI[[#This Row],[Winter Blanket]]&gt;0,1,0)</f>
        <v>0</v>
      </c>
      <c r="AN920" s="331">
        <f>IF(NFI_Expiration=1,IF($A920&lt;VLOOKUP(V$5,NFI,5,0),1,0)*Table_NFI[[#This Row],[Jerry Can]],Table_NFI[Jerry Can])</f>
        <v>0</v>
      </c>
      <c r="AO920" s="331">
        <f>IF(NFI_Expiration=1,IF($A920&lt;VLOOKUP(V$5,NFI,5,0),1,0)*Table_NFI[[#This Row],[Shelter Tool kit]],Table_NFI[Shelter Tool kit])</f>
        <v>0</v>
      </c>
      <c r="AP920" s="331">
        <f>IF(NFI_Expiration=1,IF($A920&lt;VLOOKUP(V$5,NFI,5,0),1,0)*Table_NFI[[#This Row],[Tent]],Table_NFI[Tent])</f>
        <v>0</v>
      </c>
      <c r="AQ920" s="473" t="str">
        <f>IFERROR(VLOOKUP(Table_NFI[[#This Row],[Camp Name]],CL,2,0),"")</f>
        <v>MMR001CMP123</v>
      </c>
      <c r="AR920" s="468">
        <f ca="1">IF(Table_NFI[[#This Row],[Pcode]]="","",IF(OFFSET(CampList[Opening Date],MATCH(Table_NFI[[#This Row],[Pcode]],CampList[CP_Pcode],0)-1,0,1,1)&gt;=NFI_Monitor_Date,1,0))</f>
        <v>0</v>
      </c>
      <c r="AS920" s="473" t="str">
        <f>IFERROR(VLOOKUP(Table_NFI[[#This Row],[Camp Name]],CL,3,0),"")</f>
        <v>Open</v>
      </c>
      <c r="AT920" s="294" t="str">
        <f ca="1">IF(Table_NFI[[#This Row],[Pcode]]="","",OFFSET(CampList[Priority],MATCH(Table_NFI[[#This Row],[Pcode]],CampList[CP_Pcode],0)-1,0,1,1))</f>
        <v>P2</v>
      </c>
      <c r="AU920" s="293">
        <f>IFERROR(Table_NFI[[#This Row],[Kitchen Set]]/VLOOKUP(Table_NFI[[#This Row],[Camp Name]],CL,4,0),"")</f>
        <v>1.4311926605504588</v>
      </c>
      <c r="AV920" s="466" t="s">
        <v>1092</v>
      </c>
      <c r="AW920" s="469"/>
    </row>
    <row r="921" spans="1:49" ht="14.45" customHeight="1" x14ac:dyDescent="0.25">
      <c r="A921" s="297">
        <f t="shared" si="14"/>
        <v>52.266666666666666</v>
      </c>
      <c r="B921" s="465">
        <v>41107</v>
      </c>
      <c r="C921" s="466" t="s">
        <v>452</v>
      </c>
      <c r="D921" s="467" t="s">
        <v>452</v>
      </c>
      <c r="E921" s="466" t="s">
        <v>380</v>
      </c>
      <c r="F921" s="290" t="s">
        <v>185</v>
      </c>
      <c r="G921" s="290" t="s">
        <v>194</v>
      </c>
      <c r="H921" s="291"/>
      <c r="I921" s="296"/>
      <c r="J921" s="289"/>
      <c r="K921" s="289">
        <v>0</v>
      </c>
      <c r="L921" s="289">
        <v>0</v>
      </c>
      <c r="M921" s="289">
        <v>0</v>
      </c>
      <c r="N921" s="289">
        <v>0</v>
      </c>
      <c r="O921" s="289">
        <v>0</v>
      </c>
      <c r="P921" s="294"/>
      <c r="Q921" s="294"/>
      <c r="R921" s="294"/>
      <c r="S921" s="294"/>
      <c r="T921" s="294"/>
      <c r="U921" s="294"/>
      <c r="V921" s="431"/>
      <c r="W921" s="294"/>
      <c r="X921" s="294"/>
      <c r="Y921" s="294">
        <f>IF(NFI_Expiration=1,IF($A921&lt;VLOOKUP(H$5,NFI,5,0),1,0)*Table_NFI[[#This Row],[Hygiene Kit]],Table_NFI[Hygiene Kit])</f>
        <v>0</v>
      </c>
      <c r="Z921" s="294">
        <f>IF(NFI_Expiration=1,IF($A921&lt;VLOOKUP(I$5,NFI,5,0),1,0)*Table_NFI[[#This Row],[NFI Core Kit]],Table_NFI[NFI Core Kit])</f>
        <v>0</v>
      </c>
      <c r="AA921" s="294">
        <f>IF(NFI_Expiration=1,IF($A921&lt;VLOOKUP(J$5,NFI,5,0),1,0)*Table_NFI[[#This Row],[Sanitary Kit]],Table_NFI[Sanitary Kit])</f>
        <v>0</v>
      </c>
      <c r="AB921" s="294">
        <f>IF(NFI_Expiration=1,IF($A921&lt;VLOOKUP(K$5,NFI,5,0),1,0)*Table_NFI[[#This Row],[Mosquito net]],Table_NFI[Mosquito net])</f>
        <v>0</v>
      </c>
      <c r="AC921" s="294">
        <f>IF(NFI_Expiration=1,IF($A921&lt;VLOOKUP(L$5,NFI,5,0),1,0)*Table_NFI[[#This Row],[Tarpaulin]],Table_NFI[[#This Row],[Tarpaulin]])</f>
        <v>0</v>
      </c>
      <c r="AD921" s="294">
        <f>IF(NFI_Expiration=1,IF($A921&lt;VLOOKUP(M$5,NFI,5,0),1,0)*Table_NFI[[#This Row],[Blanket]],Table_NFI[[#This Row],[Blanket]])</f>
        <v>0</v>
      </c>
      <c r="AE921" s="294">
        <f>IF(NFI_Expiration=1,IF($A921&lt;VLOOKUP(N$5,NFI,5,0),1,0)*Table_NFI[[#This Row],[Kitchen Set]],Table_NFI[Kitchen Set])</f>
        <v>0</v>
      </c>
      <c r="AF921" s="294">
        <f>IF(NFI_Expiration=1,IF($A921&lt;VLOOKUP(O$5,NFI,5,0),1,0)*Table_NFI[[#This Row],[Clothes Kit]],Table_NFI[Clothes Kit])</f>
        <v>0</v>
      </c>
      <c r="AG921" s="294">
        <f>IF(NFI_Expiration=1,IF($A921&lt;VLOOKUP(P$5,NFI,5,0),1,0)*Table_NFI[[#This Row],[Plastic Bucket]],Table_NFI[Plastic Bucket])</f>
        <v>0</v>
      </c>
      <c r="AH921" s="294">
        <f>IF(NFI_Expiration=1,IF($A921&lt;VLOOKUP(Q$5,NFI,5,0),1,0)*Table_NFI[[#This Row],[Plastic Mat]],Table_NFI[Plastic Mat])*IF(Table_NFI[[#This Row],[Distribution Date]]&gt;"2014-04-01",1,2.5)</f>
        <v>0</v>
      </c>
      <c r="AI921" s="294">
        <f>IF(NFI_Expiration=1,IF($A921&lt;VLOOKUP(R$5,NFI,5,0),1,0)*Table_NFI[[#This Row],[Winter Clothes Adult]],Table_NFI[Winter Clothes Adult])</f>
        <v>0</v>
      </c>
      <c r="AJ921" s="294">
        <f>IF(NFI_Expiration=1,IF($A921&lt;VLOOKUP(S$5,NFI,5,0),1,0)*Table_NFI[[#This Row],[Winter Clothes Children]],Table_NFI[Winter Clothes Children])</f>
        <v>0</v>
      </c>
      <c r="AK921" s="294">
        <f>IF(NFI_Expiration=1,IF($A921&lt;VLOOKUP(T$5,NFI,5,0),1,0)*Table_NFI[[#This Row],[Winter Items Other]],Table_NFI[Winter Items Other])</f>
        <v>0</v>
      </c>
      <c r="AL921" s="294">
        <f>IF(NFI_Expiration=1,IF($A921&lt;VLOOKUP(M$5,NFI,5,0),1,0)*Table_NFI[[#This Row],[Winter Blanket]],Table_NFI[[#This Row],[Winter Blanket]])</f>
        <v>0</v>
      </c>
      <c r="AM921" s="294">
        <f>IF(Table_NFI[[#This Row],[Winter Clothes Adult]]+Table_NFI[[#This Row],[Winter Clothes Children]]+Table_NFI[[#This Row],[Winter Items Other]]+Table_NFI[[#This Row],[Winter Blanket]]&gt;0,1,0)</f>
        <v>0</v>
      </c>
      <c r="AN921" s="331">
        <f>IF(NFI_Expiration=1,IF($A921&lt;VLOOKUP(V$5,NFI,5,0),1,0)*Table_NFI[[#This Row],[Jerry Can]],Table_NFI[Jerry Can])</f>
        <v>0</v>
      </c>
      <c r="AO921" s="331">
        <f>IF(NFI_Expiration=1,IF($A921&lt;VLOOKUP(V$5,NFI,5,0),1,0)*Table_NFI[[#This Row],[Shelter Tool kit]],Table_NFI[Shelter Tool kit])</f>
        <v>0</v>
      </c>
      <c r="AP921" s="331">
        <f>IF(NFI_Expiration=1,IF($A921&lt;VLOOKUP(V$5,NFI,5,0),1,0)*Table_NFI[[#This Row],[Tent]],Table_NFI[Tent])</f>
        <v>0</v>
      </c>
      <c r="AQ921" s="473" t="str">
        <f>IFERROR(VLOOKUP(Table_NFI[[#This Row],[Camp Name]],CL,2,0),"")</f>
        <v>MMR001CMP122</v>
      </c>
      <c r="AR921" s="468">
        <f ca="1">IF(Table_NFI[[#This Row],[Pcode]]="","",IF(OFFSET(CampList[Opening Date],MATCH(Table_NFI[[#This Row],[Pcode]],CampList[CP_Pcode],0)-1,0,1,1)&gt;=NFI_Monitor_Date,1,0))</f>
        <v>0</v>
      </c>
      <c r="AS921" s="473" t="str">
        <f>IFERROR(VLOOKUP(Table_NFI[[#This Row],[Camp Name]],CL,3,0),"")</f>
        <v>Open</v>
      </c>
      <c r="AT921" s="294" t="str">
        <f ca="1">IF(Table_NFI[[#This Row],[Pcode]]="","",OFFSET(CampList[Priority],MATCH(Table_NFI[[#This Row],[Pcode]],CampList[CP_Pcode],0)-1,0,1,1))</f>
        <v>P2</v>
      </c>
      <c r="AU921" s="293">
        <f>IFERROR(Table_NFI[[#This Row],[Kitchen Set]]/VLOOKUP(Table_NFI[[#This Row],[Camp Name]],CL,4,0),"")</f>
        <v>0</v>
      </c>
      <c r="AV921" s="466" t="s">
        <v>1092</v>
      </c>
      <c r="AW921" s="469"/>
    </row>
    <row r="922" spans="1:49" ht="14.45" customHeight="1" x14ac:dyDescent="0.25">
      <c r="A922" s="297">
        <f t="shared" si="14"/>
        <v>52.266666666666666</v>
      </c>
      <c r="B922" s="465">
        <v>41107</v>
      </c>
      <c r="C922" s="466" t="s">
        <v>452</v>
      </c>
      <c r="D922" s="467" t="s">
        <v>452</v>
      </c>
      <c r="E922" s="466" t="s">
        <v>380</v>
      </c>
      <c r="F922" s="290" t="s">
        <v>237</v>
      </c>
      <c r="G922" s="290" t="s">
        <v>253</v>
      </c>
      <c r="H922" s="291"/>
      <c r="I922" s="291"/>
      <c r="J922" s="291"/>
      <c r="K922" s="291">
        <v>21</v>
      </c>
      <c r="L922" s="292">
        <v>21</v>
      </c>
      <c r="M922" s="292">
        <v>21</v>
      </c>
      <c r="N922" s="292">
        <v>21</v>
      </c>
      <c r="O922" s="292">
        <v>21</v>
      </c>
      <c r="P922" s="294">
        <v>21</v>
      </c>
      <c r="Q922" s="294">
        <v>21</v>
      </c>
      <c r="R922" s="294"/>
      <c r="S922" s="294"/>
      <c r="T922" s="294"/>
      <c r="U922" s="294"/>
      <c r="V922" s="431"/>
      <c r="W922" s="294"/>
      <c r="X922" s="294"/>
      <c r="Y922" s="294">
        <f>IF(NFI_Expiration=1,IF($A922&lt;VLOOKUP(H$5,NFI,5,0),1,0)*Table_NFI[[#This Row],[Hygiene Kit]],Table_NFI[Hygiene Kit])</f>
        <v>0</v>
      </c>
      <c r="Z922" s="294">
        <f>IF(NFI_Expiration=1,IF($A922&lt;VLOOKUP(I$5,NFI,5,0),1,0)*Table_NFI[[#This Row],[NFI Core Kit]],Table_NFI[NFI Core Kit])</f>
        <v>0</v>
      </c>
      <c r="AA922" s="294">
        <f>IF(NFI_Expiration=1,IF($A922&lt;VLOOKUP(J$5,NFI,5,0),1,0)*Table_NFI[[#This Row],[Sanitary Kit]],Table_NFI[Sanitary Kit])</f>
        <v>0</v>
      </c>
      <c r="AB922" s="294">
        <f>IF(NFI_Expiration=1,IF($A922&lt;VLOOKUP(K$5,NFI,5,0),1,0)*Table_NFI[[#This Row],[Mosquito net]],Table_NFI[Mosquito net])</f>
        <v>0</v>
      </c>
      <c r="AC922" s="294">
        <f>IF(NFI_Expiration=1,IF($A922&lt;VLOOKUP(L$5,NFI,5,0),1,0)*Table_NFI[[#This Row],[Tarpaulin]],Table_NFI[[#This Row],[Tarpaulin]])</f>
        <v>0</v>
      </c>
      <c r="AD922" s="294">
        <f>IF(NFI_Expiration=1,IF($A922&lt;VLOOKUP(M$5,NFI,5,0),1,0)*Table_NFI[[#This Row],[Blanket]],Table_NFI[[#This Row],[Blanket]])</f>
        <v>0</v>
      </c>
      <c r="AE922" s="294">
        <f>IF(NFI_Expiration=1,IF($A922&lt;VLOOKUP(N$5,NFI,5,0),1,0)*Table_NFI[[#This Row],[Kitchen Set]],Table_NFI[Kitchen Set])</f>
        <v>0</v>
      </c>
      <c r="AF922" s="294">
        <f>IF(NFI_Expiration=1,IF($A922&lt;VLOOKUP(O$5,NFI,5,0),1,0)*Table_NFI[[#This Row],[Clothes Kit]],Table_NFI[Clothes Kit])</f>
        <v>0</v>
      </c>
      <c r="AG922" s="294">
        <f>IF(NFI_Expiration=1,IF($A922&lt;VLOOKUP(P$5,NFI,5,0),1,0)*Table_NFI[[#This Row],[Plastic Bucket]],Table_NFI[Plastic Bucket])</f>
        <v>0</v>
      </c>
      <c r="AH922" s="294">
        <f>IF(NFI_Expiration=1,IF($A922&lt;VLOOKUP(Q$5,NFI,5,0),1,0)*Table_NFI[[#This Row],[Plastic Mat]],Table_NFI[Plastic Mat])*IF(Table_NFI[[#This Row],[Distribution Date]]&gt;"2014-04-01",1,2.5)</f>
        <v>0</v>
      </c>
      <c r="AI922" s="294">
        <f>IF(NFI_Expiration=1,IF($A922&lt;VLOOKUP(R$5,NFI,5,0),1,0)*Table_NFI[[#This Row],[Winter Clothes Adult]],Table_NFI[Winter Clothes Adult])</f>
        <v>0</v>
      </c>
      <c r="AJ922" s="294">
        <f>IF(NFI_Expiration=1,IF($A922&lt;VLOOKUP(S$5,NFI,5,0),1,0)*Table_NFI[[#This Row],[Winter Clothes Children]],Table_NFI[Winter Clothes Children])</f>
        <v>0</v>
      </c>
      <c r="AK922" s="294">
        <f>IF(NFI_Expiration=1,IF($A922&lt;VLOOKUP(T$5,NFI,5,0),1,0)*Table_NFI[[#This Row],[Winter Items Other]],Table_NFI[Winter Items Other])</f>
        <v>0</v>
      </c>
      <c r="AL922" s="294">
        <f>IF(NFI_Expiration=1,IF($A922&lt;VLOOKUP(M$5,NFI,5,0),1,0)*Table_NFI[[#This Row],[Winter Blanket]],Table_NFI[[#This Row],[Winter Blanket]])</f>
        <v>0</v>
      </c>
      <c r="AM922" s="294">
        <f>IF(Table_NFI[[#This Row],[Winter Clothes Adult]]+Table_NFI[[#This Row],[Winter Clothes Children]]+Table_NFI[[#This Row],[Winter Items Other]]+Table_NFI[[#This Row],[Winter Blanket]]&gt;0,1,0)</f>
        <v>0</v>
      </c>
      <c r="AN922" s="331">
        <f>IF(NFI_Expiration=1,IF($A922&lt;VLOOKUP(V$5,NFI,5,0),1,0)*Table_NFI[[#This Row],[Jerry Can]],Table_NFI[Jerry Can])</f>
        <v>0</v>
      </c>
      <c r="AO922" s="331">
        <f>IF(NFI_Expiration=1,IF($A922&lt;VLOOKUP(V$5,NFI,5,0),1,0)*Table_NFI[[#This Row],[Shelter Tool kit]],Table_NFI[Shelter Tool kit])</f>
        <v>0</v>
      </c>
      <c r="AP922" s="331">
        <f>IF(NFI_Expiration=1,IF($A922&lt;VLOOKUP(V$5,NFI,5,0),1,0)*Table_NFI[[#This Row],[Tent]],Table_NFI[Tent])</f>
        <v>0</v>
      </c>
      <c r="AQ922" s="473" t="str">
        <f>IFERROR(VLOOKUP(Table_NFI[[#This Row],[Camp Name]],CL,2,0),"")</f>
        <v>MMR001CMP018</v>
      </c>
      <c r="AR922" s="468">
        <f ca="1">IF(Table_NFI[[#This Row],[Pcode]]="","",IF(OFFSET(CampList[Opening Date],MATCH(Table_NFI[[#This Row],[Pcode]],CampList[CP_Pcode],0)-1,0,1,1)&gt;=NFI_Monitor_Date,1,0))</f>
        <v>0</v>
      </c>
      <c r="AS922" s="473" t="str">
        <f>IFERROR(VLOOKUP(Table_NFI[[#This Row],[Camp Name]],CL,3,0),"")</f>
        <v>Open</v>
      </c>
      <c r="AT922" s="294" t="str">
        <f ca="1">IF(Table_NFI[[#This Row],[Pcode]]="","",OFFSET(CampList[Priority],MATCH(Table_NFI[[#This Row],[Pcode]],CampList[CP_Pcode],0)-1,0,1,1))</f>
        <v>P4</v>
      </c>
      <c r="AU922" s="293">
        <f>IFERROR(Table_NFI[[#This Row],[Kitchen Set]]/VLOOKUP(Table_NFI[[#This Row],[Camp Name]],CL,4,0),"")</f>
        <v>0.10606060606060606</v>
      </c>
      <c r="AV922" s="466" t="s">
        <v>1092</v>
      </c>
      <c r="AW922" s="469"/>
    </row>
    <row r="923" spans="1:49" ht="14.45" customHeight="1" x14ac:dyDescent="0.25">
      <c r="A923" s="297">
        <f t="shared" si="14"/>
        <v>52.266666666666666</v>
      </c>
      <c r="B923" s="465">
        <v>41107</v>
      </c>
      <c r="C923" s="466" t="s">
        <v>452</v>
      </c>
      <c r="D923" s="467" t="s">
        <v>452</v>
      </c>
      <c r="E923" s="466" t="s">
        <v>380</v>
      </c>
      <c r="F923" s="290" t="s">
        <v>185</v>
      </c>
      <c r="G923" s="290" t="s">
        <v>190</v>
      </c>
      <c r="H923" s="291"/>
      <c r="I923" s="291"/>
      <c r="J923" s="291"/>
      <c r="K923" s="291">
        <v>0</v>
      </c>
      <c r="L923" s="292">
        <v>0</v>
      </c>
      <c r="M923" s="292">
        <v>0</v>
      </c>
      <c r="N923" s="292">
        <v>0</v>
      </c>
      <c r="O923" s="292">
        <v>0</v>
      </c>
      <c r="P923" s="294"/>
      <c r="Q923" s="294"/>
      <c r="R923" s="294"/>
      <c r="S923" s="294"/>
      <c r="T923" s="294"/>
      <c r="U923" s="294"/>
      <c r="V923" s="431"/>
      <c r="W923" s="294"/>
      <c r="X923" s="294"/>
      <c r="Y923" s="294">
        <f>IF(NFI_Expiration=1,IF($A923&lt;VLOOKUP(H$5,NFI,5,0),1,0)*Table_NFI[[#This Row],[Hygiene Kit]],Table_NFI[Hygiene Kit])</f>
        <v>0</v>
      </c>
      <c r="Z923" s="294">
        <f>IF(NFI_Expiration=1,IF($A923&lt;VLOOKUP(I$5,NFI,5,0),1,0)*Table_NFI[[#This Row],[NFI Core Kit]],Table_NFI[NFI Core Kit])</f>
        <v>0</v>
      </c>
      <c r="AA923" s="294">
        <f>IF(NFI_Expiration=1,IF($A923&lt;VLOOKUP(J$5,NFI,5,0),1,0)*Table_NFI[[#This Row],[Sanitary Kit]],Table_NFI[Sanitary Kit])</f>
        <v>0</v>
      </c>
      <c r="AB923" s="294">
        <f>IF(NFI_Expiration=1,IF($A923&lt;VLOOKUP(K$5,NFI,5,0),1,0)*Table_NFI[[#This Row],[Mosquito net]],Table_NFI[Mosquito net])</f>
        <v>0</v>
      </c>
      <c r="AC923" s="294">
        <f>IF(NFI_Expiration=1,IF($A923&lt;VLOOKUP(L$5,NFI,5,0),1,0)*Table_NFI[[#This Row],[Tarpaulin]],Table_NFI[[#This Row],[Tarpaulin]])</f>
        <v>0</v>
      </c>
      <c r="AD923" s="294">
        <f>IF(NFI_Expiration=1,IF($A923&lt;VLOOKUP(M$5,NFI,5,0),1,0)*Table_NFI[[#This Row],[Blanket]],Table_NFI[[#This Row],[Blanket]])</f>
        <v>0</v>
      </c>
      <c r="AE923" s="294">
        <f>IF(NFI_Expiration=1,IF($A923&lt;VLOOKUP(N$5,NFI,5,0),1,0)*Table_NFI[[#This Row],[Kitchen Set]],Table_NFI[Kitchen Set])</f>
        <v>0</v>
      </c>
      <c r="AF923" s="294">
        <f>IF(NFI_Expiration=1,IF($A923&lt;VLOOKUP(O$5,NFI,5,0),1,0)*Table_NFI[[#This Row],[Clothes Kit]],Table_NFI[Clothes Kit])</f>
        <v>0</v>
      </c>
      <c r="AG923" s="294">
        <f>IF(NFI_Expiration=1,IF($A923&lt;VLOOKUP(P$5,NFI,5,0),1,0)*Table_NFI[[#This Row],[Plastic Bucket]],Table_NFI[Plastic Bucket])</f>
        <v>0</v>
      </c>
      <c r="AH923" s="294">
        <f>IF(NFI_Expiration=1,IF($A923&lt;VLOOKUP(Q$5,NFI,5,0),1,0)*Table_NFI[[#This Row],[Plastic Mat]],Table_NFI[Plastic Mat])*IF(Table_NFI[[#This Row],[Distribution Date]]&gt;"2014-04-01",1,2.5)</f>
        <v>0</v>
      </c>
      <c r="AI923" s="294">
        <f>IF(NFI_Expiration=1,IF($A923&lt;VLOOKUP(R$5,NFI,5,0),1,0)*Table_NFI[[#This Row],[Winter Clothes Adult]],Table_NFI[Winter Clothes Adult])</f>
        <v>0</v>
      </c>
      <c r="AJ923" s="294">
        <f>IF(NFI_Expiration=1,IF($A923&lt;VLOOKUP(S$5,NFI,5,0),1,0)*Table_NFI[[#This Row],[Winter Clothes Children]],Table_NFI[Winter Clothes Children])</f>
        <v>0</v>
      </c>
      <c r="AK923" s="294">
        <f>IF(NFI_Expiration=1,IF($A923&lt;VLOOKUP(T$5,NFI,5,0),1,0)*Table_NFI[[#This Row],[Winter Items Other]],Table_NFI[Winter Items Other])</f>
        <v>0</v>
      </c>
      <c r="AL923" s="294">
        <f>IF(NFI_Expiration=1,IF($A923&lt;VLOOKUP(M$5,NFI,5,0),1,0)*Table_NFI[[#This Row],[Winter Blanket]],Table_NFI[[#This Row],[Winter Blanket]])</f>
        <v>0</v>
      </c>
      <c r="AM923" s="294">
        <f>IF(Table_NFI[[#This Row],[Winter Clothes Adult]]+Table_NFI[[#This Row],[Winter Clothes Children]]+Table_NFI[[#This Row],[Winter Items Other]]+Table_NFI[[#This Row],[Winter Blanket]]&gt;0,1,0)</f>
        <v>0</v>
      </c>
      <c r="AN923" s="331">
        <f>IF(NFI_Expiration=1,IF($A923&lt;VLOOKUP(V$5,NFI,5,0),1,0)*Table_NFI[[#This Row],[Jerry Can]],Table_NFI[Jerry Can])</f>
        <v>0</v>
      </c>
      <c r="AO923" s="331">
        <f>IF(NFI_Expiration=1,IF($A923&lt;VLOOKUP(V$5,NFI,5,0),1,0)*Table_NFI[[#This Row],[Shelter Tool kit]],Table_NFI[Shelter Tool kit])</f>
        <v>0</v>
      </c>
      <c r="AP923" s="331">
        <f>IF(NFI_Expiration=1,IF($A923&lt;VLOOKUP(V$5,NFI,5,0),1,0)*Table_NFI[[#This Row],[Tent]],Table_NFI[Tent])</f>
        <v>0</v>
      </c>
      <c r="AQ923" s="473" t="str">
        <f>IFERROR(VLOOKUP(Table_NFI[[#This Row],[Camp Name]],CL,2,0),"")</f>
        <v>MMR001CMP070</v>
      </c>
      <c r="AR923" s="468">
        <f ca="1">IF(Table_NFI[[#This Row],[Pcode]]="","",IF(OFFSET(CampList[Opening Date],MATCH(Table_NFI[[#This Row],[Pcode]],CampList[CP_Pcode],0)-1,0,1,1)&gt;=NFI_Monitor_Date,1,0))</f>
        <v>0</v>
      </c>
      <c r="AS923" s="473" t="str">
        <f>IFERROR(VLOOKUP(Table_NFI[[#This Row],[Camp Name]],CL,3,0),"")</f>
        <v>Open</v>
      </c>
      <c r="AT923" s="294" t="str">
        <f ca="1">IF(Table_NFI[[#This Row],[Pcode]]="","",OFFSET(CampList[Priority],MATCH(Table_NFI[[#This Row],[Pcode]],CampList[CP_Pcode],0)-1,0,1,1))</f>
        <v>P3</v>
      </c>
      <c r="AU923" s="293">
        <f>IFERROR(Table_NFI[[#This Row],[Kitchen Set]]/VLOOKUP(Table_NFI[[#This Row],[Camp Name]],CL,4,0),"")</f>
        <v>0</v>
      </c>
      <c r="AV923" s="466" t="s">
        <v>1092</v>
      </c>
      <c r="AW923" s="469"/>
    </row>
    <row r="924" spans="1:49" x14ac:dyDescent="0.25">
      <c r="A924" s="297">
        <f t="shared" si="14"/>
        <v>52.266666666666666</v>
      </c>
      <c r="B924" s="465">
        <v>41107</v>
      </c>
      <c r="C924" s="466" t="s">
        <v>452</v>
      </c>
      <c r="D924" s="467" t="s">
        <v>452</v>
      </c>
      <c r="E924" s="466" t="s">
        <v>380</v>
      </c>
      <c r="F924" s="290" t="s">
        <v>151</v>
      </c>
      <c r="G924" s="290" t="s">
        <v>158</v>
      </c>
      <c r="H924" s="291"/>
      <c r="I924" s="291"/>
      <c r="J924" s="291"/>
      <c r="K924" s="291">
        <v>0</v>
      </c>
      <c r="L924" s="292">
        <v>0</v>
      </c>
      <c r="M924" s="292">
        <v>0</v>
      </c>
      <c r="N924" s="292">
        <v>0</v>
      </c>
      <c r="O924" s="292">
        <v>0</v>
      </c>
      <c r="P924" s="294"/>
      <c r="Q924" s="294"/>
      <c r="R924" s="294"/>
      <c r="S924" s="294"/>
      <c r="T924" s="294"/>
      <c r="U924" s="294"/>
      <c r="V924" s="431"/>
      <c r="W924" s="294"/>
      <c r="X924" s="294"/>
      <c r="Y924" s="294">
        <f>IF(NFI_Expiration=1,IF($A924&lt;VLOOKUP(H$5,NFI,5,0),1,0)*Table_NFI[[#This Row],[Hygiene Kit]],Table_NFI[Hygiene Kit])</f>
        <v>0</v>
      </c>
      <c r="Z924" s="294">
        <f>IF(NFI_Expiration=1,IF($A924&lt;VLOOKUP(I$5,NFI,5,0),1,0)*Table_NFI[[#This Row],[NFI Core Kit]],Table_NFI[NFI Core Kit])</f>
        <v>0</v>
      </c>
      <c r="AA924" s="294">
        <f>IF(NFI_Expiration=1,IF($A924&lt;VLOOKUP(J$5,NFI,5,0),1,0)*Table_NFI[[#This Row],[Sanitary Kit]],Table_NFI[Sanitary Kit])</f>
        <v>0</v>
      </c>
      <c r="AB924" s="294">
        <f>IF(NFI_Expiration=1,IF($A924&lt;VLOOKUP(K$5,NFI,5,0),1,0)*Table_NFI[[#This Row],[Mosquito net]],Table_NFI[Mosquito net])</f>
        <v>0</v>
      </c>
      <c r="AC924" s="294">
        <f>IF(NFI_Expiration=1,IF($A924&lt;VLOOKUP(L$5,NFI,5,0),1,0)*Table_NFI[[#This Row],[Tarpaulin]],Table_NFI[[#This Row],[Tarpaulin]])</f>
        <v>0</v>
      </c>
      <c r="AD924" s="294">
        <f>IF(NFI_Expiration=1,IF($A924&lt;VLOOKUP(M$5,NFI,5,0),1,0)*Table_NFI[[#This Row],[Blanket]],Table_NFI[[#This Row],[Blanket]])</f>
        <v>0</v>
      </c>
      <c r="AE924" s="294">
        <f>IF(NFI_Expiration=1,IF($A924&lt;VLOOKUP(N$5,NFI,5,0),1,0)*Table_NFI[[#This Row],[Kitchen Set]],Table_NFI[Kitchen Set])</f>
        <v>0</v>
      </c>
      <c r="AF924" s="294">
        <f>IF(NFI_Expiration=1,IF($A924&lt;VLOOKUP(O$5,NFI,5,0),1,0)*Table_NFI[[#This Row],[Clothes Kit]],Table_NFI[Clothes Kit])</f>
        <v>0</v>
      </c>
      <c r="AG924" s="294">
        <f>IF(NFI_Expiration=1,IF($A924&lt;VLOOKUP(P$5,NFI,5,0),1,0)*Table_NFI[[#This Row],[Plastic Bucket]],Table_NFI[Plastic Bucket])</f>
        <v>0</v>
      </c>
      <c r="AH924" s="294">
        <f>IF(NFI_Expiration=1,IF($A924&lt;VLOOKUP(Q$5,NFI,5,0),1,0)*Table_NFI[[#This Row],[Plastic Mat]],Table_NFI[Plastic Mat])*IF(Table_NFI[[#This Row],[Distribution Date]]&gt;"2014-04-01",1,2.5)</f>
        <v>0</v>
      </c>
      <c r="AI924" s="294">
        <f>IF(NFI_Expiration=1,IF($A924&lt;VLOOKUP(R$5,NFI,5,0),1,0)*Table_NFI[[#This Row],[Winter Clothes Adult]],Table_NFI[Winter Clothes Adult])</f>
        <v>0</v>
      </c>
      <c r="AJ924" s="294">
        <f>IF(NFI_Expiration=1,IF($A924&lt;VLOOKUP(S$5,NFI,5,0),1,0)*Table_NFI[[#This Row],[Winter Clothes Children]],Table_NFI[Winter Clothes Children])</f>
        <v>0</v>
      </c>
      <c r="AK924" s="294">
        <f>IF(NFI_Expiration=1,IF($A924&lt;VLOOKUP(T$5,NFI,5,0),1,0)*Table_NFI[[#This Row],[Winter Items Other]],Table_NFI[Winter Items Other])</f>
        <v>0</v>
      </c>
      <c r="AL924" s="294">
        <f>IF(NFI_Expiration=1,IF($A924&lt;VLOOKUP(M$5,NFI,5,0),1,0)*Table_NFI[[#This Row],[Winter Blanket]],Table_NFI[[#This Row],[Winter Blanket]])</f>
        <v>0</v>
      </c>
      <c r="AM924" s="294">
        <f>IF(Table_NFI[[#This Row],[Winter Clothes Adult]]+Table_NFI[[#This Row],[Winter Clothes Children]]+Table_NFI[[#This Row],[Winter Items Other]]+Table_NFI[[#This Row],[Winter Blanket]]&gt;0,1,0)</f>
        <v>0</v>
      </c>
      <c r="AN924" s="331">
        <f>IF(NFI_Expiration=1,IF($A924&lt;VLOOKUP(V$5,NFI,5,0),1,0)*Table_NFI[[#This Row],[Jerry Can]],Table_NFI[Jerry Can])</f>
        <v>0</v>
      </c>
      <c r="AO924" s="331">
        <f>IF(NFI_Expiration=1,IF($A924&lt;VLOOKUP(V$5,NFI,5,0),1,0)*Table_NFI[[#This Row],[Shelter Tool kit]],Table_NFI[Shelter Tool kit])</f>
        <v>0</v>
      </c>
      <c r="AP924" s="331">
        <f>IF(NFI_Expiration=1,IF($A924&lt;VLOOKUP(V$5,NFI,5,0),1,0)*Table_NFI[[#This Row],[Tent]],Table_NFI[Tent])</f>
        <v>0</v>
      </c>
      <c r="AQ924" s="473" t="str">
        <f>IFERROR(VLOOKUP(Table_NFI[[#This Row],[Camp Name]],CL,2,0),"")</f>
        <v>MMR001CMP135</v>
      </c>
      <c r="AR924" s="468">
        <f ca="1">IF(Table_NFI[[#This Row],[Pcode]]="","",IF(OFFSET(CampList[Opening Date],MATCH(Table_NFI[[#This Row],[Pcode]],CampList[CP_Pcode],0)-1,0,1,1)&gt;=NFI_Monitor_Date,1,0))</f>
        <v>0</v>
      </c>
      <c r="AS924" s="473" t="str">
        <f>IFERROR(VLOOKUP(Table_NFI[[#This Row],[Camp Name]],CL,3,0),"")</f>
        <v>Closed</v>
      </c>
      <c r="AT924" s="294" t="str">
        <f ca="1">IF(Table_NFI[[#This Row],[Pcode]]="","",OFFSET(CampList[Priority],MATCH(Table_NFI[[#This Row],[Pcode]],CampList[CP_Pcode],0)-1,0,1,1))</f>
        <v>P2</v>
      </c>
      <c r="AU924" s="293" t="str">
        <f>IFERROR(Table_NFI[[#This Row],[Kitchen Set]]/VLOOKUP(Table_NFI[[#This Row],[Camp Name]],CL,4,0),"")</f>
        <v/>
      </c>
      <c r="AV924" s="466" t="s">
        <v>1092</v>
      </c>
      <c r="AW924" s="469"/>
    </row>
    <row r="925" spans="1:49" x14ac:dyDescent="0.25">
      <c r="A925" s="297">
        <f t="shared" si="14"/>
        <v>52.266666666666666</v>
      </c>
      <c r="B925" s="465">
        <v>41107</v>
      </c>
      <c r="C925" s="466" t="s">
        <v>452</v>
      </c>
      <c r="D925" s="466" t="s">
        <v>452</v>
      </c>
      <c r="E925" s="466" t="s">
        <v>380</v>
      </c>
      <c r="F925" s="290" t="s">
        <v>185</v>
      </c>
      <c r="G925" s="290" t="s">
        <v>200</v>
      </c>
      <c r="H925" s="291"/>
      <c r="I925" s="291"/>
      <c r="J925" s="291"/>
      <c r="K925" s="291">
        <v>0</v>
      </c>
      <c r="L925" s="292">
        <v>0</v>
      </c>
      <c r="M925" s="292">
        <v>0</v>
      </c>
      <c r="N925" s="292">
        <v>0</v>
      </c>
      <c r="O925" s="292">
        <v>0</v>
      </c>
      <c r="P925" s="294"/>
      <c r="Q925" s="294"/>
      <c r="R925" s="294"/>
      <c r="S925" s="294"/>
      <c r="T925" s="294"/>
      <c r="U925" s="294"/>
      <c r="V925" s="431"/>
      <c r="W925" s="294"/>
      <c r="X925" s="294"/>
      <c r="Y925" s="294">
        <f>IF(NFI_Expiration=1,IF($A925&lt;VLOOKUP(H$5,NFI,5,0),1,0)*Table_NFI[[#This Row],[Hygiene Kit]],Table_NFI[Hygiene Kit])</f>
        <v>0</v>
      </c>
      <c r="Z925" s="294">
        <f>IF(NFI_Expiration=1,IF($A925&lt;VLOOKUP(I$5,NFI,5,0),1,0)*Table_NFI[[#This Row],[NFI Core Kit]],Table_NFI[NFI Core Kit])</f>
        <v>0</v>
      </c>
      <c r="AA925" s="294">
        <f>IF(NFI_Expiration=1,IF($A925&lt;VLOOKUP(J$5,NFI,5,0),1,0)*Table_NFI[[#This Row],[Sanitary Kit]],Table_NFI[Sanitary Kit])</f>
        <v>0</v>
      </c>
      <c r="AB925" s="294">
        <f>IF(NFI_Expiration=1,IF($A925&lt;VLOOKUP(K$5,NFI,5,0),1,0)*Table_NFI[[#This Row],[Mosquito net]],Table_NFI[Mosquito net])</f>
        <v>0</v>
      </c>
      <c r="AC925" s="294">
        <f>IF(NFI_Expiration=1,IF($A925&lt;VLOOKUP(L$5,NFI,5,0),1,0)*Table_NFI[[#This Row],[Tarpaulin]],Table_NFI[[#This Row],[Tarpaulin]])</f>
        <v>0</v>
      </c>
      <c r="AD925" s="294">
        <f>IF(NFI_Expiration=1,IF($A925&lt;VLOOKUP(M$5,NFI,5,0),1,0)*Table_NFI[[#This Row],[Blanket]],Table_NFI[[#This Row],[Blanket]])</f>
        <v>0</v>
      </c>
      <c r="AE925" s="294">
        <f>IF(NFI_Expiration=1,IF($A925&lt;VLOOKUP(N$5,NFI,5,0),1,0)*Table_NFI[[#This Row],[Kitchen Set]],Table_NFI[Kitchen Set])</f>
        <v>0</v>
      </c>
      <c r="AF925" s="294">
        <f>IF(NFI_Expiration=1,IF($A925&lt;VLOOKUP(O$5,NFI,5,0),1,0)*Table_NFI[[#This Row],[Clothes Kit]],Table_NFI[Clothes Kit])</f>
        <v>0</v>
      </c>
      <c r="AG925" s="294">
        <f>IF(NFI_Expiration=1,IF($A925&lt;VLOOKUP(P$5,NFI,5,0),1,0)*Table_NFI[[#This Row],[Plastic Bucket]],Table_NFI[Plastic Bucket])</f>
        <v>0</v>
      </c>
      <c r="AH925" s="294">
        <f>IF(NFI_Expiration=1,IF($A925&lt;VLOOKUP(Q$5,NFI,5,0),1,0)*Table_NFI[[#This Row],[Plastic Mat]],Table_NFI[Plastic Mat])*IF(Table_NFI[[#This Row],[Distribution Date]]&gt;"2014-04-01",1,2.5)</f>
        <v>0</v>
      </c>
      <c r="AI925" s="294">
        <f>IF(NFI_Expiration=1,IF($A925&lt;VLOOKUP(R$5,NFI,5,0),1,0)*Table_NFI[[#This Row],[Winter Clothes Adult]],Table_NFI[Winter Clothes Adult])</f>
        <v>0</v>
      </c>
      <c r="AJ925" s="294">
        <f>IF(NFI_Expiration=1,IF($A925&lt;VLOOKUP(S$5,NFI,5,0),1,0)*Table_NFI[[#This Row],[Winter Clothes Children]],Table_NFI[Winter Clothes Children])</f>
        <v>0</v>
      </c>
      <c r="AK925" s="294">
        <f>IF(NFI_Expiration=1,IF($A925&lt;VLOOKUP(T$5,NFI,5,0),1,0)*Table_NFI[[#This Row],[Winter Items Other]],Table_NFI[Winter Items Other])</f>
        <v>0</v>
      </c>
      <c r="AL925" s="294">
        <f>IF(NFI_Expiration=1,IF($A925&lt;VLOOKUP(M$5,NFI,5,0),1,0)*Table_NFI[[#This Row],[Winter Blanket]],Table_NFI[[#This Row],[Winter Blanket]])</f>
        <v>0</v>
      </c>
      <c r="AM925" s="294">
        <f>IF(Table_NFI[[#This Row],[Winter Clothes Adult]]+Table_NFI[[#This Row],[Winter Clothes Children]]+Table_NFI[[#This Row],[Winter Items Other]]+Table_NFI[[#This Row],[Winter Blanket]]&gt;0,1,0)</f>
        <v>0</v>
      </c>
      <c r="AN925" s="331">
        <f>IF(NFI_Expiration=1,IF($A925&lt;VLOOKUP(V$5,NFI,5,0),1,0)*Table_NFI[[#This Row],[Jerry Can]],Table_NFI[Jerry Can])</f>
        <v>0</v>
      </c>
      <c r="AO925" s="331">
        <f>IF(NFI_Expiration=1,IF($A925&lt;VLOOKUP(V$5,NFI,5,0),1,0)*Table_NFI[[#This Row],[Shelter Tool kit]],Table_NFI[Shelter Tool kit])</f>
        <v>0</v>
      </c>
      <c r="AP925" s="331">
        <f>IF(NFI_Expiration=1,IF($A925&lt;VLOOKUP(V$5,NFI,5,0),1,0)*Table_NFI[[#This Row],[Tent]],Table_NFI[Tent])</f>
        <v>0</v>
      </c>
      <c r="AQ925" s="473" t="str">
        <f>IFERROR(VLOOKUP(Table_NFI[[#This Row],[Camp Name]],CL,2,0),"")</f>
        <v>MMR001CMP064</v>
      </c>
      <c r="AR925" s="468">
        <f ca="1">IF(Table_NFI[[#This Row],[Pcode]]="","",IF(OFFSET(CampList[Opening Date],MATCH(Table_NFI[[#This Row],[Pcode]],CampList[CP_Pcode],0)-1,0,1,1)&gt;=NFI_Monitor_Date,1,0))</f>
        <v>0</v>
      </c>
      <c r="AS925" s="473" t="str">
        <f>IFERROR(VLOOKUP(Table_NFI[[#This Row],[Camp Name]],CL,3,0),"")</f>
        <v>Open</v>
      </c>
      <c r="AT925" s="294" t="str">
        <f ca="1">IF(Table_NFI[[#This Row],[Pcode]]="","",OFFSET(CampList[Priority],MATCH(Table_NFI[[#This Row],[Pcode]],CampList[CP_Pcode],0)-1,0,1,1))</f>
        <v>P4</v>
      </c>
      <c r="AU925" s="293">
        <f>IFERROR(Table_NFI[[#This Row],[Kitchen Set]]/VLOOKUP(Table_NFI[[#This Row],[Camp Name]],CL,4,0),"")</f>
        <v>0</v>
      </c>
      <c r="AV925" s="466" t="s">
        <v>1092</v>
      </c>
      <c r="AW925" s="469"/>
    </row>
    <row r="926" spans="1:49" x14ac:dyDescent="0.25">
      <c r="A926" s="297">
        <f t="shared" si="14"/>
        <v>52.266666666666666</v>
      </c>
      <c r="B926" s="465">
        <v>41107</v>
      </c>
      <c r="C926" s="466" t="s">
        <v>452</v>
      </c>
      <c r="D926" s="467" t="s">
        <v>452</v>
      </c>
      <c r="E926" s="466" t="s">
        <v>380</v>
      </c>
      <c r="F926" s="290" t="s">
        <v>185</v>
      </c>
      <c r="G926" s="290" t="s">
        <v>200</v>
      </c>
      <c r="H926" s="291"/>
      <c r="I926" s="291"/>
      <c r="J926" s="291"/>
      <c r="K926" s="291">
        <v>0</v>
      </c>
      <c r="L926" s="292">
        <v>0</v>
      </c>
      <c r="M926" s="292">
        <v>0</v>
      </c>
      <c r="N926" s="292">
        <v>0</v>
      </c>
      <c r="O926" s="292">
        <v>0</v>
      </c>
      <c r="P926" s="294"/>
      <c r="Q926" s="294"/>
      <c r="R926" s="294"/>
      <c r="S926" s="294"/>
      <c r="T926" s="294"/>
      <c r="U926" s="294"/>
      <c r="V926" s="431"/>
      <c r="W926" s="331"/>
      <c r="X926" s="331"/>
      <c r="Y926" s="294">
        <f>IF(NFI_Expiration=1,IF($A926&lt;VLOOKUP(H$5,NFI,5,0),1,0)*Table_NFI[[#This Row],[Hygiene Kit]],Table_NFI[Hygiene Kit])</f>
        <v>0</v>
      </c>
      <c r="Z926" s="294">
        <f>IF(NFI_Expiration=1,IF($A926&lt;VLOOKUP(I$5,NFI,5,0),1,0)*Table_NFI[[#This Row],[NFI Core Kit]],Table_NFI[NFI Core Kit])</f>
        <v>0</v>
      </c>
      <c r="AA926" s="294">
        <f>IF(NFI_Expiration=1,IF($A926&lt;VLOOKUP(J$5,NFI,5,0),1,0)*Table_NFI[[#This Row],[Sanitary Kit]],Table_NFI[Sanitary Kit])</f>
        <v>0</v>
      </c>
      <c r="AB926" s="294">
        <f>IF(NFI_Expiration=1,IF($A926&lt;VLOOKUP(K$5,NFI,5,0),1,0)*Table_NFI[[#This Row],[Mosquito net]],Table_NFI[Mosquito net])</f>
        <v>0</v>
      </c>
      <c r="AC926" s="294">
        <f>IF(NFI_Expiration=1,IF($A926&lt;VLOOKUP(L$5,NFI,5,0),1,0)*Table_NFI[[#This Row],[Tarpaulin]],Table_NFI[[#This Row],[Tarpaulin]])</f>
        <v>0</v>
      </c>
      <c r="AD926" s="294">
        <f>IF(NFI_Expiration=1,IF($A926&lt;VLOOKUP(M$5,NFI,5,0),1,0)*Table_NFI[[#This Row],[Blanket]],Table_NFI[[#This Row],[Blanket]])</f>
        <v>0</v>
      </c>
      <c r="AE926" s="294">
        <f>IF(NFI_Expiration=1,IF($A926&lt;VLOOKUP(N$5,NFI,5,0),1,0)*Table_NFI[[#This Row],[Kitchen Set]],Table_NFI[Kitchen Set])</f>
        <v>0</v>
      </c>
      <c r="AF926" s="294">
        <f>IF(NFI_Expiration=1,IF($A926&lt;VLOOKUP(O$5,NFI,5,0),1,0)*Table_NFI[[#This Row],[Clothes Kit]],Table_NFI[Clothes Kit])</f>
        <v>0</v>
      </c>
      <c r="AG926" s="294">
        <f>IF(NFI_Expiration=1,IF($A926&lt;VLOOKUP(P$5,NFI,5,0),1,0)*Table_NFI[[#This Row],[Plastic Bucket]],Table_NFI[Plastic Bucket])</f>
        <v>0</v>
      </c>
      <c r="AH926" s="294">
        <f>IF(NFI_Expiration=1,IF($A926&lt;VLOOKUP(Q$5,NFI,5,0),1,0)*Table_NFI[[#This Row],[Plastic Mat]],Table_NFI[Plastic Mat])*IF(Table_NFI[[#This Row],[Distribution Date]]&gt;"2014-04-01",1,2.5)</f>
        <v>0</v>
      </c>
      <c r="AI926" s="294">
        <f>IF(NFI_Expiration=1,IF($A926&lt;VLOOKUP(R$5,NFI,5,0),1,0)*Table_NFI[[#This Row],[Winter Clothes Adult]],Table_NFI[Winter Clothes Adult])</f>
        <v>0</v>
      </c>
      <c r="AJ926" s="294">
        <f>IF(NFI_Expiration=1,IF($A926&lt;VLOOKUP(S$5,NFI,5,0),1,0)*Table_NFI[[#This Row],[Winter Clothes Children]],Table_NFI[Winter Clothes Children])</f>
        <v>0</v>
      </c>
      <c r="AK926" s="294">
        <f>IF(NFI_Expiration=1,IF($A926&lt;VLOOKUP(T$5,NFI,5,0),1,0)*Table_NFI[[#This Row],[Winter Items Other]],Table_NFI[Winter Items Other])</f>
        <v>0</v>
      </c>
      <c r="AL926" s="294">
        <f>IF(NFI_Expiration=1,IF($A926&lt;VLOOKUP(M$5,NFI,5,0),1,0)*Table_NFI[[#This Row],[Winter Blanket]],Table_NFI[[#This Row],[Winter Blanket]])</f>
        <v>0</v>
      </c>
      <c r="AM926" s="294">
        <f>IF(Table_NFI[[#This Row],[Winter Clothes Adult]]+Table_NFI[[#This Row],[Winter Clothes Children]]+Table_NFI[[#This Row],[Winter Items Other]]+Table_NFI[[#This Row],[Winter Blanket]]&gt;0,1,0)</f>
        <v>0</v>
      </c>
      <c r="AN926" s="331">
        <f>IF(NFI_Expiration=1,IF($A926&lt;VLOOKUP(V$5,NFI,5,0),1,0)*Table_NFI[[#This Row],[Jerry Can]],Table_NFI[Jerry Can])</f>
        <v>0</v>
      </c>
      <c r="AO926" s="331">
        <f>IF(NFI_Expiration=1,IF($A926&lt;VLOOKUP(V$5,NFI,5,0),1,0)*Table_NFI[[#This Row],[Shelter Tool kit]],Table_NFI[Shelter Tool kit])</f>
        <v>0</v>
      </c>
      <c r="AP926" s="331">
        <f>IF(NFI_Expiration=1,IF($A926&lt;VLOOKUP(V$5,NFI,5,0),1,0)*Table_NFI[[#This Row],[Tent]],Table_NFI[Tent])</f>
        <v>0</v>
      </c>
      <c r="AQ926" s="473" t="str">
        <f>IFERROR(VLOOKUP(Table_NFI[[#This Row],[Camp Name]],CL,2,0),"")</f>
        <v>MMR001CMP064</v>
      </c>
      <c r="AR926" s="468">
        <f ca="1">IF(Table_NFI[[#This Row],[Pcode]]="","",IF(OFFSET(CampList[Opening Date],MATCH(Table_NFI[[#This Row],[Pcode]],CampList[CP_Pcode],0)-1,0,1,1)&gt;=NFI_Monitor_Date,1,0))</f>
        <v>0</v>
      </c>
      <c r="AS926" s="473" t="str">
        <f>IFERROR(VLOOKUP(Table_NFI[[#This Row],[Camp Name]],CL,3,0),"")</f>
        <v>Open</v>
      </c>
      <c r="AT926" s="294" t="str">
        <f ca="1">IF(Table_NFI[[#This Row],[Pcode]]="","",OFFSET(CampList[Priority],MATCH(Table_NFI[[#This Row],[Pcode]],CampList[CP_Pcode],0)-1,0,1,1))</f>
        <v>P4</v>
      </c>
      <c r="AU926" s="293">
        <f>IFERROR(Table_NFI[[#This Row],[Kitchen Set]]/VLOOKUP(Table_NFI[[#This Row],[Camp Name]],CL,4,0),"")</f>
        <v>0</v>
      </c>
      <c r="AV926" s="466" t="s">
        <v>1092</v>
      </c>
      <c r="AW926" s="469"/>
    </row>
    <row r="927" spans="1:49" x14ac:dyDescent="0.25">
      <c r="A927" s="297">
        <f t="shared" si="14"/>
        <v>52.266666666666666</v>
      </c>
      <c r="B927" s="465">
        <v>41107</v>
      </c>
      <c r="C927" s="466" t="s">
        <v>452</v>
      </c>
      <c r="D927" s="467" t="s">
        <v>452</v>
      </c>
      <c r="E927" s="466" t="s">
        <v>380</v>
      </c>
      <c r="F927" s="290" t="s">
        <v>151</v>
      </c>
      <c r="G927" s="290" t="s">
        <v>160</v>
      </c>
      <c r="H927" s="291"/>
      <c r="I927" s="291"/>
      <c r="J927" s="291"/>
      <c r="K927" s="291">
        <v>0</v>
      </c>
      <c r="L927" s="292">
        <v>0</v>
      </c>
      <c r="M927" s="292">
        <v>0</v>
      </c>
      <c r="N927" s="292">
        <v>0</v>
      </c>
      <c r="O927" s="292">
        <v>0</v>
      </c>
      <c r="P927" s="294"/>
      <c r="Q927" s="294"/>
      <c r="R927" s="294"/>
      <c r="S927" s="294"/>
      <c r="T927" s="294"/>
      <c r="U927" s="294"/>
      <c r="V927" s="431"/>
      <c r="W927" s="294"/>
      <c r="X927" s="294"/>
      <c r="Y927" s="294">
        <f>IF(NFI_Expiration=1,IF($A927&lt;VLOOKUP(H$5,NFI,5,0),1,0)*Table_NFI[[#This Row],[Hygiene Kit]],Table_NFI[Hygiene Kit])</f>
        <v>0</v>
      </c>
      <c r="Z927" s="294">
        <f>IF(NFI_Expiration=1,IF($A927&lt;VLOOKUP(I$5,NFI,5,0),1,0)*Table_NFI[[#This Row],[NFI Core Kit]],Table_NFI[NFI Core Kit])</f>
        <v>0</v>
      </c>
      <c r="AA927" s="294">
        <f>IF(NFI_Expiration=1,IF($A927&lt;VLOOKUP(J$5,NFI,5,0),1,0)*Table_NFI[[#This Row],[Sanitary Kit]],Table_NFI[Sanitary Kit])</f>
        <v>0</v>
      </c>
      <c r="AB927" s="294">
        <f>IF(NFI_Expiration=1,IF($A927&lt;VLOOKUP(K$5,NFI,5,0),1,0)*Table_NFI[[#This Row],[Mosquito net]],Table_NFI[Mosquito net])</f>
        <v>0</v>
      </c>
      <c r="AC927" s="294">
        <f>IF(NFI_Expiration=1,IF($A927&lt;VLOOKUP(L$5,NFI,5,0),1,0)*Table_NFI[[#This Row],[Tarpaulin]],Table_NFI[[#This Row],[Tarpaulin]])</f>
        <v>0</v>
      </c>
      <c r="AD927" s="294">
        <f>IF(NFI_Expiration=1,IF($A927&lt;VLOOKUP(M$5,NFI,5,0),1,0)*Table_NFI[[#This Row],[Blanket]],Table_NFI[[#This Row],[Blanket]])</f>
        <v>0</v>
      </c>
      <c r="AE927" s="294">
        <f>IF(NFI_Expiration=1,IF($A927&lt;VLOOKUP(N$5,NFI,5,0),1,0)*Table_NFI[[#This Row],[Kitchen Set]],Table_NFI[Kitchen Set])</f>
        <v>0</v>
      </c>
      <c r="AF927" s="294">
        <f>IF(NFI_Expiration=1,IF($A927&lt;VLOOKUP(O$5,NFI,5,0),1,0)*Table_NFI[[#This Row],[Clothes Kit]],Table_NFI[Clothes Kit])</f>
        <v>0</v>
      </c>
      <c r="AG927" s="294">
        <f>IF(NFI_Expiration=1,IF($A927&lt;VLOOKUP(P$5,NFI,5,0),1,0)*Table_NFI[[#This Row],[Plastic Bucket]],Table_NFI[Plastic Bucket])</f>
        <v>0</v>
      </c>
      <c r="AH927" s="294">
        <f>IF(NFI_Expiration=1,IF($A927&lt;VLOOKUP(Q$5,NFI,5,0),1,0)*Table_NFI[[#This Row],[Plastic Mat]],Table_NFI[Plastic Mat])*IF(Table_NFI[[#This Row],[Distribution Date]]&gt;"2014-04-01",1,2.5)</f>
        <v>0</v>
      </c>
      <c r="AI927" s="294">
        <f>IF(NFI_Expiration=1,IF($A927&lt;VLOOKUP(R$5,NFI,5,0),1,0)*Table_NFI[[#This Row],[Winter Clothes Adult]],Table_NFI[Winter Clothes Adult])</f>
        <v>0</v>
      </c>
      <c r="AJ927" s="294">
        <f>IF(NFI_Expiration=1,IF($A927&lt;VLOOKUP(S$5,NFI,5,0),1,0)*Table_NFI[[#This Row],[Winter Clothes Children]],Table_NFI[Winter Clothes Children])</f>
        <v>0</v>
      </c>
      <c r="AK927" s="294">
        <f>IF(NFI_Expiration=1,IF($A927&lt;VLOOKUP(T$5,NFI,5,0),1,0)*Table_NFI[[#This Row],[Winter Items Other]],Table_NFI[Winter Items Other])</f>
        <v>0</v>
      </c>
      <c r="AL927" s="294">
        <f>IF(NFI_Expiration=1,IF($A927&lt;VLOOKUP(M$5,NFI,5,0),1,0)*Table_NFI[[#This Row],[Winter Blanket]],Table_NFI[[#This Row],[Winter Blanket]])</f>
        <v>0</v>
      </c>
      <c r="AM927" s="294">
        <f>IF(Table_NFI[[#This Row],[Winter Clothes Adult]]+Table_NFI[[#This Row],[Winter Clothes Children]]+Table_NFI[[#This Row],[Winter Items Other]]+Table_NFI[[#This Row],[Winter Blanket]]&gt;0,1,0)</f>
        <v>0</v>
      </c>
      <c r="AN927" s="331">
        <f>IF(NFI_Expiration=1,IF($A927&lt;VLOOKUP(V$5,NFI,5,0),1,0)*Table_NFI[[#This Row],[Jerry Can]],Table_NFI[Jerry Can])</f>
        <v>0</v>
      </c>
      <c r="AO927" s="331">
        <f>IF(NFI_Expiration=1,IF($A927&lt;VLOOKUP(V$5,NFI,5,0),1,0)*Table_NFI[[#This Row],[Shelter Tool kit]],Table_NFI[Shelter Tool kit])</f>
        <v>0</v>
      </c>
      <c r="AP927" s="331">
        <f>IF(NFI_Expiration=1,IF($A927&lt;VLOOKUP(V$5,NFI,5,0),1,0)*Table_NFI[[#This Row],[Tent]],Table_NFI[Tent])</f>
        <v>0</v>
      </c>
      <c r="AQ927" s="473" t="str">
        <f>IFERROR(VLOOKUP(Table_NFI[[#This Row],[Camp Name]],CL,2,0),"")</f>
        <v>MMR001CMP133</v>
      </c>
      <c r="AR927" s="468">
        <f ca="1">IF(Table_NFI[[#This Row],[Pcode]]="","",IF(OFFSET(CampList[Opening Date],MATCH(Table_NFI[[#This Row],[Pcode]],CampList[CP_Pcode],0)-1,0,1,1)&gt;=NFI_Monitor_Date,1,0))</f>
        <v>0</v>
      </c>
      <c r="AS927" s="473" t="str">
        <f>IFERROR(VLOOKUP(Table_NFI[[#This Row],[Camp Name]],CL,3,0),"")</f>
        <v>Open</v>
      </c>
      <c r="AT927" s="294" t="str">
        <f ca="1">IF(Table_NFI[[#This Row],[Pcode]]="","",OFFSET(CampList[Priority],MATCH(Table_NFI[[#This Row],[Pcode]],CampList[CP_Pcode],0)-1,0,1,1))</f>
        <v>P4</v>
      </c>
      <c r="AU927" s="293">
        <f>IFERROR(Table_NFI[[#This Row],[Kitchen Set]]/VLOOKUP(Table_NFI[[#This Row],[Camp Name]],CL,4,0),"")</f>
        <v>0</v>
      </c>
      <c r="AV927" s="466" t="s">
        <v>1092</v>
      </c>
      <c r="AW927" s="469"/>
    </row>
    <row r="928" spans="1:49" ht="14.45" customHeight="1" x14ac:dyDescent="0.25">
      <c r="A928" s="297">
        <f t="shared" si="14"/>
        <v>52.266666666666666</v>
      </c>
      <c r="B928" s="465">
        <v>41107</v>
      </c>
      <c r="C928" s="466" t="s">
        <v>452</v>
      </c>
      <c r="D928" s="467" t="s">
        <v>452</v>
      </c>
      <c r="E928" s="466" t="s">
        <v>380</v>
      </c>
      <c r="F928" s="290" t="s">
        <v>237</v>
      </c>
      <c r="G928" s="290" t="s">
        <v>263</v>
      </c>
      <c r="H928" s="291"/>
      <c r="I928" s="291"/>
      <c r="J928" s="291"/>
      <c r="K928" s="291">
        <v>0</v>
      </c>
      <c r="L928" s="292">
        <v>0</v>
      </c>
      <c r="M928" s="292">
        <v>0</v>
      </c>
      <c r="N928" s="292">
        <v>0</v>
      </c>
      <c r="O928" s="292">
        <v>0</v>
      </c>
      <c r="P928" s="294"/>
      <c r="Q928" s="294"/>
      <c r="R928" s="294"/>
      <c r="S928" s="294"/>
      <c r="T928" s="294"/>
      <c r="U928" s="294"/>
      <c r="V928" s="431"/>
      <c r="W928" s="294"/>
      <c r="X928" s="294"/>
      <c r="Y928" s="294">
        <f>IF(NFI_Expiration=1,IF($A928&lt;VLOOKUP(H$5,NFI,5,0),1,0)*Table_NFI[[#This Row],[Hygiene Kit]],Table_NFI[Hygiene Kit])</f>
        <v>0</v>
      </c>
      <c r="Z928" s="294">
        <f>IF(NFI_Expiration=1,IF($A928&lt;VLOOKUP(I$5,NFI,5,0),1,0)*Table_NFI[[#This Row],[NFI Core Kit]],Table_NFI[NFI Core Kit])</f>
        <v>0</v>
      </c>
      <c r="AA928" s="294">
        <f>IF(NFI_Expiration=1,IF($A928&lt;VLOOKUP(J$5,NFI,5,0),1,0)*Table_NFI[[#This Row],[Sanitary Kit]],Table_NFI[Sanitary Kit])</f>
        <v>0</v>
      </c>
      <c r="AB928" s="294">
        <f>IF(NFI_Expiration=1,IF($A928&lt;VLOOKUP(K$5,NFI,5,0),1,0)*Table_NFI[[#This Row],[Mosquito net]],Table_NFI[Mosquito net])</f>
        <v>0</v>
      </c>
      <c r="AC928" s="294">
        <f>IF(NFI_Expiration=1,IF($A928&lt;VLOOKUP(L$5,NFI,5,0),1,0)*Table_NFI[[#This Row],[Tarpaulin]],Table_NFI[[#This Row],[Tarpaulin]])</f>
        <v>0</v>
      </c>
      <c r="AD928" s="294">
        <f>IF(NFI_Expiration=1,IF($A928&lt;VLOOKUP(M$5,NFI,5,0),1,0)*Table_NFI[[#This Row],[Blanket]],Table_NFI[[#This Row],[Blanket]])</f>
        <v>0</v>
      </c>
      <c r="AE928" s="294">
        <f>IF(NFI_Expiration=1,IF($A928&lt;VLOOKUP(N$5,NFI,5,0),1,0)*Table_NFI[[#This Row],[Kitchen Set]],Table_NFI[Kitchen Set])</f>
        <v>0</v>
      </c>
      <c r="AF928" s="294">
        <f>IF(NFI_Expiration=1,IF($A928&lt;VLOOKUP(O$5,NFI,5,0),1,0)*Table_NFI[[#This Row],[Clothes Kit]],Table_NFI[Clothes Kit])</f>
        <v>0</v>
      </c>
      <c r="AG928" s="294">
        <f>IF(NFI_Expiration=1,IF($A928&lt;VLOOKUP(P$5,NFI,5,0),1,0)*Table_NFI[[#This Row],[Plastic Bucket]],Table_NFI[Plastic Bucket])</f>
        <v>0</v>
      </c>
      <c r="AH928" s="294">
        <f>IF(NFI_Expiration=1,IF($A928&lt;VLOOKUP(Q$5,NFI,5,0),1,0)*Table_NFI[[#This Row],[Plastic Mat]],Table_NFI[Plastic Mat])*IF(Table_NFI[[#This Row],[Distribution Date]]&gt;"2014-04-01",1,2.5)</f>
        <v>0</v>
      </c>
      <c r="AI928" s="294">
        <f>IF(NFI_Expiration=1,IF($A928&lt;VLOOKUP(R$5,NFI,5,0),1,0)*Table_NFI[[#This Row],[Winter Clothes Adult]],Table_NFI[Winter Clothes Adult])</f>
        <v>0</v>
      </c>
      <c r="AJ928" s="294">
        <f>IF(NFI_Expiration=1,IF($A928&lt;VLOOKUP(S$5,NFI,5,0),1,0)*Table_NFI[[#This Row],[Winter Clothes Children]],Table_NFI[Winter Clothes Children])</f>
        <v>0</v>
      </c>
      <c r="AK928" s="294">
        <f>IF(NFI_Expiration=1,IF($A928&lt;VLOOKUP(T$5,NFI,5,0),1,0)*Table_NFI[[#This Row],[Winter Items Other]],Table_NFI[Winter Items Other])</f>
        <v>0</v>
      </c>
      <c r="AL928" s="294">
        <f>IF(NFI_Expiration=1,IF($A928&lt;VLOOKUP(M$5,NFI,5,0),1,0)*Table_NFI[[#This Row],[Winter Blanket]],Table_NFI[[#This Row],[Winter Blanket]])</f>
        <v>0</v>
      </c>
      <c r="AM928" s="294">
        <f>IF(Table_NFI[[#This Row],[Winter Clothes Adult]]+Table_NFI[[#This Row],[Winter Clothes Children]]+Table_NFI[[#This Row],[Winter Items Other]]+Table_NFI[[#This Row],[Winter Blanket]]&gt;0,1,0)</f>
        <v>0</v>
      </c>
      <c r="AN928" s="331">
        <f>IF(NFI_Expiration=1,IF($A928&lt;VLOOKUP(V$5,NFI,5,0),1,0)*Table_NFI[[#This Row],[Jerry Can]],Table_NFI[Jerry Can])</f>
        <v>0</v>
      </c>
      <c r="AO928" s="331">
        <f>IF(NFI_Expiration=1,IF($A928&lt;VLOOKUP(V$5,NFI,5,0),1,0)*Table_NFI[[#This Row],[Shelter Tool kit]],Table_NFI[Shelter Tool kit])</f>
        <v>0</v>
      </c>
      <c r="AP928" s="331">
        <f>IF(NFI_Expiration=1,IF($A928&lt;VLOOKUP(V$5,NFI,5,0),1,0)*Table_NFI[[#This Row],[Tent]],Table_NFI[Tent])</f>
        <v>0</v>
      </c>
      <c r="AQ928" s="473" t="str">
        <f>IFERROR(VLOOKUP(Table_NFI[[#This Row],[Camp Name]],CL,2,0),"")</f>
        <v>MMR001CMP020</v>
      </c>
      <c r="AR928" s="468">
        <f ca="1">IF(Table_NFI[[#This Row],[Pcode]]="","",IF(OFFSET(CampList[Opening Date],MATCH(Table_NFI[[#This Row],[Pcode]],CampList[CP_Pcode],0)-1,0,1,1)&gt;=NFI_Monitor_Date,1,0))</f>
        <v>0</v>
      </c>
      <c r="AS928" s="473" t="str">
        <f>IFERROR(VLOOKUP(Table_NFI[[#This Row],[Camp Name]],CL,3,0),"")</f>
        <v>Open</v>
      </c>
      <c r="AT928" s="294" t="str">
        <f ca="1">IF(Table_NFI[[#This Row],[Pcode]]="","",OFFSET(CampList[Priority],MATCH(Table_NFI[[#This Row],[Pcode]],CampList[CP_Pcode],0)-1,0,1,1))</f>
        <v>P4</v>
      </c>
      <c r="AU928" s="293">
        <f>IFERROR(Table_NFI[[#This Row],[Kitchen Set]]/VLOOKUP(Table_NFI[[#This Row],[Camp Name]],CL,4,0),"")</f>
        <v>0</v>
      </c>
      <c r="AV928" s="466" t="s">
        <v>1092</v>
      </c>
      <c r="AW928" s="469"/>
    </row>
    <row r="929" spans="1:49" ht="14.45" customHeight="1" x14ac:dyDescent="0.25">
      <c r="A929" s="297">
        <f t="shared" si="14"/>
        <v>52.266666666666666</v>
      </c>
      <c r="B929" s="465">
        <v>41107</v>
      </c>
      <c r="C929" s="466" t="s">
        <v>452</v>
      </c>
      <c r="D929" s="467" t="s">
        <v>452</v>
      </c>
      <c r="E929" s="466" t="s">
        <v>380</v>
      </c>
      <c r="F929" s="290" t="s">
        <v>237</v>
      </c>
      <c r="G929" s="290" t="s">
        <v>263</v>
      </c>
      <c r="H929" s="291"/>
      <c r="I929" s="291"/>
      <c r="J929" s="291"/>
      <c r="K929" s="291">
        <v>19</v>
      </c>
      <c r="L929" s="292">
        <v>19</v>
      </c>
      <c r="M929" s="292">
        <v>19</v>
      </c>
      <c r="N929" s="292">
        <v>19</v>
      </c>
      <c r="O929" s="292">
        <v>19</v>
      </c>
      <c r="P929" s="294">
        <v>19</v>
      </c>
      <c r="Q929" s="294">
        <v>19</v>
      </c>
      <c r="R929" s="294"/>
      <c r="S929" s="294"/>
      <c r="T929" s="294"/>
      <c r="U929" s="294"/>
      <c r="V929" s="431"/>
      <c r="W929" s="294"/>
      <c r="X929" s="294"/>
      <c r="Y929" s="294">
        <f>IF(NFI_Expiration=1,IF($A929&lt;VLOOKUP(H$5,NFI,5,0),1,0)*Table_NFI[[#This Row],[Hygiene Kit]],Table_NFI[Hygiene Kit])</f>
        <v>0</v>
      </c>
      <c r="Z929" s="294">
        <f>IF(NFI_Expiration=1,IF($A929&lt;VLOOKUP(I$5,NFI,5,0),1,0)*Table_NFI[[#This Row],[NFI Core Kit]],Table_NFI[NFI Core Kit])</f>
        <v>0</v>
      </c>
      <c r="AA929" s="294">
        <f>IF(NFI_Expiration=1,IF($A929&lt;VLOOKUP(J$5,NFI,5,0),1,0)*Table_NFI[[#This Row],[Sanitary Kit]],Table_NFI[Sanitary Kit])</f>
        <v>0</v>
      </c>
      <c r="AB929" s="294">
        <f>IF(NFI_Expiration=1,IF($A929&lt;VLOOKUP(K$5,NFI,5,0),1,0)*Table_NFI[[#This Row],[Mosquito net]],Table_NFI[Mosquito net])</f>
        <v>0</v>
      </c>
      <c r="AC929" s="294">
        <f>IF(NFI_Expiration=1,IF($A929&lt;VLOOKUP(L$5,NFI,5,0),1,0)*Table_NFI[[#This Row],[Tarpaulin]],Table_NFI[[#This Row],[Tarpaulin]])</f>
        <v>0</v>
      </c>
      <c r="AD929" s="294">
        <f>IF(NFI_Expiration=1,IF($A929&lt;VLOOKUP(M$5,NFI,5,0),1,0)*Table_NFI[[#This Row],[Blanket]],Table_NFI[[#This Row],[Blanket]])</f>
        <v>0</v>
      </c>
      <c r="AE929" s="294">
        <f>IF(NFI_Expiration=1,IF($A929&lt;VLOOKUP(N$5,NFI,5,0),1,0)*Table_NFI[[#This Row],[Kitchen Set]],Table_NFI[Kitchen Set])</f>
        <v>0</v>
      </c>
      <c r="AF929" s="294">
        <f>IF(NFI_Expiration=1,IF($A929&lt;VLOOKUP(O$5,NFI,5,0),1,0)*Table_NFI[[#This Row],[Clothes Kit]],Table_NFI[Clothes Kit])</f>
        <v>0</v>
      </c>
      <c r="AG929" s="294">
        <f>IF(NFI_Expiration=1,IF($A929&lt;VLOOKUP(P$5,NFI,5,0),1,0)*Table_NFI[[#This Row],[Plastic Bucket]],Table_NFI[Plastic Bucket])</f>
        <v>0</v>
      </c>
      <c r="AH929" s="294">
        <f>IF(NFI_Expiration=1,IF($A929&lt;VLOOKUP(Q$5,NFI,5,0),1,0)*Table_NFI[[#This Row],[Plastic Mat]],Table_NFI[Plastic Mat])*IF(Table_NFI[[#This Row],[Distribution Date]]&gt;"2014-04-01",1,2.5)</f>
        <v>0</v>
      </c>
      <c r="AI929" s="294">
        <f>IF(NFI_Expiration=1,IF($A929&lt;VLOOKUP(R$5,NFI,5,0),1,0)*Table_NFI[[#This Row],[Winter Clothes Adult]],Table_NFI[Winter Clothes Adult])</f>
        <v>0</v>
      </c>
      <c r="AJ929" s="294">
        <f>IF(NFI_Expiration=1,IF($A929&lt;VLOOKUP(S$5,NFI,5,0),1,0)*Table_NFI[[#This Row],[Winter Clothes Children]],Table_NFI[Winter Clothes Children])</f>
        <v>0</v>
      </c>
      <c r="AK929" s="294">
        <f>IF(NFI_Expiration=1,IF($A929&lt;VLOOKUP(T$5,NFI,5,0),1,0)*Table_NFI[[#This Row],[Winter Items Other]],Table_NFI[Winter Items Other])</f>
        <v>0</v>
      </c>
      <c r="AL929" s="294">
        <f>IF(NFI_Expiration=1,IF($A929&lt;VLOOKUP(M$5,NFI,5,0),1,0)*Table_NFI[[#This Row],[Winter Blanket]],Table_NFI[[#This Row],[Winter Blanket]])</f>
        <v>0</v>
      </c>
      <c r="AM929" s="294">
        <f>IF(Table_NFI[[#This Row],[Winter Clothes Adult]]+Table_NFI[[#This Row],[Winter Clothes Children]]+Table_NFI[[#This Row],[Winter Items Other]]+Table_NFI[[#This Row],[Winter Blanket]]&gt;0,1,0)</f>
        <v>0</v>
      </c>
      <c r="AN929" s="331">
        <f>IF(NFI_Expiration=1,IF($A929&lt;VLOOKUP(V$5,NFI,5,0),1,0)*Table_NFI[[#This Row],[Jerry Can]],Table_NFI[Jerry Can])</f>
        <v>0</v>
      </c>
      <c r="AO929" s="331">
        <f>IF(NFI_Expiration=1,IF($A929&lt;VLOOKUP(V$5,NFI,5,0),1,0)*Table_NFI[[#This Row],[Shelter Tool kit]],Table_NFI[Shelter Tool kit])</f>
        <v>0</v>
      </c>
      <c r="AP929" s="331">
        <f>IF(NFI_Expiration=1,IF($A929&lt;VLOOKUP(V$5,NFI,5,0),1,0)*Table_NFI[[#This Row],[Tent]],Table_NFI[Tent])</f>
        <v>0</v>
      </c>
      <c r="AQ929" s="473" t="str">
        <f>IFERROR(VLOOKUP(Table_NFI[[#This Row],[Camp Name]],CL,2,0),"")</f>
        <v>MMR001CMP020</v>
      </c>
      <c r="AR929" s="468">
        <f ca="1">IF(Table_NFI[[#This Row],[Pcode]]="","",IF(OFFSET(CampList[Opening Date],MATCH(Table_NFI[[#This Row],[Pcode]],CampList[CP_Pcode],0)-1,0,1,1)&gt;=NFI_Monitor_Date,1,0))</f>
        <v>0</v>
      </c>
      <c r="AS929" s="473" t="str">
        <f>IFERROR(VLOOKUP(Table_NFI[[#This Row],[Camp Name]],CL,3,0),"")</f>
        <v>Open</v>
      </c>
      <c r="AT929" s="294" t="str">
        <f ca="1">IF(Table_NFI[[#This Row],[Pcode]]="","",OFFSET(CampList[Priority],MATCH(Table_NFI[[#This Row],[Pcode]],CampList[CP_Pcode],0)-1,0,1,1))</f>
        <v>P4</v>
      </c>
      <c r="AU929" s="293">
        <f>IFERROR(Table_NFI[[#This Row],[Kitchen Set]]/VLOOKUP(Table_NFI[[#This Row],[Camp Name]],CL,4,0),"")</f>
        <v>0.90476190476190477</v>
      </c>
      <c r="AV929" s="466" t="s">
        <v>1092</v>
      </c>
      <c r="AW929" s="469"/>
    </row>
    <row r="930" spans="1:49" ht="14.45" customHeight="1" x14ac:dyDescent="0.25">
      <c r="A930" s="297">
        <f t="shared" si="14"/>
        <v>52.266666666666666</v>
      </c>
      <c r="B930" s="465">
        <v>41107</v>
      </c>
      <c r="C930" s="466" t="s">
        <v>452</v>
      </c>
      <c r="D930" s="467" t="s">
        <v>452</v>
      </c>
      <c r="E930" s="466" t="s">
        <v>380</v>
      </c>
      <c r="F930" s="290" t="s">
        <v>310</v>
      </c>
      <c r="G930" s="290" t="s">
        <v>1246</v>
      </c>
      <c r="H930" s="291"/>
      <c r="I930" s="291"/>
      <c r="J930" s="291"/>
      <c r="K930" s="291">
        <v>0</v>
      </c>
      <c r="L930" s="292">
        <v>0</v>
      </c>
      <c r="M930" s="292">
        <v>0</v>
      </c>
      <c r="N930" s="292">
        <v>0</v>
      </c>
      <c r="O930" s="292">
        <v>0</v>
      </c>
      <c r="P930" s="294"/>
      <c r="Q930" s="294"/>
      <c r="R930" s="294"/>
      <c r="S930" s="294"/>
      <c r="T930" s="294"/>
      <c r="U930" s="294"/>
      <c r="V930" s="431"/>
      <c r="W930" s="294"/>
      <c r="X930" s="294"/>
      <c r="Y930" s="294">
        <f>IF(NFI_Expiration=1,IF($A930&lt;VLOOKUP(H$5,NFI,5,0),1,0)*Table_NFI[[#This Row],[Hygiene Kit]],Table_NFI[Hygiene Kit])</f>
        <v>0</v>
      </c>
      <c r="Z930" s="294">
        <f>IF(NFI_Expiration=1,IF($A930&lt;VLOOKUP(I$5,NFI,5,0),1,0)*Table_NFI[[#This Row],[NFI Core Kit]],Table_NFI[NFI Core Kit])</f>
        <v>0</v>
      </c>
      <c r="AA930" s="294">
        <f>IF(NFI_Expiration=1,IF($A930&lt;VLOOKUP(J$5,NFI,5,0),1,0)*Table_NFI[[#This Row],[Sanitary Kit]],Table_NFI[Sanitary Kit])</f>
        <v>0</v>
      </c>
      <c r="AB930" s="294">
        <f>IF(NFI_Expiration=1,IF($A930&lt;VLOOKUP(K$5,NFI,5,0),1,0)*Table_NFI[[#This Row],[Mosquito net]],Table_NFI[Mosquito net])</f>
        <v>0</v>
      </c>
      <c r="AC930" s="294">
        <f>IF(NFI_Expiration=1,IF($A930&lt;VLOOKUP(L$5,NFI,5,0),1,0)*Table_NFI[[#This Row],[Tarpaulin]],Table_NFI[[#This Row],[Tarpaulin]])</f>
        <v>0</v>
      </c>
      <c r="AD930" s="294">
        <f>IF(NFI_Expiration=1,IF($A930&lt;VLOOKUP(M$5,NFI,5,0),1,0)*Table_NFI[[#This Row],[Blanket]],Table_NFI[[#This Row],[Blanket]])</f>
        <v>0</v>
      </c>
      <c r="AE930" s="294">
        <f>IF(NFI_Expiration=1,IF($A930&lt;VLOOKUP(N$5,NFI,5,0),1,0)*Table_NFI[[#This Row],[Kitchen Set]],Table_NFI[Kitchen Set])</f>
        <v>0</v>
      </c>
      <c r="AF930" s="294">
        <f>IF(NFI_Expiration=1,IF($A930&lt;VLOOKUP(O$5,NFI,5,0),1,0)*Table_NFI[[#This Row],[Clothes Kit]],Table_NFI[Clothes Kit])</f>
        <v>0</v>
      </c>
      <c r="AG930" s="294">
        <f>IF(NFI_Expiration=1,IF($A930&lt;VLOOKUP(P$5,NFI,5,0),1,0)*Table_NFI[[#This Row],[Plastic Bucket]],Table_NFI[Plastic Bucket])</f>
        <v>0</v>
      </c>
      <c r="AH930" s="294">
        <f>IF(NFI_Expiration=1,IF($A930&lt;VLOOKUP(Q$5,NFI,5,0),1,0)*Table_NFI[[#This Row],[Plastic Mat]],Table_NFI[Plastic Mat])*IF(Table_NFI[[#This Row],[Distribution Date]]&gt;"2014-04-01",1,2.5)</f>
        <v>0</v>
      </c>
      <c r="AI930" s="294">
        <f>IF(NFI_Expiration=1,IF($A930&lt;VLOOKUP(R$5,NFI,5,0),1,0)*Table_NFI[[#This Row],[Winter Clothes Adult]],Table_NFI[Winter Clothes Adult])</f>
        <v>0</v>
      </c>
      <c r="AJ930" s="294">
        <f>IF(NFI_Expiration=1,IF($A930&lt;VLOOKUP(S$5,NFI,5,0),1,0)*Table_NFI[[#This Row],[Winter Clothes Children]],Table_NFI[Winter Clothes Children])</f>
        <v>0</v>
      </c>
      <c r="AK930" s="294">
        <f>IF(NFI_Expiration=1,IF($A930&lt;VLOOKUP(T$5,NFI,5,0),1,0)*Table_NFI[[#This Row],[Winter Items Other]],Table_NFI[Winter Items Other])</f>
        <v>0</v>
      </c>
      <c r="AL930" s="294">
        <f>IF(NFI_Expiration=1,IF($A930&lt;VLOOKUP(M$5,NFI,5,0),1,0)*Table_NFI[[#This Row],[Winter Blanket]],Table_NFI[[#This Row],[Winter Blanket]])</f>
        <v>0</v>
      </c>
      <c r="AM930" s="294">
        <f>IF(Table_NFI[[#This Row],[Winter Clothes Adult]]+Table_NFI[[#This Row],[Winter Clothes Children]]+Table_NFI[[#This Row],[Winter Items Other]]+Table_NFI[[#This Row],[Winter Blanket]]&gt;0,1,0)</f>
        <v>0</v>
      </c>
      <c r="AN930" s="331">
        <f>IF(NFI_Expiration=1,IF($A930&lt;VLOOKUP(V$5,NFI,5,0),1,0)*Table_NFI[[#This Row],[Jerry Can]],Table_NFI[Jerry Can])</f>
        <v>0</v>
      </c>
      <c r="AO930" s="331">
        <f>IF(NFI_Expiration=1,IF($A930&lt;VLOOKUP(V$5,NFI,5,0),1,0)*Table_NFI[[#This Row],[Shelter Tool kit]],Table_NFI[Shelter Tool kit])</f>
        <v>0</v>
      </c>
      <c r="AP930" s="331">
        <f>IF(NFI_Expiration=1,IF($A930&lt;VLOOKUP(V$5,NFI,5,0),1,0)*Table_NFI[[#This Row],[Tent]],Table_NFI[Tent])</f>
        <v>0</v>
      </c>
      <c r="AQ930" s="473" t="str">
        <f>IFERROR(VLOOKUP(Table_NFI[[#This Row],[Camp Name]],CL,2,0),"")</f>
        <v>MMR001CMP035</v>
      </c>
      <c r="AR930" s="468">
        <f ca="1">IF(Table_NFI[[#This Row],[Pcode]]="","",IF(OFFSET(CampList[Opening Date],MATCH(Table_NFI[[#This Row],[Pcode]],CampList[CP_Pcode],0)-1,0,1,1)&gt;=NFI_Monitor_Date,1,0))</f>
        <v>0</v>
      </c>
      <c r="AS930" s="473" t="str">
        <f>IFERROR(VLOOKUP(Table_NFI[[#This Row],[Camp Name]],CL,3,0),"")</f>
        <v>Closed</v>
      </c>
      <c r="AT930" s="294" t="str">
        <f ca="1">IF(Table_NFI[[#This Row],[Pcode]]="","",OFFSET(CampList[Priority],MATCH(Table_NFI[[#This Row],[Pcode]],CampList[CP_Pcode],0)-1,0,1,1))</f>
        <v/>
      </c>
      <c r="AU930" s="293" t="str">
        <f>IFERROR(Table_NFI[[#This Row],[Kitchen Set]]/VLOOKUP(Table_NFI[[#This Row],[Camp Name]],CL,4,0),"")</f>
        <v/>
      </c>
      <c r="AV930" s="466" t="s">
        <v>1092</v>
      </c>
      <c r="AW930" s="469"/>
    </row>
    <row r="931" spans="1:49" ht="14.45" customHeight="1" x14ac:dyDescent="0.25">
      <c r="A931" s="297">
        <f t="shared" si="14"/>
        <v>52.266666666666666</v>
      </c>
      <c r="B931" s="465">
        <v>41107</v>
      </c>
      <c r="C931" s="466" t="s">
        <v>452</v>
      </c>
      <c r="D931" s="467" t="s">
        <v>452</v>
      </c>
      <c r="E931" s="466" t="s">
        <v>380</v>
      </c>
      <c r="F931" s="290" t="s">
        <v>237</v>
      </c>
      <c r="G931" s="290" t="s">
        <v>271</v>
      </c>
      <c r="H931" s="291"/>
      <c r="I931" s="291"/>
      <c r="J931" s="291"/>
      <c r="K931" s="291">
        <v>6</v>
      </c>
      <c r="L931" s="292">
        <v>6</v>
      </c>
      <c r="M931" s="292">
        <v>6</v>
      </c>
      <c r="N931" s="292">
        <v>6</v>
      </c>
      <c r="O931" s="292">
        <v>6</v>
      </c>
      <c r="P931" s="294">
        <v>6</v>
      </c>
      <c r="Q931" s="294">
        <v>6</v>
      </c>
      <c r="R931" s="294"/>
      <c r="S931" s="294"/>
      <c r="T931" s="294"/>
      <c r="U931" s="294"/>
      <c r="V931" s="431"/>
      <c r="W931" s="294"/>
      <c r="X931" s="294"/>
      <c r="Y931" s="294">
        <f>IF(NFI_Expiration=1,IF($A931&lt;VLOOKUP(H$5,NFI,5,0),1,0)*Table_NFI[[#This Row],[Hygiene Kit]],Table_NFI[Hygiene Kit])</f>
        <v>0</v>
      </c>
      <c r="Z931" s="294">
        <f>IF(NFI_Expiration=1,IF($A931&lt;VLOOKUP(I$5,NFI,5,0),1,0)*Table_NFI[[#This Row],[NFI Core Kit]],Table_NFI[NFI Core Kit])</f>
        <v>0</v>
      </c>
      <c r="AA931" s="294">
        <f>IF(NFI_Expiration=1,IF($A931&lt;VLOOKUP(J$5,NFI,5,0),1,0)*Table_NFI[[#This Row],[Sanitary Kit]],Table_NFI[Sanitary Kit])</f>
        <v>0</v>
      </c>
      <c r="AB931" s="294">
        <f>IF(NFI_Expiration=1,IF($A931&lt;VLOOKUP(K$5,NFI,5,0),1,0)*Table_NFI[[#This Row],[Mosquito net]],Table_NFI[Mosquito net])</f>
        <v>0</v>
      </c>
      <c r="AC931" s="294">
        <f>IF(NFI_Expiration=1,IF($A931&lt;VLOOKUP(L$5,NFI,5,0),1,0)*Table_NFI[[#This Row],[Tarpaulin]],Table_NFI[[#This Row],[Tarpaulin]])</f>
        <v>0</v>
      </c>
      <c r="AD931" s="294">
        <f>IF(NFI_Expiration=1,IF($A931&lt;VLOOKUP(M$5,NFI,5,0),1,0)*Table_NFI[[#This Row],[Blanket]],Table_NFI[[#This Row],[Blanket]])</f>
        <v>0</v>
      </c>
      <c r="AE931" s="294">
        <f>IF(NFI_Expiration=1,IF($A931&lt;VLOOKUP(N$5,NFI,5,0),1,0)*Table_NFI[[#This Row],[Kitchen Set]],Table_NFI[Kitchen Set])</f>
        <v>0</v>
      </c>
      <c r="AF931" s="294">
        <f>IF(NFI_Expiration=1,IF($A931&lt;VLOOKUP(O$5,NFI,5,0),1,0)*Table_NFI[[#This Row],[Clothes Kit]],Table_NFI[Clothes Kit])</f>
        <v>0</v>
      </c>
      <c r="AG931" s="294">
        <f>IF(NFI_Expiration=1,IF($A931&lt;VLOOKUP(P$5,NFI,5,0),1,0)*Table_NFI[[#This Row],[Plastic Bucket]],Table_NFI[Plastic Bucket])</f>
        <v>0</v>
      </c>
      <c r="AH931" s="294">
        <f>IF(NFI_Expiration=1,IF($A931&lt;VLOOKUP(Q$5,NFI,5,0),1,0)*Table_NFI[[#This Row],[Plastic Mat]],Table_NFI[Plastic Mat])*IF(Table_NFI[[#This Row],[Distribution Date]]&gt;"2014-04-01",1,2.5)</f>
        <v>0</v>
      </c>
      <c r="AI931" s="294">
        <f>IF(NFI_Expiration=1,IF($A931&lt;VLOOKUP(R$5,NFI,5,0),1,0)*Table_NFI[[#This Row],[Winter Clothes Adult]],Table_NFI[Winter Clothes Adult])</f>
        <v>0</v>
      </c>
      <c r="AJ931" s="294">
        <f>IF(NFI_Expiration=1,IF($A931&lt;VLOOKUP(S$5,NFI,5,0),1,0)*Table_NFI[[#This Row],[Winter Clothes Children]],Table_NFI[Winter Clothes Children])</f>
        <v>0</v>
      </c>
      <c r="AK931" s="294">
        <f>IF(NFI_Expiration=1,IF($A931&lt;VLOOKUP(T$5,NFI,5,0),1,0)*Table_NFI[[#This Row],[Winter Items Other]],Table_NFI[Winter Items Other])</f>
        <v>0</v>
      </c>
      <c r="AL931" s="294">
        <f>IF(NFI_Expiration=1,IF($A931&lt;VLOOKUP(M$5,NFI,5,0),1,0)*Table_NFI[[#This Row],[Winter Blanket]],Table_NFI[[#This Row],[Winter Blanket]])</f>
        <v>0</v>
      </c>
      <c r="AM931" s="294">
        <f>IF(Table_NFI[[#This Row],[Winter Clothes Adult]]+Table_NFI[[#This Row],[Winter Clothes Children]]+Table_NFI[[#This Row],[Winter Items Other]]+Table_NFI[[#This Row],[Winter Blanket]]&gt;0,1,0)</f>
        <v>0</v>
      </c>
      <c r="AN931" s="331">
        <f>IF(NFI_Expiration=1,IF($A931&lt;VLOOKUP(V$5,NFI,5,0),1,0)*Table_NFI[[#This Row],[Jerry Can]],Table_NFI[Jerry Can])</f>
        <v>0</v>
      </c>
      <c r="AO931" s="331">
        <f>IF(NFI_Expiration=1,IF($A931&lt;VLOOKUP(V$5,NFI,5,0),1,0)*Table_NFI[[#This Row],[Shelter Tool kit]],Table_NFI[Shelter Tool kit])</f>
        <v>0</v>
      </c>
      <c r="AP931" s="331">
        <f>IF(NFI_Expiration=1,IF($A931&lt;VLOOKUP(V$5,NFI,5,0),1,0)*Table_NFI[[#This Row],[Tent]],Table_NFI[Tent])</f>
        <v>0</v>
      </c>
      <c r="AQ931" s="473" t="str">
        <f>IFERROR(VLOOKUP(Table_NFI[[#This Row],[Camp Name]],CL,2,0),"")</f>
        <v>MMR001CMP024</v>
      </c>
      <c r="AR931" s="468">
        <f ca="1">IF(Table_NFI[[#This Row],[Pcode]]="","",IF(OFFSET(CampList[Opening Date],MATCH(Table_NFI[[#This Row],[Pcode]],CampList[CP_Pcode],0)-1,0,1,1)&gt;=NFI_Monitor_Date,1,0))</f>
        <v>0</v>
      </c>
      <c r="AS931" s="473" t="str">
        <f>IFERROR(VLOOKUP(Table_NFI[[#This Row],[Camp Name]],CL,3,0),"")</f>
        <v>Open</v>
      </c>
      <c r="AT931" s="294" t="str">
        <f ca="1">IF(Table_NFI[[#This Row],[Pcode]]="","",OFFSET(CampList[Priority],MATCH(Table_NFI[[#This Row],[Pcode]],CampList[CP_Pcode],0)-1,0,1,1))</f>
        <v>P4</v>
      </c>
      <c r="AU931" s="293">
        <f>IFERROR(Table_NFI[[#This Row],[Kitchen Set]]/VLOOKUP(Table_NFI[[#This Row],[Camp Name]],CL,4,0),"")</f>
        <v>8.8235294117647065E-2</v>
      </c>
      <c r="AV931" s="466" t="s">
        <v>1092</v>
      </c>
      <c r="AW931" s="469"/>
    </row>
    <row r="932" spans="1:49" ht="14.45" customHeight="1" x14ac:dyDescent="0.25">
      <c r="A932" s="297">
        <f t="shared" si="14"/>
        <v>52.266666666666666</v>
      </c>
      <c r="B932" s="465">
        <v>41107</v>
      </c>
      <c r="C932" s="466" t="s">
        <v>452</v>
      </c>
      <c r="D932" s="467" t="s">
        <v>452</v>
      </c>
      <c r="E932" s="466" t="s">
        <v>380</v>
      </c>
      <c r="F932" s="290" t="s">
        <v>185</v>
      </c>
      <c r="G932" s="290" t="s">
        <v>219</v>
      </c>
      <c r="H932" s="291"/>
      <c r="I932" s="291"/>
      <c r="J932" s="291"/>
      <c r="K932" s="291">
        <v>0</v>
      </c>
      <c r="L932" s="292">
        <v>0</v>
      </c>
      <c r="M932" s="292">
        <v>0</v>
      </c>
      <c r="N932" s="292">
        <v>0</v>
      </c>
      <c r="O932" s="292">
        <v>0</v>
      </c>
      <c r="P932" s="294"/>
      <c r="Q932" s="294"/>
      <c r="R932" s="294"/>
      <c r="S932" s="294"/>
      <c r="T932" s="294"/>
      <c r="U932" s="294"/>
      <c r="V932" s="431"/>
      <c r="W932" s="294"/>
      <c r="X932" s="294"/>
      <c r="Y932" s="294">
        <f>IF(NFI_Expiration=1,IF($A932&lt;VLOOKUP(H$5,NFI,5,0),1,0)*Table_NFI[[#This Row],[Hygiene Kit]],Table_NFI[Hygiene Kit])</f>
        <v>0</v>
      </c>
      <c r="Z932" s="294">
        <f>IF(NFI_Expiration=1,IF($A932&lt;VLOOKUP(I$5,NFI,5,0),1,0)*Table_NFI[[#This Row],[NFI Core Kit]],Table_NFI[NFI Core Kit])</f>
        <v>0</v>
      </c>
      <c r="AA932" s="294">
        <f>IF(NFI_Expiration=1,IF($A932&lt;VLOOKUP(J$5,NFI,5,0),1,0)*Table_NFI[[#This Row],[Sanitary Kit]],Table_NFI[Sanitary Kit])</f>
        <v>0</v>
      </c>
      <c r="AB932" s="294">
        <f>IF(NFI_Expiration=1,IF($A932&lt;VLOOKUP(K$5,NFI,5,0),1,0)*Table_NFI[[#This Row],[Mosquito net]],Table_NFI[Mosquito net])</f>
        <v>0</v>
      </c>
      <c r="AC932" s="294">
        <f>IF(NFI_Expiration=1,IF($A932&lt;VLOOKUP(L$5,NFI,5,0),1,0)*Table_NFI[[#This Row],[Tarpaulin]],Table_NFI[[#This Row],[Tarpaulin]])</f>
        <v>0</v>
      </c>
      <c r="AD932" s="294">
        <f>IF(NFI_Expiration=1,IF($A932&lt;VLOOKUP(M$5,NFI,5,0),1,0)*Table_NFI[[#This Row],[Blanket]],Table_NFI[[#This Row],[Blanket]])</f>
        <v>0</v>
      </c>
      <c r="AE932" s="294">
        <f>IF(NFI_Expiration=1,IF($A932&lt;VLOOKUP(N$5,NFI,5,0),1,0)*Table_NFI[[#This Row],[Kitchen Set]],Table_NFI[Kitchen Set])</f>
        <v>0</v>
      </c>
      <c r="AF932" s="294">
        <f>IF(NFI_Expiration=1,IF($A932&lt;VLOOKUP(O$5,NFI,5,0),1,0)*Table_NFI[[#This Row],[Clothes Kit]],Table_NFI[Clothes Kit])</f>
        <v>0</v>
      </c>
      <c r="AG932" s="294">
        <f>IF(NFI_Expiration=1,IF($A932&lt;VLOOKUP(P$5,NFI,5,0),1,0)*Table_NFI[[#This Row],[Plastic Bucket]],Table_NFI[Plastic Bucket])</f>
        <v>0</v>
      </c>
      <c r="AH932" s="294">
        <f>IF(NFI_Expiration=1,IF($A932&lt;VLOOKUP(Q$5,NFI,5,0),1,0)*Table_NFI[[#This Row],[Plastic Mat]],Table_NFI[Plastic Mat])*IF(Table_NFI[[#This Row],[Distribution Date]]&gt;"2014-04-01",1,2.5)</f>
        <v>0</v>
      </c>
      <c r="AI932" s="294">
        <f>IF(NFI_Expiration=1,IF($A932&lt;VLOOKUP(R$5,NFI,5,0),1,0)*Table_NFI[[#This Row],[Winter Clothes Adult]],Table_NFI[Winter Clothes Adult])</f>
        <v>0</v>
      </c>
      <c r="AJ932" s="294">
        <f>IF(NFI_Expiration=1,IF($A932&lt;VLOOKUP(S$5,NFI,5,0),1,0)*Table_NFI[[#This Row],[Winter Clothes Children]],Table_NFI[Winter Clothes Children])</f>
        <v>0</v>
      </c>
      <c r="AK932" s="294">
        <f>IF(NFI_Expiration=1,IF($A932&lt;VLOOKUP(T$5,NFI,5,0),1,0)*Table_NFI[[#This Row],[Winter Items Other]],Table_NFI[Winter Items Other])</f>
        <v>0</v>
      </c>
      <c r="AL932" s="294">
        <f>IF(NFI_Expiration=1,IF($A932&lt;VLOOKUP(M$5,NFI,5,0),1,0)*Table_NFI[[#This Row],[Winter Blanket]],Table_NFI[[#This Row],[Winter Blanket]])</f>
        <v>0</v>
      </c>
      <c r="AM932" s="294">
        <f>IF(Table_NFI[[#This Row],[Winter Clothes Adult]]+Table_NFI[[#This Row],[Winter Clothes Children]]+Table_NFI[[#This Row],[Winter Items Other]]+Table_NFI[[#This Row],[Winter Blanket]]&gt;0,1,0)</f>
        <v>0</v>
      </c>
      <c r="AN932" s="331">
        <f>IF(NFI_Expiration=1,IF($A932&lt;VLOOKUP(V$5,NFI,5,0),1,0)*Table_NFI[[#This Row],[Jerry Can]],Table_NFI[Jerry Can])</f>
        <v>0</v>
      </c>
      <c r="AO932" s="331">
        <f>IF(NFI_Expiration=1,IF($A932&lt;VLOOKUP(V$5,NFI,5,0),1,0)*Table_NFI[[#This Row],[Shelter Tool kit]],Table_NFI[Shelter Tool kit])</f>
        <v>0</v>
      </c>
      <c r="AP932" s="331">
        <f>IF(NFI_Expiration=1,IF($A932&lt;VLOOKUP(V$5,NFI,5,0),1,0)*Table_NFI[[#This Row],[Tent]],Table_NFI[Tent])</f>
        <v>0</v>
      </c>
      <c r="AQ932" s="473" t="str">
        <f>IFERROR(VLOOKUP(Table_NFI[[#This Row],[Camp Name]],CL,2,0),"")</f>
        <v>MMR001CMP126</v>
      </c>
      <c r="AR932" s="468">
        <f ca="1">IF(Table_NFI[[#This Row],[Pcode]]="","",IF(OFFSET(CampList[Opening Date],MATCH(Table_NFI[[#This Row],[Pcode]],CampList[CP_Pcode],0)-1,0,1,1)&gt;=NFI_Monitor_Date,1,0))</f>
        <v>0</v>
      </c>
      <c r="AS932" s="473" t="str">
        <f>IFERROR(VLOOKUP(Table_NFI[[#This Row],[Camp Name]],CL,3,0),"")</f>
        <v>Open</v>
      </c>
      <c r="AT932" s="294" t="str">
        <f ca="1">IF(Table_NFI[[#This Row],[Pcode]]="","",OFFSET(CampList[Priority],MATCH(Table_NFI[[#This Row],[Pcode]],CampList[CP_Pcode],0)-1,0,1,1))</f>
        <v>P2</v>
      </c>
      <c r="AU932" s="293">
        <f>IFERROR(Table_NFI[[#This Row],[Kitchen Set]]/VLOOKUP(Table_NFI[[#This Row],[Camp Name]],CL,4,0),"")</f>
        <v>0</v>
      </c>
      <c r="AV932" s="466" t="s">
        <v>1092</v>
      </c>
      <c r="AW932" s="469"/>
    </row>
    <row r="933" spans="1:49" ht="14.45" customHeight="1" x14ac:dyDescent="0.25">
      <c r="A933" s="297">
        <f t="shared" si="14"/>
        <v>52.266666666666666</v>
      </c>
      <c r="B933" s="465">
        <v>41107</v>
      </c>
      <c r="C933" s="466" t="s">
        <v>452</v>
      </c>
      <c r="D933" s="467" t="s">
        <v>452</v>
      </c>
      <c r="E933" s="466" t="s">
        <v>380</v>
      </c>
      <c r="F933" s="290" t="s">
        <v>185</v>
      </c>
      <c r="G933" s="290" t="s">
        <v>219</v>
      </c>
      <c r="H933" s="291"/>
      <c r="I933" s="291"/>
      <c r="J933" s="291"/>
      <c r="K933" s="291">
        <v>0</v>
      </c>
      <c r="L933" s="292">
        <v>0</v>
      </c>
      <c r="M933" s="292">
        <v>0</v>
      </c>
      <c r="N933" s="292">
        <v>0</v>
      </c>
      <c r="O933" s="292">
        <v>0</v>
      </c>
      <c r="P933" s="294"/>
      <c r="Q933" s="294"/>
      <c r="R933" s="294"/>
      <c r="S933" s="294"/>
      <c r="T933" s="294"/>
      <c r="U933" s="294"/>
      <c r="V933" s="431"/>
      <c r="W933" s="294"/>
      <c r="X933" s="294"/>
      <c r="Y933" s="294">
        <f>IF(NFI_Expiration=1,IF($A933&lt;VLOOKUP(H$5,NFI,5,0),1,0)*Table_NFI[[#This Row],[Hygiene Kit]],Table_NFI[Hygiene Kit])</f>
        <v>0</v>
      </c>
      <c r="Z933" s="294">
        <f>IF(NFI_Expiration=1,IF($A933&lt;VLOOKUP(I$5,NFI,5,0),1,0)*Table_NFI[[#This Row],[NFI Core Kit]],Table_NFI[NFI Core Kit])</f>
        <v>0</v>
      </c>
      <c r="AA933" s="294">
        <f>IF(NFI_Expiration=1,IF($A933&lt;VLOOKUP(J$5,NFI,5,0),1,0)*Table_NFI[[#This Row],[Sanitary Kit]],Table_NFI[Sanitary Kit])</f>
        <v>0</v>
      </c>
      <c r="AB933" s="294">
        <f>IF(NFI_Expiration=1,IF($A933&lt;VLOOKUP(K$5,NFI,5,0),1,0)*Table_NFI[[#This Row],[Mosquito net]],Table_NFI[Mosquito net])</f>
        <v>0</v>
      </c>
      <c r="AC933" s="294">
        <f>IF(NFI_Expiration=1,IF($A933&lt;VLOOKUP(L$5,NFI,5,0),1,0)*Table_NFI[[#This Row],[Tarpaulin]],Table_NFI[[#This Row],[Tarpaulin]])</f>
        <v>0</v>
      </c>
      <c r="AD933" s="294">
        <f>IF(NFI_Expiration=1,IF($A933&lt;VLOOKUP(M$5,NFI,5,0),1,0)*Table_NFI[[#This Row],[Blanket]],Table_NFI[[#This Row],[Blanket]])</f>
        <v>0</v>
      </c>
      <c r="AE933" s="294">
        <f>IF(NFI_Expiration=1,IF($A933&lt;VLOOKUP(N$5,NFI,5,0),1,0)*Table_NFI[[#This Row],[Kitchen Set]],Table_NFI[Kitchen Set])</f>
        <v>0</v>
      </c>
      <c r="AF933" s="294">
        <f>IF(NFI_Expiration=1,IF($A933&lt;VLOOKUP(O$5,NFI,5,0),1,0)*Table_NFI[[#This Row],[Clothes Kit]],Table_NFI[Clothes Kit])</f>
        <v>0</v>
      </c>
      <c r="AG933" s="294">
        <f>IF(NFI_Expiration=1,IF($A933&lt;VLOOKUP(P$5,NFI,5,0),1,0)*Table_NFI[[#This Row],[Plastic Bucket]],Table_NFI[Plastic Bucket])</f>
        <v>0</v>
      </c>
      <c r="AH933" s="294">
        <f>IF(NFI_Expiration=1,IF($A933&lt;VLOOKUP(Q$5,NFI,5,0),1,0)*Table_NFI[[#This Row],[Plastic Mat]],Table_NFI[Plastic Mat])*IF(Table_NFI[[#This Row],[Distribution Date]]&gt;"2014-04-01",1,2.5)</f>
        <v>0</v>
      </c>
      <c r="AI933" s="294">
        <f>IF(NFI_Expiration=1,IF($A933&lt;VLOOKUP(R$5,NFI,5,0),1,0)*Table_NFI[[#This Row],[Winter Clothes Adult]],Table_NFI[Winter Clothes Adult])</f>
        <v>0</v>
      </c>
      <c r="AJ933" s="294">
        <f>IF(NFI_Expiration=1,IF($A933&lt;VLOOKUP(S$5,NFI,5,0),1,0)*Table_NFI[[#This Row],[Winter Clothes Children]],Table_NFI[Winter Clothes Children])</f>
        <v>0</v>
      </c>
      <c r="AK933" s="294">
        <f>IF(NFI_Expiration=1,IF($A933&lt;VLOOKUP(T$5,NFI,5,0),1,0)*Table_NFI[[#This Row],[Winter Items Other]],Table_NFI[Winter Items Other])</f>
        <v>0</v>
      </c>
      <c r="AL933" s="294">
        <f>IF(NFI_Expiration=1,IF($A933&lt;VLOOKUP(M$5,NFI,5,0),1,0)*Table_NFI[[#This Row],[Winter Blanket]],Table_NFI[[#This Row],[Winter Blanket]])</f>
        <v>0</v>
      </c>
      <c r="AM933" s="294">
        <f>IF(Table_NFI[[#This Row],[Winter Clothes Adult]]+Table_NFI[[#This Row],[Winter Clothes Children]]+Table_NFI[[#This Row],[Winter Items Other]]+Table_NFI[[#This Row],[Winter Blanket]]&gt;0,1,0)</f>
        <v>0</v>
      </c>
      <c r="AN933" s="331">
        <f>IF(NFI_Expiration=1,IF($A933&lt;VLOOKUP(V$5,NFI,5,0),1,0)*Table_NFI[[#This Row],[Jerry Can]],Table_NFI[Jerry Can])</f>
        <v>0</v>
      </c>
      <c r="AO933" s="331">
        <f>IF(NFI_Expiration=1,IF($A933&lt;VLOOKUP(V$5,NFI,5,0),1,0)*Table_NFI[[#This Row],[Shelter Tool kit]],Table_NFI[Shelter Tool kit])</f>
        <v>0</v>
      </c>
      <c r="AP933" s="331">
        <f>IF(NFI_Expiration=1,IF($A933&lt;VLOOKUP(V$5,NFI,5,0),1,0)*Table_NFI[[#This Row],[Tent]],Table_NFI[Tent])</f>
        <v>0</v>
      </c>
      <c r="AQ933" s="473" t="str">
        <f>IFERROR(VLOOKUP(Table_NFI[[#This Row],[Camp Name]],CL,2,0),"")</f>
        <v>MMR001CMP126</v>
      </c>
      <c r="AR933" s="468">
        <f ca="1">IF(Table_NFI[[#This Row],[Pcode]]="","",IF(OFFSET(CampList[Opening Date],MATCH(Table_NFI[[#This Row],[Pcode]],CampList[CP_Pcode],0)-1,0,1,1)&gt;=NFI_Monitor_Date,1,0))</f>
        <v>0</v>
      </c>
      <c r="AS933" s="473" t="str">
        <f>IFERROR(VLOOKUP(Table_NFI[[#This Row],[Camp Name]],CL,3,0),"")</f>
        <v>Open</v>
      </c>
      <c r="AT933" s="294" t="str">
        <f ca="1">IF(Table_NFI[[#This Row],[Pcode]]="","",OFFSET(CampList[Priority],MATCH(Table_NFI[[#This Row],[Pcode]],CampList[CP_Pcode],0)-1,0,1,1))</f>
        <v>P2</v>
      </c>
      <c r="AU933" s="293">
        <f>IFERROR(Table_NFI[[#This Row],[Kitchen Set]]/VLOOKUP(Table_NFI[[#This Row],[Camp Name]],CL,4,0),"")</f>
        <v>0</v>
      </c>
      <c r="AV933" s="466" t="s">
        <v>1092</v>
      </c>
      <c r="AW933" s="469"/>
    </row>
    <row r="934" spans="1:49" ht="14.45" customHeight="1" x14ac:dyDescent="0.25">
      <c r="A934" s="297">
        <f t="shared" si="14"/>
        <v>52.266666666666666</v>
      </c>
      <c r="B934" s="465">
        <v>41107</v>
      </c>
      <c r="C934" s="466" t="s">
        <v>452</v>
      </c>
      <c r="D934" s="466" t="s">
        <v>452</v>
      </c>
      <c r="E934" s="466" t="s">
        <v>380</v>
      </c>
      <c r="F934" s="466" t="s">
        <v>237</v>
      </c>
      <c r="G934" s="290" t="s">
        <v>279</v>
      </c>
      <c r="H934" s="291"/>
      <c r="I934" s="291"/>
      <c r="J934" s="291"/>
      <c r="K934" s="291">
        <v>3</v>
      </c>
      <c r="L934" s="292">
        <v>3</v>
      </c>
      <c r="M934" s="292">
        <v>3</v>
      </c>
      <c r="N934" s="292">
        <v>3</v>
      </c>
      <c r="O934" s="292">
        <v>3</v>
      </c>
      <c r="P934" s="294">
        <v>3</v>
      </c>
      <c r="Q934" s="294">
        <v>3</v>
      </c>
      <c r="R934" s="294"/>
      <c r="S934" s="294"/>
      <c r="T934" s="294"/>
      <c r="U934" s="294"/>
      <c r="V934" s="431"/>
      <c r="W934" s="294"/>
      <c r="X934" s="294"/>
      <c r="Y934" s="294">
        <f>IF(NFI_Expiration=1,IF($A934&lt;VLOOKUP(H$5,NFI,5,0),1,0)*Table_NFI[[#This Row],[Hygiene Kit]],Table_NFI[Hygiene Kit])</f>
        <v>0</v>
      </c>
      <c r="Z934" s="294">
        <f>IF(NFI_Expiration=1,IF($A934&lt;VLOOKUP(I$5,NFI,5,0),1,0)*Table_NFI[[#This Row],[NFI Core Kit]],Table_NFI[NFI Core Kit])</f>
        <v>0</v>
      </c>
      <c r="AA934" s="294">
        <f>IF(NFI_Expiration=1,IF($A934&lt;VLOOKUP(J$5,NFI,5,0),1,0)*Table_NFI[[#This Row],[Sanitary Kit]],Table_NFI[Sanitary Kit])</f>
        <v>0</v>
      </c>
      <c r="AB934" s="294">
        <f>IF(NFI_Expiration=1,IF($A934&lt;VLOOKUP(K$5,NFI,5,0),1,0)*Table_NFI[[#This Row],[Mosquito net]],Table_NFI[Mosquito net])</f>
        <v>0</v>
      </c>
      <c r="AC934" s="294">
        <f>IF(NFI_Expiration=1,IF($A934&lt;VLOOKUP(L$5,NFI,5,0),1,0)*Table_NFI[[#This Row],[Tarpaulin]],Table_NFI[[#This Row],[Tarpaulin]])</f>
        <v>0</v>
      </c>
      <c r="AD934" s="294">
        <f>IF(NFI_Expiration=1,IF($A934&lt;VLOOKUP(M$5,NFI,5,0),1,0)*Table_NFI[[#This Row],[Blanket]],Table_NFI[[#This Row],[Blanket]])</f>
        <v>0</v>
      </c>
      <c r="AE934" s="294">
        <f>IF(NFI_Expiration=1,IF($A934&lt;VLOOKUP(N$5,NFI,5,0),1,0)*Table_NFI[[#This Row],[Kitchen Set]],Table_NFI[Kitchen Set])</f>
        <v>0</v>
      </c>
      <c r="AF934" s="294">
        <f>IF(NFI_Expiration=1,IF($A934&lt;VLOOKUP(O$5,NFI,5,0),1,0)*Table_NFI[[#This Row],[Clothes Kit]],Table_NFI[Clothes Kit])</f>
        <v>0</v>
      </c>
      <c r="AG934" s="294">
        <f>IF(NFI_Expiration=1,IF($A934&lt;VLOOKUP(P$5,NFI,5,0),1,0)*Table_NFI[[#This Row],[Plastic Bucket]],Table_NFI[Plastic Bucket])</f>
        <v>0</v>
      </c>
      <c r="AH934" s="294">
        <f>IF(NFI_Expiration=1,IF($A934&lt;VLOOKUP(Q$5,NFI,5,0),1,0)*Table_NFI[[#This Row],[Plastic Mat]],Table_NFI[Plastic Mat])*IF(Table_NFI[[#This Row],[Distribution Date]]&gt;"2014-04-01",1,2.5)</f>
        <v>0</v>
      </c>
      <c r="AI934" s="294">
        <f>IF(NFI_Expiration=1,IF($A934&lt;VLOOKUP(R$5,NFI,5,0),1,0)*Table_NFI[[#This Row],[Winter Clothes Adult]],Table_NFI[Winter Clothes Adult])</f>
        <v>0</v>
      </c>
      <c r="AJ934" s="294">
        <f>IF(NFI_Expiration=1,IF($A934&lt;VLOOKUP(S$5,NFI,5,0),1,0)*Table_NFI[[#This Row],[Winter Clothes Children]],Table_NFI[Winter Clothes Children])</f>
        <v>0</v>
      </c>
      <c r="AK934" s="294">
        <f>IF(NFI_Expiration=1,IF($A934&lt;VLOOKUP(T$5,NFI,5,0),1,0)*Table_NFI[[#This Row],[Winter Items Other]],Table_NFI[Winter Items Other])</f>
        <v>0</v>
      </c>
      <c r="AL934" s="294">
        <f>IF(NFI_Expiration=1,IF($A934&lt;VLOOKUP(M$5,NFI,5,0),1,0)*Table_NFI[[#This Row],[Winter Blanket]],Table_NFI[[#This Row],[Winter Blanket]])</f>
        <v>0</v>
      </c>
      <c r="AM934" s="294">
        <f>IF(Table_NFI[[#This Row],[Winter Clothes Adult]]+Table_NFI[[#This Row],[Winter Clothes Children]]+Table_NFI[[#This Row],[Winter Items Other]]+Table_NFI[[#This Row],[Winter Blanket]]&gt;0,1,0)</f>
        <v>0</v>
      </c>
      <c r="AN934" s="331">
        <f>IF(NFI_Expiration=1,IF($A934&lt;VLOOKUP(V$5,NFI,5,0),1,0)*Table_NFI[[#This Row],[Jerry Can]],Table_NFI[Jerry Can])</f>
        <v>0</v>
      </c>
      <c r="AO934" s="331">
        <f>IF(NFI_Expiration=1,IF($A934&lt;VLOOKUP(V$5,NFI,5,0),1,0)*Table_NFI[[#This Row],[Shelter Tool kit]],Table_NFI[Shelter Tool kit])</f>
        <v>0</v>
      </c>
      <c r="AP934" s="331">
        <f>IF(NFI_Expiration=1,IF($A934&lt;VLOOKUP(V$5,NFI,5,0),1,0)*Table_NFI[[#This Row],[Tent]],Table_NFI[Tent])</f>
        <v>0</v>
      </c>
      <c r="AQ934" s="473" t="str">
        <f>IFERROR(VLOOKUP(Table_NFI[[#This Row],[Camp Name]],CL,2,0),"")</f>
        <v>MMR001CMP007</v>
      </c>
      <c r="AR934" s="468">
        <f ca="1">IF(Table_NFI[[#This Row],[Pcode]]="","",IF(OFFSET(CampList[Opening Date],MATCH(Table_NFI[[#This Row],[Pcode]],CampList[CP_Pcode],0)-1,0,1,1)&gt;=NFI_Monitor_Date,1,0))</f>
        <v>0</v>
      </c>
      <c r="AS934" s="473" t="str">
        <f>IFERROR(VLOOKUP(Table_NFI[[#This Row],[Camp Name]],CL,3,0),"")</f>
        <v>Open</v>
      </c>
      <c r="AT934" s="294" t="str">
        <f ca="1">IF(Table_NFI[[#This Row],[Pcode]]="","",OFFSET(CampList[Priority],MATCH(Table_NFI[[#This Row],[Pcode]],CampList[CP_Pcode],0)-1,0,1,1))</f>
        <v>P4</v>
      </c>
      <c r="AU934" s="293">
        <f>IFERROR(Table_NFI[[#This Row],[Kitchen Set]]/VLOOKUP(Table_NFI[[#This Row],[Camp Name]],CL,4,0),"")</f>
        <v>0.13636363636363635</v>
      </c>
      <c r="AV934" s="466" t="s">
        <v>1092</v>
      </c>
      <c r="AW934" s="469"/>
    </row>
    <row r="935" spans="1:49" ht="14.45" customHeight="1" x14ac:dyDescent="0.25">
      <c r="A935" s="297">
        <f t="shared" si="14"/>
        <v>52.266666666666666</v>
      </c>
      <c r="B935" s="465">
        <v>41107</v>
      </c>
      <c r="C935" s="466" t="s">
        <v>452</v>
      </c>
      <c r="D935" s="467" t="s">
        <v>452</v>
      </c>
      <c r="E935" s="466" t="s">
        <v>380</v>
      </c>
      <c r="F935" s="290" t="s">
        <v>237</v>
      </c>
      <c r="G935" s="290" t="s">
        <v>251</v>
      </c>
      <c r="H935" s="291"/>
      <c r="I935" s="291"/>
      <c r="J935" s="291"/>
      <c r="K935" s="291">
        <v>7</v>
      </c>
      <c r="L935" s="292">
        <v>7</v>
      </c>
      <c r="M935" s="292">
        <v>7</v>
      </c>
      <c r="N935" s="292">
        <v>7</v>
      </c>
      <c r="O935" s="292">
        <v>7</v>
      </c>
      <c r="P935" s="294">
        <v>7</v>
      </c>
      <c r="Q935" s="294">
        <v>7</v>
      </c>
      <c r="R935" s="294"/>
      <c r="S935" s="294"/>
      <c r="T935" s="294"/>
      <c r="U935" s="294"/>
      <c r="V935" s="431"/>
      <c r="W935" s="294"/>
      <c r="X935" s="294"/>
      <c r="Y935" s="294">
        <f>IF(NFI_Expiration=1,IF($A935&lt;VLOOKUP(H$5,NFI,5,0),1,0)*Table_NFI[[#This Row],[Hygiene Kit]],Table_NFI[Hygiene Kit])</f>
        <v>0</v>
      </c>
      <c r="Z935" s="294">
        <f>IF(NFI_Expiration=1,IF($A935&lt;VLOOKUP(I$5,NFI,5,0),1,0)*Table_NFI[[#This Row],[NFI Core Kit]],Table_NFI[NFI Core Kit])</f>
        <v>0</v>
      </c>
      <c r="AA935" s="294">
        <f>IF(NFI_Expiration=1,IF($A935&lt;VLOOKUP(J$5,NFI,5,0),1,0)*Table_NFI[[#This Row],[Sanitary Kit]],Table_NFI[Sanitary Kit])</f>
        <v>0</v>
      </c>
      <c r="AB935" s="294">
        <f>IF(NFI_Expiration=1,IF($A935&lt;VLOOKUP(K$5,NFI,5,0),1,0)*Table_NFI[[#This Row],[Mosquito net]],Table_NFI[Mosquito net])</f>
        <v>0</v>
      </c>
      <c r="AC935" s="294">
        <f>IF(NFI_Expiration=1,IF($A935&lt;VLOOKUP(L$5,NFI,5,0),1,0)*Table_NFI[[#This Row],[Tarpaulin]],Table_NFI[[#This Row],[Tarpaulin]])</f>
        <v>0</v>
      </c>
      <c r="AD935" s="294">
        <f>IF(NFI_Expiration=1,IF($A935&lt;VLOOKUP(M$5,NFI,5,0),1,0)*Table_NFI[[#This Row],[Blanket]],Table_NFI[[#This Row],[Blanket]])</f>
        <v>0</v>
      </c>
      <c r="AE935" s="294">
        <f>IF(NFI_Expiration=1,IF($A935&lt;VLOOKUP(N$5,NFI,5,0),1,0)*Table_NFI[[#This Row],[Kitchen Set]],Table_NFI[Kitchen Set])</f>
        <v>0</v>
      </c>
      <c r="AF935" s="294">
        <f>IF(NFI_Expiration=1,IF($A935&lt;VLOOKUP(O$5,NFI,5,0),1,0)*Table_NFI[[#This Row],[Clothes Kit]],Table_NFI[Clothes Kit])</f>
        <v>0</v>
      </c>
      <c r="AG935" s="294">
        <f>IF(NFI_Expiration=1,IF($A935&lt;VLOOKUP(P$5,NFI,5,0),1,0)*Table_NFI[[#This Row],[Plastic Bucket]],Table_NFI[Plastic Bucket])</f>
        <v>0</v>
      </c>
      <c r="AH935" s="294">
        <f>IF(NFI_Expiration=1,IF($A935&lt;VLOOKUP(Q$5,NFI,5,0),1,0)*Table_NFI[[#This Row],[Plastic Mat]],Table_NFI[Plastic Mat])*IF(Table_NFI[[#This Row],[Distribution Date]]&gt;"2014-04-01",1,2.5)</f>
        <v>0</v>
      </c>
      <c r="AI935" s="294">
        <f>IF(NFI_Expiration=1,IF($A935&lt;VLOOKUP(R$5,NFI,5,0),1,0)*Table_NFI[[#This Row],[Winter Clothes Adult]],Table_NFI[Winter Clothes Adult])</f>
        <v>0</v>
      </c>
      <c r="AJ935" s="294">
        <f>IF(NFI_Expiration=1,IF($A935&lt;VLOOKUP(S$5,NFI,5,0),1,0)*Table_NFI[[#This Row],[Winter Clothes Children]],Table_NFI[Winter Clothes Children])</f>
        <v>0</v>
      </c>
      <c r="AK935" s="294">
        <f>IF(NFI_Expiration=1,IF($A935&lt;VLOOKUP(T$5,NFI,5,0),1,0)*Table_NFI[[#This Row],[Winter Items Other]],Table_NFI[Winter Items Other])</f>
        <v>0</v>
      </c>
      <c r="AL935" s="294">
        <f>IF(NFI_Expiration=1,IF($A935&lt;VLOOKUP(M$5,NFI,5,0),1,0)*Table_NFI[[#This Row],[Winter Blanket]],Table_NFI[[#This Row],[Winter Blanket]])</f>
        <v>0</v>
      </c>
      <c r="AM935" s="294">
        <f>IF(Table_NFI[[#This Row],[Winter Clothes Adult]]+Table_NFI[[#This Row],[Winter Clothes Children]]+Table_NFI[[#This Row],[Winter Items Other]]+Table_NFI[[#This Row],[Winter Blanket]]&gt;0,1,0)</f>
        <v>0</v>
      </c>
      <c r="AN935" s="331">
        <f>IF(NFI_Expiration=1,IF($A935&lt;VLOOKUP(V$5,NFI,5,0),1,0)*Table_NFI[[#This Row],[Jerry Can]],Table_NFI[Jerry Can])</f>
        <v>0</v>
      </c>
      <c r="AO935" s="331">
        <f>IF(NFI_Expiration=1,IF($A935&lt;VLOOKUP(V$5,NFI,5,0),1,0)*Table_NFI[[#This Row],[Shelter Tool kit]],Table_NFI[Shelter Tool kit])</f>
        <v>0</v>
      </c>
      <c r="AP935" s="331">
        <f>IF(NFI_Expiration=1,IF($A935&lt;VLOOKUP(V$5,NFI,5,0),1,0)*Table_NFI[[#This Row],[Tent]],Table_NFI[Tent])</f>
        <v>0</v>
      </c>
      <c r="AQ935" s="473" t="str">
        <f>IFERROR(VLOOKUP(Table_NFI[[#This Row],[Camp Name]],CL,2,0),"")</f>
        <v>MMR001CMP003</v>
      </c>
      <c r="AR935" s="468">
        <f ca="1">IF(Table_NFI[[#This Row],[Pcode]]="","",IF(OFFSET(CampList[Opening Date],MATCH(Table_NFI[[#This Row],[Pcode]],CampList[CP_Pcode],0)-1,0,1,1)&gt;=NFI_Monitor_Date,1,0))</f>
        <v>0</v>
      </c>
      <c r="AS935" s="473" t="str">
        <f>IFERROR(VLOOKUP(Table_NFI[[#This Row],[Camp Name]],CL,3,0),"")</f>
        <v>Open</v>
      </c>
      <c r="AT935" s="294" t="str">
        <f ca="1">IF(Table_NFI[[#This Row],[Pcode]]="","",OFFSET(CampList[Priority],MATCH(Table_NFI[[#This Row],[Pcode]],CampList[CP_Pcode],0)-1,0,1,1))</f>
        <v>P4</v>
      </c>
      <c r="AU935" s="293">
        <f>IFERROR(Table_NFI[[#This Row],[Kitchen Set]]/VLOOKUP(Table_NFI[[#This Row],[Camp Name]],CL,4,0),"")</f>
        <v>0.26923076923076922</v>
      </c>
      <c r="AV935" s="466" t="s">
        <v>1092</v>
      </c>
      <c r="AW935" s="469"/>
    </row>
    <row r="936" spans="1:49" ht="14.45" customHeight="1" x14ac:dyDescent="0.25">
      <c r="A936" s="297">
        <f t="shared" si="14"/>
        <v>52.3</v>
      </c>
      <c r="B936" s="465">
        <v>41106</v>
      </c>
      <c r="C936" s="466" t="s">
        <v>452</v>
      </c>
      <c r="D936" s="467" t="s">
        <v>452</v>
      </c>
      <c r="E936" s="466" t="s">
        <v>380</v>
      </c>
      <c r="F936" s="290" t="s">
        <v>237</v>
      </c>
      <c r="G936" s="290" t="s">
        <v>257</v>
      </c>
      <c r="H936" s="291"/>
      <c r="I936" s="291"/>
      <c r="J936" s="291"/>
      <c r="K936" s="291">
        <v>33</v>
      </c>
      <c r="L936" s="292">
        <v>33</v>
      </c>
      <c r="M936" s="292">
        <v>33</v>
      </c>
      <c r="N936" s="292">
        <v>33</v>
      </c>
      <c r="O936" s="292">
        <v>33</v>
      </c>
      <c r="P936" s="294">
        <v>33</v>
      </c>
      <c r="Q936" s="294">
        <v>33</v>
      </c>
      <c r="R936" s="294"/>
      <c r="S936" s="294"/>
      <c r="T936" s="294"/>
      <c r="U936" s="294"/>
      <c r="V936" s="431"/>
      <c r="W936" s="294"/>
      <c r="X936" s="294"/>
      <c r="Y936" s="294">
        <f>IF(NFI_Expiration=1,IF($A936&lt;VLOOKUP(H$5,NFI,5,0),1,0)*Table_NFI[[#This Row],[Hygiene Kit]],Table_NFI[Hygiene Kit])</f>
        <v>0</v>
      </c>
      <c r="Z936" s="294">
        <f>IF(NFI_Expiration=1,IF($A936&lt;VLOOKUP(I$5,NFI,5,0),1,0)*Table_NFI[[#This Row],[NFI Core Kit]],Table_NFI[NFI Core Kit])</f>
        <v>0</v>
      </c>
      <c r="AA936" s="294">
        <f>IF(NFI_Expiration=1,IF($A936&lt;VLOOKUP(J$5,NFI,5,0),1,0)*Table_NFI[[#This Row],[Sanitary Kit]],Table_NFI[Sanitary Kit])</f>
        <v>0</v>
      </c>
      <c r="AB936" s="294">
        <f>IF(NFI_Expiration=1,IF($A936&lt;VLOOKUP(K$5,NFI,5,0),1,0)*Table_NFI[[#This Row],[Mosquito net]],Table_NFI[Mosquito net])</f>
        <v>0</v>
      </c>
      <c r="AC936" s="294">
        <f>IF(NFI_Expiration=1,IF($A936&lt;VLOOKUP(L$5,NFI,5,0),1,0)*Table_NFI[[#This Row],[Tarpaulin]],Table_NFI[[#This Row],[Tarpaulin]])</f>
        <v>0</v>
      </c>
      <c r="AD936" s="294">
        <f>IF(NFI_Expiration=1,IF($A936&lt;VLOOKUP(M$5,NFI,5,0),1,0)*Table_NFI[[#This Row],[Blanket]],Table_NFI[[#This Row],[Blanket]])</f>
        <v>0</v>
      </c>
      <c r="AE936" s="294">
        <f>IF(NFI_Expiration=1,IF($A936&lt;VLOOKUP(N$5,NFI,5,0),1,0)*Table_NFI[[#This Row],[Kitchen Set]],Table_NFI[Kitchen Set])</f>
        <v>0</v>
      </c>
      <c r="AF936" s="294">
        <f>IF(NFI_Expiration=1,IF($A936&lt;VLOOKUP(O$5,NFI,5,0),1,0)*Table_NFI[[#This Row],[Clothes Kit]],Table_NFI[Clothes Kit])</f>
        <v>0</v>
      </c>
      <c r="AG936" s="294">
        <f>IF(NFI_Expiration=1,IF($A936&lt;VLOOKUP(P$5,NFI,5,0),1,0)*Table_NFI[[#This Row],[Plastic Bucket]],Table_NFI[Plastic Bucket])</f>
        <v>0</v>
      </c>
      <c r="AH936" s="294">
        <f>IF(NFI_Expiration=1,IF($A936&lt;VLOOKUP(Q$5,NFI,5,0),1,0)*Table_NFI[[#This Row],[Plastic Mat]],Table_NFI[Plastic Mat])*IF(Table_NFI[[#This Row],[Distribution Date]]&gt;"2014-04-01",1,2.5)</f>
        <v>0</v>
      </c>
      <c r="AI936" s="294">
        <f>IF(NFI_Expiration=1,IF($A936&lt;VLOOKUP(R$5,NFI,5,0),1,0)*Table_NFI[[#This Row],[Winter Clothes Adult]],Table_NFI[Winter Clothes Adult])</f>
        <v>0</v>
      </c>
      <c r="AJ936" s="294">
        <f>IF(NFI_Expiration=1,IF($A936&lt;VLOOKUP(S$5,NFI,5,0),1,0)*Table_NFI[[#This Row],[Winter Clothes Children]],Table_NFI[Winter Clothes Children])</f>
        <v>0</v>
      </c>
      <c r="AK936" s="294">
        <f>IF(NFI_Expiration=1,IF($A936&lt;VLOOKUP(T$5,NFI,5,0),1,0)*Table_NFI[[#This Row],[Winter Items Other]],Table_NFI[Winter Items Other])</f>
        <v>0</v>
      </c>
      <c r="AL936" s="294">
        <f>IF(NFI_Expiration=1,IF($A936&lt;VLOOKUP(M$5,NFI,5,0),1,0)*Table_NFI[[#This Row],[Winter Blanket]],Table_NFI[[#This Row],[Winter Blanket]])</f>
        <v>0</v>
      </c>
      <c r="AM936" s="294">
        <f>IF(Table_NFI[[#This Row],[Winter Clothes Adult]]+Table_NFI[[#This Row],[Winter Clothes Children]]+Table_NFI[[#This Row],[Winter Items Other]]+Table_NFI[[#This Row],[Winter Blanket]]&gt;0,1,0)</f>
        <v>0</v>
      </c>
      <c r="AN936" s="331">
        <f>IF(NFI_Expiration=1,IF($A936&lt;VLOOKUP(V$5,NFI,5,0),1,0)*Table_NFI[[#This Row],[Jerry Can]],Table_NFI[Jerry Can])</f>
        <v>0</v>
      </c>
      <c r="AO936" s="331">
        <f>IF(NFI_Expiration=1,IF($A936&lt;VLOOKUP(V$5,NFI,5,0),1,0)*Table_NFI[[#This Row],[Shelter Tool kit]],Table_NFI[Shelter Tool kit])</f>
        <v>0</v>
      </c>
      <c r="AP936" s="331">
        <f>IF(NFI_Expiration=1,IF($A936&lt;VLOOKUP(V$5,NFI,5,0),1,0)*Table_NFI[[#This Row],[Tent]],Table_NFI[Tent])</f>
        <v>0</v>
      </c>
      <c r="AQ936" s="473" t="str">
        <f>IFERROR(VLOOKUP(Table_NFI[[#This Row],[Camp Name]],CL,2,0),"")</f>
        <v>MMR001CMP013</v>
      </c>
      <c r="AR936" s="468">
        <f ca="1">IF(Table_NFI[[#This Row],[Pcode]]="","",IF(OFFSET(CampList[Opening Date],MATCH(Table_NFI[[#This Row],[Pcode]],CampList[CP_Pcode],0)-1,0,1,1)&gt;=NFI_Monitor_Date,1,0))</f>
        <v>0</v>
      </c>
      <c r="AS936" s="473" t="str">
        <f>IFERROR(VLOOKUP(Table_NFI[[#This Row],[Camp Name]],CL,3,0),"")</f>
        <v>Open</v>
      </c>
      <c r="AT936" s="294" t="str">
        <f ca="1">IF(Table_NFI[[#This Row],[Pcode]]="","",OFFSET(CampList[Priority],MATCH(Table_NFI[[#This Row],[Pcode]],CampList[CP_Pcode],0)-1,0,1,1))</f>
        <v>P4</v>
      </c>
      <c r="AU936" s="293">
        <f>IFERROR(Table_NFI[[#This Row],[Kitchen Set]]/VLOOKUP(Table_NFI[[#This Row],[Camp Name]],CL,4,0),"")</f>
        <v>1.9411764705882353</v>
      </c>
      <c r="AV936" s="466" t="s">
        <v>1092</v>
      </c>
      <c r="AW936" s="469"/>
    </row>
    <row r="937" spans="1:49" ht="14.45" customHeight="1" x14ac:dyDescent="0.25">
      <c r="A937" s="297">
        <f t="shared" si="14"/>
        <v>52.3</v>
      </c>
      <c r="B937" s="465">
        <v>41106</v>
      </c>
      <c r="C937" s="466" t="s">
        <v>452</v>
      </c>
      <c r="D937" s="467" t="s">
        <v>452</v>
      </c>
      <c r="E937" s="466" t="s">
        <v>380</v>
      </c>
      <c r="F937" s="290" t="s">
        <v>237</v>
      </c>
      <c r="G937" s="290" t="s">
        <v>240</v>
      </c>
      <c r="H937" s="291"/>
      <c r="I937" s="291"/>
      <c r="J937" s="291"/>
      <c r="K937" s="291">
        <v>6</v>
      </c>
      <c r="L937" s="292">
        <v>6</v>
      </c>
      <c r="M937" s="292">
        <v>6</v>
      </c>
      <c r="N937" s="292">
        <v>6</v>
      </c>
      <c r="O937" s="292">
        <v>6</v>
      </c>
      <c r="P937" s="294">
        <v>6</v>
      </c>
      <c r="Q937" s="294">
        <v>6</v>
      </c>
      <c r="R937" s="294"/>
      <c r="S937" s="294"/>
      <c r="T937" s="294"/>
      <c r="U937" s="294"/>
      <c r="V937" s="431"/>
      <c r="W937" s="294"/>
      <c r="X937" s="294"/>
      <c r="Y937" s="294">
        <f>IF(NFI_Expiration=1,IF($A937&lt;VLOOKUP(H$5,NFI,5,0),1,0)*Table_NFI[[#This Row],[Hygiene Kit]],Table_NFI[Hygiene Kit])</f>
        <v>0</v>
      </c>
      <c r="Z937" s="294">
        <f>IF(NFI_Expiration=1,IF($A937&lt;VLOOKUP(I$5,NFI,5,0),1,0)*Table_NFI[[#This Row],[NFI Core Kit]],Table_NFI[NFI Core Kit])</f>
        <v>0</v>
      </c>
      <c r="AA937" s="294">
        <f>IF(NFI_Expiration=1,IF($A937&lt;VLOOKUP(J$5,NFI,5,0),1,0)*Table_NFI[[#This Row],[Sanitary Kit]],Table_NFI[Sanitary Kit])</f>
        <v>0</v>
      </c>
      <c r="AB937" s="294">
        <f>IF(NFI_Expiration=1,IF($A937&lt;VLOOKUP(K$5,NFI,5,0),1,0)*Table_NFI[[#This Row],[Mosquito net]],Table_NFI[Mosquito net])</f>
        <v>0</v>
      </c>
      <c r="AC937" s="294">
        <f>IF(NFI_Expiration=1,IF($A937&lt;VLOOKUP(L$5,NFI,5,0),1,0)*Table_NFI[[#This Row],[Tarpaulin]],Table_NFI[[#This Row],[Tarpaulin]])</f>
        <v>0</v>
      </c>
      <c r="AD937" s="294">
        <f>IF(NFI_Expiration=1,IF($A937&lt;VLOOKUP(M$5,NFI,5,0),1,0)*Table_NFI[[#This Row],[Blanket]],Table_NFI[[#This Row],[Blanket]])</f>
        <v>0</v>
      </c>
      <c r="AE937" s="294">
        <f>IF(NFI_Expiration=1,IF($A937&lt;VLOOKUP(N$5,NFI,5,0),1,0)*Table_NFI[[#This Row],[Kitchen Set]],Table_NFI[Kitchen Set])</f>
        <v>0</v>
      </c>
      <c r="AF937" s="294">
        <f>IF(NFI_Expiration=1,IF($A937&lt;VLOOKUP(O$5,NFI,5,0),1,0)*Table_NFI[[#This Row],[Clothes Kit]],Table_NFI[Clothes Kit])</f>
        <v>0</v>
      </c>
      <c r="AG937" s="294">
        <f>IF(NFI_Expiration=1,IF($A937&lt;VLOOKUP(P$5,NFI,5,0),1,0)*Table_NFI[[#This Row],[Plastic Bucket]],Table_NFI[Plastic Bucket])</f>
        <v>0</v>
      </c>
      <c r="AH937" s="294">
        <f>IF(NFI_Expiration=1,IF($A937&lt;VLOOKUP(Q$5,NFI,5,0),1,0)*Table_NFI[[#This Row],[Plastic Mat]],Table_NFI[Plastic Mat])*IF(Table_NFI[[#This Row],[Distribution Date]]&gt;"2014-04-01",1,2.5)</f>
        <v>0</v>
      </c>
      <c r="AI937" s="294">
        <f>IF(NFI_Expiration=1,IF($A937&lt;VLOOKUP(R$5,NFI,5,0),1,0)*Table_NFI[[#This Row],[Winter Clothes Adult]],Table_NFI[Winter Clothes Adult])</f>
        <v>0</v>
      </c>
      <c r="AJ937" s="294">
        <f>IF(NFI_Expiration=1,IF($A937&lt;VLOOKUP(S$5,NFI,5,0),1,0)*Table_NFI[[#This Row],[Winter Clothes Children]],Table_NFI[Winter Clothes Children])</f>
        <v>0</v>
      </c>
      <c r="AK937" s="294">
        <f>IF(NFI_Expiration=1,IF($A937&lt;VLOOKUP(T$5,NFI,5,0),1,0)*Table_NFI[[#This Row],[Winter Items Other]],Table_NFI[Winter Items Other])</f>
        <v>0</v>
      </c>
      <c r="AL937" s="294">
        <f>IF(NFI_Expiration=1,IF($A937&lt;VLOOKUP(M$5,NFI,5,0),1,0)*Table_NFI[[#This Row],[Winter Blanket]],Table_NFI[[#This Row],[Winter Blanket]])</f>
        <v>0</v>
      </c>
      <c r="AM937" s="294">
        <f>IF(Table_NFI[[#This Row],[Winter Clothes Adult]]+Table_NFI[[#This Row],[Winter Clothes Children]]+Table_NFI[[#This Row],[Winter Items Other]]+Table_NFI[[#This Row],[Winter Blanket]]&gt;0,1,0)</f>
        <v>0</v>
      </c>
      <c r="AN937" s="331">
        <f>IF(NFI_Expiration=1,IF($A937&lt;VLOOKUP(V$5,NFI,5,0),1,0)*Table_NFI[[#This Row],[Jerry Can]],Table_NFI[Jerry Can])</f>
        <v>0</v>
      </c>
      <c r="AO937" s="331">
        <f>IF(NFI_Expiration=1,IF($A937&lt;VLOOKUP(V$5,NFI,5,0),1,0)*Table_NFI[[#This Row],[Shelter Tool kit]],Table_NFI[Shelter Tool kit])</f>
        <v>0</v>
      </c>
      <c r="AP937" s="331">
        <f>IF(NFI_Expiration=1,IF($A937&lt;VLOOKUP(V$5,NFI,5,0),1,0)*Table_NFI[[#This Row],[Tent]],Table_NFI[Tent])</f>
        <v>0</v>
      </c>
      <c r="AQ937" s="473" t="str">
        <f>IFERROR(VLOOKUP(Table_NFI[[#This Row],[Camp Name]],CL,2,0),"")</f>
        <v>MMR001CMP015</v>
      </c>
      <c r="AR937" s="468">
        <f ca="1">IF(Table_NFI[[#This Row],[Pcode]]="","",IF(OFFSET(CampList[Opening Date],MATCH(Table_NFI[[#This Row],[Pcode]],CampList[CP_Pcode],0)-1,0,1,1)&gt;=NFI_Monitor_Date,1,0))</f>
        <v>0</v>
      </c>
      <c r="AS937" s="473" t="str">
        <f>IFERROR(VLOOKUP(Table_NFI[[#This Row],[Camp Name]],CL,3,0),"")</f>
        <v>Open</v>
      </c>
      <c r="AT937" s="294" t="str">
        <f ca="1">IF(Table_NFI[[#This Row],[Pcode]]="","",OFFSET(CampList[Priority],MATCH(Table_NFI[[#This Row],[Pcode]],CampList[CP_Pcode],0)-1,0,1,1))</f>
        <v>P4</v>
      </c>
      <c r="AU937" s="293">
        <f>IFERROR(Table_NFI[[#This Row],[Kitchen Set]]/VLOOKUP(Table_NFI[[#This Row],[Camp Name]],CL,4,0),"")</f>
        <v>0.2</v>
      </c>
      <c r="AV937" s="466" t="s">
        <v>1092</v>
      </c>
      <c r="AW937" s="469"/>
    </row>
    <row r="938" spans="1:49" ht="14.45" customHeight="1" x14ac:dyDescent="0.25">
      <c r="A938" s="297">
        <f t="shared" si="14"/>
        <v>52.3</v>
      </c>
      <c r="B938" s="465">
        <v>41106</v>
      </c>
      <c r="C938" s="466" t="s">
        <v>452</v>
      </c>
      <c r="D938" s="466" t="s">
        <v>452</v>
      </c>
      <c r="E938" s="466" t="s">
        <v>380</v>
      </c>
      <c r="F938" s="290" t="s">
        <v>237</v>
      </c>
      <c r="G938" s="290" t="s">
        <v>240</v>
      </c>
      <c r="H938" s="291"/>
      <c r="I938" s="291"/>
      <c r="J938" s="291"/>
      <c r="K938" s="291">
        <v>13</v>
      </c>
      <c r="L938" s="292">
        <v>13</v>
      </c>
      <c r="M938" s="292">
        <v>13</v>
      </c>
      <c r="N938" s="292">
        <v>13</v>
      </c>
      <c r="O938" s="292">
        <v>13</v>
      </c>
      <c r="P938" s="294">
        <v>13</v>
      </c>
      <c r="Q938" s="294">
        <v>13</v>
      </c>
      <c r="R938" s="294"/>
      <c r="S938" s="294"/>
      <c r="T938" s="294"/>
      <c r="U938" s="294"/>
      <c r="V938" s="431"/>
      <c r="W938" s="294"/>
      <c r="X938" s="294"/>
      <c r="Y938" s="294">
        <f>IF(NFI_Expiration=1,IF($A938&lt;VLOOKUP(H$5,NFI,5,0),1,0)*Table_NFI[[#This Row],[Hygiene Kit]],Table_NFI[Hygiene Kit])</f>
        <v>0</v>
      </c>
      <c r="Z938" s="294">
        <f>IF(NFI_Expiration=1,IF($A938&lt;VLOOKUP(I$5,NFI,5,0),1,0)*Table_NFI[[#This Row],[NFI Core Kit]],Table_NFI[NFI Core Kit])</f>
        <v>0</v>
      </c>
      <c r="AA938" s="294">
        <f>IF(NFI_Expiration=1,IF($A938&lt;VLOOKUP(J$5,NFI,5,0),1,0)*Table_NFI[[#This Row],[Sanitary Kit]],Table_NFI[Sanitary Kit])</f>
        <v>0</v>
      </c>
      <c r="AB938" s="294">
        <f>IF(NFI_Expiration=1,IF($A938&lt;VLOOKUP(K$5,NFI,5,0),1,0)*Table_NFI[[#This Row],[Mosquito net]],Table_NFI[Mosquito net])</f>
        <v>0</v>
      </c>
      <c r="AC938" s="294">
        <f>IF(NFI_Expiration=1,IF($A938&lt;VLOOKUP(L$5,NFI,5,0),1,0)*Table_NFI[[#This Row],[Tarpaulin]],Table_NFI[[#This Row],[Tarpaulin]])</f>
        <v>0</v>
      </c>
      <c r="AD938" s="294">
        <f>IF(NFI_Expiration=1,IF($A938&lt;VLOOKUP(M$5,NFI,5,0),1,0)*Table_NFI[[#This Row],[Blanket]],Table_NFI[[#This Row],[Blanket]])</f>
        <v>0</v>
      </c>
      <c r="AE938" s="294">
        <f>IF(NFI_Expiration=1,IF($A938&lt;VLOOKUP(N$5,NFI,5,0),1,0)*Table_NFI[[#This Row],[Kitchen Set]],Table_NFI[Kitchen Set])</f>
        <v>0</v>
      </c>
      <c r="AF938" s="294">
        <f>IF(NFI_Expiration=1,IF($A938&lt;VLOOKUP(O$5,NFI,5,0),1,0)*Table_NFI[[#This Row],[Clothes Kit]],Table_NFI[Clothes Kit])</f>
        <v>0</v>
      </c>
      <c r="AG938" s="294">
        <f>IF(NFI_Expiration=1,IF($A938&lt;VLOOKUP(P$5,NFI,5,0),1,0)*Table_NFI[[#This Row],[Plastic Bucket]],Table_NFI[Plastic Bucket])</f>
        <v>0</v>
      </c>
      <c r="AH938" s="294">
        <f>IF(NFI_Expiration=1,IF($A938&lt;VLOOKUP(Q$5,NFI,5,0),1,0)*Table_NFI[[#This Row],[Plastic Mat]],Table_NFI[Plastic Mat])*IF(Table_NFI[[#This Row],[Distribution Date]]&gt;"2014-04-01",1,2.5)</f>
        <v>0</v>
      </c>
      <c r="AI938" s="294">
        <f>IF(NFI_Expiration=1,IF($A938&lt;VLOOKUP(R$5,NFI,5,0),1,0)*Table_NFI[[#This Row],[Winter Clothes Adult]],Table_NFI[Winter Clothes Adult])</f>
        <v>0</v>
      </c>
      <c r="AJ938" s="294">
        <f>IF(NFI_Expiration=1,IF($A938&lt;VLOOKUP(S$5,NFI,5,0),1,0)*Table_NFI[[#This Row],[Winter Clothes Children]],Table_NFI[Winter Clothes Children])</f>
        <v>0</v>
      </c>
      <c r="AK938" s="294">
        <f>IF(NFI_Expiration=1,IF($A938&lt;VLOOKUP(T$5,NFI,5,0),1,0)*Table_NFI[[#This Row],[Winter Items Other]],Table_NFI[Winter Items Other])</f>
        <v>0</v>
      </c>
      <c r="AL938" s="294">
        <f>IF(NFI_Expiration=1,IF($A938&lt;VLOOKUP(M$5,NFI,5,0),1,0)*Table_NFI[[#This Row],[Winter Blanket]],Table_NFI[[#This Row],[Winter Blanket]])</f>
        <v>0</v>
      </c>
      <c r="AM938" s="294">
        <f>IF(Table_NFI[[#This Row],[Winter Clothes Adult]]+Table_NFI[[#This Row],[Winter Clothes Children]]+Table_NFI[[#This Row],[Winter Items Other]]+Table_NFI[[#This Row],[Winter Blanket]]&gt;0,1,0)</f>
        <v>0</v>
      </c>
      <c r="AN938" s="331">
        <f>IF(NFI_Expiration=1,IF($A938&lt;VLOOKUP(V$5,NFI,5,0),1,0)*Table_NFI[[#This Row],[Jerry Can]],Table_NFI[Jerry Can])</f>
        <v>0</v>
      </c>
      <c r="AO938" s="331">
        <f>IF(NFI_Expiration=1,IF($A938&lt;VLOOKUP(V$5,NFI,5,0),1,0)*Table_NFI[[#This Row],[Shelter Tool kit]],Table_NFI[Shelter Tool kit])</f>
        <v>0</v>
      </c>
      <c r="AP938" s="331">
        <f>IF(NFI_Expiration=1,IF($A938&lt;VLOOKUP(V$5,NFI,5,0),1,0)*Table_NFI[[#This Row],[Tent]],Table_NFI[Tent])</f>
        <v>0</v>
      </c>
      <c r="AQ938" s="473" t="str">
        <f>IFERROR(VLOOKUP(Table_NFI[[#This Row],[Camp Name]],CL,2,0),"")</f>
        <v>MMR001CMP015</v>
      </c>
      <c r="AR938" s="468">
        <f ca="1">IF(Table_NFI[[#This Row],[Pcode]]="","",IF(OFFSET(CampList[Opening Date],MATCH(Table_NFI[[#This Row],[Pcode]],CampList[CP_Pcode],0)-1,0,1,1)&gt;=NFI_Monitor_Date,1,0))</f>
        <v>0</v>
      </c>
      <c r="AS938" s="473" t="str">
        <f>IFERROR(VLOOKUP(Table_NFI[[#This Row],[Camp Name]],CL,3,0),"")</f>
        <v>Open</v>
      </c>
      <c r="AT938" s="294" t="str">
        <f ca="1">IF(Table_NFI[[#This Row],[Pcode]]="","",OFFSET(CampList[Priority],MATCH(Table_NFI[[#This Row],[Pcode]],CampList[CP_Pcode],0)-1,0,1,1))</f>
        <v>P4</v>
      </c>
      <c r="AU938" s="293">
        <f>IFERROR(Table_NFI[[#This Row],[Kitchen Set]]/VLOOKUP(Table_NFI[[#This Row],[Camp Name]],CL,4,0),"")</f>
        <v>0.43333333333333335</v>
      </c>
      <c r="AV938" s="466" t="s">
        <v>1092</v>
      </c>
      <c r="AW938" s="469"/>
    </row>
    <row r="939" spans="1:49" ht="14.45" customHeight="1" x14ac:dyDescent="0.25">
      <c r="A939" s="297">
        <f t="shared" si="14"/>
        <v>52.3</v>
      </c>
      <c r="B939" s="465">
        <v>41106</v>
      </c>
      <c r="C939" s="466" t="s">
        <v>452</v>
      </c>
      <c r="D939" s="467" t="s">
        <v>452</v>
      </c>
      <c r="E939" s="466" t="s">
        <v>380</v>
      </c>
      <c r="F939" s="290" t="s">
        <v>237</v>
      </c>
      <c r="G939" s="290" t="s">
        <v>285</v>
      </c>
      <c r="H939" s="291"/>
      <c r="I939" s="291"/>
      <c r="J939" s="291"/>
      <c r="K939" s="291">
        <v>50</v>
      </c>
      <c r="L939" s="292">
        <v>50</v>
      </c>
      <c r="M939" s="292">
        <v>50</v>
      </c>
      <c r="N939" s="292">
        <v>50</v>
      </c>
      <c r="O939" s="292">
        <v>50</v>
      </c>
      <c r="P939" s="294">
        <v>50</v>
      </c>
      <c r="Q939" s="294">
        <v>50</v>
      </c>
      <c r="R939" s="294"/>
      <c r="S939" s="294"/>
      <c r="T939" s="294"/>
      <c r="U939" s="294"/>
      <c r="V939" s="431"/>
      <c r="W939" s="294"/>
      <c r="X939" s="294"/>
      <c r="Y939" s="294">
        <f>IF(NFI_Expiration=1,IF($A939&lt;VLOOKUP(H$5,NFI,5,0),1,0)*Table_NFI[[#This Row],[Hygiene Kit]],Table_NFI[Hygiene Kit])</f>
        <v>0</v>
      </c>
      <c r="Z939" s="294">
        <f>IF(NFI_Expiration=1,IF($A939&lt;VLOOKUP(I$5,NFI,5,0),1,0)*Table_NFI[[#This Row],[NFI Core Kit]],Table_NFI[NFI Core Kit])</f>
        <v>0</v>
      </c>
      <c r="AA939" s="294">
        <f>IF(NFI_Expiration=1,IF($A939&lt;VLOOKUP(J$5,NFI,5,0),1,0)*Table_NFI[[#This Row],[Sanitary Kit]],Table_NFI[Sanitary Kit])</f>
        <v>0</v>
      </c>
      <c r="AB939" s="294">
        <f>IF(NFI_Expiration=1,IF($A939&lt;VLOOKUP(K$5,NFI,5,0),1,0)*Table_NFI[[#This Row],[Mosquito net]],Table_NFI[Mosquito net])</f>
        <v>0</v>
      </c>
      <c r="AC939" s="294">
        <f>IF(NFI_Expiration=1,IF($A939&lt;VLOOKUP(L$5,NFI,5,0),1,0)*Table_NFI[[#This Row],[Tarpaulin]],Table_NFI[[#This Row],[Tarpaulin]])</f>
        <v>0</v>
      </c>
      <c r="AD939" s="294">
        <f>IF(NFI_Expiration=1,IF($A939&lt;VLOOKUP(M$5,NFI,5,0),1,0)*Table_NFI[[#This Row],[Blanket]],Table_NFI[[#This Row],[Blanket]])</f>
        <v>0</v>
      </c>
      <c r="AE939" s="294">
        <f>IF(NFI_Expiration=1,IF($A939&lt;VLOOKUP(N$5,NFI,5,0),1,0)*Table_NFI[[#This Row],[Kitchen Set]],Table_NFI[Kitchen Set])</f>
        <v>0</v>
      </c>
      <c r="AF939" s="294">
        <f>IF(NFI_Expiration=1,IF($A939&lt;VLOOKUP(O$5,NFI,5,0),1,0)*Table_NFI[[#This Row],[Clothes Kit]],Table_NFI[Clothes Kit])</f>
        <v>0</v>
      </c>
      <c r="AG939" s="294">
        <f>IF(NFI_Expiration=1,IF($A939&lt;VLOOKUP(P$5,NFI,5,0),1,0)*Table_NFI[[#This Row],[Plastic Bucket]],Table_NFI[Plastic Bucket])</f>
        <v>0</v>
      </c>
      <c r="AH939" s="294">
        <f>IF(NFI_Expiration=1,IF($A939&lt;VLOOKUP(Q$5,NFI,5,0),1,0)*Table_NFI[[#This Row],[Plastic Mat]],Table_NFI[Plastic Mat])*IF(Table_NFI[[#This Row],[Distribution Date]]&gt;"2014-04-01",1,2.5)</f>
        <v>0</v>
      </c>
      <c r="AI939" s="294">
        <f>IF(NFI_Expiration=1,IF($A939&lt;VLOOKUP(R$5,NFI,5,0),1,0)*Table_NFI[[#This Row],[Winter Clothes Adult]],Table_NFI[Winter Clothes Adult])</f>
        <v>0</v>
      </c>
      <c r="AJ939" s="294">
        <f>IF(NFI_Expiration=1,IF($A939&lt;VLOOKUP(S$5,NFI,5,0),1,0)*Table_NFI[[#This Row],[Winter Clothes Children]],Table_NFI[Winter Clothes Children])</f>
        <v>0</v>
      </c>
      <c r="AK939" s="294">
        <f>IF(NFI_Expiration=1,IF($A939&lt;VLOOKUP(T$5,NFI,5,0),1,0)*Table_NFI[[#This Row],[Winter Items Other]],Table_NFI[Winter Items Other])</f>
        <v>0</v>
      </c>
      <c r="AL939" s="294">
        <f>IF(NFI_Expiration=1,IF($A939&lt;VLOOKUP(M$5,NFI,5,0),1,0)*Table_NFI[[#This Row],[Winter Blanket]],Table_NFI[[#This Row],[Winter Blanket]])</f>
        <v>0</v>
      </c>
      <c r="AM939" s="294">
        <f>IF(Table_NFI[[#This Row],[Winter Clothes Adult]]+Table_NFI[[#This Row],[Winter Clothes Children]]+Table_NFI[[#This Row],[Winter Items Other]]+Table_NFI[[#This Row],[Winter Blanket]]&gt;0,1,0)</f>
        <v>0</v>
      </c>
      <c r="AN939" s="331">
        <f>IF(NFI_Expiration=1,IF($A939&lt;VLOOKUP(V$5,NFI,5,0),1,0)*Table_NFI[[#This Row],[Jerry Can]],Table_NFI[Jerry Can])</f>
        <v>0</v>
      </c>
      <c r="AO939" s="331">
        <f>IF(NFI_Expiration=1,IF($A939&lt;VLOOKUP(V$5,NFI,5,0),1,0)*Table_NFI[[#This Row],[Shelter Tool kit]],Table_NFI[Shelter Tool kit])</f>
        <v>0</v>
      </c>
      <c r="AP939" s="331">
        <f>IF(NFI_Expiration=1,IF($A939&lt;VLOOKUP(V$5,NFI,5,0),1,0)*Table_NFI[[#This Row],[Tent]],Table_NFI[Tent])</f>
        <v>0</v>
      </c>
      <c r="AQ939" s="473" t="str">
        <f>IFERROR(VLOOKUP(Table_NFI[[#This Row],[Camp Name]],CL,2,0),"")</f>
        <v>MMR001CMP014</v>
      </c>
      <c r="AR939" s="468">
        <f ca="1">IF(Table_NFI[[#This Row],[Pcode]]="","",IF(OFFSET(CampList[Opening Date],MATCH(Table_NFI[[#This Row],[Pcode]],CampList[CP_Pcode],0)-1,0,1,1)&gt;=NFI_Monitor_Date,1,0))</f>
        <v>0</v>
      </c>
      <c r="AS939" s="473" t="str">
        <f>IFERROR(VLOOKUP(Table_NFI[[#This Row],[Camp Name]],CL,3,0),"")</f>
        <v>Open</v>
      </c>
      <c r="AT939" s="294" t="str">
        <f ca="1">IF(Table_NFI[[#This Row],[Pcode]]="","",OFFSET(CampList[Priority],MATCH(Table_NFI[[#This Row],[Pcode]],CampList[CP_Pcode],0)-1,0,1,1))</f>
        <v>P4</v>
      </c>
      <c r="AU939" s="293">
        <f>IFERROR(Table_NFI[[#This Row],[Kitchen Set]]/VLOOKUP(Table_NFI[[#This Row],[Camp Name]],CL,4,0),"")</f>
        <v>0.58823529411764708</v>
      </c>
      <c r="AV939" s="466" t="s">
        <v>1092</v>
      </c>
      <c r="AW939" s="469"/>
    </row>
    <row r="940" spans="1:49" ht="14.45" customHeight="1" x14ac:dyDescent="0.25">
      <c r="A940" s="297">
        <f t="shared" si="14"/>
        <v>52.3</v>
      </c>
      <c r="B940" s="465">
        <v>41106</v>
      </c>
      <c r="C940" s="466" t="s">
        <v>452</v>
      </c>
      <c r="D940" s="466" t="s">
        <v>452</v>
      </c>
      <c r="E940" s="466" t="s">
        <v>380</v>
      </c>
      <c r="F940" s="290" t="s">
        <v>237</v>
      </c>
      <c r="G940" s="290" t="s">
        <v>259</v>
      </c>
      <c r="H940" s="291"/>
      <c r="I940" s="291"/>
      <c r="J940" s="291"/>
      <c r="K940" s="291">
        <v>3</v>
      </c>
      <c r="L940" s="292">
        <v>3</v>
      </c>
      <c r="M940" s="292">
        <v>3</v>
      </c>
      <c r="N940" s="292">
        <v>3</v>
      </c>
      <c r="O940" s="292">
        <v>3</v>
      </c>
      <c r="P940" s="294">
        <v>3</v>
      </c>
      <c r="Q940" s="294">
        <v>3</v>
      </c>
      <c r="R940" s="294"/>
      <c r="S940" s="294"/>
      <c r="T940" s="294"/>
      <c r="U940" s="294"/>
      <c r="V940" s="431"/>
      <c r="W940" s="294"/>
      <c r="X940" s="294"/>
      <c r="Y940" s="294">
        <f>IF(NFI_Expiration=1,IF($A940&lt;VLOOKUP(H$5,NFI,5,0),1,0)*Table_NFI[[#This Row],[Hygiene Kit]],Table_NFI[Hygiene Kit])</f>
        <v>0</v>
      </c>
      <c r="Z940" s="294">
        <f>IF(NFI_Expiration=1,IF($A940&lt;VLOOKUP(I$5,NFI,5,0),1,0)*Table_NFI[[#This Row],[NFI Core Kit]],Table_NFI[NFI Core Kit])</f>
        <v>0</v>
      </c>
      <c r="AA940" s="294">
        <f>IF(NFI_Expiration=1,IF($A940&lt;VLOOKUP(J$5,NFI,5,0),1,0)*Table_NFI[[#This Row],[Sanitary Kit]],Table_NFI[Sanitary Kit])</f>
        <v>0</v>
      </c>
      <c r="AB940" s="294">
        <f>IF(NFI_Expiration=1,IF($A940&lt;VLOOKUP(K$5,NFI,5,0),1,0)*Table_NFI[[#This Row],[Mosquito net]],Table_NFI[Mosquito net])</f>
        <v>0</v>
      </c>
      <c r="AC940" s="294">
        <f>IF(NFI_Expiration=1,IF($A940&lt;VLOOKUP(L$5,NFI,5,0),1,0)*Table_NFI[[#This Row],[Tarpaulin]],Table_NFI[[#This Row],[Tarpaulin]])</f>
        <v>0</v>
      </c>
      <c r="AD940" s="294">
        <f>IF(NFI_Expiration=1,IF($A940&lt;VLOOKUP(M$5,NFI,5,0),1,0)*Table_NFI[[#This Row],[Blanket]],Table_NFI[[#This Row],[Blanket]])</f>
        <v>0</v>
      </c>
      <c r="AE940" s="294">
        <f>IF(NFI_Expiration=1,IF($A940&lt;VLOOKUP(N$5,NFI,5,0),1,0)*Table_NFI[[#This Row],[Kitchen Set]],Table_NFI[Kitchen Set])</f>
        <v>0</v>
      </c>
      <c r="AF940" s="294">
        <f>IF(NFI_Expiration=1,IF($A940&lt;VLOOKUP(O$5,NFI,5,0),1,0)*Table_NFI[[#This Row],[Clothes Kit]],Table_NFI[Clothes Kit])</f>
        <v>0</v>
      </c>
      <c r="AG940" s="294">
        <f>IF(NFI_Expiration=1,IF($A940&lt;VLOOKUP(P$5,NFI,5,0),1,0)*Table_NFI[[#This Row],[Plastic Bucket]],Table_NFI[Plastic Bucket])</f>
        <v>0</v>
      </c>
      <c r="AH940" s="294">
        <f>IF(NFI_Expiration=1,IF($A940&lt;VLOOKUP(Q$5,NFI,5,0),1,0)*Table_NFI[[#This Row],[Plastic Mat]],Table_NFI[Plastic Mat])*IF(Table_NFI[[#This Row],[Distribution Date]]&gt;"2014-04-01",1,2.5)</f>
        <v>0</v>
      </c>
      <c r="AI940" s="294">
        <f>IF(NFI_Expiration=1,IF($A940&lt;VLOOKUP(R$5,NFI,5,0),1,0)*Table_NFI[[#This Row],[Winter Clothes Adult]],Table_NFI[Winter Clothes Adult])</f>
        <v>0</v>
      </c>
      <c r="AJ940" s="294">
        <f>IF(NFI_Expiration=1,IF($A940&lt;VLOOKUP(S$5,NFI,5,0),1,0)*Table_NFI[[#This Row],[Winter Clothes Children]],Table_NFI[Winter Clothes Children])</f>
        <v>0</v>
      </c>
      <c r="AK940" s="294">
        <f>IF(NFI_Expiration=1,IF($A940&lt;VLOOKUP(T$5,NFI,5,0),1,0)*Table_NFI[[#This Row],[Winter Items Other]],Table_NFI[Winter Items Other])</f>
        <v>0</v>
      </c>
      <c r="AL940" s="294">
        <f>IF(NFI_Expiration=1,IF($A940&lt;VLOOKUP(M$5,NFI,5,0),1,0)*Table_NFI[[#This Row],[Winter Blanket]],Table_NFI[[#This Row],[Winter Blanket]])</f>
        <v>0</v>
      </c>
      <c r="AM940" s="294">
        <f>IF(Table_NFI[[#This Row],[Winter Clothes Adult]]+Table_NFI[[#This Row],[Winter Clothes Children]]+Table_NFI[[#This Row],[Winter Items Other]]+Table_NFI[[#This Row],[Winter Blanket]]&gt;0,1,0)</f>
        <v>0</v>
      </c>
      <c r="AN940" s="331">
        <f>IF(NFI_Expiration=1,IF($A940&lt;VLOOKUP(V$5,NFI,5,0),1,0)*Table_NFI[[#This Row],[Jerry Can]],Table_NFI[Jerry Can])</f>
        <v>0</v>
      </c>
      <c r="AO940" s="331">
        <f>IF(NFI_Expiration=1,IF($A940&lt;VLOOKUP(V$5,NFI,5,0),1,0)*Table_NFI[[#This Row],[Shelter Tool kit]],Table_NFI[Shelter Tool kit])</f>
        <v>0</v>
      </c>
      <c r="AP940" s="331">
        <f>IF(NFI_Expiration=1,IF($A940&lt;VLOOKUP(V$5,NFI,5,0),1,0)*Table_NFI[[#This Row],[Tent]],Table_NFI[Tent])</f>
        <v>0</v>
      </c>
      <c r="AQ940" s="473" t="str">
        <f>IFERROR(VLOOKUP(Table_NFI[[#This Row],[Camp Name]],CL,2,0),"")</f>
        <v>MMR001CMP016</v>
      </c>
      <c r="AR940" s="468">
        <f ca="1">IF(Table_NFI[[#This Row],[Pcode]]="","",IF(OFFSET(CampList[Opening Date],MATCH(Table_NFI[[#This Row],[Pcode]],CampList[CP_Pcode],0)-1,0,1,1)&gt;=NFI_Monitor_Date,1,0))</f>
        <v>0</v>
      </c>
      <c r="AS940" s="473" t="str">
        <f>IFERROR(VLOOKUP(Table_NFI[[#This Row],[Camp Name]],CL,3,0),"")</f>
        <v>Open</v>
      </c>
      <c r="AT940" s="294" t="str">
        <f ca="1">IF(Table_NFI[[#This Row],[Pcode]]="","",OFFSET(CampList[Priority],MATCH(Table_NFI[[#This Row],[Pcode]],CampList[CP_Pcode],0)-1,0,1,1))</f>
        <v>P4</v>
      </c>
      <c r="AU940" s="293">
        <f>IFERROR(Table_NFI[[#This Row],[Kitchen Set]]/VLOOKUP(Table_NFI[[#This Row],[Camp Name]],CL,4,0),"")</f>
        <v>0.05</v>
      </c>
      <c r="AV940" s="466" t="s">
        <v>1092</v>
      </c>
      <c r="AW940" s="469"/>
    </row>
    <row r="941" spans="1:49" ht="14.45" customHeight="1" x14ac:dyDescent="0.25">
      <c r="A941" s="297">
        <f t="shared" si="14"/>
        <v>52.3</v>
      </c>
      <c r="B941" s="465">
        <v>41106</v>
      </c>
      <c r="C941" s="466" t="s">
        <v>452</v>
      </c>
      <c r="D941" s="466" t="s">
        <v>452</v>
      </c>
      <c r="E941" s="466" t="s">
        <v>380</v>
      </c>
      <c r="F941" s="466" t="s">
        <v>237</v>
      </c>
      <c r="G941" s="290" t="s">
        <v>269</v>
      </c>
      <c r="H941" s="291"/>
      <c r="I941" s="291"/>
      <c r="J941" s="291"/>
      <c r="K941" s="291">
        <v>25</v>
      </c>
      <c r="L941" s="292">
        <v>25</v>
      </c>
      <c r="M941" s="292">
        <v>25</v>
      </c>
      <c r="N941" s="292">
        <v>25</v>
      </c>
      <c r="O941" s="292">
        <v>25</v>
      </c>
      <c r="P941" s="294">
        <v>25</v>
      </c>
      <c r="Q941" s="294">
        <v>25</v>
      </c>
      <c r="R941" s="294"/>
      <c r="S941" s="294"/>
      <c r="T941" s="294"/>
      <c r="U941" s="294"/>
      <c r="V941" s="431"/>
      <c r="W941" s="294"/>
      <c r="X941" s="294"/>
      <c r="Y941" s="294">
        <f>IF(NFI_Expiration=1,IF($A941&lt;VLOOKUP(H$5,NFI,5,0),1,0)*Table_NFI[[#This Row],[Hygiene Kit]],Table_NFI[Hygiene Kit])</f>
        <v>0</v>
      </c>
      <c r="Z941" s="294">
        <f>IF(NFI_Expiration=1,IF($A941&lt;VLOOKUP(I$5,NFI,5,0),1,0)*Table_NFI[[#This Row],[NFI Core Kit]],Table_NFI[NFI Core Kit])</f>
        <v>0</v>
      </c>
      <c r="AA941" s="294">
        <f>IF(NFI_Expiration=1,IF($A941&lt;VLOOKUP(J$5,NFI,5,0),1,0)*Table_NFI[[#This Row],[Sanitary Kit]],Table_NFI[Sanitary Kit])</f>
        <v>0</v>
      </c>
      <c r="AB941" s="294">
        <f>IF(NFI_Expiration=1,IF($A941&lt;VLOOKUP(K$5,NFI,5,0),1,0)*Table_NFI[[#This Row],[Mosquito net]],Table_NFI[Mosquito net])</f>
        <v>0</v>
      </c>
      <c r="AC941" s="294">
        <f>IF(NFI_Expiration=1,IF($A941&lt;VLOOKUP(L$5,NFI,5,0),1,0)*Table_NFI[[#This Row],[Tarpaulin]],Table_NFI[[#This Row],[Tarpaulin]])</f>
        <v>0</v>
      </c>
      <c r="AD941" s="294">
        <f>IF(NFI_Expiration=1,IF($A941&lt;VLOOKUP(M$5,NFI,5,0),1,0)*Table_NFI[[#This Row],[Blanket]],Table_NFI[[#This Row],[Blanket]])</f>
        <v>0</v>
      </c>
      <c r="AE941" s="294">
        <f>IF(NFI_Expiration=1,IF($A941&lt;VLOOKUP(N$5,NFI,5,0),1,0)*Table_NFI[[#This Row],[Kitchen Set]],Table_NFI[Kitchen Set])</f>
        <v>0</v>
      </c>
      <c r="AF941" s="294">
        <f>IF(NFI_Expiration=1,IF($A941&lt;VLOOKUP(O$5,NFI,5,0),1,0)*Table_NFI[[#This Row],[Clothes Kit]],Table_NFI[Clothes Kit])</f>
        <v>0</v>
      </c>
      <c r="AG941" s="294">
        <f>IF(NFI_Expiration=1,IF($A941&lt;VLOOKUP(P$5,NFI,5,0),1,0)*Table_NFI[[#This Row],[Plastic Bucket]],Table_NFI[Plastic Bucket])</f>
        <v>0</v>
      </c>
      <c r="AH941" s="294">
        <f>IF(NFI_Expiration=1,IF($A941&lt;VLOOKUP(Q$5,NFI,5,0),1,0)*Table_NFI[[#This Row],[Plastic Mat]],Table_NFI[Plastic Mat])*IF(Table_NFI[[#This Row],[Distribution Date]]&gt;"2014-04-01",1,2.5)</f>
        <v>0</v>
      </c>
      <c r="AI941" s="294">
        <f>IF(NFI_Expiration=1,IF($A941&lt;VLOOKUP(R$5,NFI,5,0),1,0)*Table_NFI[[#This Row],[Winter Clothes Adult]],Table_NFI[Winter Clothes Adult])</f>
        <v>0</v>
      </c>
      <c r="AJ941" s="294">
        <f>IF(NFI_Expiration=1,IF($A941&lt;VLOOKUP(S$5,NFI,5,0),1,0)*Table_NFI[[#This Row],[Winter Clothes Children]],Table_NFI[Winter Clothes Children])</f>
        <v>0</v>
      </c>
      <c r="AK941" s="294">
        <f>IF(NFI_Expiration=1,IF($A941&lt;VLOOKUP(T$5,NFI,5,0),1,0)*Table_NFI[[#This Row],[Winter Items Other]],Table_NFI[Winter Items Other])</f>
        <v>0</v>
      </c>
      <c r="AL941" s="294">
        <f>IF(NFI_Expiration=1,IF($A941&lt;VLOOKUP(M$5,NFI,5,0),1,0)*Table_NFI[[#This Row],[Winter Blanket]],Table_NFI[[#This Row],[Winter Blanket]])</f>
        <v>0</v>
      </c>
      <c r="AM941" s="294">
        <f>IF(Table_NFI[[#This Row],[Winter Clothes Adult]]+Table_NFI[[#This Row],[Winter Clothes Children]]+Table_NFI[[#This Row],[Winter Items Other]]+Table_NFI[[#This Row],[Winter Blanket]]&gt;0,1,0)</f>
        <v>0</v>
      </c>
      <c r="AN941" s="331">
        <f>IF(NFI_Expiration=1,IF($A941&lt;VLOOKUP(V$5,NFI,5,0),1,0)*Table_NFI[[#This Row],[Jerry Can]],Table_NFI[Jerry Can])</f>
        <v>0</v>
      </c>
      <c r="AO941" s="331">
        <f>IF(NFI_Expiration=1,IF($A941&lt;VLOOKUP(V$5,NFI,5,0),1,0)*Table_NFI[[#This Row],[Shelter Tool kit]],Table_NFI[Shelter Tool kit])</f>
        <v>0</v>
      </c>
      <c r="AP941" s="331">
        <f>IF(NFI_Expiration=1,IF($A941&lt;VLOOKUP(V$5,NFI,5,0),1,0)*Table_NFI[[#This Row],[Tent]],Table_NFI[Tent])</f>
        <v>0</v>
      </c>
      <c r="AQ941" s="473" t="str">
        <f>IFERROR(VLOOKUP(Table_NFI[[#This Row],[Camp Name]],CL,2,0),"")</f>
        <v>MMR001CMP002</v>
      </c>
      <c r="AR941" s="468">
        <f ca="1">IF(Table_NFI[[#This Row],[Pcode]]="","",IF(OFFSET(CampList[Opening Date],MATCH(Table_NFI[[#This Row],[Pcode]],CampList[CP_Pcode],0)-1,0,1,1)&gt;=NFI_Monitor_Date,1,0))</f>
        <v>0</v>
      </c>
      <c r="AS941" s="473" t="str">
        <f>IFERROR(VLOOKUP(Table_NFI[[#This Row],[Camp Name]],CL,3,0),"")</f>
        <v>Open</v>
      </c>
      <c r="AT941" s="294" t="str">
        <f ca="1">IF(Table_NFI[[#This Row],[Pcode]]="","",OFFSET(CampList[Priority],MATCH(Table_NFI[[#This Row],[Pcode]],CampList[CP_Pcode],0)-1,0,1,1))</f>
        <v>P4</v>
      </c>
      <c r="AU941" s="293">
        <f>IFERROR(Table_NFI[[#This Row],[Kitchen Set]]/VLOOKUP(Table_NFI[[#This Row],[Camp Name]],CL,4,0),"")</f>
        <v>0.40322580645161288</v>
      </c>
      <c r="AV941" s="466" t="s">
        <v>1092</v>
      </c>
      <c r="AW941" s="469"/>
    </row>
    <row r="942" spans="1:49" ht="14.45" customHeight="1" x14ac:dyDescent="0.25">
      <c r="A942" s="297">
        <f t="shared" si="14"/>
        <v>52.4</v>
      </c>
      <c r="B942" s="465">
        <v>41103</v>
      </c>
      <c r="C942" s="466" t="s">
        <v>452</v>
      </c>
      <c r="D942" s="466" t="s">
        <v>452</v>
      </c>
      <c r="E942" s="466" t="s">
        <v>380</v>
      </c>
      <c r="F942" s="466" t="s">
        <v>310</v>
      </c>
      <c r="G942" s="290" t="s">
        <v>313</v>
      </c>
      <c r="H942" s="291"/>
      <c r="I942" s="291"/>
      <c r="J942" s="291"/>
      <c r="K942" s="291">
        <v>9</v>
      </c>
      <c r="L942" s="292">
        <v>9</v>
      </c>
      <c r="M942" s="292">
        <v>9</v>
      </c>
      <c r="N942" s="292">
        <v>9</v>
      </c>
      <c r="O942" s="292">
        <v>9</v>
      </c>
      <c r="P942" s="294">
        <v>9</v>
      </c>
      <c r="Q942" s="294">
        <v>9</v>
      </c>
      <c r="R942" s="294"/>
      <c r="S942" s="294"/>
      <c r="T942" s="294"/>
      <c r="U942" s="294"/>
      <c r="V942" s="431"/>
      <c r="W942" s="294"/>
      <c r="X942" s="294"/>
      <c r="Y942" s="294">
        <f>IF(NFI_Expiration=1,IF($A942&lt;VLOOKUP(H$5,NFI,5,0),1,0)*Table_NFI[[#This Row],[Hygiene Kit]],Table_NFI[Hygiene Kit])</f>
        <v>0</v>
      </c>
      <c r="Z942" s="294">
        <f>IF(NFI_Expiration=1,IF($A942&lt;VLOOKUP(I$5,NFI,5,0),1,0)*Table_NFI[[#This Row],[NFI Core Kit]],Table_NFI[NFI Core Kit])</f>
        <v>0</v>
      </c>
      <c r="AA942" s="294">
        <f>IF(NFI_Expiration=1,IF($A942&lt;VLOOKUP(J$5,NFI,5,0),1,0)*Table_NFI[[#This Row],[Sanitary Kit]],Table_NFI[Sanitary Kit])</f>
        <v>0</v>
      </c>
      <c r="AB942" s="294">
        <f>IF(NFI_Expiration=1,IF($A942&lt;VLOOKUP(K$5,NFI,5,0),1,0)*Table_NFI[[#This Row],[Mosquito net]],Table_NFI[Mosquito net])</f>
        <v>0</v>
      </c>
      <c r="AC942" s="294">
        <f>IF(NFI_Expiration=1,IF($A942&lt;VLOOKUP(L$5,NFI,5,0),1,0)*Table_NFI[[#This Row],[Tarpaulin]],Table_NFI[[#This Row],[Tarpaulin]])</f>
        <v>0</v>
      </c>
      <c r="AD942" s="294">
        <f>IF(NFI_Expiration=1,IF($A942&lt;VLOOKUP(M$5,NFI,5,0),1,0)*Table_NFI[[#This Row],[Blanket]],Table_NFI[[#This Row],[Blanket]])</f>
        <v>0</v>
      </c>
      <c r="AE942" s="294">
        <f>IF(NFI_Expiration=1,IF($A942&lt;VLOOKUP(N$5,NFI,5,0),1,0)*Table_NFI[[#This Row],[Kitchen Set]],Table_NFI[Kitchen Set])</f>
        <v>0</v>
      </c>
      <c r="AF942" s="294">
        <f>IF(NFI_Expiration=1,IF($A942&lt;VLOOKUP(O$5,NFI,5,0),1,0)*Table_NFI[[#This Row],[Clothes Kit]],Table_NFI[Clothes Kit])</f>
        <v>0</v>
      </c>
      <c r="AG942" s="294">
        <f>IF(NFI_Expiration=1,IF($A942&lt;VLOOKUP(P$5,NFI,5,0),1,0)*Table_NFI[[#This Row],[Plastic Bucket]],Table_NFI[Plastic Bucket])</f>
        <v>0</v>
      </c>
      <c r="AH942" s="294">
        <f>IF(NFI_Expiration=1,IF($A942&lt;VLOOKUP(Q$5,NFI,5,0),1,0)*Table_NFI[[#This Row],[Plastic Mat]],Table_NFI[Plastic Mat])*IF(Table_NFI[[#This Row],[Distribution Date]]&gt;"2014-04-01",1,2.5)</f>
        <v>0</v>
      </c>
      <c r="AI942" s="294">
        <f>IF(NFI_Expiration=1,IF($A942&lt;VLOOKUP(R$5,NFI,5,0),1,0)*Table_NFI[[#This Row],[Winter Clothes Adult]],Table_NFI[Winter Clothes Adult])</f>
        <v>0</v>
      </c>
      <c r="AJ942" s="294">
        <f>IF(NFI_Expiration=1,IF($A942&lt;VLOOKUP(S$5,NFI,5,0),1,0)*Table_NFI[[#This Row],[Winter Clothes Children]],Table_NFI[Winter Clothes Children])</f>
        <v>0</v>
      </c>
      <c r="AK942" s="294">
        <f>IF(NFI_Expiration=1,IF($A942&lt;VLOOKUP(T$5,NFI,5,0),1,0)*Table_NFI[[#This Row],[Winter Items Other]],Table_NFI[Winter Items Other])</f>
        <v>0</v>
      </c>
      <c r="AL942" s="294">
        <f>IF(NFI_Expiration=1,IF($A942&lt;VLOOKUP(M$5,NFI,5,0),1,0)*Table_NFI[[#This Row],[Winter Blanket]],Table_NFI[[#This Row],[Winter Blanket]])</f>
        <v>0</v>
      </c>
      <c r="AM942" s="294">
        <f>IF(Table_NFI[[#This Row],[Winter Clothes Adult]]+Table_NFI[[#This Row],[Winter Clothes Children]]+Table_NFI[[#This Row],[Winter Items Other]]+Table_NFI[[#This Row],[Winter Blanket]]&gt;0,1,0)</f>
        <v>0</v>
      </c>
      <c r="AN942" s="331">
        <f>IF(NFI_Expiration=1,IF($A942&lt;VLOOKUP(V$5,NFI,5,0),1,0)*Table_NFI[[#This Row],[Jerry Can]],Table_NFI[Jerry Can])</f>
        <v>0</v>
      </c>
      <c r="AO942" s="331">
        <f>IF(NFI_Expiration=1,IF($A942&lt;VLOOKUP(V$5,NFI,5,0),1,0)*Table_NFI[[#This Row],[Shelter Tool kit]],Table_NFI[Shelter Tool kit])</f>
        <v>0</v>
      </c>
      <c r="AP942" s="331">
        <f>IF(NFI_Expiration=1,IF($A942&lt;VLOOKUP(V$5,NFI,5,0),1,0)*Table_NFI[[#This Row],[Tent]],Table_NFI[Tent])</f>
        <v>0</v>
      </c>
      <c r="AQ942" s="473" t="str">
        <f>IFERROR(VLOOKUP(Table_NFI[[#This Row],[Camp Name]],CL,2,0),"")</f>
        <v>MMR001CMP028</v>
      </c>
      <c r="AR942" s="468">
        <f ca="1">IF(Table_NFI[[#This Row],[Pcode]]="","",IF(OFFSET(CampList[Opening Date],MATCH(Table_NFI[[#This Row],[Pcode]],CampList[CP_Pcode],0)-1,0,1,1)&gt;=NFI_Monitor_Date,1,0))</f>
        <v>0</v>
      </c>
      <c r="AS942" s="473" t="str">
        <f>IFERROR(VLOOKUP(Table_NFI[[#This Row],[Camp Name]],CL,3,0),"")</f>
        <v>Open</v>
      </c>
      <c r="AT942" s="294" t="str">
        <f ca="1">IF(Table_NFI[[#This Row],[Pcode]]="","",OFFSET(CampList[Priority],MATCH(Table_NFI[[#This Row],[Pcode]],CampList[CP_Pcode],0)-1,0,1,1))</f>
        <v>P4</v>
      </c>
      <c r="AU942" s="293">
        <f>IFERROR(Table_NFI[[#This Row],[Kitchen Set]]/VLOOKUP(Table_NFI[[#This Row],[Camp Name]],CL,4,0),"")</f>
        <v>9.0909090909090912E-2</v>
      </c>
      <c r="AV942" s="466" t="s">
        <v>1092</v>
      </c>
      <c r="AW942" s="469"/>
    </row>
    <row r="943" spans="1:49" ht="14.45" customHeight="1" x14ac:dyDescent="0.25">
      <c r="A943" s="297">
        <f t="shared" si="14"/>
        <v>52.4</v>
      </c>
      <c r="B943" s="465">
        <v>41103</v>
      </c>
      <c r="C943" s="466" t="s">
        <v>452</v>
      </c>
      <c r="D943" s="467" t="s">
        <v>452</v>
      </c>
      <c r="E943" s="466" t="s">
        <v>380</v>
      </c>
      <c r="F943" s="290" t="s">
        <v>310</v>
      </c>
      <c r="G943" s="290" t="s">
        <v>326</v>
      </c>
      <c r="H943" s="291"/>
      <c r="I943" s="291"/>
      <c r="J943" s="291"/>
      <c r="K943" s="291">
        <v>6</v>
      </c>
      <c r="L943" s="292">
        <v>6</v>
      </c>
      <c r="M943" s="292">
        <v>6</v>
      </c>
      <c r="N943" s="292">
        <v>6</v>
      </c>
      <c r="O943" s="292">
        <v>6</v>
      </c>
      <c r="P943" s="294">
        <v>6</v>
      </c>
      <c r="Q943" s="294">
        <v>6</v>
      </c>
      <c r="R943" s="294"/>
      <c r="S943" s="294"/>
      <c r="T943" s="294"/>
      <c r="U943" s="294"/>
      <c r="V943" s="431"/>
      <c r="W943" s="294"/>
      <c r="X943" s="294"/>
      <c r="Y943" s="294">
        <f>IF(NFI_Expiration=1,IF($A943&lt;VLOOKUP(H$5,NFI,5,0),1,0)*Table_NFI[[#This Row],[Hygiene Kit]],Table_NFI[Hygiene Kit])</f>
        <v>0</v>
      </c>
      <c r="Z943" s="294">
        <f>IF(NFI_Expiration=1,IF($A943&lt;VLOOKUP(I$5,NFI,5,0),1,0)*Table_NFI[[#This Row],[NFI Core Kit]],Table_NFI[NFI Core Kit])</f>
        <v>0</v>
      </c>
      <c r="AA943" s="294">
        <f>IF(NFI_Expiration=1,IF($A943&lt;VLOOKUP(J$5,NFI,5,0),1,0)*Table_NFI[[#This Row],[Sanitary Kit]],Table_NFI[Sanitary Kit])</f>
        <v>0</v>
      </c>
      <c r="AB943" s="294">
        <f>IF(NFI_Expiration=1,IF($A943&lt;VLOOKUP(K$5,NFI,5,0),1,0)*Table_NFI[[#This Row],[Mosquito net]],Table_NFI[Mosquito net])</f>
        <v>0</v>
      </c>
      <c r="AC943" s="294">
        <f>IF(NFI_Expiration=1,IF($A943&lt;VLOOKUP(L$5,NFI,5,0),1,0)*Table_NFI[[#This Row],[Tarpaulin]],Table_NFI[[#This Row],[Tarpaulin]])</f>
        <v>0</v>
      </c>
      <c r="AD943" s="294">
        <f>IF(NFI_Expiration=1,IF($A943&lt;VLOOKUP(M$5,NFI,5,0),1,0)*Table_NFI[[#This Row],[Blanket]],Table_NFI[[#This Row],[Blanket]])</f>
        <v>0</v>
      </c>
      <c r="AE943" s="294">
        <f>IF(NFI_Expiration=1,IF($A943&lt;VLOOKUP(N$5,NFI,5,0),1,0)*Table_NFI[[#This Row],[Kitchen Set]],Table_NFI[Kitchen Set])</f>
        <v>0</v>
      </c>
      <c r="AF943" s="294">
        <f>IF(NFI_Expiration=1,IF($A943&lt;VLOOKUP(O$5,NFI,5,0),1,0)*Table_NFI[[#This Row],[Clothes Kit]],Table_NFI[Clothes Kit])</f>
        <v>0</v>
      </c>
      <c r="AG943" s="294">
        <f>IF(NFI_Expiration=1,IF($A943&lt;VLOOKUP(P$5,NFI,5,0),1,0)*Table_NFI[[#This Row],[Plastic Bucket]],Table_NFI[Plastic Bucket])</f>
        <v>0</v>
      </c>
      <c r="AH943" s="294">
        <f>IF(NFI_Expiration=1,IF($A943&lt;VLOOKUP(Q$5,NFI,5,0),1,0)*Table_NFI[[#This Row],[Plastic Mat]],Table_NFI[Plastic Mat])*IF(Table_NFI[[#This Row],[Distribution Date]]&gt;"2014-04-01",1,2.5)</f>
        <v>0</v>
      </c>
      <c r="AI943" s="294">
        <f>IF(NFI_Expiration=1,IF($A943&lt;VLOOKUP(R$5,NFI,5,0),1,0)*Table_NFI[[#This Row],[Winter Clothes Adult]],Table_NFI[Winter Clothes Adult])</f>
        <v>0</v>
      </c>
      <c r="AJ943" s="294">
        <f>IF(NFI_Expiration=1,IF($A943&lt;VLOOKUP(S$5,NFI,5,0),1,0)*Table_NFI[[#This Row],[Winter Clothes Children]],Table_NFI[Winter Clothes Children])</f>
        <v>0</v>
      </c>
      <c r="AK943" s="294">
        <f>IF(NFI_Expiration=1,IF($A943&lt;VLOOKUP(T$5,NFI,5,0),1,0)*Table_NFI[[#This Row],[Winter Items Other]],Table_NFI[Winter Items Other])</f>
        <v>0</v>
      </c>
      <c r="AL943" s="294">
        <f>IF(NFI_Expiration=1,IF($A943&lt;VLOOKUP(M$5,NFI,5,0),1,0)*Table_NFI[[#This Row],[Winter Blanket]],Table_NFI[[#This Row],[Winter Blanket]])</f>
        <v>0</v>
      </c>
      <c r="AM943" s="294">
        <f>IF(Table_NFI[[#This Row],[Winter Clothes Adult]]+Table_NFI[[#This Row],[Winter Clothes Children]]+Table_NFI[[#This Row],[Winter Items Other]]+Table_NFI[[#This Row],[Winter Blanket]]&gt;0,1,0)</f>
        <v>0</v>
      </c>
      <c r="AN943" s="331">
        <f>IF(NFI_Expiration=1,IF($A943&lt;VLOOKUP(V$5,NFI,5,0),1,0)*Table_NFI[[#This Row],[Jerry Can]],Table_NFI[Jerry Can])</f>
        <v>0</v>
      </c>
      <c r="AO943" s="331">
        <f>IF(NFI_Expiration=1,IF($A943&lt;VLOOKUP(V$5,NFI,5,0),1,0)*Table_NFI[[#This Row],[Shelter Tool kit]],Table_NFI[Shelter Tool kit])</f>
        <v>0</v>
      </c>
      <c r="AP943" s="331">
        <f>IF(NFI_Expiration=1,IF($A943&lt;VLOOKUP(V$5,NFI,5,0),1,0)*Table_NFI[[#This Row],[Tent]],Table_NFI[Tent])</f>
        <v>0</v>
      </c>
      <c r="AQ943" s="473" t="str">
        <f>IFERROR(VLOOKUP(Table_NFI[[#This Row],[Camp Name]],CL,2,0),"")</f>
        <v>MMR001CMP039</v>
      </c>
      <c r="AR943" s="468">
        <f ca="1">IF(Table_NFI[[#This Row],[Pcode]]="","",IF(OFFSET(CampList[Opening Date],MATCH(Table_NFI[[#This Row],[Pcode]],CampList[CP_Pcode],0)-1,0,1,1)&gt;=NFI_Monitor_Date,1,0))</f>
        <v>0</v>
      </c>
      <c r="AS943" s="473" t="str">
        <f>IFERROR(VLOOKUP(Table_NFI[[#This Row],[Camp Name]],CL,3,0),"")</f>
        <v>Open</v>
      </c>
      <c r="AT943" s="294" t="str">
        <f ca="1">IF(Table_NFI[[#This Row],[Pcode]]="","",OFFSET(CampList[Priority],MATCH(Table_NFI[[#This Row],[Pcode]],CampList[CP_Pcode],0)-1,0,1,1))</f>
        <v>P4</v>
      </c>
      <c r="AU943" s="293">
        <f>IFERROR(Table_NFI[[#This Row],[Kitchen Set]]/VLOOKUP(Table_NFI[[#This Row],[Camp Name]],CL,4,0),"")</f>
        <v>0.15789473684210525</v>
      </c>
      <c r="AV943" s="466" t="s">
        <v>1092</v>
      </c>
      <c r="AW943" s="469"/>
    </row>
    <row r="944" spans="1:49" ht="14.45" customHeight="1" x14ac:dyDescent="0.25">
      <c r="A944" s="297">
        <f t="shared" si="14"/>
        <v>52.4</v>
      </c>
      <c r="B944" s="465">
        <v>41103</v>
      </c>
      <c r="C944" s="466" t="s">
        <v>452</v>
      </c>
      <c r="D944" s="467" t="s">
        <v>452</v>
      </c>
      <c r="E944" s="466" t="s">
        <v>380</v>
      </c>
      <c r="F944" s="290" t="s">
        <v>310</v>
      </c>
      <c r="G944" s="290" t="s">
        <v>318</v>
      </c>
      <c r="H944" s="291"/>
      <c r="I944" s="291"/>
      <c r="J944" s="291"/>
      <c r="K944" s="291">
        <v>13</v>
      </c>
      <c r="L944" s="292">
        <v>13</v>
      </c>
      <c r="M944" s="292">
        <v>13</v>
      </c>
      <c r="N944" s="292">
        <v>13</v>
      </c>
      <c r="O944" s="292">
        <v>13</v>
      </c>
      <c r="P944" s="294">
        <v>13</v>
      </c>
      <c r="Q944" s="294">
        <v>13</v>
      </c>
      <c r="R944" s="294"/>
      <c r="S944" s="294"/>
      <c r="T944" s="294"/>
      <c r="U944" s="294"/>
      <c r="V944" s="431"/>
      <c r="W944" s="294"/>
      <c r="X944" s="294"/>
      <c r="Y944" s="294">
        <f>IF(NFI_Expiration=1,IF($A944&lt;VLOOKUP(H$5,NFI,5,0),1,0)*Table_NFI[[#This Row],[Hygiene Kit]],Table_NFI[Hygiene Kit])</f>
        <v>0</v>
      </c>
      <c r="Z944" s="294">
        <f>IF(NFI_Expiration=1,IF($A944&lt;VLOOKUP(I$5,NFI,5,0),1,0)*Table_NFI[[#This Row],[NFI Core Kit]],Table_NFI[NFI Core Kit])</f>
        <v>0</v>
      </c>
      <c r="AA944" s="294">
        <f>IF(NFI_Expiration=1,IF($A944&lt;VLOOKUP(J$5,NFI,5,0),1,0)*Table_NFI[[#This Row],[Sanitary Kit]],Table_NFI[Sanitary Kit])</f>
        <v>0</v>
      </c>
      <c r="AB944" s="294">
        <f>IF(NFI_Expiration=1,IF($A944&lt;VLOOKUP(K$5,NFI,5,0),1,0)*Table_NFI[[#This Row],[Mosquito net]],Table_NFI[Mosquito net])</f>
        <v>0</v>
      </c>
      <c r="AC944" s="294">
        <f>IF(NFI_Expiration=1,IF($A944&lt;VLOOKUP(L$5,NFI,5,0),1,0)*Table_NFI[[#This Row],[Tarpaulin]],Table_NFI[[#This Row],[Tarpaulin]])</f>
        <v>0</v>
      </c>
      <c r="AD944" s="294">
        <f>IF(NFI_Expiration=1,IF($A944&lt;VLOOKUP(M$5,NFI,5,0),1,0)*Table_NFI[[#This Row],[Blanket]],Table_NFI[[#This Row],[Blanket]])</f>
        <v>0</v>
      </c>
      <c r="AE944" s="294">
        <f>IF(NFI_Expiration=1,IF($A944&lt;VLOOKUP(N$5,NFI,5,0),1,0)*Table_NFI[[#This Row],[Kitchen Set]],Table_NFI[Kitchen Set])</f>
        <v>0</v>
      </c>
      <c r="AF944" s="294">
        <f>IF(NFI_Expiration=1,IF($A944&lt;VLOOKUP(O$5,NFI,5,0),1,0)*Table_NFI[[#This Row],[Clothes Kit]],Table_NFI[Clothes Kit])</f>
        <v>0</v>
      </c>
      <c r="AG944" s="294">
        <f>IF(NFI_Expiration=1,IF($A944&lt;VLOOKUP(P$5,NFI,5,0),1,0)*Table_NFI[[#This Row],[Plastic Bucket]],Table_NFI[Plastic Bucket])</f>
        <v>0</v>
      </c>
      <c r="AH944" s="294">
        <f>IF(NFI_Expiration=1,IF($A944&lt;VLOOKUP(Q$5,NFI,5,0),1,0)*Table_NFI[[#This Row],[Plastic Mat]],Table_NFI[Plastic Mat])*IF(Table_NFI[[#This Row],[Distribution Date]]&gt;"2014-04-01",1,2.5)</f>
        <v>0</v>
      </c>
      <c r="AI944" s="294">
        <f>IF(NFI_Expiration=1,IF($A944&lt;VLOOKUP(R$5,NFI,5,0),1,0)*Table_NFI[[#This Row],[Winter Clothes Adult]],Table_NFI[Winter Clothes Adult])</f>
        <v>0</v>
      </c>
      <c r="AJ944" s="294">
        <f>IF(NFI_Expiration=1,IF($A944&lt;VLOOKUP(S$5,NFI,5,0),1,0)*Table_NFI[[#This Row],[Winter Clothes Children]],Table_NFI[Winter Clothes Children])</f>
        <v>0</v>
      </c>
      <c r="AK944" s="294">
        <f>IF(NFI_Expiration=1,IF($A944&lt;VLOOKUP(T$5,NFI,5,0),1,0)*Table_NFI[[#This Row],[Winter Items Other]],Table_NFI[Winter Items Other])</f>
        <v>0</v>
      </c>
      <c r="AL944" s="294">
        <f>IF(NFI_Expiration=1,IF($A944&lt;VLOOKUP(M$5,NFI,5,0),1,0)*Table_NFI[[#This Row],[Winter Blanket]],Table_NFI[[#This Row],[Winter Blanket]])</f>
        <v>0</v>
      </c>
      <c r="AM944" s="294">
        <f>IF(Table_NFI[[#This Row],[Winter Clothes Adult]]+Table_NFI[[#This Row],[Winter Clothes Children]]+Table_NFI[[#This Row],[Winter Items Other]]+Table_NFI[[#This Row],[Winter Blanket]]&gt;0,1,0)</f>
        <v>0</v>
      </c>
      <c r="AN944" s="331">
        <f>IF(NFI_Expiration=1,IF($A944&lt;VLOOKUP(V$5,NFI,5,0),1,0)*Table_NFI[[#This Row],[Jerry Can]],Table_NFI[Jerry Can])</f>
        <v>0</v>
      </c>
      <c r="AO944" s="331">
        <f>IF(NFI_Expiration=1,IF($A944&lt;VLOOKUP(V$5,NFI,5,0),1,0)*Table_NFI[[#This Row],[Shelter Tool kit]],Table_NFI[Shelter Tool kit])</f>
        <v>0</v>
      </c>
      <c r="AP944" s="331">
        <f>IF(NFI_Expiration=1,IF($A944&lt;VLOOKUP(V$5,NFI,5,0),1,0)*Table_NFI[[#This Row],[Tent]],Table_NFI[Tent])</f>
        <v>0</v>
      </c>
      <c r="AQ944" s="473" t="str">
        <f>IFERROR(VLOOKUP(Table_NFI[[#This Row],[Camp Name]],CL,2,0),"")</f>
        <v>MMR001CMP032</v>
      </c>
      <c r="AR944" s="468">
        <f ca="1">IF(Table_NFI[[#This Row],[Pcode]]="","",IF(OFFSET(CampList[Opening Date],MATCH(Table_NFI[[#This Row],[Pcode]],CampList[CP_Pcode],0)-1,0,1,1)&gt;=NFI_Monitor_Date,1,0))</f>
        <v>0</v>
      </c>
      <c r="AS944" s="473" t="str">
        <f>IFERROR(VLOOKUP(Table_NFI[[#This Row],[Camp Name]],CL,3,0),"")</f>
        <v>Open</v>
      </c>
      <c r="AT944" s="294" t="str">
        <f ca="1">IF(Table_NFI[[#This Row],[Pcode]]="","",OFFSET(CampList[Priority],MATCH(Table_NFI[[#This Row],[Pcode]],CampList[CP_Pcode],0)-1,0,1,1))</f>
        <v>P4</v>
      </c>
      <c r="AU944" s="293">
        <f>IFERROR(Table_NFI[[#This Row],[Kitchen Set]]/VLOOKUP(Table_NFI[[#This Row],[Camp Name]],CL,4,0),"")</f>
        <v>0.14285714285714285</v>
      </c>
      <c r="AV944" s="466" t="s">
        <v>1092</v>
      </c>
      <c r="AW944" s="469"/>
    </row>
    <row r="945" spans="1:49" ht="14.45" customHeight="1" x14ac:dyDescent="0.25">
      <c r="A945" s="297">
        <f t="shared" si="14"/>
        <v>52.4</v>
      </c>
      <c r="B945" s="465">
        <v>41103</v>
      </c>
      <c r="C945" s="466" t="s">
        <v>452</v>
      </c>
      <c r="D945" s="467" t="s">
        <v>452</v>
      </c>
      <c r="E945" s="466" t="s">
        <v>380</v>
      </c>
      <c r="F945" s="290" t="s">
        <v>310</v>
      </c>
      <c r="G945" s="290" t="s">
        <v>351</v>
      </c>
      <c r="H945" s="291"/>
      <c r="I945" s="291"/>
      <c r="J945" s="291"/>
      <c r="K945" s="291">
        <v>3</v>
      </c>
      <c r="L945" s="292">
        <v>3</v>
      </c>
      <c r="M945" s="292">
        <v>3</v>
      </c>
      <c r="N945" s="292">
        <v>3</v>
      </c>
      <c r="O945" s="292">
        <v>3</v>
      </c>
      <c r="P945" s="294">
        <v>3</v>
      </c>
      <c r="Q945" s="294">
        <v>3</v>
      </c>
      <c r="R945" s="294"/>
      <c r="S945" s="294"/>
      <c r="T945" s="294"/>
      <c r="U945" s="294"/>
      <c r="V945" s="431"/>
      <c r="W945" s="294"/>
      <c r="X945" s="294"/>
      <c r="Y945" s="294">
        <f>IF(NFI_Expiration=1,IF($A945&lt;VLOOKUP(H$5,NFI,5,0),1,0)*Table_NFI[[#This Row],[Hygiene Kit]],Table_NFI[Hygiene Kit])</f>
        <v>0</v>
      </c>
      <c r="Z945" s="294">
        <f>IF(NFI_Expiration=1,IF($A945&lt;VLOOKUP(I$5,NFI,5,0),1,0)*Table_NFI[[#This Row],[NFI Core Kit]],Table_NFI[NFI Core Kit])</f>
        <v>0</v>
      </c>
      <c r="AA945" s="294">
        <f>IF(NFI_Expiration=1,IF($A945&lt;VLOOKUP(J$5,NFI,5,0),1,0)*Table_NFI[[#This Row],[Sanitary Kit]],Table_NFI[Sanitary Kit])</f>
        <v>0</v>
      </c>
      <c r="AB945" s="294">
        <f>IF(NFI_Expiration=1,IF($A945&lt;VLOOKUP(K$5,NFI,5,0),1,0)*Table_NFI[[#This Row],[Mosquito net]],Table_NFI[Mosquito net])</f>
        <v>0</v>
      </c>
      <c r="AC945" s="294">
        <f>IF(NFI_Expiration=1,IF($A945&lt;VLOOKUP(L$5,NFI,5,0),1,0)*Table_NFI[[#This Row],[Tarpaulin]],Table_NFI[[#This Row],[Tarpaulin]])</f>
        <v>0</v>
      </c>
      <c r="AD945" s="294">
        <f>IF(NFI_Expiration=1,IF($A945&lt;VLOOKUP(M$5,NFI,5,0),1,0)*Table_NFI[[#This Row],[Blanket]],Table_NFI[[#This Row],[Blanket]])</f>
        <v>0</v>
      </c>
      <c r="AE945" s="294">
        <f>IF(NFI_Expiration=1,IF($A945&lt;VLOOKUP(N$5,NFI,5,0),1,0)*Table_NFI[[#This Row],[Kitchen Set]],Table_NFI[Kitchen Set])</f>
        <v>0</v>
      </c>
      <c r="AF945" s="294">
        <f>IF(NFI_Expiration=1,IF($A945&lt;VLOOKUP(O$5,NFI,5,0),1,0)*Table_NFI[[#This Row],[Clothes Kit]],Table_NFI[Clothes Kit])</f>
        <v>0</v>
      </c>
      <c r="AG945" s="294">
        <f>IF(NFI_Expiration=1,IF($A945&lt;VLOOKUP(P$5,NFI,5,0),1,0)*Table_NFI[[#This Row],[Plastic Bucket]],Table_NFI[Plastic Bucket])</f>
        <v>0</v>
      </c>
      <c r="AH945" s="294">
        <f>IF(NFI_Expiration=1,IF($A945&lt;VLOOKUP(Q$5,NFI,5,0),1,0)*Table_NFI[[#This Row],[Plastic Mat]],Table_NFI[Plastic Mat])*IF(Table_NFI[[#This Row],[Distribution Date]]&gt;"2014-04-01",1,2.5)</f>
        <v>0</v>
      </c>
      <c r="AI945" s="294">
        <f>IF(NFI_Expiration=1,IF($A945&lt;VLOOKUP(R$5,NFI,5,0),1,0)*Table_NFI[[#This Row],[Winter Clothes Adult]],Table_NFI[Winter Clothes Adult])</f>
        <v>0</v>
      </c>
      <c r="AJ945" s="294">
        <f>IF(NFI_Expiration=1,IF($A945&lt;VLOOKUP(S$5,NFI,5,0),1,0)*Table_NFI[[#This Row],[Winter Clothes Children]],Table_NFI[Winter Clothes Children])</f>
        <v>0</v>
      </c>
      <c r="AK945" s="294">
        <f>IF(NFI_Expiration=1,IF($A945&lt;VLOOKUP(T$5,NFI,5,0),1,0)*Table_NFI[[#This Row],[Winter Items Other]],Table_NFI[Winter Items Other])</f>
        <v>0</v>
      </c>
      <c r="AL945" s="294">
        <f>IF(NFI_Expiration=1,IF($A945&lt;VLOOKUP(M$5,NFI,5,0),1,0)*Table_NFI[[#This Row],[Winter Blanket]],Table_NFI[[#This Row],[Winter Blanket]])</f>
        <v>0</v>
      </c>
      <c r="AM945" s="294">
        <f>IF(Table_NFI[[#This Row],[Winter Clothes Adult]]+Table_NFI[[#This Row],[Winter Clothes Children]]+Table_NFI[[#This Row],[Winter Items Other]]+Table_NFI[[#This Row],[Winter Blanket]]&gt;0,1,0)</f>
        <v>0</v>
      </c>
      <c r="AN945" s="331">
        <f>IF(NFI_Expiration=1,IF($A945&lt;VLOOKUP(V$5,NFI,5,0),1,0)*Table_NFI[[#This Row],[Jerry Can]],Table_NFI[Jerry Can])</f>
        <v>0</v>
      </c>
      <c r="AO945" s="331">
        <f>IF(NFI_Expiration=1,IF($A945&lt;VLOOKUP(V$5,NFI,5,0),1,0)*Table_NFI[[#This Row],[Shelter Tool kit]],Table_NFI[Shelter Tool kit])</f>
        <v>0</v>
      </c>
      <c r="AP945" s="331">
        <f>IF(NFI_Expiration=1,IF($A945&lt;VLOOKUP(V$5,NFI,5,0),1,0)*Table_NFI[[#This Row],[Tent]],Table_NFI[Tent])</f>
        <v>0</v>
      </c>
      <c r="AQ945" s="473" t="str">
        <f>IFERROR(VLOOKUP(Table_NFI[[#This Row],[Camp Name]],CL,2,0),"")</f>
        <v>MMR001CMP026</v>
      </c>
      <c r="AR945" s="468">
        <f ca="1">IF(Table_NFI[[#This Row],[Pcode]]="","",IF(OFFSET(CampList[Opening Date],MATCH(Table_NFI[[#This Row],[Pcode]],CampList[CP_Pcode],0)-1,0,1,1)&gt;=NFI_Monitor_Date,1,0))</f>
        <v>0</v>
      </c>
      <c r="AS945" s="473" t="str">
        <f>IFERROR(VLOOKUP(Table_NFI[[#This Row],[Camp Name]],CL,3,0),"")</f>
        <v>Open</v>
      </c>
      <c r="AT945" s="294" t="str">
        <f ca="1">IF(Table_NFI[[#This Row],[Pcode]]="","",OFFSET(CampList[Priority],MATCH(Table_NFI[[#This Row],[Pcode]],CampList[CP_Pcode],0)-1,0,1,1))</f>
        <v>P4</v>
      </c>
      <c r="AU945" s="293">
        <f>IFERROR(Table_NFI[[#This Row],[Kitchen Set]]/VLOOKUP(Table_NFI[[#This Row],[Camp Name]],CL,4,0),"")</f>
        <v>3.4482758620689655E-2</v>
      </c>
      <c r="AV945" s="466" t="s">
        <v>1092</v>
      </c>
      <c r="AW945" s="469"/>
    </row>
    <row r="946" spans="1:49" ht="14.45" customHeight="1" x14ac:dyDescent="0.25">
      <c r="A946" s="297">
        <f t="shared" si="14"/>
        <v>52.4</v>
      </c>
      <c r="B946" s="465">
        <v>41103</v>
      </c>
      <c r="C946" s="466" t="s">
        <v>452</v>
      </c>
      <c r="D946" s="466" t="s">
        <v>452</v>
      </c>
      <c r="E946" s="466" t="s">
        <v>380</v>
      </c>
      <c r="F946" s="290" t="s">
        <v>310</v>
      </c>
      <c r="G946" s="290" t="s">
        <v>349</v>
      </c>
      <c r="H946" s="291"/>
      <c r="I946" s="291"/>
      <c r="J946" s="291"/>
      <c r="K946" s="291">
        <v>8</v>
      </c>
      <c r="L946" s="292">
        <v>8</v>
      </c>
      <c r="M946" s="292">
        <v>8</v>
      </c>
      <c r="N946" s="292">
        <v>8</v>
      </c>
      <c r="O946" s="292">
        <v>8</v>
      </c>
      <c r="P946" s="294">
        <v>8</v>
      </c>
      <c r="Q946" s="294">
        <v>8</v>
      </c>
      <c r="R946" s="294"/>
      <c r="S946" s="294"/>
      <c r="T946" s="294"/>
      <c r="U946" s="294"/>
      <c r="V946" s="431"/>
      <c r="W946" s="294"/>
      <c r="X946" s="294"/>
      <c r="Y946" s="294">
        <f>IF(NFI_Expiration=1,IF($A946&lt;VLOOKUP(H$5,NFI,5,0),1,0)*Table_NFI[[#This Row],[Hygiene Kit]],Table_NFI[Hygiene Kit])</f>
        <v>0</v>
      </c>
      <c r="Z946" s="294">
        <f>IF(NFI_Expiration=1,IF($A946&lt;VLOOKUP(I$5,NFI,5,0),1,0)*Table_NFI[[#This Row],[NFI Core Kit]],Table_NFI[NFI Core Kit])</f>
        <v>0</v>
      </c>
      <c r="AA946" s="294">
        <f>IF(NFI_Expiration=1,IF($A946&lt;VLOOKUP(J$5,NFI,5,0),1,0)*Table_NFI[[#This Row],[Sanitary Kit]],Table_NFI[Sanitary Kit])</f>
        <v>0</v>
      </c>
      <c r="AB946" s="294">
        <f>IF(NFI_Expiration=1,IF($A946&lt;VLOOKUP(K$5,NFI,5,0),1,0)*Table_NFI[[#This Row],[Mosquito net]],Table_NFI[Mosquito net])</f>
        <v>0</v>
      </c>
      <c r="AC946" s="294">
        <f>IF(NFI_Expiration=1,IF($A946&lt;VLOOKUP(L$5,NFI,5,0),1,0)*Table_NFI[[#This Row],[Tarpaulin]],Table_NFI[[#This Row],[Tarpaulin]])</f>
        <v>0</v>
      </c>
      <c r="AD946" s="294">
        <f>IF(NFI_Expiration=1,IF($A946&lt;VLOOKUP(M$5,NFI,5,0),1,0)*Table_NFI[[#This Row],[Blanket]],Table_NFI[[#This Row],[Blanket]])</f>
        <v>0</v>
      </c>
      <c r="AE946" s="294">
        <f>IF(NFI_Expiration=1,IF($A946&lt;VLOOKUP(N$5,NFI,5,0),1,0)*Table_NFI[[#This Row],[Kitchen Set]],Table_NFI[Kitchen Set])</f>
        <v>0</v>
      </c>
      <c r="AF946" s="294">
        <f>IF(NFI_Expiration=1,IF($A946&lt;VLOOKUP(O$5,NFI,5,0),1,0)*Table_NFI[[#This Row],[Clothes Kit]],Table_NFI[Clothes Kit])</f>
        <v>0</v>
      </c>
      <c r="AG946" s="294">
        <f>IF(NFI_Expiration=1,IF($A946&lt;VLOOKUP(P$5,NFI,5,0),1,0)*Table_NFI[[#This Row],[Plastic Bucket]],Table_NFI[Plastic Bucket])</f>
        <v>0</v>
      </c>
      <c r="AH946" s="294">
        <f>IF(NFI_Expiration=1,IF($A946&lt;VLOOKUP(Q$5,NFI,5,0),1,0)*Table_NFI[[#This Row],[Plastic Mat]],Table_NFI[Plastic Mat])*IF(Table_NFI[[#This Row],[Distribution Date]]&gt;"2014-04-01",1,2.5)</f>
        <v>0</v>
      </c>
      <c r="AI946" s="294">
        <f>IF(NFI_Expiration=1,IF($A946&lt;VLOOKUP(R$5,NFI,5,0),1,0)*Table_NFI[[#This Row],[Winter Clothes Adult]],Table_NFI[Winter Clothes Adult])</f>
        <v>0</v>
      </c>
      <c r="AJ946" s="294">
        <f>IF(NFI_Expiration=1,IF($A946&lt;VLOOKUP(S$5,NFI,5,0),1,0)*Table_NFI[[#This Row],[Winter Clothes Children]],Table_NFI[Winter Clothes Children])</f>
        <v>0</v>
      </c>
      <c r="AK946" s="294">
        <f>IF(NFI_Expiration=1,IF($A946&lt;VLOOKUP(T$5,NFI,5,0),1,0)*Table_NFI[[#This Row],[Winter Items Other]],Table_NFI[Winter Items Other])</f>
        <v>0</v>
      </c>
      <c r="AL946" s="294">
        <f>IF(NFI_Expiration=1,IF($A946&lt;VLOOKUP(M$5,NFI,5,0),1,0)*Table_NFI[[#This Row],[Winter Blanket]],Table_NFI[[#This Row],[Winter Blanket]])</f>
        <v>0</v>
      </c>
      <c r="AM946" s="294">
        <f>IF(Table_NFI[[#This Row],[Winter Clothes Adult]]+Table_NFI[[#This Row],[Winter Clothes Children]]+Table_NFI[[#This Row],[Winter Items Other]]+Table_NFI[[#This Row],[Winter Blanket]]&gt;0,1,0)</f>
        <v>0</v>
      </c>
      <c r="AN946" s="331">
        <f>IF(NFI_Expiration=1,IF($A946&lt;VLOOKUP(V$5,NFI,5,0),1,0)*Table_NFI[[#This Row],[Jerry Can]],Table_NFI[Jerry Can])</f>
        <v>0</v>
      </c>
      <c r="AO946" s="331">
        <f>IF(NFI_Expiration=1,IF($A946&lt;VLOOKUP(V$5,NFI,5,0),1,0)*Table_NFI[[#This Row],[Shelter Tool kit]],Table_NFI[Shelter Tool kit])</f>
        <v>0</v>
      </c>
      <c r="AP946" s="331">
        <f>IF(NFI_Expiration=1,IF($A946&lt;VLOOKUP(V$5,NFI,5,0),1,0)*Table_NFI[[#This Row],[Tent]],Table_NFI[Tent])</f>
        <v>0</v>
      </c>
      <c r="AQ946" s="473" t="str">
        <f>IFERROR(VLOOKUP(Table_NFI[[#This Row],[Camp Name]],CL,2,0),"")</f>
        <v>MMR001CMP037</v>
      </c>
      <c r="AR946" s="468">
        <f ca="1">IF(Table_NFI[[#This Row],[Pcode]]="","",IF(OFFSET(CampList[Opening Date],MATCH(Table_NFI[[#This Row],[Pcode]],CampList[CP_Pcode],0)-1,0,1,1)&gt;=NFI_Monitor_Date,1,0))</f>
        <v>0</v>
      </c>
      <c r="AS946" s="473" t="str">
        <f>IFERROR(VLOOKUP(Table_NFI[[#This Row],[Camp Name]],CL,3,0),"")</f>
        <v>Open</v>
      </c>
      <c r="AT946" s="294" t="str">
        <f ca="1">IF(Table_NFI[[#This Row],[Pcode]]="","",OFFSET(CampList[Priority],MATCH(Table_NFI[[#This Row],[Pcode]],CampList[CP_Pcode],0)-1,0,1,1))</f>
        <v>P4</v>
      </c>
      <c r="AU946" s="293">
        <f>IFERROR(Table_NFI[[#This Row],[Kitchen Set]]/VLOOKUP(Table_NFI[[#This Row],[Camp Name]],CL,4,0),"")</f>
        <v>0.18181818181818182</v>
      </c>
      <c r="AV946" s="466" t="s">
        <v>1092</v>
      </c>
      <c r="AW946" s="469"/>
    </row>
    <row r="947" spans="1:49" x14ac:dyDescent="0.25">
      <c r="A947" s="297">
        <f t="shared" si="14"/>
        <v>52.4</v>
      </c>
      <c r="B947" s="465">
        <v>41103</v>
      </c>
      <c r="C947" s="466" t="s">
        <v>452</v>
      </c>
      <c r="D947" s="467" t="s">
        <v>452</v>
      </c>
      <c r="E947" s="466" t="s">
        <v>380</v>
      </c>
      <c r="F947" s="290" t="s">
        <v>310</v>
      </c>
      <c r="G947" s="290" t="s">
        <v>311</v>
      </c>
      <c r="H947" s="291"/>
      <c r="I947" s="291"/>
      <c r="J947" s="291"/>
      <c r="K947" s="291">
        <v>2</v>
      </c>
      <c r="L947" s="292">
        <v>2</v>
      </c>
      <c r="M947" s="292">
        <v>2</v>
      </c>
      <c r="N947" s="292">
        <v>2</v>
      </c>
      <c r="O947" s="292">
        <v>2</v>
      </c>
      <c r="P947" s="294">
        <v>2</v>
      </c>
      <c r="Q947" s="294">
        <v>2</v>
      </c>
      <c r="R947" s="294"/>
      <c r="S947" s="294"/>
      <c r="T947" s="294"/>
      <c r="U947" s="294"/>
      <c r="V947" s="431"/>
      <c r="W947" s="331"/>
      <c r="X947" s="331"/>
      <c r="Y947" s="294">
        <f>IF(NFI_Expiration=1,IF($A947&lt;VLOOKUP(H$5,NFI,5,0),1,0)*Table_NFI[[#This Row],[Hygiene Kit]],Table_NFI[Hygiene Kit])</f>
        <v>0</v>
      </c>
      <c r="Z947" s="294">
        <f>IF(NFI_Expiration=1,IF($A947&lt;VLOOKUP(I$5,NFI,5,0),1,0)*Table_NFI[[#This Row],[NFI Core Kit]],Table_NFI[NFI Core Kit])</f>
        <v>0</v>
      </c>
      <c r="AA947" s="294">
        <f>IF(NFI_Expiration=1,IF($A947&lt;VLOOKUP(J$5,NFI,5,0),1,0)*Table_NFI[[#This Row],[Sanitary Kit]],Table_NFI[Sanitary Kit])</f>
        <v>0</v>
      </c>
      <c r="AB947" s="294">
        <f>IF(NFI_Expiration=1,IF($A947&lt;VLOOKUP(K$5,NFI,5,0),1,0)*Table_NFI[[#This Row],[Mosquito net]],Table_NFI[Mosquito net])</f>
        <v>0</v>
      </c>
      <c r="AC947" s="294">
        <f>IF(NFI_Expiration=1,IF($A947&lt;VLOOKUP(L$5,NFI,5,0),1,0)*Table_NFI[[#This Row],[Tarpaulin]],Table_NFI[[#This Row],[Tarpaulin]])</f>
        <v>0</v>
      </c>
      <c r="AD947" s="294">
        <f>IF(NFI_Expiration=1,IF($A947&lt;VLOOKUP(M$5,NFI,5,0),1,0)*Table_NFI[[#This Row],[Blanket]],Table_NFI[[#This Row],[Blanket]])</f>
        <v>0</v>
      </c>
      <c r="AE947" s="294">
        <f>IF(NFI_Expiration=1,IF($A947&lt;VLOOKUP(N$5,NFI,5,0),1,0)*Table_NFI[[#This Row],[Kitchen Set]],Table_NFI[Kitchen Set])</f>
        <v>0</v>
      </c>
      <c r="AF947" s="294">
        <f>IF(NFI_Expiration=1,IF($A947&lt;VLOOKUP(O$5,NFI,5,0),1,0)*Table_NFI[[#This Row],[Clothes Kit]],Table_NFI[Clothes Kit])</f>
        <v>0</v>
      </c>
      <c r="AG947" s="294">
        <f>IF(NFI_Expiration=1,IF($A947&lt;VLOOKUP(P$5,NFI,5,0),1,0)*Table_NFI[[#This Row],[Plastic Bucket]],Table_NFI[Plastic Bucket])</f>
        <v>0</v>
      </c>
      <c r="AH947" s="294">
        <f>IF(NFI_Expiration=1,IF($A947&lt;VLOOKUP(Q$5,NFI,5,0),1,0)*Table_NFI[[#This Row],[Plastic Mat]],Table_NFI[Plastic Mat])*IF(Table_NFI[[#This Row],[Distribution Date]]&gt;"2014-04-01",1,2.5)</f>
        <v>0</v>
      </c>
      <c r="AI947" s="294">
        <f>IF(NFI_Expiration=1,IF($A947&lt;VLOOKUP(R$5,NFI,5,0),1,0)*Table_NFI[[#This Row],[Winter Clothes Adult]],Table_NFI[Winter Clothes Adult])</f>
        <v>0</v>
      </c>
      <c r="AJ947" s="294">
        <f>IF(NFI_Expiration=1,IF($A947&lt;VLOOKUP(S$5,NFI,5,0),1,0)*Table_NFI[[#This Row],[Winter Clothes Children]],Table_NFI[Winter Clothes Children])</f>
        <v>0</v>
      </c>
      <c r="AK947" s="294">
        <f>IF(NFI_Expiration=1,IF($A947&lt;VLOOKUP(T$5,NFI,5,0),1,0)*Table_NFI[[#This Row],[Winter Items Other]],Table_NFI[Winter Items Other])</f>
        <v>0</v>
      </c>
      <c r="AL947" s="294">
        <f>IF(NFI_Expiration=1,IF($A947&lt;VLOOKUP(M$5,NFI,5,0),1,0)*Table_NFI[[#This Row],[Winter Blanket]],Table_NFI[[#This Row],[Winter Blanket]])</f>
        <v>0</v>
      </c>
      <c r="AM947" s="294">
        <f>IF(Table_NFI[[#This Row],[Winter Clothes Adult]]+Table_NFI[[#This Row],[Winter Clothes Children]]+Table_NFI[[#This Row],[Winter Items Other]]+Table_NFI[[#This Row],[Winter Blanket]]&gt;0,1,0)</f>
        <v>0</v>
      </c>
      <c r="AN947" s="331">
        <f>IF(NFI_Expiration=1,IF($A947&lt;VLOOKUP(V$5,NFI,5,0),1,0)*Table_NFI[[#This Row],[Jerry Can]],Table_NFI[Jerry Can])</f>
        <v>0</v>
      </c>
      <c r="AO947" s="331">
        <f>IF(NFI_Expiration=1,IF($A947&lt;VLOOKUP(V$5,NFI,5,0),1,0)*Table_NFI[[#This Row],[Shelter Tool kit]],Table_NFI[Shelter Tool kit])</f>
        <v>0</v>
      </c>
      <c r="AP947" s="331">
        <f>IF(NFI_Expiration=1,IF($A947&lt;VLOOKUP(V$5,NFI,5,0),1,0)*Table_NFI[[#This Row],[Tent]],Table_NFI[Tent])</f>
        <v>0</v>
      </c>
      <c r="AQ947" s="473" t="str">
        <f>IFERROR(VLOOKUP(Table_NFI[[#This Row],[Camp Name]],CL,2,0),"")</f>
        <v>MMR001CMP036</v>
      </c>
      <c r="AR947" s="468">
        <f ca="1">IF(Table_NFI[[#This Row],[Pcode]]="","",IF(OFFSET(CampList[Opening Date],MATCH(Table_NFI[[#This Row],[Pcode]],CampList[CP_Pcode],0)-1,0,1,1)&gt;=NFI_Monitor_Date,1,0))</f>
        <v>0</v>
      </c>
      <c r="AS947" s="473" t="str">
        <f>IFERROR(VLOOKUP(Table_NFI[[#This Row],[Camp Name]],CL,3,0),"")</f>
        <v>Closed</v>
      </c>
      <c r="AT947" s="294" t="str">
        <f ca="1">IF(Table_NFI[[#This Row],[Pcode]]="","",OFFSET(CampList[Priority],MATCH(Table_NFI[[#This Row],[Pcode]],CampList[CP_Pcode],0)-1,0,1,1))</f>
        <v>P4</v>
      </c>
      <c r="AU947" s="293" t="str">
        <f>IFERROR(Table_NFI[[#This Row],[Kitchen Set]]/VLOOKUP(Table_NFI[[#This Row],[Camp Name]],CL,4,0),"")</f>
        <v/>
      </c>
      <c r="AV947" s="466" t="s">
        <v>1092</v>
      </c>
      <c r="AW947" s="469"/>
    </row>
    <row r="948" spans="1:49" ht="14.45" customHeight="1" x14ac:dyDescent="0.25">
      <c r="A948" s="297">
        <f t="shared" si="14"/>
        <v>52.5</v>
      </c>
      <c r="B948" s="465">
        <v>41100</v>
      </c>
      <c r="C948" s="466" t="s">
        <v>452</v>
      </c>
      <c r="D948" s="467" t="s">
        <v>506</v>
      </c>
      <c r="E948" s="466" t="s">
        <v>380</v>
      </c>
      <c r="F948" s="290" t="s">
        <v>310</v>
      </c>
      <c r="G948" s="290" t="s">
        <v>322</v>
      </c>
      <c r="H948" s="291"/>
      <c r="I948" s="291"/>
      <c r="J948" s="291"/>
      <c r="K948" s="291">
        <v>0</v>
      </c>
      <c r="L948" s="292">
        <v>599</v>
      </c>
      <c r="M948" s="292">
        <v>675</v>
      </c>
      <c r="N948" s="292">
        <v>599</v>
      </c>
      <c r="O948" s="292">
        <v>0</v>
      </c>
      <c r="P948" s="294"/>
      <c r="Q948" s="294"/>
      <c r="R948" s="294"/>
      <c r="S948" s="294"/>
      <c r="T948" s="294"/>
      <c r="U948" s="294"/>
      <c r="V948" s="431"/>
      <c r="W948" s="294"/>
      <c r="X948" s="294"/>
      <c r="Y948" s="294">
        <f>IF(NFI_Expiration=1,IF($A948&lt;VLOOKUP(H$5,NFI,5,0),1,0)*Table_NFI[[#This Row],[Hygiene Kit]],Table_NFI[Hygiene Kit])</f>
        <v>0</v>
      </c>
      <c r="Z948" s="294">
        <f>IF(NFI_Expiration=1,IF($A948&lt;VLOOKUP(I$5,NFI,5,0),1,0)*Table_NFI[[#This Row],[NFI Core Kit]],Table_NFI[NFI Core Kit])</f>
        <v>0</v>
      </c>
      <c r="AA948" s="294">
        <f>IF(NFI_Expiration=1,IF($A948&lt;VLOOKUP(J$5,NFI,5,0),1,0)*Table_NFI[[#This Row],[Sanitary Kit]],Table_NFI[Sanitary Kit])</f>
        <v>0</v>
      </c>
      <c r="AB948" s="294">
        <f>IF(NFI_Expiration=1,IF($A948&lt;VLOOKUP(K$5,NFI,5,0),1,0)*Table_NFI[[#This Row],[Mosquito net]],Table_NFI[Mosquito net])</f>
        <v>0</v>
      </c>
      <c r="AC948" s="294">
        <f>IF(NFI_Expiration=1,IF($A948&lt;VLOOKUP(L$5,NFI,5,0),1,0)*Table_NFI[[#This Row],[Tarpaulin]],Table_NFI[[#This Row],[Tarpaulin]])</f>
        <v>0</v>
      </c>
      <c r="AD948" s="294">
        <f>IF(NFI_Expiration=1,IF($A948&lt;VLOOKUP(M$5,NFI,5,0),1,0)*Table_NFI[[#This Row],[Blanket]],Table_NFI[[#This Row],[Blanket]])</f>
        <v>0</v>
      </c>
      <c r="AE948" s="294">
        <f>IF(NFI_Expiration=1,IF($A948&lt;VLOOKUP(N$5,NFI,5,0),1,0)*Table_NFI[[#This Row],[Kitchen Set]],Table_NFI[Kitchen Set])</f>
        <v>0</v>
      </c>
      <c r="AF948" s="294">
        <f>IF(NFI_Expiration=1,IF($A948&lt;VLOOKUP(O$5,NFI,5,0),1,0)*Table_NFI[[#This Row],[Clothes Kit]],Table_NFI[Clothes Kit])</f>
        <v>0</v>
      </c>
      <c r="AG948" s="294">
        <f>IF(NFI_Expiration=1,IF($A948&lt;VLOOKUP(P$5,NFI,5,0),1,0)*Table_NFI[[#This Row],[Plastic Bucket]],Table_NFI[Plastic Bucket])</f>
        <v>0</v>
      </c>
      <c r="AH948" s="294">
        <f>IF(NFI_Expiration=1,IF($A948&lt;VLOOKUP(Q$5,NFI,5,0),1,0)*Table_NFI[[#This Row],[Plastic Mat]],Table_NFI[Plastic Mat])*IF(Table_NFI[[#This Row],[Distribution Date]]&gt;"2014-04-01",1,2.5)</f>
        <v>0</v>
      </c>
      <c r="AI948" s="294">
        <f>IF(NFI_Expiration=1,IF($A948&lt;VLOOKUP(R$5,NFI,5,0),1,0)*Table_NFI[[#This Row],[Winter Clothes Adult]],Table_NFI[Winter Clothes Adult])</f>
        <v>0</v>
      </c>
      <c r="AJ948" s="294">
        <f>IF(NFI_Expiration=1,IF($A948&lt;VLOOKUP(S$5,NFI,5,0),1,0)*Table_NFI[[#This Row],[Winter Clothes Children]],Table_NFI[Winter Clothes Children])</f>
        <v>0</v>
      </c>
      <c r="AK948" s="294">
        <f>IF(NFI_Expiration=1,IF($A948&lt;VLOOKUP(T$5,NFI,5,0),1,0)*Table_NFI[[#This Row],[Winter Items Other]],Table_NFI[Winter Items Other])</f>
        <v>0</v>
      </c>
      <c r="AL948" s="294">
        <f>IF(NFI_Expiration=1,IF($A948&lt;VLOOKUP(M$5,NFI,5,0),1,0)*Table_NFI[[#This Row],[Winter Blanket]],Table_NFI[[#This Row],[Winter Blanket]])</f>
        <v>0</v>
      </c>
      <c r="AM948" s="294">
        <f>IF(Table_NFI[[#This Row],[Winter Clothes Adult]]+Table_NFI[[#This Row],[Winter Clothes Children]]+Table_NFI[[#This Row],[Winter Items Other]]+Table_NFI[[#This Row],[Winter Blanket]]&gt;0,1,0)</f>
        <v>0</v>
      </c>
      <c r="AN948" s="331">
        <f>IF(NFI_Expiration=1,IF($A948&lt;VLOOKUP(V$5,NFI,5,0),1,0)*Table_NFI[[#This Row],[Jerry Can]],Table_NFI[Jerry Can])</f>
        <v>0</v>
      </c>
      <c r="AO948" s="331">
        <f>IF(NFI_Expiration=1,IF($A948&lt;VLOOKUP(V$5,NFI,5,0),1,0)*Table_NFI[[#This Row],[Shelter Tool kit]],Table_NFI[Shelter Tool kit])</f>
        <v>0</v>
      </c>
      <c r="AP948" s="331">
        <f>IF(NFI_Expiration=1,IF($A948&lt;VLOOKUP(V$5,NFI,5,0),1,0)*Table_NFI[[#This Row],[Tent]],Table_NFI[Tent])</f>
        <v>0</v>
      </c>
      <c r="AQ948" s="473" t="str">
        <f>IFERROR(VLOOKUP(Table_NFI[[#This Row],[Camp Name]],CL,2,0),"")</f>
        <v>MMR001CMP119</v>
      </c>
      <c r="AR948" s="468">
        <f ca="1">IF(Table_NFI[[#This Row],[Pcode]]="","",IF(OFFSET(CampList[Opening Date],MATCH(Table_NFI[[#This Row],[Pcode]],CampList[CP_Pcode],0)-1,0,1,1)&gt;=NFI_Monitor_Date,1,0))</f>
        <v>0</v>
      </c>
      <c r="AS948" s="473" t="str">
        <f>IFERROR(VLOOKUP(Table_NFI[[#This Row],[Camp Name]],CL,3,0),"")</f>
        <v>Open</v>
      </c>
      <c r="AT948" s="294" t="str">
        <f ca="1">IF(Table_NFI[[#This Row],[Pcode]]="","",OFFSET(CampList[Priority],MATCH(Table_NFI[[#This Row],[Pcode]],CampList[CP_Pcode],0)-1,0,1,1))</f>
        <v>P2</v>
      </c>
      <c r="AU948" s="293">
        <f>IFERROR(Table_NFI[[#This Row],[Kitchen Set]]/VLOOKUP(Table_NFI[[#This Row],[Camp Name]],CL,4,0),"")</f>
        <v>1.0239316239316238</v>
      </c>
      <c r="AV948" s="466" t="s">
        <v>1092</v>
      </c>
      <c r="AW948" s="469"/>
    </row>
    <row r="949" spans="1:49" x14ac:dyDescent="0.25">
      <c r="A949" s="297">
        <f t="shared" si="14"/>
        <v>52.533333333333331</v>
      </c>
      <c r="B949" s="465">
        <v>41099</v>
      </c>
      <c r="C949" s="466" t="s">
        <v>452</v>
      </c>
      <c r="D949" s="466" t="s">
        <v>452</v>
      </c>
      <c r="E949" s="466" t="s">
        <v>380</v>
      </c>
      <c r="F949" s="466" t="s">
        <v>310</v>
      </c>
      <c r="G949" s="290" t="s">
        <v>318</v>
      </c>
      <c r="H949" s="291"/>
      <c r="I949" s="291"/>
      <c r="J949" s="291"/>
      <c r="K949" s="291">
        <v>77</v>
      </c>
      <c r="L949" s="292">
        <v>34</v>
      </c>
      <c r="M949" s="292">
        <v>77</v>
      </c>
      <c r="N949" s="292">
        <v>35</v>
      </c>
      <c r="O949" s="292">
        <v>52</v>
      </c>
      <c r="P949" s="294">
        <v>52</v>
      </c>
      <c r="Q949" s="294">
        <v>52</v>
      </c>
      <c r="R949" s="294"/>
      <c r="S949" s="294"/>
      <c r="T949" s="294"/>
      <c r="U949" s="294"/>
      <c r="V949" s="431"/>
      <c r="W949" s="294"/>
      <c r="X949" s="294"/>
      <c r="Y949" s="294">
        <f>IF(NFI_Expiration=1,IF($A949&lt;VLOOKUP(H$5,NFI,5,0),1,0)*Table_NFI[[#This Row],[Hygiene Kit]],Table_NFI[Hygiene Kit])</f>
        <v>0</v>
      </c>
      <c r="Z949" s="294">
        <f>IF(NFI_Expiration=1,IF($A949&lt;VLOOKUP(I$5,NFI,5,0),1,0)*Table_NFI[[#This Row],[NFI Core Kit]],Table_NFI[NFI Core Kit])</f>
        <v>0</v>
      </c>
      <c r="AA949" s="294">
        <f>IF(NFI_Expiration=1,IF($A949&lt;VLOOKUP(J$5,NFI,5,0),1,0)*Table_NFI[[#This Row],[Sanitary Kit]],Table_NFI[Sanitary Kit])</f>
        <v>0</v>
      </c>
      <c r="AB949" s="294">
        <f>IF(NFI_Expiration=1,IF($A949&lt;VLOOKUP(K$5,NFI,5,0),1,0)*Table_NFI[[#This Row],[Mosquito net]],Table_NFI[Mosquito net])</f>
        <v>0</v>
      </c>
      <c r="AC949" s="294">
        <f>IF(NFI_Expiration=1,IF($A949&lt;VLOOKUP(L$5,NFI,5,0),1,0)*Table_NFI[[#This Row],[Tarpaulin]],Table_NFI[[#This Row],[Tarpaulin]])</f>
        <v>0</v>
      </c>
      <c r="AD949" s="294">
        <f>IF(NFI_Expiration=1,IF($A949&lt;VLOOKUP(M$5,NFI,5,0),1,0)*Table_NFI[[#This Row],[Blanket]],Table_NFI[[#This Row],[Blanket]])</f>
        <v>0</v>
      </c>
      <c r="AE949" s="294">
        <f>IF(NFI_Expiration=1,IF($A949&lt;VLOOKUP(N$5,NFI,5,0),1,0)*Table_NFI[[#This Row],[Kitchen Set]],Table_NFI[Kitchen Set])</f>
        <v>0</v>
      </c>
      <c r="AF949" s="294">
        <f>IF(NFI_Expiration=1,IF($A949&lt;VLOOKUP(O$5,NFI,5,0),1,0)*Table_NFI[[#This Row],[Clothes Kit]],Table_NFI[Clothes Kit])</f>
        <v>0</v>
      </c>
      <c r="AG949" s="294">
        <f>IF(NFI_Expiration=1,IF($A949&lt;VLOOKUP(P$5,NFI,5,0),1,0)*Table_NFI[[#This Row],[Plastic Bucket]],Table_NFI[Plastic Bucket])</f>
        <v>0</v>
      </c>
      <c r="AH949" s="294">
        <f>IF(NFI_Expiration=1,IF($A949&lt;VLOOKUP(Q$5,NFI,5,0),1,0)*Table_NFI[[#This Row],[Plastic Mat]],Table_NFI[Plastic Mat])*IF(Table_NFI[[#This Row],[Distribution Date]]&gt;"2014-04-01",1,2.5)</f>
        <v>0</v>
      </c>
      <c r="AI949" s="294">
        <f>IF(NFI_Expiration=1,IF($A949&lt;VLOOKUP(R$5,NFI,5,0),1,0)*Table_NFI[[#This Row],[Winter Clothes Adult]],Table_NFI[Winter Clothes Adult])</f>
        <v>0</v>
      </c>
      <c r="AJ949" s="294">
        <f>IF(NFI_Expiration=1,IF($A949&lt;VLOOKUP(S$5,NFI,5,0),1,0)*Table_NFI[[#This Row],[Winter Clothes Children]],Table_NFI[Winter Clothes Children])</f>
        <v>0</v>
      </c>
      <c r="AK949" s="294">
        <f>IF(NFI_Expiration=1,IF($A949&lt;VLOOKUP(T$5,NFI,5,0),1,0)*Table_NFI[[#This Row],[Winter Items Other]],Table_NFI[Winter Items Other])</f>
        <v>0</v>
      </c>
      <c r="AL949" s="294">
        <f>IF(NFI_Expiration=1,IF($A949&lt;VLOOKUP(M$5,NFI,5,0),1,0)*Table_NFI[[#This Row],[Winter Blanket]],Table_NFI[[#This Row],[Winter Blanket]])</f>
        <v>0</v>
      </c>
      <c r="AM949" s="294">
        <f>IF(Table_NFI[[#This Row],[Winter Clothes Adult]]+Table_NFI[[#This Row],[Winter Clothes Children]]+Table_NFI[[#This Row],[Winter Items Other]]+Table_NFI[[#This Row],[Winter Blanket]]&gt;0,1,0)</f>
        <v>0</v>
      </c>
      <c r="AN949" s="331">
        <f>IF(NFI_Expiration=1,IF($A949&lt;VLOOKUP(V$5,NFI,5,0),1,0)*Table_NFI[[#This Row],[Jerry Can]],Table_NFI[Jerry Can])</f>
        <v>0</v>
      </c>
      <c r="AO949" s="331">
        <f>IF(NFI_Expiration=1,IF($A949&lt;VLOOKUP(V$5,NFI,5,0),1,0)*Table_NFI[[#This Row],[Shelter Tool kit]],Table_NFI[Shelter Tool kit])</f>
        <v>0</v>
      </c>
      <c r="AP949" s="331">
        <f>IF(NFI_Expiration=1,IF($A949&lt;VLOOKUP(V$5,NFI,5,0),1,0)*Table_NFI[[#This Row],[Tent]],Table_NFI[Tent])</f>
        <v>0</v>
      </c>
      <c r="AQ949" s="473" t="str">
        <f>IFERROR(VLOOKUP(Table_NFI[[#This Row],[Camp Name]],CL,2,0),"")</f>
        <v>MMR001CMP032</v>
      </c>
      <c r="AR949" s="468">
        <f ca="1">IF(Table_NFI[[#This Row],[Pcode]]="","",IF(OFFSET(CampList[Opening Date],MATCH(Table_NFI[[#This Row],[Pcode]],CampList[CP_Pcode],0)-1,0,1,1)&gt;=NFI_Monitor_Date,1,0))</f>
        <v>0</v>
      </c>
      <c r="AS949" s="473" t="str">
        <f>IFERROR(VLOOKUP(Table_NFI[[#This Row],[Camp Name]],CL,3,0),"")</f>
        <v>Open</v>
      </c>
      <c r="AT949" s="294" t="str">
        <f ca="1">IF(Table_NFI[[#This Row],[Pcode]]="","",OFFSET(CampList[Priority],MATCH(Table_NFI[[#This Row],[Pcode]],CampList[CP_Pcode],0)-1,0,1,1))</f>
        <v>P4</v>
      </c>
      <c r="AU949" s="293">
        <f>IFERROR(Table_NFI[[#This Row],[Kitchen Set]]/VLOOKUP(Table_NFI[[#This Row],[Camp Name]],CL,4,0),"")</f>
        <v>0.38461538461538464</v>
      </c>
      <c r="AV949" s="466" t="s">
        <v>1092</v>
      </c>
      <c r="AW949" s="469"/>
    </row>
    <row r="950" spans="1:49" x14ac:dyDescent="0.25">
      <c r="A950" s="297">
        <f t="shared" si="14"/>
        <v>52.56666666666667</v>
      </c>
      <c r="B950" s="465">
        <v>41098</v>
      </c>
      <c r="C950" s="466" t="s">
        <v>905</v>
      </c>
      <c r="D950" s="466" t="s">
        <v>905</v>
      </c>
      <c r="E950" s="466" t="s">
        <v>380</v>
      </c>
      <c r="F950" s="466" t="s">
        <v>185</v>
      </c>
      <c r="G950" s="466" t="s">
        <v>209</v>
      </c>
      <c r="H950" s="294">
        <v>64</v>
      </c>
      <c r="I950" s="291"/>
      <c r="J950" s="291"/>
      <c r="K950" s="291"/>
      <c r="L950" s="292"/>
      <c r="M950" s="292"/>
      <c r="N950" s="292"/>
      <c r="O950" s="292"/>
      <c r="P950" s="294"/>
      <c r="Q950" s="294"/>
      <c r="R950" s="294"/>
      <c r="S950" s="294"/>
      <c r="T950" s="294"/>
      <c r="U950" s="294"/>
      <c r="V950" s="431"/>
      <c r="W950" s="331"/>
      <c r="X950" s="331"/>
      <c r="Y950" s="294">
        <f>IF(NFI_Expiration=1,IF($A950&lt;VLOOKUP(H$5,NFI,5,0),1,0)*Table_NFI[[#This Row],[Hygiene Kit]],Table_NFI[Hygiene Kit])</f>
        <v>0</v>
      </c>
      <c r="Z950" s="294">
        <f>IF(NFI_Expiration=1,IF($A950&lt;VLOOKUP(I$5,NFI,5,0),1,0)*Table_NFI[[#This Row],[NFI Core Kit]],Table_NFI[NFI Core Kit])</f>
        <v>0</v>
      </c>
      <c r="AA950" s="294">
        <f>IF(NFI_Expiration=1,IF($A950&lt;VLOOKUP(J$5,NFI,5,0),1,0)*Table_NFI[[#This Row],[Sanitary Kit]],Table_NFI[Sanitary Kit])</f>
        <v>0</v>
      </c>
      <c r="AB950" s="294">
        <f>IF(NFI_Expiration=1,IF($A950&lt;VLOOKUP(K$5,NFI,5,0),1,0)*Table_NFI[[#This Row],[Mosquito net]],Table_NFI[Mosquito net])</f>
        <v>0</v>
      </c>
      <c r="AC950" s="294">
        <f>IF(NFI_Expiration=1,IF($A950&lt;VLOOKUP(L$5,NFI,5,0),1,0)*Table_NFI[[#This Row],[Tarpaulin]],Table_NFI[[#This Row],[Tarpaulin]])</f>
        <v>0</v>
      </c>
      <c r="AD950" s="294">
        <f>IF(NFI_Expiration=1,IF($A950&lt;VLOOKUP(M$5,NFI,5,0),1,0)*Table_NFI[[#This Row],[Blanket]],Table_NFI[[#This Row],[Blanket]])</f>
        <v>0</v>
      </c>
      <c r="AE950" s="294">
        <f>IF(NFI_Expiration=1,IF($A950&lt;VLOOKUP(N$5,NFI,5,0),1,0)*Table_NFI[[#This Row],[Kitchen Set]],Table_NFI[Kitchen Set])</f>
        <v>0</v>
      </c>
      <c r="AF950" s="294">
        <f>IF(NFI_Expiration=1,IF($A950&lt;VLOOKUP(O$5,NFI,5,0),1,0)*Table_NFI[[#This Row],[Clothes Kit]],Table_NFI[Clothes Kit])</f>
        <v>0</v>
      </c>
      <c r="AG950" s="294">
        <f>IF(NFI_Expiration=1,IF($A950&lt;VLOOKUP(P$5,NFI,5,0),1,0)*Table_NFI[[#This Row],[Plastic Bucket]],Table_NFI[Plastic Bucket])</f>
        <v>0</v>
      </c>
      <c r="AH950" s="294">
        <f>IF(NFI_Expiration=1,IF($A950&lt;VLOOKUP(Q$5,NFI,5,0),1,0)*Table_NFI[[#This Row],[Plastic Mat]],Table_NFI[Plastic Mat])*IF(Table_NFI[[#This Row],[Distribution Date]]&gt;"2014-04-01",1,2.5)</f>
        <v>0</v>
      </c>
      <c r="AI950" s="294">
        <f>IF(NFI_Expiration=1,IF($A950&lt;VLOOKUP(R$5,NFI,5,0),1,0)*Table_NFI[[#This Row],[Winter Clothes Adult]],Table_NFI[Winter Clothes Adult])</f>
        <v>0</v>
      </c>
      <c r="AJ950" s="294">
        <f>IF(NFI_Expiration=1,IF($A950&lt;VLOOKUP(S$5,NFI,5,0),1,0)*Table_NFI[[#This Row],[Winter Clothes Children]],Table_NFI[Winter Clothes Children])</f>
        <v>0</v>
      </c>
      <c r="AK950" s="294">
        <f>IF(NFI_Expiration=1,IF($A950&lt;VLOOKUP(T$5,NFI,5,0),1,0)*Table_NFI[[#This Row],[Winter Items Other]],Table_NFI[Winter Items Other])</f>
        <v>0</v>
      </c>
      <c r="AL950" s="294">
        <f>IF(NFI_Expiration=1,IF($A950&lt;VLOOKUP(M$5,NFI,5,0),1,0)*Table_NFI[[#This Row],[Winter Blanket]],Table_NFI[[#This Row],[Winter Blanket]])</f>
        <v>0</v>
      </c>
      <c r="AM950" s="294">
        <f>IF(Table_NFI[[#This Row],[Winter Clothes Adult]]+Table_NFI[[#This Row],[Winter Clothes Children]]+Table_NFI[[#This Row],[Winter Items Other]]+Table_NFI[[#This Row],[Winter Blanket]]&gt;0,1,0)</f>
        <v>0</v>
      </c>
      <c r="AN950" s="331">
        <f>IF(NFI_Expiration=1,IF($A950&lt;VLOOKUP(V$5,NFI,5,0),1,0)*Table_NFI[[#This Row],[Jerry Can]],Table_NFI[Jerry Can])</f>
        <v>0</v>
      </c>
      <c r="AO950" s="331">
        <f>IF(NFI_Expiration=1,IF($A950&lt;VLOOKUP(V$5,NFI,5,0),1,0)*Table_NFI[[#This Row],[Shelter Tool kit]],Table_NFI[Shelter Tool kit])</f>
        <v>0</v>
      </c>
      <c r="AP950" s="331">
        <f>IF(NFI_Expiration=1,IF($A950&lt;VLOOKUP(V$5,NFI,5,0),1,0)*Table_NFI[[#This Row],[Tent]],Table_NFI[Tent])</f>
        <v>0</v>
      </c>
      <c r="AQ950" s="473" t="str">
        <f>IFERROR(VLOOKUP(Table_NFI[[#This Row],[Camp Name]],CL,2,0),"")</f>
        <v>MMR001CMP056</v>
      </c>
      <c r="AR950" s="468">
        <f ca="1">IF(Table_NFI[[#This Row],[Pcode]]="","",IF(OFFSET(CampList[Opening Date],MATCH(Table_NFI[[#This Row],[Pcode]],CampList[CP_Pcode],0)-1,0,1,1)&gt;=NFI_Monitor_Date,1,0))</f>
        <v>0</v>
      </c>
      <c r="AS950" s="473" t="str">
        <f>IFERROR(VLOOKUP(Table_NFI[[#This Row],[Camp Name]],CL,3,0),"")</f>
        <v>Open</v>
      </c>
      <c r="AT950" s="294" t="str">
        <f ca="1">IF(Table_NFI[[#This Row],[Pcode]]="","",OFFSET(CampList[Priority],MATCH(Table_NFI[[#This Row],[Pcode]],CampList[CP_Pcode],0)-1,0,1,1))</f>
        <v>P4</v>
      </c>
      <c r="AU950" s="293">
        <f>IFERROR(Table_NFI[[#This Row],[Kitchen Set]]/VLOOKUP(Table_NFI[[#This Row],[Camp Name]],CL,4,0),"")</f>
        <v>0</v>
      </c>
      <c r="AV950" s="466"/>
      <c r="AW950" s="469"/>
    </row>
    <row r="951" spans="1:49" x14ac:dyDescent="0.25">
      <c r="A951" s="297">
        <f t="shared" si="14"/>
        <v>52.56666666666667</v>
      </c>
      <c r="B951" s="465">
        <v>41098</v>
      </c>
      <c r="C951" s="466" t="s">
        <v>452</v>
      </c>
      <c r="D951" s="466" t="s">
        <v>505</v>
      </c>
      <c r="E951" s="466" t="s">
        <v>380</v>
      </c>
      <c r="F951" s="466" t="s">
        <v>185</v>
      </c>
      <c r="G951" s="466" t="s">
        <v>217</v>
      </c>
      <c r="H951" s="294">
        <v>16</v>
      </c>
      <c r="I951" s="294"/>
      <c r="J951" s="294"/>
      <c r="K951" s="294"/>
      <c r="L951" s="292"/>
      <c r="M951" s="292"/>
      <c r="N951" s="292"/>
      <c r="O951" s="292"/>
      <c r="P951" s="294"/>
      <c r="Q951" s="294"/>
      <c r="R951" s="294"/>
      <c r="S951" s="294"/>
      <c r="T951" s="294"/>
      <c r="U951" s="294"/>
      <c r="V951" s="431"/>
      <c r="W951" s="331"/>
      <c r="X951" s="331"/>
      <c r="Y951" s="294">
        <f>IF(NFI_Expiration=1,IF($A951&lt;VLOOKUP(H$5,NFI,5,0),1,0)*Table_NFI[[#This Row],[Hygiene Kit]],Table_NFI[Hygiene Kit])</f>
        <v>0</v>
      </c>
      <c r="Z951" s="294">
        <f>IF(NFI_Expiration=1,IF($A951&lt;VLOOKUP(I$5,NFI,5,0),1,0)*Table_NFI[[#This Row],[NFI Core Kit]],Table_NFI[NFI Core Kit])</f>
        <v>0</v>
      </c>
      <c r="AA951" s="294">
        <f>IF(NFI_Expiration=1,IF($A951&lt;VLOOKUP(J$5,NFI,5,0),1,0)*Table_NFI[[#This Row],[Sanitary Kit]],Table_NFI[Sanitary Kit])</f>
        <v>0</v>
      </c>
      <c r="AB951" s="294">
        <f>IF(NFI_Expiration=1,IF($A951&lt;VLOOKUP(K$5,NFI,5,0),1,0)*Table_NFI[[#This Row],[Mosquito net]],Table_NFI[Mosquito net])</f>
        <v>0</v>
      </c>
      <c r="AC951" s="294">
        <f>IF(NFI_Expiration=1,IF($A951&lt;VLOOKUP(L$5,NFI,5,0),1,0)*Table_NFI[[#This Row],[Tarpaulin]],Table_NFI[[#This Row],[Tarpaulin]])</f>
        <v>0</v>
      </c>
      <c r="AD951" s="294">
        <f>IF(NFI_Expiration=1,IF($A951&lt;VLOOKUP(M$5,NFI,5,0),1,0)*Table_NFI[[#This Row],[Blanket]],Table_NFI[[#This Row],[Blanket]])</f>
        <v>0</v>
      </c>
      <c r="AE951" s="294">
        <f>IF(NFI_Expiration=1,IF($A951&lt;VLOOKUP(N$5,NFI,5,0),1,0)*Table_NFI[[#This Row],[Kitchen Set]],Table_NFI[Kitchen Set])</f>
        <v>0</v>
      </c>
      <c r="AF951" s="294">
        <f>IF(NFI_Expiration=1,IF($A951&lt;VLOOKUP(O$5,NFI,5,0),1,0)*Table_NFI[[#This Row],[Clothes Kit]],Table_NFI[Clothes Kit])</f>
        <v>0</v>
      </c>
      <c r="AG951" s="294">
        <f>IF(NFI_Expiration=1,IF($A951&lt;VLOOKUP(P$5,NFI,5,0),1,0)*Table_NFI[[#This Row],[Plastic Bucket]],Table_NFI[Plastic Bucket])</f>
        <v>0</v>
      </c>
      <c r="AH951" s="294">
        <f>IF(NFI_Expiration=1,IF($A951&lt;VLOOKUP(Q$5,NFI,5,0),1,0)*Table_NFI[[#This Row],[Plastic Mat]],Table_NFI[Plastic Mat])*IF(Table_NFI[[#This Row],[Distribution Date]]&gt;"2014-04-01",1,2.5)</f>
        <v>0</v>
      </c>
      <c r="AI951" s="294">
        <f>IF(NFI_Expiration=1,IF($A951&lt;VLOOKUP(R$5,NFI,5,0),1,0)*Table_NFI[[#This Row],[Winter Clothes Adult]],Table_NFI[Winter Clothes Adult])</f>
        <v>0</v>
      </c>
      <c r="AJ951" s="294">
        <f>IF(NFI_Expiration=1,IF($A951&lt;VLOOKUP(S$5,NFI,5,0),1,0)*Table_NFI[[#This Row],[Winter Clothes Children]],Table_NFI[Winter Clothes Children])</f>
        <v>0</v>
      </c>
      <c r="AK951" s="294">
        <f>IF(NFI_Expiration=1,IF($A951&lt;VLOOKUP(T$5,NFI,5,0),1,0)*Table_NFI[[#This Row],[Winter Items Other]],Table_NFI[Winter Items Other])</f>
        <v>0</v>
      </c>
      <c r="AL951" s="294">
        <f>IF(NFI_Expiration=1,IF($A951&lt;VLOOKUP(M$5,NFI,5,0),1,0)*Table_NFI[[#This Row],[Winter Blanket]],Table_NFI[[#This Row],[Winter Blanket]])</f>
        <v>0</v>
      </c>
      <c r="AM951" s="294">
        <f>IF(Table_NFI[[#This Row],[Winter Clothes Adult]]+Table_NFI[[#This Row],[Winter Clothes Children]]+Table_NFI[[#This Row],[Winter Items Other]]+Table_NFI[[#This Row],[Winter Blanket]]&gt;0,1,0)</f>
        <v>0</v>
      </c>
      <c r="AN951" s="331">
        <f>IF(NFI_Expiration=1,IF($A951&lt;VLOOKUP(V$5,NFI,5,0),1,0)*Table_NFI[[#This Row],[Jerry Can]],Table_NFI[Jerry Can])</f>
        <v>0</v>
      </c>
      <c r="AO951" s="331">
        <f>IF(NFI_Expiration=1,IF($A951&lt;VLOOKUP(V$5,NFI,5,0),1,0)*Table_NFI[[#This Row],[Shelter Tool kit]],Table_NFI[Shelter Tool kit])</f>
        <v>0</v>
      </c>
      <c r="AP951" s="331">
        <f>IF(NFI_Expiration=1,IF($A951&lt;VLOOKUP(V$5,NFI,5,0),1,0)*Table_NFI[[#This Row],[Tent]],Table_NFI[Tent])</f>
        <v>0</v>
      </c>
      <c r="AQ951" s="473" t="str">
        <f>IFERROR(VLOOKUP(Table_NFI[[#This Row],[Camp Name]],CL,2,0),"")</f>
        <v>MMR001CMP059</v>
      </c>
      <c r="AR951" s="468">
        <f ca="1">IF(Table_NFI[[#This Row],[Pcode]]="","",IF(OFFSET(CampList[Opening Date],MATCH(Table_NFI[[#This Row],[Pcode]],CampList[CP_Pcode],0)-1,0,1,1)&gt;=NFI_Monitor_Date,1,0))</f>
        <v>0</v>
      </c>
      <c r="AS951" s="473" t="str">
        <f>IFERROR(VLOOKUP(Table_NFI[[#This Row],[Camp Name]],CL,3,0),"")</f>
        <v>Closed</v>
      </c>
      <c r="AT951" s="294" t="str">
        <f ca="1">IF(Table_NFI[[#This Row],[Pcode]]="","",OFFSET(CampList[Priority],MATCH(Table_NFI[[#This Row],[Pcode]],CampList[CP_Pcode],0)-1,0,1,1))</f>
        <v>P4</v>
      </c>
      <c r="AU951" s="293" t="str">
        <f>IFERROR(Table_NFI[[#This Row],[Kitchen Set]]/VLOOKUP(Table_NFI[[#This Row],[Camp Name]],CL,4,0),"")</f>
        <v/>
      </c>
      <c r="AV951" s="466"/>
      <c r="AW951" s="469"/>
    </row>
    <row r="952" spans="1:49" x14ac:dyDescent="0.25">
      <c r="A952" s="297">
        <f t="shared" si="14"/>
        <v>52.56666666666667</v>
      </c>
      <c r="B952" s="465">
        <v>41098</v>
      </c>
      <c r="C952" s="466" t="s">
        <v>905</v>
      </c>
      <c r="D952" s="466" t="s">
        <v>905</v>
      </c>
      <c r="E952" s="466" t="s">
        <v>380</v>
      </c>
      <c r="F952" s="466" t="s">
        <v>185</v>
      </c>
      <c r="G952" s="290" t="s">
        <v>217</v>
      </c>
      <c r="H952" s="294">
        <v>16</v>
      </c>
      <c r="I952" s="291"/>
      <c r="J952" s="292"/>
      <c r="K952" s="291"/>
      <c r="L952" s="292"/>
      <c r="M952" s="292"/>
      <c r="N952" s="292"/>
      <c r="O952" s="292"/>
      <c r="P952" s="294"/>
      <c r="Q952" s="294"/>
      <c r="R952" s="294"/>
      <c r="S952" s="294"/>
      <c r="T952" s="294"/>
      <c r="U952" s="294"/>
      <c r="V952" s="431"/>
      <c r="W952" s="331"/>
      <c r="X952" s="331"/>
      <c r="Y952" s="294">
        <f>IF(NFI_Expiration=1,IF($A952&lt;VLOOKUP(H$5,NFI,5,0),1,0)*Table_NFI[[#This Row],[Hygiene Kit]],Table_NFI[Hygiene Kit])</f>
        <v>0</v>
      </c>
      <c r="Z952" s="294">
        <f>IF(NFI_Expiration=1,IF($A952&lt;VLOOKUP(I$5,NFI,5,0),1,0)*Table_NFI[[#This Row],[NFI Core Kit]],Table_NFI[NFI Core Kit])</f>
        <v>0</v>
      </c>
      <c r="AA952" s="294">
        <f>IF(NFI_Expiration=1,IF($A952&lt;VLOOKUP(J$5,NFI,5,0),1,0)*Table_NFI[[#This Row],[Sanitary Kit]],Table_NFI[Sanitary Kit])</f>
        <v>0</v>
      </c>
      <c r="AB952" s="294">
        <f>IF(NFI_Expiration=1,IF($A952&lt;VLOOKUP(K$5,NFI,5,0),1,0)*Table_NFI[[#This Row],[Mosquito net]],Table_NFI[Mosquito net])</f>
        <v>0</v>
      </c>
      <c r="AC952" s="294">
        <f>IF(NFI_Expiration=1,IF($A952&lt;VLOOKUP(L$5,NFI,5,0),1,0)*Table_NFI[[#This Row],[Tarpaulin]],Table_NFI[[#This Row],[Tarpaulin]])</f>
        <v>0</v>
      </c>
      <c r="AD952" s="294">
        <f>IF(NFI_Expiration=1,IF($A952&lt;VLOOKUP(M$5,NFI,5,0),1,0)*Table_NFI[[#This Row],[Blanket]],Table_NFI[[#This Row],[Blanket]])</f>
        <v>0</v>
      </c>
      <c r="AE952" s="294">
        <f>IF(NFI_Expiration=1,IF($A952&lt;VLOOKUP(N$5,NFI,5,0),1,0)*Table_NFI[[#This Row],[Kitchen Set]],Table_NFI[Kitchen Set])</f>
        <v>0</v>
      </c>
      <c r="AF952" s="294">
        <f>IF(NFI_Expiration=1,IF($A952&lt;VLOOKUP(O$5,NFI,5,0),1,0)*Table_NFI[[#This Row],[Clothes Kit]],Table_NFI[Clothes Kit])</f>
        <v>0</v>
      </c>
      <c r="AG952" s="294">
        <f>IF(NFI_Expiration=1,IF($A952&lt;VLOOKUP(P$5,NFI,5,0),1,0)*Table_NFI[[#This Row],[Plastic Bucket]],Table_NFI[Plastic Bucket])</f>
        <v>0</v>
      </c>
      <c r="AH952" s="294">
        <f>IF(NFI_Expiration=1,IF($A952&lt;VLOOKUP(Q$5,NFI,5,0),1,0)*Table_NFI[[#This Row],[Plastic Mat]],Table_NFI[Plastic Mat])*IF(Table_NFI[[#This Row],[Distribution Date]]&gt;"2014-04-01",1,2.5)</f>
        <v>0</v>
      </c>
      <c r="AI952" s="294">
        <f>IF(NFI_Expiration=1,IF($A952&lt;VLOOKUP(R$5,NFI,5,0),1,0)*Table_NFI[[#This Row],[Winter Clothes Adult]],Table_NFI[Winter Clothes Adult])</f>
        <v>0</v>
      </c>
      <c r="AJ952" s="294">
        <f>IF(NFI_Expiration=1,IF($A952&lt;VLOOKUP(S$5,NFI,5,0),1,0)*Table_NFI[[#This Row],[Winter Clothes Children]],Table_NFI[Winter Clothes Children])</f>
        <v>0</v>
      </c>
      <c r="AK952" s="294">
        <f>IF(NFI_Expiration=1,IF($A952&lt;VLOOKUP(T$5,NFI,5,0),1,0)*Table_NFI[[#This Row],[Winter Items Other]],Table_NFI[Winter Items Other])</f>
        <v>0</v>
      </c>
      <c r="AL952" s="294">
        <f>IF(NFI_Expiration=1,IF($A952&lt;VLOOKUP(M$5,NFI,5,0),1,0)*Table_NFI[[#This Row],[Winter Blanket]],Table_NFI[[#This Row],[Winter Blanket]])</f>
        <v>0</v>
      </c>
      <c r="AM952" s="294">
        <f>IF(Table_NFI[[#This Row],[Winter Clothes Adult]]+Table_NFI[[#This Row],[Winter Clothes Children]]+Table_NFI[[#This Row],[Winter Items Other]]+Table_NFI[[#This Row],[Winter Blanket]]&gt;0,1,0)</f>
        <v>0</v>
      </c>
      <c r="AN952" s="331">
        <f>IF(NFI_Expiration=1,IF($A952&lt;VLOOKUP(V$5,NFI,5,0),1,0)*Table_NFI[[#This Row],[Jerry Can]],Table_NFI[Jerry Can])</f>
        <v>0</v>
      </c>
      <c r="AO952" s="331">
        <f>IF(NFI_Expiration=1,IF($A952&lt;VLOOKUP(V$5,NFI,5,0),1,0)*Table_NFI[[#This Row],[Shelter Tool kit]],Table_NFI[Shelter Tool kit])</f>
        <v>0</v>
      </c>
      <c r="AP952" s="331">
        <f>IF(NFI_Expiration=1,IF($A952&lt;VLOOKUP(V$5,NFI,5,0),1,0)*Table_NFI[[#This Row],[Tent]],Table_NFI[Tent])</f>
        <v>0</v>
      </c>
      <c r="AQ952" s="473" t="str">
        <f>IFERROR(VLOOKUP(Table_NFI[[#This Row],[Camp Name]],CL,2,0),"")</f>
        <v>MMR001CMP059</v>
      </c>
      <c r="AR952" s="468">
        <f ca="1">IF(Table_NFI[[#This Row],[Pcode]]="","",IF(OFFSET(CampList[Opening Date],MATCH(Table_NFI[[#This Row],[Pcode]],CampList[CP_Pcode],0)-1,0,1,1)&gt;=NFI_Monitor_Date,1,0))</f>
        <v>0</v>
      </c>
      <c r="AS952" s="473" t="str">
        <f>IFERROR(VLOOKUP(Table_NFI[[#This Row],[Camp Name]],CL,3,0),"")</f>
        <v>Closed</v>
      </c>
      <c r="AT952" s="294" t="str">
        <f ca="1">IF(Table_NFI[[#This Row],[Pcode]]="","",OFFSET(CampList[Priority],MATCH(Table_NFI[[#This Row],[Pcode]],CampList[CP_Pcode],0)-1,0,1,1))</f>
        <v>P4</v>
      </c>
      <c r="AU952" s="293" t="str">
        <f>IFERROR(Table_NFI[[#This Row],[Kitchen Set]]/VLOOKUP(Table_NFI[[#This Row],[Camp Name]],CL,4,0),"")</f>
        <v/>
      </c>
      <c r="AV952" s="466"/>
      <c r="AW952" s="469"/>
    </row>
    <row r="953" spans="1:49" x14ac:dyDescent="0.25">
      <c r="A953" s="297">
        <f t="shared" si="14"/>
        <v>52.56666666666667</v>
      </c>
      <c r="B953" s="465">
        <v>41098</v>
      </c>
      <c r="C953" s="466" t="s">
        <v>905</v>
      </c>
      <c r="D953" s="466" t="s">
        <v>905</v>
      </c>
      <c r="E953" s="466" t="s">
        <v>380</v>
      </c>
      <c r="F953" s="466" t="s">
        <v>5</v>
      </c>
      <c r="G953" s="466" t="s">
        <v>1431</v>
      </c>
      <c r="H953" s="294">
        <v>3</v>
      </c>
      <c r="I953" s="291"/>
      <c r="J953" s="292"/>
      <c r="K953" s="291"/>
      <c r="L953" s="292"/>
      <c r="M953" s="292"/>
      <c r="N953" s="292"/>
      <c r="O953" s="292"/>
      <c r="P953" s="294"/>
      <c r="Q953" s="294"/>
      <c r="R953" s="294"/>
      <c r="S953" s="294"/>
      <c r="T953" s="294"/>
      <c r="U953" s="294"/>
      <c r="V953" s="431"/>
      <c r="W953" s="331"/>
      <c r="X953" s="331"/>
      <c r="Y953" s="294">
        <f>IF(NFI_Expiration=1,IF($A953&lt;VLOOKUP(H$5,NFI,5,0),1,0)*Table_NFI[[#This Row],[Hygiene Kit]],Table_NFI[Hygiene Kit])</f>
        <v>0</v>
      </c>
      <c r="Z953" s="294">
        <f>IF(NFI_Expiration=1,IF($A953&lt;VLOOKUP(I$5,NFI,5,0),1,0)*Table_NFI[[#This Row],[NFI Core Kit]],Table_NFI[NFI Core Kit])</f>
        <v>0</v>
      </c>
      <c r="AA953" s="294">
        <f>IF(NFI_Expiration=1,IF($A953&lt;VLOOKUP(J$5,NFI,5,0),1,0)*Table_NFI[[#This Row],[Sanitary Kit]],Table_NFI[Sanitary Kit])</f>
        <v>0</v>
      </c>
      <c r="AB953" s="294">
        <f>IF(NFI_Expiration=1,IF($A953&lt;VLOOKUP(K$5,NFI,5,0),1,0)*Table_NFI[[#This Row],[Mosquito net]],Table_NFI[Mosquito net])</f>
        <v>0</v>
      </c>
      <c r="AC953" s="294">
        <f>IF(NFI_Expiration=1,IF($A953&lt;VLOOKUP(L$5,NFI,5,0),1,0)*Table_NFI[[#This Row],[Tarpaulin]],Table_NFI[[#This Row],[Tarpaulin]])</f>
        <v>0</v>
      </c>
      <c r="AD953" s="294">
        <f>IF(NFI_Expiration=1,IF($A953&lt;VLOOKUP(M$5,NFI,5,0),1,0)*Table_NFI[[#This Row],[Blanket]],Table_NFI[[#This Row],[Blanket]])</f>
        <v>0</v>
      </c>
      <c r="AE953" s="294">
        <f>IF(NFI_Expiration=1,IF($A953&lt;VLOOKUP(N$5,NFI,5,0),1,0)*Table_NFI[[#This Row],[Kitchen Set]],Table_NFI[Kitchen Set])</f>
        <v>0</v>
      </c>
      <c r="AF953" s="294">
        <f>IF(NFI_Expiration=1,IF($A953&lt;VLOOKUP(O$5,NFI,5,0),1,0)*Table_NFI[[#This Row],[Clothes Kit]],Table_NFI[Clothes Kit])</f>
        <v>0</v>
      </c>
      <c r="AG953" s="294">
        <f>IF(NFI_Expiration=1,IF($A953&lt;VLOOKUP(P$5,NFI,5,0),1,0)*Table_NFI[[#This Row],[Plastic Bucket]],Table_NFI[Plastic Bucket])</f>
        <v>0</v>
      </c>
      <c r="AH953" s="294">
        <f>IF(NFI_Expiration=1,IF($A953&lt;VLOOKUP(Q$5,NFI,5,0),1,0)*Table_NFI[[#This Row],[Plastic Mat]],Table_NFI[Plastic Mat])*IF(Table_NFI[[#This Row],[Distribution Date]]&gt;"2014-04-01",1,2.5)</f>
        <v>0</v>
      </c>
      <c r="AI953" s="294">
        <f>IF(NFI_Expiration=1,IF($A953&lt;VLOOKUP(R$5,NFI,5,0),1,0)*Table_NFI[[#This Row],[Winter Clothes Adult]],Table_NFI[Winter Clothes Adult])</f>
        <v>0</v>
      </c>
      <c r="AJ953" s="294">
        <f>IF(NFI_Expiration=1,IF($A953&lt;VLOOKUP(S$5,NFI,5,0),1,0)*Table_NFI[[#This Row],[Winter Clothes Children]],Table_NFI[Winter Clothes Children])</f>
        <v>0</v>
      </c>
      <c r="AK953" s="294">
        <f>IF(NFI_Expiration=1,IF($A953&lt;VLOOKUP(T$5,NFI,5,0),1,0)*Table_NFI[[#This Row],[Winter Items Other]],Table_NFI[Winter Items Other])</f>
        <v>0</v>
      </c>
      <c r="AL953" s="294">
        <f>IF(NFI_Expiration=1,IF($A953&lt;VLOOKUP(M$5,NFI,5,0),1,0)*Table_NFI[[#This Row],[Winter Blanket]],Table_NFI[[#This Row],[Winter Blanket]])</f>
        <v>0</v>
      </c>
      <c r="AM953" s="294">
        <f>IF(Table_NFI[[#This Row],[Winter Clothes Adult]]+Table_NFI[[#This Row],[Winter Clothes Children]]+Table_NFI[[#This Row],[Winter Items Other]]+Table_NFI[[#This Row],[Winter Blanket]]&gt;0,1,0)</f>
        <v>0</v>
      </c>
      <c r="AN953" s="331">
        <f>IF(NFI_Expiration=1,IF($A953&lt;VLOOKUP(V$5,NFI,5,0),1,0)*Table_NFI[[#This Row],[Jerry Can]],Table_NFI[Jerry Can])</f>
        <v>0</v>
      </c>
      <c r="AO953" s="331">
        <f>IF(NFI_Expiration=1,IF($A953&lt;VLOOKUP(V$5,NFI,5,0),1,0)*Table_NFI[[#This Row],[Shelter Tool kit]],Table_NFI[Shelter Tool kit])</f>
        <v>0</v>
      </c>
      <c r="AP953" s="331">
        <f>IF(NFI_Expiration=1,IF($A953&lt;VLOOKUP(V$5,NFI,5,0),1,0)*Table_NFI[[#This Row],[Tent]],Table_NFI[Tent])</f>
        <v>0</v>
      </c>
      <c r="AQ953" s="473" t="str">
        <f>IFERROR(VLOOKUP(Table_NFI[[#This Row],[Camp Name]],CL,2,0),"")</f>
        <v/>
      </c>
      <c r="AR953" s="468" t="str">
        <f ca="1">IF(Table_NFI[[#This Row],[Pcode]]="","",IF(OFFSET(CampList[Opening Date],MATCH(Table_NFI[[#This Row],[Pcode]],CampList[CP_Pcode],0)-1,0,1,1)&gt;=NFI_Monitor_Date,1,0))</f>
        <v/>
      </c>
      <c r="AS953" s="473" t="str">
        <f>IFERROR(VLOOKUP(Table_NFI[[#This Row],[Camp Name]],CL,3,0),"")</f>
        <v/>
      </c>
      <c r="AT953" s="294" t="str">
        <f ca="1">IF(Table_NFI[[#This Row],[Pcode]]="","",OFFSET(CampList[Priority],MATCH(Table_NFI[[#This Row],[Pcode]],CampList[CP_Pcode],0)-1,0,1,1))</f>
        <v/>
      </c>
      <c r="AU953" s="293" t="str">
        <f>IFERROR(Table_NFI[[#This Row],[Kitchen Set]]/VLOOKUP(Table_NFI[[#This Row],[Camp Name]],CL,4,0),"")</f>
        <v/>
      </c>
      <c r="AV953" s="466"/>
      <c r="AW953" s="469"/>
    </row>
    <row r="954" spans="1:49" x14ac:dyDescent="0.25">
      <c r="A954" s="297">
        <f t="shared" si="14"/>
        <v>52.633333333333333</v>
      </c>
      <c r="B954" s="465">
        <v>41096</v>
      </c>
      <c r="C954" s="466" t="s">
        <v>452</v>
      </c>
      <c r="D954" s="466" t="s">
        <v>452</v>
      </c>
      <c r="E954" s="466" t="s">
        <v>380</v>
      </c>
      <c r="F954" s="466" t="s">
        <v>310</v>
      </c>
      <c r="G954" s="290" t="s">
        <v>316</v>
      </c>
      <c r="H954" s="291"/>
      <c r="I954" s="291"/>
      <c r="J954" s="291"/>
      <c r="K954" s="291">
        <v>17</v>
      </c>
      <c r="L954" s="292">
        <v>17</v>
      </c>
      <c r="M954" s="292">
        <v>17</v>
      </c>
      <c r="N954" s="292">
        <v>17</v>
      </c>
      <c r="O954" s="292">
        <v>17</v>
      </c>
      <c r="P954" s="294">
        <v>17</v>
      </c>
      <c r="Q954" s="294">
        <v>17</v>
      </c>
      <c r="R954" s="294"/>
      <c r="S954" s="294"/>
      <c r="T954" s="294"/>
      <c r="U954" s="294"/>
      <c r="V954" s="431"/>
      <c r="W954" s="331"/>
      <c r="X954" s="331"/>
      <c r="Y954" s="294">
        <f>IF(NFI_Expiration=1,IF($A954&lt;VLOOKUP(H$5,NFI,5,0),1,0)*Table_NFI[[#This Row],[Hygiene Kit]],Table_NFI[Hygiene Kit])</f>
        <v>0</v>
      </c>
      <c r="Z954" s="294">
        <f>IF(NFI_Expiration=1,IF($A954&lt;VLOOKUP(I$5,NFI,5,0),1,0)*Table_NFI[[#This Row],[NFI Core Kit]],Table_NFI[NFI Core Kit])</f>
        <v>0</v>
      </c>
      <c r="AA954" s="294">
        <f>IF(NFI_Expiration=1,IF($A954&lt;VLOOKUP(J$5,NFI,5,0),1,0)*Table_NFI[[#This Row],[Sanitary Kit]],Table_NFI[Sanitary Kit])</f>
        <v>0</v>
      </c>
      <c r="AB954" s="294">
        <f>IF(NFI_Expiration=1,IF($A954&lt;VLOOKUP(K$5,NFI,5,0),1,0)*Table_NFI[[#This Row],[Mosquito net]],Table_NFI[Mosquito net])</f>
        <v>0</v>
      </c>
      <c r="AC954" s="294">
        <f>IF(NFI_Expiration=1,IF($A954&lt;VLOOKUP(L$5,NFI,5,0),1,0)*Table_NFI[[#This Row],[Tarpaulin]],Table_NFI[[#This Row],[Tarpaulin]])</f>
        <v>0</v>
      </c>
      <c r="AD954" s="294">
        <f>IF(NFI_Expiration=1,IF($A954&lt;VLOOKUP(M$5,NFI,5,0),1,0)*Table_NFI[[#This Row],[Blanket]],Table_NFI[[#This Row],[Blanket]])</f>
        <v>0</v>
      </c>
      <c r="AE954" s="294">
        <f>IF(NFI_Expiration=1,IF($A954&lt;VLOOKUP(N$5,NFI,5,0),1,0)*Table_NFI[[#This Row],[Kitchen Set]],Table_NFI[Kitchen Set])</f>
        <v>0</v>
      </c>
      <c r="AF954" s="294">
        <f>IF(NFI_Expiration=1,IF($A954&lt;VLOOKUP(O$5,NFI,5,0),1,0)*Table_NFI[[#This Row],[Clothes Kit]],Table_NFI[Clothes Kit])</f>
        <v>0</v>
      </c>
      <c r="AG954" s="294">
        <f>IF(NFI_Expiration=1,IF($A954&lt;VLOOKUP(P$5,NFI,5,0),1,0)*Table_NFI[[#This Row],[Plastic Bucket]],Table_NFI[Plastic Bucket])</f>
        <v>0</v>
      </c>
      <c r="AH954" s="294">
        <f>IF(NFI_Expiration=1,IF($A954&lt;VLOOKUP(Q$5,NFI,5,0),1,0)*Table_NFI[[#This Row],[Plastic Mat]],Table_NFI[Plastic Mat])*IF(Table_NFI[[#This Row],[Distribution Date]]&gt;"2014-04-01",1,2.5)</f>
        <v>0</v>
      </c>
      <c r="AI954" s="294">
        <f>IF(NFI_Expiration=1,IF($A954&lt;VLOOKUP(R$5,NFI,5,0),1,0)*Table_NFI[[#This Row],[Winter Clothes Adult]],Table_NFI[Winter Clothes Adult])</f>
        <v>0</v>
      </c>
      <c r="AJ954" s="294">
        <f>IF(NFI_Expiration=1,IF($A954&lt;VLOOKUP(S$5,NFI,5,0),1,0)*Table_NFI[[#This Row],[Winter Clothes Children]],Table_NFI[Winter Clothes Children])</f>
        <v>0</v>
      </c>
      <c r="AK954" s="294">
        <f>IF(NFI_Expiration=1,IF($A954&lt;VLOOKUP(T$5,NFI,5,0),1,0)*Table_NFI[[#This Row],[Winter Items Other]],Table_NFI[Winter Items Other])</f>
        <v>0</v>
      </c>
      <c r="AL954" s="294">
        <f>IF(NFI_Expiration=1,IF($A954&lt;VLOOKUP(M$5,NFI,5,0),1,0)*Table_NFI[[#This Row],[Winter Blanket]],Table_NFI[[#This Row],[Winter Blanket]])</f>
        <v>0</v>
      </c>
      <c r="AM954" s="294">
        <f>IF(Table_NFI[[#This Row],[Winter Clothes Adult]]+Table_NFI[[#This Row],[Winter Clothes Children]]+Table_NFI[[#This Row],[Winter Items Other]]+Table_NFI[[#This Row],[Winter Blanket]]&gt;0,1,0)</f>
        <v>0</v>
      </c>
      <c r="AN954" s="331">
        <f>IF(NFI_Expiration=1,IF($A954&lt;VLOOKUP(V$5,NFI,5,0),1,0)*Table_NFI[[#This Row],[Jerry Can]],Table_NFI[Jerry Can])</f>
        <v>0</v>
      </c>
      <c r="AO954" s="331">
        <f>IF(NFI_Expiration=1,IF($A954&lt;VLOOKUP(V$5,NFI,5,0),1,0)*Table_NFI[[#This Row],[Shelter Tool kit]],Table_NFI[Shelter Tool kit])</f>
        <v>0</v>
      </c>
      <c r="AP954" s="331">
        <f>IF(NFI_Expiration=1,IF($A954&lt;VLOOKUP(V$5,NFI,5,0),1,0)*Table_NFI[[#This Row],[Tent]],Table_NFI[Tent])</f>
        <v>0</v>
      </c>
      <c r="AQ954" s="473" t="str">
        <f>IFERROR(VLOOKUP(Table_NFI[[#This Row],[Camp Name]],CL,2,0),"")</f>
        <v>MMR001CMP038</v>
      </c>
      <c r="AR954" s="468">
        <f ca="1">IF(Table_NFI[[#This Row],[Pcode]]="","",IF(OFFSET(CampList[Opening Date],MATCH(Table_NFI[[#This Row],[Pcode]],CampList[CP_Pcode],0)-1,0,1,1)&gt;=NFI_Monitor_Date,1,0))</f>
        <v>0</v>
      </c>
      <c r="AS954" s="473" t="str">
        <f>IFERROR(VLOOKUP(Table_NFI[[#This Row],[Camp Name]],CL,3,0),"")</f>
        <v>Open</v>
      </c>
      <c r="AT954" s="294" t="str">
        <f ca="1">IF(Table_NFI[[#This Row],[Pcode]]="","",OFFSET(CampList[Priority],MATCH(Table_NFI[[#This Row],[Pcode]],CampList[CP_Pcode],0)-1,0,1,1))</f>
        <v>P4</v>
      </c>
      <c r="AU954" s="293">
        <f>IFERROR(Table_NFI[[#This Row],[Kitchen Set]]/VLOOKUP(Table_NFI[[#This Row],[Camp Name]],CL,4,0),"")</f>
        <v>0.24285714285714285</v>
      </c>
      <c r="AV954" s="466" t="s">
        <v>1092</v>
      </c>
      <c r="AW954" s="469"/>
    </row>
    <row r="955" spans="1:49" x14ac:dyDescent="0.25">
      <c r="A955" s="297">
        <f t="shared" si="14"/>
        <v>52.666666666666664</v>
      </c>
      <c r="B955" s="465">
        <v>41095</v>
      </c>
      <c r="C955" s="466" t="s">
        <v>452</v>
      </c>
      <c r="D955" s="466" t="s">
        <v>452</v>
      </c>
      <c r="E955" s="466" t="s">
        <v>380</v>
      </c>
      <c r="F955" s="290" t="s">
        <v>5</v>
      </c>
      <c r="G955" s="290" t="s">
        <v>24</v>
      </c>
      <c r="H955" s="291"/>
      <c r="I955" s="291"/>
      <c r="J955" s="291"/>
      <c r="K955" s="291">
        <v>36</v>
      </c>
      <c r="L955" s="292">
        <v>14</v>
      </c>
      <c r="M955" s="292">
        <v>36</v>
      </c>
      <c r="N955" s="292">
        <v>14</v>
      </c>
      <c r="O955" s="292">
        <v>14</v>
      </c>
      <c r="P955" s="294">
        <v>14</v>
      </c>
      <c r="Q955" s="294">
        <v>14</v>
      </c>
      <c r="R955" s="294"/>
      <c r="S955" s="294"/>
      <c r="T955" s="294"/>
      <c r="U955" s="294"/>
      <c r="V955" s="431"/>
      <c r="W955" s="331"/>
      <c r="X955" s="331"/>
      <c r="Y955" s="294">
        <f>IF(NFI_Expiration=1,IF($A955&lt;VLOOKUP(H$5,NFI,5,0),1,0)*Table_NFI[[#This Row],[Hygiene Kit]],Table_NFI[Hygiene Kit])</f>
        <v>0</v>
      </c>
      <c r="Z955" s="294">
        <f>IF(NFI_Expiration=1,IF($A955&lt;VLOOKUP(I$5,NFI,5,0),1,0)*Table_NFI[[#This Row],[NFI Core Kit]],Table_NFI[NFI Core Kit])</f>
        <v>0</v>
      </c>
      <c r="AA955" s="294">
        <f>IF(NFI_Expiration=1,IF($A955&lt;VLOOKUP(J$5,NFI,5,0),1,0)*Table_NFI[[#This Row],[Sanitary Kit]],Table_NFI[Sanitary Kit])</f>
        <v>0</v>
      </c>
      <c r="AB955" s="294">
        <f>IF(NFI_Expiration=1,IF($A955&lt;VLOOKUP(K$5,NFI,5,0),1,0)*Table_NFI[[#This Row],[Mosquito net]],Table_NFI[Mosquito net])</f>
        <v>0</v>
      </c>
      <c r="AC955" s="294">
        <f>IF(NFI_Expiration=1,IF($A955&lt;VLOOKUP(L$5,NFI,5,0),1,0)*Table_NFI[[#This Row],[Tarpaulin]],Table_NFI[[#This Row],[Tarpaulin]])</f>
        <v>0</v>
      </c>
      <c r="AD955" s="294">
        <f>IF(NFI_Expiration=1,IF($A955&lt;VLOOKUP(M$5,NFI,5,0),1,0)*Table_NFI[[#This Row],[Blanket]],Table_NFI[[#This Row],[Blanket]])</f>
        <v>0</v>
      </c>
      <c r="AE955" s="294">
        <f>IF(NFI_Expiration=1,IF($A955&lt;VLOOKUP(N$5,NFI,5,0),1,0)*Table_NFI[[#This Row],[Kitchen Set]],Table_NFI[Kitchen Set])</f>
        <v>0</v>
      </c>
      <c r="AF955" s="294">
        <f>IF(NFI_Expiration=1,IF($A955&lt;VLOOKUP(O$5,NFI,5,0),1,0)*Table_NFI[[#This Row],[Clothes Kit]],Table_NFI[Clothes Kit])</f>
        <v>0</v>
      </c>
      <c r="AG955" s="294">
        <f>IF(NFI_Expiration=1,IF($A955&lt;VLOOKUP(P$5,NFI,5,0),1,0)*Table_NFI[[#This Row],[Plastic Bucket]],Table_NFI[Plastic Bucket])</f>
        <v>0</v>
      </c>
      <c r="AH955" s="294">
        <f>IF(NFI_Expiration=1,IF($A955&lt;VLOOKUP(Q$5,NFI,5,0),1,0)*Table_NFI[[#This Row],[Plastic Mat]],Table_NFI[Plastic Mat])*IF(Table_NFI[[#This Row],[Distribution Date]]&gt;"2014-04-01",1,2.5)</f>
        <v>0</v>
      </c>
      <c r="AI955" s="294">
        <f>IF(NFI_Expiration=1,IF($A955&lt;VLOOKUP(R$5,NFI,5,0),1,0)*Table_NFI[[#This Row],[Winter Clothes Adult]],Table_NFI[Winter Clothes Adult])</f>
        <v>0</v>
      </c>
      <c r="AJ955" s="294">
        <f>IF(NFI_Expiration=1,IF($A955&lt;VLOOKUP(S$5,NFI,5,0),1,0)*Table_NFI[[#This Row],[Winter Clothes Children]],Table_NFI[Winter Clothes Children])</f>
        <v>0</v>
      </c>
      <c r="AK955" s="294">
        <f>IF(NFI_Expiration=1,IF($A955&lt;VLOOKUP(T$5,NFI,5,0),1,0)*Table_NFI[[#This Row],[Winter Items Other]],Table_NFI[Winter Items Other])</f>
        <v>0</v>
      </c>
      <c r="AL955" s="294">
        <f>IF(NFI_Expiration=1,IF($A955&lt;VLOOKUP(M$5,NFI,5,0),1,0)*Table_NFI[[#This Row],[Winter Blanket]],Table_NFI[[#This Row],[Winter Blanket]])</f>
        <v>0</v>
      </c>
      <c r="AM955" s="294">
        <f>IF(Table_NFI[[#This Row],[Winter Clothes Adult]]+Table_NFI[[#This Row],[Winter Clothes Children]]+Table_NFI[[#This Row],[Winter Items Other]]+Table_NFI[[#This Row],[Winter Blanket]]&gt;0,1,0)</f>
        <v>0</v>
      </c>
      <c r="AN955" s="331">
        <f>IF(NFI_Expiration=1,IF($A955&lt;VLOOKUP(V$5,NFI,5,0),1,0)*Table_NFI[[#This Row],[Jerry Can]],Table_NFI[Jerry Can])</f>
        <v>0</v>
      </c>
      <c r="AO955" s="331">
        <f>IF(NFI_Expiration=1,IF($A955&lt;VLOOKUP(V$5,NFI,5,0),1,0)*Table_NFI[[#This Row],[Shelter Tool kit]],Table_NFI[Shelter Tool kit])</f>
        <v>0</v>
      </c>
      <c r="AP955" s="331">
        <f>IF(NFI_Expiration=1,IF($A955&lt;VLOOKUP(V$5,NFI,5,0),1,0)*Table_NFI[[#This Row],[Tent]],Table_NFI[Tent])</f>
        <v>0</v>
      </c>
      <c r="AQ955" s="473" t="str">
        <f>IFERROR(VLOOKUP(Table_NFI[[#This Row],[Camp Name]],CL,2,0),"")</f>
        <v>MMR001CMP055</v>
      </c>
      <c r="AR955" s="468">
        <f ca="1">IF(Table_NFI[[#This Row],[Pcode]]="","",IF(OFFSET(CampList[Opening Date],MATCH(Table_NFI[[#This Row],[Pcode]],CampList[CP_Pcode],0)-1,0,1,1)&gt;=NFI_Monitor_Date,1,0))</f>
        <v>0</v>
      </c>
      <c r="AS955" s="473" t="str">
        <f>IFERROR(VLOOKUP(Table_NFI[[#This Row],[Camp Name]],CL,3,0),"")</f>
        <v>Open</v>
      </c>
      <c r="AT955" s="294" t="str">
        <f ca="1">IF(Table_NFI[[#This Row],[Pcode]]="","",OFFSET(CampList[Priority],MATCH(Table_NFI[[#This Row],[Pcode]],CampList[CP_Pcode],0)-1,0,1,1))</f>
        <v>P4</v>
      </c>
      <c r="AU955" s="293">
        <f>IFERROR(Table_NFI[[#This Row],[Kitchen Set]]/VLOOKUP(Table_NFI[[#This Row],[Camp Name]],CL,4,0),"")</f>
        <v>0.66666666666666663</v>
      </c>
      <c r="AV955" s="466" t="s">
        <v>1092</v>
      </c>
      <c r="AW955" s="469"/>
    </row>
    <row r="956" spans="1:49" x14ac:dyDescent="0.25">
      <c r="A956" s="297">
        <f t="shared" si="14"/>
        <v>53</v>
      </c>
      <c r="B956" s="465">
        <v>41085</v>
      </c>
      <c r="C956" s="466" t="s">
        <v>452</v>
      </c>
      <c r="D956" s="467" t="s">
        <v>452</v>
      </c>
      <c r="E956" s="466" t="s">
        <v>380</v>
      </c>
      <c r="F956" s="290" t="s">
        <v>185</v>
      </c>
      <c r="G956" s="290" t="s">
        <v>209</v>
      </c>
      <c r="H956" s="291"/>
      <c r="I956" s="296"/>
      <c r="J956" s="289"/>
      <c r="K956" s="289">
        <v>290</v>
      </c>
      <c r="L956" s="289">
        <v>145</v>
      </c>
      <c r="M956" s="289">
        <v>290</v>
      </c>
      <c r="N956" s="289">
        <v>145</v>
      </c>
      <c r="O956" s="289">
        <v>145</v>
      </c>
      <c r="P956" s="294">
        <v>145</v>
      </c>
      <c r="Q956" s="294">
        <v>145</v>
      </c>
      <c r="R956" s="294"/>
      <c r="S956" s="294"/>
      <c r="T956" s="294"/>
      <c r="U956" s="294"/>
      <c r="V956" s="431"/>
      <c r="W956" s="331"/>
      <c r="X956" s="331"/>
      <c r="Y956" s="294">
        <f>IF(NFI_Expiration=1,IF($A956&lt;VLOOKUP(H$5,NFI,5,0),1,0)*Table_NFI[[#This Row],[Hygiene Kit]],Table_NFI[Hygiene Kit])</f>
        <v>0</v>
      </c>
      <c r="Z956" s="294">
        <f>IF(NFI_Expiration=1,IF($A956&lt;VLOOKUP(I$5,NFI,5,0),1,0)*Table_NFI[[#This Row],[NFI Core Kit]],Table_NFI[NFI Core Kit])</f>
        <v>0</v>
      </c>
      <c r="AA956" s="294">
        <f>IF(NFI_Expiration=1,IF($A956&lt;VLOOKUP(J$5,NFI,5,0),1,0)*Table_NFI[[#This Row],[Sanitary Kit]],Table_NFI[Sanitary Kit])</f>
        <v>0</v>
      </c>
      <c r="AB956" s="294">
        <f>IF(NFI_Expiration=1,IF($A956&lt;VLOOKUP(K$5,NFI,5,0),1,0)*Table_NFI[[#This Row],[Mosquito net]],Table_NFI[Mosquito net])</f>
        <v>0</v>
      </c>
      <c r="AC956" s="294">
        <f>IF(NFI_Expiration=1,IF($A956&lt;VLOOKUP(L$5,NFI,5,0),1,0)*Table_NFI[[#This Row],[Tarpaulin]],Table_NFI[[#This Row],[Tarpaulin]])</f>
        <v>0</v>
      </c>
      <c r="AD956" s="294">
        <f>IF(NFI_Expiration=1,IF($A956&lt;VLOOKUP(M$5,NFI,5,0),1,0)*Table_NFI[[#This Row],[Blanket]],Table_NFI[[#This Row],[Blanket]])</f>
        <v>0</v>
      </c>
      <c r="AE956" s="294">
        <f>IF(NFI_Expiration=1,IF($A956&lt;VLOOKUP(N$5,NFI,5,0),1,0)*Table_NFI[[#This Row],[Kitchen Set]],Table_NFI[Kitchen Set])</f>
        <v>0</v>
      </c>
      <c r="AF956" s="294">
        <f>IF(NFI_Expiration=1,IF($A956&lt;VLOOKUP(O$5,NFI,5,0),1,0)*Table_NFI[[#This Row],[Clothes Kit]],Table_NFI[Clothes Kit])</f>
        <v>0</v>
      </c>
      <c r="AG956" s="294">
        <f>IF(NFI_Expiration=1,IF($A956&lt;VLOOKUP(P$5,NFI,5,0),1,0)*Table_NFI[[#This Row],[Plastic Bucket]],Table_NFI[Plastic Bucket])</f>
        <v>0</v>
      </c>
      <c r="AH956" s="294">
        <f>IF(NFI_Expiration=1,IF($A956&lt;VLOOKUP(Q$5,NFI,5,0),1,0)*Table_NFI[[#This Row],[Plastic Mat]],Table_NFI[Plastic Mat])*IF(Table_NFI[[#This Row],[Distribution Date]]&gt;"2014-04-01",1,2.5)</f>
        <v>0</v>
      </c>
      <c r="AI956" s="294">
        <f>IF(NFI_Expiration=1,IF($A956&lt;VLOOKUP(R$5,NFI,5,0),1,0)*Table_NFI[[#This Row],[Winter Clothes Adult]],Table_NFI[Winter Clothes Adult])</f>
        <v>0</v>
      </c>
      <c r="AJ956" s="294">
        <f>IF(NFI_Expiration=1,IF($A956&lt;VLOOKUP(S$5,NFI,5,0),1,0)*Table_NFI[[#This Row],[Winter Clothes Children]],Table_NFI[Winter Clothes Children])</f>
        <v>0</v>
      </c>
      <c r="AK956" s="294">
        <f>IF(NFI_Expiration=1,IF($A956&lt;VLOOKUP(T$5,NFI,5,0),1,0)*Table_NFI[[#This Row],[Winter Items Other]],Table_NFI[Winter Items Other])</f>
        <v>0</v>
      </c>
      <c r="AL956" s="294">
        <f>IF(NFI_Expiration=1,IF($A956&lt;VLOOKUP(M$5,NFI,5,0),1,0)*Table_NFI[[#This Row],[Winter Blanket]],Table_NFI[[#This Row],[Winter Blanket]])</f>
        <v>0</v>
      </c>
      <c r="AM956" s="294">
        <f>IF(Table_NFI[[#This Row],[Winter Clothes Adult]]+Table_NFI[[#This Row],[Winter Clothes Children]]+Table_NFI[[#This Row],[Winter Items Other]]+Table_NFI[[#This Row],[Winter Blanket]]&gt;0,1,0)</f>
        <v>0</v>
      </c>
      <c r="AN956" s="331">
        <f>IF(NFI_Expiration=1,IF($A956&lt;VLOOKUP(V$5,NFI,5,0),1,0)*Table_NFI[[#This Row],[Jerry Can]],Table_NFI[Jerry Can])</f>
        <v>0</v>
      </c>
      <c r="AO956" s="331">
        <f>IF(NFI_Expiration=1,IF($A956&lt;VLOOKUP(V$5,NFI,5,0),1,0)*Table_NFI[[#This Row],[Shelter Tool kit]],Table_NFI[Shelter Tool kit])</f>
        <v>0</v>
      </c>
      <c r="AP956" s="331">
        <f>IF(NFI_Expiration=1,IF($A956&lt;VLOOKUP(V$5,NFI,5,0),1,0)*Table_NFI[[#This Row],[Tent]],Table_NFI[Tent])</f>
        <v>0</v>
      </c>
      <c r="AQ956" s="473" t="str">
        <f>IFERROR(VLOOKUP(Table_NFI[[#This Row],[Camp Name]],CL,2,0),"")</f>
        <v>MMR001CMP056</v>
      </c>
      <c r="AR956" s="468">
        <f ca="1">IF(Table_NFI[[#This Row],[Pcode]]="","",IF(OFFSET(CampList[Opening Date],MATCH(Table_NFI[[#This Row],[Pcode]],CampList[CP_Pcode],0)-1,0,1,1)&gt;=NFI_Monitor_Date,1,0))</f>
        <v>0</v>
      </c>
      <c r="AS956" s="473" t="str">
        <f>IFERROR(VLOOKUP(Table_NFI[[#This Row],[Camp Name]],CL,3,0),"")</f>
        <v>Open</v>
      </c>
      <c r="AT956" s="294" t="str">
        <f ca="1">IF(Table_NFI[[#This Row],[Pcode]]="","",OFFSET(CampList[Priority],MATCH(Table_NFI[[#This Row],[Pcode]],CampList[CP_Pcode],0)-1,0,1,1))</f>
        <v>P4</v>
      </c>
      <c r="AU956" s="293">
        <f>IFERROR(Table_NFI[[#This Row],[Kitchen Set]]/VLOOKUP(Table_NFI[[#This Row],[Camp Name]],CL,4,0),"")</f>
        <v>0.6415929203539823</v>
      </c>
      <c r="AV956" s="466" t="s">
        <v>1092</v>
      </c>
      <c r="AW956" s="469"/>
    </row>
    <row r="957" spans="1:49" x14ac:dyDescent="0.25">
      <c r="A957" s="297">
        <f t="shared" si="14"/>
        <v>53.06666666666667</v>
      </c>
      <c r="B957" s="465">
        <v>41083</v>
      </c>
      <c r="C957" s="466" t="s">
        <v>452</v>
      </c>
      <c r="D957" s="467" t="s">
        <v>452</v>
      </c>
      <c r="E957" s="466" t="s">
        <v>380</v>
      </c>
      <c r="F957" s="290" t="s">
        <v>185</v>
      </c>
      <c r="G957" s="290" t="s">
        <v>192</v>
      </c>
      <c r="H957" s="291"/>
      <c r="I957" s="296"/>
      <c r="J957" s="289"/>
      <c r="K957" s="289">
        <v>24</v>
      </c>
      <c r="L957" s="289">
        <v>13</v>
      </c>
      <c r="M957" s="289">
        <v>24</v>
      </c>
      <c r="N957" s="289">
        <v>13</v>
      </c>
      <c r="O957" s="289">
        <v>13</v>
      </c>
      <c r="P957" s="294">
        <v>13</v>
      </c>
      <c r="Q957" s="294">
        <v>13</v>
      </c>
      <c r="R957" s="294"/>
      <c r="S957" s="294"/>
      <c r="T957" s="294"/>
      <c r="U957" s="294"/>
      <c r="V957" s="431"/>
      <c r="W957" s="331"/>
      <c r="X957" s="331"/>
      <c r="Y957" s="294">
        <f>IF(NFI_Expiration=1,IF($A957&lt;VLOOKUP(H$5,NFI,5,0),1,0)*Table_NFI[[#This Row],[Hygiene Kit]],Table_NFI[Hygiene Kit])</f>
        <v>0</v>
      </c>
      <c r="Z957" s="294">
        <f>IF(NFI_Expiration=1,IF($A957&lt;VLOOKUP(I$5,NFI,5,0),1,0)*Table_NFI[[#This Row],[NFI Core Kit]],Table_NFI[NFI Core Kit])</f>
        <v>0</v>
      </c>
      <c r="AA957" s="294">
        <f>IF(NFI_Expiration=1,IF($A957&lt;VLOOKUP(J$5,NFI,5,0),1,0)*Table_NFI[[#This Row],[Sanitary Kit]],Table_NFI[Sanitary Kit])</f>
        <v>0</v>
      </c>
      <c r="AB957" s="294">
        <f>IF(NFI_Expiration=1,IF($A957&lt;VLOOKUP(K$5,NFI,5,0),1,0)*Table_NFI[[#This Row],[Mosquito net]],Table_NFI[Mosquito net])</f>
        <v>0</v>
      </c>
      <c r="AC957" s="294">
        <f>IF(NFI_Expiration=1,IF($A957&lt;VLOOKUP(L$5,NFI,5,0),1,0)*Table_NFI[[#This Row],[Tarpaulin]],Table_NFI[[#This Row],[Tarpaulin]])</f>
        <v>0</v>
      </c>
      <c r="AD957" s="294">
        <f>IF(NFI_Expiration=1,IF($A957&lt;VLOOKUP(M$5,NFI,5,0),1,0)*Table_NFI[[#This Row],[Blanket]],Table_NFI[[#This Row],[Blanket]])</f>
        <v>0</v>
      </c>
      <c r="AE957" s="294">
        <f>IF(NFI_Expiration=1,IF($A957&lt;VLOOKUP(N$5,NFI,5,0),1,0)*Table_NFI[[#This Row],[Kitchen Set]],Table_NFI[Kitchen Set])</f>
        <v>0</v>
      </c>
      <c r="AF957" s="294">
        <f>IF(NFI_Expiration=1,IF($A957&lt;VLOOKUP(O$5,NFI,5,0),1,0)*Table_NFI[[#This Row],[Clothes Kit]],Table_NFI[Clothes Kit])</f>
        <v>0</v>
      </c>
      <c r="AG957" s="294">
        <f>IF(NFI_Expiration=1,IF($A957&lt;VLOOKUP(P$5,NFI,5,0),1,0)*Table_NFI[[#This Row],[Plastic Bucket]],Table_NFI[Plastic Bucket])</f>
        <v>0</v>
      </c>
      <c r="AH957" s="294">
        <f>IF(NFI_Expiration=1,IF($A957&lt;VLOOKUP(Q$5,NFI,5,0),1,0)*Table_NFI[[#This Row],[Plastic Mat]],Table_NFI[Plastic Mat])*IF(Table_NFI[[#This Row],[Distribution Date]]&gt;"2014-04-01",1,2.5)</f>
        <v>0</v>
      </c>
      <c r="AI957" s="294">
        <f>IF(NFI_Expiration=1,IF($A957&lt;VLOOKUP(R$5,NFI,5,0),1,0)*Table_NFI[[#This Row],[Winter Clothes Adult]],Table_NFI[Winter Clothes Adult])</f>
        <v>0</v>
      </c>
      <c r="AJ957" s="294">
        <f>IF(NFI_Expiration=1,IF($A957&lt;VLOOKUP(S$5,NFI,5,0),1,0)*Table_NFI[[#This Row],[Winter Clothes Children]],Table_NFI[Winter Clothes Children])</f>
        <v>0</v>
      </c>
      <c r="AK957" s="294">
        <f>IF(NFI_Expiration=1,IF($A957&lt;VLOOKUP(T$5,NFI,5,0),1,0)*Table_NFI[[#This Row],[Winter Items Other]],Table_NFI[Winter Items Other])</f>
        <v>0</v>
      </c>
      <c r="AL957" s="294">
        <f>IF(NFI_Expiration=1,IF($A957&lt;VLOOKUP(M$5,NFI,5,0),1,0)*Table_NFI[[#This Row],[Winter Blanket]],Table_NFI[[#This Row],[Winter Blanket]])</f>
        <v>0</v>
      </c>
      <c r="AM957" s="294">
        <f>IF(Table_NFI[[#This Row],[Winter Clothes Adult]]+Table_NFI[[#This Row],[Winter Clothes Children]]+Table_NFI[[#This Row],[Winter Items Other]]+Table_NFI[[#This Row],[Winter Blanket]]&gt;0,1,0)</f>
        <v>0</v>
      </c>
      <c r="AN957" s="331">
        <f>IF(NFI_Expiration=1,IF($A957&lt;VLOOKUP(V$5,NFI,5,0),1,0)*Table_NFI[[#This Row],[Jerry Can]],Table_NFI[Jerry Can])</f>
        <v>0</v>
      </c>
      <c r="AO957" s="331">
        <f>IF(NFI_Expiration=1,IF($A957&lt;VLOOKUP(V$5,NFI,5,0),1,0)*Table_NFI[[#This Row],[Shelter Tool kit]],Table_NFI[Shelter Tool kit])</f>
        <v>0</v>
      </c>
      <c r="AP957" s="331">
        <f>IF(NFI_Expiration=1,IF($A957&lt;VLOOKUP(V$5,NFI,5,0),1,0)*Table_NFI[[#This Row],[Tent]],Table_NFI[Tent])</f>
        <v>0</v>
      </c>
      <c r="AQ957" s="473" t="str">
        <f>IFERROR(VLOOKUP(Table_NFI[[#This Row],[Camp Name]],CL,2,0),"")</f>
        <v>MMR001CMP123</v>
      </c>
      <c r="AR957" s="468">
        <f ca="1">IF(Table_NFI[[#This Row],[Pcode]]="","",IF(OFFSET(CampList[Opening Date],MATCH(Table_NFI[[#This Row],[Pcode]],CampList[CP_Pcode],0)-1,0,1,1)&gt;=NFI_Monitor_Date,1,0))</f>
        <v>0</v>
      </c>
      <c r="AS957" s="473" t="str">
        <f>IFERROR(VLOOKUP(Table_NFI[[#This Row],[Camp Name]],CL,3,0),"")</f>
        <v>Open</v>
      </c>
      <c r="AT957" s="294" t="str">
        <f ca="1">IF(Table_NFI[[#This Row],[Pcode]]="","",OFFSET(CampList[Priority],MATCH(Table_NFI[[#This Row],[Pcode]],CampList[CP_Pcode],0)-1,0,1,1))</f>
        <v>P2</v>
      </c>
      <c r="AU957" s="293">
        <f>IFERROR(Table_NFI[[#This Row],[Kitchen Set]]/VLOOKUP(Table_NFI[[#This Row],[Camp Name]],CL,4,0),"")</f>
        <v>0.11926605504587157</v>
      </c>
      <c r="AV957" s="466" t="s">
        <v>1092</v>
      </c>
      <c r="AW957" s="469"/>
    </row>
    <row r="958" spans="1:49" x14ac:dyDescent="0.25">
      <c r="A958" s="297">
        <f t="shared" si="14"/>
        <v>53.1</v>
      </c>
      <c r="B958" s="465">
        <v>41082</v>
      </c>
      <c r="C958" s="466" t="s">
        <v>452</v>
      </c>
      <c r="D958" s="466" t="s">
        <v>452</v>
      </c>
      <c r="E958" s="466" t="s">
        <v>380</v>
      </c>
      <c r="F958" s="290" t="s">
        <v>185</v>
      </c>
      <c r="G958" s="290" t="s">
        <v>215</v>
      </c>
      <c r="H958" s="291"/>
      <c r="I958" s="291"/>
      <c r="J958" s="291"/>
      <c r="K958" s="291">
        <v>140</v>
      </c>
      <c r="L958" s="292">
        <v>70</v>
      </c>
      <c r="M958" s="292">
        <v>140</v>
      </c>
      <c r="N958" s="292">
        <v>70</v>
      </c>
      <c r="O958" s="292">
        <v>70</v>
      </c>
      <c r="P958" s="294">
        <v>70</v>
      </c>
      <c r="Q958" s="294">
        <v>70</v>
      </c>
      <c r="R958" s="294"/>
      <c r="S958" s="294"/>
      <c r="T958" s="294"/>
      <c r="U958" s="294"/>
      <c r="V958" s="431"/>
      <c r="W958" s="331"/>
      <c r="X958" s="331"/>
      <c r="Y958" s="294">
        <f>IF(NFI_Expiration=1,IF($A958&lt;VLOOKUP(H$5,NFI,5,0),1,0)*Table_NFI[[#This Row],[Hygiene Kit]],Table_NFI[Hygiene Kit])</f>
        <v>0</v>
      </c>
      <c r="Z958" s="294">
        <f>IF(NFI_Expiration=1,IF($A958&lt;VLOOKUP(I$5,NFI,5,0),1,0)*Table_NFI[[#This Row],[NFI Core Kit]],Table_NFI[NFI Core Kit])</f>
        <v>0</v>
      </c>
      <c r="AA958" s="294">
        <f>IF(NFI_Expiration=1,IF($A958&lt;VLOOKUP(J$5,NFI,5,0),1,0)*Table_NFI[[#This Row],[Sanitary Kit]],Table_NFI[Sanitary Kit])</f>
        <v>0</v>
      </c>
      <c r="AB958" s="294">
        <f>IF(NFI_Expiration=1,IF($A958&lt;VLOOKUP(K$5,NFI,5,0),1,0)*Table_NFI[[#This Row],[Mosquito net]],Table_NFI[Mosquito net])</f>
        <v>0</v>
      </c>
      <c r="AC958" s="294">
        <f>IF(NFI_Expiration=1,IF($A958&lt;VLOOKUP(L$5,NFI,5,0),1,0)*Table_NFI[[#This Row],[Tarpaulin]],Table_NFI[[#This Row],[Tarpaulin]])</f>
        <v>0</v>
      </c>
      <c r="AD958" s="294">
        <f>IF(NFI_Expiration=1,IF($A958&lt;VLOOKUP(M$5,NFI,5,0),1,0)*Table_NFI[[#This Row],[Blanket]],Table_NFI[[#This Row],[Blanket]])</f>
        <v>0</v>
      </c>
      <c r="AE958" s="294">
        <f>IF(NFI_Expiration=1,IF($A958&lt;VLOOKUP(N$5,NFI,5,0),1,0)*Table_NFI[[#This Row],[Kitchen Set]],Table_NFI[Kitchen Set])</f>
        <v>0</v>
      </c>
      <c r="AF958" s="294">
        <f>IF(NFI_Expiration=1,IF($A958&lt;VLOOKUP(O$5,NFI,5,0),1,0)*Table_NFI[[#This Row],[Clothes Kit]],Table_NFI[Clothes Kit])</f>
        <v>0</v>
      </c>
      <c r="AG958" s="294">
        <f>IF(NFI_Expiration=1,IF($A958&lt;VLOOKUP(P$5,NFI,5,0),1,0)*Table_NFI[[#This Row],[Plastic Bucket]],Table_NFI[Plastic Bucket])</f>
        <v>0</v>
      </c>
      <c r="AH958" s="294">
        <f>IF(NFI_Expiration=1,IF($A958&lt;VLOOKUP(Q$5,NFI,5,0),1,0)*Table_NFI[[#This Row],[Plastic Mat]],Table_NFI[Plastic Mat])*IF(Table_NFI[[#This Row],[Distribution Date]]&gt;"2014-04-01",1,2.5)</f>
        <v>0</v>
      </c>
      <c r="AI958" s="294">
        <f>IF(NFI_Expiration=1,IF($A958&lt;VLOOKUP(R$5,NFI,5,0),1,0)*Table_NFI[[#This Row],[Winter Clothes Adult]],Table_NFI[Winter Clothes Adult])</f>
        <v>0</v>
      </c>
      <c r="AJ958" s="294">
        <f>IF(NFI_Expiration=1,IF($A958&lt;VLOOKUP(S$5,NFI,5,0),1,0)*Table_NFI[[#This Row],[Winter Clothes Children]],Table_NFI[Winter Clothes Children])</f>
        <v>0</v>
      </c>
      <c r="AK958" s="294">
        <f>IF(NFI_Expiration=1,IF($A958&lt;VLOOKUP(T$5,NFI,5,0),1,0)*Table_NFI[[#This Row],[Winter Items Other]],Table_NFI[Winter Items Other])</f>
        <v>0</v>
      </c>
      <c r="AL958" s="294">
        <f>IF(NFI_Expiration=1,IF($A958&lt;VLOOKUP(M$5,NFI,5,0),1,0)*Table_NFI[[#This Row],[Winter Blanket]],Table_NFI[[#This Row],[Winter Blanket]])</f>
        <v>0</v>
      </c>
      <c r="AM958" s="294">
        <f>IF(Table_NFI[[#This Row],[Winter Clothes Adult]]+Table_NFI[[#This Row],[Winter Clothes Children]]+Table_NFI[[#This Row],[Winter Items Other]]+Table_NFI[[#This Row],[Winter Blanket]]&gt;0,1,0)</f>
        <v>0</v>
      </c>
      <c r="AN958" s="331">
        <f>IF(NFI_Expiration=1,IF($A958&lt;VLOOKUP(V$5,NFI,5,0),1,0)*Table_NFI[[#This Row],[Jerry Can]],Table_NFI[Jerry Can])</f>
        <v>0</v>
      </c>
      <c r="AO958" s="331">
        <f>IF(NFI_Expiration=1,IF($A958&lt;VLOOKUP(V$5,NFI,5,0),1,0)*Table_NFI[[#This Row],[Shelter Tool kit]],Table_NFI[Shelter Tool kit])</f>
        <v>0</v>
      </c>
      <c r="AP958" s="331">
        <f>IF(NFI_Expiration=1,IF($A958&lt;VLOOKUP(V$5,NFI,5,0),1,0)*Table_NFI[[#This Row],[Tent]],Table_NFI[Tent])</f>
        <v>0</v>
      </c>
      <c r="AQ958" s="473" t="str">
        <f>IFERROR(VLOOKUP(Table_NFI[[#This Row],[Camp Name]],CL,2,0),"")</f>
        <v>MMR001CMP131</v>
      </c>
      <c r="AR958" s="468">
        <f ca="1">IF(Table_NFI[[#This Row],[Pcode]]="","",IF(OFFSET(CampList[Opening Date],MATCH(Table_NFI[[#This Row],[Pcode]],CampList[CP_Pcode],0)-1,0,1,1)&gt;=NFI_Monitor_Date,1,0))</f>
        <v>0</v>
      </c>
      <c r="AS958" s="473" t="str">
        <f>IFERROR(VLOOKUP(Table_NFI[[#This Row],[Camp Name]],CL,3,0),"")</f>
        <v>Open</v>
      </c>
      <c r="AT958" s="294" t="str">
        <f ca="1">IF(Table_NFI[[#This Row],[Pcode]]="","",OFFSET(CampList[Priority],MATCH(Table_NFI[[#This Row],[Pcode]],CampList[CP_Pcode],0)-1,0,1,1))</f>
        <v>P1</v>
      </c>
      <c r="AU958" s="293">
        <f>IFERROR(Table_NFI[[#This Row],[Kitchen Set]]/VLOOKUP(Table_NFI[[#This Row],[Camp Name]],CL,4,0),"")</f>
        <v>0.19718309859154928</v>
      </c>
      <c r="AV958" s="466" t="s">
        <v>1092</v>
      </c>
      <c r="AW958" s="469"/>
    </row>
    <row r="959" spans="1:49" x14ac:dyDescent="0.25">
      <c r="A959" s="297">
        <f t="shared" si="14"/>
        <v>53.166666666666664</v>
      </c>
      <c r="B959" s="465">
        <v>41080</v>
      </c>
      <c r="C959" s="466" t="s">
        <v>452</v>
      </c>
      <c r="D959" s="467" t="s">
        <v>452</v>
      </c>
      <c r="E959" s="466" t="s">
        <v>380</v>
      </c>
      <c r="F959" s="290" t="s">
        <v>310</v>
      </c>
      <c r="G959" s="290" t="s">
        <v>311</v>
      </c>
      <c r="H959" s="291"/>
      <c r="I959" s="291"/>
      <c r="J959" s="291"/>
      <c r="K959" s="291">
        <v>141</v>
      </c>
      <c r="L959" s="292">
        <v>81</v>
      </c>
      <c r="M959" s="292">
        <v>148</v>
      </c>
      <c r="N959" s="292">
        <v>84</v>
      </c>
      <c r="O959" s="292">
        <v>78</v>
      </c>
      <c r="P959" s="294">
        <v>78</v>
      </c>
      <c r="Q959" s="294">
        <v>78</v>
      </c>
      <c r="R959" s="294"/>
      <c r="S959" s="294"/>
      <c r="T959" s="294"/>
      <c r="U959" s="294"/>
      <c r="V959" s="431"/>
      <c r="W959" s="331"/>
      <c r="X959" s="331"/>
      <c r="Y959" s="294">
        <f>IF(NFI_Expiration=1,IF($A959&lt;VLOOKUP(H$5,NFI,5,0),1,0)*Table_NFI[[#This Row],[Hygiene Kit]],Table_NFI[Hygiene Kit])</f>
        <v>0</v>
      </c>
      <c r="Z959" s="294">
        <f>IF(NFI_Expiration=1,IF($A959&lt;VLOOKUP(I$5,NFI,5,0),1,0)*Table_NFI[[#This Row],[NFI Core Kit]],Table_NFI[NFI Core Kit])</f>
        <v>0</v>
      </c>
      <c r="AA959" s="294">
        <f>IF(NFI_Expiration=1,IF($A959&lt;VLOOKUP(J$5,NFI,5,0),1,0)*Table_NFI[[#This Row],[Sanitary Kit]],Table_NFI[Sanitary Kit])</f>
        <v>0</v>
      </c>
      <c r="AB959" s="294">
        <f>IF(NFI_Expiration=1,IF($A959&lt;VLOOKUP(K$5,NFI,5,0),1,0)*Table_NFI[[#This Row],[Mosquito net]],Table_NFI[Mosquito net])</f>
        <v>0</v>
      </c>
      <c r="AC959" s="294">
        <f>IF(NFI_Expiration=1,IF($A959&lt;VLOOKUP(L$5,NFI,5,0),1,0)*Table_NFI[[#This Row],[Tarpaulin]],Table_NFI[[#This Row],[Tarpaulin]])</f>
        <v>0</v>
      </c>
      <c r="AD959" s="294">
        <f>IF(NFI_Expiration=1,IF($A959&lt;VLOOKUP(M$5,NFI,5,0),1,0)*Table_NFI[[#This Row],[Blanket]],Table_NFI[[#This Row],[Blanket]])</f>
        <v>0</v>
      </c>
      <c r="AE959" s="294">
        <f>IF(NFI_Expiration=1,IF($A959&lt;VLOOKUP(N$5,NFI,5,0),1,0)*Table_NFI[[#This Row],[Kitchen Set]],Table_NFI[Kitchen Set])</f>
        <v>0</v>
      </c>
      <c r="AF959" s="294">
        <f>IF(NFI_Expiration=1,IF($A959&lt;VLOOKUP(O$5,NFI,5,0),1,0)*Table_NFI[[#This Row],[Clothes Kit]],Table_NFI[Clothes Kit])</f>
        <v>0</v>
      </c>
      <c r="AG959" s="294">
        <f>IF(NFI_Expiration=1,IF($A959&lt;VLOOKUP(P$5,NFI,5,0),1,0)*Table_NFI[[#This Row],[Plastic Bucket]],Table_NFI[Plastic Bucket])</f>
        <v>0</v>
      </c>
      <c r="AH959" s="294">
        <f>IF(NFI_Expiration=1,IF($A959&lt;VLOOKUP(Q$5,NFI,5,0),1,0)*Table_NFI[[#This Row],[Plastic Mat]],Table_NFI[Plastic Mat])*IF(Table_NFI[[#This Row],[Distribution Date]]&gt;"2014-04-01",1,2.5)</f>
        <v>0</v>
      </c>
      <c r="AI959" s="294">
        <f>IF(NFI_Expiration=1,IF($A959&lt;VLOOKUP(R$5,NFI,5,0),1,0)*Table_NFI[[#This Row],[Winter Clothes Adult]],Table_NFI[Winter Clothes Adult])</f>
        <v>0</v>
      </c>
      <c r="AJ959" s="294">
        <f>IF(NFI_Expiration=1,IF($A959&lt;VLOOKUP(S$5,NFI,5,0),1,0)*Table_NFI[[#This Row],[Winter Clothes Children]],Table_NFI[Winter Clothes Children])</f>
        <v>0</v>
      </c>
      <c r="AK959" s="294">
        <f>IF(NFI_Expiration=1,IF($A959&lt;VLOOKUP(T$5,NFI,5,0),1,0)*Table_NFI[[#This Row],[Winter Items Other]],Table_NFI[Winter Items Other])</f>
        <v>0</v>
      </c>
      <c r="AL959" s="294">
        <f>IF(NFI_Expiration=1,IF($A959&lt;VLOOKUP(M$5,NFI,5,0),1,0)*Table_NFI[[#This Row],[Winter Blanket]],Table_NFI[[#This Row],[Winter Blanket]])</f>
        <v>0</v>
      </c>
      <c r="AM959" s="294">
        <f>IF(Table_NFI[[#This Row],[Winter Clothes Adult]]+Table_NFI[[#This Row],[Winter Clothes Children]]+Table_NFI[[#This Row],[Winter Items Other]]+Table_NFI[[#This Row],[Winter Blanket]]&gt;0,1,0)</f>
        <v>0</v>
      </c>
      <c r="AN959" s="331">
        <f>IF(NFI_Expiration=1,IF($A959&lt;VLOOKUP(V$5,NFI,5,0),1,0)*Table_NFI[[#This Row],[Jerry Can]],Table_NFI[Jerry Can])</f>
        <v>0</v>
      </c>
      <c r="AO959" s="331">
        <f>IF(NFI_Expiration=1,IF($A959&lt;VLOOKUP(V$5,NFI,5,0),1,0)*Table_NFI[[#This Row],[Shelter Tool kit]],Table_NFI[Shelter Tool kit])</f>
        <v>0</v>
      </c>
      <c r="AP959" s="331">
        <f>IF(NFI_Expiration=1,IF($A959&lt;VLOOKUP(V$5,NFI,5,0),1,0)*Table_NFI[[#This Row],[Tent]],Table_NFI[Tent])</f>
        <v>0</v>
      </c>
      <c r="AQ959" s="473" t="str">
        <f>IFERROR(VLOOKUP(Table_NFI[[#This Row],[Camp Name]],CL,2,0),"")</f>
        <v>MMR001CMP036</v>
      </c>
      <c r="AR959" s="468">
        <f ca="1">IF(Table_NFI[[#This Row],[Pcode]]="","",IF(OFFSET(CampList[Opening Date],MATCH(Table_NFI[[#This Row],[Pcode]],CampList[CP_Pcode],0)-1,0,1,1)&gt;=NFI_Monitor_Date,1,0))</f>
        <v>0</v>
      </c>
      <c r="AS959" s="473" t="str">
        <f>IFERROR(VLOOKUP(Table_NFI[[#This Row],[Camp Name]],CL,3,0),"")</f>
        <v>Closed</v>
      </c>
      <c r="AT959" s="294" t="str">
        <f ca="1">IF(Table_NFI[[#This Row],[Pcode]]="","",OFFSET(CampList[Priority],MATCH(Table_NFI[[#This Row],[Pcode]],CampList[CP_Pcode],0)-1,0,1,1))</f>
        <v>P4</v>
      </c>
      <c r="AU959" s="293" t="str">
        <f>IFERROR(Table_NFI[[#This Row],[Kitchen Set]]/VLOOKUP(Table_NFI[[#This Row],[Camp Name]],CL,4,0),"")</f>
        <v/>
      </c>
      <c r="AV959" s="466" t="s">
        <v>1092</v>
      </c>
      <c r="AW959" s="469"/>
    </row>
    <row r="960" spans="1:49" x14ac:dyDescent="0.25">
      <c r="A960" s="297">
        <f t="shared" si="14"/>
        <v>53.2</v>
      </c>
      <c r="B960" s="465">
        <v>41079</v>
      </c>
      <c r="C960" s="466" t="s">
        <v>452</v>
      </c>
      <c r="D960" s="467" t="s">
        <v>452</v>
      </c>
      <c r="E960" s="466" t="s">
        <v>380</v>
      </c>
      <c r="F960" s="290" t="s">
        <v>310</v>
      </c>
      <c r="G960" s="290" t="s">
        <v>324</v>
      </c>
      <c r="H960" s="291"/>
      <c r="I960" s="291"/>
      <c r="J960" s="291"/>
      <c r="K960" s="291">
        <v>32</v>
      </c>
      <c r="L960" s="292">
        <v>17</v>
      </c>
      <c r="M960" s="292">
        <v>32</v>
      </c>
      <c r="N960" s="292">
        <v>17</v>
      </c>
      <c r="O960" s="292">
        <v>17</v>
      </c>
      <c r="P960" s="294">
        <v>17</v>
      </c>
      <c r="Q960" s="294">
        <v>17</v>
      </c>
      <c r="R960" s="294"/>
      <c r="S960" s="294"/>
      <c r="T960" s="294"/>
      <c r="U960" s="294"/>
      <c r="V960" s="431"/>
      <c r="W960" s="331"/>
      <c r="X960" s="331"/>
      <c r="Y960" s="294">
        <f>IF(NFI_Expiration=1,IF($A960&lt;VLOOKUP(H$5,NFI,5,0),1,0)*Table_NFI[[#This Row],[Hygiene Kit]],Table_NFI[Hygiene Kit])</f>
        <v>0</v>
      </c>
      <c r="Z960" s="294">
        <f>IF(NFI_Expiration=1,IF($A960&lt;VLOOKUP(I$5,NFI,5,0),1,0)*Table_NFI[[#This Row],[NFI Core Kit]],Table_NFI[NFI Core Kit])</f>
        <v>0</v>
      </c>
      <c r="AA960" s="294">
        <f>IF(NFI_Expiration=1,IF($A960&lt;VLOOKUP(J$5,NFI,5,0),1,0)*Table_NFI[[#This Row],[Sanitary Kit]],Table_NFI[Sanitary Kit])</f>
        <v>0</v>
      </c>
      <c r="AB960" s="294">
        <f>IF(NFI_Expiration=1,IF($A960&lt;VLOOKUP(K$5,NFI,5,0),1,0)*Table_NFI[[#This Row],[Mosquito net]],Table_NFI[Mosquito net])</f>
        <v>0</v>
      </c>
      <c r="AC960" s="294">
        <f>IF(NFI_Expiration=1,IF($A960&lt;VLOOKUP(L$5,NFI,5,0),1,0)*Table_NFI[[#This Row],[Tarpaulin]],Table_NFI[[#This Row],[Tarpaulin]])</f>
        <v>0</v>
      </c>
      <c r="AD960" s="294">
        <f>IF(NFI_Expiration=1,IF($A960&lt;VLOOKUP(M$5,NFI,5,0),1,0)*Table_NFI[[#This Row],[Blanket]],Table_NFI[[#This Row],[Blanket]])</f>
        <v>0</v>
      </c>
      <c r="AE960" s="294">
        <f>IF(NFI_Expiration=1,IF($A960&lt;VLOOKUP(N$5,NFI,5,0),1,0)*Table_NFI[[#This Row],[Kitchen Set]],Table_NFI[Kitchen Set])</f>
        <v>0</v>
      </c>
      <c r="AF960" s="294">
        <f>IF(NFI_Expiration=1,IF($A960&lt;VLOOKUP(O$5,NFI,5,0),1,0)*Table_NFI[[#This Row],[Clothes Kit]],Table_NFI[Clothes Kit])</f>
        <v>0</v>
      </c>
      <c r="AG960" s="294">
        <f>IF(NFI_Expiration=1,IF($A960&lt;VLOOKUP(P$5,NFI,5,0),1,0)*Table_NFI[[#This Row],[Plastic Bucket]],Table_NFI[Plastic Bucket])</f>
        <v>0</v>
      </c>
      <c r="AH960" s="294">
        <f>IF(NFI_Expiration=1,IF($A960&lt;VLOOKUP(Q$5,NFI,5,0),1,0)*Table_NFI[[#This Row],[Plastic Mat]],Table_NFI[Plastic Mat])*IF(Table_NFI[[#This Row],[Distribution Date]]&gt;"2014-04-01",1,2.5)</f>
        <v>0</v>
      </c>
      <c r="AI960" s="294">
        <f>IF(NFI_Expiration=1,IF($A960&lt;VLOOKUP(R$5,NFI,5,0),1,0)*Table_NFI[[#This Row],[Winter Clothes Adult]],Table_NFI[Winter Clothes Adult])</f>
        <v>0</v>
      </c>
      <c r="AJ960" s="294">
        <f>IF(NFI_Expiration=1,IF($A960&lt;VLOOKUP(S$5,NFI,5,0),1,0)*Table_NFI[[#This Row],[Winter Clothes Children]],Table_NFI[Winter Clothes Children])</f>
        <v>0</v>
      </c>
      <c r="AK960" s="294">
        <f>IF(NFI_Expiration=1,IF($A960&lt;VLOOKUP(T$5,NFI,5,0),1,0)*Table_NFI[[#This Row],[Winter Items Other]],Table_NFI[Winter Items Other])</f>
        <v>0</v>
      </c>
      <c r="AL960" s="294">
        <f>IF(NFI_Expiration=1,IF($A960&lt;VLOOKUP(M$5,NFI,5,0),1,0)*Table_NFI[[#This Row],[Winter Blanket]],Table_NFI[[#This Row],[Winter Blanket]])</f>
        <v>0</v>
      </c>
      <c r="AM960" s="294">
        <f>IF(Table_NFI[[#This Row],[Winter Clothes Adult]]+Table_NFI[[#This Row],[Winter Clothes Children]]+Table_NFI[[#This Row],[Winter Items Other]]+Table_NFI[[#This Row],[Winter Blanket]]&gt;0,1,0)</f>
        <v>0</v>
      </c>
      <c r="AN960" s="331">
        <f>IF(NFI_Expiration=1,IF($A960&lt;VLOOKUP(V$5,NFI,5,0),1,0)*Table_NFI[[#This Row],[Jerry Can]],Table_NFI[Jerry Can])</f>
        <v>0</v>
      </c>
      <c r="AO960" s="331">
        <f>IF(NFI_Expiration=1,IF($A960&lt;VLOOKUP(V$5,NFI,5,0),1,0)*Table_NFI[[#This Row],[Shelter Tool kit]],Table_NFI[Shelter Tool kit])</f>
        <v>0</v>
      </c>
      <c r="AP960" s="331">
        <f>IF(NFI_Expiration=1,IF($A960&lt;VLOOKUP(V$5,NFI,5,0),1,0)*Table_NFI[[#This Row],[Tent]],Table_NFI[Tent])</f>
        <v>0</v>
      </c>
      <c r="AQ960" s="473" t="str">
        <f>IFERROR(VLOOKUP(Table_NFI[[#This Row],[Camp Name]],CL,2,0),"")</f>
        <v>MMR001CMP040</v>
      </c>
      <c r="AR960" s="468">
        <f ca="1">IF(Table_NFI[[#This Row],[Pcode]]="","",IF(OFFSET(CampList[Opening Date],MATCH(Table_NFI[[#This Row],[Pcode]],CampList[CP_Pcode],0)-1,0,1,1)&gt;=NFI_Monitor_Date,1,0))</f>
        <v>0</v>
      </c>
      <c r="AS960" s="473" t="str">
        <f>IFERROR(VLOOKUP(Table_NFI[[#This Row],[Camp Name]],CL,3,0),"")</f>
        <v>Open</v>
      </c>
      <c r="AT960" s="294" t="str">
        <f ca="1">IF(Table_NFI[[#This Row],[Pcode]]="","",OFFSET(CampList[Priority],MATCH(Table_NFI[[#This Row],[Pcode]],CampList[CP_Pcode],0)-1,0,1,1))</f>
        <v>P4</v>
      </c>
      <c r="AU960" s="293">
        <f>IFERROR(Table_NFI[[#This Row],[Kitchen Set]]/VLOOKUP(Table_NFI[[#This Row],[Camp Name]],CL,4,0),"")</f>
        <v>4.1463414634146344E-2</v>
      </c>
      <c r="AV960" s="466" t="s">
        <v>1092</v>
      </c>
      <c r="AW960" s="469"/>
    </row>
    <row r="961" spans="1:49" x14ac:dyDescent="0.25">
      <c r="A961" s="297">
        <f t="shared" si="14"/>
        <v>53.2</v>
      </c>
      <c r="B961" s="465">
        <v>41079</v>
      </c>
      <c r="C961" s="466" t="s">
        <v>452</v>
      </c>
      <c r="D961" s="467" t="s">
        <v>452</v>
      </c>
      <c r="E961" s="466" t="s">
        <v>380</v>
      </c>
      <c r="F961" s="290" t="s">
        <v>310</v>
      </c>
      <c r="G961" s="290" t="s">
        <v>349</v>
      </c>
      <c r="H961" s="291"/>
      <c r="I961" s="291"/>
      <c r="J961" s="291"/>
      <c r="K961" s="291">
        <v>31</v>
      </c>
      <c r="L961" s="292">
        <v>15</v>
      </c>
      <c r="M961" s="292">
        <v>31</v>
      </c>
      <c r="N961" s="292">
        <v>15</v>
      </c>
      <c r="O961" s="292">
        <v>15</v>
      </c>
      <c r="P961" s="294">
        <v>15</v>
      </c>
      <c r="Q961" s="294">
        <v>15</v>
      </c>
      <c r="R961" s="294"/>
      <c r="S961" s="294"/>
      <c r="T961" s="294"/>
      <c r="U961" s="294"/>
      <c r="V961" s="431"/>
      <c r="W961" s="331"/>
      <c r="X961" s="331"/>
      <c r="Y961" s="294">
        <f>IF(NFI_Expiration=1,IF($A961&lt;VLOOKUP(H$5,NFI,5,0),1,0)*Table_NFI[[#This Row],[Hygiene Kit]],Table_NFI[Hygiene Kit])</f>
        <v>0</v>
      </c>
      <c r="Z961" s="294">
        <f>IF(NFI_Expiration=1,IF($A961&lt;VLOOKUP(I$5,NFI,5,0),1,0)*Table_NFI[[#This Row],[NFI Core Kit]],Table_NFI[NFI Core Kit])</f>
        <v>0</v>
      </c>
      <c r="AA961" s="294">
        <f>IF(NFI_Expiration=1,IF($A961&lt;VLOOKUP(J$5,NFI,5,0),1,0)*Table_NFI[[#This Row],[Sanitary Kit]],Table_NFI[Sanitary Kit])</f>
        <v>0</v>
      </c>
      <c r="AB961" s="294">
        <f>IF(NFI_Expiration=1,IF($A961&lt;VLOOKUP(K$5,NFI,5,0),1,0)*Table_NFI[[#This Row],[Mosquito net]],Table_NFI[Mosquito net])</f>
        <v>0</v>
      </c>
      <c r="AC961" s="294">
        <f>IF(NFI_Expiration=1,IF($A961&lt;VLOOKUP(L$5,NFI,5,0),1,0)*Table_NFI[[#This Row],[Tarpaulin]],Table_NFI[[#This Row],[Tarpaulin]])</f>
        <v>0</v>
      </c>
      <c r="AD961" s="294">
        <f>IF(NFI_Expiration=1,IF($A961&lt;VLOOKUP(M$5,NFI,5,0),1,0)*Table_NFI[[#This Row],[Blanket]],Table_NFI[[#This Row],[Blanket]])</f>
        <v>0</v>
      </c>
      <c r="AE961" s="294">
        <f>IF(NFI_Expiration=1,IF($A961&lt;VLOOKUP(N$5,NFI,5,0),1,0)*Table_NFI[[#This Row],[Kitchen Set]],Table_NFI[Kitchen Set])</f>
        <v>0</v>
      </c>
      <c r="AF961" s="294">
        <f>IF(NFI_Expiration=1,IF($A961&lt;VLOOKUP(O$5,NFI,5,0),1,0)*Table_NFI[[#This Row],[Clothes Kit]],Table_NFI[Clothes Kit])</f>
        <v>0</v>
      </c>
      <c r="AG961" s="294">
        <f>IF(NFI_Expiration=1,IF($A961&lt;VLOOKUP(P$5,NFI,5,0),1,0)*Table_NFI[[#This Row],[Plastic Bucket]],Table_NFI[Plastic Bucket])</f>
        <v>0</v>
      </c>
      <c r="AH961" s="294">
        <f>IF(NFI_Expiration=1,IF($A961&lt;VLOOKUP(Q$5,NFI,5,0),1,0)*Table_NFI[[#This Row],[Plastic Mat]],Table_NFI[Plastic Mat])*IF(Table_NFI[[#This Row],[Distribution Date]]&gt;"2014-04-01",1,2.5)</f>
        <v>0</v>
      </c>
      <c r="AI961" s="294">
        <f>IF(NFI_Expiration=1,IF($A961&lt;VLOOKUP(R$5,NFI,5,0),1,0)*Table_NFI[[#This Row],[Winter Clothes Adult]],Table_NFI[Winter Clothes Adult])</f>
        <v>0</v>
      </c>
      <c r="AJ961" s="294">
        <f>IF(NFI_Expiration=1,IF($A961&lt;VLOOKUP(S$5,NFI,5,0),1,0)*Table_NFI[[#This Row],[Winter Clothes Children]],Table_NFI[Winter Clothes Children])</f>
        <v>0</v>
      </c>
      <c r="AK961" s="294">
        <f>IF(NFI_Expiration=1,IF($A961&lt;VLOOKUP(T$5,NFI,5,0),1,0)*Table_NFI[[#This Row],[Winter Items Other]],Table_NFI[Winter Items Other])</f>
        <v>0</v>
      </c>
      <c r="AL961" s="294">
        <f>IF(NFI_Expiration=1,IF($A961&lt;VLOOKUP(M$5,NFI,5,0),1,0)*Table_NFI[[#This Row],[Winter Blanket]],Table_NFI[[#This Row],[Winter Blanket]])</f>
        <v>0</v>
      </c>
      <c r="AM961" s="294">
        <f>IF(Table_NFI[[#This Row],[Winter Clothes Adult]]+Table_NFI[[#This Row],[Winter Clothes Children]]+Table_NFI[[#This Row],[Winter Items Other]]+Table_NFI[[#This Row],[Winter Blanket]]&gt;0,1,0)</f>
        <v>0</v>
      </c>
      <c r="AN961" s="331">
        <f>IF(NFI_Expiration=1,IF($A961&lt;VLOOKUP(V$5,NFI,5,0),1,0)*Table_NFI[[#This Row],[Jerry Can]],Table_NFI[Jerry Can])</f>
        <v>0</v>
      </c>
      <c r="AO961" s="331">
        <f>IF(NFI_Expiration=1,IF($A961&lt;VLOOKUP(V$5,NFI,5,0),1,0)*Table_NFI[[#This Row],[Shelter Tool kit]],Table_NFI[Shelter Tool kit])</f>
        <v>0</v>
      </c>
      <c r="AP961" s="331">
        <f>IF(NFI_Expiration=1,IF($A961&lt;VLOOKUP(V$5,NFI,5,0),1,0)*Table_NFI[[#This Row],[Tent]],Table_NFI[Tent])</f>
        <v>0</v>
      </c>
      <c r="AQ961" s="473" t="str">
        <f>IFERROR(VLOOKUP(Table_NFI[[#This Row],[Camp Name]],CL,2,0),"")</f>
        <v>MMR001CMP037</v>
      </c>
      <c r="AR961" s="468">
        <f ca="1">IF(Table_NFI[[#This Row],[Pcode]]="","",IF(OFFSET(CampList[Opening Date],MATCH(Table_NFI[[#This Row],[Pcode]],CampList[CP_Pcode],0)-1,0,1,1)&gt;=NFI_Monitor_Date,1,0))</f>
        <v>0</v>
      </c>
      <c r="AS961" s="473" t="str">
        <f>IFERROR(VLOOKUP(Table_NFI[[#This Row],[Camp Name]],CL,3,0),"")</f>
        <v>Open</v>
      </c>
      <c r="AT961" s="294" t="str">
        <f ca="1">IF(Table_NFI[[#This Row],[Pcode]]="","",OFFSET(CampList[Priority],MATCH(Table_NFI[[#This Row],[Pcode]],CampList[CP_Pcode],0)-1,0,1,1))</f>
        <v>P4</v>
      </c>
      <c r="AU961" s="293">
        <f>IFERROR(Table_NFI[[#This Row],[Kitchen Set]]/VLOOKUP(Table_NFI[[#This Row],[Camp Name]],CL,4,0),"")</f>
        <v>0.34090909090909088</v>
      </c>
      <c r="AV961" s="466" t="s">
        <v>1092</v>
      </c>
      <c r="AW961" s="469"/>
    </row>
    <row r="962" spans="1:49" x14ac:dyDescent="0.25">
      <c r="A962" s="297">
        <f t="shared" si="14"/>
        <v>53.2</v>
      </c>
      <c r="B962" s="465">
        <v>41079</v>
      </c>
      <c r="C962" s="466" t="s">
        <v>452</v>
      </c>
      <c r="D962" s="467" t="s">
        <v>452</v>
      </c>
      <c r="E962" s="466" t="s">
        <v>380</v>
      </c>
      <c r="F962" s="290" t="s">
        <v>310</v>
      </c>
      <c r="G962" s="290" t="s">
        <v>316</v>
      </c>
      <c r="H962" s="291"/>
      <c r="I962" s="291"/>
      <c r="J962" s="291"/>
      <c r="K962" s="291">
        <v>28</v>
      </c>
      <c r="L962" s="292">
        <v>15</v>
      </c>
      <c r="M962" s="292">
        <v>28</v>
      </c>
      <c r="N962" s="292">
        <v>15</v>
      </c>
      <c r="O962" s="292">
        <v>15</v>
      </c>
      <c r="P962" s="294">
        <v>15</v>
      </c>
      <c r="Q962" s="294">
        <v>15</v>
      </c>
      <c r="R962" s="294"/>
      <c r="S962" s="294"/>
      <c r="T962" s="294"/>
      <c r="U962" s="294"/>
      <c r="V962" s="431"/>
      <c r="W962" s="331"/>
      <c r="X962" s="331"/>
      <c r="Y962" s="294">
        <f>IF(NFI_Expiration=1,IF($A962&lt;VLOOKUP(H$5,NFI,5,0),1,0)*Table_NFI[[#This Row],[Hygiene Kit]],Table_NFI[Hygiene Kit])</f>
        <v>0</v>
      </c>
      <c r="Z962" s="294">
        <f>IF(NFI_Expiration=1,IF($A962&lt;VLOOKUP(I$5,NFI,5,0),1,0)*Table_NFI[[#This Row],[NFI Core Kit]],Table_NFI[NFI Core Kit])</f>
        <v>0</v>
      </c>
      <c r="AA962" s="294">
        <f>IF(NFI_Expiration=1,IF($A962&lt;VLOOKUP(J$5,NFI,5,0),1,0)*Table_NFI[[#This Row],[Sanitary Kit]],Table_NFI[Sanitary Kit])</f>
        <v>0</v>
      </c>
      <c r="AB962" s="294">
        <f>IF(NFI_Expiration=1,IF($A962&lt;VLOOKUP(K$5,NFI,5,0),1,0)*Table_NFI[[#This Row],[Mosquito net]],Table_NFI[Mosquito net])</f>
        <v>0</v>
      </c>
      <c r="AC962" s="294">
        <f>IF(NFI_Expiration=1,IF($A962&lt;VLOOKUP(L$5,NFI,5,0),1,0)*Table_NFI[[#This Row],[Tarpaulin]],Table_NFI[[#This Row],[Tarpaulin]])</f>
        <v>0</v>
      </c>
      <c r="AD962" s="294">
        <f>IF(NFI_Expiration=1,IF($A962&lt;VLOOKUP(M$5,NFI,5,0),1,0)*Table_NFI[[#This Row],[Blanket]],Table_NFI[[#This Row],[Blanket]])</f>
        <v>0</v>
      </c>
      <c r="AE962" s="294">
        <f>IF(NFI_Expiration=1,IF($A962&lt;VLOOKUP(N$5,NFI,5,0),1,0)*Table_NFI[[#This Row],[Kitchen Set]],Table_NFI[Kitchen Set])</f>
        <v>0</v>
      </c>
      <c r="AF962" s="294">
        <f>IF(NFI_Expiration=1,IF($A962&lt;VLOOKUP(O$5,NFI,5,0),1,0)*Table_NFI[[#This Row],[Clothes Kit]],Table_NFI[Clothes Kit])</f>
        <v>0</v>
      </c>
      <c r="AG962" s="294">
        <f>IF(NFI_Expiration=1,IF($A962&lt;VLOOKUP(P$5,NFI,5,0),1,0)*Table_NFI[[#This Row],[Plastic Bucket]],Table_NFI[Plastic Bucket])</f>
        <v>0</v>
      </c>
      <c r="AH962" s="294">
        <f>IF(NFI_Expiration=1,IF($A962&lt;VLOOKUP(Q$5,NFI,5,0),1,0)*Table_NFI[[#This Row],[Plastic Mat]],Table_NFI[Plastic Mat])*IF(Table_NFI[[#This Row],[Distribution Date]]&gt;"2014-04-01",1,2.5)</f>
        <v>0</v>
      </c>
      <c r="AI962" s="294">
        <f>IF(NFI_Expiration=1,IF($A962&lt;VLOOKUP(R$5,NFI,5,0),1,0)*Table_NFI[[#This Row],[Winter Clothes Adult]],Table_NFI[Winter Clothes Adult])</f>
        <v>0</v>
      </c>
      <c r="AJ962" s="294">
        <f>IF(NFI_Expiration=1,IF($A962&lt;VLOOKUP(S$5,NFI,5,0),1,0)*Table_NFI[[#This Row],[Winter Clothes Children]],Table_NFI[Winter Clothes Children])</f>
        <v>0</v>
      </c>
      <c r="AK962" s="294">
        <f>IF(NFI_Expiration=1,IF($A962&lt;VLOOKUP(T$5,NFI,5,0),1,0)*Table_NFI[[#This Row],[Winter Items Other]],Table_NFI[Winter Items Other])</f>
        <v>0</v>
      </c>
      <c r="AL962" s="294">
        <f>IF(NFI_Expiration=1,IF($A962&lt;VLOOKUP(M$5,NFI,5,0),1,0)*Table_NFI[[#This Row],[Winter Blanket]],Table_NFI[[#This Row],[Winter Blanket]])</f>
        <v>0</v>
      </c>
      <c r="AM962" s="294">
        <f>IF(Table_NFI[[#This Row],[Winter Clothes Adult]]+Table_NFI[[#This Row],[Winter Clothes Children]]+Table_NFI[[#This Row],[Winter Items Other]]+Table_NFI[[#This Row],[Winter Blanket]]&gt;0,1,0)</f>
        <v>0</v>
      </c>
      <c r="AN962" s="331">
        <f>IF(NFI_Expiration=1,IF($A962&lt;VLOOKUP(V$5,NFI,5,0),1,0)*Table_NFI[[#This Row],[Jerry Can]],Table_NFI[Jerry Can])</f>
        <v>0</v>
      </c>
      <c r="AO962" s="331">
        <f>IF(NFI_Expiration=1,IF($A962&lt;VLOOKUP(V$5,NFI,5,0),1,0)*Table_NFI[[#This Row],[Shelter Tool kit]],Table_NFI[Shelter Tool kit])</f>
        <v>0</v>
      </c>
      <c r="AP962" s="331">
        <f>IF(NFI_Expiration=1,IF($A962&lt;VLOOKUP(V$5,NFI,5,0),1,0)*Table_NFI[[#This Row],[Tent]],Table_NFI[Tent])</f>
        <v>0</v>
      </c>
      <c r="AQ962" s="473" t="str">
        <f>IFERROR(VLOOKUP(Table_NFI[[#This Row],[Camp Name]],CL,2,0),"")</f>
        <v>MMR001CMP038</v>
      </c>
      <c r="AR962" s="468">
        <f ca="1">IF(Table_NFI[[#This Row],[Pcode]]="","",IF(OFFSET(CampList[Opening Date],MATCH(Table_NFI[[#This Row],[Pcode]],CampList[CP_Pcode],0)-1,0,1,1)&gt;=NFI_Monitor_Date,1,0))</f>
        <v>0</v>
      </c>
      <c r="AS962" s="473" t="str">
        <f>IFERROR(VLOOKUP(Table_NFI[[#This Row],[Camp Name]],CL,3,0),"")</f>
        <v>Open</v>
      </c>
      <c r="AT962" s="294" t="str">
        <f ca="1">IF(Table_NFI[[#This Row],[Pcode]]="","",OFFSET(CampList[Priority],MATCH(Table_NFI[[#This Row],[Pcode]],CampList[CP_Pcode],0)-1,0,1,1))</f>
        <v>P4</v>
      </c>
      <c r="AU962" s="293">
        <f>IFERROR(Table_NFI[[#This Row],[Kitchen Set]]/VLOOKUP(Table_NFI[[#This Row],[Camp Name]],CL,4,0),"")</f>
        <v>0.21428571428571427</v>
      </c>
      <c r="AV962" s="466" t="s">
        <v>1092</v>
      </c>
      <c r="AW962" s="469"/>
    </row>
    <row r="963" spans="1:49" x14ac:dyDescent="0.25">
      <c r="A963" s="297">
        <f t="shared" si="14"/>
        <v>53.5</v>
      </c>
      <c r="B963" s="465">
        <v>41070</v>
      </c>
      <c r="C963" s="466" t="s">
        <v>452</v>
      </c>
      <c r="D963" s="467" t="s">
        <v>452</v>
      </c>
      <c r="E963" s="466" t="s">
        <v>380</v>
      </c>
      <c r="F963" s="290" t="s">
        <v>27</v>
      </c>
      <c r="G963" s="290" t="s">
        <v>365</v>
      </c>
      <c r="H963" s="291"/>
      <c r="I963" s="291"/>
      <c r="J963" s="291"/>
      <c r="K963" s="291">
        <v>200</v>
      </c>
      <c r="L963" s="292">
        <v>100</v>
      </c>
      <c r="M963" s="292">
        <v>150</v>
      </c>
      <c r="N963" s="292">
        <v>100</v>
      </c>
      <c r="O963" s="292">
        <v>100</v>
      </c>
      <c r="P963" s="294">
        <v>100</v>
      </c>
      <c r="Q963" s="294">
        <v>100</v>
      </c>
      <c r="R963" s="294"/>
      <c r="S963" s="294"/>
      <c r="T963" s="294"/>
      <c r="U963" s="294"/>
      <c r="V963" s="431"/>
      <c r="W963" s="331"/>
      <c r="X963" s="331"/>
      <c r="Y963" s="294">
        <f>IF(NFI_Expiration=1,IF($A963&lt;VLOOKUP(H$5,NFI,5,0),1,0)*Table_NFI[[#This Row],[Hygiene Kit]],Table_NFI[Hygiene Kit])</f>
        <v>0</v>
      </c>
      <c r="Z963" s="294">
        <f>IF(NFI_Expiration=1,IF($A963&lt;VLOOKUP(I$5,NFI,5,0),1,0)*Table_NFI[[#This Row],[NFI Core Kit]],Table_NFI[NFI Core Kit])</f>
        <v>0</v>
      </c>
      <c r="AA963" s="294">
        <f>IF(NFI_Expiration=1,IF($A963&lt;VLOOKUP(J$5,NFI,5,0),1,0)*Table_NFI[[#This Row],[Sanitary Kit]],Table_NFI[Sanitary Kit])</f>
        <v>0</v>
      </c>
      <c r="AB963" s="294">
        <f>IF(NFI_Expiration=1,IF($A963&lt;VLOOKUP(K$5,NFI,5,0),1,0)*Table_NFI[[#This Row],[Mosquito net]],Table_NFI[Mosquito net])</f>
        <v>0</v>
      </c>
      <c r="AC963" s="294">
        <f>IF(NFI_Expiration=1,IF($A963&lt;VLOOKUP(L$5,NFI,5,0),1,0)*Table_NFI[[#This Row],[Tarpaulin]],Table_NFI[[#This Row],[Tarpaulin]])</f>
        <v>0</v>
      </c>
      <c r="AD963" s="294">
        <f>IF(NFI_Expiration=1,IF($A963&lt;VLOOKUP(M$5,NFI,5,0),1,0)*Table_NFI[[#This Row],[Blanket]],Table_NFI[[#This Row],[Blanket]])</f>
        <v>0</v>
      </c>
      <c r="AE963" s="294">
        <f>IF(NFI_Expiration=1,IF($A963&lt;VLOOKUP(N$5,NFI,5,0),1,0)*Table_NFI[[#This Row],[Kitchen Set]],Table_NFI[Kitchen Set])</f>
        <v>0</v>
      </c>
      <c r="AF963" s="294">
        <f>IF(NFI_Expiration=1,IF($A963&lt;VLOOKUP(O$5,NFI,5,0),1,0)*Table_NFI[[#This Row],[Clothes Kit]],Table_NFI[Clothes Kit])</f>
        <v>0</v>
      </c>
      <c r="AG963" s="294">
        <f>IF(NFI_Expiration=1,IF($A963&lt;VLOOKUP(P$5,NFI,5,0),1,0)*Table_NFI[[#This Row],[Plastic Bucket]],Table_NFI[Plastic Bucket])</f>
        <v>0</v>
      </c>
      <c r="AH963" s="294">
        <f>IF(NFI_Expiration=1,IF($A963&lt;VLOOKUP(Q$5,NFI,5,0),1,0)*Table_NFI[[#This Row],[Plastic Mat]],Table_NFI[Plastic Mat])*IF(Table_NFI[[#This Row],[Distribution Date]]&gt;"2014-04-01",1,2.5)</f>
        <v>0</v>
      </c>
      <c r="AI963" s="294">
        <f>IF(NFI_Expiration=1,IF($A963&lt;VLOOKUP(R$5,NFI,5,0),1,0)*Table_NFI[[#This Row],[Winter Clothes Adult]],Table_NFI[Winter Clothes Adult])</f>
        <v>0</v>
      </c>
      <c r="AJ963" s="294">
        <f>IF(NFI_Expiration=1,IF($A963&lt;VLOOKUP(S$5,NFI,5,0),1,0)*Table_NFI[[#This Row],[Winter Clothes Children]],Table_NFI[Winter Clothes Children])</f>
        <v>0</v>
      </c>
      <c r="AK963" s="294">
        <f>IF(NFI_Expiration=1,IF($A963&lt;VLOOKUP(T$5,NFI,5,0),1,0)*Table_NFI[[#This Row],[Winter Items Other]],Table_NFI[Winter Items Other])</f>
        <v>0</v>
      </c>
      <c r="AL963" s="294">
        <f>IF(NFI_Expiration=1,IF($A963&lt;VLOOKUP(M$5,NFI,5,0),1,0)*Table_NFI[[#This Row],[Winter Blanket]],Table_NFI[[#This Row],[Winter Blanket]])</f>
        <v>0</v>
      </c>
      <c r="AM963" s="294">
        <f>IF(Table_NFI[[#This Row],[Winter Clothes Adult]]+Table_NFI[[#This Row],[Winter Clothes Children]]+Table_NFI[[#This Row],[Winter Items Other]]+Table_NFI[[#This Row],[Winter Blanket]]&gt;0,1,0)</f>
        <v>0</v>
      </c>
      <c r="AN963" s="331">
        <f>IF(NFI_Expiration=1,IF($A963&lt;VLOOKUP(V$5,NFI,5,0),1,0)*Table_NFI[[#This Row],[Jerry Can]],Table_NFI[Jerry Can])</f>
        <v>0</v>
      </c>
      <c r="AO963" s="331">
        <f>IF(NFI_Expiration=1,IF($A963&lt;VLOOKUP(V$5,NFI,5,0),1,0)*Table_NFI[[#This Row],[Shelter Tool kit]],Table_NFI[Shelter Tool kit])</f>
        <v>0</v>
      </c>
      <c r="AP963" s="331">
        <f>IF(NFI_Expiration=1,IF($A963&lt;VLOOKUP(V$5,NFI,5,0),1,0)*Table_NFI[[#This Row],[Tent]],Table_NFI[Tent])</f>
        <v>0</v>
      </c>
      <c r="AQ963" s="473" t="str">
        <f>IFERROR(VLOOKUP(Table_NFI[[#This Row],[Camp Name]],CL,2,0),"")</f>
        <v>MMR001CMP195</v>
      </c>
      <c r="AR963" s="468">
        <f ca="1">IF(Table_NFI[[#This Row],[Pcode]]="","",IF(OFFSET(CampList[Opening Date],MATCH(Table_NFI[[#This Row],[Pcode]],CampList[CP_Pcode],0)-1,0,1,1)&gt;=NFI_Monitor_Date,1,0))</f>
        <v>0</v>
      </c>
      <c r="AS963" s="473" t="str">
        <f>IFERROR(VLOOKUP(Table_NFI[[#This Row],[Camp Name]],CL,3,0),"")</f>
        <v>Open</v>
      </c>
      <c r="AT963" s="294" t="str">
        <f ca="1">IF(Table_NFI[[#This Row],[Pcode]]="","",OFFSET(CampList[Priority],MATCH(Table_NFI[[#This Row],[Pcode]],CampList[CP_Pcode],0)-1,0,1,1))</f>
        <v>P1</v>
      </c>
      <c r="AU963" s="293">
        <f>IFERROR(Table_NFI[[#This Row],[Kitchen Set]]/VLOOKUP(Table_NFI[[#This Row],[Camp Name]],CL,4,0),"")</f>
        <v>0.69930069930069927</v>
      </c>
      <c r="AV963" s="466" t="s">
        <v>1092</v>
      </c>
      <c r="AW963" s="469"/>
    </row>
    <row r="964" spans="1:49" ht="15" customHeight="1" x14ac:dyDescent="0.25">
      <c r="A964" s="297">
        <f t="shared" si="14"/>
        <v>53.56666666666667</v>
      </c>
      <c r="B964" s="465">
        <v>41068</v>
      </c>
      <c r="C964" s="466" t="s">
        <v>905</v>
      </c>
      <c r="D964" s="467" t="s">
        <v>905</v>
      </c>
      <c r="E964" s="466" t="s">
        <v>380</v>
      </c>
      <c r="F964" s="290" t="s">
        <v>5</v>
      </c>
      <c r="G964" s="290" t="s">
        <v>14</v>
      </c>
      <c r="H964" s="294">
        <v>22</v>
      </c>
      <c r="I964" s="291"/>
      <c r="J964" s="291"/>
      <c r="K964" s="291"/>
      <c r="L964" s="292"/>
      <c r="M964" s="292"/>
      <c r="N964" s="292"/>
      <c r="O964" s="292"/>
      <c r="P964" s="294"/>
      <c r="Q964" s="294"/>
      <c r="R964" s="294"/>
      <c r="S964" s="294"/>
      <c r="T964" s="294"/>
      <c r="U964" s="294"/>
      <c r="V964" s="431"/>
      <c r="W964" s="294"/>
      <c r="X964" s="294"/>
      <c r="Y964" s="294">
        <f>IF(NFI_Expiration=1,IF($A964&lt;VLOOKUP(H$5,NFI,5,0),1,0)*Table_NFI[[#This Row],[Hygiene Kit]],Table_NFI[Hygiene Kit])</f>
        <v>0</v>
      </c>
      <c r="Z964" s="294">
        <f>IF(NFI_Expiration=1,IF($A964&lt;VLOOKUP(I$5,NFI,5,0),1,0)*Table_NFI[[#This Row],[NFI Core Kit]],Table_NFI[NFI Core Kit])</f>
        <v>0</v>
      </c>
      <c r="AA964" s="294">
        <f>IF(NFI_Expiration=1,IF($A964&lt;VLOOKUP(J$5,NFI,5,0),1,0)*Table_NFI[[#This Row],[Sanitary Kit]],Table_NFI[Sanitary Kit])</f>
        <v>0</v>
      </c>
      <c r="AB964" s="294">
        <f>IF(NFI_Expiration=1,IF($A964&lt;VLOOKUP(K$5,NFI,5,0),1,0)*Table_NFI[[#This Row],[Mosquito net]],Table_NFI[Mosquito net])</f>
        <v>0</v>
      </c>
      <c r="AC964" s="294">
        <f>IF(NFI_Expiration=1,IF($A964&lt;VLOOKUP(L$5,NFI,5,0),1,0)*Table_NFI[[#This Row],[Tarpaulin]],Table_NFI[[#This Row],[Tarpaulin]])</f>
        <v>0</v>
      </c>
      <c r="AD964" s="294">
        <f>IF(NFI_Expiration=1,IF($A964&lt;VLOOKUP(M$5,NFI,5,0),1,0)*Table_NFI[[#This Row],[Blanket]],Table_NFI[[#This Row],[Blanket]])</f>
        <v>0</v>
      </c>
      <c r="AE964" s="294">
        <f>IF(NFI_Expiration=1,IF($A964&lt;VLOOKUP(N$5,NFI,5,0),1,0)*Table_NFI[[#This Row],[Kitchen Set]],Table_NFI[Kitchen Set])</f>
        <v>0</v>
      </c>
      <c r="AF964" s="294">
        <f>IF(NFI_Expiration=1,IF($A964&lt;VLOOKUP(O$5,NFI,5,0),1,0)*Table_NFI[[#This Row],[Clothes Kit]],Table_NFI[Clothes Kit])</f>
        <v>0</v>
      </c>
      <c r="AG964" s="294">
        <f>IF(NFI_Expiration=1,IF($A964&lt;VLOOKUP(P$5,NFI,5,0),1,0)*Table_NFI[[#This Row],[Plastic Bucket]],Table_NFI[Plastic Bucket])</f>
        <v>0</v>
      </c>
      <c r="AH964" s="294">
        <f>IF(NFI_Expiration=1,IF($A964&lt;VLOOKUP(Q$5,NFI,5,0),1,0)*Table_NFI[[#This Row],[Plastic Mat]],Table_NFI[Plastic Mat])*IF(Table_NFI[[#This Row],[Distribution Date]]&gt;"2014-04-01",1,2.5)</f>
        <v>0</v>
      </c>
      <c r="AI964" s="294">
        <f>IF(NFI_Expiration=1,IF($A964&lt;VLOOKUP(R$5,NFI,5,0),1,0)*Table_NFI[[#This Row],[Winter Clothes Adult]],Table_NFI[Winter Clothes Adult])</f>
        <v>0</v>
      </c>
      <c r="AJ964" s="294">
        <f>IF(NFI_Expiration=1,IF($A964&lt;VLOOKUP(S$5,NFI,5,0),1,0)*Table_NFI[[#This Row],[Winter Clothes Children]],Table_NFI[Winter Clothes Children])</f>
        <v>0</v>
      </c>
      <c r="AK964" s="294">
        <f>IF(NFI_Expiration=1,IF($A964&lt;VLOOKUP(T$5,NFI,5,0),1,0)*Table_NFI[[#This Row],[Winter Items Other]],Table_NFI[Winter Items Other])</f>
        <v>0</v>
      </c>
      <c r="AL964" s="294">
        <f>IF(NFI_Expiration=1,IF($A964&lt;VLOOKUP(M$5,NFI,5,0),1,0)*Table_NFI[[#This Row],[Winter Blanket]],Table_NFI[[#This Row],[Winter Blanket]])</f>
        <v>0</v>
      </c>
      <c r="AM964" s="294">
        <f>IF(Table_NFI[[#This Row],[Winter Clothes Adult]]+Table_NFI[[#This Row],[Winter Clothes Children]]+Table_NFI[[#This Row],[Winter Items Other]]+Table_NFI[[#This Row],[Winter Blanket]]&gt;0,1,0)</f>
        <v>0</v>
      </c>
      <c r="AN964" s="331">
        <f>IF(NFI_Expiration=1,IF($A964&lt;VLOOKUP(V$5,NFI,5,0),1,0)*Table_NFI[[#This Row],[Jerry Can]],Table_NFI[Jerry Can])</f>
        <v>0</v>
      </c>
      <c r="AO964" s="331">
        <f>IF(NFI_Expiration=1,IF($A964&lt;VLOOKUP(V$5,NFI,5,0),1,0)*Table_NFI[[#This Row],[Shelter Tool kit]],Table_NFI[Shelter Tool kit])</f>
        <v>0</v>
      </c>
      <c r="AP964" s="331">
        <f>IF(NFI_Expiration=1,IF($A964&lt;VLOOKUP(V$5,NFI,5,0),1,0)*Table_NFI[[#This Row],[Tent]],Table_NFI[Tent])</f>
        <v>0</v>
      </c>
      <c r="AQ964" s="473" t="str">
        <f>IFERROR(VLOOKUP(Table_NFI[[#This Row],[Camp Name]],CL,2,0),"")</f>
        <v>MMR001CMP052</v>
      </c>
      <c r="AR964" s="468">
        <f ca="1">IF(Table_NFI[[#This Row],[Pcode]]="","",IF(OFFSET(CampList[Opening Date],MATCH(Table_NFI[[#This Row],[Pcode]],CampList[CP_Pcode],0)-1,0,1,1)&gt;=NFI_Monitor_Date,1,0))</f>
        <v>0</v>
      </c>
      <c r="AS964" s="473" t="str">
        <f>IFERROR(VLOOKUP(Table_NFI[[#This Row],[Camp Name]],CL,3,0),"")</f>
        <v>Open</v>
      </c>
      <c r="AT964" s="294" t="str">
        <f ca="1">IF(Table_NFI[[#This Row],[Pcode]]="","",OFFSET(CampList[Priority],MATCH(Table_NFI[[#This Row],[Pcode]],CampList[CP_Pcode],0)-1,0,1,1))</f>
        <v>P4</v>
      </c>
      <c r="AU964" s="293">
        <f>IFERROR(Table_NFI[[#This Row],[Kitchen Set]]/VLOOKUP(Table_NFI[[#This Row],[Camp Name]],CL,4,0),"")</f>
        <v>0</v>
      </c>
      <c r="AV964" s="466"/>
      <c r="AW964" s="469"/>
    </row>
    <row r="965" spans="1:49" x14ac:dyDescent="0.25">
      <c r="A965" s="297">
        <f t="shared" si="14"/>
        <v>53.56666666666667</v>
      </c>
      <c r="B965" s="465">
        <v>41068</v>
      </c>
      <c r="C965" s="466" t="s">
        <v>905</v>
      </c>
      <c r="D965" s="466" t="s">
        <v>905</v>
      </c>
      <c r="E965" s="466" t="s">
        <v>380</v>
      </c>
      <c r="F965" s="290" t="s">
        <v>5</v>
      </c>
      <c r="G965" s="290" t="s">
        <v>20</v>
      </c>
      <c r="H965" s="294">
        <v>21</v>
      </c>
      <c r="I965" s="291"/>
      <c r="J965" s="291"/>
      <c r="K965" s="291"/>
      <c r="L965" s="292"/>
      <c r="M965" s="292"/>
      <c r="N965" s="292"/>
      <c r="O965" s="292"/>
      <c r="P965" s="294"/>
      <c r="Q965" s="294"/>
      <c r="R965" s="294"/>
      <c r="S965" s="294"/>
      <c r="T965" s="294"/>
      <c r="U965" s="294"/>
      <c r="V965" s="431"/>
      <c r="W965" s="294"/>
      <c r="X965" s="294"/>
      <c r="Y965" s="294">
        <f>IF(NFI_Expiration=1,IF($A965&lt;VLOOKUP(H$5,NFI,5,0),1,0)*Table_NFI[[#This Row],[Hygiene Kit]],Table_NFI[Hygiene Kit])</f>
        <v>0</v>
      </c>
      <c r="Z965" s="294">
        <f>IF(NFI_Expiration=1,IF($A965&lt;VLOOKUP(I$5,NFI,5,0),1,0)*Table_NFI[[#This Row],[NFI Core Kit]],Table_NFI[NFI Core Kit])</f>
        <v>0</v>
      </c>
      <c r="AA965" s="294">
        <f>IF(NFI_Expiration=1,IF($A965&lt;VLOOKUP(J$5,NFI,5,0),1,0)*Table_NFI[[#This Row],[Sanitary Kit]],Table_NFI[Sanitary Kit])</f>
        <v>0</v>
      </c>
      <c r="AB965" s="294">
        <f>IF(NFI_Expiration=1,IF($A965&lt;VLOOKUP(K$5,NFI,5,0),1,0)*Table_NFI[[#This Row],[Mosquito net]],Table_NFI[Mosquito net])</f>
        <v>0</v>
      </c>
      <c r="AC965" s="294">
        <f>IF(NFI_Expiration=1,IF($A965&lt;VLOOKUP(L$5,NFI,5,0),1,0)*Table_NFI[[#This Row],[Tarpaulin]],Table_NFI[[#This Row],[Tarpaulin]])</f>
        <v>0</v>
      </c>
      <c r="AD965" s="294">
        <f>IF(NFI_Expiration=1,IF($A965&lt;VLOOKUP(M$5,NFI,5,0),1,0)*Table_NFI[[#This Row],[Blanket]],Table_NFI[[#This Row],[Blanket]])</f>
        <v>0</v>
      </c>
      <c r="AE965" s="294">
        <f>IF(NFI_Expiration=1,IF($A965&lt;VLOOKUP(N$5,NFI,5,0),1,0)*Table_NFI[[#This Row],[Kitchen Set]],Table_NFI[Kitchen Set])</f>
        <v>0</v>
      </c>
      <c r="AF965" s="294">
        <f>IF(NFI_Expiration=1,IF($A965&lt;VLOOKUP(O$5,NFI,5,0),1,0)*Table_NFI[[#This Row],[Clothes Kit]],Table_NFI[Clothes Kit])</f>
        <v>0</v>
      </c>
      <c r="AG965" s="294">
        <f>IF(NFI_Expiration=1,IF($A965&lt;VLOOKUP(P$5,NFI,5,0),1,0)*Table_NFI[[#This Row],[Plastic Bucket]],Table_NFI[Plastic Bucket])</f>
        <v>0</v>
      </c>
      <c r="AH965" s="294">
        <f>IF(NFI_Expiration=1,IF($A965&lt;VLOOKUP(Q$5,NFI,5,0),1,0)*Table_NFI[[#This Row],[Plastic Mat]],Table_NFI[Plastic Mat])*IF(Table_NFI[[#This Row],[Distribution Date]]&gt;"2014-04-01",1,2.5)</f>
        <v>0</v>
      </c>
      <c r="AI965" s="294">
        <f>IF(NFI_Expiration=1,IF($A965&lt;VLOOKUP(R$5,NFI,5,0),1,0)*Table_NFI[[#This Row],[Winter Clothes Adult]],Table_NFI[Winter Clothes Adult])</f>
        <v>0</v>
      </c>
      <c r="AJ965" s="294">
        <f>IF(NFI_Expiration=1,IF($A965&lt;VLOOKUP(S$5,NFI,5,0),1,0)*Table_NFI[[#This Row],[Winter Clothes Children]],Table_NFI[Winter Clothes Children])</f>
        <v>0</v>
      </c>
      <c r="AK965" s="294">
        <f>IF(NFI_Expiration=1,IF($A965&lt;VLOOKUP(T$5,NFI,5,0),1,0)*Table_NFI[[#This Row],[Winter Items Other]],Table_NFI[Winter Items Other])</f>
        <v>0</v>
      </c>
      <c r="AL965" s="294">
        <f>IF(NFI_Expiration=1,IF($A965&lt;VLOOKUP(M$5,NFI,5,0),1,0)*Table_NFI[[#This Row],[Winter Blanket]],Table_NFI[[#This Row],[Winter Blanket]])</f>
        <v>0</v>
      </c>
      <c r="AM965" s="294">
        <f>IF(Table_NFI[[#This Row],[Winter Clothes Adult]]+Table_NFI[[#This Row],[Winter Clothes Children]]+Table_NFI[[#This Row],[Winter Items Other]]+Table_NFI[[#This Row],[Winter Blanket]]&gt;0,1,0)</f>
        <v>0</v>
      </c>
      <c r="AN965" s="331">
        <f>IF(NFI_Expiration=1,IF($A965&lt;VLOOKUP(V$5,NFI,5,0),1,0)*Table_NFI[[#This Row],[Jerry Can]],Table_NFI[Jerry Can])</f>
        <v>0</v>
      </c>
      <c r="AO965" s="331">
        <f>IF(NFI_Expiration=1,IF($A965&lt;VLOOKUP(V$5,NFI,5,0),1,0)*Table_NFI[[#This Row],[Shelter Tool kit]],Table_NFI[Shelter Tool kit])</f>
        <v>0</v>
      </c>
      <c r="AP965" s="331">
        <f>IF(NFI_Expiration=1,IF($A965&lt;VLOOKUP(V$5,NFI,5,0),1,0)*Table_NFI[[#This Row],[Tent]],Table_NFI[Tent])</f>
        <v>0</v>
      </c>
      <c r="AQ965" s="473" t="str">
        <f>IFERROR(VLOOKUP(Table_NFI[[#This Row],[Camp Name]],CL,2,0),"")</f>
        <v>MMR001CMP054</v>
      </c>
      <c r="AR965" s="468">
        <f ca="1">IF(Table_NFI[[#This Row],[Pcode]]="","",IF(OFFSET(CampList[Opening Date],MATCH(Table_NFI[[#This Row],[Pcode]],CampList[CP_Pcode],0)-1,0,1,1)&gt;=NFI_Monitor_Date,1,0))</f>
        <v>0</v>
      </c>
      <c r="AS965" s="473" t="str">
        <f>IFERROR(VLOOKUP(Table_NFI[[#This Row],[Camp Name]],CL,3,0),"")</f>
        <v>Open</v>
      </c>
      <c r="AT965" s="294" t="str">
        <f ca="1">IF(Table_NFI[[#This Row],[Pcode]]="","",OFFSET(CampList[Priority],MATCH(Table_NFI[[#This Row],[Pcode]],CampList[CP_Pcode],0)-1,0,1,1))</f>
        <v>P4</v>
      </c>
      <c r="AU965" s="293">
        <f>IFERROR(Table_NFI[[#This Row],[Kitchen Set]]/VLOOKUP(Table_NFI[[#This Row],[Camp Name]],CL,4,0),"")</f>
        <v>0</v>
      </c>
      <c r="AV965" s="466"/>
      <c r="AW965" s="469"/>
    </row>
    <row r="966" spans="1:49" ht="14.45" customHeight="1" x14ac:dyDescent="0.25">
      <c r="A966" s="297">
        <f t="shared" ref="A966:A1029" si="15">IF(ISBLANK(B966),"",(Report_Date-B966)/30)</f>
        <v>53.56666666666667</v>
      </c>
      <c r="B966" s="465">
        <v>41068</v>
      </c>
      <c r="C966" s="466" t="s">
        <v>452</v>
      </c>
      <c r="D966" s="466" t="s">
        <v>452</v>
      </c>
      <c r="E966" s="466" t="s">
        <v>380</v>
      </c>
      <c r="F966" s="290" t="s">
        <v>5</v>
      </c>
      <c r="G966" s="290" t="s">
        <v>20</v>
      </c>
      <c r="H966" s="291"/>
      <c r="I966" s="291"/>
      <c r="J966" s="291"/>
      <c r="K966" s="291">
        <v>12</v>
      </c>
      <c r="L966" s="292">
        <v>6</v>
      </c>
      <c r="M966" s="292">
        <v>12</v>
      </c>
      <c r="N966" s="292">
        <v>6</v>
      </c>
      <c r="O966" s="292">
        <v>6</v>
      </c>
      <c r="P966" s="294">
        <v>6</v>
      </c>
      <c r="Q966" s="294">
        <v>6</v>
      </c>
      <c r="R966" s="294"/>
      <c r="S966" s="294"/>
      <c r="T966" s="294"/>
      <c r="U966" s="294"/>
      <c r="V966" s="431"/>
      <c r="W966" s="294"/>
      <c r="X966" s="294"/>
      <c r="Y966" s="294">
        <f>IF(NFI_Expiration=1,IF($A966&lt;VLOOKUP(H$5,NFI,5,0),1,0)*Table_NFI[[#This Row],[Hygiene Kit]],Table_NFI[Hygiene Kit])</f>
        <v>0</v>
      </c>
      <c r="Z966" s="294">
        <f>IF(NFI_Expiration=1,IF($A966&lt;VLOOKUP(I$5,NFI,5,0),1,0)*Table_NFI[[#This Row],[NFI Core Kit]],Table_NFI[NFI Core Kit])</f>
        <v>0</v>
      </c>
      <c r="AA966" s="294">
        <f>IF(NFI_Expiration=1,IF($A966&lt;VLOOKUP(J$5,NFI,5,0),1,0)*Table_NFI[[#This Row],[Sanitary Kit]],Table_NFI[Sanitary Kit])</f>
        <v>0</v>
      </c>
      <c r="AB966" s="294">
        <f>IF(NFI_Expiration=1,IF($A966&lt;VLOOKUP(K$5,NFI,5,0),1,0)*Table_NFI[[#This Row],[Mosquito net]],Table_NFI[Mosquito net])</f>
        <v>0</v>
      </c>
      <c r="AC966" s="294">
        <f>IF(NFI_Expiration=1,IF($A966&lt;VLOOKUP(L$5,NFI,5,0),1,0)*Table_NFI[[#This Row],[Tarpaulin]],Table_NFI[[#This Row],[Tarpaulin]])</f>
        <v>0</v>
      </c>
      <c r="AD966" s="294">
        <f>IF(NFI_Expiration=1,IF($A966&lt;VLOOKUP(M$5,NFI,5,0),1,0)*Table_NFI[[#This Row],[Blanket]],Table_NFI[[#This Row],[Blanket]])</f>
        <v>0</v>
      </c>
      <c r="AE966" s="294">
        <f>IF(NFI_Expiration=1,IF($A966&lt;VLOOKUP(N$5,NFI,5,0),1,0)*Table_NFI[[#This Row],[Kitchen Set]],Table_NFI[Kitchen Set])</f>
        <v>0</v>
      </c>
      <c r="AF966" s="294">
        <f>IF(NFI_Expiration=1,IF($A966&lt;VLOOKUP(O$5,NFI,5,0),1,0)*Table_NFI[[#This Row],[Clothes Kit]],Table_NFI[Clothes Kit])</f>
        <v>0</v>
      </c>
      <c r="AG966" s="294">
        <f>IF(NFI_Expiration=1,IF($A966&lt;VLOOKUP(P$5,NFI,5,0),1,0)*Table_NFI[[#This Row],[Plastic Bucket]],Table_NFI[Plastic Bucket])</f>
        <v>0</v>
      </c>
      <c r="AH966" s="294">
        <f>IF(NFI_Expiration=1,IF($A966&lt;VLOOKUP(Q$5,NFI,5,0),1,0)*Table_NFI[[#This Row],[Plastic Mat]],Table_NFI[Plastic Mat])*IF(Table_NFI[[#This Row],[Distribution Date]]&gt;"2014-04-01",1,2.5)</f>
        <v>0</v>
      </c>
      <c r="AI966" s="294">
        <f>IF(NFI_Expiration=1,IF($A966&lt;VLOOKUP(R$5,NFI,5,0),1,0)*Table_NFI[[#This Row],[Winter Clothes Adult]],Table_NFI[Winter Clothes Adult])</f>
        <v>0</v>
      </c>
      <c r="AJ966" s="294">
        <f>IF(NFI_Expiration=1,IF($A966&lt;VLOOKUP(S$5,NFI,5,0),1,0)*Table_NFI[[#This Row],[Winter Clothes Children]],Table_NFI[Winter Clothes Children])</f>
        <v>0</v>
      </c>
      <c r="AK966" s="294">
        <f>IF(NFI_Expiration=1,IF($A966&lt;VLOOKUP(T$5,NFI,5,0),1,0)*Table_NFI[[#This Row],[Winter Items Other]],Table_NFI[Winter Items Other])</f>
        <v>0</v>
      </c>
      <c r="AL966" s="294">
        <f>IF(NFI_Expiration=1,IF($A966&lt;VLOOKUP(M$5,NFI,5,0),1,0)*Table_NFI[[#This Row],[Winter Blanket]],Table_NFI[[#This Row],[Winter Blanket]])</f>
        <v>0</v>
      </c>
      <c r="AM966" s="294">
        <f>IF(Table_NFI[[#This Row],[Winter Clothes Adult]]+Table_NFI[[#This Row],[Winter Clothes Children]]+Table_NFI[[#This Row],[Winter Items Other]]+Table_NFI[[#This Row],[Winter Blanket]]&gt;0,1,0)</f>
        <v>0</v>
      </c>
      <c r="AN966" s="331">
        <f>IF(NFI_Expiration=1,IF($A966&lt;VLOOKUP(V$5,NFI,5,0),1,0)*Table_NFI[[#This Row],[Jerry Can]],Table_NFI[Jerry Can])</f>
        <v>0</v>
      </c>
      <c r="AO966" s="331">
        <f>IF(NFI_Expiration=1,IF($A966&lt;VLOOKUP(V$5,NFI,5,0),1,0)*Table_NFI[[#This Row],[Shelter Tool kit]],Table_NFI[Shelter Tool kit])</f>
        <v>0</v>
      </c>
      <c r="AP966" s="331">
        <f>IF(NFI_Expiration=1,IF($A966&lt;VLOOKUP(V$5,NFI,5,0),1,0)*Table_NFI[[#This Row],[Tent]],Table_NFI[Tent])</f>
        <v>0</v>
      </c>
      <c r="AQ966" s="473" t="str">
        <f>IFERROR(VLOOKUP(Table_NFI[[#This Row],[Camp Name]],CL,2,0),"")</f>
        <v>MMR001CMP054</v>
      </c>
      <c r="AR966" s="468">
        <f ca="1">IF(Table_NFI[[#This Row],[Pcode]]="","",IF(OFFSET(CampList[Opening Date],MATCH(Table_NFI[[#This Row],[Pcode]],CampList[CP_Pcode],0)-1,0,1,1)&gt;=NFI_Monitor_Date,1,0))</f>
        <v>0</v>
      </c>
      <c r="AS966" s="473" t="str">
        <f>IFERROR(VLOOKUP(Table_NFI[[#This Row],[Camp Name]],CL,3,0),"")</f>
        <v>Open</v>
      </c>
      <c r="AT966" s="294" t="str">
        <f ca="1">IF(Table_NFI[[#This Row],[Pcode]]="","",OFFSET(CampList[Priority],MATCH(Table_NFI[[#This Row],[Pcode]],CampList[CP_Pcode],0)-1,0,1,1))</f>
        <v>P4</v>
      </c>
      <c r="AU966" s="293">
        <f>IFERROR(Table_NFI[[#This Row],[Kitchen Set]]/VLOOKUP(Table_NFI[[#This Row],[Camp Name]],CL,4,0),"")</f>
        <v>0.2857142857142857</v>
      </c>
      <c r="AV966" s="466" t="s">
        <v>1092</v>
      </c>
      <c r="AW966" s="469"/>
    </row>
    <row r="967" spans="1:49" ht="14.45" customHeight="1" x14ac:dyDescent="0.25">
      <c r="A967" s="297">
        <f t="shared" si="15"/>
        <v>53.633333333333333</v>
      </c>
      <c r="B967" s="465">
        <v>41066</v>
      </c>
      <c r="C967" s="466" t="s">
        <v>452</v>
      </c>
      <c r="D967" s="467" t="s">
        <v>573</v>
      </c>
      <c r="E967" s="466" t="s">
        <v>380</v>
      </c>
      <c r="F967" s="290" t="s">
        <v>185</v>
      </c>
      <c r="G967" s="290" t="s">
        <v>194</v>
      </c>
      <c r="H967" s="291"/>
      <c r="I967" s="291"/>
      <c r="J967" s="291"/>
      <c r="K967" s="291">
        <v>0</v>
      </c>
      <c r="L967" s="292">
        <v>200</v>
      </c>
      <c r="M967" s="292">
        <v>0</v>
      </c>
      <c r="N967" s="292">
        <v>0</v>
      </c>
      <c r="O967" s="292">
        <v>0</v>
      </c>
      <c r="P967" s="294"/>
      <c r="Q967" s="294"/>
      <c r="R967" s="294"/>
      <c r="S967" s="294"/>
      <c r="T967" s="294"/>
      <c r="U967" s="294"/>
      <c r="V967" s="431"/>
      <c r="W967" s="294"/>
      <c r="X967" s="294"/>
      <c r="Y967" s="294">
        <f>IF(NFI_Expiration=1,IF($A967&lt;VLOOKUP(H$5,NFI,5,0),1,0)*Table_NFI[[#This Row],[Hygiene Kit]],Table_NFI[Hygiene Kit])</f>
        <v>0</v>
      </c>
      <c r="Z967" s="294">
        <f>IF(NFI_Expiration=1,IF($A967&lt;VLOOKUP(I$5,NFI,5,0),1,0)*Table_NFI[[#This Row],[NFI Core Kit]],Table_NFI[NFI Core Kit])</f>
        <v>0</v>
      </c>
      <c r="AA967" s="294">
        <f>IF(NFI_Expiration=1,IF($A967&lt;VLOOKUP(J$5,NFI,5,0),1,0)*Table_NFI[[#This Row],[Sanitary Kit]],Table_NFI[Sanitary Kit])</f>
        <v>0</v>
      </c>
      <c r="AB967" s="294">
        <f>IF(NFI_Expiration=1,IF($A967&lt;VLOOKUP(K$5,NFI,5,0),1,0)*Table_NFI[[#This Row],[Mosquito net]],Table_NFI[Mosquito net])</f>
        <v>0</v>
      </c>
      <c r="AC967" s="294">
        <f>IF(NFI_Expiration=1,IF($A967&lt;VLOOKUP(L$5,NFI,5,0),1,0)*Table_NFI[[#This Row],[Tarpaulin]],Table_NFI[[#This Row],[Tarpaulin]])</f>
        <v>0</v>
      </c>
      <c r="AD967" s="294">
        <f>IF(NFI_Expiration=1,IF($A967&lt;VLOOKUP(M$5,NFI,5,0),1,0)*Table_NFI[[#This Row],[Blanket]],Table_NFI[[#This Row],[Blanket]])</f>
        <v>0</v>
      </c>
      <c r="AE967" s="294">
        <f>IF(NFI_Expiration=1,IF($A967&lt;VLOOKUP(N$5,NFI,5,0),1,0)*Table_NFI[[#This Row],[Kitchen Set]],Table_NFI[Kitchen Set])</f>
        <v>0</v>
      </c>
      <c r="AF967" s="294">
        <f>IF(NFI_Expiration=1,IF($A967&lt;VLOOKUP(O$5,NFI,5,0),1,0)*Table_NFI[[#This Row],[Clothes Kit]],Table_NFI[Clothes Kit])</f>
        <v>0</v>
      </c>
      <c r="AG967" s="294">
        <f>IF(NFI_Expiration=1,IF($A967&lt;VLOOKUP(P$5,NFI,5,0),1,0)*Table_NFI[[#This Row],[Plastic Bucket]],Table_NFI[Plastic Bucket])</f>
        <v>0</v>
      </c>
      <c r="AH967" s="294">
        <f>IF(NFI_Expiration=1,IF($A967&lt;VLOOKUP(Q$5,NFI,5,0),1,0)*Table_NFI[[#This Row],[Plastic Mat]],Table_NFI[Plastic Mat])*IF(Table_NFI[[#This Row],[Distribution Date]]&gt;"2014-04-01",1,2.5)</f>
        <v>0</v>
      </c>
      <c r="AI967" s="294">
        <f>IF(NFI_Expiration=1,IF($A967&lt;VLOOKUP(R$5,NFI,5,0),1,0)*Table_NFI[[#This Row],[Winter Clothes Adult]],Table_NFI[Winter Clothes Adult])</f>
        <v>0</v>
      </c>
      <c r="AJ967" s="294">
        <f>IF(NFI_Expiration=1,IF($A967&lt;VLOOKUP(S$5,NFI,5,0),1,0)*Table_NFI[[#This Row],[Winter Clothes Children]],Table_NFI[Winter Clothes Children])</f>
        <v>0</v>
      </c>
      <c r="AK967" s="294">
        <f>IF(NFI_Expiration=1,IF($A967&lt;VLOOKUP(T$5,NFI,5,0),1,0)*Table_NFI[[#This Row],[Winter Items Other]],Table_NFI[Winter Items Other])</f>
        <v>0</v>
      </c>
      <c r="AL967" s="294">
        <f>IF(NFI_Expiration=1,IF($A967&lt;VLOOKUP(M$5,NFI,5,0),1,0)*Table_NFI[[#This Row],[Winter Blanket]],Table_NFI[[#This Row],[Winter Blanket]])</f>
        <v>0</v>
      </c>
      <c r="AM967" s="294">
        <f>IF(Table_NFI[[#This Row],[Winter Clothes Adult]]+Table_NFI[[#This Row],[Winter Clothes Children]]+Table_NFI[[#This Row],[Winter Items Other]]+Table_NFI[[#This Row],[Winter Blanket]]&gt;0,1,0)</f>
        <v>0</v>
      </c>
      <c r="AN967" s="331">
        <f>IF(NFI_Expiration=1,IF($A967&lt;VLOOKUP(V$5,NFI,5,0),1,0)*Table_NFI[[#This Row],[Jerry Can]],Table_NFI[Jerry Can])</f>
        <v>0</v>
      </c>
      <c r="AO967" s="331">
        <f>IF(NFI_Expiration=1,IF($A967&lt;VLOOKUP(V$5,NFI,5,0),1,0)*Table_NFI[[#This Row],[Shelter Tool kit]],Table_NFI[Shelter Tool kit])</f>
        <v>0</v>
      </c>
      <c r="AP967" s="331">
        <f>IF(NFI_Expiration=1,IF($A967&lt;VLOOKUP(V$5,NFI,5,0),1,0)*Table_NFI[[#This Row],[Tent]],Table_NFI[Tent])</f>
        <v>0</v>
      </c>
      <c r="AQ967" s="473" t="str">
        <f>IFERROR(VLOOKUP(Table_NFI[[#This Row],[Camp Name]],CL,2,0),"")</f>
        <v>MMR001CMP122</v>
      </c>
      <c r="AR967" s="468">
        <f ca="1">IF(Table_NFI[[#This Row],[Pcode]]="","",IF(OFFSET(CampList[Opening Date],MATCH(Table_NFI[[#This Row],[Pcode]],CampList[CP_Pcode],0)-1,0,1,1)&gt;=NFI_Monitor_Date,1,0))</f>
        <v>0</v>
      </c>
      <c r="AS967" s="473" t="str">
        <f>IFERROR(VLOOKUP(Table_NFI[[#This Row],[Camp Name]],CL,3,0),"")</f>
        <v>Open</v>
      </c>
      <c r="AT967" s="294" t="str">
        <f ca="1">IF(Table_NFI[[#This Row],[Pcode]]="","",OFFSET(CampList[Priority],MATCH(Table_NFI[[#This Row],[Pcode]],CampList[CP_Pcode],0)-1,0,1,1))</f>
        <v>P2</v>
      </c>
      <c r="AU967" s="293">
        <f>IFERROR(Table_NFI[[#This Row],[Kitchen Set]]/VLOOKUP(Table_NFI[[#This Row],[Camp Name]],CL,4,0),"")</f>
        <v>0</v>
      </c>
      <c r="AV967" s="466" t="s">
        <v>1092</v>
      </c>
      <c r="AW967" s="469"/>
    </row>
    <row r="968" spans="1:49" ht="14.45" customHeight="1" x14ac:dyDescent="0.25">
      <c r="A968" s="297">
        <f t="shared" si="15"/>
        <v>53.633333333333333</v>
      </c>
      <c r="B968" s="465">
        <v>41066</v>
      </c>
      <c r="C968" s="466" t="s">
        <v>452</v>
      </c>
      <c r="D968" s="467" t="s">
        <v>452</v>
      </c>
      <c r="E968" s="466" t="s">
        <v>380</v>
      </c>
      <c r="F968" s="290" t="s">
        <v>185</v>
      </c>
      <c r="G968" s="290" t="s">
        <v>219</v>
      </c>
      <c r="H968" s="291"/>
      <c r="I968" s="291"/>
      <c r="J968" s="291"/>
      <c r="K968" s="291">
        <v>144</v>
      </c>
      <c r="L968" s="292">
        <v>76</v>
      </c>
      <c r="M968" s="292">
        <v>143</v>
      </c>
      <c r="N968" s="292">
        <v>76</v>
      </c>
      <c r="O968" s="292">
        <v>78</v>
      </c>
      <c r="P968" s="294">
        <v>78</v>
      </c>
      <c r="Q968" s="294">
        <v>78</v>
      </c>
      <c r="R968" s="294"/>
      <c r="S968" s="294"/>
      <c r="T968" s="294"/>
      <c r="U968" s="294"/>
      <c r="V968" s="431"/>
      <c r="W968" s="294"/>
      <c r="X968" s="294"/>
      <c r="Y968" s="294">
        <f>IF(NFI_Expiration=1,IF($A968&lt;VLOOKUP(H$5,NFI,5,0),1,0)*Table_NFI[[#This Row],[Hygiene Kit]],Table_NFI[Hygiene Kit])</f>
        <v>0</v>
      </c>
      <c r="Z968" s="294">
        <f>IF(NFI_Expiration=1,IF($A968&lt;VLOOKUP(I$5,NFI,5,0),1,0)*Table_NFI[[#This Row],[NFI Core Kit]],Table_NFI[NFI Core Kit])</f>
        <v>0</v>
      </c>
      <c r="AA968" s="294">
        <f>IF(NFI_Expiration=1,IF($A968&lt;VLOOKUP(J$5,NFI,5,0),1,0)*Table_NFI[[#This Row],[Sanitary Kit]],Table_NFI[Sanitary Kit])</f>
        <v>0</v>
      </c>
      <c r="AB968" s="294">
        <f>IF(NFI_Expiration=1,IF($A968&lt;VLOOKUP(K$5,NFI,5,0),1,0)*Table_NFI[[#This Row],[Mosquito net]],Table_NFI[Mosquito net])</f>
        <v>0</v>
      </c>
      <c r="AC968" s="294">
        <f>IF(NFI_Expiration=1,IF($A968&lt;VLOOKUP(L$5,NFI,5,0),1,0)*Table_NFI[[#This Row],[Tarpaulin]],Table_NFI[[#This Row],[Tarpaulin]])</f>
        <v>0</v>
      </c>
      <c r="AD968" s="294">
        <f>IF(NFI_Expiration=1,IF($A968&lt;VLOOKUP(M$5,NFI,5,0),1,0)*Table_NFI[[#This Row],[Blanket]],Table_NFI[[#This Row],[Blanket]])</f>
        <v>0</v>
      </c>
      <c r="AE968" s="294">
        <f>IF(NFI_Expiration=1,IF($A968&lt;VLOOKUP(N$5,NFI,5,0),1,0)*Table_NFI[[#This Row],[Kitchen Set]],Table_NFI[Kitchen Set])</f>
        <v>0</v>
      </c>
      <c r="AF968" s="294">
        <f>IF(NFI_Expiration=1,IF($A968&lt;VLOOKUP(O$5,NFI,5,0),1,0)*Table_NFI[[#This Row],[Clothes Kit]],Table_NFI[Clothes Kit])</f>
        <v>0</v>
      </c>
      <c r="AG968" s="294">
        <f>IF(NFI_Expiration=1,IF($A968&lt;VLOOKUP(P$5,NFI,5,0),1,0)*Table_NFI[[#This Row],[Plastic Bucket]],Table_NFI[Plastic Bucket])</f>
        <v>0</v>
      </c>
      <c r="AH968" s="294">
        <f>IF(NFI_Expiration=1,IF($A968&lt;VLOOKUP(Q$5,NFI,5,0),1,0)*Table_NFI[[#This Row],[Plastic Mat]],Table_NFI[Plastic Mat])*IF(Table_NFI[[#This Row],[Distribution Date]]&gt;"2014-04-01",1,2.5)</f>
        <v>0</v>
      </c>
      <c r="AI968" s="294">
        <f>IF(NFI_Expiration=1,IF($A968&lt;VLOOKUP(R$5,NFI,5,0),1,0)*Table_NFI[[#This Row],[Winter Clothes Adult]],Table_NFI[Winter Clothes Adult])</f>
        <v>0</v>
      </c>
      <c r="AJ968" s="294">
        <f>IF(NFI_Expiration=1,IF($A968&lt;VLOOKUP(S$5,NFI,5,0),1,0)*Table_NFI[[#This Row],[Winter Clothes Children]],Table_NFI[Winter Clothes Children])</f>
        <v>0</v>
      </c>
      <c r="AK968" s="294">
        <f>IF(NFI_Expiration=1,IF($A968&lt;VLOOKUP(T$5,NFI,5,0),1,0)*Table_NFI[[#This Row],[Winter Items Other]],Table_NFI[Winter Items Other])</f>
        <v>0</v>
      </c>
      <c r="AL968" s="294">
        <f>IF(NFI_Expiration=1,IF($A968&lt;VLOOKUP(M$5,NFI,5,0),1,0)*Table_NFI[[#This Row],[Winter Blanket]],Table_NFI[[#This Row],[Winter Blanket]])</f>
        <v>0</v>
      </c>
      <c r="AM968" s="294">
        <f>IF(Table_NFI[[#This Row],[Winter Clothes Adult]]+Table_NFI[[#This Row],[Winter Clothes Children]]+Table_NFI[[#This Row],[Winter Items Other]]+Table_NFI[[#This Row],[Winter Blanket]]&gt;0,1,0)</f>
        <v>0</v>
      </c>
      <c r="AN968" s="331">
        <f>IF(NFI_Expiration=1,IF($A968&lt;VLOOKUP(V$5,NFI,5,0),1,0)*Table_NFI[[#This Row],[Jerry Can]],Table_NFI[Jerry Can])</f>
        <v>0</v>
      </c>
      <c r="AO968" s="331">
        <f>IF(NFI_Expiration=1,IF($A968&lt;VLOOKUP(V$5,NFI,5,0),1,0)*Table_NFI[[#This Row],[Shelter Tool kit]],Table_NFI[Shelter Tool kit])</f>
        <v>0</v>
      </c>
      <c r="AP968" s="331">
        <f>IF(NFI_Expiration=1,IF($A968&lt;VLOOKUP(V$5,NFI,5,0),1,0)*Table_NFI[[#This Row],[Tent]],Table_NFI[Tent])</f>
        <v>0</v>
      </c>
      <c r="AQ968" s="473" t="str">
        <f>IFERROR(VLOOKUP(Table_NFI[[#This Row],[Camp Name]],CL,2,0),"")</f>
        <v>MMR001CMP126</v>
      </c>
      <c r="AR968" s="468">
        <f ca="1">IF(Table_NFI[[#This Row],[Pcode]]="","",IF(OFFSET(CampList[Opening Date],MATCH(Table_NFI[[#This Row],[Pcode]],CampList[CP_Pcode],0)-1,0,1,1)&gt;=NFI_Monitor_Date,1,0))</f>
        <v>0</v>
      </c>
      <c r="AS968" s="473" t="str">
        <f>IFERROR(VLOOKUP(Table_NFI[[#This Row],[Camp Name]],CL,3,0),"")</f>
        <v>Open</v>
      </c>
      <c r="AT968" s="294" t="str">
        <f ca="1">IF(Table_NFI[[#This Row],[Pcode]]="","",OFFSET(CampList[Priority],MATCH(Table_NFI[[#This Row],[Pcode]],CampList[CP_Pcode],0)-1,0,1,1))</f>
        <v>P2</v>
      </c>
      <c r="AU968" s="293">
        <f>IFERROR(Table_NFI[[#This Row],[Kitchen Set]]/VLOOKUP(Table_NFI[[#This Row],[Camp Name]],CL,4,0),"")</f>
        <v>0.11360239162929746</v>
      </c>
      <c r="AV968" s="466" t="s">
        <v>1092</v>
      </c>
      <c r="AW968" s="469"/>
    </row>
    <row r="969" spans="1:49" ht="14.45" customHeight="1" x14ac:dyDescent="0.25">
      <c r="A969" s="297">
        <f t="shared" si="15"/>
        <v>53.666666666666664</v>
      </c>
      <c r="B969" s="465">
        <v>41065</v>
      </c>
      <c r="C969" s="466" t="s">
        <v>452</v>
      </c>
      <c r="D969" s="466" t="s">
        <v>452</v>
      </c>
      <c r="E969" s="466" t="s">
        <v>380</v>
      </c>
      <c r="F969" s="466" t="s">
        <v>185</v>
      </c>
      <c r="G969" s="290" t="s">
        <v>211</v>
      </c>
      <c r="H969" s="291"/>
      <c r="I969" s="291"/>
      <c r="J969" s="291"/>
      <c r="K969" s="291">
        <v>10</v>
      </c>
      <c r="L969" s="292">
        <v>5</v>
      </c>
      <c r="M969" s="292">
        <v>10</v>
      </c>
      <c r="N969" s="292">
        <v>5</v>
      </c>
      <c r="O969" s="292">
        <v>5</v>
      </c>
      <c r="P969" s="294">
        <v>5</v>
      </c>
      <c r="Q969" s="294">
        <v>5</v>
      </c>
      <c r="R969" s="294"/>
      <c r="S969" s="294"/>
      <c r="T969" s="294"/>
      <c r="U969" s="294"/>
      <c r="V969" s="431"/>
      <c r="W969" s="294"/>
      <c r="X969" s="294"/>
      <c r="Y969" s="294">
        <f>IF(NFI_Expiration=1,IF($A969&lt;VLOOKUP(H$5,NFI,5,0),1,0)*Table_NFI[[#This Row],[Hygiene Kit]],Table_NFI[Hygiene Kit])</f>
        <v>0</v>
      </c>
      <c r="Z969" s="294">
        <f>IF(NFI_Expiration=1,IF($A969&lt;VLOOKUP(I$5,NFI,5,0),1,0)*Table_NFI[[#This Row],[NFI Core Kit]],Table_NFI[NFI Core Kit])</f>
        <v>0</v>
      </c>
      <c r="AA969" s="294">
        <f>IF(NFI_Expiration=1,IF($A969&lt;VLOOKUP(J$5,NFI,5,0),1,0)*Table_NFI[[#This Row],[Sanitary Kit]],Table_NFI[Sanitary Kit])</f>
        <v>0</v>
      </c>
      <c r="AB969" s="294">
        <f>IF(NFI_Expiration=1,IF($A969&lt;VLOOKUP(K$5,NFI,5,0),1,0)*Table_NFI[[#This Row],[Mosquito net]],Table_NFI[Mosquito net])</f>
        <v>0</v>
      </c>
      <c r="AC969" s="294">
        <f>IF(NFI_Expiration=1,IF($A969&lt;VLOOKUP(L$5,NFI,5,0),1,0)*Table_NFI[[#This Row],[Tarpaulin]],Table_NFI[[#This Row],[Tarpaulin]])</f>
        <v>0</v>
      </c>
      <c r="AD969" s="294">
        <f>IF(NFI_Expiration=1,IF($A969&lt;VLOOKUP(M$5,NFI,5,0),1,0)*Table_NFI[[#This Row],[Blanket]],Table_NFI[[#This Row],[Blanket]])</f>
        <v>0</v>
      </c>
      <c r="AE969" s="294">
        <f>IF(NFI_Expiration=1,IF($A969&lt;VLOOKUP(N$5,NFI,5,0),1,0)*Table_NFI[[#This Row],[Kitchen Set]],Table_NFI[Kitchen Set])</f>
        <v>0</v>
      </c>
      <c r="AF969" s="294">
        <f>IF(NFI_Expiration=1,IF($A969&lt;VLOOKUP(O$5,NFI,5,0),1,0)*Table_NFI[[#This Row],[Clothes Kit]],Table_NFI[Clothes Kit])</f>
        <v>0</v>
      </c>
      <c r="AG969" s="294">
        <f>IF(NFI_Expiration=1,IF($A969&lt;VLOOKUP(P$5,NFI,5,0),1,0)*Table_NFI[[#This Row],[Plastic Bucket]],Table_NFI[Plastic Bucket])</f>
        <v>0</v>
      </c>
      <c r="AH969" s="294">
        <f>IF(NFI_Expiration=1,IF($A969&lt;VLOOKUP(Q$5,NFI,5,0),1,0)*Table_NFI[[#This Row],[Plastic Mat]],Table_NFI[Plastic Mat])*IF(Table_NFI[[#This Row],[Distribution Date]]&gt;"2014-04-01",1,2.5)</f>
        <v>0</v>
      </c>
      <c r="AI969" s="294">
        <f>IF(NFI_Expiration=1,IF($A969&lt;VLOOKUP(R$5,NFI,5,0),1,0)*Table_NFI[[#This Row],[Winter Clothes Adult]],Table_NFI[Winter Clothes Adult])</f>
        <v>0</v>
      </c>
      <c r="AJ969" s="294">
        <f>IF(NFI_Expiration=1,IF($A969&lt;VLOOKUP(S$5,NFI,5,0),1,0)*Table_NFI[[#This Row],[Winter Clothes Children]],Table_NFI[Winter Clothes Children])</f>
        <v>0</v>
      </c>
      <c r="AK969" s="294">
        <f>IF(NFI_Expiration=1,IF($A969&lt;VLOOKUP(T$5,NFI,5,0),1,0)*Table_NFI[[#This Row],[Winter Items Other]],Table_NFI[Winter Items Other])</f>
        <v>0</v>
      </c>
      <c r="AL969" s="294">
        <f>IF(NFI_Expiration=1,IF($A969&lt;VLOOKUP(M$5,NFI,5,0),1,0)*Table_NFI[[#This Row],[Winter Blanket]],Table_NFI[[#This Row],[Winter Blanket]])</f>
        <v>0</v>
      </c>
      <c r="AM969" s="294">
        <f>IF(Table_NFI[[#This Row],[Winter Clothes Adult]]+Table_NFI[[#This Row],[Winter Clothes Children]]+Table_NFI[[#This Row],[Winter Items Other]]+Table_NFI[[#This Row],[Winter Blanket]]&gt;0,1,0)</f>
        <v>0</v>
      </c>
      <c r="AN969" s="331">
        <f>IF(NFI_Expiration=1,IF($A969&lt;VLOOKUP(V$5,NFI,5,0),1,0)*Table_NFI[[#This Row],[Jerry Can]],Table_NFI[Jerry Can])</f>
        <v>0</v>
      </c>
      <c r="AO969" s="331">
        <f>IF(NFI_Expiration=1,IF($A969&lt;VLOOKUP(V$5,NFI,5,0),1,0)*Table_NFI[[#This Row],[Shelter Tool kit]],Table_NFI[Shelter Tool kit])</f>
        <v>0</v>
      </c>
      <c r="AP969" s="331">
        <f>IF(NFI_Expiration=1,IF($A969&lt;VLOOKUP(V$5,NFI,5,0),1,0)*Table_NFI[[#This Row],[Tent]],Table_NFI[Tent])</f>
        <v>0</v>
      </c>
      <c r="AQ969" s="473" t="str">
        <f>IFERROR(VLOOKUP(Table_NFI[[#This Row],[Camp Name]],CL,2,0),"")</f>
        <v>MMR001CMP057</v>
      </c>
      <c r="AR969" s="468">
        <f ca="1">IF(Table_NFI[[#This Row],[Pcode]]="","",IF(OFFSET(CampList[Opening Date],MATCH(Table_NFI[[#This Row],[Pcode]],CampList[CP_Pcode],0)-1,0,1,1)&gt;=NFI_Monitor_Date,1,0))</f>
        <v>0</v>
      </c>
      <c r="AS969" s="473" t="str">
        <f>IFERROR(VLOOKUP(Table_NFI[[#This Row],[Camp Name]],CL,3,0),"")</f>
        <v>Closed</v>
      </c>
      <c r="AT969" s="294" t="str">
        <f ca="1">IF(Table_NFI[[#This Row],[Pcode]]="","",OFFSET(CampList[Priority],MATCH(Table_NFI[[#This Row],[Pcode]],CampList[CP_Pcode],0)-1,0,1,1))</f>
        <v>P4</v>
      </c>
      <c r="AU969" s="293" t="str">
        <f>IFERROR(Table_NFI[[#This Row],[Kitchen Set]]/VLOOKUP(Table_NFI[[#This Row],[Camp Name]],CL,4,0),"")</f>
        <v/>
      </c>
      <c r="AV969" s="466" t="s">
        <v>1092</v>
      </c>
      <c r="AW969" s="469"/>
    </row>
    <row r="970" spans="1:49" ht="14.45" customHeight="1" x14ac:dyDescent="0.25">
      <c r="A970" s="297">
        <f t="shared" si="15"/>
        <v>53.8</v>
      </c>
      <c r="B970" s="465">
        <v>41061</v>
      </c>
      <c r="C970" s="466" t="s">
        <v>452</v>
      </c>
      <c r="D970" s="466" t="s">
        <v>452</v>
      </c>
      <c r="E970" s="466" t="s">
        <v>380</v>
      </c>
      <c r="F970" s="290" t="s">
        <v>237</v>
      </c>
      <c r="G970" s="290" t="s">
        <v>263</v>
      </c>
      <c r="H970" s="291"/>
      <c r="I970" s="291"/>
      <c r="J970" s="291"/>
      <c r="K970" s="291">
        <v>22</v>
      </c>
      <c r="L970" s="292">
        <v>11</v>
      </c>
      <c r="M970" s="292">
        <v>22</v>
      </c>
      <c r="N970" s="292">
        <v>11</v>
      </c>
      <c r="O970" s="292">
        <v>11</v>
      </c>
      <c r="P970" s="294">
        <v>11</v>
      </c>
      <c r="Q970" s="294">
        <v>11</v>
      </c>
      <c r="R970" s="294"/>
      <c r="S970" s="294"/>
      <c r="T970" s="294"/>
      <c r="U970" s="294"/>
      <c r="V970" s="431"/>
      <c r="W970" s="294"/>
      <c r="X970" s="294"/>
      <c r="Y970" s="294">
        <f>IF(NFI_Expiration=1,IF($A970&lt;VLOOKUP(H$5,NFI,5,0),1,0)*Table_NFI[[#This Row],[Hygiene Kit]],Table_NFI[Hygiene Kit])</f>
        <v>0</v>
      </c>
      <c r="Z970" s="294">
        <f>IF(NFI_Expiration=1,IF($A970&lt;VLOOKUP(I$5,NFI,5,0),1,0)*Table_NFI[[#This Row],[NFI Core Kit]],Table_NFI[NFI Core Kit])</f>
        <v>0</v>
      </c>
      <c r="AA970" s="294">
        <f>IF(NFI_Expiration=1,IF($A970&lt;VLOOKUP(J$5,NFI,5,0),1,0)*Table_NFI[[#This Row],[Sanitary Kit]],Table_NFI[Sanitary Kit])</f>
        <v>0</v>
      </c>
      <c r="AB970" s="294">
        <f>IF(NFI_Expiration=1,IF($A970&lt;VLOOKUP(K$5,NFI,5,0),1,0)*Table_NFI[[#This Row],[Mosquito net]],Table_NFI[Mosquito net])</f>
        <v>0</v>
      </c>
      <c r="AC970" s="294">
        <f>IF(NFI_Expiration=1,IF($A970&lt;VLOOKUP(L$5,NFI,5,0),1,0)*Table_NFI[[#This Row],[Tarpaulin]],Table_NFI[[#This Row],[Tarpaulin]])</f>
        <v>0</v>
      </c>
      <c r="AD970" s="294">
        <f>IF(NFI_Expiration=1,IF($A970&lt;VLOOKUP(M$5,NFI,5,0),1,0)*Table_NFI[[#This Row],[Blanket]],Table_NFI[[#This Row],[Blanket]])</f>
        <v>0</v>
      </c>
      <c r="AE970" s="294">
        <f>IF(NFI_Expiration=1,IF($A970&lt;VLOOKUP(N$5,NFI,5,0),1,0)*Table_NFI[[#This Row],[Kitchen Set]],Table_NFI[Kitchen Set])</f>
        <v>0</v>
      </c>
      <c r="AF970" s="294">
        <f>IF(NFI_Expiration=1,IF($A970&lt;VLOOKUP(O$5,NFI,5,0),1,0)*Table_NFI[[#This Row],[Clothes Kit]],Table_NFI[Clothes Kit])</f>
        <v>0</v>
      </c>
      <c r="AG970" s="294">
        <f>IF(NFI_Expiration=1,IF($A970&lt;VLOOKUP(P$5,NFI,5,0),1,0)*Table_NFI[[#This Row],[Plastic Bucket]],Table_NFI[Plastic Bucket])</f>
        <v>0</v>
      </c>
      <c r="AH970" s="294">
        <f>IF(NFI_Expiration=1,IF($A970&lt;VLOOKUP(Q$5,NFI,5,0),1,0)*Table_NFI[[#This Row],[Plastic Mat]],Table_NFI[Plastic Mat])*IF(Table_NFI[[#This Row],[Distribution Date]]&gt;"2014-04-01",1,2.5)</f>
        <v>0</v>
      </c>
      <c r="AI970" s="294">
        <f>IF(NFI_Expiration=1,IF($A970&lt;VLOOKUP(R$5,NFI,5,0),1,0)*Table_NFI[[#This Row],[Winter Clothes Adult]],Table_NFI[Winter Clothes Adult])</f>
        <v>0</v>
      </c>
      <c r="AJ970" s="294">
        <f>IF(NFI_Expiration=1,IF($A970&lt;VLOOKUP(S$5,NFI,5,0),1,0)*Table_NFI[[#This Row],[Winter Clothes Children]],Table_NFI[Winter Clothes Children])</f>
        <v>0</v>
      </c>
      <c r="AK970" s="294">
        <f>IF(NFI_Expiration=1,IF($A970&lt;VLOOKUP(T$5,NFI,5,0),1,0)*Table_NFI[[#This Row],[Winter Items Other]],Table_NFI[Winter Items Other])</f>
        <v>0</v>
      </c>
      <c r="AL970" s="294">
        <f>IF(NFI_Expiration=1,IF($A970&lt;VLOOKUP(M$5,NFI,5,0),1,0)*Table_NFI[[#This Row],[Winter Blanket]],Table_NFI[[#This Row],[Winter Blanket]])</f>
        <v>0</v>
      </c>
      <c r="AM970" s="294">
        <f>IF(Table_NFI[[#This Row],[Winter Clothes Adult]]+Table_NFI[[#This Row],[Winter Clothes Children]]+Table_NFI[[#This Row],[Winter Items Other]]+Table_NFI[[#This Row],[Winter Blanket]]&gt;0,1,0)</f>
        <v>0</v>
      </c>
      <c r="AN970" s="331">
        <f>IF(NFI_Expiration=1,IF($A970&lt;VLOOKUP(V$5,NFI,5,0),1,0)*Table_NFI[[#This Row],[Jerry Can]],Table_NFI[Jerry Can])</f>
        <v>0</v>
      </c>
      <c r="AO970" s="331">
        <f>IF(NFI_Expiration=1,IF($A970&lt;VLOOKUP(V$5,NFI,5,0),1,0)*Table_NFI[[#This Row],[Shelter Tool kit]],Table_NFI[Shelter Tool kit])</f>
        <v>0</v>
      </c>
      <c r="AP970" s="331">
        <f>IF(NFI_Expiration=1,IF($A970&lt;VLOOKUP(V$5,NFI,5,0),1,0)*Table_NFI[[#This Row],[Tent]],Table_NFI[Tent])</f>
        <v>0</v>
      </c>
      <c r="AQ970" s="473" t="str">
        <f>IFERROR(VLOOKUP(Table_NFI[[#This Row],[Camp Name]],CL,2,0),"")</f>
        <v>MMR001CMP020</v>
      </c>
      <c r="AR970" s="468">
        <f ca="1">IF(Table_NFI[[#This Row],[Pcode]]="","",IF(OFFSET(CampList[Opening Date],MATCH(Table_NFI[[#This Row],[Pcode]],CampList[CP_Pcode],0)-1,0,1,1)&gt;=NFI_Monitor_Date,1,0))</f>
        <v>0</v>
      </c>
      <c r="AS970" s="473" t="str">
        <f>IFERROR(VLOOKUP(Table_NFI[[#This Row],[Camp Name]],CL,3,0),"")</f>
        <v>Open</v>
      </c>
      <c r="AT970" s="294" t="str">
        <f ca="1">IF(Table_NFI[[#This Row],[Pcode]]="","",OFFSET(CampList[Priority],MATCH(Table_NFI[[#This Row],[Pcode]],CampList[CP_Pcode],0)-1,0,1,1))</f>
        <v>P4</v>
      </c>
      <c r="AU970" s="293">
        <f>IFERROR(Table_NFI[[#This Row],[Kitchen Set]]/VLOOKUP(Table_NFI[[#This Row],[Camp Name]],CL,4,0),"")</f>
        <v>0.52380952380952384</v>
      </c>
      <c r="AV970" s="466" t="s">
        <v>1092</v>
      </c>
      <c r="AW970" s="469"/>
    </row>
    <row r="971" spans="1:49" ht="14.45" customHeight="1" x14ac:dyDescent="0.25">
      <c r="A971" s="297">
        <f t="shared" si="15"/>
        <v>53.8</v>
      </c>
      <c r="B971" s="465">
        <v>41061</v>
      </c>
      <c r="C971" s="466" t="s">
        <v>452</v>
      </c>
      <c r="D971" s="466" t="s">
        <v>452</v>
      </c>
      <c r="E971" s="466" t="s">
        <v>380</v>
      </c>
      <c r="F971" s="290" t="s">
        <v>237</v>
      </c>
      <c r="G971" s="290" t="s">
        <v>265</v>
      </c>
      <c r="H971" s="291"/>
      <c r="I971" s="291"/>
      <c r="J971" s="291"/>
      <c r="K971" s="291">
        <v>35</v>
      </c>
      <c r="L971" s="292">
        <v>17</v>
      </c>
      <c r="M971" s="292">
        <v>35</v>
      </c>
      <c r="N971" s="292">
        <v>17</v>
      </c>
      <c r="O971" s="292">
        <v>17</v>
      </c>
      <c r="P971" s="294">
        <v>17</v>
      </c>
      <c r="Q971" s="294">
        <v>17</v>
      </c>
      <c r="R971" s="294"/>
      <c r="S971" s="294"/>
      <c r="T971" s="294"/>
      <c r="U971" s="294"/>
      <c r="V971" s="431"/>
      <c r="W971" s="294"/>
      <c r="X971" s="294"/>
      <c r="Y971" s="294">
        <f>IF(NFI_Expiration=1,IF($A971&lt;VLOOKUP(H$5,NFI,5,0),1,0)*Table_NFI[[#This Row],[Hygiene Kit]],Table_NFI[Hygiene Kit])</f>
        <v>0</v>
      </c>
      <c r="Z971" s="294">
        <f>IF(NFI_Expiration=1,IF($A971&lt;VLOOKUP(I$5,NFI,5,0),1,0)*Table_NFI[[#This Row],[NFI Core Kit]],Table_NFI[NFI Core Kit])</f>
        <v>0</v>
      </c>
      <c r="AA971" s="294">
        <f>IF(NFI_Expiration=1,IF($A971&lt;VLOOKUP(J$5,NFI,5,0),1,0)*Table_NFI[[#This Row],[Sanitary Kit]],Table_NFI[Sanitary Kit])</f>
        <v>0</v>
      </c>
      <c r="AB971" s="294">
        <f>IF(NFI_Expiration=1,IF($A971&lt;VLOOKUP(K$5,NFI,5,0),1,0)*Table_NFI[[#This Row],[Mosquito net]],Table_NFI[Mosquito net])</f>
        <v>0</v>
      </c>
      <c r="AC971" s="294">
        <f>IF(NFI_Expiration=1,IF($A971&lt;VLOOKUP(L$5,NFI,5,0),1,0)*Table_NFI[[#This Row],[Tarpaulin]],Table_NFI[[#This Row],[Tarpaulin]])</f>
        <v>0</v>
      </c>
      <c r="AD971" s="294">
        <f>IF(NFI_Expiration=1,IF($A971&lt;VLOOKUP(M$5,NFI,5,0),1,0)*Table_NFI[[#This Row],[Blanket]],Table_NFI[[#This Row],[Blanket]])</f>
        <v>0</v>
      </c>
      <c r="AE971" s="294">
        <f>IF(NFI_Expiration=1,IF($A971&lt;VLOOKUP(N$5,NFI,5,0),1,0)*Table_NFI[[#This Row],[Kitchen Set]],Table_NFI[Kitchen Set])</f>
        <v>0</v>
      </c>
      <c r="AF971" s="294">
        <f>IF(NFI_Expiration=1,IF($A971&lt;VLOOKUP(O$5,NFI,5,0),1,0)*Table_NFI[[#This Row],[Clothes Kit]],Table_NFI[Clothes Kit])</f>
        <v>0</v>
      </c>
      <c r="AG971" s="294">
        <f>IF(NFI_Expiration=1,IF($A971&lt;VLOOKUP(P$5,NFI,5,0),1,0)*Table_NFI[[#This Row],[Plastic Bucket]],Table_NFI[Plastic Bucket])</f>
        <v>0</v>
      </c>
      <c r="AH971" s="294">
        <f>IF(NFI_Expiration=1,IF($A971&lt;VLOOKUP(Q$5,NFI,5,0),1,0)*Table_NFI[[#This Row],[Plastic Mat]],Table_NFI[Plastic Mat])*IF(Table_NFI[[#This Row],[Distribution Date]]&gt;"2014-04-01",1,2.5)</f>
        <v>0</v>
      </c>
      <c r="AI971" s="294">
        <f>IF(NFI_Expiration=1,IF($A971&lt;VLOOKUP(R$5,NFI,5,0),1,0)*Table_NFI[[#This Row],[Winter Clothes Adult]],Table_NFI[Winter Clothes Adult])</f>
        <v>0</v>
      </c>
      <c r="AJ971" s="294">
        <f>IF(NFI_Expiration=1,IF($A971&lt;VLOOKUP(S$5,NFI,5,0),1,0)*Table_NFI[[#This Row],[Winter Clothes Children]],Table_NFI[Winter Clothes Children])</f>
        <v>0</v>
      </c>
      <c r="AK971" s="294">
        <f>IF(NFI_Expiration=1,IF($A971&lt;VLOOKUP(T$5,NFI,5,0),1,0)*Table_NFI[[#This Row],[Winter Items Other]],Table_NFI[Winter Items Other])</f>
        <v>0</v>
      </c>
      <c r="AL971" s="294">
        <f>IF(NFI_Expiration=1,IF($A971&lt;VLOOKUP(M$5,NFI,5,0),1,0)*Table_NFI[[#This Row],[Winter Blanket]],Table_NFI[[#This Row],[Winter Blanket]])</f>
        <v>0</v>
      </c>
      <c r="AM971" s="294">
        <f>IF(Table_NFI[[#This Row],[Winter Clothes Adult]]+Table_NFI[[#This Row],[Winter Clothes Children]]+Table_NFI[[#This Row],[Winter Items Other]]+Table_NFI[[#This Row],[Winter Blanket]]&gt;0,1,0)</f>
        <v>0</v>
      </c>
      <c r="AN971" s="331">
        <f>IF(NFI_Expiration=1,IF($A971&lt;VLOOKUP(V$5,NFI,5,0),1,0)*Table_NFI[[#This Row],[Jerry Can]],Table_NFI[Jerry Can])</f>
        <v>0</v>
      </c>
      <c r="AO971" s="331">
        <f>IF(NFI_Expiration=1,IF($A971&lt;VLOOKUP(V$5,NFI,5,0),1,0)*Table_NFI[[#This Row],[Shelter Tool kit]],Table_NFI[Shelter Tool kit])</f>
        <v>0</v>
      </c>
      <c r="AP971" s="331">
        <f>IF(NFI_Expiration=1,IF($A971&lt;VLOOKUP(V$5,NFI,5,0),1,0)*Table_NFI[[#This Row],[Tent]],Table_NFI[Tent])</f>
        <v>0</v>
      </c>
      <c r="AQ971" s="473" t="str">
        <f>IFERROR(VLOOKUP(Table_NFI[[#This Row],[Camp Name]],CL,2,0),"")</f>
        <v>MMR001CMP021</v>
      </c>
      <c r="AR971" s="468">
        <f ca="1">IF(Table_NFI[[#This Row],[Pcode]]="","",IF(OFFSET(CampList[Opening Date],MATCH(Table_NFI[[#This Row],[Pcode]],CampList[CP_Pcode],0)-1,0,1,1)&gt;=NFI_Monitor_Date,1,0))</f>
        <v>0</v>
      </c>
      <c r="AS971" s="473" t="str">
        <f>IFERROR(VLOOKUP(Table_NFI[[#This Row],[Camp Name]],CL,3,0),"")</f>
        <v>Open</v>
      </c>
      <c r="AT971" s="294" t="str">
        <f ca="1">IF(Table_NFI[[#This Row],[Pcode]]="","",OFFSET(CampList[Priority],MATCH(Table_NFI[[#This Row],[Pcode]],CampList[CP_Pcode],0)-1,0,1,1))</f>
        <v>P4</v>
      </c>
      <c r="AU971" s="293">
        <f>IFERROR(Table_NFI[[#This Row],[Kitchen Set]]/VLOOKUP(Table_NFI[[#This Row],[Camp Name]],CL,4,0),"")</f>
        <v>1.2142857142857142</v>
      </c>
      <c r="AV971" s="466" t="s">
        <v>1092</v>
      </c>
      <c r="AW971" s="469"/>
    </row>
    <row r="972" spans="1:49" ht="14.45" customHeight="1" x14ac:dyDescent="0.25">
      <c r="A972" s="297">
        <f t="shared" si="15"/>
        <v>53.833333333333336</v>
      </c>
      <c r="B972" s="465">
        <v>41060</v>
      </c>
      <c r="C972" s="466" t="s">
        <v>452</v>
      </c>
      <c r="D972" s="466" t="s">
        <v>460</v>
      </c>
      <c r="E972" s="466" t="s">
        <v>380</v>
      </c>
      <c r="F972" s="290" t="s">
        <v>5</v>
      </c>
      <c r="G972" s="290" t="s">
        <v>22</v>
      </c>
      <c r="H972" s="291"/>
      <c r="I972" s="291"/>
      <c r="J972" s="291"/>
      <c r="K972" s="291">
        <v>0</v>
      </c>
      <c r="L972" s="292">
        <v>20</v>
      </c>
      <c r="M972" s="292">
        <v>0</v>
      </c>
      <c r="N972" s="292">
        <v>0</v>
      </c>
      <c r="O972" s="292">
        <v>0</v>
      </c>
      <c r="P972" s="294"/>
      <c r="Q972" s="294"/>
      <c r="R972" s="294"/>
      <c r="S972" s="294"/>
      <c r="T972" s="294"/>
      <c r="U972" s="294"/>
      <c r="V972" s="431"/>
      <c r="W972" s="294"/>
      <c r="X972" s="294"/>
      <c r="Y972" s="294">
        <f>IF(NFI_Expiration=1,IF($A972&lt;VLOOKUP(H$5,NFI,5,0),1,0)*Table_NFI[[#This Row],[Hygiene Kit]],Table_NFI[Hygiene Kit])</f>
        <v>0</v>
      </c>
      <c r="Z972" s="294">
        <f>IF(NFI_Expiration=1,IF($A972&lt;VLOOKUP(I$5,NFI,5,0),1,0)*Table_NFI[[#This Row],[NFI Core Kit]],Table_NFI[NFI Core Kit])</f>
        <v>0</v>
      </c>
      <c r="AA972" s="294">
        <f>IF(NFI_Expiration=1,IF($A972&lt;VLOOKUP(J$5,NFI,5,0),1,0)*Table_NFI[[#This Row],[Sanitary Kit]],Table_NFI[Sanitary Kit])</f>
        <v>0</v>
      </c>
      <c r="AB972" s="294">
        <f>IF(NFI_Expiration=1,IF($A972&lt;VLOOKUP(K$5,NFI,5,0),1,0)*Table_NFI[[#This Row],[Mosquito net]],Table_NFI[Mosquito net])</f>
        <v>0</v>
      </c>
      <c r="AC972" s="294">
        <f>IF(NFI_Expiration=1,IF($A972&lt;VLOOKUP(L$5,NFI,5,0),1,0)*Table_NFI[[#This Row],[Tarpaulin]],Table_NFI[[#This Row],[Tarpaulin]])</f>
        <v>0</v>
      </c>
      <c r="AD972" s="294">
        <f>IF(NFI_Expiration=1,IF($A972&lt;VLOOKUP(M$5,NFI,5,0),1,0)*Table_NFI[[#This Row],[Blanket]],Table_NFI[[#This Row],[Blanket]])</f>
        <v>0</v>
      </c>
      <c r="AE972" s="294">
        <f>IF(NFI_Expiration=1,IF($A972&lt;VLOOKUP(N$5,NFI,5,0),1,0)*Table_NFI[[#This Row],[Kitchen Set]],Table_NFI[Kitchen Set])</f>
        <v>0</v>
      </c>
      <c r="AF972" s="294">
        <f>IF(NFI_Expiration=1,IF($A972&lt;VLOOKUP(O$5,NFI,5,0),1,0)*Table_NFI[[#This Row],[Clothes Kit]],Table_NFI[Clothes Kit])</f>
        <v>0</v>
      </c>
      <c r="AG972" s="294">
        <f>IF(NFI_Expiration=1,IF($A972&lt;VLOOKUP(P$5,NFI,5,0),1,0)*Table_NFI[[#This Row],[Plastic Bucket]],Table_NFI[Plastic Bucket])</f>
        <v>0</v>
      </c>
      <c r="AH972" s="294">
        <f>IF(NFI_Expiration=1,IF($A972&lt;VLOOKUP(Q$5,NFI,5,0),1,0)*Table_NFI[[#This Row],[Plastic Mat]],Table_NFI[Plastic Mat])*IF(Table_NFI[[#This Row],[Distribution Date]]&gt;"2014-04-01",1,2.5)</f>
        <v>0</v>
      </c>
      <c r="AI972" s="294">
        <f>IF(NFI_Expiration=1,IF($A972&lt;VLOOKUP(R$5,NFI,5,0),1,0)*Table_NFI[[#This Row],[Winter Clothes Adult]],Table_NFI[Winter Clothes Adult])</f>
        <v>0</v>
      </c>
      <c r="AJ972" s="294">
        <f>IF(NFI_Expiration=1,IF($A972&lt;VLOOKUP(S$5,NFI,5,0),1,0)*Table_NFI[[#This Row],[Winter Clothes Children]],Table_NFI[Winter Clothes Children])</f>
        <v>0</v>
      </c>
      <c r="AK972" s="294">
        <f>IF(NFI_Expiration=1,IF($A972&lt;VLOOKUP(T$5,NFI,5,0),1,0)*Table_NFI[[#This Row],[Winter Items Other]],Table_NFI[Winter Items Other])</f>
        <v>0</v>
      </c>
      <c r="AL972" s="294">
        <f>IF(NFI_Expiration=1,IF($A972&lt;VLOOKUP(M$5,NFI,5,0),1,0)*Table_NFI[[#This Row],[Winter Blanket]],Table_NFI[[#This Row],[Winter Blanket]])</f>
        <v>0</v>
      </c>
      <c r="AM972" s="294">
        <f>IF(Table_NFI[[#This Row],[Winter Clothes Adult]]+Table_NFI[[#This Row],[Winter Clothes Children]]+Table_NFI[[#This Row],[Winter Items Other]]+Table_NFI[[#This Row],[Winter Blanket]]&gt;0,1,0)</f>
        <v>0</v>
      </c>
      <c r="AN972" s="331">
        <f>IF(NFI_Expiration=1,IF($A972&lt;VLOOKUP(V$5,NFI,5,0),1,0)*Table_NFI[[#This Row],[Jerry Can]],Table_NFI[Jerry Can])</f>
        <v>0</v>
      </c>
      <c r="AO972" s="331">
        <f>IF(NFI_Expiration=1,IF($A972&lt;VLOOKUP(V$5,NFI,5,0),1,0)*Table_NFI[[#This Row],[Shelter Tool kit]],Table_NFI[Shelter Tool kit])</f>
        <v>0</v>
      </c>
      <c r="AP972" s="331">
        <f>IF(NFI_Expiration=1,IF($A972&lt;VLOOKUP(V$5,NFI,5,0),1,0)*Table_NFI[[#This Row],[Tent]],Table_NFI[Tent])</f>
        <v>0</v>
      </c>
      <c r="AQ972" s="473" t="str">
        <f>IFERROR(VLOOKUP(Table_NFI[[#This Row],[Camp Name]],CL,2,0),"")</f>
        <v>MMR001CMP047</v>
      </c>
      <c r="AR972" s="468">
        <f ca="1">IF(Table_NFI[[#This Row],[Pcode]]="","",IF(OFFSET(CampList[Opening Date],MATCH(Table_NFI[[#This Row],[Pcode]],CampList[CP_Pcode],0)-1,0,1,1)&gt;=NFI_Monitor_Date,1,0))</f>
        <v>0</v>
      </c>
      <c r="AS972" s="473" t="str">
        <f>IFERROR(VLOOKUP(Table_NFI[[#This Row],[Camp Name]],CL,3,0),"")</f>
        <v>Open</v>
      </c>
      <c r="AT972" s="294" t="str">
        <f ca="1">IF(Table_NFI[[#This Row],[Pcode]]="","",OFFSET(CampList[Priority],MATCH(Table_NFI[[#This Row],[Pcode]],CampList[CP_Pcode],0)-1,0,1,1))</f>
        <v>P4</v>
      </c>
      <c r="AU972" s="293">
        <f>IFERROR(Table_NFI[[#This Row],[Kitchen Set]]/VLOOKUP(Table_NFI[[#This Row],[Camp Name]],CL,4,0),"")</f>
        <v>0</v>
      </c>
      <c r="AV972" s="466" t="s">
        <v>1092</v>
      </c>
      <c r="AW972" s="469"/>
    </row>
    <row r="973" spans="1:49" ht="14.45" customHeight="1" x14ac:dyDescent="0.25">
      <c r="A973" s="297">
        <f t="shared" si="15"/>
        <v>53.93333333333333</v>
      </c>
      <c r="B973" s="465">
        <v>41057</v>
      </c>
      <c r="C973" s="466" t="s">
        <v>452</v>
      </c>
      <c r="D973" s="466" t="s">
        <v>452</v>
      </c>
      <c r="E973" s="466" t="s">
        <v>380</v>
      </c>
      <c r="F973" s="290" t="s">
        <v>310</v>
      </c>
      <c r="G973" s="290" t="s">
        <v>338</v>
      </c>
      <c r="H973" s="291"/>
      <c r="I973" s="291"/>
      <c r="J973" s="291"/>
      <c r="K973" s="291">
        <v>0</v>
      </c>
      <c r="L973" s="292">
        <v>11</v>
      </c>
      <c r="M973" s="292">
        <v>0</v>
      </c>
      <c r="N973" s="292">
        <v>0</v>
      </c>
      <c r="O973" s="292">
        <v>0</v>
      </c>
      <c r="P973" s="294"/>
      <c r="Q973" s="294"/>
      <c r="R973" s="294"/>
      <c r="S973" s="294"/>
      <c r="T973" s="294"/>
      <c r="U973" s="294"/>
      <c r="V973" s="431"/>
      <c r="W973" s="294"/>
      <c r="X973" s="294"/>
      <c r="Y973" s="294">
        <f>IF(NFI_Expiration=1,IF($A973&lt;VLOOKUP(H$5,NFI,5,0),1,0)*Table_NFI[[#This Row],[Hygiene Kit]],Table_NFI[Hygiene Kit])</f>
        <v>0</v>
      </c>
      <c r="Z973" s="294">
        <f>IF(NFI_Expiration=1,IF($A973&lt;VLOOKUP(I$5,NFI,5,0),1,0)*Table_NFI[[#This Row],[NFI Core Kit]],Table_NFI[NFI Core Kit])</f>
        <v>0</v>
      </c>
      <c r="AA973" s="294">
        <f>IF(NFI_Expiration=1,IF($A973&lt;VLOOKUP(J$5,NFI,5,0),1,0)*Table_NFI[[#This Row],[Sanitary Kit]],Table_NFI[Sanitary Kit])</f>
        <v>0</v>
      </c>
      <c r="AB973" s="294">
        <f>IF(NFI_Expiration=1,IF($A973&lt;VLOOKUP(K$5,NFI,5,0),1,0)*Table_NFI[[#This Row],[Mosquito net]],Table_NFI[Mosquito net])</f>
        <v>0</v>
      </c>
      <c r="AC973" s="294">
        <f>IF(NFI_Expiration=1,IF($A973&lt;VLOOKUP(L$5,NFI,5,0),1,0)*Table_NFI[[#This Row],[Tarpaulin]],Table_NFI[[#This Row],[Tarpaulin]])</f>
        <v>0</v>
      </c>
      <c r="AD973" s="294">
        <f>IF(NFI_Expiration=1,IF($A973&lt;VLOOKUP(M$5,NFI,5,0),1,0)*Table_NFI[[#This Row],[Blanket]],Table_NFI[[#This Row],[Blanket]])</f>
        <v>0</v>
      </c>
      <c r="AE973" s="294">
        <f>IF(NFI_Expiration=1,IF($A973&lt;VLOOKUP(N$5,NFI,5,0),1,0)*Table_NFI[[#This Row],[Kitchen Set]],Table_NFI[Kitchen Set])</f>
        <v>0</v>
      </c>
      <c r="AF973" s="294">
        <f>IF(NFI_Expiration=1,IF($A973&lt;VLOOKUP(O$5,NFI,5,0),1,0)*Table_NFI[[#This Row],[Clothes Kit]],Table_NFI[Clothes Kit])</f>
        <v>0</v>
      </c>
      <c r="AG973" s="294">
        <f>IF(NFI_Expiration=1,IF($A973&lt;VLOOKUP(P$5,NFI,5,0),1,0)*Table_NFI[[#This Row],[Plastic Bucket]],Table_NFI[Plastic Bucket])</f>
        <v>0</v>
      </c>
      <c r="AH973" s="294">
        <f>IF(NFI_Expiration=1,IF($A973&lt;VLOOKUP(Q$5,NFI,5,0),1,0)*Table_NFI[[#This Row],[Plastic Mat]],Table_NFI[Plastic Mat])*IF(Table_NFI[[#This Row],[Distribution Date]]&gt;"2014-04-01",1,2.5)</f>
        <v>0</v>
      </c>
      <c r="AI973" s="294">
        <f>IF(NFI_Expiration=1,IF($A973&lt;VLOOKUP(R$5,NFI,5,0),1,0)*Table_NFI[[#This Row],[Winter Clothes Adult]],Table_NFI[Winter Clothes Adult])</f>
        <v>0</v>
      </c>
      <c r="AJ973" s="294">
        <f>IF(NFI_Expiration=1,IF($A973&lt;VLOOKUP(S$5,NFI,5,0),1,0)*Table_NFI[[#This Row],[Winter Clothes Children]],Table_NFI[Winter Clothes Children])</f>
        <v>0</v>
      </c>
      <c r="AK973" s="294">
        <f>IF(NFI_Expiration=1,IF($A973&lt;VLOOKUP(T$5,NFI,5,0),1,0)*Table_NFI[[#This Row],[Winter Items Other]],Table_NFI[Winter Items Other])</f>
        <v>0</v>
      </c>
      <c r="AL973" s="294">
        <f>IF(NFI_Expiration=1,IF($A973&lt;VLOOKUP(M$5,NFI,5,0),1,0)*Table_NFI[[#This Row],[Winter Blanket]],Table_NFI[[#This Row],[Winter Blanket]])</f>
        <v>0</v>
      </c>
      <c r="AM973" s="294">
        <f>IF(Table_NFI[[#This Row],[Winter Clothes Adult]]+Table_NFI[[#This Row],[Winter Clothes Children]]+Table_NFI[[#This Row],[Winter Items Other]]+Table_NFI[[#This Row],[Winter Blanket]]&gt;0,1,0)</f>
        <v>0</v>
      </c>
      <c r="AN973" s="331">
        <f>IF(NFI_Expiration=1,IF($A973&lt;VLOOKUP(V$5,NFI,5,0),1,0)*Table_NFI[[#This Row],[Jerry Can]],Table_NFI[Jerry Can])</f>
        <v>0</v>
      </c>
      <c r="AO973" s="331">
        <f>IF(NFI_Expiration=1,IF($A973&lt;VLOOKUP(V$5,NFI,5,0),1,0)*Table_NFI[[#This Row],[Shelter Tool kit]],Table_NFI[Shelter Tool kit])</f>
        <v>0</v>
      </c>
      <c r="AP973" s="331">
        <f>IF(NFI_Expiration=1,IF($A973&lt;VLOOKUP(V$5,NFI,5,0),1,0)*Table_NFI[[#This Row],[Tent]],Table_NFI[Tent])</f>
        <v>0</v>
      </c>
      <c r="AQ973" s="473" t="str">
        <f>IFERROR(VLOOKUP(Table_NFI[[#This Row],[Camp Name]],CL,2,0),"")</f>
        <v>MMR001CMP030</v>
      </c>
      <c r="AR973" s="468">
        <f ca="1">IF(Table_NFI[[#This Row],[Pcode]]="","",IF(OFFSET(CampList[Opening Date],MATCH(Table_NFI[[#This Row],[Pcode]],CampList[CP_Pcode],0)-1,0,1,1)&gt;=NFI_Monitor_Date,1,0))</f>
        <v>0</v>
      </c>
      <c r="AS973" s="473" t="str">
        <f>IFERROR(VLOOKUP(Table_NFI[[#This Row],[Camp Name]],CL,3,0),"")</f>
        <v>Open</v>
      </c>
      <c r="AT973" s="294" t="str">
        <f ca="1">IF(Table_NFI[[#This Row],[Pcode]]="","",OFFSET(CampList[Priority],MATCH(Table_NFI[[#This Row],[Pcode]],CampList[CP_Pcode],0)-1,0,1,1))</f>
        <v>P4</v>
      </c>
      <c r="AU973" s="293">
        <f>IFERROR(Table_NFI[[#This Row],[Kitchen Set]]/VLOOKUP(Table_NFI[[#This Row],[Camp Name]],CL,4,0),"")</f>
        <v>0</v>
      </c>
      <c r="AV973" s="466" t="s">
        <v>1092</v>
      </c>
      <c r="AW973" s="469"/>
    </row>
    <row r="974" spans="1:49" ht="14.45" customHeight="1" x14ac:dyDescent="0.25">
      <c r="A974" s="297">
        <f t="shared" si="15"/>
        <v>54</v>
      </c>
      <c r="B974" s="465">
        <v>41055</v>
      </c>
      <c r="C974" s="466" t="s">
        <v>452</v>
      </c>
      <c r="D974" s="467" t="s">
        <v>460</v>
      </c>
      <c r="E974" s="466" t="s">
        <v>380</v>
      </c>
      <c r="F974" s="290" t="s">
        <v>302</v>
      </c>
      <c r="G974" s="290" t="s">
        <v>304</v>
      </c>
      <c r="H974" s="291"/>
      <c r="I974" s="291"/>
      <c r="J974" s="291"/>
      <c r="K974" s="291">
        <v>200</v>
      </c>
      <c r="L974" s="292">
        <v>200</v>
      </c>
      <c r="M974" s="292">
        <v>0</v>
      </c>
      <c r="N974" s="292">
        <v>0</v>
      </c>
      <c r="O974" s="292">
        <v>0</v>
      </c>
      <c r="P974" s="294"/>
      <c r="Q974" s="294"/>
      <c r="R974" s="294"/>
      <c r="S974" s="294"/>
      <c r="T974" s="294"/>
      <c r="U974" s="294"/>
      <c r="V974" s="431"/>
      <c r="W974" s="294"/>
      <c r="X974" s="294"/>
      <c r="Y974" s="294">
        <f>IF(NFI_Expiration=1,IF($A974&lt;VLOOKUP(H$5,NFI,5,0),1,0)*Table_NFI[[#This Row],[Hygiene Kit]],Table_NFI[Hygiene Kit])</f>
        <v>0</v>
      </c>
      <c r="Z974" s="294">
        <f>IF(NFI_Expiration=1,IF($A974&lt;VLOOKUP(I$5,NFI,5,0),1,0)*Table_NFI[[#This Row],[NFI Core Kit]],Table_NFI[NFI Core Kit])</f>
        <v>0</v>
      </c>
      <c r="AA974" s="294">
        <f>IF(NFI_Expiration=1,IF($A974&lt;VLOOKUP(J$5,NFI,5,0),1,0)*Table_NFI[[#This Row],[Sanitary Kit]],Table_NFI[Sanitary Kit])</f>
        <v>0</v>
      </c>
      <c r="AB974" s="294">
        <f>IF(NFI_Expiration=1,IF($A974&lt;VLOOKUP(K$5,NFI,5,0),1,0)*Table_NFI[[#This Row],[Mosquito net]],Table_NFI[Mosquito net])</f>
        <v>0</v>
      </c>
      <c r="AC974" s="294">
        <f>IF(NFI_Expiration=1,IF($A974&lt;VLOOKUP(L$5,NFI,5,0),1,0)*Table_NFI[[#This Row],[Tarpaulin]],Table_NFI[[#This Row],[Tarpaulin]])</f>
        <v>0</v>
      </c>
      <c r="AD974" s="294">
        <f>IF(NFI_Expiration=1,IF($A974&lt;VLOOKUP(M$5,NFI,5,0),1,0)*Table_NFI[[#This Row],[Blanket]],Table_NFI[[#This Row],[Blanket]])</f>
        <v>0</v>
      </c>
      <c r="AE974" s="294">
        <f>IF(NFI_Expiration=1,IF($A974&lt;VLOOKUP(N$5,NFI,5,0),1,0)*Table_NFI[[#This Row],[Kitchen Set]],Table_NFI[Kitchen Set])</f>
        <v>0</v>
      </c>
      <c r="AF974" s="294">
        <f>IF(NFI_Expiration=1,IF($A974&lt;VLOOKUP(O$5,NFI,5,0),1,0)*Table_NFI[[#This Row],[Clothes Kit]],Table_NFI[Clothes Kit])</f>
        <v>0</v>
      </c>
      <c r="AG974" s="294">
        <f>IF(NFI_Expiration=1,IF($A974&lt;VLOOKUP(P$5,NFI,5,0),1,0)*Table_NFI[[#This Row],[Plastic Bucket]],Table_NFI[Plastic Bucket])</f>
        <v>0</v>
      </c>
      <c r="AH974" s="294">
        <f>IF(NFI_Expiration=1,IF($A974&lt;VLOOKUP(Q$5,NFI,5,0),1,0)*Table_NFI[[#This Row],[Plastic Mat]],Table_NFI[Plastic Mat])*IF(Table_NFI[[#This Row],[Distribution Date]]&gt;"2014-04-01",1,2.5)</f>
        <v>0</v>
      </c>
      <c r="AI974" s="294">
        <f>IF(NFI_Expiration=1,IF($A974&lt;VLOOKUP(R$5,NFI,5,0),1,0)*Table_NFI[[#This Row],[Winter Clothes Adult]],Table_NFI[Winter Clothes Adult])</f>
        <v>0</v>
      </c>
      <c r="AJ974" s="294">
        <f>IF(NFI_Expiration=1,IF($A974&lt;VLOOKUP(S$5,NFI,5,0),1,0)*Table_NFI[[#This Row],[Winter Clothes Children]],Table_NFI[Winter Clothes Children])</f>
        <v>0</v>
      </c>
      <c r="AK974" s="294">
        <f>IF(NFI_Expiration=1,IF($A974&lt;VLOOKUP(T$5,NFI,5,0),1,0)*Table_NFI[[#This Row],[Winter Items Other]],Table_NFI[Winter Items Other])</f>
        <v>0</v>
      </c>
      <c r="AL974" s="294">
        <f>IF(NFI_Expiration=1,IF($A974&lt;VLOOKUP(M$5,NFI,5,0),1,0)*Table_NFI[[#This Row],[Winter Blanket]],Table_NFI[[#This Row],[Winter Blanket]])</f>
        <v>0</v>
      </c>
      <c r="AM974" s="294">
        <f>IF(Table_NFI[[#This Row],[Winter Clothes Adult]]+Table_NFI[[#This Row],[Winter Clothes Children]]+Table_NFI[[#This Row],[Winter Items Other]]+Table_NFI[[#This Row],[Winter Blanket]]&gt;0,1,0)</f>
        <v>0</v>
      </c>
      <c r="AN974" s="331">
        <f>IF(NFI_Expiration=1,IF($A974&lt;VLOOKUP(V$5,NFI,5,0),1,0)*Table_NFI[[#This Row],[Jerry Can]],Table_NFI[Jerry Can])</f>
        <v>0</v>
      </c>
      <c r="AO974" s="331">
        <f>IF(NFI_Expiration=1,IF($A974&lt;VLOOKUP(V$5,NFI,5,0),1,0)*Table_NFI[[#This Row],[Shelter Tool kit]],Table_NFI[Shelter Tool kit])</f>
        <v>0</v>
      </c>
      <c r="AP974" s="331">
        <f>IF(NFI_Expiration=1,IF($A974&lt;VLOOKUP(V$5,NFI,5,0),1,0)*Table_NFI[[#This Row],[Tent]],Table_NFI[Tent])</f>
        <v>0</v>
      </c>
      <c r="AQ974" s="473" t="str">
        <f>IFERROR(VLOOKUP(Table_NFI[[#This Row],[Camp Name]],CL,2,0),"")</f>
        <v>MMR001CMP147</v>
      </c>
      <c r="AR974" s="468">
        <f ca="1">IF(Table_NFI[[#This Row],[Pcode]]="","",IF(OFFSET(CampList[Opening Date],MATCH(Table_NFI[[#This Row],[Pcode]],CampList[CP_Pcode],0)-1,0,1,1)&gt;=NFI_Monitor_Date,1,0))</f>
        <v>1</v>
      </c>
      <c r="AS974" s="473" t="str">
        <f>IFERROR(VLOOKUP(Table_NFI[[#This Row],[Camp Name]],CL,3,0),"")</f>
        <v>Open</v>
      </c>
      <c r="AT974" s="294" t="str">
        <f ca="1">IF(Table_NFI[[#This Row],[Pcode]]="","",OFFSET(CampList[Priority],MATCH(Table_NFI[[#This Row],[Pcode]],CampList[CP_Pcode],0)-1,0,1,1))</f>
        <v>P4</v>
      </c>
      <c r="AU974" s="293">
        <f>IFERROR(Table_NFI[[#This Row],[Kitchen Set]]/VLOOKUP(Table_NFI[[#This Row],[Camp Name]],CL,4,0),"")</f>
        <v>0</v>
      </c>
      <c r="AV974" s="466" t="s">
        <v>1092</v>
      </c>
      <c r="AW974" s="469"/>
    </row>
    <row r="975" spans="1:49" ht="14.45" customHeight="1" x14ac:dyDescent="0.25">
      <c r="A975" s="297">
        <f t="shared" si="15"/>
        <v>54.033333333333331</v>
      </c>
      <c r="B975" s="465">
        <v>41054</v>
      </c>
      <c r="C975" s="466" t="s">
        <v>452</v>
      </c>
      <c r="D975" s="467" t="s">
        <v>452</v>
      </c>
      <c r="E975" s="466" t="s">
        <v>380</v>
      </c>
      <c r="F975" s="290" t="s">
        <v>237</v>
      </c>
      <c r="G975" s="290" t="s">
        <v>281</v>
      </c>
      <c r="H975" s="291"/>
      <c r="I975" s="291"/>
      <c r="J975" s="291"/>
      <c r="K975" s="291">
        <v>0</v>
      </c>
      <c r="L975" s="292">
        <v>25</v>
      </c>
      <c r="M975" s="292">
        <v>0</v>
      </c>
      <c r="N975" s="292">
        <v>0</v>
      </c>
      <c r="O975" s="292">
        <v>0</v>
      </c>
      <c r="P975" s="294"/>
      <c r="Q975" s="294"/>
      <c r="R975" s="294"/>
      <c r="S975" s="294"/>
      <c r="T975" s="294"/>
      <c r="U975" s="294"/>
      <c r="V975" s="431"/>
      <c r="W975" s="294"/>
      <c r="X975" s="294"/>
      <c r="Y975" s="294">
        <f>IF(NFI_Expiration=1,IF($A975&lt;VLOOKUP(H$5,NFI,5,0),1,0)*Table_NFI[[#This Row],[Hygiene Kit]],Table_NFI[Hygiene Kit])</f>
        <v>0</v>
      </c>
      <c r="Z975" s="294">
        <f>IF(NFI_Expiration=1,IF($A975&lt;VLOOKUP(I$5,NFI,5,0),1,0)*Table_NFI[[#This Row],[NFI Core Kit]],Table_NFI[NFI Core Kit])</f>
        <v>0</v>
      </c>
      <c r="AA975" s="294">
        <f>IF(NFI_Expiration=1,IF($A975&lt;VLOOKUP(J$5,NFI,5,0),1,0)*Table_NFI[[#This Row],[Sanitary Kit]],Table_NFI[Sanitary Kit])</f>
        <v>0</v>
      </c>
      <c r="AB975" s="294">
        <f>IF(NFI_Expiration=1,IF($A975&lt;VLOOKUP(K$5,NFI,5,0),1,0)*Table_NFI[[#This Row],[Mosquito net]],Table_NFI[Mosquito net])</f>
        <v>0</v>
      </c>
      <c r="AC975" s="294">
        <f>IF(NFI_Expiration=1,IF($A975&lt;VLOOKUP(L$5,NFI,5,0),1,0)*Table_NFI[[#This Row],[Tarpaulin]],Table_NFI[[#This Row],[Tarpaulin]])</f>
        <v>0</v>
      </c>
      <c r="AD975" s="294">
        <f>IF(NFI_Expiration=1,IF($A975&lt;VLOOKUP(M$5,NFI,5,0),1,0)*Table_NFI[[#This Row],[Blanket]],Table_NFI[[#This Row],[Blanket]])</f>
        <v>0</v>
      </c>
      <c r="AE975" s="294">
        <f>IF(NFI_Expiration=1,IF($A975&lt;VLOOKUP(N$5,NFI,5,0),1,0)*Table_NFI[[#This Row],[Kitchen Set]],Table_NFI[Kitchen Set])</f>
        <v>0</v>
      </c>
      <c r="AF975" s="294">
        <f>IF(NFI_Expiration=1,IF($A975&lt;VLOOKUP(O$5,NFI,5,0),1,0)*Table_NFI[[#This Row],[Clothes Kit]],Table_NFI[Clothes Kit])</f>
        <v>0</v>
      </c>
      <c r="AG975" s="294">
        <f>IF(NFI_Expiration=1,IF($A975&lt;VLOOKUP(P$5,NFI,5,0),1,0)*Table_NFI[[#This Row],[Plastic Bucket]],Table_NFI[Plastic Bucket])</f>
        <v>0</v>
      </c>
      <c r="AH975" s="294">
        <f>IF(NFI_Expiration=1,IF($A975&lt;VLOOKUP(Q$5,NFI,5,0),1,0)*Table_NFI[[#This Row],[Plastic Mat]],Table_NFI[Plastic Mat])*IF(Table_NFI[[#This Row],[Distribution Date]]&gt;"2014-04-01",1,2.5)</f>
        <v>0</v>
      </c>
      <c r="AI975" s="294">
        <f>IF(NFI_Expiration=1,IF($A975&lt;VLOOKUP(R$5,NFI,5,0),1,0)*Table_NFI[[#This Row],[Winter Clothes Adult]],Table_NFI[Winter Clothes Adult])</f>
        <v>0</v>
      </c>
      <c r="AJ975" s="294">
        <f>IF(NFI_Expiration=1,IF($A975&lt;VLOOKUP(S$5,NFI,5,0),1,0)*Table_NFI[[#This Row],[Winter Clothes Children]],Table_NFI[Winter Clothes Children])</f>
        <v>0</v>
      </c>
      <c r="AK975" s="294">
        <f>IF(NFI_Expiration=1,IF($A975&lt;VLOOKUP(T$5,NFI,5,0),1,0)*Table_NFI[[#This Row],[Winter Items Other]],Table_NFI[Winter Items Other])</f>
        <v>0</v>
      </c>
      <c r="AL975" s="294">
        <f>IF(NFI_Expiration=1,IF($A975&lt;VLOOKUP(M$5,NFI,5,0),1,0)*Table_NFI[[#This Row],[Winter Blanket]],Table_NFI[[#This Row],[Winter Blanket]])</f>
        <v>0</v>
      </c>
      <c r="AM975" s="294">
        <f>IF(Table_NFI[[#This Row],[Winter Clothes Adult]]+Table_NFI[[#This Row],[Winter Clothes Children]]+Table_NFI[[#This Row],[Winter Items Other]]+Table_NFI[[#This Row],[Winter Blanket]]&gt;0,1,0)</f>
        <v>0</v>
      </c>
      <c r="AN975" s="331">
        <f>IF(NFI_Expiration=1,IF($A975&lt;VLOOKUP(V$5,NFI,5,0),1,0)*Table_NFI[[#This Row],[Jerry Can]],Table_NFI[Jerry Can])</f>
        <v>0</v>
      </c>
      <c r="AO975" s="331">
        <f>IF(NFI_Expiration=1,IF($A975&lt;VLOOKUP(V$5,NFI,5,0),1,0)*Table_NFI[[#This Row],[Shelter Tool kit]],Table_NFI[Shelter Tool kit])</f>
        <v>0</v>
      </c>
      <c r="AP975" s="331">
        <f>IF(NFI_Expiration=1,IF($A975&lt;VLOOKUP(V$5,NFI,5,0),1,0)*Table_NFI[[#This Row],[Tent]],Table_NFI[Tent])</f>
        <v>0</v>
      </c>
      <c r="AQ975" s="473" t="str">
        <f>IFERROR(VLOOKUP(Table_NFI[[#This Row],[Camp Name]],CL,2,0),"")</f>
        <v>MMR001CMP009</v>
      </c>
      <c r="AR975" s="468">
        <f ca="1">IF(Table_NFI[[#This Row],[Pcode]]="","",IF(OFFSET(CampList[Opening Date],MATCH(Table_NFI[[#This Row],[Pcode]],CampList[CP_Pcode],0)-1,0,1,1)&gt;=NFI_Monitor_Date,1,0))</f>
        <v>0</v>
      </c>
      <c r="AS975" s="473" t="str">
        <f>IFERROR(VLOOKUP(Table_NFI[[#This Row],[Camp Name]],CL,3,0),"")</f>
        <v>Open</v>
      </c>
      <c r="AT975" s="294" t="str">
        <f ca="1">IF(Table_NFI[[#This Row],[Pcode]]="","",OFFSET(CampList[Priority],MATCH(Table_NFI[[#This Row],[Pcode]],CampList[CP_Pcode],0)-1,0,1,1))</f>
        <v>P4</v>
      </c>
      <c r="AU975" s="293">
        <f>IFERROR(Table_NFI[[#This Row],[Kitchen Set]]/VLOOKUP(Table_NFI[[#This Row],[Camp Name]],CL,4,0),"")</f>
        <v>0</v>
      </c>
      <c r="AV975" s="466" t="s">
        <v>1092</v>
      </c>
      <c r="AW975" s="469"/>
    </row>
    <row r="976" spans="1:49" ht="14.45" customHeight="1" x14ac:dyDescent="0.25">
      <c r="A976" s="297">
        <f t="shared" si="15"/>
        <v>54.1</v>
      </c>
      <c r="B976" s="465">
        <v>41052</v>
      </c>
      <c r="C976" s="466" t="s">
        <v>452</v>
      </c>
      <c r="D976" s="466" t="s">
        <v>452</v>
      </c>
      <c r="E976" s="466" t="s">
        <v>380</v>
      </c>
      <c r="F976" s="290" t="s">
        <v>237</v>
      </c>
      <c r="G976" s="290" t="s">
        <v>253</v>
      </c>
      <c r="H976" s="291"/>
      <c r="I976" s="291"/>
      <c r="J976" s="291"/>
      <c r="K976" s="291">
        <v>22</v>
      </c>
      <c r="L976" s="292">
        <v>15</v>
      </c>
      <c r="M976" s="292">
        <v>22</v>
      </c>
      <c r="N976" s="292">
        <v>15</v>
      </c>
      <c r="O976" s="292">
        <v>15</v>
      </c>
      <c r="P976" s="294">
        <v>15</v>
      </c>
      <c r="Q976" s="294">
        <v>15</v>
      </c>
      <c r="R976" s="294"/>
      <c r="S976" s="294"/>
      <c r="T976" s="294"/>
      <c r="U976" s="294"/>
      <c r="V976" s="431"/>
      <c r="W976" s="294"/>
      <c r="X976" s="294"/>
      <c r="Y976" s="294">
        <f>IF(NFI_Expiration=1,IF($A976&lt;VLOOKUP(H$5,NFI,5,0),1,0)*Table_NFI[[#This Row],[Hygiene Kit]],Table_NFI[Hygiene Kit])</f>
        <v>0</v>
      </c>
      <c r="Z976" s="294">
        <f>IF(NFI_Expiration=1,IF($A976&lt;VLOOKUP(I$5,NFI,5,0),1,0)*Table_NFI[[#This Row],[NFI Core Kit]],Table_NFI[NFI Core Kit])</f>
        <v>0</v>
      </c>
      <c r="AA976" s="294">
        <f>IF(NFI_Expiration=1,IF($A976&lt;VLOOKUP(J$5,NFI,5,0),1,0)*Table_NFI[[#This Row],[Sanitary Kit]],Table_NFI[Sanitary Kit])</f>
        <v>0</v>
      </c>
      <c r="AB976" s="294">
        <f>IF(NFI_Expiration=1,IF($A976&lt;VLOOKUP(K$5,NFI,5,0),1,0)*Table_NFI[[#This Row],[Mosquito net]],Table_NFI[Mosquito net])</f>
        <v>0</v>
      </c>
      <c r="AC976" s="294">
        <f>IF(NFI_Expiration=1,IF($A976&lt;VLOOKUP(L$5,NFI,5,0),1,0)*Table_NFI[[#This Row],[Tarpaulin]],Table_NFI[[#This Row],[Tarpaulin]])</f>
        <v>0</v>
      </c>
      <c r="AD976" s="294">
        <f>IF(NFI_Expiration=1,IF($A976&lt;VLOOKUP(M$5,NFI,5,0),1,0)*Table_NFI[[#This Row],[Blanket]],Table_NFI[[#This Row],[Blanket]])</f>
        <v>0</v>
      </c>
      <c r="AE976" s="294">
        <f>IF(NFI_Expiration=1,IF($A976&lt;VLOOKUP(N$5,NFI,5,0),1,0)*Table_NFI[[#This Row],[Kitchen Set]],Table_NFI[Kitchen Set])</f>
        <v>0</v>
      </c>
      <c r="AF976" s="294">
        <f>IF(NFI_Expiration=1,IF($A976&lt;VLOOKUP(O$5,NFI,5,0),1,0)*Table_NFI[[#This Row],[Clothes Kit]],Table_NFI[Clothes Kit])</f>
        <v>0</v>
      </c>
      <c r="AG976" s="294">
        <f>IF(NFI_Expiration=1,IF($A976&lt;VLOOKUP(P$5,NFI,5,0),1,0)*Table_NFI[[#This Row],[Plastic Bucket]],Table_NFI[Plastic Bucket])</f>
        <v>0</v>
      </c>
      <c r="AH976" s="294">
        <f>IF(NFI_Expiration=1,IF($A976&lt;VLOOKUP(Q$5,NFI,5,0),1,0)*Table_NFI[[#This Row],[Plastic Mat]],Table_NFI[Plastic Mat])*IF(Table_NFI[[#This Row],[Distribution Date]]&gt;"2014-04-01",1,2.5)</f>
        <v>0</v>
      </c>
      <c r="AI976" s="294">
        <f>IF(NFI_Expiration=1,IF($A976&lt;VLOOKUP(R$5,NFI,5,0),1,0)*Table_NFI[[#This Row],[Winter Clothes Adult]],Table_NFI[Winter Clothes Adult])</f>
        <v>0</v>
      </c>
      <c r="AJ976" s="294">
        <f>IF(NFI_Expiration=1,IF($A976&lt;VLOOKUP(S$5,NFI,5,0),1,0)*Table_NFI[[#This Row],[Winter Clothes Children]],Table_NFI[Winter Clothes Children])</f>
        <v>0</v>
      </c>
      <c r="AK976" s="294">
        <f>IF(NFI_Expiration=1,IF($A976&lt;VLOOKUP(T$5,NFI,5,0),1,0)*Table_NFI[[#This Row],[Winter Items Other]],Table_NFI[Winter Items Other])</f>
        <v>0</v>
      </c>
      <c r="AL976" s="294">
        <f>IF(NFI_Expiration=1,IF($A976&lt;VLOOKUP(M$5,NFI,5,0),1,0)*Table_NFI[[#This Row],[Winter Blanket]],Table_NFI[[#This Row],[Winter Blanket]])</f>
        <v>0</v>
      </c>
      <c r="AM976" s="294">
        <f>IF(Table_NFI[[#This Row],[Winter Clothes Adult]]+Table_NFI[[#This Row],[Winter Clothes Children]]+Table_NFI[[#This Row],[Winter Items Other]]+Table_NFI[[#This Row],[Winter Blanket]]&gt;0,1,0)</f>
        <v>0</v>
      </c>
      <c r="AN976" s="331">
        <f>IF(NFI_Expiration=1,IF($A976&lt;VLOOKUP(V$5,NFI,5,0),1,0)*Table_NFI[[#This Row],[Jerry Can]],Table_NFI[Jerry Can])</f>
        <v>0</v>
      </c>
      <c r="AO976" s="331">
        <f>IF(NFI_Expiration=1,IF($A976&lt;VLOOKUP(V$5,NFI,5,0),1,0)*Table_NFI[[#This Row],[Shelter Tool kit]],Table_NFI[Shelter Tool kit])</f>
        <v>0</v>
      </c>
      <c r="AP976" s="331">
        <f>IF(NFI_Expiration=1,IF($A976&lt;VLOOKUP(V$5,NFI,5,0),1,0)*Table_NFI[[#This Row],[Tent]],Table_NFI[Tent])</f>
        <v>0</v>
      </c>
      <c r="AQ976" s="473" t="str">
        <f>IFERROR(VLOOKUP(Table_NFI[[#This Row],[Camp Name]],CL,2,0),"")</f>
        <v>MMR001CMP018</v>
      </c>
      <c r="AR976" s="468">
        <f ca="1">IF(Table_NFI[[#This Row],[Pcode]]="","",IF(OFFSET(CampList[Opening Date],MATCH(Table_NFI[[#This Row],[Pcode]],CampList[CP_Pcode],0)-1,0,1,1)&gt;=NFI_Monitor_Date,1,0))</f>
        <v>0</v>
      </c>
      <c r="AS976" s="473" t="str">
        <f>IFERROR(VLOOKUP(Table_NFI[[#This Row],[Camp Name]],CL,3,0),"")</f>
        <v>Open</v>
      </c>
      <c r="AT976" s="294" t="str">
        <f ca="1">IF(Table_NFI[[#This Row],[Pcode]]="","",OFFSET(CampList[Priority],MATCH(Table_NFI[[#This Row],[Pcode]],CampList[CP_Pcode],0)-1,0,1,1))</f>
        <v>P4</v>
      </c>
      <c r="AU976" s="293">
        <f>IFERROR(Table_NFI[[#This Row],[Kitchen Set]]/VLOOKUP(Table_NFI[[#This Row],[Camp Name]],CL,4,0),"")</f>
        <v>7.575757575757576E-2</v>
      </c>
      <c r="AV976" s="466" t="s">
        <v>1092</v>
      </c>
      <c r="AW976" s="469"/>
    </row>
    <row r="977" spans="1:49" ht="14.45" customHeight="1" x14ac:dyDescent="0.25">
      <c r="A977" s="297">
        <f t="shared" si="15"/>
        <v>54.1</v>
      </c>
      <c r="B977" s="465">
        <v>41052</v>
      </c>
      <c r="C977" s="466" t="s">
        <v>452</v>
      </c>
      <c r="D977" s="466" t="s">
        <v>452</v>
      </c>
      <c r="E977" s="466" t="s">
        <v>380</v>
      </c>
      <c r="F977" s="290" t="s">
        <v>237</v>
      </c>
      <c r="G977" s="290" t="s">
        <v>271</v>
      </c>
      <c r="H977" s="291"/>
      <c r="I977" s="291"/>
      <c r="J977" s="291"/>
      <c r="K977" s="291">
        <v>58</v>
      </c>
      <c r="L977" s="292">
        <v>29</v>
      </c>
      <c r="M977" s="292">
        <v>58</v>
      </c>
      <c r="N977" s="292">
        <v>29</v>
      </c>
      <c r="O977" s="292">
        <v>29</v>
      </c>
      <c r="P977" s="294">
        <v>29</v>
      </c>
      <c r="Q977" s="294">
        <v>29</v>
      </c>
      <c r="R977" s="294"/>
      <c r="S977" s="294"/>
      <c r="T977" s="294"/>
      <c r="U977" s="294"/>
      <c r="V977" s="431"/>
      <c r="W977" s="294"/>
      <c r="X977" s="294"/>
      <c r="Y977" s="294">
        <f>IF(NFI_Expiration=1,IF($A977&lt;VLOOKUP(H$5,NFI,5,0),1,0)*Table_NFI[[#This Row],[Hygiene Kit]],Table_NFI[Hygiene Kit])</f>
        <v>0</v>
      </c>
      <c r="Z977" s="294">
        <f>IF(NFI_Expiration=1,IF($A977&lt;VLOOKUP(I$5,NFI,5,0),1,0)*Table_NFI[[#This Row],[NFI Core Kit]],Table_NFI[NFI Core Kit])</f>
        <v>0</v>
      </c>
      <c r="AA977" s="294">
        <f>IF(NFI_Expiration=1,IF($A977&lt;VLOOKUP(J$5,NFI,5,0),1,0)*Table_NFI[[#This Row],[Sanitary Kit]],Table_NFI[Sanitary Kit])</f>
        <v>0</v>
      </c>
      <c r="AB977" s="294">
        <f>IF(NFI_Expiration=1,IF($A977&lt;VLOOKUP(K$5,NFI,5,0),1,0)*Table_NFI[[#This Row],[Mosquito net]],Table_NFI[Mosquito net])</f>
        <v>0</v>
      </c>
      <c r="AC977" s="294">
        <f>IF(NFI_Expiration=1,IF($A977&lt;VLOOKUP(L$5,NFI,5,0),1,0)*Table_NFI[[#This Row],[Tarpaulin]],Table_NFI[[#This Row],[Tarpaulin]])</f>
        <v>0</v>
      </c>
      <c r="AD977" s="294">
        <f>IF(NFI_Expiration=1,IF($A977&lt;VLOOKUP(M$5,NFI,5,0),1,0)*Table_NFI[[#This Row],[Blanket]],Table_NFI[[#This Row],[Blanket]])</f>
        <v>0</v>
      </c>
      <c r="AE977" s="294">
        <f>IF(NFI_Expiration=1,IF($A977&lt;VLOOKUP(N$5,NFI,5,0),1,0)*Table_NFI[[#This Row],[Kitchen Set]],Table_NFI[Kitchen Set])</f>
        <v>0</v>
      </c>
      <c r="AF977" s="294">
        <f>IF(NFI_Expiration=1,IF($A977&lt;VLOOKUP(O$5,NFI,5,0),1,0)*Table_NFI[[#This Row],[Clothes Kit]],Table_NFI[Clothes Kit])</f>
        <v>0</v>
      </c>
      <c r="AG977" s="294">
        <f>IF(NFI_Expiration=1,IF($A977&lt;VLOOKUP(P$5,NFI,5,0),1,0)*Table_NFI[[#This Row],[Plastic Bucket]],Table_NFI[Plastic Bucket])</f>
        <v>0</v>
      </c>
      <c r="AH977" s="294">
        <f>IF(NFI_Expiration=1,IF($A977&lt;VLOOKUP(Q$5,NFI,5,0),1,0)*Table_NFI[[#This Row],[Plastic Mat]],Table_NFI[Plastic Mat])*IF(Table_NFI[[#This Row],[Distribution Date]]&gt;"2014-04-01",1,2.5)</f>
        <v>0</v>
      </c>
      <c r="AI977" s="294">
        <f>IF(NFI_Expiration=1,IF($A977&lt;VLOOKUP(R$5,NFI,5,0),1,0)*Table_NFI[[#This Row],[Winter Clothes Adult]],Table_NFI[Winter Clothes Adult])</f>
        <v>0</v>
      </c>
      <c r="AJ977" s="294">
        <f>IF(NFI_Expiration=1,IF($A977&lt;VLOOKUP(S$5,NFI,5,0),1,0)*Table_NFI[[#This Row],[Winter Clothes Children]],Table_NFI[Winter Clothes Children])</f>
        <v>0</v>
      </c>
      <c r="AK977" s="294">
        <f>IF(NFI_Expiration=1,IF($A977&lt;VLOOKUP(T$5,NFI,5,0),1,0)*Table_NFI[[#This Row],[Winter Items Other]],Table_NFI[Winter Items Other])</f>
        <v>0</v>
      </c>
      <c r="AL977" s="294">
        <f>IF(NFI_Expiration=1,IF($A977&lt;VLOOKUP(M$5,NFI,5,0),1,0)*Table_NFI[[#This Row],[Winter Blanket]],Table_NFI[[#This Row],[Winter Blanket]])</f>
        <v>0</v>
      </c>
      <c r="AM977" s="294">
        <f>IF(Table_NFI[[#This Row],[Winter Clothes Adult]]+Table_NFI[[#This Row],[Winter Clothes Children]]+Table_NFI[[#This Row],[Winter Items Other]]+Table_NFI[[#This Row],[Winter Blanket]]&gt;0,1,0)</f>
        <v>0</v>
      </c>
      <c r="AN977" s="331">
        <f>IF(NFI_Expiration=1,IF($A977&lt;VLOOKUP(V$5,NFI,5,0),1,0)*Table_NFI[[#This Row],[Jerry Can]],Table_NFI[Jerry Can])</f>
        <v>0</v>
      </c>
      <c r="AO977" s="331">
        <f>IF(NFI_Expiration=1,IF($A977&lt;VLOOKUP(V$5,NFI,5,0),1,0)*Table_NFI[[#This Row],[Shelter Tool kit]],Table_NFI[Shelter Tool kit])</f>
        <v>0</v>
      </c>
      <c r="AP977" s="331">
        <f>IF(NFI_Expiration=1,IF($A977&lt;VLOOKUP(V$5,NFI,5,0),1,0)*Table_NFI[[#This Row],[Tent]],Table_NFI[Tent])</f>
        <v>0</v>
      </c>
      <c r="AQ977" s="473" t="str">
        <f>IFERROR(VLOOKUP(Table_NFI[[#This Row],[Camp Name]],CL,2,0),"")</f>
        <v>MMR001CMP024</v>
      </c>
      <c r="AR977" s="468">
        <f ca="1">IF(Table_NFI[[#This Row],[Pcode]]="","",IF(OFFSET(CampList[Opening Date],MATCH(Table_NFI[[#This Row],[Pcode]],CampList[CP_Pcode],0)-1,0,1,1)&gt;=NFI_Monitor_Date,1,0))</f>
        <v>0</v>
      </c>
      <c r="AS977" s="473" t="str">
        <f>IFERROR(VLOOKUP(Table_NFI[[#This Row],[Camp Name]],CL,3,0),"")</f>
        <v>Open</v>
      </c>
      <c r="AT977" s="294" t="str">
        <f ca="1">IF(Table_NFI[[#This Row],[Pcode]]="","",OFFSET(CampList[Priority],MATCH(Table_NFI[[#This Row],[Pcode]],CampList[CP_Pcode],0)-1,0,1,1))</f>
        <v>P4</v>
      </c>
      <c r="AU977" s="293">
        <f>IFERROR(Table_NFI[[#This Row],[Kitchen Set]]/VLOOKUP(Table_NFI[[#This Row],[Camp Name]],CL,4,0),"")</f>
        <v>0.4264705882352941</v>
      </c>
      <c r="AV977" s="466" t="s">
        <v>1092</v>
      </c>
      <c r="AW977" s="469"/>
    </row>
    <row r="978" spans="1:49" ht="14.45" customHeight="1" x14ac:dyDescent="0.25">
      <c r="A978" s="297">
        <f t="shared" si="15"/>
        <v>54.1</v>
      </c>
      <c r="B978" s="465">
        <v>41052</v>
      </c>
      <c r="C978" s="466" t="s">
        <v>452</v>
      </c>
      <c r="D978" s="467" t="s">
        <v>452</v>
      </c>
      <c r="E978" s="466" t="s">
        <v>380</v>
      </c>
      <c r="F978" s="290" t="s">
        <v>237</v>
      </c>
      <c r="G978" s="290" t="s">
        <v>238</v>
      </c>
      <c r="H978" s="291"/>
      <c r="I978" s="291"/>
      <c r="J978" s="291"/>
      <c r="K978" s="291">
        <v>54</v>
      </c>
      <c r="L978" s="292">
        <v>29</v>
      </c>
      <c r="M978" s="292">
        <v>54</v>
      </c>
      <c r="N978" s="292">
        <v>29</v>
      </c>
      <c r="O978" s="292">
        <v>29</v>
      </c>
      <c r="P978" s="294">
        <v>29</v>
      </c>
      <c r="Q978" s="294">
        <v>29</v>
      </c>
      <c r="R978" s="294"/>
      <c r="S978" s="294"/>
      <c r="T978" s="294"/>
      <c r="U978" s="294"/>
      <c r="V978" s="431"/>
      <c r="W978" s="294"/>
      <c r="X978" s="294"/>
      <c r="Y978" s="294">
        <f>IF(NFI_Expiration=1,IF($A978&lt;VLOOKUP(H$5,NFI,5,0),1,0)*Table_NFI[[#This Row],[Hygiene Kit]],Table_NFI[Hygiene Kit])</f>
        <v>0</v>
      </c>
      <c r="Z978" s="294">
        <f>IF(NFI_Expiration=1,IF($A978&lt;VLOOKUP(I$5,NFI,5,0),1,0)*Table_NFI[[#This Row],[NFI Core Kit]],Table_NFI[NFI Core Kit])</f>
        <v>0</v>
      </c>
      <c r="AA978" s="294">
        <f>IF(NFI_Expiration=1,IF($A978&lt;VLOOKUP(J$5,NFI,5,0),1,0)*Table_NFI[[#This Row],[Sanitary Kit]],Table_NFI[Sanitary Kit])</f>
        <v>0</v>
      </c>
      <c r="AB978" s="294">
        <f>IF(NFI_Expiration=1,IF($A978&lt;VLOOKUP(K$5,NFI,5,0),1,0)*Table_NFI[[#This Row],[Mosquito net]],Table_NFI[Mosquito net])</f>
        <v>0</v>
      </c>
      <c r="AC978" s="294">
        <f>IF(NFI_Expiration=1,IF($A978&lt;VLOOKUP(L$5,NFI,5,0),1,0)*Table_NFI[[#This Row],[Tarpaulin]],Table_NFI[[#This Row],[Tarpaulin]])</f>
        <v>0</v>
      </c>
      <c r="AD978" s="294">
        <f>IF(NFI_Expiration=1,IF($A978&lt;VLOOKUP(M$5,NFI,5,0),1,0)*Table_NFI[[#This Row],[Blanket]],Table_NFI[[#This Row],[Blanket]])</f>
        <v>0</v>
      </c>
      <c r="AE978" s="294">
        <f>IF(NFI_Expiration=1,IF($A978&lt;VLOOKUP(N$5,NFI,5,0),1,0)*Table_NFI[[#This Row],[Kitchen Set]],Table_NFI[Kitchen Set])</f>
        <v>0</v>
      </c>
      <c r="AF978" s="294">
        <f>IF(NFI_Expiration=1,IF($A978&lt;VLOOKUP(O$5,NFI,5,0),1,0)*Table_NFI[[#This Row],[Clothes Kit]],Table_NFI[Clothes Kit])</f>
        <v>0</v>
      </c>
      <c r="AG978" s="294">
        <f>IF(NFI_Expiration=1,IF($A978&lt;VLOOKUP(P$5,NFI,5,0),1,0)*Table_NFI[[#This Row],[Plastic Bucket]],Table_NFI[Plastic Bucket])</f>
        <v>0</v>
      </c>
      <c r="AH978" s="294">
        <f>IF(NFI_Expiration=1,IF($A978&lt;VLOOKUP(Q$5,NFI,5,0),1,0)*Table_NFI[[#This Row],[Plastic Mat]],Table_NFI[Plastic Mat])*IF(Table_NFI[[#This Row],[Distribution Date]]&gt;"2014-04-01",1,2.5)</f>
        <v>0</v>
      </c>
      <c r="AI978" s="294">
        <f>IF(NFI_Expiration=1,IF($A978&lt;VLOOKUP(R$5,NFI,5,0),1,0)*Table_NFI[[#This Row],[Winter Clothes Adult]],Table_NFI[Winter Clothes Adult])</f>
        <v>0</v>
      </c>
      <c r="AJ978" s="294">
        <f>IF(NFI_Expiration=1,IF($A978&lt;VLOOKUP(S$5,NFI,5,0),1,0)*Table_NFI[[#This Row],[Winter Clothes Children]],Table_NFI[Winter Clothes Children])</f>
        <v>0</v>
      </c>
      <c r="AK978" s="294">
        <f>IF(NFI_Expiration=1,IF($A978&lt;VLOOKUP(T$5,NFI,5,0),1,0)*Table_NFI[[#This Row],[Winter Items Other]],Table_NFI[Winter Items Other])</f>
        <v>0</v>
      </c>
      <c r="AL978" s="294">
        <f>IF(NFI_Expiration=1,IF($A978&lt;VLOOKUP(M$5,NFI,5,0),1,0)*Table_NFI[[#This Row],[Winter Blanket]],Table_NFI[[#This Row],[Winter Blanket]])</f>
        <v>0</v>
      </c>
      <c r="AM978" s="294">
        <f>IF(Table_NFI[[#This Row],[Winter Clothes Adult]]+Table_NFI[[#This Row],[Winter Clothes Children]]+Table_NFI[[#This Row],[Winter Items Other]]+Table_NFI[[#This Row],[Winter Blanket]]&gt;0,1,0)</f>
        <v>0</v>
      </c>
      <c r="AN978" s="331">
        <f>IF(NFI_Expiration=1,IF($A978&lt;VLOOKUP(V$5,NFI,5,0),1,0)*Table_NFI[[#This Row],[Jerry Can]],Table_NFI[Jerry Can])</f>
        <v>0</v>
      </c>
      <c r="AO978" s="331">
        <f>IF(NFI_Expiration=1,IF($A978&lt;VLOOKUP(V$5,NFI,5,0),1,0)*Table_NFI[[#This Row],[Shelter Tool kit]],Table_NFI[Shelter Tool kit])</f>
        <v>0</v>
      </c>
      <c r="AP978" s="331">
        <f>IF(NFI_Expiration=1,IF($A978&lt;VLOOKUP(V$5,NFI,5,0),1,0)*Table_NFI[[#This Row],[Tent]],Table_NFI[Tent])</f>
        <v>0</v>
      </c>
      <c r="AQ978" s="473" t="str">
        <f>IFERROR(VLOOKUP(Table_NFI[[#This Row],[Camp Name]],CL,2,0),"")</f>
        <v>MMR001CMP001</v>
      </c>
      <c r="AR978" s="468">
        <f ca="1">IF(Table_NFI[[#This Row],[Pcode]]="","",IF(OFFSET(CampList[Opening Date],MATCH(Table_NFI[[#This Row],[Pcode]],CampList[CP_Pcode],0)-1,0,1,1)&gt;=NFI_Monitor_Date,1,0))</f>
        <v>0</v>
      </c>
      <c r="AS978" s="473" t="str">
        <f>IFERROR(VLOOKUP(Table_NFI[[#This Row],[Camp Name]],CL,3,0),"")</f>
        <v>Open</v>
      </c>
      <c r="AT978" s="294" t="str">
        <f ca="1">IF(Table_NFI[[#This Row],[Pcode]]="","",OFFSET(CampList[Priority],MATCH(Table_NFI[[#This Row],[Pcode]],CampList[CP_Pcode],0)-1,0,1,1))</f>
        <v>P4</v>
      </c>
      <c r="AU978" s="293">
        <f>IFERROR(Table_NFI[[#This Row],[Kitchen Set]]/VLOOKUP(Table_NFI[[#This Row],[Camp Name]],CL,4,0),"")</f>
        <v>0.60416666666666663</v>
      </c>
      <c r="AV978" s="466" t="s">
        <v>1092</v>
      </c>
      <c r="AW978" s="469"/>
    </row>
    <row r="979" spans="1:49" ht="14.45" customHeight="1" x14ac:dyDescent="0.25">
      <c r="A979" s="297">
        <f t="shared" si="15"/>
        <v>54.166666666666664</v>
      </c>
      <c r="B979" s="465">
        <v>41050</v>
      </c>
      <c r="C979" s="466" t="s">
        <v>452</v>
      </c>
      <c r="D979" s="467" t="s">
        <v>452</v>
      </c>
      <c r="E979" s="466" t="s">
        <v>380</v>
      </c>
      <c r="F979" s="290" t="s">
        <v>5</v>
      </c>
      <c r="G979" s="290" t="s">
        <v>6</v>
      </c>
      <c r="H979" s="291"/>
      <c r="I979" s="291"/>
      <c r="J979" s="291"/>
      <c r="K979" s="291">
        <v>0</v>
      </c>
      <c r="L979" s="292">
        <v>15</v>
      </c>
      <c r="M979" s="292">
        <v>0</v>
      </c>
      <c r="N979" s="292">
        <v>0</v>
      </c>
      <c r="O979" s="292">
        <v>0</v>
      </c>
      <c r="P979" s="294"/>
      <c r="Q979" s="294"/>
      <c r="R979" s="294"/>
      <c r="S979" s="294"/>
      <c r="T979" s="294"/>
      <c r="U979" s="294"/>
      <c r="V979" s="431"/>
      <c r="W979" s="294"/>
      <c r="X979" s="294"/>
      <c r="Y979" s="294">
        <f>IF(NFI_Expiration=1,IF($A979&lt;VLOOKUP(H$5,NFI,5,0),1,0)*Table_NFI[[#This Row],[Hygiene Kit]],Table_NFI[Hygiene Kit])</f>
        <v>0</v>
      </c>
      <c r="Z979" s="294">
        <f>IF(NFI_Expiration=1,IF($A979&lt;VLOOKUP(I$5,NFI,5,0),1,0)*Table_NFI[[#This Row],[NFI Core Kit]],Table_NFI[NFI Core Kit])</f>
        <v>0</v>
      </c>
      <c r="AA979" s="294">
        <f>IF(NFI_Expiration=1,IF($A979&lt;VLOOKUP(J$5,NFI,5,0),1,0)*Table_NFI[[#This Row],[Sanitary Kit]],Table_NFI[Sanitary Kit])</f>
        <v>0</v>
      </c>
      <c r="AB979" s="294">
        <f>IF(NFI_Expiration=1,IF($A979&lt;VLOOKUP(K$5,NFI,5,0),1,0)*Table_NFI[[#This Row],[Mosquito net]],Table_NFI[Mosquito net])</f>
        <v>0</v>
      </c>
      <c r="AC979" s="294">
        <f>IF(NFI_Expiration=1,IF($A979&lt;VLOOKUP(L$5,NFI,5,0),1,0)*Table_NFI[[#This Row],[Tarpaulin]],Table_NFI[[#This Row],[Tarpaulin]])</f>
        <v>0</v>
      </c>
      <c r="AD979" s="294">
        <f>IF(NFI_Expiration=1,IF($A979&lt;VLOOKUP(M$5,NFI,5,0),1,0)*Table_NFI[[#This Row],[Blanket]],Table_NFI[[#This Row],[Blanket]])</f>
        <v>0</v>
      </c>
      <c r="AE979" s="294">
        <f>IF(NFI_Expiration=1,IF($A979&lt;VLOOKUP(N$5,NFI,5,0),1,0)*Table_NFI[[#This Row],[Kitchen Set]],Table_NFI[Kitchen Set])</f>
        <v>0</v>
      </c>
      <c r="AF979" s="294">
        <f>IF(NFI_Expiration=1,IF($A979&lt;VLOOKUP(O$5,NFI,5,0),1,0)*Table_NFI[[#This Row],[Clothes Kit]],Table_NFI[Clothes Kit])</f>
        <v>0</v>
      </c>
      <c r="AG979" s="294">
        <f>IF(NFI_Expiration=1,IF($A979&lt;VLOOKUP(P$5,NFI,5,0),1,0)*Table_NFI[[#This Row],[Plastic Bucket]],Table_NFI[Plastic Bucket])</f>
        <v>0</v>
      </c>
      <c r="AH979" s="294">
        <f>IF(NFI_Expiration=1,IF($A979&lt;VLOOKUP(Q$5,NFI,5,0),1,0)*Table_NFI[[#This Row],[Plastic Mat]],Table_NFI[Plastic Mat])*IF(Table_NFI[[#This Row],[Distribution Date]]&gt;"2014-04-01",1,2.5)</f>
        <v>0</v>
      </c>
      <c r="AI979" s="294">
        <f>IF(NFI_Expiration=1,IF($A979&lt;VLOOKUP(R$5,NFI,5,0),1,0)*Table_NFI[[#This Row],[Winter Clothes Adult]],Table_NFI[Winter Clothes Adult])</f>
        <v>0</v>
      </c>
      <c r="AJ979" s="294">
        <f>IF(NFI_Expiration=1,IF($A979&lt;VLOOKUP(S$5,NFI,5,0),1,0)*Table_NFI[[#This Row],[Winter Clothes Children]],Table_NFI[Winter Clothes Children])</f>
        <v>0</v>
      </c>
      <c r="AK979" s="294">
        <f>IF(NFI_Expiration=1,IF($A979&lt;VLOOKUP(T$5,NFI,5,0),1,0)*Table_NFI[[#This Row],[Winter Items Other]],Table_NFI[Winter Items Other])</f>
        <v>0</v>
      </c>
      <c r="AL979" s="294">
        <f>IF(NFI_Expiration=1,IF($A979&lt;VLOOKUP(M$5,NFI,5,0),1,0)*Table_NFI[[#This Row],[Winter Blanket]],Table_NFI[[#This Row],[Winter Blanket]])</f>
        <v>0</v>
      </c>
      <c r="AM979" s="294">
        <f>IF(Table_NFI[[#This Row],[Winter Clothes Adult]]+Table_NFI[[#This Row],[Winter Clothes Children]]+Table_NFI[[#This Row],[Winter Items Other]]+Table_NFI[[#This Row],[Winter Blanket]]&gt;0,1,0)</f>
        <v>0</v>
      </c>
      <c r="AN979" s="331">
        <f>IF(NFI_Expiration=1,IF($A979&lt;VLOOKUP(V$5,NFI,5,0),1,0)*Table_NFI[[#This Row],[Jerry Can]],Table_NFI[Jerry Can])</f>
        <v>0</v>
      </c>
      <c r="AO979" s="331">
        <f>IF(NFI_Expiration=1,IF($A979&lt;VLOOKUP(V$5,NFI,5,0),1,0)*Table_NFI[[#This Row],[Shelter Tool kit]],Table_NFI[Shelter Tool kit])</f>
        <v>0</v>
      </c>
      <c r="AP979" s="331">
        <f>IF(NFI_Expiration=1,IF($A979&lt;VLOOKUP(V$5,NFI,5,0),1,0)*Table_NFI[[#This Row],[Tent]],Table_NFI[Tent])</f>
        <v>0</v>
      </c>
      <c r="AQ979" s="473" t="str">
        <f>IFERROR(VLOOKUP(Table_NFI[[#This Row],[Camp Name]],CL,2,0),"")</f>
        <v>MMR001CMP050</v>
      </c>
      <c r="AR979" s="468">
        <f ca="1">IF(Table_NFI[[#This Row],[Pcode]]="","",IF(OFFSET(CampList[Opening Date],MATCH(Table_NFI[[#This Row],[Pcode]],CampList[CP_Pcode],0)-1,0,1,1)&gt;=NFI_Monitor_Date,1,0))</f>
        <v>0</v>
      </c>
      <c r="AS979" s="473" t="str">
        <f>IFERROR(VLOOKUP(Table_NFI[[#This Row],[Camp Name]],CL,3,0),"")</f>
        <v>Open</v>
      </c>
      <c r="AT979" s="294" t="str">
        <f ca="1">IF(Table_NFI[[#This Row],[Pcode]]="","",OFFSET(CampList[Priority],MATCH(Table_NFI[[#This Row],[Pcode]],CampList[CP_Pcode],0)-1,0,1,1))</f>
        <v>P4</v>
      </c>
      <c r="AU979" s="293">
        <f>IFERROR(Table_NFI[[#This Row],[Kitchen Set]]/VLOOKUP(Table_NFI[[#This Row],[Camp Name]],CL,4,0),"")</f>
        <v>0</v>
      </c>
      <c r="AV979" s="466" t="s">
        <v>1092</v>
      </c>
      <c r="AW979" s="469"/>
    </row>
    <row r="980" spans="1:49" ht="14.45" customHeight="1" x14ac:dyDescent="0.25">
      <c r="A980" s="297">
        <f t="shared" si="15"/>
        <v>54.366666666666667</v>
      </c>
      <c r="B980" s="465">
        <v>41044</v>
      </c>
      <c r="C980" s="466" t="s">
        <v>452</v>
      </c>
      <c r="D980" s="467" t="s">
        <v>459</v>
      </c>
      <c r="E980" s="466" t="s">
        <v>380</v>
      </c>
      <c r="F980" s="290" t="s">
        <v>5</v>
      </c>
      <c r="G980" s="290" t="s">
        <v>6</v>
      </c>
      <c r="H980" s="291"/>
      <c r="I980" s="291"/>
      <c r="J980" s="291"/>
      <c r="K980" s="291">
        <v>90</v>
      </c>
      <c r="L980" s="292">
        <v>0</v>
      </c>
      <c r="M980" s="292">
        <v>0</v>
      </c>
      <c r="N980" s="292">
        <v>0</v>
      </c>
      <c r="O980" s="292">
        <v>0</v>
      </c>
      <c r="P980" s="294"/>
      <c r="Q980" s="294"/>
      <c r="R980" s="294"/>
      <c r="S980" s="294"/>
      <c r="T980" s="294"/>
      <c r="U980" s="294"/>
      <c r="V980" s="431"/>
      <c r="W980" s="294"/>
      <c r="X980" s="294"/>
      <c r="Y980" s="294">
        <f>IF(NFI_Expiration=1,IF($A980&lt;VLOOKUP(H$5,NFI,5,0),1,0)*Table_NFI[[#This Row],[Hygiene Kit]],Table_NFI[Hygiene Kit])</f>
        <v>0</v>
      </c>
      <c r="Z980" s="294">
        <f>IF(NFI_Expiration=1,IF($A980&lt;VLOOKUP(I$5,NFI,5,0),1,0)*Table_NFI[[#This Row],[NFI Core Kit]],Table_NFI[NFI Core Kit])</f>
        <v>0</v>
      </c>
      <c r="AA980" s="294">
        <f>IF(NFI_Expiration=1,IF($A980&lt;VLOOKUP(J$5,NFI,5,0),1,0)*Table_NFI[[#This Row],[Sanitary Kit]],Table_NFI[Sanitary Kit])</f>
        <v>0</v>
      </c>
      <c r="AB980" s="294">
        <f>IF(NFI_Expiration=1,IF($A980&lt;VLOOKUP(K$5,NFI,5,0),1,0)*Table_NFI[[#This Row],[Mosquito net]],Table_NFI[Mosquito net])</f>
        <v>0</v>
      </c>
      <c r="AC980" s="294">
        <f>IF(NFI_Expiration=1,IF($A980&lt;VLOOKUP(L$5,NFI,5,0),1,0)*Table_NFI[[#This Row],[Tarpaulin]],Table_NFI[[#This Row],[Tarpaulin]])</f>
        <v>0</v>
      </c>
      <c r="AD980" s="294">
        <f>IF(NFI_Expiration=1,IF($A980&lt;VLOOKUP(M$5,NFI,5,0),1,0)*Table_NFI[[#This Row],[Blanket]],Table_NFI[[#This Row],[Blanket]])</f>
        <v>0</v>
      </c>
      <c r="AE980" s="294">
        <f>IF(NFI_Expiration=1,IF($A980&lt;VLOOKUP(N$5,NFI,5,0),1,0)*Table_NFI[[#This Row],[Kitchen Set]],Table_NFI[Kitchen Set])</f>
        <v>0</v>
      </c>
      <c r="AF980" s="294">
        <f>IF(NFI_Expiration=1,IF($A980&lt;VLOOKUP(O$5,NFI,5,0),1,0)*Table_NFI[[#This Row],[Clothes Kit]],Table_NFI[Clothes Kit])</f>
        <v>0</v>
      </c>
      <c r="AG980" s="294">
        <f>IF(NFI_Expiration=1,IF($A980&lt;VLOOKUP(P$5,NFI,5,0),1,0)*Table_NFI[[#This Row],[Plastic Bucket]],Table_NFI[Plastic Bucket])</f>
        <v>0</v>
      </c>
      <c r="AH980" s="294">
        <f>IF(NFI_Expiration=1,IF($A980&lt;VLOOKUP(Q$5,NFI,5,0),1,0)*Table_NFI[[#This Row],[Plastic Mat]],Table_NFI[Plastic Mat])*IF(Table_NFI[[#This Row],[Distribution Date]]&gt;"2014-04-01",1,2.5)</f>
        <v>0</v>
      </c>
      <c r="AI980" s="294">
        <f>IF(NFI_Expiration=1,IF($A980&lt;VLOOKUP(R$5,NFI,5,0),1,0)*Table_NFI[[#This Row],[Winter Clothes Adult]],Table_NFI[Winter Clothes Adult])</f>
        <v>0</v>
      </c>
      <c r="AJ980" s="294">
        <f>IF(NFI_Expiration=1,IF($A980&lt;VLOOKUP(S$5,NFI,5,0),1,0)*Table_NFI[[#This Row],[Winter Clothes Children]],Table_NFI[Winter Clothes Children])</f>
        <v>0</v>
      </c>
      <c r="AK980" s="294">
        <f>IF(NFI_Expiration=1,IF($A980&lt;VLOOKUP(T$5,NFI,5,0),1,0)*Table_NFI[[#This Row],[Winter Items Other]],Table_NFI[Winter Items Other])</f>
        <v>0</v>
      </c>
      <c r="AL980" s="294">
        <f>IF(NFI_Expiration=1,IF($A980&lt;VLOOKUP(M$5,NFI,5,0),1,0)*Table_NFI[[#This Row],[Winter Blanket]],Table_NFI[[#This Row],[Winter Blanket]])</f>
        <v>0</v>
      </c>
      <c r="AM980" s="294">
        <f>IF(Table_NFI[[#This Row],[Winter Clothes Adult]]+Table_NFI[[#This Row],[Winter Clothes Children]]+Table_NFI[[#This Row],[Winter Items Other]]+Table_NFI[[#This Row],[Winter Blanket]]&gt;0,1,0)</f>
        <v>0</v>
      </c>
      <c r="AN980" s="331">
        <f>IF(NFI_Expiration=1,IF($A980&lt;VLOOKUP(V$5,NFI,5,0),1,0)*Table_NFI[[#This Row],[Jerry Can]],Table_NFI[Jerry Can])</f>
        <v>0</v>
      </c>
      <c r="AO980" s="331">
        <f>IF(NFI_Expiration=1,IF($A980&lt;VLOOKUP(V$5,NFI,5,0),1,0)*Table_NFI[[#This Row],[Shelter Tool kit]],Table_NFI[Shelter Tool kit])</f>
        <v>0</v>
      </c>
      <c r="AP980" s="331">
        <f>IF(NFI_Expiration=1,IF($A980&lt;VLOOKUP(V$5,NFI,5,0),1,0)*Table_NFI[[#This Row],[Tent]],Table_NFI[Tent])</f>
        <v>0</v>
      </c>
      <c r="AQ980" s="473" t="str">
        <f>IFERROR(VLOOKUP(Table_NFI[[#This Row],[Camp Name]],CL,2,0),"")</f>
        <v>MMR001CMP050</v>
      </c>
      <c r="AR980" s="468">
        <f ca="1">IF(Table_NFI[[#This Row],[Pcode]]="","",IF(OFFSET(CampList[Opening Date],MATCH(Table_NFI[[#This Row],[Pcode]],CampList[CP_Pcode],0)-1,0,1,1)&gt;=NFI_Monitor_Date,1,0))</f>
        <v>0</v>
      </c>
      <c r="AS980" s="473" t="str">
        <f>IFERROR(VLOOKUP(Table_NFI[[#This Row],[Camp Name]],CL,3,0),"")</f>
        <v>Open</v>
      </c>
      <c r="AT980" s="294" t="str">
        <f ca="1">IF(Table_NFI[[#This Row],[Pcode]]="","",OFFSET(CampList[Priority],MATCH(Table_NFI[[#This Row],[Pcode]],CampList[CP_Pcode],0)-1,0,1,1))</f>
        <v>P4</v>
      </c>
      <c r="AU980" s="293">
        <f>IFERROR(Table_NFI[[#This Row],[Kitchen Set]]/VLOOKUP(Table_NFI[[#This Row],[Camp Name]],CL,4,0),"")</f>
        <v>0</v>
      </c>
      <c r="AV980" s="466" t="s">
        <v>1092</v>
      </c>
      <c r="AW980" s="469"/>
    </row>
    <row r="981" spans="1:49" ht="14.45" customHeight="1" x14ac:dyDescent="0.25">
      <c r="A981" s="297">
        <f t="shared" si="15"/>
        <v>54.5</v>
      </c>
      <c r="B981" s="465">
        <v>41040</v>
      </c>
      <c r="C981" s="466" t="s">
        <v>452</v>
      </c>
      <c r="D981" s="467" t="s">
        <v>452</v>
      </c>
      <c r="E981" s="466" t="s">
        <v>380</v>
      </c>
      <c r="F981" s="290" t="s">
        <v>310</v>
      </c>
      <c r="G981" s="290" t="s">
        <v>330</v>
      </c>
      <c r="H981" s="291"/>
      <c r="I981" s="291"/>
      <c r="J981" s="291"/>
      <c r="K981" s="291">
        <v>57</v>
      </c>
      <c r="L981" s="292">
        <v>29</v>
      </c>
      <c r="M981" s="292">
        <v>57</v>
      </c>
      <c r="N981" s="292">
        <v>29</v>
      </c>
      <c r="O981" s="292">
        <v>29</v>
      </c>
      <c r="P981" s="294">
        <v>29</v>
      </c>
      <c r="Q981" s="294">
        <v>29</v>
      </c>
      <c r="R981" s="294"/>
      <c r="S981" s="294"/>
      <c r="T981" s="294"/>
      <c r="U981" s="294"/>
      <c r="V981" s="431"/>
      <c r="W981" s="294"/>
      <c r="X981" s="294"/>
      <c r="Y981" s="294">
        <f>IF(NFI_Expiration=1,IF($A981&lt;VLOOKUP(H$5,NFI,5,0),1,0)*Table_NFI[[#This Row],[Hygiene Kit]],Table_NFI[Hygiene Kit])</f>
        <v>0</v>
      </c>
      <c r="Z981" s="294">
        <f>IF(NFI_Expiration=1,IF($A981&lt;VLOOKUP(I$5,NFI,5,0),1,0)*Table_NFI[[#This Row],[NFI Core Kit]],Table_NFI[NFI Core Kit])</f>
        <v>0</v>
      </c>
      <c r="AA981" s="294">
        <f>IF(NFI_Expiration=1,IF($A981&lt;VLOOKUP(J$5,NFI,5,0),1,0)*Table_NFI[[#This Row],[Sanitary Kit]],Table_NFI[Sanitary Kit])</f>
        <v>0</v>
      </c>
      <c r="AB981" s="294">
        <f>IF(NFI_Expiration=1,IF($A981&lt;VLOOKUP(K$5,NFI,5,0),1,0)*Table_NFI[[#This Row],[Mosquito net]],Table_NFI[Mosquito net])</f>
        <v>0</v>
      </c>
      <c r="AC981" s="294">
        <f>IF(NFI_Expiration=1,IF($A981&lt;VLOOKUP(L$5,NFI,5,0),1,0)*Table_NFI[[#This Row],[Tarpaulin]],Table_NFI[[#This Row],[Tarpaulin]])</f>
        <v>0</v>
      </c>
      <c r="AD981" s="294">
        <f>IF(NFI_Expiration=1,IF($A981&lt;VLOOKUP(M$5,NFI,5,0),1,0)*Table_NFI[[#This Row],[Blanket]],Table_NFI[[#This Row],[Blanket]])</f>
        <v>0</v>
      </c>
      <c r="AE981" s="294">
        <f>IF(NFI_Expiration=1,IF($A981&lt;VLOOKUP(N$5,NFI,5,0),1,0)*Table_NFI[[#This Row],[Kitchen Set]],Table_NFI[Kitchen Set])</f>
        <v>0</v>
      </c>
      <c r="AF981" s="294">
        <f>IF(NFI_Expiration=1,IF($A981&lt;VLOOKUP(O$5,NFI,5,0),1,0)*Table_NFI[[#This Row],[Clothes Kit]],Table_NFI[Clothes Kit])</f>
        <v>0</v>
      </c>
      <c r="AG981" s="294">
        <f>IF(NFI_Expiration=1,IF($A981&lt;VLOOKUP(P$5,NFI,5,0),1,0)*Table_NFI[[#This Row],[Plastic Bucket]],Table_NFI[Plastic Bucket])</f>
        <v>0</v>
      </c>
      <c r="AH981" s="294">
        <f>IF(NFI_Expiration=1,IF($A981&lt;VLOOKUP(Q$5,NFI,5,0),1,0)*Table_NFI[[#This Row],[Plastic Mat]],Table_NFI[Plastic Mat])*IF(Table_NFI[[#This Row],[Distribution Date]]&gt;"2014-04-01",1,2.5)</f>
        <v>0</v>
      </c>
      <c r="AI981" s="294">
        <f>IF(NFI_Expiration=1,IF($A981&lt;VLOOKUP(R$5,NFI,5,0),1,0)*Table_NFI[[#This Row],[Winter Clothes Adult]],Table_NFI[Winter Clothes Adult])</f>
        <v>0</v>
      </c>
      <c r="AJ981" s="294">
        <f>IF(NFI_Expiration=1,IF($A981&lt;VLOOKUP(S$5,NFI,5,0),1,0)*Table_NFI[[#This Row],[Winter Clothes Children]],Table_NFI[Winter Clothes Children])</f>
        <v>0</v>
      </c>
      <c r="AK981" s="294">
        <f>IF(NFI_Expiration=1,IF($A981&lt;VLOOKUP(T$5,NFI,5,0),1,0)*Table_NFI[[#This Row],[Winter Items Other]],Table_NFI[Winter Items Other])</f>
        <v>0</v>
      </c>
      <c r="AL981" s="294">
        <f>IF(NFI_Expiration=1,IF($A981&lt;VLOOKUP(M$5,NFI,5,0),1,0)*Table_NFI[[#This Row],[Winter Blanket]],Table_NFI[[#This Row],[Winter Blanket]])</f>
        <v>0</v>
      </c>
      <c r="AM981" s="294">
        <f>IF(Table_NFI[[#This Row],[Winter Clothes Adult]]+Table_NFI[[#This Row],[Winter Clothes Children]]+Table_NFI[[#This Row],[Winter Items Other]]+Table_NFI[[#This Row],[Winter Blanket]]&gt;0,1,0)</f>
        <v>0</v>
      </c>
      <c r="AN981" s="331">
        <f>IF(NFI_Expiration=1,IF($A981&lt;VLOOKUP(V$5,NFI,5,0),1,0)*Table_NFI[[#This Row],[Jerry Can]],Table_NFI[Jerry Can])</f>
        <v>0</v>
      </c>
      <c r="AO981" s="331">
        <f>IF(NFI_Expiration=1,IF($A981&lt;VLOOKUP(V$5,NFI,5,0),1,0)*Table_NFI[[#This Row],[Shelter Tool kit]],Table_NFI[Shelter Tool kit])</f>
        <v>0</v>
      </c>
      <c r="AP981" s="331">
        <f>IF(NFI_Expiration=1,IF($A981&lt;VLOOKUP(V$5,NFI,5,0),1,0)*Table_NFI[[#This Row],[Tent]],Table_NFI[Tent])</f>
        <v>0</v>
      </c>
      <c r="AQ981" s="473" t="str">
        <f>IFERROR(VLOOKUP(Table_NFI[[#This Row],[Camp Name]],CL,2,0),"")</f>
        <v>MMR001CMP029</v>
      </c>
      <c r="AR981" s="468">
        <f ca="1">IF(Table_NFI[[#This Row],[Pcode]]="","",IF(OFFSET(CampList[Opening Date],MATCH(Table_NFI[[#This Row],[Pcode]],CampList[CP_Pcode],0)-1,0,1,1)&gt;=NFI_Monitor_Date,1,0))</f>
        <v>0</v>
      </c>
      <c r="AS981" s="473" t="str">
        <f>IFERROR(VLOOKUP(Table_NFI[[#This Row],[Camp Name]],CL,3,0),"")</f>
        <v>Open</v>
      </c>
      <c r="AT981" s="294" t="str">
        <f ca="1">IF(Table_NFI[[#This Row],[Pcode]]="","",OFFSET(CampList[Priority],MATCH(Table_NFI[[#This Row],[Pcode]],CampList[CP_Pcode],0)-1,0,1,1))</f>
        <v>P4</v>
      </c>
      <c r="AU981" s="293">
        <f>IFERROR(Table_NFI[[#This Row],[Kitchen Set]]/VLOOKUP(Table_NFI[[#This Row],[Camp Name]],CL,4,0),"")</f>
        <v>0.13004484304932734</v>
      </c>
      <c r="AV981" s="466" t="s">
        <v>1092</v>
      </c>
      <c r="AW981" s="469"/>
    </row>
    <row r="982" spans="1:49" ht="14.45" customHeight="1" x14ac:dyDescent="0.25">
      <c r="A982" s="297">
        <f t="shared" si="15"/>
        <v>54.5</v>
      </c>
      <c r="B982" s="465">
        <v>41040</v>
      </c>
      <c r="C982" s="466" t="s">
        <v>452</v>
      </c>
      <c r="D982" s="467" t="s">
        <v>452</v>
      </c>
      <c r="E982" s="466" t="s">
        <v>380</v>
      </c>
      <c r="F982" s="290" t="s">
        <v>310</v>
      </c>
      <c r="G982" s="290" t="s">
        <v>324</v>
      </c>
      <c r="H982" s="291"/>
      <c r="I982" s="291"/>
      <c r="J982" s="291"/>
      <c r="K982" s="291">
        <v>50</v>
      </c>
      <c r="L982" s="292">
        <v>25</v>
      </c>
      <c r="M982" s="292">
        <v>50</v>
      </c>
      <c r="N982" s="292">
        <v>24</v>
      </c>
      <c r="O982" s="292">
        <v>13</v>
      </c>
      <c r="P982" s="294">
        <v>13</v>
      </c>
      <c r="Q982" s="294">
        <v>13</v>
      </c>
      <c r="R982" s="294"/>
      <c r="S982" s="294"/>
      <c r="T982" s="294"/>
      <c r="U982" s="294"/>
      <c r="V982" s="431"/>
      <c r="W982" s="294"/>
      <c r="X982" s="294"/>
      <c r="Y982" s="294">
        <f>IF(NFI_Expiration=1,IF($A982&lt;VLOOKUP(H$5,NFI,5,0),1,0)*Table_NFI[[#This Row],[Hygiene Kit]],Table_NFI[Hygiene Kit])</f>
        <v>0</v>
      </c>
      <c r="Z982" s="294">
        <f>IF(NFI_Expiration=1,IF($A982&lt;VLOOKUP(I$5,NFI,5,0),1,0)*Table_NFI[[#This Row],[NFI Core Kit]],Table_NFI[NFI Core Kit])</f>
        <v>0</v>
      </c>
      <c r="AA982" s="294">
        <f>IF(NFI_Expiration=1,IF($A982&lt;VLOOKUP(J$5,NFI,5,0),1,0)*Table_NFI[[#This Row],[Sanitary Kit]],Table_NFI[Sanitary Kit])</f>
        <v>0</v>
      </c>
      <c r="AB982" s="294">
        <f>IF(NFI_Expiration=1,IF($A982&lt;VLOOKUP(K$5,NFI,5,0),1,0)*Table_NFI[[#This Row],[Mosquito net]],Table_NFI[Mosquito net])</f>
        <v>0</v>
      </c>
      <c r="AC982" s="294">
        <f>IF(NFI_Expiration=1,IF($A982&lt;VLOOKUP(L$5,NFI,5,0),1,0)*Table_NFI[[#This Row],[Tarpaulin]],Table_NFI[[#This Row],[Tarpaulin]])</f>
        <v>0</v>
      </c>
      <c r="AD982" s="294">
        <f>IF(NFI_Expiration=1,IF($A982&lt;VLOOKUP(M$5,NFI,5,0),1,0)*Table_NFI[[#This Row],[Blanket]],Table_NFI[[#This Row],[Blanket]])</f>
        <v>0</v>
      </c>
      <c r="AE982" s="294">
        <f>IF(NFI_Expiration=1,IF($A982&lt;VLOOKUP(N$5,NFI,5,0),1,0)*Table_NFI[[#This Row],[Kitchen Set]],Table_NFI[Kitchen Set])</f>
        <v>0</v>
      </c>
      <c r="AF982" s="294">
        <f>IF(NFI_Expiration=1,IF($A982&lt;VLOOKUP(O$5,NFI,5,0),1,0)*Table_NFI[[#This Row],[Clothes Kit]],Table_NFI[Clothes Kit])</f>
        <v>0</v>
      </c>
      <c r="AG982" s="294">
        <f>IF(NFI_Expiration=1,IF($A982&lt;VLOOKUP(P$5,NFI,5,0),1,0)*Table_NFI[[#This Row],[Plastic Bucket]],Table_NFI[Plastic Bucket])</f>
        <v>0</v>
      </c>
      <c r="AH982" s="294">
        <f>IF(NFI_Expiration=1,IF($A982&lt;VLOOKUP(Q$5,NFI,5,0),1,0)*Table_NFI[[#This Row],[Plastic Mat]],Table_NFI[Plastic Mat])*IF(Table_NFI[[#This Row],[Distribution Date]]&gt;"2014-04-01",1,2.5)</f>
        <v>0</v>
      </c>
      <c r="AI982" s="294">
        <f>IF(NFI_Expiration=1,IF($A982&lt;VLOOKUP(R$5,NFI,5,0),1,0)*Table_NFI[[#This Row],[Winter Clothes Adult]],Table_NFI[Winter Clothes Adult])</f>
        <v>0</v>
      </c>
      <c r="AJ982" s="294">
        <f>IF(NFI_Expiration=1,IF($A982&lt;VLOOKUP(S$5,NFI,5,0),1,0)*Table_NFI[[#This Row],[Winter Clothes Children]],Table_NFI[Winter Clothes Children])</f>
        <v>0</v>
      </c>
      <c r="AK982" s="294">
        <f>IF(NFI_Expiration=1,IF($A982&lt;VLOOKUP(T$5,NFI,5,0),1,0)*Table_NFI[[#This Row],[Winter Items Other]],Table_NFI[Winter Items Other])</f>
        <v>0</v>
      </c>
      <c r="AL982" s="294">
        <f>IF(NFI_Expiration=1,IF($A982&lt;VLOOKUP(M$5,NFI,5,0),1,0)*Table_NFI[[#This Row],[Winter Blanket]],Table_NFI[[#This Row],[Winter Blanket]])</f>
        <v>0</v>
      </c>
      <c r="AM982" s="294">
        <f>IF(Table_NFI[[#This Row],[Winter Clothes Adult]]+Table_NFI[[#This Row],[Winter Clothes Children]]+Table_NFI[[#This Row],[Winter Items Other]]+Table_NFI[[#This Row],[Winter Blanket]]&gt;0,1,0)</f>
        <v>0</v>
      </c>
      <c r="AN982" s="331">
        <f>IF(NFI_Expiration=1,IF($A982&lt;VLOOKUP(V$5,NFI,5,0),1,0)*Table_NFI[[#This Row],[Jerry Can]],Table_NFI[Jerry Can])</f>
        <v>0</v>
      </c>
      <c r="AO982" s="331">
        <f>IF(NFI_Expiration=1,IF($A982&lt;VLOOKUP(V$5,NFI,5,0),1,0)*Table_NFI[[#This Row],[Shelter Tool kit]],Table_NFI[Shelter Tool kit])</f>
        <v>0</v>
      </c>
      <c r="AP982" s="331">
        <f>IF(NFI_Expiration=1,IF($A982&lt;VLOOKUP(V$5,NFI,5,0),1,0)*Table_NFI[[#This Row],[Tent]],Table_NFI[Tent])</f>
        <v>0</v>
      </c>
      <c r="AQ982" s="473" t="str">
        <f>IFERROR(VLOOKUP(Table_NFI[[#This Row],[Camp Name]],CL,2,0),"")</f>
        <v>MMR001CMP040</v>
      </c>
      <c r="AR982" s="468">
        <f ca="1">IF(Table_NFI[[#This Row],[Pcode]]="","",IF(OFFSET(CampList[Opening Date],MATCH(Table_NFI[[#This Row],[Pcode]],CampList[CP_Pcode],0)-1,0,1,1)&gt;=NFI_Monitor_Date,1,0))</f>
        <v>0</v>
      </c>
      <c r="AS982" s="473" t="str">
        <f>IFERROR(VLOOKUP(Table_NFI[[#This Row],[Camp Name]],CL,3,0),"")</f>
        <v>Open</v>
      </c>
      <c r="AT982" s="294" t="str">
        <f ca="1">IF(Table_NFI[[#This Row],[Pcode]]="","",OFFSET(CampList[Priority],MATCH(Table_NFI[[#This Row],[Pcode]],CampList[CP_Pcode],0)-1,0,1,1))</f>
        <v>P4</v>
      </c>
      <c r="AU982" s="293">
        <f>IFERROR(Table_NFI[[#This Row],[Kitchen Set]]/VLOOKUP(Table_NFI[[#This Row],[Camp Name]],CL,4,0),"")</f>
        <v>5.8536585365853662E-2</v>
      </c>
      <c r="AV982" s="466" t="s">
        <v>1092</v>
      </c>
      <c r="AW982" s="469"/>
    </row>
    <row r="983" spans="1:49" ht="14.45" customHeight="1" x14ac:dyDescent="0.25">
      <c r="A983" s="297">
        <f t="shared" si="15"/>
        <v>54.5</v>
      </c>
      <c r="B983" s="465">
        <v>41040</v>
      </c>
      <c r="C983" s="466" t="s">
        <v>452</v>
      </c>
      <c r="D983" s="466" t="s">
        <v>459</v>
      </c>
      <c r="E983" s="466" t="s">
        <v>380</v>
      </c>
      <c r="F983" s="290" t="s">
        <v>302</v>
      </c>
      <c r="G983" s="290" t="s">
        <v>306</v>
      </c>
      <c r="H983" s="291"/>
      <c r="I983" s="291"/>
      <c r="J983" s="291"/>
      <c r="K983" s="291">
        <v>38</v>
      </c>
      <c r="L983" s="292">
        <v>23</v>
      </c>
      <c r="M983" s="292">
        <v>38</v>
      </c>
      <c r="N983" s="292">
        <v>23</v>
      </c>
      <c r="O983" s="292">
        <v>23</v>
      </c>
      <c r="P983" s="294">
        <v>23</v>
      </c>
      <c r="Q983" s="294">
        <v>23</v>
      </c>
      <c r="R983" s="294"/>
      <c r="S983" s="294"/>
      <c r="T983" s="294"/>
      <c r="U983" s="294"/>
      <c r="V983" s="431"/>
      <c r="W983" s="294"/>
      <c r="X983" s="294"/>
      <c r="Y983" s="294">
        <f>IF(NFI_Expiration=1,IF($A983&lt;VLOOKUP(H$5,NFI,5,0),1,0)*Table_NFI[[#This Row],[Hygiene Kit]],Table_NFI[Hygiene Kit])</f>
        <v>0</v>
      </c>
      <c r="Z983" s="294">
        <f>IF(NFI_Expiration=1,IF($A983&lt;VLOOKUP(I$5,NFI,5,0),1,0)*Table_NFI[[#This Row],[NFI Core Kit]],Table_NFI[NFI Core Kit])</f>
        <v>0</v>
      </c>
      <c r="AA983" s="294">
        <f>IF(NFI_Expiration=1,IF($A983&lt;VLOOKUP(J$5,NFI,5,0),1,0)*Table_NFI[[#This Row],[Sanitary Kit]],Table_NFI[Sanitary Kit])</f>
        <v>0</v>
      </c>
      <c r="AB983" s="294">
        <f>IF(NFI_Expiration=1,IF($A983&lt;VLOOKUP(K$5,NFI,5,0),1,0)*Table_NFI[[#This Row],[Mosquito net]],Table_NFI[Mosquito net])</f>
        <v>0</v>
      </c>
      <c r="AC983" s="294">
        <f>IF(NFI_Expiration=1,IF($A983&lt;VLOOKUP(L$5,NFI,5,0),1,0)*Table_NFI[[#This Row],[Tarpaulin]],Table_NFI[[#This Row],[Tarpaulin]])</f>
        <v>0</v>
      </c>
      <c r="AD983" s="294">
        <f>IF(NFI_Expiration=1,IF($A983&lt;VLOOKUP(M$5,NFI,5,0),1,0)*Table_NFI[[#This Row],[Blanket]],Table_NFI[[#This Row],[Blanket]])</f>
        <v>0</v>
      </c>
      <c r="AE983" s="294">
        <f>IF(NFI_Expiration=1,IF($A983&lt;VLOOKUP(N$5,NFI,5,0),1,0)*Table_NFI[[#This Row],[Kitchen Set]],Table_NFI[Kitchen Set])</f>
        <v>0</v>
      </c>
      <c r="AF983" s="294">
        <f>IF(NFI_Expiration=1,IF($A983&lt;VLOOKUP(O$5,NFI,5,0),1,0)*Table_NFI[[#This Row],[Clothes Kit]],Table_NFI[Clothes Kit])</f>
        <v>0</v>
      </c>
      <c r="AG983" s="294">
        <f>IF(NFI_Expiration=1,IF($A983&lt;VLOOKUP(P$5,NFI,5,0),1,0)*Table_NFI[[#This Row],[Plastic Bucket]],Table_NFI[Plastic Bucket])</f>
        <v>0</v>
      </c>
      <c r="AH983" s="294">
        <f>IF(NFI_Expiration=1,IF($A983&lt;VLOOKUP(Q$5,NFI,5,0),1,0)*Table_NFI[[#This Row],[Plastic Mat]],Table_NFI[Plastic Mat])*IF(Table_NFI[[#This Row],[Distribution Date]]&gt;"2014-04-01",1,2.5)</f>
        <v>0</v>
      </c>
      <c r="AI983" s="294">
        <f>IF(NFI_Expiration=1,IF($A983&lt;VLOOKUP(R$5,NFI,5,0),1,0)*Table_NFI[[#This Row],[Winter Clothes Adult]],Table_NFI[Winter Clothes Adult])</f>
        <v>0</v>
      </c>
      <c r="AJ983" s="294">
        <f>IF(NFI_Expiration=1,IF($A983&lt;VLOOKUP(S$5,NFI,5,0),1,0)*Table_NFI[[#This Row],[Winter Clothes Children]],Table_NFI[Winter Clothes Children])</f>
        <v>0</v>
      </c>
      <c r="AK983" s="294">
        <f>IF(NFI_Expiration=1,IF($A983&lt;VLOOKUP(T$5,NFI,5,0),1,0)*Table_NFI[[#This Row],[Winter Items Other]],Table_NFI[Winter Items Other])</f>
        <v>0</v>
      </c>
      <c r="AL983" s="294">
        <f>IF(NFI_Expiration=1,IF($A983&lt;VLOOKUP(M$5,NFI,5,0),1,0)*Table_NFI[[#This Row],[Winter Blanket]],Table_NFI[[#This Row],[Winter Blanket]])</f>
        <v>0</v>
      </c>
      <c r="AM983" s="294">
        <f>IF(Table_NFI[[#This Row],[Winter Clothes Adult]]+Table_NFI[[#This Row],[Winter Clothes Children]]+Table_NFI[[#This Row],[Winter Items Other]]+Table_NFI[[#This Row],[Winter Blanket]]&gt;0,1,0)</f>
        <v>0</v>
      </c>
      <c r="AN983" s="331">
        <f>IF(NFI_Expiration=1,IF($A983&lt;VLOOKUP(V$5,NFI,5,0),1,0)*Table_NFI[[#This Row],[Jerry Can]],Table_NFI[Jerry Can])</f>
        <v>0</v>
      </c>
      <c r="AO983" s="331">
        <f>IF(NFI_Expiration=1,IF($A983&lt;VLOOKUP(V$5,NFI,5,0),1,0)*Table_NFI[[#This Row],[Shelter Tool kit]],Table_NFI[Shelter Tool kit])</f>
        <v>0</v>
      </c>
      <c r="AP983" s="331">
        <f>IF(NFI_Expiration=1,IF($A983&lt;VLOOKUP(V$5,NFI,5,0),1,0)*Table_NFI[[#This Row],[Tent]],Table_NFI[Tent])</f>
        <v>0</v>
      </c>
      <c r="AQ983" s="473" t="str">
        <f>IFERROR(VLOOKUP(Table_NFI[[#This Row],[Camp Name]],CL,2,0),"")</f>
        <v>MMR001CMP067</v>
      </c>
      <c r="AR983" s="468">
        <f ca="1">IF(Table_NFI[[#This Row],[Pcode]]="","",IF(OFFSET(CampList[Opening Date],MATCH(Table_NFI[[#This Row],[Pcode]],CampList[CP_Pcode],0)-1,0,1,1)&gt;=NFI_Monitor_Date,1,0))</f>
        <v>0</v>
      </c>
      <c r="AS983" s="473" t="str">
        <f>IFERROR(VLOOKUP(Table_NFI[[#This Row],[Camp Name]],CL,3,0),"")</f>
        <v>Open</v>
      </c>
      <c r="AT983" s="294" t="str">
        <f ca="1">IF(Table_NFI[[#This Row],[Pcode]]="","",OFFSET(CampList[Priority],MATCH(Table_NFI[[#This Row],[Pcode]],CampList[CP_Pcode],0)-1,0,1,1))</f>
        <v>P4</v>
      </c>
      <c r="AU983" s="293">
        <f>IFERROR(Table_NFI[[#This Row],[Kitchen Set]]/VLOOKUP(Table_NFI[[#This Row],[Camp Name]],CL,4,0),"")</f>
        <v>0.26744186046511625</v>
      </c>
      <c r="AV983" s="466" t="s">
        <v>1092</v>
      </c>
      <c r="AW983" s="469"/>
    </row>
    <row r="984" spans="1:49" ht="14.45" customHeight="1" x14ac:dyDescent="0.25">
      <c r="A984" s="297">
        <f t="shared" si="15"/>
        <v>54.5</v>
      </c>
      <c r="B984" s="465">
        <v>41040</v>
      </c>
      <c r="C984" s="466" t="s">
        <v>452</v>
      </c>
      <c r="D984" s="466" t="s">
        <v>459</v>
      </c>
      <c r="E984" s="466" t="s">
        <v>380</v>
      </c>
      <c r="F984" s="466" t="s">
        <v>302</v>
      </c>
      <c r="G984" s="290" t="s">
        <v>308</v>
      </c>
      <c r="H984" s="291"/>
      <c r="I984" s="291"/>
      <c r="J984" s="291"/>
      <c r="K984" s="291">
        <v>37</v>
      </c>
      <c r="L984" s="292">
        <v>22</v>
      </c>
      <c r="M984" s="292">
        <v>37</v>
      </c>
      <c r="N984" s="292">
        <v>22</v>
      </c>
      <c r="O984" s="292">
        <v>22</v>
      </c>
      <c r="P984" s="294">
        <v>22</v>
      </c>
      <c r="Q984" s="294">
        <v>22</v>
      </c>
      <c r="R984" s="294"/>
      <c r="S984" s="294"/>
      <c r="T984" s="294"/>
      <c r="U984" s="294"/>
      <c r="V984" s="431"/>
      <c r="W984" s="294"/>
      <c r="X984" s="294"/>
      <c r="Y984" s="294">
        <f>IF(NFI_Expiration=1,IF($A984&lt;VLOOKUP(H$5,NFI,5,0),1,0)*Table_NFI[[#This Row],[Hygiene Kit]],Table_NFI[Hygiene Kit])</f>
        <v>0</v>
      </c>
      <c r="Z984" s="294">
        <f>IF(NFI_Expiration=1,IF($A984&lt;VLOOKUP(I$5,NFI,5,0),1,0)*Table_NFI[[#This Row],[NFI Core Kit]],Table_NFI[NFI Core Kit])</f>
        <v>0</v>
      </c>
      <c r="AA984" s="294">
        <f>IF(NFI_Expiration=1,IF($A984&lt;VLOOKUP(J$5,NFI,5,0),1,0)*Table_NFI[[#This Row],[Sanitary Kit]],Table_NFI[Sanitary Kit])</f>
        <v>0</v>
      </c>
      <c r="AB984" s="294">
        <f>IF(NFI_Expiration=1,IF($A984&lt;VLOOKUP(K$5,NFI,5,0),1,0)*Table_NFI[[#This Row],[Mosquito net]],Table_NFI[Mosquito net])</f>
        <v>0</v>
      </c>
      <c r="AC984" s="294">
        <f>IF(NFI_Expiration=1,IF($A984&lt;VLOOKUP(L$5,NFI,5,0),1,0)*Table_NFI[[#This Row],[Tarpaulin]],Table_NFI[[#This Row],[Tarpaulin]])</f>
        <v>0</v>
      </c>
      <c r="AD984" s="294">
        <f>IF(NFI_Expiration=1,IF($A984&lt;VLOOKUP(M$5,NFI,5,0),1,0)*Table_NFI[[#This Row],[Blanket]],Table_NFI[[#This Row],[Blanket]])</f>
        <v>0</v>
      </c>
      <c r="AE984" s="294">
        <f>IF(NFI_Expiration=1,IF($A984&lt;VLOOKUP(N$5,NFI,5,0),1,0)*Table_NFI[[#This Row],[Kitchen Set]],Table_NFI[Kitchen Set])</f>
        <v>0</v>
      </c>
      <c r="AF984" s="294">
        <f>IF(NFI_Expiration=1,IF($A984&lt;VLOOKUP(O$5,NFI,5,0),1,0)*Table_NFI[[#This Row],[Clothes Kit]],Table_NFI[Clothes Kit])</f>
        <v>0</v>
      </c>
      <c r="AG984" s="294">
        <f>IF(NFI_Expiration=1,IF($A984&lt;VLOOKUP(P$5,NFI,5,0),1,0)*Table_NFI[[#This Row],[Plastic Bucket]],Table_NFI[Plastic Bucket])</f>
        <v>0</v>
      </c>
      <c r="AH984" s="294">
        <f>IF(NFI_Expiration=1,IF($A984&lt;VLOOKUP(Q$5,NFI,5,0),1,0)*Table_NFI[[#This Row],[Plastic Mat]],Table_NFI[Plastic Mat])*IF(Table_NFI[[#This Row],[Distribution Date]]&gt;"2014-04-01",1,2.5)</f>
        <v>0</v>
      </c>
      <c r="AI984" s="294">
        <f>IF(NFI_Expiration=1,IF($A984&lt;VLOOKUP(R$5,NFI,5,0),1,0)*Table_NFI[[#This Row],[Winter Clothes Adult]],Table_NFI[Winter Clothes Adult])</f>
        <v>0</v>
      </c>
      <c r="AJ984" s="294">
        <f>IF(NFI_Expiration=1,IF($A984&lt;VLOOKUP(S$5,NFI,5,0),1,0)*Table_NFI[[#This Row],[Winter Clothes Children]],Table_NFI[Winter Clothes Children])</f>
        <v>0</v>
      </c>
      <c r="AK984" s="294">
        <f>IF(NFI_Expiration=1,IF($A984&lt;VLOOKUP(T$5,NFI,5,0),1,0)*Table_NFI[[#This Row],[Winter Items Other]],Table_NFI[Winter Items Other])</f>
        <v>0</v>
      </c>
      <c r="AL984" s="294">
        <f>IF(NFI_Expiration=1,IF($A984&lt;VLOOKUP(M$5,NFI,5,0),1,0)*Table_NFI[[#This Row],[Winter Blanket]],Table_NFI[[#This Row],[Winter Blanket]])</f>
        <v>0</v>
      </c>
      <c r="AM984" s="294">
        <f>IF(Table_NFI[[#This Row],[Winter Clothes Adult]]+Table_NFI[[#This Row],[Winter Clothes Children]]+Table_NFI[[#This Row],[Winter Items Other]]+Table_NFI[[#This Row],[Winter Blanket]]&gt;0,1,0)</f>
        <v>0</v>
      </c>
      <c r="AN984" s="331">
        <f>IF(NFI_Expiration=1,IF($A984&lt;VLOOKUP(V$5,NFI,5,0),1,0)*Table_NFI[[#This Row],[Jerry Can]],Table_NFI[Jerry Can])</f>
        <v>0</v>
      </c>
      <c r="AO984" s="331">
        <f>IF(NFI_Expiration=1,IF($A984&lt;VLOOKUP(V$5,NFI,5,0),1,0)*Table_NFI[[#This Row],[Shelter Tool kit]],Table_NFI[Shelter Tool kit])</f>
        <v>0</v>
      </c>
      <c r="AP984" s="331">
        <f>IF(NFI_Expiration=1,IF($A984&lt;VLOOKUP(V$5,NFI,5,0),1,0)*Table_NFI[[#This Row],[Tent]],Table_NFI[Tent])</f>
        <v>0</v>
      </c>
      <c r="AQ984" s="473" t="str">
        <f>IFERROR(VLOOKUP(Table_NFI[[#This Row],[Camp Name]],CL,2,0),"")</f>
        <v>MMR001CMP068</v>
      </c>
      <c r="AR984" s="468">
        <f ca="1">IF(Table_NFI[[#This Row],[Pcode]]="","",IF(OFFSET(CampList[Opening Date],MATCH(Table_NFI[[#This Row],[Pcode]],CampList[CP_Pcode],0)-1,0,1,1)&gt;=NFI_Monitor_Date,1,0))</f>
        <v>0</v>
      </c>
      <c r="AS984" s="473" t="str">
        <f>IFERROR(VLOOKUP(Table_NFI[[#This Row],[Camp Name]],CL,3,0),"")</f>
        <v>Open</v>
      </c>
      <c r="AT984" s="294" t="str">
        <f ca="1">IF(Table_NFI[[#This Row],[Pcode]]="","",OFFSET(CampList[Priority],MATCH(Table_NFI[[#This Row],[Pcode]],CampList[CP_Pcode],0)-1,0,1,1))</f>
        <v>P4</v>
      </c>
      <c r="AU984" s="293">
        <f>IFERROR(Table_NFI[[#This Row],[Kitchen Set]]/VLOOKUP(Table_NFI[[#This Row],[Camp Name]],CL,4,0),"")</f>
        <v>0.55000000000000004</v>
      </c>
      <c r="AV984" s="466" t="s">
        <v>1092</v>
      </c>
      <c r="AW984" s="469"/>
    </row>
    <row r="985" spans="1:49" ht="14.45" customHeight="1" x14ac:dyDescent="0.25">
      <c r="A985" s="297">
        <f t="shared" si="15"/>
        <v>54.56666666666667</v>
      </c>
      <c r="B985" s="465">
        <v>41038</v>
      </c>
      <c r="C985" s="466" t="s">
        <v>452</v>
      </c>
      <c r="D985" s="467" t="s">
        <v>452</v>
      </c>
      <c r="E985" s="466" t="s">
        <v>380</v>
      </c>
      <c r="F985" s="290" t="s">
        <v>310</v>
      </c>
      <c r="G985" s="290" t="s">
        <v>311</v>
      </c>
      <c r="H985" s="291"/>
      <c r="I985" s="291"/>
      <c r="J985" s="291"/>
      <c r="K985" s="291">
        <v>161</v>
      </c>
      <c r="L985" s="292">
        <v>83</v>
      </c>
      <c r="M985" s="292">
        <v>161</v>
      </c>
      <c r="N985" s="292">
        <v>83</v>
      </c>
      <c r="O985" s="292">
        <v>83</v>
      </c>
      <c r="P985" s="294">
        <v>83</v>
      </c>
      <c r="Q985" s="294">
        <v>83</v>
      </c>
      <c r="R985" s="294"/>
      <c r="S985" s="294"/>
      <c r="T985" s="294"/>
      <c r="U985" s="294"/>
      <c r="V985" s="431"/>
      <c r="W985" s="294"/>
      <c r="X985" s="294"/>
      <c r="Y985" s="294">
        <f>IF(NFI_Expiration=1,IF($A985&lt;VLOOKUP(H$5,NFI,5,0),1,0)*Table_NFI[[#This Row],[Hygiene Kit]],Table_NFI[Hygiene Kit])</f>
        <v>0</v>
      </c>
      <c r="Z985" s="294">
        <f>IF(NFI_Expiration=1,IF($A985&lt;VLOOKUP(I$5,NFI,5,0),1,0)*Table_NFI[[#This Row],[NFI Core Kit]],Table_NFI[NFI Core Kit])</f>
        <v>0</v>
      </c>
      <c r="AA985" s="294">
        <f>IF(NFI_Expiration=1,IF($A985&lt;VLOOKUP(J$5,NFI,5,0),1,0)*Table_NFI[[#This Row],[Sanitary Kit]],Table_NFI[Sanitary Kit])</f>
        <v>0</v>
      </c>
      <c r="AB985" s="294">
        <f>IF(NFI_Expiration=1,IF($A985&lt;VLOOKUP(K$5,NFI,5,0),1,0)*Table_NFI[[#This Row],[Mosquito net]],Table_NFI[Mosquito net])</f>
        <v>0</v>
      </c>
      <c r="AC985" s="294">
        <f>IF(NFI_Expiration=1,IF($A985&lt;VLOOKUP(L$5,NFI,5,0),1,0)*Table_NFI[[#This Row],[Tarpaulin]],Table_NFI[[#This Row],[Tarpaulin]])</f>
        <v>0</v>
      </c>
      <c r="AD985" s="294">
        <f>IF(NFI_Expiration=1,IF($A985&lt;VLOOKUP(M$5,NFI,5,0),1,0)*Table_NFI[[#This Row],[Blanket]],Table_NFI[[#This Row],[Blanket]])</f>
        <v>0</v>
      </c>
      <c r="AE985" s="294">
        <f>IF(NFI_Expiration=1,IF($A985&lt;VLOOKUP(N$5,NFI,5,0),1,0)*Table_NFI[[#This Row],[Kitchen Set]],Table_NFI[Kitchen Set])</f>
        <v>0</v>
      </c>
      <c r="AF985" s="294">
        <f>IF(NFI_Expiration=1,IF($A985&lt;VLOOKUP(O$5,NFI,5,0),1,0)*Table_NFI[[#This Row],[Clothes Kit]],Table_NFI[Clothes Kit])</f>
        <v>0</v>
      </c>
      <c r="AG985" s="294">
        <f>IF(NFI_Expiration=1,IF($A985&lt;VLOOKUP(P$5,NFI,5,0),1,0)*Table_NFI[[#This Row],[Plastic Bucket]],Table_NFI[Plastic Bucket])</f>
        <v>0</v>
      </c>
      <c r="AH985" s="294">
        <f>IF(NFI_Expiration=1,IF($A985&lt;VLOOKUP(Q$5,NFI,5,0),1,0)*Table_NFI[[#This Row],[Plastic Mat]],Table_NFI[Plastic Mat])*IF(Table_NFI[[#This Row],[Distribution Date]]&gt;"2014-04-01",1,2.5)</f>
        <v>0</v>
      </c>
      <c r="AI985" s="294">
        <f>IF(NFI_Expiration=1,IF($A985&lt;VLOOKUP(R$5,NFI,5,0),1,0)*Table_NFI[[#This Row],[Winter Clothes Adult]],Table_NFI[Winter Clothes Adult])</f>
        <v>0</v>
      </c>
      <c r="AJ985" s="294">
        <f>IF(NFI_Expiration=1,IF($A985&lt;VLOOKUP(S$5,NFI,5,0),1,0)*Table_NFI[[#This Row],[Winter Clothes Children]],Table_NFI[Winter Clothes Children])</f>
        <v>0</v>
      </c>
      <c r="AK985" s="294">
        <f>IF(NFI_Expiration=1,IF($A985&lt;VLOOKUP(T$5,NFI,5,0),1,0)*Table_NFI[[#This Row],[Winter Items Other]],Table_NFI[Winter Items Other])</f>
        <v>0</v>
      </c>
      <c r="AL985" s="294">
        <f>IF(NFI_Expiration=1,IF($A985&lt;VLOOKUP(M$5,NFI,5,0),1,0)*Table_NFI[[#This Row],[Winter Blanket]],Table_NFI[[#This Row],[Winter Blanket]])</f>
        <v>0</v>
      </c>
      <c r="AM985" s="294">
        <f>IF(Table_NFI[[#This Row],[Winter Clothes Adult]]+Table_NFI[[#This Row],[Winter Clothes Children]]+Table_NFI[[#This Row],[Winter Items Other]]+Table_NFI[[#This Row],[Winter Blanket]]&gt;0,1,0)</f>
        <v>0</v>
      </c>
      <c r="AN985" s="331">
        <f>IF(NFI_Expiration=1,IF($A985&lt;VLOOKUP(V$5,NFI,5,0),1,0)*Table_NFI[[#This Row],[Jerry Can]],Table_NFI[Jerry Can])</f>
        <v>0</v>
      </c>
      <c r="AO985" s="331">
        <f>IF(NFI_Expiration=1,IF($A985&lt;VLOOKUP(V$5,NFI,5,0),1,0)*Table_NFI[[#This Row],[Shelter Tool kit]],Table_NFI[Shelter Tool kit])</f>
        <v>0</v>
      </c>
      <c r="AP985" s="331">
        <f>IF(NFI_Expiration=1,IF($A985&lt;VLOOKUP(V$5,NFI,5,0),1,0)*Table_NFI[[#This Row],[Tent]],Table_NFI[Tent])</f>
        <v>0</v>
      </c>
      <c r="AQ985" s="473" t="str">
        <f>IFERROR(VLOOKUP(Table_NFI[[#This Row],[Camp Name]],CL,2,0),"")</f>
        <v>MMR001CMP036</v>
      </c>
      <c r="AR985" s="468">
        <f ca="1">IF(Table_NFI[[#This Row],[Pcode]]="","",IF(OFFSET(CampList[Opening Date],MATCH(Table_NFI[[#This Row],[Pcode]],CampList[CP_Pcode],0)-1,0,1,1)&gt;=NFI_Monitor_Date,1,0))</f>
        <v>0</v>
      </c>
      <c r="AS985" s="473" t="str">
        <f>IFERROR(VLOOKUP(Table_NFI[[#This Row],[Camp Name]],CL,3,0),"")</f>
        <v>Closed</v>
      </c>
      <c r="AT985" s="294" t="str">
        <f ca="1">IF(Table_NFI[[#This Row],[Pcode]]="","",OFFSET(CampList[Priority],MATCH(Table_NFI[[#This Row],[Pcode]],CampList[CP_Pcode],0)-1,0,1,1))</f>
        <v>P4</v>
      </c>
      <c r="AU985" s="293" t="str">
        <f>IFERROR(Table_NFI[[#This Row],[Kitchen Set]]/VLOOKUP(Table_NFI[[#This Row],[Camp Name]],CL,4,0),"")</f>
        <v/>
      </c>
      <c r="AV985" s="466" t="s">
        <v>1092</v>
      </c>
      <c r="AW985" s="469"/>
    </row>
    <row r="986" spans="1:49" ht="14.45" customHeight="1" x14ac:dyDescent="0.25">
      <c r="A986" s="297">
        <f t="shared" si="15"/>
        <v>54.766666666666666</v>
      </c>
      <c r="B986" s="465">
        <v>41032</v>
      </c>
      <c r="C986" s="466" t="s">
        <v>452</v>
      </c>
      <c r="D986" s="467" t="s">
        <v>452</v>
      </c>
      <c r="E986" s="466" t="s">
        <v>380</v>
      </c>
      <c r="F986" s="290" t="s">
        <v>310</v>
      </c>
      <c r="G986" s="290" t="s">
        <v>328</v>
      </c>
      <c r="H986" s="291"/>
      <c r="I986" s="291"/>
      <c r="J986" s="291"/>
      <c r="K986" s="291">
        <v>42</v>
      </c>
      <c r="L986" s="292">
        <v>0</v>
      </c>
      <c r="M986" s="292">
        <v>42</v>
      </c>
      <c r="N986" s="292">
        <v>0</v>
      </c>
      <c r="O986" s="292">
        <v>20</v>
      </c>
      <c r="P986" s="294">
        <v>20</v>
      </c>
      <c r="Q986" s="294">
        <v>20</v>
      </c>
      <c r="R986" s="294"/>
      <c r="S986" s="294"/>
      <c r="T986" s="294"/>
      <c r="U986" s="294"/>
      <c r="V986" s="431"/>
      <c r="W986" s="294"/>
      <c r="X986" s="294"/>
      <c r="Y986" s="294">
        <f>IF(NFI_Expiration=1,IF($A986&lt;VLOOKUP(H$5,NFI,5,0),1,0)*Table_NFI[[#This Row],[Hygiene Kit]],Table_NFI[Hygiene Kit])</f>
        <v>0</v>
      </c>
      <c r="Z986" s="294">
        <f>IF(NFI_Expiration=1,IF($A986&lt;VLOOKUP(I$5,NFI,5,0),1,0)*Table_NFI[[#This Row],[NFI Core Kit]],Table_NFI[NFI Core Kit])</f>
        <v>0</v>
      </c>
      <c r="AA986" s="294">
        <f>IF(NFI_Expiration=1,IF($A986&lt;VLOOKUP(J$5,NFI,5,0),1,0)*Table_NFI[[#This Row],[Sanitary Kit]],Table_NFI[Sanitary Kit])</f>
        <v>0</v>
      </c>
      <c r="AB986" s="294">
        <f>IF(NFI_Expiration=1,IF($A986&lt;VLOOKUP(K$5,NFI,5,0),1,0)*Table_NFI[[#This Row],[Mosquito net]],Table_NFI[Mosquito net])</f>
        <v>0</v>
      </c>
      <c r="AC986" s="294">
        <f>IF(NFI_Expiration=1,IF($A986&lt;VLOOKUP(L$5,NFI,5,0),1,0)*Table_NFI[[#This Row],[Tarpaulin]],Table_NFI[[#This Row],[Tarpaulin]])</f>
        <v>0</v>
      </c>
      <c r="AD986" s="294">
        <f>IF(NFI_Expiration=1,IF($A986&lt;VLOOKUP(M$5,NFI,5,0),1,0)*Table_NFI[[#This Row],[Blanket]],Table_NFI[[#This Row],[Blanket]])</f>
        <v>0</v>
      </c>
      <c r="AE986" s="294">
        <f>IF(NFI_Expiration=1,IF($A986&lt;VLOOKUP(N$5,NFI,5,0),1,0)*Table_NFI[[#This Row],[Kitchen Set]],Table_NFI[Kitchen Set])</f>
        <v>0</v>
      </c>
      <c r="AF986" s="294">
        <f>IF(NFI_Expiration=1,IF($A986&lt;VLOOKUP(O$5,NFI,5,0),1,0)*Table_NFI[[#This Row],[Clothes Kit]],Table_NFI[Clothes Kit])</f>
        <v>0</v>
      </c>
      <c r="AG986" s="294">
        <f>IF(NFI_Expiration=1,IF($A986&lt;VLOOKUP(P$5,NFI,5,0),1,0)*Table_NFI[[#This Row],[Plastic Bucket]],Table_NFI[Plastic Bucket])</f>
        <v>0</v>
      </c>
      <c r="AH986" s="294">
        <f>IF(NFI_Expiration=1,IF($A986&lt;VLOOKUP(Q$5,NFI,5,0),1,0)*Table_NFI[[#This Row],[Plastic Mat]],Table_NFI[Plastic Mat])*IF(Table_NFI[[#This Row],[Distribution Date]]&gt;"2014-04-01",1,2.5)</f>
        <v>0</v>
      </c>
      <c r="AI986" s="294">
        <f>IF(NFI_Expiration=1,IF($A986&lt;VLOOKUP(R$5,NFI,5,0),1,0)*Table_NFI[[#This Row],[Winter Clothes Adult]],Table_NFI[Winter Clothes Adult])</f>
        <v>0</v>
      </c>
      <c r="AJ986" s="294">
        <f>IF(NFI_Expiration=1,IF($A986&lt;VLOOKUP(S$5,NFI,5,0),1,0)*Table_NFI[[#This Row],[Winter Clothes Children]],Table_NFI[Winter Clothes Children])</f>
        <v>0</v>
      </c>
      <c r="AK986" s="294">
        <f>IF(NFI_Expiration=1,IF($A986&lt;VLOOKUP(T$5,NFI,5,0),1,0)*Table_NFI[[#This Row],[Winter Items Other]],Table_NFI[Winter Items Other])</f>
        <v>0</v>
      </c>
      <c r="AL986" s="294">
        <f>IF(NFI_Expiration=1,IF($A986&lt;VLOOKUP(M$5,NFI,5,0),1,0)*Table_NFI[[#This Row],[Winter Blanket]],Table_NFI[[#This Row],[Winter Blanket]])</f>
        <v>0</v>
      </c>
      <c r="AM986" s="294">
        <f>IF(Table_NFI[[#This Row],[Winter Clothes Adult]]+Table_NFI[[#This Row],[Winter Clothes Children]]+Table_NFI[[#This Row],[Winter Items Other]]+Table_NFI[[#This Row],[Winter Blanket]]&gt;0,1,0)</f>
        <v>0</v>
      </c>
      <c r="AN986" s="331">
        <f>IF(NFI_Expiration=1,IF($A986&lt;VLOOKUP(V$5,NFI,5,0),1,0)*Table_NFI[[#This Row],[Jerry Can]],Table_NFI[Jerry Can])</f>
        <v>0</v>
      </c>
      <c r="AO986" s="331">
        <f>IF(NFI_Expiration=1,IF($A986&lt;VLOOKUP(V$5,NFI,5,0),1,0)*Table_NFI[[#This Row],[Shelter Tool kit]],Table_NFI[Shelter Tool kit])</f>
        <v>0</v>
      </c>
      <c r="AP986" s="331">
        <f>IF(NFI_Expiration=1,IF($A986&lt;VLOOKUP(V$5,NFI,5,0),1,0)*Table_NFI[[#This Row],[Tent]],Table_NFI[Tent])</f>
        <v>0</v>
      </c>
      <c r="AQ986" s="473" t="str">
        <f>IFERROR(VLOOKUP(Table_NFI[[#This Row],[Camp Name]],CL,2,0),"")</f>
        <v>MMR001CMP031</v>
      </c>
      <c r="AR986" s="468">
        <f ca="1">IF(Table_NFI[[#This Row],[Pcode]]="","",IF(OFFSET(CampList[Opening Date],MATCH(Table_NFI[[#This Row],[Pcode]],CampList[CP_Pcode],0)-1,0,1,1)&gt;=NFI_Monitor_Date,1,0))</f>
        <v>0</v>
      </c>
      <c r="AS986" s="473" t="str">
        <f>IFERROR(VLOOKUP(Table_NFI[[#This Row],[Camp Name]],CL,3,0),"")</f>
        <v>Open</v>
      </c>
      <c r="AT986" s="294" t="str">
        <f ca="1">IF(Table_NFI[[#This Row],[Pcode]]="","",OFFSET(CampList[Priority],MATCH(Table_NFI[[#This Row],[Pcode]],CampList[CP_Pcode],0)-1,0,1,1))</f>
        <v>P4</v>
      </c>
      <c r="AU986" s="293">
        <f>IFERROR(Table_NFI[[#This Row],[Kitchen Set]]/VLOOKUP(Table_NFI[[#This Row],[Camp Name]],CL,4,0),"")</f>
        <v>0</v>
      </c>
      <c r="AV986" s="466" t="s">
        <v>1092</v>
      </c>
      <c r="AW986" s="469"/>
    </row>
    <row r="987" spans="1:49" s="470" customFormat="1" ht="14.45" customHeight="1" x14ac:dyDescent="0.25">
      <c r="A987" s="297">
        <f t="shared" si="15"/>
        <v>54.766666666666666</v>
      </c>
      <c r="B987" s="465">
        <v>41032</v>
      </c>
      <c r="C987" s="466" t="s">
        <v>452</v>
      </c>
      <c r="D987" s="467" t="s">
        <v>452</v>
      </c>
      <c r="E987" s="466" t="s">
        <v>380</v>
      </c>
      <c r="F987" s="290" t="s">
        <v>237</v>
      </c>
      <c r="G987" s="290" t="s">
        <v>267</v>
      </c>
      <c r="H987" s="291"/>
      <c r="I987" s="291"/>
      <c r="J987" s="291"/>
      <c r="K987" s="291">
        <v>0</v>
      </c>
      <c r="L987" s="292">
        <v>0</v>
      </c>
      <c r="M987" s="292">
        <v>0</v>
      </c>
      <c r="N987" s="292">
        <v>0</v>
      </c>
      <c r="O987" s="292">
        <v>5</v>
      </c>
      <c r="P987" s="294">
        <v>5</v>
      </c>
      <c r="Q987" s="294">
        <v>5</v>
      </c>
      <c r="R987" s="294"/>
      <c r="S987" s="294"/>
      <c r="T987" s="294"/>
      <c r="U987" s="294"/>
      <c r="V987" s="431"/>
      <c r="W987" s="294"/>
      <c r="X987" s="294"/>
      <c r="Y987" s="294">
        <f>IF(NFI_Expiration=1,IF($A987&lt;VLOOKUP(H$5,NFI,5,0),1,0)*Table_NFI[[#This Row],[Hygiene Kit]],Table_NFI[Hygiene Kit])</f>
        <v>0</v>
      </c>
      <c r="Z987" s="294">
        <f>IF(NFI_Expiration=1,IF($A987&lt;VLOOKUP(I$5,NFI,5,0),1,0)*Table_NFI[[#This Row],[NFI Core Kit]],Table_NFI[NFI Core Kit])</f>
        <v>0</v>
      </c>
      <c r="AA987" s="294">
        <f>IF(NFI_Expiration=1,IF($A987&lt;VLOOKUP(J$5,NFI,5,0),1,0)*Table_NFI[[#This Row],[Sanitary Kit]],Table_NFI[Sanitary Kit])</f>
        <v>0</v>
      </c>
      <c r="AB987" s="294">
        <f>IF(NFI_Expiration=1,IF($A987&lt;VLOOKUP(K$5,NFI,5,0),1,0)*Table_NFI[[#This Row],[Mosquito net]],Table_NFI[Mosquito net])</f>
        <v>0</v>
      </c>
      <c r="AC987" s="294">
        <f>IF(NFI_Expiration=1,IF($A987&lt;VLOOKUP(L$5,NFI,5,0),1,0)*Table_NFI[[#This Row],[Tarpaulin]],Table_NFI[[#This Row],[Tarpaulin]])</f>
        <v>0</v>
      </c>
      <c r="AD987" s="294">
        <f>IF(NFI_Expiration=1,IF($A987&lt;VLOOKUP(M$5,NFI,5,0),1,0)*Table_NFI[[#This Row],[Blanket]],Table_NFI[[#This Row],[Blanket]])</f>
        <v>0</v>
      </c>
      <c r="AE987" s="294">
        <f>IF(NFI_Expiration=1,IF($A987&lt;VLOOKUP(N$5,NFI,5,0),1,0)*Table_NFI[[#This Row],[Kitchen Set]],Table_NFI[Kitchen Set])</f>
        <v>0</v>
      </c>
      <c r="AF987" s="294">
        <f>IF(NFI_Expiration=1,IF($A987&lt;VLOOKUP(O$5,NFI,5,0),1,0)*Table_NFI[[#This Row],[Clothes Kit]],Table_NFI[Clothes Kit])</f>
        <v>0</v>
      </c>
      <c r="AG987" s="294">
        <f>IF(NFI_Expiration=1,IF($A987&lt;VLOOKUP(P$5,NFI,5,0),1,0)*Table_NFI[[#This Row],[Plastic Bucket]],Table_NFI[Plastic Bucket])</f>
        <v>0</v>
      </c>
      <c r="AH987" s="294">
        <f>IF(NFI_Expiration=1,IF($A987&lt;VLOOKUP(Q$5,NFI,5,0),1,0)*Table_NFI[[#This Row],[Plastic Mat]],Table_NFI[Plastic Mat])*IF(Table_NFI[[#This Row],[Distribution Date]]&gt;"2014-04-01",1,2.5)</f>
        <v>0</v>
      </c>
      <c r="AI987" s="294">
        <f>IF(NFI_Expiration=1,IF($A987&lt;VLOOKUP(R$5,NFI,5,0),1,0)*Table_NFI[[#This Row],[Winter Clothes Adult]],Table_NFI[Winter Clothes Adult])</f>
        <v>0</v>
      </c>
      <c r="AJ987" s="294">
        <f>IF(NFI_Expiration=1,IF($A987&lt;VLOOKUP(S$5,NFI,5,0),1,0)*Table_NFI[[#This Row],[Winter Clothes Children]],Table_NFI[Winter Clothes Children])</f>
        <v>0</v>
      </c>
      <c r="AK987" s="294">
        <f>IF(NFI_Expiration=1,IF($A987&lt;VLOOKUP(T$5,NFI,5,0),1,0)*Table_NFI[[#This Row],[Winter Items Other]],Table_NFI[Winter Items Other])</f>
        <v>0</v>
      </c>
      <c r="AL987" s="294">
        <f>IF(NFI_Expiration=1,IF($A987&lt;VLOOKUP(M$5,NFI,5,0),1,0)*Table_NFI[[#This Row],[Winter Blanket]],Table_NFI[[#This Row],[Winter Blanket]])</f>
        <v>0</v>
      </c>
      <c r="AM987" s="294">
        <f>IF(Table_NFI[[#This Row],[Winter Clothes Adult]]+Table_NFI[[#This Row],[Winter Clothes Children]]+Table_NFI[[#This Row],[Winter Items Other]]+Table_NFI[[#This Row],[Winter Blanket]]&gt;0,1,0)</f>
        <v>0</v>
      </c>
      <c r="AN987" s="331">
        <f>IF(NFI_Expiration=1,IF($A987&lt;VLOOKUP(V$5,NFI,5,0),1,0)*Table_NFI[[#This Row],[Jerry Can]],Table_NFI[Jerry Can])</f>
        <v>0</v>
      </c>
      <c r="AO987" s="331">
        <f>IF(NFI_Expiration=1,IF($A987&lt;VLOOKUP(V$5,NFI,5,0),1,0)*Table_NFI[[#This Row],[Shelter Tool kit]],Table_NFI[Shelter Tool kit])</f>
        <v>0</v>
      </c>
      <c r="AP987" s="331">
        <f>IF(NFI_Expiration=1,IF($A987&lt;VLOOKUP(V$5,NFI,5,0),1,0)*Table_NFI[[#This Row],[Tent]],Table_NFI[Tent])</f>
        <v>0</v>
      </c>
      <c r="AQ987" s="473" t="str">
        <f>IFERROR(VLOOKUP(Table_NFI[[#This Row],[Camp Name]],CL,2,0),"")</f>
        <v>MMR001CMP017</v>
      </c>
      <c r="AR987" s="468">
        <f ca="1">IF(Table_NFI[[#This Row],[Pcode]]="","",IF(OFFSET(CampList[Opening Date],MATCH(Table_NFI[[#This Row],[Pcode]],CampList[CP_Pcode],0)-1,0,1,1)&gt;=NFI_Monitor_Date,1,0))</f>
        <v>0</v>
      </c>
      <c r="AS987" s="473" t="str">
        <f>IFERROR(VLOOKUP(Table_NFI[[#This Row],[Camp Name]],CL,3,0),"")</f>
        <v>Closed</v>
      </c>
      <c r="AT987" s="294" t="str">
        <f ca="1">IF(Table_NFI[[#This Row],[Pcode]]="","",OFFSET(CampList[Priority],MATCH(Table_NFI[[#This Row],[Pcode]],CampList[CP_Pcode],0)-1,0,1,1))</f>
        <v>P4</v>
      </c>
      <c r="AU987" s="293" t="str">
        <f>IFERROR(Table_NFI[[#This Row],[Kitchen Set]]/VLOOKUP(Table_NFI[[#This Row],[Camp Name]],CL,4,0),"")</f>
        <v/>
      </c>
      <c r="AV987" s="466" t="s">
        <v>1092</v>
      </c>
      <c r="AW987" s="469"/>
    </row>
    <row r="988" spans="1:49" s="470" customFormat="1" ht="14.45" customHeight="1" x14ac:dyDescent="0.25">
      <c r="A988" s="297">
        <f t="shared" si="15"/>
        <v>54.766666666666666</v>
      </c>
      <c r="B988" s="465">
        <v>41032</v>
      </c>
      <c r="C988" s="466" t="s">
        <v>452</v>
      </c>
      <c r="D988" s="466" t="s">
        <v>452</v>
      </c>
      <c r="E988" s="466" t="s">
        <v>380</v>
      </c>
      <c r="F988" s="290" t="s">
        <v>310</v>
      </c>
      <c r="G988" s="290" t="s">
        <v>338</v>
      </c>
      <c r="H988" s="291"/>
      <c r="I988" s="291"/>
      <c r="J988" s="291"/>
      <c r="K988" s="291">
        <v>12</v>
      </c>
      <c r="L988" s="292">
        <v>0</v>
      </c>
      <c r="M988" s="292">
        <v>12</v>
      </c>
      <c r="N988" s="292">
        <v>6</v>
      </c>
      <c r="O988" s="292">
        <v>6</v>
      </c>
      <c r="P988" s="294">
        <v>6</v>
      </c>
      <c r="Q988" s="294">
        <v>6</v>
      </c>
      <c r="R988" s="294"/>
      <c r="S988" s="294"/>
      <c r="T988" s="294"/>
      <c r="U988" s="294"/>
      <c r="V988" s="431"/>
      <c r="W988" s="294"/>
      <c r="X988" s="294"/>
      <c r="Y988" s="294">
        <f>IF(NFI_Expiration=1,IF($A988&lt;VLOOKUP(H$5,NFI,5,0),1,0)*Table_NFI[[#This Row],[Hygiene Kit]],Table_NFI[Hygiene Kit])</f>
        <v>0</v>
      </c>
      <c r="Z988" s="294">
        <f>IF(NFI_Expiration=1,IF($A988&lt;VLOOKUP(I$5,NFI,5,0),1,0)*Table_NFI[[#This Row],[NFI Core Kit]],Table_NFI[NFI Core Kit])</f>
        <v>0</v>
      </c>
      <c r="AA988" s="294">
        <f>IF(NFI_Expiration=1,IF($A988&lt;VLOOKUP(J$5,NFI,5,0),1,0)*Table_NFI[[#This Row],[Sanitary Kit]],Table_NFI[Sanitary Kit])</f>
        <v>0</v>
      </c>
      <c r="AB988" s="294">
        <f>IF(NFI_Expiration=1,IF($A988&lt;VLOOKUP(K$5,NFI,5,0),1,0)*Table_NFI[[#This Row],[Mosquito net]],Table_NFI[Mosquito net])</f>
        <v>0</v>
      </c>
      <c r="AC988" s="294">
        <f>IF(NFI_Expiration=1,IF($A988&lt;VLOOKUP(L$5,NFI,5,0),1,0)*Table_NFI[[#This Row],[Tarpaulin]],Table_NFI[[#This Row],[Tarpaulin]])</f>
        <v>0</v>
      </c>
      <c r="AD988" s="294">
        <f>IF(NFI_Expiration=1,IF($A988&lt;VLOOKUP(M$5,NFI,5,0),1,0)*Table_NFI[[#This Row],[Blanket]],Table_NFI[[#This Row],[Blanket]])</f>
        <v>0</v>
      </c>
      <c r="AE988" s="294">
        <f>IF(NFI_Expiration=1,IF($A988&lt;VLOOKUP(N$5,NFI,5,0),1,0)*Table_NFI[[#This Row],[Kitchen Set]],Table_NFI[Kitchen Set])</f>
        <v>0</v>
      </c>
      <c r="AF988" s="294">
        <f>IF(NFI_Expiration=1,IF($A988&lt;VLOOKUP(O$5,NFI,5,0),1,0)*Table_NFI[[#This Row],[Clothes Kit]],Table_NFI[Clothes Kit])</f>
        <v>0</v>
      </c>
      <c r="AG988" s="294">
        <f>IF(NFI_Expiration=1,IF($A988&lt;VLOOKUP(P$5,NFI,5,0),1,0)*Table_NFI[[#This Row],[Plastic Bucket]],Table_NFI[Plastic Bucket])</f>
        <v>0</v>
      </c>
      <c r="AH988" s="294">
        <f>IF(NFI_Expiration=1,IF($A988&lt;VLOOKUP(Q$5,NFI,5,0),1,0)*Table_NFI[[#This Row],[Plastic Mat]],Table_NFI[Plastic Mat])*IF(Table_NFI[[#This Row],[Distribution Date]]&gt;"2014-04-01",1,2.5)</f>
        <v>0</v>
      </c>
      <c r="AI988" s="294">
        <f>IF(NFI_Expiration=1,IF($A988&lt;VLOOKUP(R$5,NFI,5,0),1,0)*Table_NFI[[#This Row],[Winter Clothes Adult]],Table_NFI[Winter Clothes Adult])</f>
        <v>0</v>
      </c>
      <c r="AJ988" s="294">
        <f>IF(NFI_Expiration=1,IF($A988&lt;VLOOKUP(S$5,NFI,5,0),1,0)*Table_NFI[[#This Row],[Winter Clothes Children]],Table_NFI[Winter Clothes Children])</f>
        <v>0</v>
      </c>
      <c r="AK988" s="294">
        <f>IF(NFI_Expiration=1,IF($A988&lt;VLOOKUP(T$5,NFI,5,0),1,0)*Table_NFI[[#This Row],[Winter Items Other]],Table_NFI[Winter Items Other])</f>
        <v>0</v>
      </c>
      <c r="AL988" s="294">
        <f>IF(NFI_Expiration=1,IF($A988&lt;VLOOKUP(M$5,NFI,5,0),1,0)*Table_NFI[[#This Row],[Winter Blanket]],Table_NFI[[#This Row],[Winter Blanket]])</f>
        <v>0</v>
      </c>
      <c r="AM988" s="294">
        <f>IF(Table_NFI[[#This Row],[Winter Clothes Adult]]+Table_NFI[[#This Row],[Winter Clothes Children]]+Table_NFI[[#This Row],[Winter Items Other]]+Table_NFI[[#This Row],[Winter Blanket]]&gt;0,1,0)</f>
        <v>0</v>
      </c>
      <c r="AN988" s="331">
        <f>IF(NFI_Expiration=1,IF($A988&lt;VLOOKUP(V$5,NFI,5,0),1,0)*Table_NFI[[#This Row],[Jerry Can]],Table_NFI[Jerry Can])</f>
        <v>0</v>
      </c>
      <c r="AO988" s="331">
        <f>IF(NFI_Expiration=1,IF($A988&lt;VLOOKUP(V$5,NFI,5,0),1,0)*Table_NFI[[#This Row],[Shelter Tool kit]],Table_NFI[Shelter Tool kit])</f>
        <v>0</v>
      </c>
      <c r="AP988" s="331">
        <f>IF(NFI_Expiration=1,IF($A988&lt;VLOOKUP(V$5,NFI,5,0),1,0)*Table_NFI[[#This Row],[Tent]],Table_NFI[Tent])</f>
        <v>0</v>
      </c>
      <c r="AQ988" s="473" t="str">
        <f>IFERROR(VLOOKUP(Table_NFI[[#This Row],[Camp Name]],CL,2,0),"")</f>
        <v>MMR001CMP030</v>
      </c>
      <c r="AR988" s="468">
        <f ca="1">IF(Table_NFI[[#This Row],[Pcode]]="","",IF(OFFSET(CampList[Opening Date],MATCH(Table_NFI[[#This Row],[Pcode]],CampList[CP_Pcode],0)-1,0,1,1)&gt;=NFI_Monitor_Date,1,0))</f>
        <v>0</v>
      </c>
      <c r="AS988" s="473" t="str">
        <f>IFERROR(VLOOKUP(Table_NFI[[#This Row],[Camp Name]],CL,3,0),"")</f>
        <v>Open</v>
      </c>
      <c r="AT988" s="294" t="str">
        <f ca="1">IF(Table_NFI[[#This Row],[Pcode]]="","",OFFSET(CampList[Priority],MATCH(Table_NFI[[#This Row],[Pcode]],CampList[CP_Pcode],0)-1,0,1,1))</f>
        <v>P4</v>
      </c>
      <c r="AU988" s="293">
        <f>IFERROR(Table_NFI[[#This Row],[Kitchen Set]]/VLOOKUP(Table_NFI[[#This Row],[Camp Name]],CL,4,0),"")</f>
        <v>0.19354838709677419</v>
      </c>
      <c r="AV988" s="466" t="s">
        <v>1092</v>
      </c>
      <c r="AW988" s="469"/>
    </row>
    <row r="989" spans="1:49" s="470" customFormat="1" ht="14.45" customHeight="1" x14ac:dyDescent="0.25">
      <c r="A989" s="297">
        <f t="shared" si="15"/>
        <v>54.766666666666666</v>
      </c>
      <c r="B989" s="465">
        <v>41032</v>
      </c>
      <c r="C989" s="466" t="s">
        <v>452</v>
      </c>
      <c r="D989" s="466" t="s">
        <v>452</v>
      </c>
      <c r="E989" s="466" t="s">
        <v>380</v>
      </c>
      <c r="F989" s="290" t="s">
        <v>310</v>
      </c>
      <c r="G989" s="290" t="s">
        <v>351</v>
      </c>
      <c r="H989" s="291"/>
      <c r="I989" s="291"/>
      <c r="J989" s="291"/>
      <c r="K989" s="291">
        <v>34</v>
      </c>
      <c r="L989" s="292">
        <v>0</v>
      </c>
      <c r="M989" s="292">
        <v>34</v>
      </c>
      <c r="N989" s="292">
        <v>0</v>
      </c>
      <c r="O989" s="292">
        <v>18</v>
      </c>
      <c r="P989" s="294">
        <v>18</v>
      </c>
      <c r="Q989" s="294">
        <v>18</v>
      </c>
      <c r="R989" s="294"/>
      <c r="S989" s="294"/>
      <c r="T989" s="294"/>
      <c r="U989" s="294"/>
      <c r="V989" s="431"/>
      <c r="W989" s="294"/>
      <c r="X989" s="294"/>
      <c r="Y989" s="294">
        <f>IF(NFI_Expiration=1,IF($A989&lt;VLOOKUP(H$5,NFI,5,0),1,0)*Table_NFI[[#This Row],[Hygiene Kit]],Table_NFI[Hygiene Kit])</f>
        <v>0</v>
      </c>
      <c r="Z989" s="294">
        <f>IF(NFI_Expiration=1,IF($A989&lt;VLOOKUP(I$5,NFI,5,0),1,0)*Table_NFI[[#This Row],[NFI Core Kit]],Table_NFI[NFI Core Kit])</f>
        <v>0</v>
      </c>
      <c r="AA989" s="294">
        <f>IF(NFI_Expiration=1,IF($A989&lt;VLOOKUP(J$5,NFI,5,0),1,0)*Table_NFI[[#This Row],[Sanitary Kit]],Table_NFI[Sanitary Kit])</f>
        <v>0</v>
      </c>
      <c r="AB989" s="294">
        <f>IF(NFI_Expiration=1,IF($A989&lt;VLOOKUP(K$5,NFI,5,0),1,0)*Table_NFI[[#This Row],[Mosquito net]],Table_NFI[Mosquito net])</f>
        <v>0</v>
      </c>
      <c r="AC989" s="294">
        <f>IF(NFI_Expiration=1,IF($A989&lt;VLOOKUP(L$5,NFI,5,0),1,0)*Table_NFI[[#This Row],[Tarpaulin]],Table_NFI[[#This Row],[Tarpaulin]])</f>
        <v>0</v>
      </c>
      <c r="AD989" s="294">
        <f>IF(NFI_Expiration=1,IF($A989&lt;VLOOKUP(M$5,NFI,5,0),1,0)*Table_NFI[[#This Row],[Blanket]],Table_NFI[[#This Row],[Blanket]])</f>
        <v>0</v>
      </c>
      <c r="AE989" s="294">
        <f>IF(NFI_Expiration=1,IF($A989&lt;VLOOKUP(N$5,NFI,5,0),1,0)*Table_NFI[[#This Row],[Kitchen Set]],Table_NFI[Kitchen Set])</f>
        <v>0</v>
      </c>
      <c r="AF989" s="294">
        <f>IF(NFI_Expiration=1,IF($A989&lt;VLOOKUP(O$5,NFI,5,0),1,0)*Table_NFI[[#This Row],[Clothes Kit]],Table_NFI[Clothes Kit])</f>
        <v>0</v>
      </c>
      <c r="AG989" s="294">
        <f>IF(NFI_Expiration=1,IF($A989&lt;VLOOKUP(P$5,NFI,5,0),1,0)*Table_NFI[[#This Row],[Plastic Bucket]],Table_NFI[Plastic Bucket])</f>
        <v>0</v>
      </c>
      <c r="AH989" s="294">
        <f>IF(NFI_Expiration=1,IF($A989&lt;VLOOKUP(Q$5,NFI,5,0),1,0)*Table_NFI[[#This Row],[Plastic Mat]],Table_NFI[Plastic Mat])*IF(Table_NFI[[#This Row],[Distribution Date]]&gt;"2014-04-01",1,2.5)</f>
        <v>0</v>
      </c>
      <c r="AI989" s="294">
        <f>IF(NFI_Expiration=1,IF($A989&lt;VLOOKUP(R$5,NFI,5,0),1,0)*Table_NFI[[#This Row],[Winter Clothes Adult]],Table_NFI[Winter Clothes Adult])</f>
        <v>0</v>
      </c>
      <c r="AJ989" s="294">
        <f>IF(NFI_Expiration=1,IF($A989&lt;VLOOKUP(S$5,NFI,5,0),1,0)*Table_NFI[[#This Row],[Winter Clothes Children]],Table_NFI[Winter Clothes Children])</f>
        <v>0</v>
      </c>
      <c r="AK989" s="294">
        <f>IF(NFI_Expiration=1,IF($A989&lt;VLOOKUP(T$5,NFI,5,0),1,0)*Table_NFI[[#This Row],[Winter Items Other]],Table_NFI[Winter Items Other])</f>
        <v>0</v>
      </c>
      <c r="AL989" s="294">
        <f>IF(NFI_Expiration=1,IF($A989&lt;VLOOKUP(M$5,NFI,5,0),1,0)*Table_NFI[[#This Row],[Winter Blanket]],Table_NFI[[#This Row],[Winter Blanket]])</f>
        <v>0</v>
      </c>
      <c r="AM989" s="294">
        <f>IF(Table_NFI[[#This Row],[Winter Clothes Adult]]+Table_NFI[[#This Row],[Winter Clothes Children]]+Table_NFI[[#This Row],[Winter Items Other]]+Table_NFI[[#This Row],[Winter Blanket]]&gt;0,1,0)</f>
        <v>0</v>
      </c>
      <c r="AN989" s="331">
        <f>IF(NFI_Expiration=1,IF($A989&lt;VLOOKUP(V$5,NFI,5,0),1,0)*Table_NFI[[#This Row],[Jerry Can]],Table_NFI[Jerry Can])</f>
        <v>0</v>
      </c>
      <c r="AO989" s="331">
        <f>IF(NFI_Expiration=1,IF($A989&lt;VLOOKUP(V$5,NFI,5,0),1,0)*Table_NFI[[#This Row],[Shelter Tool kit]],Table_NFI[Shelter Tool kit])</f>
        <v>0</v>
      </c>
      <c r="AP989" s="331">
        <f>IF(NFI_Expiration=1,IF($A989&lt;VLOOKUP(V$5,NFI,5,0),1,0)*Table_NFI[[#This Row],[Tent]],Table_NFI[Tent])</f>
        <v>0</v>
      </c>
      <c r="AQ989" s="473" t="str">
        <f>IFERROR(VLOOKUP(Table_NFI[[#This Row],[Camp Name]],CL,2,0),"")</f>
        <v>MMR001CMP026</v>
      </c>
      <c r="AR989" s="468">
        <f ca="1">IF(Table_NFI[[#This Row],[Pcode]]="","",IF(OFFSET(CampList[Opening Date],MATCH(Table_NFI[[#This Row],[Pcode]],CampList[CP_Pcode],0)-1,0,1,1)&gt;=NFI_Monitor_Date,1,0))</f>
        <v>0</v>
      </c>
      <c r="AS989" s="473" t="str">
        <f>IFERROR(VLOOKUP(Table_NFI[[#This Row],[Camp Name]],CL,3,0),"")</f>
        <v>Open</v>
      </c>
      <c r="AT989" s="294" t="str">
        <f ca="1">IF(Table_NFI[[#This Row],[Pcode]]="","",OFFSET(CampList[Priority],MATCH(Table_NFI[[#This Row],[Pcode]],CampList[CP_Pcode],0)-1,0,1,1))</f>
        <v>P4</v>
      </c>
      <c r="AU989" s="293">
        <f>IFERROR(Table_NFI[[#This Row],[Kitchen Set]]/VLOOKUP(Table_NFI[[#This Row],[Camp Name]],CL,4,0),"")</f>
        <v>0</v>
      </c>
      <c r="AV989" s="466" t="s">
        <v>1092</v>
      </c>
      <c r="AW989" s="469"/>
    </row>
    <row r="990" spans="1:49" s="470" customFormat="1" ht="14.45" customHeight="1" x14ac:dyDescent="0.25">
      <c r="A990" s="297">
        <f t="shared" si="15"/>
        <v>54.833333333333336</v>
      </c>
      <c r="B990" s="465">
        <v>41030</v>
      </c>
      <c r="C990" s="466" t="s">
        <v>452</v>
      </c>
      <c r="D990" s="467" t="s">
        <v>452</v>
      </c>
      <c r="E990" s="466" t="s">
        <v>380</v>
      </c>
      <c r="F990" s="290" t="s">
        <v>310</v>
      </c>
      <c r="G990" s="290" t="s">
        <v>351</v>
      </c>
      <c r="H990" s="291"/>
      <c r="I990" s="291"/>
      <c r="J990" s="291"/>
      <c r="K990" s="291">
        <v>52</v>
      </c>
      <c r="L990" s="292">
        <v>0</v>
      </c>
      <c r="M990" s="292">
        <v>52</v>
      </c>
      <c r="N990" s="292">
        <v>0</v>
      </c>
      <c r="O990" s="292">
        <v>24</v>
      </c>
      <c r="P990" s="294">
        <v>24</v>
      </c>
      <c r="Q990" s="294">
        <v>24</v>
      </c>
      <c r="R990" s="294"/>
      <c r="S990" s="294"/>
      <c r="T990" s="294"/>
      <c r="U990" s="294"/>
      <c r="V990" s="431"/>
      <c r="W990" s="294"/>
      <c r="X990" s="294"/>
      <c r="Y990" s="294">
        <f>IF(NFI_Expiration=1,IF($A990&lt;VLOOKUP(H$5,NFI,5,0),1,0)*Table_NFI[[#This Row],[Hygiene Kit]],Table_NFI[Hygiene Kit])</f>
        <v>0</v>
      </c>
      <c r="Z990" s="294">
        <f>IF(NFI_Expiration=1,IF($A990&lt;VLOOKUP(I$5,NFI,5,0),1,0)*Table_NFI[[#This Row],[NFI Core Kit]],Table_NFI[NFI Core Kit])</f>
        <v>0</v>
      </c>
      <c r="AA990" s="294">
        <f>IF(NFI_Expiration=1,IF($A990&lt;VLOOKUP(J$5,NFI,5,0),1,0)*Table_NFI[[#This Row],[Sanitary Kit]],Table_NFI[Sanitary Kit])</f>
        <v>0</v>
      </c>
      <c r="AB990" s="294">
        <f>IF(NFI_Expiration=1,IF($A990&lt;VLOOKUP(K$5,NFI,5,0),1,0)*Table_NFI[[#This Row],[Mosquito net]],Table_NFI[Mosquito net])</f>
        <v>0</v>
      </c>
      <c r="AC990" s="294">
        <f>IF(NFI_Expiration=1,IF($A990&lt;VLOOKUP(L$5,NFI,5,0),1,0)*Table_NFI[[#This Row],[Tarpaulin]],Table_NFI[[#This Row],[Tarpaulin]])</f>
        <v>0</v>
      </c>
      <c r="AD990" s="294">
        <f>IF(NFI_Expiration=1,IF($A990&lt;VLOOKUP(M$5,NFI,5,0),1,0)*Table_NFI[[#This Row],[Blanket]],Table_NFI[[#This Row],[Blanket]])</f>
        <v>0</v>
      </c>
      <c r="AE990" s="294">
        <f>IF(NFI_Expiration=1,IF($A990&lt;VLOOKUP(N$5,NFI,5,0),1,0)*Table_NFI[[#This Row],[Kitchen Set]],Table_NFI[Kitchen Set])</f>
        <v>0</v>
      </c>
      <c r="AF990" s="294">
        <f>IF(NFI_Expiration=1,IF($A990&lt;VLOOKUP(O$5,NFI,5,0),1,0)*Table_NFI[[#This Row],[Clothes Kit]],Table_NFI[Clothes Kit])</f>
        <v>0</v>
      </c>
      <c r="AG990" s="294">
        <f>IF(NFI_Expiration=1,IF($A990&lt;VLOOKUP(P$5,NFI,5,0),1,0)*Table_NFI[[#This Row],[Plastic Bucket]],Table_NFI[Plastic Bucket])</f>
        <v>0</v>
      </c>
      <c r="AH990" s="294">
        <f>IF(NFI_Expiration=1,IF($A990&lt;VLOOKUP(Q$5,NFI,5,0),1,0)*Table_NFI[[#This Row],[Plastic Mat]],Table_NFI[Plastic Mat])*IF(Table_NFI[[#This Row],[Distribution Date]]&gt;"2014-04-01",1,2.5)</f>
        <v>0</v>
      </c>
      <c r="AI990" s="294">
        <f>IF(NFI_Expiration=1,IF($A990&lt;VLOOKUP(R$5,NFI,5,0),1,0)*Table_NFI[[#This Row],[Winter Clothes Adult]],Table_NFI[Winter Clothes Adult])</f>
        <v>0</v>
      </c>
      <c r="AJ990" s="294">
        <f>IF(NFI_Expiration=1,IF($A990&lt;VLOOKUP(S$5,NFI,5,0),1,0)*Table_NFI[[#This Row],[Winter Clothes Children]],Table_NFI[Winter Clothes Children])</f>
        <v>0</v>
      </c>
      <c r="AK990" s="294">
        <f>IF(NFI_Expiration=1,IF($A990&lt;VLOOKUP(T$5,NFI,5,0),1,0)*Table_NFI[[#This Row],[Winter Items Other]],Table_NFI[Winter Items Other])</f>
        <v>0</v>
      </c>
      <c r="AL990" s="294">
        <f>IF(NFI_Expiration=1,IF($A990&lt;VLOOKUP(M$5,NFI,5,0),1,0)*Table_NFI[[#This Row],[Winter Blanket]],Table_NFI[[#This Row],[Winter Blanket]])</f>
        <v>0</v>
      </c>
      <c r="AM990" s="294">
        <f>IF(Table_NFI[[#This Row],[Winter Clothes Adult]]+Table_NFI[[#This Row],[Winter Clothes Children]]+Table_NFI[[#This Row],[Winter Items Other]]+Table_NFI[[#This Row],[Winter Blanket]]&gt;0,1,0)</f>
        <v>0</v>
      </c>
      <c r="AN990" s="331">
        <f>IF(NFI_Expiration=1,IF($A990&lt;VLOOKUP(V$5,NFI,5,0),1,0)*Table_NFI[[#This Row],[Jerry Can]],Table_NFI[Jerry Can])</f>
        <v>0</v>
      </c>
      <c r="AO990" s="331">
        <f>IF(NFI_Expiration=1,IF($A990&lt;VLOOKUP(V$5,NFI,5,0),1,0)*Table_NFI[[#This Row],[Shelter Tool kit]],Table_NFI[Shelter Tool kit])</f>
        <v>0</v>
      </c>
      <c r="AP990" s="331">
        <f>IF(NFI_Expiration=1,IF($A990&lt;VLOOKUP(V$5,NFI,5,0),1,0)*Table_NFI[[#This Row],[Tent]],Table_NFI[Tent])</f>
        <v>0</v>
      </c>
      <c r="AQ990" s="473" t="str">
        <f>IFERROR(VLOOKUP(Table_NFI[[#This Row],[Camp Name]],CL,2,0),"")</f>
        <v>MMR001CMP026</v>
      </c>
      <c r="AR990" s="468">
        <f ca="1">IF(Table_NFI[[#This Row],[Pcode]]="","",IF(OFFSET(CampList[Opening Date],MATCH(Table_NFI[[#This Row],[Pcode]],CampList[CP_Pcode],0)-1,0,1,1)&gt;=NFI_Monitor_Date,1,0))</f>
        <v>0</v>
      </c>
      <c r="AS990" s="473" t="str">
        <f>IFERROR(VLOOKUP(Table_NFI[[#This Row],[Camp Name]],CL,3,0),"")</f>
        <v>Open</v>
      </c>
      <c r="AT990" s="294" t="str">
        <f ca="1">IF(Table_NFI[[#This Row],[Pcode]]="","",OFFSET(CampList[Priority],MATCH(Table_NFI[[#This Row],[Pcode]],CampList[CP_Pcode],0)-1,0,1,1))</f>
        <v>P4</v>
      </c>
      <c r="AU990" s="293">
        <f>IFERROR(Table_NFI[[#This Row],[Kitchen Set]]/VLOOKUP(Table_NFI[[#This Row],[Camp Name]],CL,4,0),"")</f>
        <v>0</v>
      </c>
      <c r="AV990" s="466" t="s">
        <v>1092</v>
      </c>
      <c r="AW990" s="469"/>
    </row>
    <row r="991" spans="1:49" s="470" customFormat="1" ht="14.45" customHeight="1" x14ac:dyDescent="0.25">
      <c r="A991" s="297">
        <f t="shared" si="15"/>
        <v>55.033333333333331</v>
      </c>
      <c r="B991" s="465">
        <v>41024</v>
      </c>
      <c r="C991" s="466" t="s">
        <v>905</v>
      </c>
      <c r="D991" s="466"/>
      <c r="E991" s="466" t="s">
        <v>380</v>
      </c>
      <c r="F991" s="290" t="s">
        <v>5</v>
      </c>
      <c r="G991" s="290" t="s">
        <v>6</v>
      </c>
      <c r="H991" s="294">
        <v>1173</v>
      </c>
      <c r="I991" s="291"/>
      <c r="J991" s="291"/>
      <c r="K991" s="291"/>
      <c r="L991" s="292"/>
      <c r="M991" s="292"/>
      <c r="N991" s="292"/>
      <c r="O991" s="292"/>
      <c r="P991" s="294"/>
      <c r="Q991" s="294"/>
      <c r="R991" s="294"/>
      <c r="S991" s="294"/>
      <c r="T991" s="294"/>
      <c r="U991" s="294"/>
      <c r="V991" s="431"/>
      <c r="W991" s="294"/>
      <c r="X991" s="294"/>
      <c r="Y991" s="294">
        <f>IF(NFI_Expiration=1,IF($A991&lt;VLOOKUP(H$5,NFI,5,0),1,0)*Table_NFI[[#This Row],[Hygiene Kit]],Table_NFI[Hygiene Kit])</f>
        <v>0</v>
      </c>
      <c r="Z991" s="294">
        <f>IF(NFI_Expiration=1,IF($A991&lt;VLOOKUP(I$5,NFI,5,0),1,0)*Table_NFI[[#This Row],[NFI Core Kit]],Table_NFI[NFI Core Kit])</f>
        <v>0</v>
      </c>
      <c r="AA991" s="294">
        <f>IF(NFI_Expiration=1,IF($A991&lt;VLOOKUP(J$5,NFI,5,0),1,0)*Table_NFI[[#This Row],[Sanitary Kit]],Table_NFI[Sanitary Kit])</f>
        <v>0</v>
      </c>
      <c r="AB991" s="294">
        <f>IF(NFI_Expiration=1,IF($A991&lt;VLOOKUP(K$5,NFI,5,0),1,0)*Table_NFI[[#This Row],[Mosquito net]],Table_NFI[Mosquito net])</f>
        <v>0</v>
      </c>
      <c r="AC991" s="294">
        <f>IF(NFI_Expiration=1,IF($A991&lt;VLOOKUP(L$5,NFI,5,0),1,0)*Table_NFI[[#This Row],[Tarpaulin]],Table_NFI[[#This Row],[Tarpaulin]])</f>
        <v>0</v>
      </c>
      <c r="AD991" s="294">
        <f>IF(NFI_Expiration=1,IF($A991&lt;VLOOKUP(M$5,NFI,5,0),1,0)*Table_NFI[[#This Row],[Blanket]],Table_NFI[[#This Row],[Blanket]])</f>
        <v>0</v>
      </c>
      <c r="AE991" s="294">
        <f>IF(NFI_Expiration=1,IF($A991&lt;VLOOKUP(N$5,NFI,5,0),1,0)*Table_NFI[[#This Row],[Kitchen Set]],Table_NFI[Kitchen Set])</f>
        <v>0</v>
      </c>
      <c r="AF991" s="294">
        <f>IF(NFI_Expiration=1,IF($A991&lt;VLOOKUP(O$5,NFI,5,0),1,0)*Table_NFI[[#This Row],[Clothes Kit]],Table_NFI[Clothes Kit])</f>
        <v>0</v>
      </c>
      <c r="AG991" s="294">
        <f>IF(NFI_Expiration=1,IF($A991&lt;VLOOKUP(P$5,NFI,5,0),1,0)*Table_NFI[[#This Row],[Plastic Bucket]],Table_NFI[Plastic Bucket])</f>
        <v>0</v>
      </c>
      <c r="AH991" s="294">
        <f>IF(NFI_Expiration=1,IF($A991&lt;VLOOKUP(Q$5,NFI,5,0),1,0)*Table_NFI[[#This Row],[Plastic Mat]],Table_NFI[Plastic Mat])*IF(Table_NFI[[#This Row],[Distribution Date]]&gt;"2014-04-01",1,2.5)</f>
        <v>0</v>
      </c>
      <c r="AI991" s="294">
        <f>IF(NFI_Expiration=1,IF($A991&lt;VLOOKUP(R$5,NFI,5,0),1,0)*Table_NFI[[#This Row],[Winter Clothes Adult]],Table_NFI[Winter Clothes Adult])</f>
        <v>0</v>
      </c>
      <c r="AJ991" s="294">
        <f>IF(NFI_Expiration=1,IF($A991&lt;VLOOKUP(S$5,NFI,5,0),1,0)*Table_NFI[[#This Row],[Winter Clothes Children]],Table_NFI[Winter Clothes Children])</f>
        <v>0</v>
      </c>
      <c r="AK991" s="294">
        <f>IF(NFI_Expiration=1,IF($A991&lt;VLOOKUP(T$5,NFI,5,0),1,0)*Table_NFI[[#This Row],[Winter Items Other]],Table_NFI[Winter Items Other])</f>
        <v>0</v>
      </c>
      <c r="AL991" s="294">
        <f>IF(NFI_Expiration=1,IF($A991&lt;VLOOKUP(M$5,NFI,5,0),1,0)*Table_NFI[[#This Row],[Winter Blanket]],Table_NFI[[#This Row],[Winter Blanket]])</f>
        <v>0</v>
      </c>
      <c r="AM991" s="294">
        <f>IF(Table_NFI[[#This Row],[Winter Clothes Adult]]+Table_NFI[[#This Row],[Winter Clothes Children]]+Table_NFI[[#This Row],[Winter Items Other]]+Table_NFI[[#This Row],[Winter Blanket]]&gt;0,1,0)</f>
        <v>0</v>
      </c>
      <c r="AN991" s="331">
        <f>IF(NFI_Expiration=1,IF($A991&lt;VLOOKUP(V$5,NFI,5,0),1,0)*Table_NFI[[#This Row],[Jerry Can]],Table_NFI[Jerry Can])</f>
        <v>0</v>
      </c>
      <c r="AO991" s="331">
        <f>IF(NFI_Expiration=1,IF($A991&lt;VLOOKUP(V$5,NFI,5,0),1,0)*Table_NFI[[#This Row],[Shelter Tool kit]],Table_NFI[Shelter Tool kit])</f>
        <v>0</v>
      </c>
      <c r="AP991" s="331">
        <f>IF(NFI_Expiration=1,IF($A991&lt;VLOOKUP(V$5,NFI,5,0),1,0)*Table_NFI[[#This Row],[Tent]],Table_NFI[Tent])</f>
        <v>0</v>
      </c>
      <c r="AQ991" s="473" t="str">
        <f>IFERROR(VLOOKUP(Table_NFI[[#This Row],[Camp Name]],CL,2,0),"")</f>
        <v>MMR001CMP050</v>
      </c>
      <c r="AR991" s="468">
        <f ca="1">IF(Table_NFI[[#This Row],[Pcode]]="","",IF(OFFSET(CampList[Opening Date],MATCH(Table_NFI[[#This Row],[Pcode]],CampList[CP_Pcode],0)-1,0,1,1)&gt;=NFI_Monitor_Date,1,0))</f>
        <v>0</v>
      </c>
      <c r="AS991" s="473" t="str">
        <f>IFERROR(VLOOKUP(Table_NFI[[#This Row],[Camp Name]],CL,3,0),"")</f>
        <v>Open</v>
      </c>
      <c r="AT991" s="294" t="str">
        <f ca="1">IF(Table_NFI[[#This Row],[Pcode]]="","",OFFSET(CampList[Priority],MATCH(Table_NFI[[#This Row],[Pcode]],CampList[CP_Pcode],0)-1,0,1,1))</f>
        <v>P4</v>
      </c>
      <c r="AU991" s="293">
        <f>IFERROR(Table_NFI[[#This Row],[Kitchen Set]]/VLOOKUP(Table_NFI[[#This Row],[Camp Name]],CL,4,0),"")</f>
        <v>0</v>
      </c>
      <c r="AV991" s="466"/>
      <c r="AW991" s="469"/>
    </row>
    <row r="992" spans="1:49" s="470" customFormat="1" ht="14.45" customHeight="1" x14ac:dyDescent="0.25">
      <c r="A992" s="297">
        <f t="shared" si="15"/>
        <v>55.033333333333331</v>
      </c>
      <c r="B992" s="465">
        <v>41024</v>
      </c>
      <c r="C992" s="466" t="s">
        <v>452</v>
      </c>
      <c r="D992" s="466" t="s">
        <v>452</v>
      </c>
      <c r="E992" s="466" t="s">
        <v>380</v>
      </c>
      <c r="F992" s="290" t="s">
        <v>185</v>
      </c>
      <c r="G992" s="290" t="s">
        <v>192</v>
      </c>
      <c r="H992" s="291"/>
      <c r="I992" s="291"/>
      <c r="J992" s="291"/>
      <c r="K992" s="291">
        <v>198</v>
      </c>
      <c r="L992" s="292">
        <v>99</v>
      </c>
      <c r="M992" s="292">
        <v>198</v>
      </c>
      <c r="N992" s="292">
        <v>99</v>
      </c>
      <c r="O992" s="292">
        <v>99</v>
      </c>
      <c r="P992" s="294">
        <v>99</v>
      </c>
      <c r="Q992" s="294">
        <v>99</v>
      </c>
      <c r="R992" s="294"/>
      <c r="S992" s="294"/>
      <c r="T992" s="294"/>
      <c r="U992" s="294"/>
      <c r="V992" s="431"/>
      <c r="W992" s="294"/>
      <c r="X992" s="294"/>
      <c r="Y992" s="294">
        <f>IF(NFI_Expiration=1,IF($A992&lt;VLOOKUP(H$5,NFI,5,0),1,0)*Table_NFI[[#This Row],[Hygiene Kit]],Table_NFI[Hygiene Kit])</f>
        <v>0</v>
      </c>
      <c r="Z992" s="294">
        <f>IF(NFI_Expiration=1,IF($A992&lt;VLOOKUP(I$5,NFI,5,0),1,0)*Table_NFI[[#This Row],[NFI Core Kit]],Table_NFI[NFI Core Kit])</f>
        <v>0</v>
      </c>
      <c r="AA992" s="294">
        <f>IF(NFI_Expiration=1,IF($A992&lt;VLOOKUP(J$5,NFI,5,0),1,0)*Table_NFI[[#This Row],[Sanitary Kit]],Table_NFI[Sanitary Kit])</f>
        <v>0</v>
      </c>
      <c r="AB992" s="294">
        <f>IF(NFI_Expiration=1,IF($A992&lt;VLOOKUP(K$5,NFI,5,0),1,0)*Table_NFI[[#This Row],[Mosquito net]],Table_NFI[Mosquito net])</f>
        <v>0</v>
      </c>
      <c r="AC992" s="294">
        <f>IF(NFI_Expiration=1,IF($A992&lt;VLOOKUP(L$5,NFI,5,0),1,0)*Table_NFI[[#This Row],[Tarpaulin]],Table_NFI[[#This Row],[Tarpaulin]])</f>
        <v>0</v>
      </c>
      <c r="AD992" s="294">
        <f>IF(NFI_Expiration=1,IF($A992&lt;VLOOKUP(M$5,NFI,5,0),1,0)*Table_NFI[[#This Row],[Blanket]],Table_NFI[[#This Row],[Blanket]])</f>
        <v>0</v>
      </c>
      <c r="AE992" s="294">
        <f>IF(NFI_Expiration=1,IF($A992&lt;VLOOKUP(N$5,NFI,5,0),1,0)*Table_NFI[[#This Row],[Kitchen Set]],Table_NFI[Kitchen Set])</f>
        <v>0</v>
      </c>
      <c r="AF992" s="294">
        <f>IF(NFI_Expiration=1,IF($A992&lt;VLOOKUP(O$5,NFI,5,0),1,0)*Table_NFI[[#This Row],[Clothes Kit]],Table_NFI[Clothes Kit])</f>
        <v>0</v>
      </c>
      <c r="AG992" s="294">
        <f>IF(NFI_Expiration=1,IF($A992&lt;VLOOKUP(P$5,NFI,5,0),1,0)*Table_NFI[[#This Row],[Plastic Bucket]],Table_NFI[Plastic Bucket])</f>
        <v>0</v>
      </c>
      <c r="AH992" s="294">
        <f>IF(NFI_Expiration=1,IF($A992&lt;VLOOKUP(Q$5,NFI,5,0),1,0)*Table_NFI[[#This Row],[Plastic Mat]],Table_NFI[Plastic Mat])*IF(Table_NFI[[#This Row],[Distribution Date]]&gt;"2014-04-01",1,2.5)</f>
        <v>0</v>
      </c>
      <c r="AI992" s="294">
        <f>IF(NFI_Expiration=1,IF($A992&lt;VLOOKUP(R$5,NFI,5,0),1,0)*Table_NFI[[#This Row],[Winter Clothes Adult]],Table_NFI[Winter Clothes Adult])</f>
        <v>0</v>
      </c>
      <c r="AJ992" s="294">
        <f>IF(NFI_Expiration=1,IF($A992&lt;VLOOKUP(S$5,NFI,5,0),1,0)*Table_NFI[[#This Row],[Winter Clothes Children]],Table_NFI[Winter Clothes Children])</f>
        <v>0</v>
      </c>
      <c r="AK992" s="294">
        <f>IF(NFI_Expiration=1,IF($A992&lt;VLOOKUP(T$5,NFI,5,0),1,0)*Table_NFI[[#This Row],[Winter Items Other]],Table_NFI[Winter Items Other])</f>
        <v>0</v>
      </c>
      <c r="AL992" s="294">
        <f>IF(NFI_Expiration=1,IF($A992&lt;VLOOKUP(M$5,NFI,5,0),1,0)*Table_NFI[[#This Row],[Winter Blanket]],Table_NFI[[#This Row],[Winter Blanket]])</f>
        <v>0</v>
      </c>
      <c r="AM992" s="294">
        <f>IF(Table_NFI[[#This Row],[Winter Clothes Adult]]+Table_NFI[[#This Row],[Winter Clothes Children]]+Table_NFI[[#This Row],[Winter Items Other]]+Table_NFI[[#This Row],[Winter Blanket]]&gt;0,1,0)</f>
        <v>0</v>
      </c>
      <c r="AN992" s="331">
        <f>IF(NFI_Expiration=1,IF($A992&lt;VLOOKUP(V$5,NFI,5,0),1,0)*Table_NFI[[#This Row],[Jerry Can]],Table_NFI[Jerry Can])</f>
        <v>0</v>
      </c>
      <c r="AO992" s="331">
        <f>IF(NFI_Expiration=1,IF($A992&lt;VLOOKUP(V$5,NFI,5,0),1,0)*Table_NFI[[#This Row],[Shelter Tool kit]],Table_NFI[Shelter Tool kit])</f>
        <v>0</v>
      </c>
      <c r="AP992" s="331">
        <f>IF(NFI_Expiration=1,IF($A992&lt;VLOOKUP(V$5,NFI,5,0),1,0)*Table_NFI[[#This Row],[Tent]],Table_NFI[Tent])</f>
        <v>0</v>
      </c>
      <c r="AQ992" s="473" t="str">
        <f>IFERROR(VLOOKUP(Table_NFI[[#This Row],[Camp Name]],CL,2,0),"")</f>
        <v>MMR001CMP123</v>
      </c>
      <c r="AR992" s="468">
        <f ca="1">IF(Table_NFI[[#This Row],[Pcode]]="","",IF(OFFSET(CampList[Opening Date],MATCH(Table_NFI[[#This Row],[Pcode]],CampList[CP_Pcode],0)-1,0,1,1)&gt;=NFI_Monitor_Date,1,0))</f>
        <v>0</v>
      </c>
      <c r="AS992" s="473" t="str">
        <f>IFERROR(VLOOKUP(Table_NFI[[#This Row],[Camp Name]],CL,3,0),"")</f>
        <v>Open</v>
      </c>
      <c r="AT992" s="294" t="str">
        <f ca="1">IF(Table_NFI[[#This Row],[Pcode]]="","",OFFSET(CampList[Priority],MATCH(Table_NFI[[#This Row],[Pcode]],CampList[CP_Pcode],0)-1,0,1,1))</f>
        <v>P2</v>
      </c>
      <c r="AU992" s="293">
        <f>IFERROR(Table_NFI[[#This Row],[Kitchen Set]]/VLOOKUP(Table_NFI[[#This Row],[Camp Name]],CL,4,0),"")</f>
        <v>0.90825688073394495</v>
      </c>
      <c r="AV992" s="466" t="s">
        <v>1092</v>
      </c>
      <c r="AW992" s="469"/>
    </row>
    <row r="993" spans="1:49" s="470" customFormat="1" x14ac:dyDescent="0.25">
      <c r="A993" s="297">
        <f t="shared" si="15"/>
        <v>55.033333333333331</v>
      </c>
      <c r="B993" s="465">
        <v>41024</v>
      </c>
      <c r="C993" s="466" t="s">
        <v>452</v>
      </c>
      <c r="D993" s="466" t="s">
        <v>452</v>
      </c>
      <c r="E993" s="466" t="s">
        <v>380</v>
      </c>
      <c r="F993" s="290" t="s">
        <v>237</v>
      </c>
      <c r="G993" s="290" t="s">
        <v>283</v>
      </c>
      <c r="H993" s="291"/>
      <c r="I993" s="291"/>
      <c r="J993" s="291"/>
      <c r="K993" s="291">
        <v>39</v>
      </c>
      <c r="L993" s="292">
        <v>19</v>
      </c>
      <c r="M993" s="292">
        <v>78</v>
      </c>
      <c r="N993" s="292">
        <v>19</v>
      </c>
      <c r="O993" s="292">
        <v>0</v>
      </c>
      <c r="P993" s="294"/>
      <c r="Q993" s="294"/>
      <c r="R993" s="294"/>
      <c r="S993" s="294"/>
      <c r="T993" s="294"/>
      <c r="U993" s="294"/>
      <c r="V993" s="431"/>
      <c r="W993" s="294"/>
      <c r="X993" s="294"/>
      <c r="Y993" s="294">
        <f>IF(NFI_Expiration=1,IF($A993&lt;VLOOKUP(H$5,NFI,5,0),1,0)*Table_NFI[[#This Row],[Hygiene Kit]],Table_NFI[Hygiene Kit])</f>
        <v>0</v>
      </c>
      <c r="Z993" s="294">
        <f>IF(NFI_Expiration=1,IF($A993&lt;VLOOKUP(I$5,NFI,5,0),1,0)*Table_NFI[[#This Row],[NFI Core Kit]],Table_NFI[NFI Core Kit])</f>
        <v>0</v>
      </c>
      <c r="AA993" s="294">
        <f>IF(NFI_Expiration=1,IF($A993&lt;VLOOKUP(J$5,NFI,5,0),1,0)*Table_NFI[[#This Row],[Sanitary Kit]],Table_NFI[Sanitary Kit])</f>
        <v>0</v>
      </c>
      <c r="AB993" s="294">
        <f>IF(NFI_Expiration=1,IF($A993&lt;VLOOKUP(K$5,NFI,5,0),1,0)*Table_NFI[[#This Row],[Mosquito net]],Table_NFI[Mosquito net])</f>
        <v>0</v>
      </c>
      <c r="AC993" s="294">
        <f>IF(NFI_Expiration=1,IF($A993&lt;VLOOKUP(L$5,NFI,5,0),1,0)*Table_NFI[[#This Row],[Tarpaulin]],Table_NFI[[#This Row],[Tarpaulin]])</f>
        <v>0</v>
      </c>
      <c r="AD993" s="294">
        <f>IF(NFI_Expiration=1,IF($A993&lt;VLOOKUP(M$5,NFI,5,0),1,0)*Table_NFI[[#This Row],[Blanket]],Table_NFI[[#This Row],[Blanket]])</f>
        <v>0</v>
      </c>
      <c r="AE993" s="294">
        <f>IF(NFI_Expiration=1,IF($A993&lt;VLOOKUP(N$5,NFI,5,0),1,0)*Table_NFI[[#This Row],[Kitchen Set]],Table_NFI[Kitchen Set])</f>
        <v>0</v>
      </c>
      <c r="AF993" s="294">
        <f>IF(NFI_Expiration=1,IF($A993&lt;VLOOKUP(O$5,NFI,5,0),1,0)*Table_NFI[[#This Row],[Clothes Kit]],Table_NFI[Clothes Kit])</f>
        <v>0</v>
      </c>
      <c r="AG993" s="294">
        <f>IF(NFI_Expiration=1,IF($A993&lt;VLOOKUP(P$5,NFI,5,0),1,0)*Table_NFI[[#This Row],[Plastic Bucket]],Table_NFI[Plastic Bucket])</f>
        <v>0</v>
      </c>
      <c r="AH993" s="294">
        <f>IF(NFI_Expiration=1,IF($A993&lt;VLOOKUP(Q$5,NFI,5,0),1,0)*Table_NFI[[#This Row],[Plastic Mat]],Table_NFI[Plastic Mat])*IF(Table_NFI[[#This Row],[Distribution Date]]&gt;"2014-04-01",1,2.5)</f>
        <v>0</v>
      </c>
      <c r="AI993" s="294">
        <f>IF(NFI_Expiration=1,IF($A993&lt;VLOOKUP(R$5,NFI,5,0),1,0)*Table_NFI[[#This Row],[Winter Clothes Adult]],Table_NFI[Winter Clothes Adult])</f>
        <v>0</v>
      </c>
      <c r="AJ993" s="294">
        <f>IF(NFI_Expiration=1,IF($A993&lt;VLOOKUP(S$5,NFI,5,0),1,0)*Table_NFI[[#This Row],[Winter Clothes Children]],Table_NFI[Winter Clothes Children])</f>
        <v>0</v>
      </c>
      <c r="AK993" s="294">
        <f>IF(NFI_Expiration=1,IF($A993&lt;VLOOKUP(T$5,NFI,5,0),1,0)*Table_NFI[[#This Row],[Winter Items Other]],Table_NFI[Winter Items Other])</f>
        <v>0</v>
      </c>
      <c r="AL993" s="294">
        <f>IF(NFI_Expiration=1,IF($A993&lt;VLOOKUP(M$5,NFI,5,0),1,0)*Table_NFI[[#This Row],[Winter Blanket]],Table_NFI[[#This Row],[Winter Blanket]])</f>
        <v>0</v>
      </c>
      <c r="AM993" s="294">
        <f>IF(Table_NFI[[#This Row],[Winter Clothes Adult]]+Table_NFI[[#This Row],[Winter Clothes Children]]+Table_NFI[[#This Row],[Winter Items Other]]+Table_NFI[[#This Row],[Winter Blanket]]&gt;0,1,0)</f>
        <v>0</v>
      </c>
      <c r="AN993" s="331">
        <f>IF(NFI_Expiration=1,IF($A993&lt;VLOOKUP(V$5,NFI,5,0),1,0)*Table_NFI[[#This Row],[Jerry Can]],Table_NFI[Jerry Can])</f>
        <v>0</v>
      </c>
      <c r="AO993" s="331">
        <f>IF(NFI_Expiration=1,IF($A993&lt;VLOOKUP(V$5,NFI,5,0),1,0)*Table_NFI[[#This Row],[Shelter Tool kit]],Table_NFI[Shelter Tool kit])</f>
        <v>0</v>
      </c>
      <c r="AP993" s="331">
        <f>IF(NFI_Expiration=1,IF($A993&lt;VLOOKUP(V$5,NFI,5,0),1,0)*Table_NFI[[#This Row],[Tent]],Table_NFI[Tent])</f>
        <v>0</v>
      </c>
      <c r="AQ993" s="473" t="str">
        <f>IFERROR(VLOOKUP(Table_NFI[[#This Row],[Camp Name]],CL,2,0),"")</f>
        <v>MMR001CMP022</v>
      </c>
      <c r="AR993" s="468">
        <f ca="1">IF(Table_NFI[[#This Row],[Pcode]]="","",IF(OFFSET(CampList[Opening Date],MATCH(Table_NFI[[#This Row],[Pcode]],CampList[CP_Pcode],0)-1,0,1,1)&gt;=NFI_Monitor_Date,1,0))</f>
        <v>0</v>
      </c>
      <c r="AS993" s="473" t="str">
        <f>IFERROR(VLOOKUP(Table_NFI[[#This Row],[Camp Name]],CL,3,0),"")</f>
        <v>Open</v>
      </c>
      <c r="AT993" s="294" t="str">
        <f ca="1">IF(Table_NFI[[#This Row],[Pcode]]="","",OFFSET(CampList[Priority],MATCH(Table_NFI[[#This Row],[Pcode]],CampList[CP_Pcode],0)-1,0,1,1))</f>
        <v>P4</v>
      </c>
      <c r="AU993" s="293">
        <f>IFERROR(Table_NFI[[#This Row],[Kitchen Set]]/VLOOKUP(Table_NFI[[#This Row],[Camp Name]],CL,4,0),"")</f>
        <v>2.7142857142857144</v>
      </c>
      <c r="AV993" s="466" t="s">
        <v>1092</v>
      </c>
      <c r="AW993" s="469"/>
    </row>
    <row r="994" spans="1:49" s="470" customFormat="1" x14ac:dyDescent="0.25">
      <c r="A994" s="297">
        <f t="shared" si="15"/>
        <v>55.133333333333333</v>
      </c>
      <c r="B994" s="465">
        <v>41021</v>
      </c>
      <c r="C994" s="466" t="s">
        <v>452</v>
      </c>
      <c r="D994" s="466" t="s">
        <v>452</v>
      </c>
      <c r="E994" s="466" t="s">
        <v>380</v>
      </c>
      <c r="F994" s="290" t="s">
        <v>185</v>
      </c>
      <c r="G994" s="290" t="s">
        <v>907</v>
      </c>
      <c r="H994" s="291"/>
      <c r="I994" s="291"/>
      <c r="J994" s="291"/>
      <c r="K994" s="291">
        <v>846</v>
      </c>
      <c r="L994" s="292">
        <v>423</v>
      </c>
      <c r="M994" s="292">
        <v>846</v>
      </c>
      <c r="N994" s="292">
        <v>423</v>
      </c>
      <c r="O994" s="292">
        <v>423</v>
      </c>
      <c r="P994" s="294">
        <v>423</v>
      </c>
      <c r="Q994" s="294">
        <v>423</v>
      </c>
      <c r="R994" s="294"/>
      <c r="S994" s="294"/>
      <c r="T994" s="294"/>
      <c r="U994" s="294"/>
      <c r="V994" s="431"/>
      <c r="W994" s="294"/>
      <c r="X994" s="294"/>
      <c r="Y994" s="294">
        <f>IF(NFI_Expiration=1,IF($A994&lt;VLOOKUP(H$5,NFI,5,0),1,0)*Table_NFI[[#This Row],[Hygiene Kit]],Table_NFI[Hygiene Kit])</f>
        <v>0</v>
      </c>
      <c r="Z994" s="294">
        <f>IF(NFI_Expiration=1,IF($A994&lt;VLOOKUP(I$5,NFI,5,0),1,0)*Table_NFI[[#This Row],[NFI Core Kit]],Table_NFI[NFI Core Kit])</f>
        <v>0</v>
      </c>
      <c r="AA994" s="294">
        <f>IF(NFI_Expiration=1,IF($A994&lt;VLOOKUP(J$5,NFI,5,0),1,0)*Table_NFI[[#This Row],[Sanitary Kit]],Table_NFI[Sanitary Kit])</f>
        <v>0</v>
      </c>
      <c r="AB994" s="294">
        <f>IF(NFI_Expiration=1,IF($A994&lt;VLOOKUP(K$5,NFI,5,0),1,0)*Table_NFI[[#This Row],[Mosquito net]],Table_NFI[Mosquito net])</f>
        <v>0</v>
      </c>
      <c r="AC994" s="294">
        <f>IF(NFI_Expiration=1,IF($A994&lt;VLOOKUP(L$5,NFI,5,0),1,0)*Table_NFI[[#This Row],[Tarpaulin]],Table_NFI[[#This Row],[Tarpaulin]])</f>
        <v>0</v>
      </c>
      <c r="AD994" s="294">
        <f>IF(NFI_Expiration=1,IF($A994&lt;VLOOKUP(M$5,NFI,5,0),1,0)*Table_NFI[[#This Row],[Blanket]],Table_NFI[[#This Row],[Blanket]])</f>
        <v>0</v>
      </c>
      <c r="AE994" s="294">
        <f>IF(NFI_Expiration=1,IF($A994&lt;VLOOKUP(N$5,NFI,5,0),1,0)*Table_NFI[[#This Row],[Kitchen Set]],Table_NFI[Kitchen Set])</f>
        <v>0</v>
      </c>
      <c r="AF994" s="294">
        <f>IF(NFI_Expiration=1,IF($A994&lt;VLOOKUP(O$5,NFI,5,0),1,0)*Table_NFI[[#This Row],[Clothes Kit]],Table_NFI[Clothes Kit])</f>
        <v>0</v>
      </c>
      <c r="AG994" s="294">
        <f>IF(NFI_Expiration=1,IF($A994&lt;VLOOKUP(P$5,NFI,5,0),1,0)*Table_NFI[[#This Row],[Plastic Bucket]],Table_NFI[Plastic Bucket])</f>
        <v>0</v>
      </c>
      <c r="AH994" s="294">
        <f>IF(NFI_Expiration=1,IF($A994&lt;VLOOKUP(Q$5,NFI,5,0),1,0)*Table_NFI[[#This Row],[Plastic Mat]],Table_NFI[Plastic Mat])*IF(Table_NFI[[#This Row],[Distribution Date]]&gt;"2014-04-01",1,2.5)</f>
        <v>0</v>
      </c>
      <c r="AI994" s="294">
        <f>IF(NFI_Expiration=1,IF($A994&lt;VLOOKUP(R$5,NFI,5,0),1,0)*Table_NFI[[#This Row],[Winter Clothes Adult]],Table_NFI[Winter Clothes Adult])</f>
        <v>0</v>
      </c>
      <c r="AJ994" s="294">
        <f>IF(NFI_Expiration=1,IF($A994&lt;VLOOKUP(S$5,NFI,5,0),1,0)*Table_NFI[[#This Row],[Winter Clothes Children]],Table_NFI[Winter Clothes Children])</f>
        <v>0</v>
      </c>
      <c r="AK994" s="294">
        <f>IF(NFI_Expiration=1,IF($A994&lt;VLOOKUP(T$5,NFI,5,0),1,0)*Table_NFI[[#This Row],[Winter Items Other]],Table_NFI[Winter Items Other])</f>
        <v>0</v>
      </c>
      <c r="AL994" s="294">
        <f>IF(NFI_Expiration=1,IF($A994&lt;VLOOKUP(M$5,NFI,5,0),1,0)*Table_NFI[[#This Row],[Winter Blanket]],Table_NFI[[#This Row],[Winter Blanket]])</f>
        <v>0</v>
      </c>
      <c r="AM994" s="294">
        <f>IF(Table_NFI[[#This Row],[Winter Clothes Adult]]+Table_NFI[[#This Row],[Winter Clothes Children]]+Table_NFI[[#This Row],[Winter Items Other]]+Table_NFI[[#This Row],[Winter Blanket]]&gt;0,1,0)</f>
        <v>0</v>
      </c>
      <c r="AN994" s="331">
        <f>IF(NFI_Expiration=1,IF($A994&lt;VLOOKUP(V$5,NFI,5,0),1,0)*Table_NFI[[#This Row],[Jerry Can]],Table_NFI[Jerry Can])</f>
        <v>0</v>
      </c>
      <c r="AO994" s="331">
        <f>IF(NFI_Expiration=1,IF($A994&lt;VLOOKUP(V$5,NFI,5,0),1,0)*Table_NFI[[#This Row],[Shelter Tool kit]],Table_NFI[Shelter Tool kit])</f>
        <v>0</v>
      </c>
      <c r="AP994" s="331">
        <f>IF(NFI_Expiration=1,IF($A994&lt;VLOOKUP(V$5,NFI,5,0),1,0)*Table_NFI[[#This Row],[Tent]],Table_NFI[Tent])</f>
        <v>0</v>
      </c>
      <c r="AQ994" s="473" t="str">
        <f>IFERROR(VLOOKUP(Table_NFI[[#This Row],[Camp Name]],CL,2,0),"")</f>
        <v/>
      </c>
      <c r="AR994" s="468" t="str">
        <f ca="1">IF(Table_NFI[[#This Row],[Pcode]]="","",IF(OFFSET(CampList[Opening Date],MATCH(Table_NFI[[#This Row],[Pcode]],CampList[CP_Pcode],0)-1,0,1,1)&gt;=NFI_Monitor_Date,1,0))</f>
        <v/>
      </c>
      <c r="AS994" s="473" t="str">
        <f>IFERROR(VLOOKUP(Table_NFI[[#This Row],[Camp Name]],CL,3,0),"")</f>
        <v/>
      </c>
      <c r="AT994" s="294" t="str">
        <f ca="1">IF(Table_NFI[[#This Row],[Pcode]]="","",OFFSET(CampList[Priority],MATCH(Table_NFI[[#This Row],[Pcode]],CampList[CP_Pcode],0)-1,0,1,1))</f>
        <v/>
      </c>
      <c r="AU994" s="293" t="str">
        <f>IFERROR(Table_NFI[[#This Row],[Kitchen Set]]/VLOOKUP(Table_NFI[[#This Row],[Camp Name]],CL,4,0),"")</f>
        <v/>
      </c>
      <c r="AV994" s="466" t="s">
        <v>1092</v>
      </c>
      <c r="AW994" s="469"/>
    </row>
    <row r="995" spans="1:49" ht="14.45" customHeight="1" x14ac:dyDescent="0.25">
      <c r="A995" s="297">
        <f t="shared" si="15"/>
        <v>55.466666666666669</v>
      </c>
      <c r="B995" s="465">
        <v>41011</v>
      </c>
      <c r="C995" s="466" t="s">
        <v>452</v>
      </c>
      <c r="D995" s="467" t="s">
        <v>452</v>
      </c>
      <c r="E995" s="466" t="s">
        <v>380</v>
      </c>
      <c r="F995" s="290" t="s">
        <v>310</v>
      </c>
      <c r="G995" s="290" t="s">
        <v>355</v>
      </c>
      <c r="H995" s="291"/>
      <c r="I995" s="291"/>
      <c r="J995" s="291"/>
      <c r="K995" s="291">
        <v>123</v>
      </c>
      <c r="L995" s="292">
        <v>95</v>
      </c>
      <c r="M995" s="292">
        <v>123</v>
      </c>
      <c r="N995" s="292">
        <v>95</v>
      </c>
      <c r="O995" s="292">
        <v>95</v>
      </c>
      <c r="P995" s="294">
        <v>95</v>
      </c>
      <c r="Q995" s="294">
        <v>95</v>
      </c>
      <c r="R995" s="294"/>
      <c r="S995" s="294"/>
      <c r="T995" s="294"/>
      <c r="U995" s="294"/>
      <c r="V995" s="431"/>
      <c r="W995" s="294"/>
      <c r="X995" s="294"/>
      <c r="Y995" s="294">
        <f>IF(NFI_Expiration=1,IF($A995&lt;VLOOKUP(H$5,NFI,5,0),1,0)*Table_NFI[[#This Row],[Hygiene Kit]],Table_NFI[Hygiene Kit])</f>
        <v>0</v>
      </c>
      <c r="Z995" s="294">
        <f>IF(NFI_Expiration=1,IF($A995&lt;VLOOKUP(I$5,NFI,5,0),1,0)*Table_NFI[[#This Row],[NFI Core Kit]],Table_NFI[NFI Core Kit])</f>
        <v>0</v>
      </c>
      <c r="AA995" s="294">
        <f>IF(NFI_Expiration=1,IF($A995&lt;VLOOKUP(J$5,NFI,5,0),1,0)*Table_NFI[[#This Row],[Sanitary Kit]],Table_NFI[Sanitary Kit])</f>
        <v>0</v>
      </c>
      <c r="AB995" s="294">
        <f>IF(NFI_Expiration=1,IF($A995&lt;VLOOKUP(K$5,NFI,5,0),1,0)*Table_NFI[[#This Row],[Mosquito net]],Table_NFI[Mosquito net])</f>
        <v>0</v>
      </c>
      <c r="AC995" s="294">
        <f>IF(NFI_Expiration=1,IF($A995&lt;VLOOKUP(L$5,NFI,5,0),1,0)*Table_NFI[[#This Row],[Tarpaulin]],Table_NFI[[#This Row],[Tarpaulin]])</f>
        <v>0</v>
      </c>
      <c r="AD995" s="294">
        <f>IF(NFI_Expiration=1,IF($A995&lt;VLOOKUP(M$5,NFI,5,0),1,0)*Table_NFI[[#This Row],[Blanket]],Table_NFI[[#This Row],[Blanket]])</f>
        <v>0</v>
      </c>
      <c r="AE995" s="294">
        <f>IF(NFI_Expiration=1,IF($A995&lt;VLOOKUP(N$5,NFI,5,0),1,0)*Table_NFI[[#This Row],[Kitchen Set]],Table_NFI[Kitchen Set])</f>
        <v>0</v>
      </c>
      <c r="AF995" s="294">
        <f>IF(NFI_Expiration=1,IF($A995&lt;VLOOKUP(O$5,NFI,5,0),1,0)*Table_NFI[[#This Row],[Clothes Kit]],Table_NFI[Clothes Kit])</f>
        <v>0</v>
      </c>
      <c r="AG995" s="294">
        <f>IF(NFI_Expiration=1,IF($A995&lt;VLOOKUP(P$5,NFI,5,0),1,0)*Table_NFI[[#This Row],[Plastic Bucket]],Table_NFI[Plastic Bucket])</f>
        <v>0</v>
      </c>
      <c r="AH995" s="294">
        <f>IF(NFI_Expiration=1,IF($A995&lt;VLOOKUP(Q$5,NFI,5,0),1,0)*Table_NFI[[#This Row],[Plastic Mat]],Table_NFI[Plastic Mat])*IF(Table_NFI[[#This Row],[Distribution Date]]&gt;"2014-04-01",1,2.5)</f>
        <v>0</v>
      </c>
      <c r="AI995" s="294">
        <f>IF(NFI_Expiration=1,IF($A995&lt;VLOOKUP(R$5,NFI,5,0),1,0)*Table_NFI[[#This Row],[Winter Clothes Adult]],Table_NFI[Winter Clothes Adult])</f>
        <v>0</v>
      </c>
      <c r="AJ995" s="294">
        <f>IF(NFI_Expiration=1,IF($A995&lt;VLOOKUP(S$5,NFI,5,0),1,0)*Table_NFI[[#This Row],[Winter Clothes Children]],Table_NFI[Winter Clothes Children])</f>
        <v>0</v>
      </c>
      <c r="AK995" s="294">
        <f>IF(NFI_Expiration=1,IF($A995&lt;VLOOKUP(T$5,NFI,5,0),1,0)*Table_NFI[[#This Row],[Winter Items Other]],Table_NFI[Winter Items Other])</f>
        <v>0</v>
      </c>
      <c r="AL995" s="294">
        <f>IF(NFI_Expiration=1,IF($A995&lt;VLOOKUP(M$5,NFI,5,0),1,0)*Table_NFI[[#This Row],[Winter Blanket]],Table_NFI[[#This Row],[Winter Blanket]])</f>
        <v>0</v>
      </c>
      <c r="AM995" s="294">
        <f>IF(Table_NFI[[#This Row],[Winter Clothes Adult]]+Table_NFI[[#This Row],[Winter Clothes Children]]+Table_NFI[[#This Row],[Winter Items Other]]+Table_NFI[[#This Row],[Winter Blanket]]&gt;0,1,0)</f>
        <v>0</v>
      </c>
      <c r="AN995" s="331">
        <f>IF(NFI_Expiration=1,IF($A995&lt;VLOOKUP(V$5,NFI,5,0),1,0)*Table_NFI[[#This Row],[Jerry Can]],Table_NFI[Jerry Can])</f>
        <v>0</v>
      </c>
      <c r="AO995" s="331">
        <f>IF(NFI_Expiration=1,IF($A995&lt;VLOOKUP(V$5,NFI,5,0),1,0)*Table_NFI[[#This Row],[Shelter Tool kit]],Table_NFI[Shelter Tool kit])</f>
        <v>0</v>
      </c>
      <c r="AP995" s="331">
        <f>IF(NFI_Expiration=1,IF($A995&lt;VLOOKUP(V$5,NFI,5,0),1,0)*Table_NFI[[#This Row],[Tent]],Table_NFI[Tent])</f>
        <v>0</v>
      </c>
      <c r="AQ995" s="473" t="str">
        <f>IFERROR(VLOOKUP(Table_NFI[[#This Row],[Camp Name]],CL,2,0),"")</f>
        <v>MMR001CMP160</v>
      </c>
      <c r="AR995" s="468">
        <f ca="1">IF(Table_NFI[[#This Row],[Pcode]]="","",IF(OFFSET(CampList[Opening Date],MATCH(Table_NFI[[#This Row],[Pcode]],CampList[CP_Pcode],0)-1,0,1,1)&gt;=NFI_Monitor_Date,1,0))</f>
        <v>0</v>
      </c>
      <c r="AS995" s="473" t="str">
        <f>IFERROR(VLOOKUP(Table_NFI[[#This Row],[Camp Name]],CL,3,0),"")</f>
        <v>Open</v>
      </c>
      <c r="AT995" s="294" t="str">
        <f ca="1">IF(Table_NFI[[#This Row],[Pcode]]="","",OFFSET(CampList[Priority],MATCH(Table_NFI[[#This Row],[Pcode]],CampList[CP_Pcode],0)-1,0,1,1))</f>
        <v>P1</v>
      </c>
      <c r="AU995" s="293">
        <f>IFERROR(Table_NFI[[#This Row],[Kitchen Set]]/VLOOKUP(Table_NFI[[#This Row],[Camp Name]],CL,4,0),"")</f>
        <v>0.96938775510204078</v>
      </c>
      <c r="AV995" s="466" t="s">
        <v>1092</v>
      </c>
      <c r="AW995" s="469"/>
    </row>
    <row r="996" spans="1:49" ht="14.45" customHeight="1" x14ac:dyDescent="0.25">
      <c r="A996" s="297">
        <f t="shared" si="15"/>
        <v>55.533333333333331</v>
      </c>
      <c r="B996" s="465">
        <v>41009</v>
      </c>
      <c r="C996" s="466" t="s">
        <v>452</v>
      </c>
      <c r="D996" s="466" t="s">
        <v>459</v>
      </c>
      <c r="E996" s="466" t="s">
        <v>380</v>
      </c>
      <c r="F996" s="466" t="s">
        <v>302</v>
      </c>
      <c r="G996" s="290" t="s">
        <v>306</v>
      </c>
      <c r="H996" s="291"/>
      <c r="I996" s="291"/>
      <c r="J996" s="291"/>
      <c r="K996" s="291">
        <v>46</v>
      </c>
      <c r="L996" s="292">
        <v>27</v>
      </c>
      <c r="M996" s="292">
        <v>46</v>
      </c>
      <c r="N996" s="292">
        <v>27</v>
      </c>
      <c r="O996" s="292">
        <v>27</v>
      </c>
      <c r="P996" s="294">
        <v>27</v>
      </c>
      <c r="Q996" s="294">
        <v>27</v>
      </c>
      <c r="R996" s="294"/>
      <c r="S996" s="294"/>
      <c r="T996" s="294"/>
      <c r="U996" s="294"/>
      <c r="V996" s="431"/>
      <c r="W996" s="294"/>
      <c r="X996" s="294"/>
      <c r="Y996" s="294">
        <f>IF(NFI_Expiration=1,IF($A996&lt;VLOOKUP(H$5,NFI,5,0),1,0)*Table_NFI[[#This Row],[Hygiene Kit]],Table_NFI[Hygiene Kit])</f>
        <v>0</v>
      </c>
      <c r="Z996" s="294">
        <f>IF(NFI_Expiration=1,IF($A996&lt;VLOOKUP(I$5,NFI,5,0),1,0)*Table_NFI[[#This Row],[NFI Core Kit]],Table_NFI[NFI Core Kit])</f>
        <v>0</v>
      </c>
      <c r="AA996" s="294">
        <f>IF(NFI_Expiration=1,IF($A996&lt;VLOOKUP(J$5,NFI,5,0),1,0)*Table_NFI[[#This Row],[Sanitary Kit]],Table_NFI[Sanitary Kit])</f>
        <v>0</v>
      </c>
      <c r="AB996" s="294">
        <f>IF(NFI_Expiration=1,IF($A996&lt;VLOOKUP(K$5,NFI,5,0),1,0)*Table_NFI[[#This Row],[Mosquito net]],Table_NFI[Mosquito net])</f>
        <v>0</v>
      </c>
      <c r="AC996" s="294">
        <f>IF(NFI_Expiration=1,IF($A996&lt;VLOOKUP(L$5,NFI,5,0),1,0)*Table_NFI[[#This Row],[Tarpaulin]],Table_NFI[[#This Row],[Tarpaulin]])</f>
        <v>0</v>
      </c>
      <c r="AD996" s="294">
        <f>IF(NFI_Expiration=1,IF($A996&lt;VLOOKUP(M$5,NFI,5,0),1,0)*Table_NFI[[#This Row],[Blanket]],Table_NFI[[#This Row],[Blanket]])</f>
        <v>0</v>
      </c>
      <c r="AE996" s="294">
        <f>IF(NFI_Expiration=1,IF($A996&lt;VLOOKUP(N$5,NFI,5,0),1,0)*Table_NFI[[#This Row],[Kitchen Set]],Table_NFI[Kitchen Set])</f>
        <v>0</v>
      </c>
      <c r="AF996" s="294">
        <f>IF(NFI_Expiration=1,IF($A996&lt;VLOOKUP(O$5,NFI,5,0),1,0)*Table_NFI[[#This Row],[Clothes Kit]],Table_NFI[Clothes Kit])</f>
        <v>0</v>
      </c>
      <c r="AG996" s="294">
        <f>IF(NFI_Expiration=1,IF($A996&lt;VLOOKUP(P$5,NFI,5,0),1,0)*Table_NFI[[#This Row],[Plastic Bucket]],Table_NFI[Plastic Bucket])</f>
        <v>0</v>
      </c>
      <c r="AH996" s="294">
        <f>IF(NFI_Expiration=1,IF($A996&lt;VLOOKUP(Q$5,NFI,5,0),1,0)*Table_NFI[[#This Row],[Plastic Mat]],Table_NFI[Plastic Mat])*IF(Table_NFI[[#This Row],[Distribution Date]]&gt;"2014-04-01",1,2.5)</f>
        <v>0</v>
      </c>
      <c r="AI996" s="294">
        <f>IF(NFI_Expiration=1,IF($A996&lt;VLOOKUP(R$5,NFI,5,0),1,0)*Table_NFI[[#This Row],[Winter Clothes Adult]],Table_NFI[Winter Clothes Adult])</f>
        <v>0</v>
      </c>
      <c r="AJ996" s="294">
        <f>IF(NFI_Expiration=1,IF($A996&lt;VLOOKUP(S$5,NFI,5,0),1,0)*Table_NFI[[#This Row],[Winter Clothes Children]],Table_NFI[Winter Clothes Children])</f>
        <v>0</v>
      </c>
      <c r="AK996" s="294">
        <f>IF(NFI_Expiration=1,IF($A996&lt;VLOOKUP(T$5,NFI,5,0),1,0)*Table_NFI[[#This Row],[Winter Items Other]],Table_NFI[Winter Items Other])</f>
        <v>0</v>
      </c>
      <c r="AL996" s="294">
        <f>IF(NFI_Expiration=1,IF($A996&lt;VLOOKUP(M$5,NFI,5,0),1,0)*Table_NFI[[#This Row],[Winter Blanket]],Table_NFI[[#This Row],[Winter Blanket]])</f>
        <v>0</v>
      </c>
      <c r="AM996" s="294">
        <f>IF(Table_NFI[[#This Row],[Winter Clothes Adult]]+Table_NFI[[#This Row],[Winter Clothes Children]]+Table_NFI[[#This Row],[Winter Items Other]]+Table_NFI[[#This Row],[Winter Blanket]]&gt;0,1,0)</f>
        <v>0</v>
      </c>
      <c r="AN996" s="331">
        <f>IF(NFI_Expiration=1,IF($A996&lt;VLOOKUP(V$5,NFI,5,0),1,0)*Table_NFI[[#This Row],[Jerry Can]],Table_NFI[Jerry Can])</f>
        <v>0</v>
      </c>
      <c r="AO996" s="331">
        <f>IF(NFI_Expiration=1,IF($A996&lt;VLOOKUP(V$5,NFI,5,0),1,0)*Table_NFI[[#This Row],[Shelter Tool kit]],Table_NFI[Shelter Tool kit])</f>
        <v>0</v>
      </c>
      <c r="AP996" s="331">
        <f>IF(NFI_Expiration=1,IF($A996&lt;VLOOKUP(V$5,NFI,5,0),1,0)*Table_NFI[[#This Row],[Tent]],Table_NFI[Tent])</f>
        <v>0</v>
      </c>
      <c r="AQ996" s="473" t="str">
        <f>IFERROR(VLOOKUP(Table_NFI[[#This Row],[Camp Name]],CL,2,0),"")</f>
        <v>MMR001CMP067</v>
      </c>
      <c r="AR996" s="468">
        <f ca="1">IF(Table_NFI[[#This Row],[Pcode]]="","",IF(OFFSET(CampList[Opening Date],MATCH(Table_NFI[[#This Row],[Pcode]],CampList[CP_Pcode],0)-1,0,1,1)&gt;=NFI_Monitor_Date,1,0))</f>
        <v>0</v>
      </c>
      <c r="AS996" s="473" t="str">
        <f>IFERROR(VLOOKUP(Table_NFI[[#This Row],[Camp Name]],CL,3,0),"")</f>
        <v>Open</v>
      </c>
      <c r="AT996" s="294" t="str">
        <f ca="1">IF(Table_NFI[[#This Row],[Pcode]]="","",OFFSET(CampList[Priority],MATCH(Table_NFI[[#This Row],[Pcode]],CampList[CP_Pcode],0)-1,0,1,1))</f>
        <v>P4</v>
      </c>
      <c r="AU996" s="293">
        <f>IFERROR(Table_NFI[[#This Row],[Kitchen Set]]/VLOOKUP(Table_NFI[[#This Row],[Camp Name]],CL,4,0),"")</f>
        <v>0.31395348837209303</v>
      </c>
      <c r="AV996" s="466" t="s">
        <v>1092</v>
      </c>
      <c r="AW996" s="469"/>
    </row>
    <row r="997" spans="1:49" s="470" customFormat="1" ht="14.45" customHeight="1" x14ac:dyDescent="0.25">
      <c r="A997" s="297">
        <f t="shared" si="15"/>
        <v>55.533333333333331</v>
      </c>
      <c r="B997" s="465">
        <v>41009</v>
      </c>
      <c r="C997" s="466" t="s">
        <v>452</v>
      </c>
      <c r="D997" s="466" t="s">
        <v>459</v>
      </c>
      <c r="E997" s="466" t="s">
        <v>380</v>
      </c>
      <c r="F997" s="290" t="s">
        <v>302</v>
      </c>
      <c r="G997" s="290" t="s">
        <v>308</v>
      </c>
      <c r="H997" s="291"/>
      <c r="I997" s="291"/>
      <c r="J997" s="291"/>
      <c r="K997" s="291">
        <v>43</v>
      </c>
      <c r="L997" s="292">
        <v>25</v>
      </c>
      <c r="M997" s="292">
        <v>43</v>
      </c>
      <c r="N997" s="292">
        <v>25</v>
      </c>
      <c r="O997" s="292">
        <v>25</v>
      </c>
      <c r="P997" s="294">
        <v>25</v>
      </c>
      <c r="Q997" s="294">
        <v>25</v>
      </c>
      <c r="R997" s="294"/>
      <c r="S997" s="294"/>
      <c r="T997" s="294"/>
      <c r="U997" s="294"/>
      <c r="V997" s="431"/>
      <c r="W997" s="294"/>
      <c r="X997" s="294"/>
      <c r="Y997" s="294">
        <f>IF(NFI_Expiration=1,IF($A997&lt;VLOOKUP(H$5,NFI,5,0),1,0)*Table_NFI[[#This Row],[Hygiene Kit]],Table_NFI[Hygiene Kit])</f>
        <v>0</v>
      </c>
      <c r="Z997" s="294">
        <f>IF(NFI_Expiration=1,IF($A997&lt;VLOOKUP(I$5,NFI,5,0),1,0)*Table_NFI[[#This Row],[NFI Core Kit]],Table_NFI[NFI Core Kit])</f>
        <v>0</v>
      </c>
      <c r="AA997" s="294">
        <f>IF(NFI_Expiration=1,IF($A997&lt;VLOOKUP(J$5,NFI,5,0),1,0)*Table_NFI[[#This Row],[Sanitary Kit]],Table_NFI[Sanitary Kit])</f>
        <v>0</v>
      </c>
      <c r="AB997" s="294">
        <f>IF(NFI_Expiration=1,IF($A997&lt;VLOOKUP(K$5,NFI,5,0),1,0)*Table_NFI[[#This Row],[Mosquito net]],Table_NFI[Mosquito net])</f>
        <v>0</v>
      </c>
      <c r="AC997" s="294">
        <f>IF(NFI_Expiration=1,IF($A997&lt;VLOOKUP(L$5,NFI,5,0),1,0)*Table_NFI[[#This Row],[Tarpaulin]],Table_NFI[[#This Row],[Tarpaulin]])</f>
        <v>0</v>
      </c>
      <c r="AD997" s="294">
        <f>IF(NFI_Expiration=1,IF($A997&lt;VLOOKUP(M$5,NFI,5,0),1,0)*Table_NFI[[#This Row],[Blanket]],Table_NFI[[#This Row],[Blanket]])</f>
        <v>0</v>
      </c>
      <c r="AE997" s="294">
        <f>IF(NFI_Expiration=1,IF($A997&lt;VLOOKUP(N$5,NFI,5,0),1,0)*Table_NFI[[#This Row],[Kitchen Set]],Table_NFI[Kitchen Set])</f>
        <v>0</v>
      </c>
      <c r="AF997" s="294">
        <f>IF(NFI_Expiration=1,IF($A997&lt;VLOOKUP(O$5,NFI,5,0),1,0)*Table_NFI[[#This Row],[Clothes Kit]],Table_NFI[Clothes Kit])</f>
        <v>0</v>
      </c>
      <c r="AG997" s="294">
        <f>IF(NFI_Expiration=1,IF($A997&lt;VLOOKUP(P$5,NFI,5,0),1,0)*Table_NFI[[#This Row],[Plastic Bucket]],Table_NFI[Plastic Bucket])</f>
        <v>0</v>
      </c>
      <c r="AH997" s="294">
        <f>IF(NFI_Expiration=1,IF($A997&lt;VLOOKUP(Q$5,NFI,5,0),1,0)*Table_NFI[[#This Row],[Plastic Mat]],Table_NFI[Plastic Mat])*IF(Table_NFI[[#This Row],[Distribution Date]]&gt;"2014-04-01",1,2.5)</f>
        <v>0</v>
      </c>
      <c r="AI997" s="294">
        <f>IF(NFI_Expiration=1,IF($A997&lt;VLOOKUP(R$5,NFI,5,0),1,0)*Table_NFI[[#This Row],[Winter Clothes Adult]],Table_NFI[Winter Clothes Adult])</f>
        <v>0</v>
      </c>
      <c r="AJ997" s="294">
        <f>IF(NFI_Expiration=1,IF($A997&lt;VLOOKUP(S$5,NFI,5,0),1,0)*Table_NFI[[#This Row],[Winter Clothes Children]],Table_NFI[Winter Clothes Children])</f>
        <v>0</v>
      </c>
      <c r="AK997" s="294">
        <f>IF(NFI_Expiration=1,IF($A997&lt;VLOOKUP(T$5,NFI,5,0),1,0)*Table_NFI[[#This Row],[Winter Items Other]],Table_NFI[Winter Items Other])</f>
        <v>0</v>
      </c>
      <c r="AL997" s="294">
        <f>IF(NFI_Expiration=1,IF($A997&lt;VLOOKUP(M$5,NFI,5,0),1,0)*Table_NFI[[#This Row],[Winter Blanket]],Table_NFI[[#This Row],[Winter Blanket]])</f>
        <v>0</v>
      </c>
      <c r="AM997" s="294">
        <f>IF(Table_NFI[[#This Row],[Winter Clothes Adult]]+Table_NFI[[#This Row],[Winter Clothes Children]]+Table_NFI[[#This Row],[Winter Items Other]]+Table_NFI[[#This Row],[Winter Blanket]]&gt;0,1,0)</f>
        <v>0</v>
      </c>
      <c r="AN997" s="331">
        <f>IF(NFI_Expiration=1,IF($A997&lt;VLOOKUP(V$5,NFI,5,0),1,0)*Table_NFI[[#This Row],[Jerry Can]],Table_NFI[Jerry Can])</f>
        <v>0</v>
      </c>
      <c r="AO997" s="331">
        <f>IF(NFI_Expiration=1,IF($A997&lt;VLOOKUP(V$5,NFI,5,0),1,0)*Table_NFI[[#This Row],[Shelter Tool kit]],Table_NFI[Shelter Tool kit])</f>
        <v>0</v>
      </c>
      <c r="AP997" s="331">
        <f>IF(NFI_Expiration=1,IF($A997&lt;VLOOKUP(V$5,NFI,5,0),1,0)*Table_NFI[[#This Row],[Tent]],Table_NFI[Tent])</f>
        <v>0</v>
      </c>
      <c r="AQ997" s="473" t="str">
        <f>IFERROR(VLOOKUP(Table_NFI[[#This Row],[Camp Name]],CL,2,0),"")</f>
        <v>MMR001CMP068</v>
      </c>
      <c r="AR997" s="468">
        <f ca="1">IF(Table_NFI[[#This Row],[Pcode]]="","",IF(OFFSET(CampList[Opening Date],MATCH(Table_NFI[[#This Row],[Pcode]],CampList[CP_Pcode],0)-1,0,1,1)&gt;=NFI_Monitor_Date,1,0))</f>
        <v>0</v>
      </c>
      <c r="AS997" s="473" t="str">
        <f>IFERROR(VLOOKUP(Table_NFI[[#This Row],[Camp Name]],CL,3,0),"")</f>
        <v>Open</v>
      </c>
      <c r="AT997" s="294" t="str">
        <f ca="1">IF(Table_NFI[[#This Row],[Pcode]]="","",OFFSET(CampList[Priority],MATCH(Table_NFI[[#This Row],[Pcode]],CampList[CP_Pcode],0)-1,0,1,1))</f>
        <v>P4</v>
      </c>
      <c r="AU997" s="293">
        <f>IFERROR(Table_NFI[[#This Row],[Kitchen Set]]/VLOOKUP(Table_NFI[[#This Row],[Camp Name]],CL,4,0),"")</f>
        <v>0.625</v>
      </c>
      <c r="AV997" s="466" t="s">
        <v>1092</v>
      </c>
      <c r="AW997" s="469"/>
    </row>
    <row r="998" spans="1:49" s="470" customFormat="1" ht="14.45" customHeight="1" x14ac:dyDescent="0.25">
      <c r="A998" s="297">
        <f t="shared" si="15"/>
        <v>55.6</v>
      </c>
      <c r="B998" s="465">
        <v>41007</v>
      </c>
      <c r="C998" s="466" t="s">
        <v>905</v>
      </c>
      <c r="D998" s="466"/>
      <c r="E998" s="466" t="s">
        <v>380</v>
      </c>
      <c r="F998" s="290" t="s">
        <v>5</v>
      </c>
      <c r="G998" s="290" t="s">
        <v>6</v>
      </c>
      <c r="H998" s="294">
        <v>302</v>
      </c>
      <c r="I998" s="291"/>
      <c r="J998" s="291"/>
      <c r="K998" s="291"/>
      <c r="L998" s="292"/>
      <c r="M998" s="292"/>
      <c r="N998" s="292"/>
      <c r="O998" s="292"/>
      <c r="P998" s="294"/>
      <c r="Q998" s="294"/>
      <c r="R998" s="294"/>
      <c r="S998" s="294"/>
      <c r="T998" s="294"/>
      <c r="U998" s="294"/>
      <c r="V998" s="431"/>
      <c r="W998" s="294"/>
      <c r="X998" s="294"/>
      <c r="Y998" s="294">
        <f>IF(NFI_Expiration=1,IF($A998&lt;VLOOKUP(H$5,NFI,5,0),1,0)*Table_NFI[[#This Row],[Hygiene Kit]],Table_NFI[Hygiene Kit])</f>
        <v>0</v>
      </c>
      <c r="Z998" s="294">
        <f>IF(NFI_Expiration=1,IF($A998&lt;VLOOKUP(I$5,NFI,5,0),1,0)*Table_NFI[[#This Row],[NFI Core Kit]],Table_NFI[NFI Core Kit])</f>
        <v>0</v>
      </c>
      <c r="AA998" s="294">
        <f>IF(NFI_Expiration=1,IF($A998&lt;VLOOKUP(J$5,NFI,5,0),1,0)*Table_NFI[[#This Row],[Sanitary Kit]],Table_NFI[Sanitary Kit])</f>
        <v>0</v>
      </c>
      <c r="AB998" s="294">
        <f>IF(NFI_Expiration=1,IF($A998&lt;VLOOKUP(K$5,NFI,5,0),1,0)*Table_NFI[[#This Row],[Mosquito net]],Table_NFI[Mosquito net])</f>
        <v>0</v>
      </c>
      <c r="AC998" s="294">
        <f>IF(NFI_Expiration=1,IF($A998&lt;VLOOKUP(L$5,NFI,5,0),1,0)*Table_NFI[[#This Row],[Tarpaulin]],Table_NFI[[#This Row],[Tarpaulin]])</f>
        <v>0</v>
      </c>
      <c r="AD998" s="294">
        <f>IF(NFI_Expiration=1,IF($A998&lt;VLOOKUP(M$5,NFI,5,0),1,0)*Table_NFI[[#This Row],[Blanket]],Table_NFI[[#This Row],[Blanket]])</f>
        <v>0</v>
      </c>
      <c r="AE998" s="294">
        <f>IF(NFI_Expiration=1,IF($A998&lt;VLOOKUP(N$5,NFI,5,0),1,0)*Table_NFI[[#This Row],[Kitchen Set]],Table_NFI[Kitchen Set])</f>
        <v>0</v>
      </c>
      <c r="AF998" s="294">
        <f>IF(NFI_Expiration=1,IF($A998&lt;VLOOKUP(O$5,NFI,5,0),1,0)*Table_NFI[[#This Row],[Clothes Kit]],Table_NFI[Clothes Kit])</f>
        <v>0</v>
      </c>
      <c r="AG998" s="294">
        <f>IF(NFI_Expiration=1,IF($A998&lt;VLOOKUP(P$5,NFI,5,0),1,0)*Table_NFI[[#This Row],[Plastic Bucket]],Table_NFI[Plastic Bucket])</f>
        <v>0</v>
      </c>
      <c r="AH998" s="294">
        <f>IF(NFI_Expiration=1,IF($A998&lt;VLOOKUP(Q$5,NFI,5,0),1,0)*Table_NFI[[#This Row],[Plastic Mat]],Table_NFI[Plastic Mat])*IF(Table_NFI[[#This Row],[Distribution Date]]&gt;"2014-04-01",1,2.5)</f>
        <v>0</v>
      </c>
      <c r="AI998" s="294">
        <f>IF(NFI_Expiration=1,IF($A998&lt;VLOOKUP(R$5,NFI,5,0),1,0)*Table_NFI[[#This Row],[Winter Clothes Adult]],Table_NFI[Winter Clothes Adult])</f>
        <v>0</v>
      </c>
      <c r="AJ998" s="294">
        <f>IF(NFI_Expiration=1,IF($A998&lt;VLOOKUP(S$5,NFI,5,0),1,0)*Table_NFI[[#This Row],[Winter Clothes Children]],Table_NFI[Winter Clothes Children])</f>
        <v>0</v>
      </c>
      <c r="AK998" s="294">
        <f>IF(NFI_Expiration=1,IF($A998&lt;VLOOKUP(T$5,NFI,5,0),1,0)*Table_NFI[[#This Row],[Winter Items Other]],Table_NFI[Winter Items Other])</f>
        <v>0</v>
      </c>
      <c r="AL998" s="294">
        <f>IF(NFI_Expiration=1,IF($A998&lt;VLOOKUP(M$5,NFI,5,0),1,0)*Table_NFI[[#This Row],[Winter Blanket]],Table_NFI[[#This Row],[Winter Blanket]])</f>
        <v>0</v>
      </c>
      <c r="AM998" s="294">
        <f>IF(Table_NFI[[#This Row],[Winter Clothes Adult]]+Table_NFI[[#This Row],[Winter Clothes Children]]+Table_NFI[[#This Row],[Winter Items Other]]+Table_NFI[[#This Row],[Winter Blanket]]&gt;0,1,0)</f>
        <v>0</v>
      </c>
      <c r="AN998" s="331">
        <f>IF(NFI_Expiration=1,IF($A998&lt;VLOOKUP(V$5,NFI,5,0),1,0)*Table_NFI[[#This Row],[Jerry Can]],Table_NFI[Jerry Can])</f>
        <v>0</v>
      </c>
      <c r="AO998" s="331">
        <f>IF(NFI_Expiration=1,IF($A998&lt;VLOOKUP(V$5,NFI,5,0),1,0)*Table_NFI[[#This Row],[Shelter Tool kit]],Table_NFI[Shelter Tool kit])</f>
        <v>0</v>
      </c>
      <c r="AP998" s="331">
        <f>IF(NFI_Expiration=1,IF($A998&lt;VLOOKUP(V$5,NFI,5,0),1,0)*Table_NFI[[#This Row],[Tent]],Table_NFI[Tent])</f>
        <v>0</v>
      </c>
      <c r="AQ998" s="473" t="str">
        <f>IFERROR(VLOOKUP(Table_NFI[[#This Row],[Camp Name]],CL,2,0),"")</f>
        <v>MMR001CMP050</v>
      </c>
      <c r="AR998" s="468">
        <f ca="1">IF(Table_NFI[[#This Row],[Pcode]]="","",IF(OFFSET(CampList[Opening Date],MATCH(Table_NFI[[#This Row],[Pcode]],CampList[CP_Pcode],0)-1,0,1,1)&gt;=NFI_Monitor_Date,1,0))</f>
        <v>0</v>
      </c>
      <c r="AS998" s="473" t="str">
        <f>IFERROR(VLOOKUP(Table_NFI[[#This Row],[Camp Name]],CL,3,0),"")</f>
        <v>Open</v>
      </c>
      <c r="AT998" s="294" t="str">
        <f ca="1">IF(Table_NFI[[#This Row],[Pcode]]="","",OFFSET(CampList[Priority],MATCH(Table_NFI[[#This Row],[Pcode]],CampList[CP_Pcode],0)-1,0,1,1))</f>
        <v>P4</v>
      </c>
      <c r="AU998" s="293">
        <f>IFERROR(Table_NFI[[#This Row],[Kitchen Set]]/VLOOKUP(Table_NFI[[#This Row],[Camp Name]],CL,4,0),"")</f>
        <v>0</v>
      </c>
      <c r="AV998" s="466"/>
      <c r="AW998" s="469"/>
    </row>
    <row r="999" spans="1:49" s="98" customFormat="1" ht="14.45" customHeight="1" x14ac:dyDescent="0.25">
      <c r="A999" s="297">
        <f t="shared" si="15"/>
        <v>55.7</v>
      </c>
      <c r="B999" s="465">
        <v>41004</v>
      </c>
      <c r="C999" s="466" t="s">
        <v>452</v>
      </c>
      <c r="D999" s="467" t="s">
        <v>452</v>
      </c>
      <c r="E999" s="466" t="s">
        <v>380</v>
      </c>
      <c r="F999" s="290" t="s">
        <v>185</v>
      </c>
      <c r="G999" s="290" t="s">
        <v>211</v>
      </c>
      <c r="H999" s="291"/>
      <c r="I999" s="291"/>
      <c r="J999" s="291"/>
      <c r="K999" s="291">
        <v>0</v>
      </c>
      <c r="L999" s="292">
        <v>50</v>
      </c>
      <c r="M999" s="292">
        <v>0</v>
      </c>
      <c r="N999" s="292">
        <v>0</v>
      </c>
      <c r="O999" s="292">
        <v>0</v>
      </c>
      <c r="P999" s="294"/>
      <c r="Q999" s="294"/>
      <c r="R999" s="294"/>
      <c r="S999" s="294"/>
      <c r="T999" s="294"/>
      <c r="U999" s="294"/>
      <c r="V999" s="431"/>
      <c r="W999" s="294"/>
      <c r="X999" s="294"/>
      <c r="Y999" s="294">
        <f>IF(NFI_Expiration=1,IF($A999&lt;VLOOKUP(H$5,NFI,5,0),1,0)*Table_NFI[[#This Row],[Hygiene Kit]],Table_NFI[Hygiene Kit])</f>
        <v>0</v>
      </c>
      <c r="Z999" s="294">
        <f>IF(NFI_Expiration=1,IF($A999&lt;VLOOKUP(I$5,NFI,5,0),1,0)*Table_NFI[[#This Row],[NFI Core Kit]],Table_NFI[NFI Core Kit])</f>
        <v>0</v>
      </c>
      <c r="AA999" s="294">
        <f>IF(NFI_Expiration=1,IF($A999&lt;VLOOKUP(J$5,NFI,5,0),1,0)*Table_NFI[[#This Row],[Sanitary Kit]],Table_NFI[Sanitary Kit])</f>
        <v>0</v>
      </c>
      <c r="AB999" s="294">
        <f>IF(NFI_Expiration=1,IF($A999&lt;VLOOKUP(K$5,NFI,5,0),1,0)*Table_NFI[[#This Row],[Mosquito net]],Table_NFI[Mosquito net])</f>
        <v>0</v>
      </c>
      <c r="AC999" s="294">
        <f>IF(NFI_Expiration=1,IF($A999&lt;VLOOKUP(L$5,NFI,5,0),1,0)*Table_NFI[[#This Row],[Tarpaulin]],Table_NFI[[#This Row],[Tarpaulin]])</f>
        <v>0</v>
      </c>
      <c r="AD999" s="294">
        <f>IF(NFI_Expiration=1,IF($A999&lt;VLOOKUP(M$5,NFI,5,0),1,0)*Table_NFI[[#This Row],[Blanket]],Table_NFI[[#This Row],[Blanket]])</f>
        <v>0</v>
      </c>
      <c r="AE999" s="294">
        <f>IF(NFI_Expiration=1,IF($A999&lt;VLOOKUP(N$5,NFI,5,0),1,0)*Table_NFI[[#This Row],[Kitchen Set]],Table_NFI[Kitchen Set])</f>
        <v>0</v>
      </c>
      <c r="AF999" s="294">
        <f>IF(NFI_Expiration=1,IF($A999&lt;VLOOKUP(O$5,NFI,5,0),1,0)*Table_NFI[[#This Row],[Clothes Kit]],Table_NFI[Clothes Kit])</f>
        <v>0</v>
      </c>
      <c r="AG999" s="294">
        <f>IF(NFI_Expiration=1,IF($A999&lt;VLOOKUP(P$5,NFI,5,0),1,0)*Table_NFI[[#This Row],[Plastic Bucket]],Table_NFI[Plastic Bucket])</f>
        <v>0</v>
      </c>
      <c r="AH999" s="294">
        <f>IF(NFI_Expiration=1,IF($A999&lt;VLOOKUP(Q$5,NFI,5,0),1,0)*Table_NFI[[#This Row],[Plastic Mat]],Table_NFI[Plastic Mat])*IF(Table_NFI[[#This Row],[Distribution Date]]&gt;"2014-04-01",1,2.5)</f>
        <v>0</v>
      </c>
      <c r="AI999" s="294">
        <f>IF(NFI_Expiration=1,IF($A999&lt;VLOOKUP(R$5,NFI,5,0),1,0)*Table_NFI[[#This Row],[Winter Clothes Adult]],Table_NFI[Winter Clothes Adult])</f>
        <v>0</v>
      </c>
      <c r="AJ999" s="294">
        <f>IF(NFI_Expiration=1,IF($A999&lt;VLOOKUP(S$5,NFI,5,0),1,0)*Table_NFI[[#This Row],[Winter Clothes Children]],Table_NFI[Winter Clothes Children])</f>
        <v>0</v>
      </c>
      <c r="AK999" s="294">
        <f>IF(NFI_Expiration=1,IF($A999&lt;VLOOKUP(T$5,NFI,5,0),1,0)*Table_NFI[[#This Row],[Winter Items Other]],Table_NFI[Winter Items Other])</f>
        <v>0</v>
      </c>
      <c r="AL999" s="294">
        <f>IF(NFI_Expiration=1,IF($A999&lt;VLOOKUP(M$5,NFI,5,0),1,0)*Table_NFI[[#This Row],[Winter Blanket]],Table_NFI[[#This Row],[Winter Blanket]])</f>
        <v>0</v>
      </c>
      <c r="AM999" s="294">
        <f>IF(Table_NFI[[#This Row],[Winter Clothes Adult]]+Table_NFI[[#This Row],[Winter Clothes Children]]+Table_NFI[[#This Row],[Winter Items Other]]+Table_NFI[[#This Row],[Winter Blanket]]&gt;0,1,0)</f>
        <v>0</v>
      </c>
      <c r="AN999" s="331">
        <f>IF(NFI_Expiration=1,IF($A999&lt;VLOOKUP(V$5,NFI,5,0),1,0)*Table_NFI[[#This Row],[Jerry Can]],Table_NFI[Jerry Can])</f>
        <v>0</v>
      </c>
      <c r="AO999" s="331">
        <f>IF(NFI_Expiration=1,IF($A999&lt;VLOOKUP(V$5,NFI,5,0),1,0)*Table_NFI[[#This Row],[Shelter Tool kit]],Table_NFI[Shelter Tool kit])</f>
        <v>0</v>
      </c>
      <c r="AP999" s="331">
        <f>IF(NFI_Expiration=1,IF($A999&lt;VLOOKUP(V$5,NFI,5,0),1,0)*Table_NFI[[#This Row],[Tent]],Table_NFI[Tent])</f>
        <v>0</v>
      </c>
      <c r="AQ999" s="473" t="str">
        <f>IFERROR(VLOOKUP(Table_NFI[[#This Row],[Camp Name]],CL,2,0),"")</f>
        <v>MMR001CMP057</v>
      </c>
      <c r="AR999" s="468">
        <f ca="1">IF(Table_NFI[[#This Row],[Pcode]]="","",IF(OFFSET(CampList[Opening Date],MATCH(Table_NFI[[#This Row],[Pcode]],CampList[CP_Pcode],0)-1,0,1,1)&gt;=NFI_Monitor_Date,1,0))</f>
        <v>0</v>
      </c>
      <c r="AS999" s="473" t="str">
        <f>IFERROR(VLOOKUP(Table_NFI[[#This Row],[Camp Name]],CL,3,0),"")</f>
        <v>Closed</v>
      </c>
      <c r="AT999" s="294" t="str">
        <f ca="1">IF(Table_NFI[[#This Row],[Pcode]]="","",OFFSET(CampList[Priority],MATCH(Table_NFI[[#This Row],[Pcode]],CampList[CP_Pcode],0)-1,0,1,1))</f>
        <v>P4</v>
      </c>
      <c r="AU999" s="293" t="str">
        <f>IFERROR(Table_NFI[[#This Row],[Kitchen Set]]/VLOOKUP(Table_NFI[[#This Row],[Camp Name]],CL,4,0),"")</f>
        <v/>
      </c>
      <c r="AV999" s="466" t="s">
        <v>1092</v>
      </c>
      <c r="AW999" s="469"/>
    </row>
    <row r="1000" spans="1:49" s="98" customFormat="1" ht="14.45" customHeight="1" x14ac:dyDescent="0.25">
      <c r="A1000" s="297">
        <f t="shared" si="15"/>
        <v>55.733333333333334</v>
      </c>
      <c r="B1000" s="465">
        <v>41003</v>
      </c>
      <c r="C1000" s="466" t="s">
        <v>452</v>
      </c>
      <c r="D1000" s="466" t="s">
        <v>452</v>
      </c>
      <c r="E1000" s="466" t="s">
        <v>380</v>
      </c>
      <c r="F1000" s="290" t="s">
        <v>151</v>
      </c>
      <c r="G1000" s="290" t="s">
        <v>188</v>
      </c>
      <c r="H1000" s="291"/>
      <c r="I1000" s="291"/>
      <c r="J1000" s="291"/>
      <c r="K1000" s="291">
        <v>216</v>
      </c>
      <c r="L1000" s="292">
        <v>108</v>
      </c>
      <c r="M1000" s="292">
        <v>216</v>
      </c>
      <c r="N1000" s="292">
        <v>108</v>
      </c>
      <c r="O1000" s="292">
        <v>108</v>
      </c>
      <c r="P1000" s="294">
        <v>108</v>
      </c>
      <c r="Q1000" s="294">
        <v>108</v>
      </c>
      <c r="R1000" s="294"/>
      <c r="S1000" s="294"/>
      <c r="T1000" s="294"/>
      <c r="U1000" s="294"/>
      <c r="V1000" s="431"/>
      <c r="W1000" s="294"/>
      <c r="X1000" s="294"/>
      <c r="Y1000" s="294">
        <f>IF(NFI_Expiration=1,IF($A1000&lt;VLOOKUP(H$5,NFI,5,0),1,0)*Table_NFI[[#This Row],[Hygiene Kit]],Table_NFI[Hygiene Kit])</f>
        <v>0</v>
      </c>
      <c r="Z1000" s="294">
        <f>IF(NFI_Expiration=1,IF($A1000&lt;VLOOKUP(I$5,NFI,5,0),1,0)*Table_NFI[[#This Row],[NFI Core Kit]],Table_NFI[NFI Core Kit])</f>
        <v>0</v>
      </c>
      <c r="AA1000" s="294">
        <f>IF(NFI_Expiration=1,IF($A1000&lt;VLOOKUP(J$5,NFI,5,0),1,0)*Table_NFI[[#This Row],[Sanitary Kit]],Table_NFI[Sanitary Kit])</f>
        <v>0</v>
      </c>
      <c r="AB1000" s="294">
        <f>IF(NFI_Expiration=1,IF($A1000&lt;VLOOKUP(K$5,NFI,5,0),1,0)*Table_NFI[[#This Row],[Mosquito net]],Table_NFI[Mosquito net])</f>
        <v>0</v>
      </c>
      <c r="AC1000" s="294">
        <f>IF(NFI_Expiration=1,IF($A1000&lt;VLOOKUP(L$5,NFI,5,0),1,0)*Table_NFI[[#This Row],[Tarpaulin]],Table_NFI[[#This Row],[Tarpaulin]])</f>
        <v>0</v>
      </c>
      <c r="AD1000" s="294">
        <f>IF(NFI_Expiration=1,IF($A1000&lt;VLOOKUP(M$5,NFI,5,0),1,0)*Table_NFI[[#This Row],[Blanket]],Table_NFI[[#This Row],[Blanket]])</f>
        <v>0</v>
      </c>
      <c r="AE1000" s="294">
        <f>IF(NFI_Expiration=1,IF($A1000&lt;VLOOKUP(N$5,NFI,5,0),1,0)*Table_NFI[[#This Row],[Kitchen Set]],Table_NFI[Kitchen Set])</f>
        <v>0</v>
      </c>
      <c r="AF1000" s="294">
        <f>IF(NFI_Expiration=1,IF($A1000&lt;VLOOKUP(O$5,NFI,5,0),1,0)*Table_NFI[[#This Row],[Clothes Kit]],Table_NFI[Clothes Kit])</f>
        <v>0</v>
      </c>
      <c r="AG1000" s="294">
        <f>IF(NFI_Expiration=1,IF($A1000&lt;VLOOKUP(P$5,NFI,5,0),1,0)*Table_NFI[[#This Row],[Plastic Bucket]],Table_NFI[Plastic Bucket])</f>
        <v>0</v>
      </c>
      <c r="AH1000" s="294">
        <f>IF(NFI_Expiration=1,IF($A1000&lt;VLOOKUP(Q$5,NFI,5,0),1,0)*Table_NFI[[#This Row],[Plastic Mat]],Table_NFI[Plastic Mat])*IF(Table_NFI[[#This Row],[Distribution Date]]&gt;"2014-04-01",1,2.5)</f>
        <v>0</v>
      </c>
      <c r="AI1000" s="294">
        <f>IF(NFI_Expiration=1,IF($A1000&lt;VLOOKUP(R$5,NFI,5,0),1,0)*Table_NFI[[#This Row],[Winter Clothes Adult]],Table_NFI[Winter Clothes Adult])</f>
        <v>0</v>
      </c>
      <c r="AJ1000" s="294">
        <f>IF(NFI_Expiration=1,IF($A1000&lt;VLOOKUP(S$5,NFI,5,0),1,0)*Table_NFI[[#This Row],[Winter Clothes Children]],Table_NFI[Winter Clothes Children])</f>
        <v>0</v>
      </c>
      <c r="AK1000" s="294">
        <f>IF(NFI_Expiration=1,IF($A1000&lt;VLOOKUP(T$5,NFI,5,0),1,0)*Table_NFI[[#This Row],[Winter Items Other]],Table_NFI[Winter Items Other])</f>
        <v>0</v>
      </c>
      <c r="AL1000" s="294">
        <f>IF(NFI_Expiration=1,IF($A1000&lt;VLOOKUP(M$5,NFI,5,0),1,0)*Table_NFI[[#This Row],[Winter Blanket]],Table_NFI[[#This Row],[Winter Blanket]])</f>
        <v>0</v>
      </c>
      <c r="AM1000" s="294">
        <f>IF(Table_NFI[[#This Row],[Winter Clothes Adult]]+Table_NFI[[#This Row],[Winter Clothes Children]]+Table_NFI[[#This Row],[Winter Items Other]]+Table_NFI[[#This Row],[Winter Blanket]]&gt;0,1,0)</f>
        <v>0</v>
      </c>
      <c r="AN1000" s="331">
        <f>IF(NFI_Expiration=1,IF($A1000&lt;VLOOKUP(V$5,NFI,5,0),1,0)*Table_NFI[[#This Row],[Jerry Can]],Table_NFI[Jerry Can])</f>
        <v>0</v>
      </c>
      <c r="AO1000" s="331">
        <f>IF(NFI_Expiration=1,IF($A1000&lt;VLOOKUP(V$5,NFI,5,0),1,0)*Table_NFI[[#This Row],[Shelter Tool kit]],Table_NFI[Shelter Tool kit])</f>
        <v>0</v>
      </c>
      <c r="AP1000" s="331">
        <f>IF(NFI_Expiration=1,IF($A1000&lt;VLOOKUP(V$5,NFI,5,0),1,0)*Table_NFI[[#This Row],[Tent]],Table_NFI[Tent])</f>
        <v>0</v>
      </c>
      <c r="AQ1000" s="473" t="str">
        <f>IFERROR(VLOOKUP(Table_NFI[[#This Row],[Camp Name]],CL,2,0),"")</f>
        <v>MMR001CMP129</v>
      </c>
      <c r="AR1000" s="468">
        <f ca="1">IF(Table_NFI[[#This Row],[Pcode]]="","",IF(OFFSET(CampList[Opening Date],MATCH(Table_NFI[[#This Row],[Pcode]],CampList[CP_Pcode],0)-1,0,1,1)&gt;=NFI_Monitor_Date,1,0))</f>
        <v>0</v>
      </c>
      <c r="AS1000" s="473" t="str">
        <f>IFERROR(VLOOKUP(Table_NFI[[#This Row],[Camp Name]],CL,3,0),"")</f>
        <v>Open</v>
      </c>
      <c r="AT1000" s="294" t="str">
        <f ca="1">IF(Table_NFI[[#This Row],[Pcode]]="","",OFFSET(CampList[Priority],MATCH(Table_NFI[[#This Row],[Pcode]],CampList[CP_Pcode],0)-1,0,1,1))</f>
        <v>P2</v>
      </c>
      <c r="AU1000" s="293">
        <f>IFERROR(Table_NFI[[#This Row],[Kitchen Set]]/VLOOKUP(Table_NFI[[#This Row],[Camp Name]],CL,4,0),"")</f>
        <v>0.24545454545454545</v>
      </c>
      <c r="AV1000" s="466" t="s">
        <v>1092</v>
      </c>
      <c r="AW1000" s="469"/>
    </row>
    <row r="1001" spans="1:49" s="98" customFormat="1" ht="14.45" customHeight="1" x14ac:dyDescent="0.25">
      <c r="A1001" s="297">
        <f t="shared" si="15"/>
        <v>55.766666666666666</v>
      </c>
      <c r="B1001" s="465">
        <v>41002</v>
      </c>
      <c r="C1001" s="466" t="s">
        <v>452</v>
      </c>
      <c r="D1001" s="466" t="s">
        <v>452</v>
      </c>
      <c r="E1001" s="466" t="s">
        <v>380</v>
      </c>
      <c r="F1001" s="290" t="s">
        <v>151</v>
      </c>
      <c r="G1001" s="290" t="s">
        <v>198</v>
      </c>
      <c r="H1001" s="291"/>
      <c r="I1001" s="291"/>
      <c r="J1001" s="291"/>
      <c r="K1001" s="291">
        <v>510</v>
      </c>
      <c r="L1001" s="292">
        <v>0</v>
      </c>
      <c r="M1001" s="292">
        <v>510</v>
      </c>
      <c r="N1001" s="292">
        <v>255</v>
      </c>
      <c r="O1001" s="292">
        <v>255</v>
      </c>
      <c r="P1001" s="294">
        <v>255</v>
      </c>
      <c r="Q1001" s="294">
        <v>255</v>
      </c>
      <c r="R1001" s="294"/>
      <c r="S1001" s="294"/>
      <c r="T1001" s="294"/>
      <c r="U1001" s="294"/>
      <c r="V1001" s="431"/>
      <c r="W1001" s="294"/>
      <c r="X1001" s="294"/>
      <c r="Y1001" s="294">
        <f>IF(NFI_Expiration=1,IF($A1001&lt;VLOOKUP(H$5,NFI,5,0),1,0)*Table_NFI[[#This Row],[Hygiene Kit]],Table_NFI[Hygiene Kit])</f>
        <v>0</v>
      </c>
      <c r="Z1001" s="294">
        <f>IF(NFI_Expiration=1,IF($A1001&lt;VLOOKUP(I$5,NFI,5,0),1,0)*Table_NFI[[#This Row],[NFI Core Kit]],Table_NFI[NFI Core Kit])</f>
        <v>0</v>
      </c>
      <c r="AA1001" s="294">
        <f>IF(NFI_Expiration=1,IF($A1001&lt;VLOOKUP(J$5,NFI,5,0),1,0)*Table_NFI[[#This Row],[Sanitary Kit]],Table_NFI[Sanitary Kit])</f>
        <v>0</v>
      </c>
      <c r="AB1001" s="294">
        <f>IF(NFI_Expiration=1,IF($A1001&lt;VLOOKUP(K$5,NFI,5,0),1,0)*Table_NFI[[#This Row],[Mosquito net]],Table_NFI[Mosquito net])</f>
        <v>0</v>
      </c>
      <c r="AC1001" s="294">
        <f>IF(NFI_Expiration=1,IF($A1001&lt;VLOOKUP(L$5,NFI,5,0),1,0)*Table_NFI[[#This Row],[Tarpaulin]],Table_NFI[[#This Row],[Tarpaulin]])</f>
        <v>0</v>
      </c>
      <c r="AD1001" s="294">
        <f>IF(NFI_Expiration=1,IF($A1001&lt;VLOOKUP(M$5,NFI,5,0),1,0)*Table_NFI[[#This Row],[Blanket]],Table_NFI[[#This Row],[Blanket]])</f>
        <v>0</v>
      </c>
      <c r="AE1001" s="294">
        <f>IF(NFI_Expiration=1,IF($A1001&lt;VLOOKUP(N$5,NFI,5,0),1,0)*Table_NFI[[#This Row],[Kitchen Set]],Table_NFI[Kitchen Set])</f>
        <v>0</v>
      </c>
      <c r="AF1001" s="294">
        <f>IF(NFI_Expiration=1,IF($A1001&lt;VLOOKUP(O$5,NFI,5,0),1,0)*Table_NFI[[#This Row],[Clothes Kit]],Table_NFI[Clothes Kit])</f>
        <v>0</v>
      </c>
      <c r="AG1001" s="294">
        <f>IF(NFI_Expiration=1,IF($A1001&lt;VLOOKUP(P$5,NFI,5,0),1,0)*Table_NFI[[#This Row],[Plastic Bucket]],Table_NFI[Plastic Bucket])</f>
        <v>0</v>
      </c>
      <c r="AH1001" s="294">
        <f>IF(NFI_Expiration=1,IF($A1001&lt;VLOOKUP(Q$5,NFI,5,0),1,0)*Table_NFI[[#This Row],[Plastic Mat]],Table_NFI[Plastic Mat])*IF(Table_NFI[[#This Row],[Distribution Date]]&gt;"2014-04-01",1,2.5)</f>
        <v>0</v>
      </c>
      <c r="AI1001" s="294">
        <f>IF(NFI_Expiration=1,IF($A1001&lt;VLOOKUP(R$5,NFI,5,0),1,0)*Table_NFI[[#This Row],[Winter Clothes Adult]],Table_NFI[Winter Clothes Adult])</f>
        <v>0</v>
      </c>
      <c r="AJ1001" s="294">
        <f>IF(NFI_Expiration=1,IF($A1001&lt;VLOOKUP(S$5,NFI,5,0),1,0)*Table_NFI[[#This Row],[Winter Clothes Children]],Table_NFI[Winter Clothes Children])</f>
        <v>0</v>
      </c>
      <c r="AK1001" s="294">
        <f>IF(NFI_Expiration=1,IF($A1001&lt;VLOOKUP(T$5,NFI,5,0),1,0)*Table_NFI[[#This Row],[Winter Items Other]],Table_NFI[Winter Items Other])</f>
        <v>0</v>
      </c>
      <c r="AL1001" s="294">
        <f>IF(NFI_Expiration=1,IF($A1001&lt;VLOOKUP(M$5,NFI,5,0),1,0)*Table_NFI[[#This Row],[Winter Blanket]],Table_NFI[[#This Row],[Winter Blanket]])</f>
        <v>0</v>
      </c>
      <c r="AM1001" s="294">
        <f>IF(Table_NFI[[#This Row],[Winter Clothes Adult]]+Table_NFI[[#This Row],[Winter Clothes Children]]+Table_NFI[[#This Row],[Winter Items Other]]+Table_NFI[[#This Row],[Winter Blanket]]&gt;0,1,0)</f>
        <v>0</v>
      </c>
      <c r="AN1001" s="331">
        <f>IF(NFI_Expiration=1,IF($A1001&lt;VLOOKUP(V$5,NFI,5,0),1,0)*Table_NFI[[#This Row],[Jerry Can]],Table_NFI[Jerry Can])</f>
        <v>0</v>
      </c>
      <c r="AO1001" s="331">
        <f>IF(NFI_Expiration=1,IF($A1001&lt;VLOOKUP(V$5,NFI,5,0),1,0)*Table_NFI[[#This Row],[Shelter Tool kit]],Table_NFI[Shelter Tool kit])</f>
        <v>0</v>
      </c>
      <c r="AP1001" s="331">
        <f>IF(NFI_Expiration=1,IF($A1001&lt;VLOOKUP(V$5,NFI,5,0),1,0)*Table_NFI[[#This Row],[Tent]],Table_NFI[Tent])</f>
        <v>0</v>
      </c>
      <c r="AQ1001" s="473" t="str">
        <f>IFERROR(VLOOKUP(Table_NFI[[#This Row],[Camp Name]],CL,2,0),"")</f>
        <v>MMR001CMP128</v>
      </c>
      <c r="AR1001" s="468">
        <f ca="1">IF(Table_NFI[[#This Row],[Pcode]]="","",IF(OFFSET(CampList[Opening Date],MATCH(Table_NFI[[#This Row],[Pcode]],CampList[CP_Pcode],0)-1,0,1,1)&gt;=NFI_Monitor_Date,1,0))</f>
        <v>0</v>
      </c>
      <c r="AS1001" s="473" t="str">
        <f>IFERROR(VLOOKUP(Table_NFI[[#This Row],[Camp Name]],CL,3,0),"")</f>
        <v>Open</v>
      </c>
      <c r="AT1001" s="294" t="str">
        <f ca="1">IF(Table_NFI[[#This Row],[Pcode]]="","",OFFSET(CampList[Priority],MATCH(Table_NFI[[#This Row],[Pcode]],CampList[CP_Pcode],0)-1,0,1,1))</f>
        <v>P2</v>
      </c>
      <c r="AU1001" s="293">
        <f>IFERROR(Table_NFI[[#This Row],[Kitchen Set]]/VLOOKUP(Table_NFI[[#This Row],[Camp Name]],CL,4,0),"")</f>
        <v>0.46703296703296704</v>
      </c>
      <c r="AV1001" s="466" t="s">
        <v>1092</v>
      </c>
      <c r="AW1001" s="469"/>
    </row>
    <row r="1002" spans="1:49" s="98" customFormat="1" ht="14.45" customHeight="1" x14ac:dyDescent="0.25">
      <c r="A1002" s="297">
        <f t="shared" si="15"/>
        <v>55.93333333333333</v>
      </c>
      <c r="B1002" s="465">
        <v>40997</v>
      </c>
      <c r="C1002" s="466" t="s">
        <v>452</v>
      </c>
      <c r="D1002" s="467" t="s">
        <v>452</v>
      </c>
      <c r="E1002" s="466" t="s">
        <v>380</v>
      </c>
      <c r="F1002" s="290" t="s">
        <v>151</v>
      </c>
      <c r="G1002" s="290" t="s">
        <v>188</v>
      </c>
      <c r="H1002" s="291"/>
      <c r="I1002" s="291"/>
      <c r="J1002" s="291"/>
      <c r="K1002" s="291">
        <v>66</v>
      </c>
      <c r="L1002" s="292">
        <v>66</v>
      </c>
      <c r="M1002" s="292">
        <v>0</v>
      </c>
      <c r="N1002" s="292">
        <v>0</v>
      </c>
      <c r="O1002" s="292">
        <v>0</v>
      </c>
      <c r="P1002" s="294"/>
      <c r="Q1002" s="294"/>
      <c r="R1002" s="294"/>
      <c r="S1002" s="294"/>
      <c r="T1002" s="294"/>
      <c r="U1002" s="294"/>
      <c r="V1002" s="431"/>
      <c r="W1002" s="294"/>
      <c r="X1002" s="294"/>
      <c r="Y1002" s="294">
        <f>IF(NFI_Expiration=1,IF($A1002&lt;VLOOKUP(H$5,NFI,5,0),1,0)*Table_NFI[[#This Row],[Hygiene Kit]],Table_NFI[Hygiene Kit])</f>
        <v>0</v>
      </c>
      <c r="Z1002" s="294">
        <f>IF(NFI_Expiration=1,IF($A1002&lt;VLOOKUP(I$5,NFI,5,0),1,0)*Table_NFI[[#This Row],[NFI Core Kit]],Table_NFI[NFI Core Kit])</f>
        <v>0</v>
      </c>
      <c r="AA1002" s="294">
        <f>IF(NFI_Expiration=1,IF($A1002&lt;VLOOKUP(J$5,NFI,5,0),1,0)*Table_NFI[[#This Row],[Sanitary Kit]],Table_NFI[Sanitary Kit])</f>
        <v>0</v>
      </c>
      <c r="AB1002" s="294">
        <f>IF(NFI_Expiration=1,IF($A1002&lt;VLOOKUP(K$5,NFI,5,0),1,0)*Table_NFI[[#This Row],[Mosquito net]],Table_NFI[Mosquito net])</f>
        <v>0</v>
      </c>
      <c r="AC1002" s="294">
        <f>IF(NFI_Expiration=1,IF($A1002&lt;VLOOKUP(L$5,NFI,5,0),1,0)*Table_NFI[[#This Row],[Tarpaulin]],Table_NFI[[#This Row],[Tarpaulin]])</f>
        <v>0</v>
      </c>
      <c r="AD1002" s="294">
        <f>IF(NFI_Expiration=1,IF($A1002&lt;VLOOKUP(M$5,NFI,5,0),1,0)*Table_NFI[[#This Row],[Blanket]],Table_NFI[[#This Row],[Blanket]])</f>
        <v>0</v>
      </c>
      <c r="AE1002" s="294">
        <f>IF(NFI_Expiration=1,IF($A1002&lt;VLOOKUP(N$5,NFI,5,0),1,0)*Table_NFI[[#This Row],[Kitchen Set]],Table_NFI[Kitchen Set])</f>
        <v>0</v>
      </c>
      <c r="AF1002" s="294">
        <f>IF(NFI_Expiration=1,IF($A1002&lt;VLOOKUP(O$5,NFI,5,0),1,0)*Table_NFI[[#This Row],[Clothes Kit]],Table_NFI[Clothes Kit])</f>
        <v>0</v>
      </c>
      <c r="AG1002" s="294">
        <f>IF(NFI_Expiration=1,IF($A1002&lt;VLOOKUP(P$5,NFI,5,0),1,0)*Table_NFI[[#This Row],[Plastic Bucket]],Table_NFI[Plastic Bucket])</f>
        <v>0</v>
      </c>
      <c r="AH1002" s="294">
        <f>IF(NFI_Expiration=1,IF($A1002&lt;VLOOKUP(Q$5,NFI,5,0),1,0)*Table_NFI[[#This Row],[Plastic Mat]],Table_NFI[Plastic Mat])*IF(Table_NFI[[#This Row],[Distribution Date]]&gt;"2014-04-01",1,2.5)</f>
        <v>0</v>
      </c>
      <c r="AI1002" s="294">
        <f>IF(NFI_Expiration=1,IF($A1002&lt;VLOOKUP(R$5,NFI,5,0),1,0)*Table_NFI[[#This Row],[Winter Clothes Adult]],Table_NFI[Winter Clothes Adult])</f>
        <v>0</v>
      </c>
      <c r="AJ1002" s="294">
        <f>IF(NFI_Expiration=1,IF($A1002&lt;VLOOKUP(S$5,NFI,5,0),1,0)*Table_NFI[[#This Row],[Winter Clothes Children]],Table_NFI[Winter Clothes Children])</f>
        <v>0</v>
      </c>
      <c r="AK1002" s="294">
        <f>IF(NFI_Expiration=1,IF($A1002&lt;VLOOKUP(T$5,NFI,5,0),1,0)*Table_NFI[[#This Row],[Winter Items Other]],Table_NFI[Winter Items Other])</f>
        <v>0</v>
      </c>
      <c r="AL1002" s="294">
        <f>IF(NFI_Expiration=1,IF($A1002&lt;VLOOKUP(M$5,NFI,5,0),1,0)*Table_NFI[[#This Row],[Winter Blanket]],Table_NFI[[#This Row],[Winter Blanket]])</f>
        <v>0</v>
      </c>
      <c r="AM1002" s="294">
        <f>IF(Table_NFI[[#This Row],[Winter Clothes Adult]]+Table_NFI[[#This Row],[Winter Clothes Children]]+Table_NFI[[#This Row],[Winter Items Other]]+Table_NFI[[#This Row],[Winter Blanket]]&gt;0,1,0)</f>
        <v>0</v>
      </c>
      <c r="AN1002" s="331">
        <f>IF(NFI_Expiration=1,IF($A1002&lt;VLOOKUP(V$5,NFI,5,0),1,0)*Table_NFI[[#This Row],[Jerry Can]],Table_NFI[Jerry Can])</f>
        <v>0</v>
      </c>
      <c r="AO1002" s="331">
        <f>IF(NFI_Expiration=1,IF($A1002&lt;VLOOKUP(V$5,NFI,5,0),1,0)*Table_NFI[[#This Row],[Shelter Tool kit]],Table_NFI[Shelter Tool kit])</f>
        <v>0</v>
      </c>
      <c r="AP1002" s="331">
        <f>IF(NFI_Expiration=1,IF($A1002&lt;VLOOKUP(V$5,NFI,5,0),1,0)*Table_NFI[[#This Row],[Tent]],Table_NFI[Tent])</f>
        <v>0</v>
      </c>
      <c r="AQ1002" s="473" t="str">
        <f>IFERROR(VLOOKUP(Table_NFI[[#This Row],[Camp Name]],CL,2,0),"")</f>
        <v>MMR001CMP129</v>
      </c>
      <c r="AR1002" s="468">
        <f ca="1">IF(Table_NFI[[#This Row],[Pcode]]="","",IF(OFFSET(CampList[Opening Date],MATCH(Table_NFI[[#This Row],[Pcode]],CampList[CP_Pcode],0)-1,0,1,1)&gt;=NFI_Monitor_Date,1,0))</f>
        <v>0</v>
      </c>
      <c r="AS1002" s="473" t="str">
        <f>IFERROR(VLOOKUP(Table_NFI[[#This Row],[Camp Name]],CL,3,0),"")</f>
        <v>Open</v>
      </c>
      <c r="AT1002" s="294" t="str">
        <f ca="1">IF(Table_NFI[[#This Row],[Pcode]]="","",OFFSET(CampList[Priority],MATCH(Table_NFI[[#This Row],[Pcode]],CampList[CP_Pcode],0)-1,0,1,1))</f>
        <v>P2</v>
      </c>
      <c r="AU1002" s="293">
        <f>IFERROR(Table_NFI[[#This Row],[Kitchen Set]]/VLOOKUP(Table_NFI[[#This Row],[Camp Name]],CL,4,0),"")</f>
        <v>0</v>
      </c>
      <c r="AV1002" s="466" t="s">
        <v>1092</v>
      </c>
      <c r="AW1002" s="469"/>
    </row>
    <row r="1003" spans="1:49" s="98" customFormat="1" ht="14.45" customHeight="1" x14ac:dyDescent="0.25">
      <c r="A1003" s="297">
        <f t="shared" si="15"/>
        <v>55.93333333333333</v>
      </c>
      <c r="B1003" s="465">
        <v>40997</v>
      </c>
      <c r="C1003" s="466" t="s">
        <v>452</v>
      </c>
      <c r="D1003" s="467" t="s">
        <v>452</v>
      </c>
      <c r="E1003" s="466" t="s">
        <v>380</v>
      </c>
      <c r="F1003" s="290" t="s">
        <v>185</v>
      </c>
      <c r="G1003" s="290" t="s">
        <v>219</v>
      </c>
      <c r="H1003" s="291"/>
      <c r="I1003" s="291"/>
      <c r="J1003" s="291"/>
      <c r="K1003" s="291">
        <v>0</v>
      </c>
      <c r="L1003" s="292">
        <v>50</v>
      </c>
      <c r="M1003" s="292">
        <v>0</v>
      </c>
      <c r="N1003" s="292">
        <v>0</v>
      </c>
      <c r="O1003" s="292">
        <v>0</v>
      </c>
      <c r="P1003" s="294"/>
      <c r="Q1003" s="294"/>
      <c r="R1003" s="294"/>
      <c r="S1003" s="294"/>
      <c r="T1003" s="294"/>
      <c r="U1003" s="294"/>
      <c r="V1003" s="431"/>
      <c r="W1003" s="294"/>
      <c r="X1003" s="294"/>
      <c r="Y1003" s="294">
        <f>IF(NFI_Expiration=1,IF($A1003&lt;VLOOKUP(H$5,NFI,5,0),1,0)*Table_NFI[[#This Row],[Hygiene Kit]],Table_NFI[Hygiene Kit])</f>
        <v>0</v>
      </c>
      <c r="Z1003" s="294">
        <f>IF(NFI_Expiration=1,IF($A1003&lt;VLOOKUP(I$5,NFI,5,0),1,0)*Table_NFI[[#This Row],[NFI Core Kit]],Table_NFI[NFI Core Kit])</f>
        <v>0</v>
      </c>
      <c r="AA1003" s="294">
        <f>IF(NFI_Expiration=1,IF($A1003&lt;VLOOKUP(J$5,NFI,5,0),1,0)*Table_NFI[[#This Row],[Sanitary Kit]],Table_NFI[Sanitary Kit])</f>
        <v>0</v>
      </c>
      <c r="AB1003" s="294">
        <f>IF(NFI_Expiration=1,IF($A1003&lt;VLOOKUP(K$5,NFI,5,0),1,0)*Table_NFI[[#This Row],[Mosquito net]],Table_NFI[Mosquito net])</f>
        <v>0</v>
      </c>
      <c r="AC1003" s="294">
        <f>IF(NFI_Expiration=1,IF($A1003&lt;VLOOKUP(L$5,NFI,5,0),1,0)*Table_NFI[[#This Row],[Tarpaulin]],Table_NFI[[#This Row],[Tarpaulin]])</f>
        <v>0</v>
      </c>
      <c r="AD1003" s="294">
        <f>IF(NFI_Expiration=1,IF($A1003&lt;VLOOKUP(M$5,NFI,5,0),1,0)*Table_NFI[[#This Row],[Blanket]],Table_NFI[[#This Row],[Blanket]])</f>
        <v>0</v>
      </c>
      <c r="AE1003" s="294">
        <f>IF(NFI_Expiration=1,IF($A1003&lt;VLOOKUP(N$5,NFI,5,0),1,0)*Table_NFI[[#This Row],[Kitchen Set]],Table_NFI[Kitchen Set])</f>
        <v>0</v>
      </c>
      <c r="AF1003" s="294">
        <f>IF(NFI_Expiration=1,IF($A1003&lt;VLOOKUP(O$5,NFI,5,0),1,0)*Table_NFI[[#This Row],[Clothes Kit]],Table_NFI[Clothes Kit])</f>
        <v>0</v>
      </c>
      <c r="AG1003" s="294">
        <f>IF(NFI_Expiration=1,IF($A1003&lt;VLOOKUP(P$5,NFI,5,0),1,0)*Table_NFI[[#This Row],[Plastic Bucket]],Table_NFI[Plastic Bucket])</f>
        <v>0</v>
      </c>
      <c r="AH1003" s="294">
        <f>IF(NFI_Expiration=1,IF($A1003&lt;VLOOKUP(Q$5,NFI,5,0),1,0)*Table_NFI[[#This Row],[Plastic Mat]],Table_NFI[Plastic Mat])*IF(Table_NFI[[#This Row],[Distribution Date]]&gt;"2014-04-01",1,2.5)</f>
        <v>0</v>
      </c>
      <c r="AI1003" s="294">
        <f>IF(NFI_Expiration=1,IF($A1003&lt;VLOOKUP(R$5,NFI,5,0),1,0)*Table_NFI[[#This Row],[Winter Clothes Adult]],Table_NFI[Winter Clothes Adult])</f>
        <v>0</v>
      </c>
      <c r="AJ1003" s="294">
        <f>IF(NFI_Expiration=1,IF($A1003&lt;VLOOKUP(S$5,NFI,5,0),1,0)*Table_NFI[[#This Row],[Winter Clothes Children]],Table_NFI[Winter Clothes Children])</f>
        <v>0</v>
      </c>
      <c r="AK1003" s="294">
        <f>IF(NFI_Expiration=1,IF($A1003&lt;VLOOKUP(T$5,NFI,5,0),1,0)*Table_NFI[[#This Row],[Winter Items Other]],Table_NFI[Winter Items Other])</f>
        <v>0</v>
      </c>
      <c r="AL1003" s="294">
        <f>IF(NFI_Expiration=1,IF($A1003&lt;VLOOKUP(M$5,NFI,5,0),1,0)*Table_NFI[[#This Row],[Winter Blanket]],Table_NFI[[#This Row],[Winter Blanket]])</f>
        <v>0</v>
      </c>
      <c r="AM1003" s="294">
        <f>IF(Table_NFI[[#This Row],[Winter Clothes Adult]]+Table_NFI[[#This Row],[Winter Clothes Children]]+Table_NFI[[#This Row],[Winter Items Other]]+Table_NFI[[#This Row],[Winter Blanket]]&gt;0,1,0)</f>
        <v>0</v>
      </c>
      <c r="AN1003" s="331">
        <f>IF(NFI_Expiration=1,IF($A1003&lt;VLOOKUP(V$5,NFI,5,0),1,0)*Table_NFI[[#This Row],[Jerry Can]],Table_NFI[Jerry Can])</f>
        <v>0</v>
      </c>
      <c r="AO1003" s="331">
        <f>IF(NFI_Expiration=1,IF($A1003&lt;VLOOKUP(V$5,NFI,5,0),1,0)*Table_NFI[[#This Row],[Shelter Tool kit]],Table_NFI[Shelter Tool kit])</f>
        <v>0</v>
      </c>
      <c r="AP1003" s="331">
        <f>IF(NFI_Expiration=1,IF($A1003&lt;VLOOKUP(V$5,NFI,5,0),1,0)*Table_NFI[[#This Row],[Tent]],Table_NFI[Tent])</f>
        <v>0</v>
      </c>
      <c r="AQ1003" s="473" t="str">
        <f>IFERROR(VLOOKUP(Table_NFI[[#This Row],[Camp Name]],CL,2,0),"")</f>
        <v>MMR001CMP126</v>
      </c>
      <c r="AR1003" s="468">
        <f ca="1">IF(Table_NFI[[#This Row],[Pcode]]="","",IF(OFFSET(CampList[Opening Date],MATCH(Table_NFI[[#This Row],[Pcode]],CampList[CP_Pcode],0)-1,0,1,1)&gt;=NFI_Monitor_Date,1,0))</f>
        <v>0</v>
      </c>
      <c r="AS1003" s="473" t="str">
        <f>IFERROR(VLOOKUP(Table_NFI[[#This Row],[Camp Name]],CL,3,0),"")</f>
        <v>Open</v>
      </c>
      <c r="AT1003" s="294" t="str">
        <f ca="1">IF(Table_NFI[[#This Row],[Pcode]]="","",OFFSET(CampList[Priority],MATCH(Table_NFI[[#This Row],[Pcode]],CampList[CP_Pcode],0)-1,0,1,1))</f>
        <v>P2</v>
      </c>
      <c r="AU1003" s="293">
        <f>IFERROR(Table_NFI[[#This Row],[Kitchen Set]]/VLOOKUP(Table_NFI[[#This Row],[Camp Name]],CL,4,0),"")</f>
        <v>0</v>
      </c>
      <c r="AV1003" s="466" t="s">
        <v>1092</v>
      </c>
      <c r="AW1003" s="469"/>
    </row>
    <row r="1004" spans="1:49" s="98" customFormat="1" ht="14.45" customHeight="1" x14ac:dyDescent="0.25">
      <c r="A1004" s="297">
        <f t="shared" si="15"/>
        <v>55.93333333333333</v>
      </c>
      <c r="B1004" s="465">
        <v>40997</v>
      </c>
      <c r="C1004" s="466" t="s">
        <v>452</v>
      </c>
      <c r="D1004" s="467" t="s">
        <v>452</v>
      </c>
      <c r="E1004" s="466" t="s">
        <v>380</v>
      </c>
      <c r="F1004" s="290" t="s">
        <v>185</v>
      </c>
      <c r="G1004" s="290" t="s">
        <v>225</v>
      </c>
      <c r="H1004" s="291"/>
      <c r="I1004" s="291"/>
      <c r="J1004" s="291"/>
      <c r="K1004" s="291">
        <v>66</v>
      </c>
      <c r="L1004" s="292">
        <v>66</v>
      </c>
      <c r="M1004" s="292">
        <v>0</v>
      </c>
      <c r="N1004" s="292">
        <v>0</v>
      </c>
      <c r="O1004" s="292">
        <v>0</v>
      </c>
      <c r="P1004" s="294"/>
      <c r="Q1004" s="294"/>
      <c r="R1004" s="294"/>
      <c r="S1004" s="294"/>
      <c r="T1004" s="294"/>
      <c r="U1004" s="294"/>
      <c r="V1004" s="431"/>
      <c r="W1004" s="294"/>
      <c r="X1004" s="294"/>
      <c r="Y1004" s="294">
        <f>IF(NFI_Expiration=1,IF($A1004&lt;VLOOKUP(H$5,NFI,5,0),1,0)*Table_NFI[[#This Row],[Hygiene Kit]],Table_NFI[Hygiene Kit])</f>
        <v>0</v>
      </c>
      <c r="Z1004" s="294">
        <f>IF(NFI_Expiration=1,IF($A1004&lt;VLOOKUP(I$5,NFI,5,0),1,0)*Table_NFI[[#This Row],[NFI Core Kit]],Table_NFI[NFI Core Kit])</f>
        <v>0</v>
      </c>
      <c r="AA1004" s="294">
        <f>IF(NFI_Expiration=1,IF($A1004&lt;VLOOKUP(J$5,NFI,5,0),1,0)*Table_NFI[[#This Row],[Sanitary Kit]],Table_NFI[Sanitary Kit])</f>
        <v>0</v>
      </c>
      <c r="AB1004" s="294">
        <f>IF(NFI_Expiration=1,IF($A1004&lt;VLOOKUP(K$5,NFI,5,0),1,0)*Table_NFI[[#This Row],[Mosquito net]],Table_NFI[Mosquito net])</f>
        <v>0</v>
      </c>
      <c r="AC1004" s="294">
        <f>IF(NFI_Expiration=1,IF($A1004&lt;VLOOKUP(L$5,NFI,5,0),1,0)*Table_NFI[[#This Row],[Tarpaulin]],Table_NFI[[#This Row],[Tarpaulin]])</f>
        <v>0</v>
      </c>
      <c r="AD1004" s="294">
        <f>IF(NFI_Expiration=1,IF($A1004&lt;VLOOKUP(M$5,NFI,5,0),1,0)*Table_NFI[[#This Row],[Blanket]],Table_NFI[[#This Row],[Blanket]])</f>
        <v>0</v>
      </c>
      <c r="AE1004" s="294">
        <f>IF(NFI_Expiration=1,IF($A1004&lt;VLOOKUP(N$5,NFI,5,0),1,0)*Table_NFI[[#This Row],[Kitchen Set]],Table_NFI[Kitchen Set])</f>
        <v>0</v>
      </c>
      <c r="AF1004" s="294">
        <f>IF(NFI_Expiration=1,IF($A1004&lt;VLOOKUP(O$5,NFI,5,0),1,0)*Table_NFI[[#This Row],[Clothes Kit]],Table_NFI[Clothes Kit])</f>
        <v>0</v>
      </c>
      <c r="AG1004" s="294">
        <f>IF(NFI_Expiration=1,IF($A1004&lt;VLOOKUP(P$5,NFI,5,0),1,0)*Table_NFI[[#This Row],[Plastic Bucket]],Table_NFI[Plastic Bucket])</f>
        <v>0</v>
      </c>
      <c r="AH1004" s="294">
        <f>IF(NFI_Expiration=1,IF($A1004&lt;VLOOKUP(Q$5,NFI,5,0),1,0)*Table_NFI[[#This Row],[Plastic Mat]],Table_NFI[Plastic Mat])*IF(Table_NFI[[#This Row],[Distribution Date]]&gt;"2014-04-01",1,2.5)</f>
        <v>0</v>
      </c>
      <c r="AI1004" s="294">
        <f>IF(NFI_Expiration=1,IF($A1004&lt;VLOOKUP(R$5,NFI,5,0),1,0)*Table_NFI[[#This Row],[Winter Clothes Adult]],Table_NFI[Winter Clothes Adult])</f>
        <v>0</v>
      </c>
      <c r="AJ1004" s="294">
        <f>IF(NFI_Expiration=1,IF($A1004&lt;VLOOKUP(S$5,NFI,5,0),1,0)*Table_NFI[[#This Row],[Winter Clothes Children]],Table_NFI[Winter Clothes Children])</f>
        <v>0</v>
      </c>
      <c r="AK1004" s="294">
        <f>IF(NFI_Expiration=1,IF($A1004&lt;VLOOKUP(T$5,NFI,5,0),1,0)*Table_NFI[[#This Row],[Winter Items Other]],Table_NFI[Winter Items Other])</f>
        <v>0</v>
      </c>
      <c r="AL1004" s="294">
        <f>IF(NFI_Expiration=1,IF($A1004&lt;VLOOKUP(M$5,NFI,5,0),1,0)*Table_NFI[[#This Row],[Winter Blanket]],Table_NFI[[#This Row],[Winter Blanket]])</f>
        <v>0</v>
      </c>
      <c r="AM1004" s="294">
        <f>IF(Table_NFI[[#This Row],[Winter Clothes Adult]]+Table_NFI[[#This Row],[Winter Clothes Children]]+Table_NFI[[#This Row],[Winter Items Other]]+Table_NFI[[#This Row],[Winter Blanket]]&gt;0,1,0)</f>
        <v>0</v>
      </c>
      <c r="AN1004" s="331">
        <f>IF(NFI_Expiration=1,IF($A1004&lt;VLOOKUP(V$5,NFI,5,0),1,0)*Table_NFI[[#This Row],[Jerry Can]],Table_NFI[Jerry Can])</f>
        <v>0</v>
      </c>
      <c r="AO1004" s="331">
        <f>IF(NFI_Expiration=1,IF($A1004&lt;VLOOKUP(V$5,NFI,5,0),1,0)*Table_NFI[[#This Row],[Shelter Tool kit]],Table_NFI[Shelter Tool kit])</f>
        <v>0</v>
      </c>
      <c r="AP1004" s="331">
        <f>IF(NFI_Expiration=1,IF($A1004&lt;VLOOKUP(V$5,NFI,5,0),1,0)*Table_NFI[[#This Row],[Tent]],Table_NFI[Tent])</f>
        <v>0</v>
      </c>
      <c r="AQ1004" s="473" t="str">
        <f>IFERROR(VLOOKUP(Table_NFI[[#This Row],[Camp Name]],CL,2,0),"")</f>
        <v>MMR001CMP073</v>
      </c>
      <c r="AR1004" s="468">
        <f ca="1">IF(Table_NFI[[#This Row],[Pcode]]="","",IF(OFFSET(CampList[Opening Date],MATCH(Table_NFI[[#This Row],[Pcode]],CampList[CP_Pcode],0)-1,0,1,1)&gt;=NFI_Monitor_Date,1,0))</f>
        <v>0</v>
      </c>
      <c r="AS1004" s="473" t="str">
        <f>IFERROR(VLOOKUP(Table_NFI[[#This Row],[Camp Name]],CL,3,0),"")</f>
        <v>Open</v>
      </c>
      <c r="AT1004" s="294" t="str">
        <f ca="1">IF(Table_NFI[[#This Row],[Pcode]]="","",OFFSET(CampList[Priority],MATCH(Table_NFI[[#This Row],[Pcode]],CampList[CP_Pcode],0)-1,0,1,1))</f>
        <v>P3</v>
      </c>
      <c r="AU1004" s="293">
        <f>IFERROR(Table_NFI[[#This Row],[Kitchen Set]]/VLOOKUP(Table_NFI[[#This Row],[Camp Name]],CL,4,0),"")</f>
        <v>0</v>
      </c>
      <c r="AV1004" s="466" t="s">
        <v>1092</v>
      </c>
      <c r="AW1004" s="469"/>
    </row>
    <row r="1005" spans="1:49" s="98" customFormat="1" ht="14.45" customHeight="1" x14ac:dyDescent="0.25">
      <c r="A1005" s="297">
        <f t="shared" si="15"/>
        <v>55.966666666666669</v>
      </c>
      <c r="B1005" s="465">
        <v>40996</v>
      </c>
      <c r="C1005" s="466" t="s">
        <v>452</v>
      </c>
      <c r="D1005" s="467" t="s">
        <v>452</v>
      </c>
      <c r="E1005" s="466" t="s">
        <v>380</v>
      </c>
      <c r="F1005" s="290" t="s">
        <v>185</v>
      </c>
      <c r="G1005" s="290" t="s">
        <v>913</v>
      </c>
      <c r="H1005" s="291"/>
      <c r="I1005" s="291"/>
      <c r="J1005" s="291"/>
      <c r="K1005" s="291">
        <v>217</v>
      </c>
      <c r="L1005" s="292">
        <v>217</v>
      </c>
      <c r="M1005" s="292">
        <v>0</v>
      </c>
      <c r="N1005" s="292">
        <v>0</v>
      </c>
      <c r="O1005" s="292">
        <v>0</v>
      </c>
      <c r="P1005" s="294"/>
      <c r="Q1005" s="294"/>
      <c r="R1005" s="294"/>
      <c r="S1005" s="294"/>
      <c r="T1005" s="294"/>
      <c r="U1005" s="294"/>
      <c r="V1005" s="431"/>
      <c r="W1005" s="294"/>
      <c r="X1005" s="294"/>
      <c r="Y1005" s="294">
        <f>IF(NFI_Expiration=1,IF($A1005&lt;VLOOKUP(H$5,NFI,5,0),1,0)*Table_NFI[[#This Row],[Hygiene Kit]],Table_NFI[Hygiene Kit])</f>
        <v>0</v>
      </c>
      <c r="Z1005" s="294">
        <f>IF(NFI_Expiration=1,IF($A1005&lt;VLOOKUP(I$5,NFI,5,0),1,0)*Table_NFI[[#This Row],[NFI Core Kit]],Table_NFI[NFI Core Kit])</f>
        <v>0</v>
      </c>
      <c r="AA1005" s="294">
        <f>IF(NFI_Expiration=1,IF($A1005&lt;VLOOKUP(J$5,NFI,5,0),1,0)*Table_NFI[[#This Row],[Sanitary Kit]],Table_NFI[Sanitary Kit])</f>
        <v>0</v>
      </c>
      <c r="AB1005" s="294">
        <f>IF(NFI_Expiration=1,IF($A1005&lt;VLOOKUP(K$5,NFI,5,0),1,0)*Table_NFI[[#This Row],[Mosquito net]],Table_NFI[Mosquito net])</f>
        <v>0</v>
      </c>
      <c r="AC1005" s="294">
        <f>IF(NFI_Expiration=1,IF($A1005&lt;VLOOKUP(L$5,NFI,5,0),1,0)*Table_NFI[[#This Row],[Tarpaulin]],Table_NFI[[#This Row],[Tarpaulin]])</f>
        <v>0</v>
      </c>
      <c r="AD1005" s="294">
        <f>IF(NFI_Expiration=1,IF($A1005&lt;VLOOKUP(M$5,NFI,5,0),1,0)*Table_NFI[[#This Row],[Blanket]],Table_NFI[[#This Row],[Blanket]])</f>
        <v>0</v>
      </c>
      <c r="AE1005" s="294">
        <f>IF(NFI_Expiration=1,IF($A1005&lt;VLOOKUP(N$5,NFI,5,0),1,0)*Table_NFI[[#This Row],[Kitchen Set]],Table_NFI[Kitchen Set])</f>
        <v>0</v>
      </c>
      <c r="AF1005" s="294">
        <f>IF(NFI_Expiration=1,IF($A1005&lt;VLOOKUP(O$5,NFI,5,0),1,0)*Table_NFI[[#This Row],[Clothes Kit]],Table_NFI[Clothes Kit])</f>
        <v>0</v>
      </c>
      <c r="AG1005" s="294">
        <f>IF(NFI_Expiration=1,IF($A1005&lt;VLOOKUP(P$5,NFI,5,0),1,0)*Table_NFI[[#This Row],[Plastic Bucket]],Table_NFI[Plastic Bucket])</f>
        <v>0</v>
      </c>
      <c r="AH1005" s="294">
        <f>IF(NFI_Expiration=1,IF($A1005&lt;VLOOKUP(Q$5,NFI,5,0),1,0)*Table_NFI[[#This Row],[Plastic Mat]],Table_NFI[Plastic Mat])*IF(Table_NFI[[#This Row],[Distribution Date]]&gt;"2014-04-01",1,2.5)</f>
        <v>0</v>
      </c>
      <c r="AI1005" s="294">
        <f>IF(NFI_Expiration=1,IF($A1005&lt;VLOOKUP(R$5,NFI,5,0),1,0)*Table_NFI[[#This Row],[Winter Clothes Adult]],Table_NFI[Winter Clothes Adult])</f>
        <v>0</v>
      </c>
      <c r="AJ1005" s="294">
        <f>IF(NFI_Expiration=1,IF($A1005&lt;VLOOKUP(S$5,NFI,5,0),1,0)*Table_NFI[[#This Row],[Winter Clothes Children]],Table_NFI[Winter Clothes Children])</f>
        <v>0</v>
      </c>
      <c r="AK1005" s="294">
        <f>IF(NFI_Expiration=1,IF($A1005&lt;VLOOKUP(T$5,NFI,5,0),1,0)*Table_NFI[[#This Row],[Winter Items Other]],Table_NFI[Winter Items Other])</f>
        <v>0</v>
      </c>
      <c r="AL1005" s="294">
        <f>IF(NFI_Expiration=1,IF($A1005&lt;VLOOKUP(M$5,NFI,5,0),1,0)*Table_NFI[[#This Row],[Winter Blanket]],Table_NFI[[#This Row],[Winter Blanket]])</f>
        <v>0</v>
      </c>
      <c r="AM1005" s="294">
        <f>IF(Table_NFI[[#This Row],[Winter Clothes Adult]]+Table_NFI[[#This Row],[Winter Clothes Children]]+Table_NFI[[#This Row],[Winter Items Other]]+Table_NFI[[#This Row],[Winter Blanket]]&gt;0,1,0)</f>
        <v>0</v>
      </c>
      <c r="AN1005" s="331">
        <f>IF(NFI_Expiration=1,IF($A1005&lt;VLOOKUP(V$5,NFI,5,0),1,0)*Table_NFI[[#This Row],[Jerry Can]],Table_NFI[Jerry Can])</f>
        <v>0</v>
      </c>
      <c r="AO1005" s="331">
        <f>IF(NFI_Expiration=1,IF($A1005&lt;VLOOKUP(V$5,NFI,5,0),1,0)*Table_NFI[[#This Row],[Shelter Tool kit]],Table_NFI[Shelter Tool kit])</f>
        <v>0</v>
      </c>
      <c r="AP1005" s="331">
        <f>IF(NFI_Expiration=1,IF($A1005&lt;VLOOKUP(V$5,NFI,5,0),1,0)*Table_NFI[[#This Row],[Tent]],Table_NFI[Tent])</f>
        <v>0</v>
      </c>
      <c r="AQ1005" s="473" t="str">
        <f>IFERROR(VLOOKUP(Table_NFI[[#This Row],[Camp Name]],CL,2,0),"")</f>
        <v/>
      </c>
      <c r="AR1005" s="468" t="str">
        <f ca="1">IF(Table_NFI[[#This Row],[Pcode]]="","",IF(OFFSET(CampList[Opening Date],MATCH(Table_NFI[[#This Row],[Pcode]],CampList[CP_Pcode],0)-1,0,1,1)&gt;=NFI_Monitor_Date,1,0))</f>
        <v/>
      </c>
      <c r="AS1005" s="473" t="str">
        <f>IFERROR(VLOOKUP(Table_NFI[[#This Row],[Camp Name]],CL,3,0),"")</f>
        <v/>
      </c>
      <c r="AT1005" s="294" t="str">
        <f ca="1">IF(Table_NFI[[#This Row],[Pcode]]="","",OFFSET(CampList[Priority],MATCH(Table_NFI[[#This Row],[Pcode]],CampList[CP_Pcode],0)-1,0,1,1))</f>
        <v/>
      </c>
      <c r="AU1005" s="293" t="str">
        <f>IFERROR(Table_NFI[[#This Row],[Kitchen Set]]/VLOOKUP(Table_NFI[[#This Row],[Camp Name]],CL,4,0),"")</f>
        <v/>
      </c>
      <c r="AV1005" s="466" t="s">
        <v>1092</v>
      </c>
      <c r="AW1005" s="469"/>
    </row>
    <row r="1006" spans="1:49" s="98" customFormat="1" ht="14.45" customHeight="1" x14ac:dyDescent="0.25">
      <c r="A1006" s="297">
        <f t="shared" si="15"/>
        <v>56</v>
      </c>
      <c r="B1006" s="465">
        <v>40995</v>
      </c>
      <c r="C1006" s="466" t="s">
        <v>452</v>
      </c>
      <c r="D1006" s="467" t="s">
        <v>452</v>
      </c>
      <c r="E1006" s="466" t="s">
        <v>380</v>
      </c>
      <c r="F1006" s="290" t="s">
        <v>5</v>
      </c>
      <c r="G1006" s="290" t="s">
        <v>6</v>
      </c>
      <c r="H1006" s="291"/>
      <c r="I1006" s="291"/>
      <c r="J1006" s="291"/>
      <c r="K1006" s="291">
        <v>560</v>
      </c>
      <c r="L1006" s="292">
        <v>280</v>
      </c>
      <c r="M1006" s="292">
        <v>560</v>
      </c>
      <c r="N1006" s="292">
        <v>280</v>
      </c>
      <c r="O1006" s="292">
        <v>280</v>
      </c>
      <c r="P1006" s="294">
        <v>280</v>
      </c>
      <c r="Q1006" s="294">
        <v>280</v>
      </c>
      <c r="R1006" s="294"/>
      <c r="S1006" s="294"/>
      <c r="T1006" s="294"/>
      <c r="U1006" s="294"/>
      <c r="V1006" s="431"/>
      <c r="W1006" s="294"/>
      <c r="X1006" s="294"/>
      <c r="Y1006" s="294">
        <f>IF(NFI_Expiration=1,IF($A1006&lt;VLOOKUP(H$5,NFI,5,0),1,0)*Table_NFI[[#This Row],[Hygiene Kit]],Table_NFI[Hygiene Kit])</f>
        <v>0</v>
      </c>
      <c r="Z1006" s="294">
        <f>IF(NFI_Expiration=1,IF($A1006&lt;VLOOKUP(I$5,NFI,5,0),1,0)*Table_NFI[[#This Row],[NFI Core Kit]],Table_NFI[NFI Core Kit])</f>
        <v>0</v>
      </c>
      <c r="AA1006" s="294">
        <f>IF(NFI_Expiration=1,IF($A1006&lt;VLOOKUP(J$5,NFI,5,0),1,0)*Table_NFI[[#This Row],[Sanitary Kit]],Table_NFI[Sanitary Kit])</f>
        <v>0</v>
      </c>
      <c r="AB1006" s="294">
        <f>IF(NFI_Expiration=1,IF($A1006&lt;VLOOKUP(K$5,NFI,5,0),1,0)*Table_NFI[[#This Row],[Mosquito net]],Table_NFI[Mosquito net])</f>
        <v>0</v>
      </c>
      <c r="AC1006" s="294">
        <f>IF(NFI_Expiration=1,IF($A1006&lt;VLOOKUP(L$5,NFI,5,0),1,0)*Table_NFI[[#This Row],[Tarpaulin]],Table_NFI[[#This Row],[Tarpaulin]])</f>
        <v>0</v>
      </c>
      <c r="AD1006" s="294">
        <f>IF(NFI_Expiration=1,IF($A1006&lt;VLOOKUP(M$5,NFI,5,0),1,0)*Table_NFI[[#This Row],[Blanket]],Table_NFI[[#This Row],[Blanket]])</f>
        <v>0</v>
      </c>
      <c r="AE1006" s="294">
        <f>IF(NFI_Expiration=1,IF($A1006&lt;VLOOKUP(N$5,NFI,5,0),1,0)*Table_NFI[[#This Row],[Kitchen Set]],Table_NFI[Kitchen Set])</f>
        <v>0</v>
      </c>
      <c r="AF1006" s="294">
        <f>IF(NFI_Expiration=1,IF($A1006&lt;VLOOKUP(O$5,NFI,5,0),1,0)*Table_NFI[[#This Row],[Clothes Kit]],Table_NFI[Clothes Kit])</f>
        <v>0</v>
      </c>
      <c r="AG1006" s="294">
        <f>IF(NFI_Expiration=1,IF($A1006&lt;VLOOKUP(P$5,NFI,5,0),1,0)*Table_NFI[[#This Row],[Plastic Bucket]],Table_NFI[Plastic Bucket])</f>
        <v>0</v>
      </c>
      <c r="AH1006" s="294">
        <f>IF(NFI_Expiration=1,IF($A1006&lt;VLOOKUP(Q$5,NFI,5,0),1,0)*Table_NFI[[#This Row],[Plastic Mat]],Table_NFI[Plastic Mat])*IF(Table_NFI[[#This Row],[Distribution Date]]&gt;"2014-04-01",1,2.5)</f>
        <v>0</v>
      </c>
      <c r="AI1006" s="294">
        <f>IF(NFI_Expiration=1,IF($A1006&lt;VLOOKUP(R$5,NFI,5,0),1,0)*Table_NFI[[#This Row],[Winter Clothes Adult]],Table_NFI[Winter Clothes Adult])</f>
        <v>0</v>
      </c>
      <c r="AJ1006" s="294">
        <f>IF(NFI_Expiration=1,IF($A1006&lt;VLOOKUP(S$5,NFI,5,0),1,0)*Table_NFI[[#This Row],[Winter Clothes Children]],Table_NFI[Winter Clothes Children])</f>
        <v>0</v>
      </c>
      <c r="AK1006" s="294">
        <f>IF(NFI_Expiration=1,IF($A1006&lt;VLOOKUP(T$5,NFI,5,0),1,0)*Table_NFI[[#This Row],[Winter Items Other]],Table_NFI[Winter Items Other])</f>
        <v>0</v>
      </c>
      <c r="AL1006" s="294">
        <f>IF(NFI_Expiration=1,IF($A1006&lt;VLOOKUP(M$5,NFI,5,0),1,0)*Table_NFI[[#This Row],[Winter Blanket]],Table_NFI[[#This Row],[Winter Blanket]])</f>
        <v>0</v>
      </c>
      <c r="AM1006" s="294">
        <f>IF(Table_NFI[[#This Row],[Winter Clothes Adult]]+Table_NFI[[#This Row],[Winter Clothes Children]]+Table_NFI[[#This Row],[Winter Items Other]]+Table_NFI[[#This Row],[Winter Blanket]]&gt;0,1,0)</f>
        <v>0</v>
      </c>
      <c r="AN1006" s="331">
        <f>IF(NFI_Expiration=1,IF($A1006&lt;VLOOKUP(V$5,NFI,5,0),1,0)*Table_NFI[[#This Row],[Jerry Can]],Table_NFI[Jerry Can])</f>
        <v>0</v>
      </c>
      <c r="AO1006" s="331">
        <f>IF(NFI_Expiration=1,IF($A1006&lt;VLOOKUP(V$5,NFI,5,0),1,0)*Table_NFI[[#This Row],[Shelter Tool kit]],Table_NFI[Shelter Tool kit])</f>
        <v>0</v>
      </c>
      <c r="AP1006" s="331">
        <f>IF(NFI_Expiration=1,IF($A1006&lt;VLOOKUP(V$5,NFI,5,0),1,0)*Table_NFI[[#This Row],[Tent]],Table_NFI[Tent])</f>
        <v>0</v>
      </c>
      <c r="AQ1006" s="473" t="str">
        <f>IFERROR(VLOOKUP(Table_NFI[[#This Row],[Camp Name]],CL,2,0),"")</f>
        <v>MMR001CMP050</v>
      </c>
      <c r="AR1006" s="468">
        <f ca="1">IF(Table_NFI[[#This Row],[Pcode]]="","",IF(OFFSET(CampList[Opening Date],MATCH(Table_NFI[[#This Row],[Pcode]],CampList[CP_Pcode],0)-1,0,1,1)&gt;=NFI_Monitor_Date,1,0))</f>
        <v>0</v>
      </c>
      <c r="AS1006" s="473" t="str">
        <f>IFERROR(VLOOKUP(Table_NFI[[#This Row],[Camp Name]],CL,3,0),"")</f>
        <v>Open</v>
      </c>
      <c r="AT1006" s="294" t="str">
        <f ca="1">IF(Table_NFI[[#This Row],[Pcode]]="","",OFFSET(CampList[Priority],MATCH(Table_NFI[[#This Row],[Pcode]],CampList[CP_Pcode],0)-1,0,1,1))</f>
        <v>P4</v>
      </c>
      <c r="AU1006" s="293">
        <f>IFERROR(Table_NFI[[#This Row],[Kitchen Set]]/VLOOKUP(Table_NFI[[#This Row],[Camp Name]],CL,4,0),"")</f>
        <v>1.0769230769230769</v>
      </c>
      <c r="AV1006" s="466" t="s">
        <v>1092</v>
      </c>
      <c r="AW1006" s="469"/>
    </row>
    <row r="1007" spans="1:49" s="98" customFormat="1" ht="14.45" customHeight="1" x14ac:dyDescent="0.25">
      <c r="A1007" s="297">
        <f t="shared" si="15"/>
        <v>56</v>
      </c>
      <c r="B1007" s="465">
        <v>40995</v>
      </c>
      <c r="C1007" s="466" t="s">
        <v>452</v>
      </c>
      <c r="D1007" s="467" t="s">
        <v>452</v>
      </c>
      <c r="E1007" s="466" t="s">
        <v>380</v>
      </c>
      <c r="F1007" s="290" t="s">
        <v>310</v>
      </c>
      <c r="G1007" s="290" t="s">
        <v>334</v>
      </c>
      <c r="H1007" s="291"/>
      <c r="I1007" s="291"/>
      <c r="J1007" s="291"/>
      <c r="K1007" s="291">
        <v>460</v>
      </c>
      <c r="L1007" s="292">
        <v>228</v>
      </c>
      <c r="M1007" s="292">
        <v>460</v>
      </c>
      <c r="N1007" s="292">
        <v>228</v>
      </c>
      <c r="O1007" s="292">
        <v>228</v>
      </c>
      <c r="P1007" s="294">
        <v>228</v>
      </c>
      <c r="Q1007" s="294">
        <v>228</v>
      </c>
      <c r="R1007" s="294"/>
      <c r="S1007" s="294"/>
      <c r="T1007" s="294"/>
      <c r="U1007" s="294"/>
      <c r="V1007" s="431"/>
      <c r="W1007" s="294"/>
      <c r="X1007" s="294"/>
      <c r="Y1007" s="294">
        <f>IF(NFI_Expiration=1,IF($A1007&lt;VLOOKUP(H$5,NFI,5,0),1,0)*Table_NFI[[#This Row],[Hygiene Kit]],Table_NFI[Hygiene Kit])</f>
        <v>0</v>
      </c>
      <c r="Z1007" s="294">
        <f>IF(NFI_Expiration=1,IF($A1007&lt;VLOOKUP(I$5,NFI,5,0),1,0)*Table_NFI[[#This Row],[NFI Core Kit]],Table_NFI[NFI Core Kit])</f>
        <v>0</v>
      </c>
      <c r="AA1007" s="294">
        <f>IF(NFI_Expiration=1,IF($A1007&lt;VLOOKUP(J$5,NFI,5,0),1,0)*Table_NFI[[#This Row],[Sanitary Kit]],Table_NFI[Sanitary Kit])</f>
        <v>0</v>
      </c>
      <c r="AB1007" s="294">
        <f>IF(NFI_Expiration=1,IF($A1007&lt;VLOOKUP(K$5,NFI,5,0),1,0)*Table_NFI[[#This Row],[Mosquito net]],Table_NFI[Mosquito net])</f>
        <v>0</v>
      </c>
      <c r="AC1007" s="294">
        <f>IF(NFI_Expiration=1,IF($A1007&lt;VLOOKUP(L$5,NFI,5,0),1,0)*Table_NFI[[#This Row],[Tarpaulin]],Table_NFI[[#This Row],[Tarpaulin]])</f>
        <v>0</v>
      </c>
      <c r="AD1007" s="294">
        <f>IF(NFI_Expiration=1,IF($A1007&lt;VLOOKUP(M$5,NFI,5,0),1,0)*Table_NFI[[#This Row],[Blanket]],Table_NFI[[#This Row],[Blanket]])</f>
        <v>0</v>
      </c>
      <c r="AE1007" s="294">
        <f>IF(NFI_Expiration=1,IF($A1007&lt;VLOOKUP(N$5,NFI,5,0),1,0)*Table_NFI[[#This Row],[Kitchen Set]],Table_NFI[Kitchen Set])</f>
        <v>0</v>
      </c>
      <c r="AF1007" s="294">
        <f>IF(NFI_Expiration=1,IF($A1007&lt;VLOOKUP(O$5,NFI,5,0),1,0)*Table_NFI[[#This Row],[Clothes Kit]],Table_NFI[Clothes Kit])</f>
        <v>0</v>
      </c>
      <c r="AG1007" s="294">
        <f>IF(NFI_Expiration=1,IF($A1007&lt;VLOOKUP(P$5,NFI,5,0),1,0)*Table_NFI[[#This Row],[Plastic Bucket]],Table_NFI[Plastic Bucket])</f>
        <v>0</v>
      </c>
      <c r="AH1007" s="294">
        <f>IF(NFI_Expiration=1,IF($A1007&lt;VLOOKUP(Q$5,NFI,5,0),1,0)*Table_NFI[[#This Row],[Plastic Mat]],Table_NFI[Plastic Mat])*IF(Table_NFI[[#This Row],[Distribution Date]]&gt;"2014-04-01",1,2.5)</f>
        <v>0</v>
      </c>
      <c r="AI1007" s="294">
        <f>IF(NFI_Expiration=1,IF($A1007&lt;VLOOKUP(R$5,NFI,5,0),1,0)*Table_NFI[[#This Row],[Winter Clothes Adult]],Table_NFI[Winter Clothes Adult])</f>
        <v>0</v>
      </c>
      <c r="AJ1007" s="294">
        <f>IF(NFI_Expiration=1,IF($A1007&lt;VLOOKUP(S$5,NFI,5,0),1,0)*Table_NFI[[#This Row],[Winter Clothes Children]],Table_NFI[Winter Clothes Children])</f>
        <v>0</v>
      </c>
      <c r="AK1007" s="294">
        <f>IF(NFI_Expiration=1,IF($A1007&lt;VLOOKUP(T$5,NFI,5,0),1,0)*Table_NFI[[#This Row],[Winter Items Other]],Table_NFI[Winter Items Other])</f>
        <v>0</v>
      </c>
      <c r="AL1007" s="294">
        <f>IF(NFI_Expiration=1,IF($A1007&lt;VLOOKUP(M$5,NFI,5,0),1,0)*Table_NFI[[#This Row],[Winter Blanket]],Table_NFI[[#This Row],[Winter Blanket]])</f>
        <v>0</v>
      </c>
      <c r="AM1007" s="294">
        <f>IF(Table_NFI[[#This Row],[Winter Clothes Adult]]+Table_NFI[[#This Row],[Winter Clothes Children]]+Table_NFI[[#This Row],[Winter Items Other]]+Table_NFI[[#This Row],[Winter Blanket]]&gt;0,1,0)</f>
        <v>0</v>
      </c>
      <c r="AN1007" s="331">
        <f>IF(NFI_Expiration=1,IF($A1007&lt;VLOOKUP(V$5,NFI,5,0),1,0)*Table_NFI[[#This Row],[Jerry Can]],Table_NFI[Jerry Can])</f>
        <v>0</v>
      </c>
      <c r="AO1007" s="331">
        <f>IF(NFI_Expiration=1,IF($A1007&lt;VLOOKUP(V$5,NFI,5,0),1,0)*Table_NFI[[#This Row],[Shelter Tool kit]],Table_NFI[Shelter Tool kit])</f>
        <v>0</v>
      </c>
      <c r="AP1007" s="331">
        <f>IF(NFI_Expiration=1,IF($A1007&lt;VLOOKUP(V$5,NFI,5,0),1,0)*Table_NFI[[#This Row],[Tent]],Table_NFI[Tent])</f>
        <v>0</v>
      </c>
      <c r="AQ1007" s="473" t="str">
        <f>IFERROR(VLOOKUP(Table_NFI[[#This Row],[Camp Name]],CL,2,0),"")</f>
        <v>MMR001CMP113</v>
      </c>
      <c r="AR1007" s="468">
        <f ca="1">IF(Table_NFI[[#This Row],[Pcode]]="","",IF(OFFSET(CampList[Opening Date],MATCH(Table_NFI[[#This Row],[Pcode]],CampList[CP_Pcode],0)-1,0,1,1)&gt;=NFI_Monitor_Date,1,0))</f>
        <v>0</v>
      </c>
      <c r="AS1007" s="473" t="str">
        <f>IFERROR(VLOOKUP(Table_NFI[[#This Row],[Camp Name]],CL,3,0),"")</f>
        <v>Open</v>
      </c>
      <c r="AT1007" s="294" t="str">
        <f ca="1">IF(Table_NFI[[#This Row],[Pcode]]="","",OFFSET(CampList[Priority],MATCH(Table_NFI[[#This Row],[Pcode]],CampList[CP_Pcode],0)-1,0,1,1))</f>
        <v>P1</v>
      </c>
      <c r="AU1007" s="293">
        <f>IFERROR(Table_NFI[[#This Row],[Kitchen Set]]/VLOOKUP(Table_NFI[[#This Row],[Camp Name]],CL,4,0),"")</f>
        <v>1.4161490683229814</v>
      </c>
      <c r="AV1007" s="466" t="s">
        <v>1092</v>
      </c>
      <c r="AW1007" s="469"/>
    </row>
    <row r="1008" spans="1:49" s="98" customFormat="1" ht="14.45" customHeight="1" x14ac:dyDescent="0.25">
      <c r="A1008" s="297">
        <f t="shared" si="15"/>
        <v>56</v>
      </c>
      <c r="B1008" s="465">
        <v>40995</v>
      </c>
      <c r="C1008" s="466" t="s">
        <v>452</v>
      </c>
      <c r="D1008" s="467" t="s">
        <v>452</v>
      </c>
      <c r="E1008" s="466" t="s">
        <v>380</v>
      </c>
      <c r="F1008" s="290" t="s">
        <v>185</v>
      </c>
      <c r="G1008" s="290" t="s">
        <v>912</v>
      </c>
      <c r="H1008" s="291"/>
      <c r="I1008" s="291"/>
      <c r="J1008" s="291"/>
      <c r="K1008" s="291">
        <v>52</v>
      </c>
      <c r="L1008" s="292">
        <v>52</v>
      </c>
      <c r="M1008" s="292">
        <v>0</v>
      </c>
      <c r="N1008" s="292">
        <v>0</v>
      </c>
      <c r="O1008" s="292">
        <v>0</v>
      </c>
      <c r="P1008" s="294"/>
      <c r="Q1008" s="294"/>
      <c r="R1008" s="294"/>
      <c r="S1008" s="294"/>
      <c r="T1008" s="294"/>
      <c r="U1008" s="294"/>
      <c r="V1008" s="431"/>
      <c r="W1008" s="294"/>
      <c r="X1008" s="294"/>
      <c r="Y1008" s="294">
        <f>IF(NFI_Expiration=1,IF($A1008&lt;VLOOKUP(H$5,NFI,5,0),1,0)*Table_NFI[[#This Row],[Hygiene Kit]],Table_NFI[Hygiene Kit])</f>
        <v>0</v>
      </c>
      <c r="Z1008" s="294">
        <f>IF(NFI_Expiration=1,IF($A1008&lt;VLOOKUP(I$5,NFI,5,0),1,0)*Table_NFI[[#This Row],[NFI Core Kit]],Table_NFI[NFI Core Kit])</f>
        <v>0</v>
      </c>
      <c r="AA1008" s="294">
        <f>IF(NFI_Expiration=1,IF($A1008&lt;VLOOKUP(J$5,NFI,5,0),1,0)*Table_NFI[[#This Row],[Sanitary Kit]],Table_NFI[Sanitary Kit])</f>
        <v>0</v>
      </c>
      <c r="AB1008" s="294">
        <f>IF(NFI_Expiration=1,IF($A1008&lt;VLOOKUP(K$5,NFI,5,0),1,0)*Table_NFI[[#This Row],[Mosquito net]],Table_NFI[Mosquito net])</f>
        <v>0</v>
      </c>
      <c r="AC1008" s="294">
        <f>IF(NFI_Expiration=1,IF($A1008&lt;VLOOKUP(L$5,NFI,5,0),1,0)*Table_NFI[[#This Row],[Tarpaulin]],Table_NFI[[#This Row],[Tarpaulin]])</f>
        <v>0</v>
      </c>
      <c r="AD1008" s="294">
        <f>IF(NFI_Expiration=1,IF($A1008&lt;VLOOKUP(M$5,NFI,5,0),1,0)*Table_NFI[[#This Row],[Blanket]],Table_NFI[[#This Row],[Blanket]])</f>
        <v>0</v>
      </c>
      <c r="AE1008" s="294">
        <f>IF(NFI_Expiration=1,IF($A1008&lt;VLOOKUP(N$5,NFI,5,0),1,0)*Table_NFI[[#This Row],[Kitchen Set]],Table_NFI[Kitchen Set])</f>
        <v>0</v>
      </c>
      <c r="AF1008" s="294">
        <f>IF(NFI_Expiration=1,IF($A1008&lt;VLOOKUP(O$5,NFI,5,0),1,0)*Table_NFI[[#This Row],[Clothes Kit]],Table_NFI[Clothes Kit])</f>
        <v>0</v>
      </c>
      <c r="AG1008" s="294">
        <f>IF(NFI_Expiration=1,IF($A1008&lt;VLOOKUP(P$5,NFI,5,0),1,0)*Table_NFI[[#This Row],[Plastic Bucket]],Table_NFI[Plastic Bucket])</f>
        <v>0</v>
      </c>
      <c r="AH1008" s="294">
        <f>IF(NFI_Expiration=1,IF($A1008&lt;VLOOKUP(Q$5,NFI,5,0),1,0)*Table_NFI[[#This Row],[Plastic Mat]],Table_NFI[Plastic Mat])*IF(Table_NFI[[#This Row],[Distribution Date]]&gt;"2014-04-01",1,2.5)</f>
        <v>0</v>
      </c>
      <c r="AI1008" s="294">
        <f>IF(NFI_Expiration=1,IF($A1008&lt;VLOOKUP(R$5,NFI,5,0),1,0)*Table_NFI[[#This Row],[Winter Clothes Adult]],Table_NFI[Winter Clothes Adult])</f>
        <v>0</v>
      </c>
      <c r="AJ1008" s="294">
        <f>IF(NFI_Expiration=1,IF($A1008&lt;VLOOKUP(S$5,NFI,5,0),1,0)*Table_NFI[[#This Row],[Winter Clothes Children]],Table_NFI[Winter Clothes Children])</f>
        <v>0</v>
      </c>
      <c r="AK1008" s="294">
        <f>IF(NFI_Expiration=1,IF($A1008&lt;VLOOKUP(T$5,NFI,5,0),1,0)*Table_NFI[[#This Row],[Winter Items Other]],Table_NFI[Winter Items Other])</f>
        <v>0</v>
      </c>
      <c r="AL1008" s="294">
        <f>IF(NFI_Expiration=1,IF($A1008&lt;VLOOKUP(M$5,NFI,5,0),1,0)*Table_NFI[[#This Row],[Winter Blanket]],Table_NFI[[#This Row],[Winter Blanket]])</f>
        <v>0</v>
      </c>
      <c r="AM1008" s="294">
        <f>IF(Table_NFI[[#This Row],[Winter Clothes Adult]]+Table_NFI[[#This Row],[Winter Clothes Children]]+Table_NFI[[#This Row],[Winter Items Other]]+Table_NFI[[#This Row],[Winter Blanket]]&gt;0,1,0)</f>
        <v>0</v>
      </c>
      <c r="AN1008" s="331">
        <f>IF(NFI_Expiration=1,IF($A1008&lt;VLOOKUP(V$5,NFI,5,0),1,0)*Table_NFI[[#This Row],[Jerry Can]],Table_NFI[Jerry Can])</f>
        <v>0</v>
      </c>
      <c r="AO1008" s="331">
        <f>IF(NFI_Expiration=1,IF($A1008&lt;VLOOKUP(V$5,NFI,5,0),1,0)*Table_NFI[[#This Row],[Shelter Tool kit]],Table_NFI[Shelter Tool kit])</f>
        <v>0</v>
      </c>
      <c r="AP1008" s="331">
        <f>IF(NFI_Expiration=1,IF($A1008&lt;VLOOKUP(V$5,NFI,5,0),1,0)*Table_NFI[[#This Row],[Tent]],Table_NFI[Tent])</f>
        <v>0</v>
      </c>
      <c r="AQ1008" s="473" t="str">
        <f>IFERROR(VLOOKUP(Table_NFI[[#This Row],[Camp Name]],CL,2,0),"")</f>
        <v/>
      </c>
      <c r="AR1008" s="468" t="str">
        <f ca="1">IF(Table_NFI[[#This Row],[Pcode]]="","",IF(OFFSET(CampList[Opening Date],MATCH(Table_NFI[[#This Row],[Pcode]],CampList[CP_Pcode],0)-1,0,1,1)&gt;=NFI_Monitor_Date,1,0))</f>
        <v/>
      </c>
      <c r="AS1008" s="473" t="str">
        <f>IFERROR(VLOOKUP(Table_NFI[[#This Row],[Camp Name]],CL,3,0),"")</f>
        <v/>
      </c>
      <c r="AT1008" s="294" t="str">
        <f ca="1">IF(Table_NFI[[#This Row],[Pcode]]="","",OFFSET(CampList[Priority],MATCH(Table_NFI[[#This Row],[Pcode]],CampList[CP_Pcode],0)-1,0,1,1))</f>
        <v/>
      </c>
      <c r="AU1008" s="293" t="str">
        <f>IFERROR(Table_NFI[[#This Row],[Kitchen Set]]/VLOOKUP(Table_NFI[[#This Row],[Camp Name]],CL,4,0),"")</f>
        <v/>
      </c>
      <c r="AV1008" s="466" t="s">
        <v>1092</v>
      </c>
      <c r="AW1008" s="469"/>
    </row>
    <row r="1009" spans="1:49" s="98" customFormat="1" ht="14.45" customHeight="1" x14ac:dyDescent="0.25">
      <c r="A1009" s="297">
        <f t="shared" si="15"/>
        <v>56</v>
      </c>
      <c r="B1009" s="465">
        <v>40995</v>
      </c>
      <c r="C1009" s="466" t="s">
        <v>452</v>
      </c>
      <c r="D1009" s="466" t="s">
        <v>452</v>
      </c>
      <c r="E1009" s="466" t="s">
        <v>380</v>
      </c>
      <c r="F1009" s="290" t="s">
        <v>310</v>
      </c>
      <c r="G1009" s="290" t="s">
        <v>355</v>
      </c>
      <c r="H1009" s="291"/>
      <c r="I1009" s="291"/>
      <c r="J1009" s="291"/>
      <c r="K1009" s="291">
        <v>0</v>
      </c>
      <c r="L1009" s="292">
        <v>40</v>
      </c>
      <c r="M1009" s="292">
        <v>0</v>
      </c>
      <c r="N1009" s="292">
        <v>0</v>
      </c>
      <c r="O1009" s="292">
        <v>0</v>
      </c>
      <c r="P1009" s="294"/>
      <c r="Q1009" s="294"/>
      <c r="R1009" s="294"/>
      <c r="S1009" s="294"/>
      <c r="T1009" s="294"/>
      <c r="U1009" s="294"/>
      <c r="V1009" s="431"/>
      <c r="W1009" s="294"/>
      <c r="X1009" s="294"/>
      <c r="Y1009" s="294">
        <f>IF(NFI_Expiration=1,IF($A1009&lt;VLOOKUP(H$5,NFI,5,0),1,0)*Table_NFI[[#This Row],[Hygiene Kit]],Table_NFI[Hygiene Kit])</f>
        <v>0</v>
      </c>
      <c r="Z1009" s="294">
        <f>IF(NFI_Expiration=1,IF($A1009&lt;VLOOKUP(I$5,NFI,5,0),1,0)*Table_NFI[[#This Row],[NFI Core Kit]],Table_NFI[NFI Core Kit])</f>
        <v>0</v>
      </c>
      <c r="AA1009" s="294">
        <f>IF(NFI_Expiration=1,IF($A1009&lt;VLOOKUP(J$5,NFI,5,0),1,0)*Table_NFI[[#This Row],[Sanitary Kit]],Table_NFI[Sanitary Kit])</f>
        <v>0</v>
      </c>
      <c r="AB1009" s="294">
        <f>IF(NFI_Expiration=1,IF($A1009&lt;VLOOKUP(K$5,NFI,5,0),1,0)*Table_NFI[[#This Row],[Mosquito net]],Table_NFI[Mosquito net])</f>
        <v>0</v>
      </c>
      <c r="AC1009" s="294">
        <f>IF(NFI_Expiration=1,IF($A1009&lt;VLOOKUP(L$5,NFI,5,0),1,0)*Table_NFI[[#This Row],[Tarpaulin]],Table_NFI[[#This Row],[Tarpaulin]])</f>
        <v>0</v>
      </c>
      <c r="AD1009" s="294">
        <f>IF(NFI_Expiration=1,IF($A1009&lt;VLOOKUP(M$5,NFI,5,0),1,0)*Table_NFI[[#This Row],[Blanket]],Table_NFI[[#This Row],[Blanket]])</f>
        <v>0</v>
      </c>
      <c r="AE1009" s="294">
        <f>IF(NFI_Expiration=1,IF($A1009&lt;VLOOKUP(N$5,NFI,5,0),1,0)*Table_NFI[[#This Row],[Kitchen Set]],Table_NFI[Kitchen Set])</f>
        <v>0</v>
      </c>
      <c r="AF1009" s="294">
        <f>IF(NFI_Expiration=1,IF($A1009&lt;VLOOKUP(O$5,NFI,5,0),1,0)*Table_NFI[[#This Row],[Clothes Kit]],Table_NFI[Clothes Kit])</f>
        <v>0</v>
      </c>
      <c r="AG1009" s="294">
        <f>IF(NFI_Expiration=1,IF($A1009&lt;VLOOKUP(P$5,NFI,5,0),1,0)*Table_NFI[[#This Row],[Plastic Bucket]],Table_NFI[Plastic Bucket])</f>
        <v>0</v>
      </c>
      <c r="AH1009" s="294">
        <f>IF(NFI_Expiration=1,IF($A1009&lt;VLOOKUP(Q$5,NFI,5,0),1,0)*Table_NFI[[#This Row],[Plastic Mat]],Table_NFI[Plastic Mat])*IF(Table_NFI[[#This Row],[Distribution Date]]&gt;"2014-04-01",1,2.5)</f>
        <v>0</v>
      </c>
      <c r="AI1009" s="294">
        <f>IF(NFI_Expiration=1,IF($A1009&lt;VLOOKUP(R$5,NFI,5,0),1,0)*Table_NFI[[#This Row],[Winter Clothes Adult]],Table_NFI[Winter Clothes Adult])</f>
        <v>0</v>
      </c>
      <c r="AJ1009" s="294">
        <f>IF(NFI_Expiration=1,IF($A1009&lt;VLOOKUP(S$5,NFI,5,0),1,0)*Table_NFI[[#This Row],[Winter Clothes Children]],Table_NFI[Winter Clothes Children])</f>
        <v>0</v>
      </c>
      <c r="AK1009" s="294">
        <f>IF(NFI_Expiration=1,IF($A1009&lt;VLOOKUP(T$5,NFI,5,0),1,0)*Table_NFI[[#This Row],[Winter Items Other]],Table_NFI[Winter Items Other])</f>
        <v>0</v>
      </c>
      <c r="AL1009" s="294">
        <f>IF(NFI_Expiration=1,IF($A1009&lt;VLOOKUP(M$5,NFI,5,0),1,0)*Table_NFI[[#This Row],[Winter Blanket]],Table_NFI[[#This Row],[Winter Blanket]])</f>
        <v>0</v>
      </c>
      <c r="AM1009" s="294">
        <f>IF(Table_NFI[[#This Row],[Winter Clothes Adult]]+Table_NFI[[#This Row],[Winter Clothes Children]]+Table_NFI[[#This Row],[Winter Items Other]]+Table_NFI[[#This Row],[Winter Blanket]]&gt;0,1,0)</f>
        <v>0</v>
      </c>
      <c r="AN1009" s="331">
        <f>IF(NFI_Expiration=1,IF($A1009&lt;VLOOKUP(V$5,NFI,5,0),1,0)*Table_NFI[[#This Row],[Jerry Can]],Table_NFI[Jerry Can])</f>
        <v>0</v>
      </c>
      <c r="AO1009" s="331">
        <f>IF(NFI_Expiration=1,IF($A1009&lt;VLOOKUP(V$5,NFI,5,0),1,0)*Table_NFI[[#This Row],[Shelter Tool kit]],Table_NFI[Shelter Tool kit])</f>
        <v>0</v>
      </c>
      <c r="AP1009" s="331">
        <f>IF(NFI_Expiration=1,IF($A1009&lt;VLOOKUP(V$5,NFI,5,0),1,0)*Table_NFI[[#This Row],[Tent]],Table_NFI[Tent])</f>
        <v>0</v>
      </c>
      <c r="AQ1009" s="473" t="str">
        <f>IFERROR(VLOOKUP(Table_NFI[[#This Row],[Camp Name]],CL,2,0),"")</f>
        <v>MMR001CMP160</v>
      </c>
      <c r="AR1009" s="468">
        <f ca="1">IF(Table_NFI[[#This Row],[Pcode]]="","",IF(OFFSET(CampList[Opening Date],MATCH(Table_NFI[[#This Row],[Pcode]],CampList[CP_Pcode],0)-1,0,1,1)&gt;=NFI_Monitor_Date,1,0))</f>
        <v>0</v>
      </c>
      <c r="AS1009" s="473" t="str">
        <f>IFERROR(VLOOKUP(Table_NFI[[#This Row],[Camp Name]],CL,3,0),"")</f>
        <v>Open</v>
      </c>
      <c r="AT1009" s="294" t="str">
        <f ca="1">IF(Table_NFI[[#This Row],[Pcode]]="","",OFFSET(CampList[Priority],MATCH(Table_NFI[[#This Row],[Pcode]],CampList[CP_Pcode],0)-1,0,1,1))</f>
        <v>P1</v>
      </c>
      <c r="AU1009" s="293">
        <f>IFERROR(Table_NFI[[#This Row],[Kitchen Set]]/VLOOKUP(Table_NFI[[#This Row],[Camp Name]],CL,4,0),"")</f>
        <v>0</v>
      </c>
      <c r="AV1009" s="466" t="s">
        <v>1092</v>
      </c>
      <c r="AW1009" s="469"/>
    </row>
    <row r="1010" spans="1:49" s="98" customFormat="1" ht="14.45" customHeight="1" x14ac:dyDescent="0.25">
      <c r="A1010" s="297">
        <f t="shared" si="15"/>
        <v>56</v>
      </c>
      <c r="B1010" s="465">
        <v>40995</v>
      </c>
      <c r="C1010" s="466" t="s">
        <v>452</v>
      </c>
      <c r="D1010" s="467" t="s">
        <v>452</v>
      </c>
      <c r="E1010" s="466" t="s">
        <v>380</v>
      </c>
      <c r="F1010" s="290" t="s">
        <v>5</v>
      </c>
      <c r="G1010" s="290" t="s">
        <v>22</v>
      </c>
      <c r="H1010" s="291"/>
      <c r="I1010" s="291"/>
      <c r="J1010" s="291"/>
      <c r="K1010" s="291">
        <v>1000</v>
      </c>
      <c r="L1010" s="292">
        <v>500</v>
      </c>
      <c r="M1010" s="292">
        <v>1000</v>
      </c>
      <c r="N1010" s="292">
        <v>500</v>
      </c>
      <c r="O1010" s="292">
        <v>500</v>
      </c>
      <c r="P1010" s="294">
        <v>500</v>
      </c>
      <c r="Q1010" s="294">
        <v>500</v>
      </c>
      <c r="R1010" s="294"/>
      <c r="S1010" s="294"/>
      <c r="T1010" s="294"/>
      <c r="U1010" s="294"/>
      <c r="V1010" s="431"/>
      <c r="W1010" s="294"/>
      <c r="X1010" s="294"/>
      <c r="Y1010" s="294">
        <f>IF(NFI_Expiration=1,IF($A1010&lt;VLOOKUP(H$5,NFI,5,0),1,0)*Table_NFI[[#This Row],[Hygiene Kit]],Table_NFI[Hygiene Kit])</f>
        <v>0</v>
      </c>
      <c r="Z1010" s="294">
        <f>IF(NFI_Expiration=1,IF($A1010&lt;VLOOKUP(I$5,NFI,5,0),1,0)*Table_NFI[[#This Row],[NFI Core Kit]],Table_NFI[NFI Core Kit])</f>
        <v>0</v>
      </c>
      <c r="AA1010" s="294">
        <f>IF(NFI_Expiration=1,IF($A1010&lt;VLOOKUP(J$5,NFI,5,0),1,0)*Table_NFI[[#This Row],[Sanitary Kit]],Table_NFI[Sanitary Kit])</f>
        <v>0</v>
      </c>
      <c r="AB1010" s="294">
        <f>IF(NFI_Expiration=1,IF($A1010&lt;VLOOKUP(K$5,NFI,5,0),1,0)*Table_NFI[[#This Row],[Mosquito net]],Table_NFI[Mosquito net])</f>
        <v>0</v>
      </c>
      <c r="AC1010" s="294">
        <f>IF(NFI_Expiration=1,IF($A1010&lt;VLOOKUP(L$5,NFI,5,0),1,0)*Table_NFI[[#This Row],[Tarpaulin]],Table_NFI[[#This Row],[Tarpaulin]])</f>
        <v>0</v>
      </c>
      <c r="AD1010" s="294">
        <f>IF(NFI_Expiration=1,IF($A1010&lt;VLOOKUP(M$5,NFI,5,0),1,0)*Table_NFI[[#This Row],[Blanket]],Table_NFI[[#This Row],[Blanket]])</f>
        <v>0</v>
      </c>
      <c r="AE1010" s="294">
        <f>IF(NFI_Expiration=1,IF($A1010&lt;VLOOKUP(N$5,NFI,5,0),1,0)*Table_NFI[[#This Row],[Kitchen Set]],Table_NFI[Kitchen Set])</f>
        <v>0</v>
      </c>
      <c r="AF1010" s="294">
        <f>IF(NFI_Expiration=1,IF($A1010&lt;VLOOKUP(O$5,NFI,5,0),1,0)*Table_NFI[[#This Row],[Clothes Kit]],Table_NFI[Clothes Kit])</f>
        <v>0</v>
      </c>
      <c r="AG1010" s="294">
        <f>IF(NFI_Expiration=1,IF($A1010&lt;VLOOKUP(P$5,NFI,5,0),1,0)*Table_NFI[[#This Row],[Plastic Bucket]],Table_NFI[Plastic Bucket])</f>
        <v>0</v>
      </c>
      <c r="AH1010" s="294">
        <f>IF(NFI_Expiration=1,IF($A1010&lt;VLOOKUP(Q$5,NFI,5,0),1,0)*Table_NFI[[#This Row],[Plastic Mat]],Table_NFI[Plastic Mat])*IF(Table_NFI[[#This Row],[Distribution Date]]&gt;"2014-04-01",1,2.5)</f>
        <v>0</v>
      </c>
      <c r="AI1010" s="294">
        <f>IF(NFI_Expiration=1,IF($A1010&lt;VLOOKUP(R$5,NFI,5,0),1,0)*Table_NFI[[#This Row],[Winter Clothes Adult]],Table_NFI[Winter Clothes Adult])</f>
        <v>0</v>
      </c>
      <c r="AJ1010" s="294">
        <f>IF(NFI_Expiration=1,IF($A1010&lt;VLOOKUP(S$5,NFI,5,0),1,0)*Table_NFI[[#This Row],[Winter Clothes Children]],Table_NFI[Winter Clothes Children])</f>
        <v>0</v>
      </c>
      <c r="AK1010" s="294">
        <f>IF(NFI_Expiration=1,IF($A1010&lt;VLOOKUP(T$5,NFI,5,0),1,0)*Table_NFI[[#This Row],[Winter Items Other]],Table_NFI[Winter Items Other])</f>
        <v>0</v>
      </c>
      <c r="AL1010" s="294">
        <f>IF(NFI_Expiration=1,IF($A1010&lt;VLOOKUP(M$5,NFI,5,0),1,0)*Table_NFI[[#This Row],[Winter Blanket]],Table_NFI[[#This Row],[Winter Blanket]])</f>
        <v>0</v>
      </c>
      <c r="AM1010" s="294">
        <f>IF(Table_NFI[[#This Row],[Winter Clothes Adult]]+Table_NFI[[#This Row],[Winter Clothes Children]]+Table_NFI[[#This Row],[Winter Items Other]]+Table_NFI[[#This Row],[Winter Blanket]]&gt;0,1,0)</f>
        <v>0</v>
      </c>
      <c r="AN1010" s="331">
        <f>IF(NFI_Expiration=1,IF($A1010&lt;VLOOKUP(V$5,NFI,5,0),1,0)*Table_NFI[[#This Row],[Jerry Can]],Table_NFI[Jerry Can])</f>
        <v>0</v>
      </c>
      <c r="AO1010" s="331">
        <f>IF(NFI_Expiration=1,IF($A1010&lt;VLOOKUP(V$5,NFI,5,0),1,0)*Table_NFI[[#This Row],[Shelter Tool kit]],Table_NFI[Shelter Tool kit])</f>
        <v>0</v>
      </c>
      <c r="AP1010" s="331">
        <f>IF(NFI_Expiration=1,IF($A1010&lt;VLOOKUP(V$5,NFI,5,0),1,0)*Table_NFI[[#This Row],[Tent]],Table_NFI[Tent])</f>
        <v>0</v>
      </c>
      <c r="AQ1010" s="473" t="str">
        <f>IFERROR(VLOOKUP(Table_NFI[[#This Row],[Camp Name]],CL,2,0),"")</f>
        <v>MMR001CMP047</v>
      </c>
      <c r="AR1010" s="468">
        <f ca="1">IF(Table_NFI[[#This Row],[Pcode]]="","",IF(OFFSET(CampList[Opening Date],MATCH(Table_NFI[[#This Row],[Pcode]],CampList[CP_Pcode],0)-1,0,1,1)&gt;=NFI_Monitor_Date,1,0))</f>
        <v>0</v>
      </c>
      <c r="AS1010" s="473" t="str">
        <f>IFERROR(VLOOKUP(Table_NFI[[#This Row],[Camp Name]],CL,3,0),"")</f>
        <v>Open</v>
      </c>
      <c r="AT1010" s="294" t="str">
        <f ca="1">IF(Table_NFI[[#This Row],[Pcode]]="","",OFFSET(CampList[Priority],MATCH(Table_NFI[[#This Row],[Pcode]],CampList[CP_Pcode],0)-1,0,1,1))</f>
        <v>P4</v>
      </c>
      <c r="AU1010" s="293">
        <f>IFERROR(Table_NFI[[#This Row],[Kitchen Set]]/VLOOKUP(Table_NFI[[#This Row],[Camp Name]],CL,4,0),"")</f>
        <v>0.79872204472843455</v>
      </c>
      <c r="AV1010" s="466" t="s">
        <v>1092</v>
      </c>
      <c r="AW1010" s="469"/>
    </row>
    <row r="1011" spans="1:49" s="470" customFormat="1" ht="14.45" customHeight="1" x14ac:dyDescent="0.25">
      <c r="A1011" s="297">
        <f t="shared" si="15"/>
        <v>56.033333333333331</v>
      </c>
      <c r="B1011" s="465">
        <v>40994</v>
      </c>
      <c r="C1011" s="466" t="s">
        <v>452</v>
      </c>
      <c r="D1011" s="466" t="s">
        <v>452</v>
      </c>
      <c r="E1011" s="466" t="s">
        <v>380</v>
      </c>
      <c r="F1011" s="290" t="s">
        <v>310</v>
      </c>
      <c r="G1011" s="290" t="s">
        <v>334</v>
      </c>
      <c r="H1011" s="291"/>
      <c r="I1011" s="291"/>
      <c r="J1011" s="291"/>
      <c r="K1011" s="291">
        <v>460</v>
      </c>
      <c r="L1011" s="292">
        <v>250</v>
      </c>
      <c r="M1011" s="292">
        <v>460</v>
      </c>
      <c r="N1011" s="292">
        <v>230</v>
      </c>
      <c r="O1011" s="292">
        <v>0</v>
      </c>
      <c r="P1011" s="294"/>
      <c r="Q1011" s="294"/>
      <c r="R1011" s="294"/>
      <c r="S1011" s="294"/>
      <c r="T1011" s="294"/>
      <c r="U1011" s="294"/>
      <c r="V1011" s="431"/>
      <c r="W1011" s="294"/>
      <c r="X1011" s="294"/>
      <c r="Y1011" s="294">
        <f>IF(NFI_Expiration=1,IF($A1011&lt;VLOOKUP(H$5,NFI,5,0),1,0)*Table_NFI[[#This Row],[Hygiene Kit]],Table_NFI[Hygiene Kit])</f>
        <v>0</v>
      </c>
      <c r="Z1011" s="294">
        <f>IF(NFI_Expiration=1,IF($A1011&lt;VLOOKUP(I$5,NFI,5,0),1,0)*Table_NFI[[#This Row],[NFI Core Kit]],Table_NFI[NFI Core Kit])</f>
        <v>0</v>
      </c>
      <c r="AA1011" s="294">
        <f>IF(NFI_Expiration=1,IF($A1011&lt;VLOOKUP(J$5,NFI,5,0),1,0)*Table_NFI[[#This Row],[Sanitary Kit]],Table_NFI[Sanitary Kit])</f>
        <v>0</v>
      </c>
      <c r="AB1011" s="294">
        <f>IF(NFI_Expiration=1,IF($A1011&lt;VLOOKUP(K$5,NFI,5,0),1,0)*Table_NFI[[#This Row],[Mosquito net]],Table_NFI[Mosquito net])</f>
        <v>0</v>
      </c>
      <c r="AC1011" s="294">
        <f>IF(NFI_Expiration=1,IF($A1011&lt;VLOOKUP(L$5,NFI,5,0),1,0)*Table_NFI[[#This Row],[Tarpaulin]],Table_NFI[[#This Row],[Tarpaulin]])</f>
        <v>0</v>
      </c>
      <c r="AD1011" s="294">
        <f>IF(NFI_Expiration=1,IF($A1011&lt;VLOOKUP(M$5,NFI,5,0),1,0)*Table_NFI[[#This Row],[Blanket]],Table_NFI[[#This Row],[Blanket]])</f>
        <v>0</v>
      </c>
      <c r="AE1011" s="294">
        <f>IF(NFI_Expiration=1,IF($A1011&lt;VLOOKUP(N$5,NFI,5,0),1,0)*Table_NFI[[#This Row],[Kitchen Set]],Table_NFI[Kitchen Set])</f>
        <v>0</v>
      </c>
      <c r="AF1011" s="294">
        <f>IF(NFI_Expiration=1,IF($A1011&lt;VLOOKUP(O$5,NFI,5,0),1,0)*Table_NFI[[#This Row],[Clothes Kit]],Table_NFI[Clothes Kit])</f>
        <v>0</v>
      </c>
      <c r="AG1011" s="294">
        <f>IF(NFI_Expiration=1,IF($A1011&lt;VLOOKUP(P$5,NFI,5,0),1,0)*Table_NFI[[#This Row],[Plastic Bucket]],Table_NFI[Plastic Bucket])</f>
        <v>0</v>
      </c>
      <c r="AH1011" s="294">
        <f>IF(NFI_Expiration=1,IF($A1011&lt;VLOOKUP(Q$5,NFI,5,0),1,0)*Table_NFI[[#This Row],[Plastic Mat]],Table_NFI[Plastic Mat])*IF(Table_NFI[[#This Row],[Distribution Date]]&gt;"2014-04-01",1,2.5)</f>
        <v>0</v>
      </c>
      <c r="AI1011" s="294">
        <f>IF(NFI_Expiration=1,IF($A1011&lt;VLOOKUP(R$5,NFI,5,0),1,0)*Table_NFI[[#This Row],[Winter Clothes Adult]],Table_NFI[Winter Clothes Adult])</f>
        <v>0</v>
      </c>
      <c r="AJ1011" s="294">
        <f>IF(NFI_Expiration=1,IF($A1011&lt;VLOOKUP(S$5,NFI,5,0),1,0)*Table_NFI[[#This Row],[Winter Clothes Children]],Table_NFI[Winter Clothes Children])</f>
        <v>0</v>
      </c>
      <c r="AK1011" s="294">
        <f>IF(NFI_Expiration=1,IF($A1011&lt;VLOOKUP(T$5,NFI,5,0),1,0)*Table_NFI[[#This Row],[Winter Items Other]],Table_NFI[Winter Items Other])</f>
        <v>0</v>
      </c>
      <c r="AL1011" s="294">
        <f>IF(NFI_Expiration=1,IF($A1011&lt;VLOOKUP(M$5,NFI,5,0),1,0)*Table_NFI[[#This Row],[Winter Blanket]],Table_NFI[[#This Row],[Winter Blanket]])</f>
        <v>0</v>
      </c>
      <c r="AM1011" s="294">
        <f>IF(Table_NFI[[#This Row],[Winter Clothes Adult]]+Table_NFI[[#This Row],[Winter Clothes Children]]+Table_NFI[[#This Row],[Winter Items Other]]+Table_NFI[[#This Row],[Winter Blanket]]&gt;0,1,0)</f>
        <v>0</v>
      </c>
      <c r="AN1011" s="331">
        <f>IF(NFI_Expiration=1,IF($A1011&lt;VLOOKUP(V$5,NFI,5,0),1,0)*Table_NFI[[#This Row],[Jerry Can]],Table_NFI[Jerry Can])</f>
        <v>0</v>
      </c>
      <c r="AO1011" s="331">
        <f>IF(NFI_Expiration=1,IF($A1011&lt;VLOOKUP(V$5,NFI,5,0),1,0)*Table_NFI[[#This Row],[Shelter Tool kit]],Table_NFI[Shelter Tool kit])</f>
        <v>0</v>
      </c>
      <c r="AP1011" s="331">
        <f>IF(NFI_Expiration=1,IF($A1011&lt;VLOOKUP(V$5,NFI,5,0),1,0)*Table_NFI[[#This Row],[Tent]],Table_NFI[Tent])</f>
        <v>0</v>
      </c>
      <c r="AQ1011" s="473" t="str">
        <f>IFERROR(VLOOKUP(Table_NFI[[#This Row],[Camp Name]],CL,2,0),"")</f>
        <v>MMR001CMP113</v>
      </c>
      <c r="AR1011" s="468">
        <f ca="1">IF(Table_NFI[[#This Row],[Pcode]]="","",IF(OFFSET(CampList[Opening Date],MATCH(Table_NFI[[#This Row],[Pcode]],CampList[CP_Pcode],0)-1,0,1,1)&gt;=NFI_Monitor_Date,1,0))</f>
        <v>0</v>
      </c>
      <c r="AS1011" s="473" t="str">
        <f>IFERROR(VLOOKUP(Table_NFI[[#This Row],[Camp Name]],CL,3,0),"")</f>
        <v>Open</v>
      </c>
      <c r="AT1011" s="294" t="str">
        <f ca="1">IF(Table_NFI[[#This Row],[Pcode]]="","",OFFSET(CampList[Priority],MATCH(Table_NFI[[#This Row],[Pcode]],CampList[CP_Pcode],0)-1,0,1,1))</f>
        <v>P1</v>
      </c>
      <c r="AU1011" s="293">
        <f>IFERROR(Table_NFI[[#This Row],[Kitchen Set]]/VLOOKUP(Table_NFI[[#This Row],[Camp Name]],CL,4,0),"")</f>
        <v>1.4285714285714286</v>
      </c>
      <c r="AV1011" s="466" t="s">
        <v>1092</v>
      </c>
      <c r="AW1011" s="469"/>
    </row>
    <row r="1012" spans="1:49" s="470" customFormat="1" ht="14.45" customHeight="1" x14ac:dyDescent="0.25">
      <c r="A1012" s="297">
        <f t="shared" si="15"/>
        <v>56.033333333333331</v>
      </c>
      <c r="B1012" s="465">
        <v>40994</v>
      </c>
      <c r="C1012" s="466" t="s">
        <v>452</v>
      </c>
      <c r="D1012" s="467" t="s">
        <v>452</v>
      </c>
      <c r="E1012" s="466" t="s">
        <v>380</v>
      </c>
      <c r="F1012" s="290" t="s">
        <v>185</v>
      </c>
      <c r="G1012" s="290" t="s">
        <v>211</v>
      </c>
      <c r="H1012" s="291"/>
      <c r="I1012" s="291"/>
      <c r="J1012" s="291"/>
      <c r="K1012" s="291">
        <v>49</v>
      </c>
      <c r="L1012" s="292">
        <v>49</v>
      </c>
      <c r="M1012" s="292">
        <v>0</v>
      </c>
      <c r="N1012" s="292">
        <v>0</v>
      </c>
      <c r="O1012" s="292">
        <v>49</v>
      </c>
      <c r="P1012" s="294">
        <v>49</v>
      </c>
      <c r="Q1012" s="294">
        <v>49</v>
      </c>
      <c r="R1012" s="294"/>
      <c r="S1012" s="294"/>
      <c r="T1012" s="294"/>
      <c r="U1012" s="294"/>
      <c r="V1012" s="431"/>
      <c r="W1012" s="294"/>
      <c r="X1012" s="294"/>
      <c r="Y1012" s="294">
        <f>IF(NFI_Expiration=1,IF($A1012&lt;VLOOKUP(H$5,NFI,5,0),1,0)*Table_NFI[[#This Row],[Hygiene Kit]],Table_NFI[Hygiene Kit])</f>
        <v>0</v>
      </c>
      <c r="Z1012" s="294">
        <f>IF(NFI_Expiration=1,IF($A1012&lt;VLOOKUP(I$5,NFI,5,0),1,0)*Table_NFI[[#This Row],[NFI Core Kit]],Table_NFI[NFI Core Kit])</f>
        <v>0</v>
      </c>
      <c r="AA1012" s="294">
        <f>IF(NFI_Expiration=1,IF($A1012&lt;VLOOKUP(J$5,NFI,5,0),1,0)*Table_NFI[[#This Row],[Sanitary Kit]],Table_NFI[Sanitary Kit])</f>
        <v>0</v>
      </c>
      <c r="AB1012" s="294">
        <f>IF(NFI_Expiration=1,IF($A1012&lt;VLOOKUP(K$5,NFI,5,0),1,0)*Table_NFI[[#This Row],[Mosquito net]],Table_NFI[Mosquito net])</f>
        <v>0</v>
      </c>
      <c r="AC1012" s="294">
        <f>IF(NFI_Expiration=1,IF($A1012&lt;VLOOKUP(L$5,NFI,5,0),1,0)*Table_NFI[[#This Row],[Tarpaulin]],Table_NFI[[#This Row],[Tarpaulin]])</f>
        <v>0</v>
      </c>
      <c r="AD1012" s="294">
        <f>IF(NFI_Expiration=1,IF($A1012&lt;VLOOKUP(M$5,NFI,5,0),1,0)*Table_NFI[[#This Row],[Blanket]],Table_NFI[[#This Row],[Blanket]])</f>
        <v>0</v>
      </c>
      <c r="AE1012" s="294">
        <f>IF(NFI_Expiration=1,IF($A1012&lt;VLOOKUP(N$5,NFI,5,0),1,0)*Table_NFI[[#This Row],[Kitchen Set]],Table_NFI[Kitchen Set])</f>
        <v>0</v>
      </c>
      <c r="AF1012" s="294">
        <f>IF(NFI_Expiration=1,IF($A1012&lt;VLOOKUP(O$5,NFI,5,0),1,0)*Table_NFI[[#This Row],[Clothes Kit]],Table_NFI[Clothes Kit])</f>
        <v>0</v>
      </c>
      <c r="AG1012" s="294">
        <f>IF(NFI_Expiration=1,IF($A1012&lt;VLOOKUP(P$5,NFI,5,0),1,0)*Table_NFI[[#This Row],[Plastic Bucket]],Table_NFI[Plastic Bucket])</f>
        <v>0</v>
      </c>
      <c r="AH1012" s="294">
        <f>IF(NFI_Expiration=1,IF($A1012&lt;VLOOKUP(Q$5,NFI,5,0),1,0)*Table_NFI[[#This Row],[Plastic Mat]],Table_NFI[Plastic Mat])*IF(Table_NFI[[#This Row],[Distribution Date]]&gt;"2014-04-01",1,2.5)</f>
        <v>0</v>
      </c>
      <c r="AI1012" s="294">
        <f>IF(NFI_Expiration=1,IF($A1012&lt;VLOOKUP(R$5,NFI,5,0),1,0)*Table_NFI[[#This Row],[Winter Clothes Adult]],Table_NFI[Winter Clothes Adult])</f>
        <v>0</v>
      </c>
      <c r="AJ1012" s="294">
        <f>IF(NFI_Expiration=1,IF($A1012&lt;VLOOKUP(S$5,NFI,5,0),1,0)*Table_NFI[[#This Row],[Winter Clothes Children]],Table_NFI[Winter Clothes Children])</f>
        <v>0</v>
      </c>
      <c r="AK1012" s="294">
        <f>IF(NFI_Expiration=1,IF($A1012&lt;VLOOKUP(T$5,NFI,5,0),1,0)*Table_NFI[[#This Row],[Winter Items Other]],Table_NFI[Winter Items Other])</f>
        <v>0</v>
      </c>
      <c r="AL1012" s="294">
        <f>IF(NFI_Expiration=1,IF($A1012&lt;VLOOKUP(M$5,NFI,5,0),1,0)*Table_NFI[[#This Row],[Winter Blanket]],Table_NFI[[#This Row],[Winter Blanket]])</f>
        <v>0</v>
      </c>
      <c r="AM1012" s="294">
        <f>IF(Table_NFI[[#This Row],[Winter Clothes Adult]]+Table_NFI[[#This Row],[Winter Clothes Children]]+Table_NFI[[#This Row],[Winter Items Other]]+Table_NFI[[#This Row],[Winter Blanket]]&gt;0,1,0)</f>
        <v>0</v>
      </c>
      <c r="AN1012" s="331">
        <f>IF(NFI_Expiration=1,IF($A1012&lt;VLOOKUP(V$5,NFI,5,0),1,0)*Table_NFI[[#This Row],[Jerry Can]],Table_NFI[Jerry Can])</f>
        <v>0</v>
      </c>
      <c r="AO1012" s="331">
        <f>IF(NFI_Expiration=1,IF($A1012&lt;VLOOKUP(V$5,NFI,5,0),1,0)*Table_NFI[[#This Row],[Shelter Tool kit]],Table_NFI[Shelter Tool kit])</f>
        <v>0</v>
      </c>
      <c r="AP1012" s="331">
        <f>IF(NFI_Expiration=1,IF($A1012&lt;VLOOKUP(V$5,NFI,5,0),1,0)*Table_NFI[[#This Row],[Tent]],Table_NFI[Tent])</f>
        <v>0</v>
      </c>
      <c r="AQ1012" s="473" t="str">
        <f>IFERROR(VLOOKUP(Table_NFI[[#This Row],[Camp Name]],CL,2,0),"")</f>
        <v>MMR001CMP057</v>
      </c>
      <c r="AR1012" s="468">
        <f ca="1">IF(Table_NFI[[#This Row],[Pcode]]="","",IF(OFFSET(CampList[Opening Date],MATCH(Table_NFI[[#This Row],[Pcode]],CampList[CP_Pcode],0)-1,0,1,1)&gt;=NFI_Monitor_Date,1,0))</f>
        <v>0</v>
      </c>
      <c r="AS1012" s="473" t="str">
        <f>IFERROR(VLOOKUP(Table_NFI[[#This Row],[Camp Name]],CL,3,0),"")</f>
        <v>Closed</v>
      </c>
      <c r="AT1012" s="294" t="str">
        <f ca="1">IF(Table_NFI[[#This Row],[Pcode]]="","",OFFSET(CampList[Priority],MATCH(Table_NFI[[#This Row],[Pcode]],CampList[CP_Pcode],0)-1,0,1,1))</f>
        <v>P4</v>
      </c>
      <c r="AU1012" s="293" t="str">
        <f>IFERROR(Table_NFI[[#This Row],[Kitchen Set]]/VLOOKUP(Table_NFI[[#This Row],[Camp Name]],CL,4,0),"")</f>
        <v/>
      </c>
      <c r="AV1012" s="466" t="s">
        <v>1092</v>
      </c>
      <c r="AW1012" s="469"/>
    </row>
    <row r="1013" spans="1:49" s="470" customFormat="1" ht="14.45" customHeight="1" x14ac:dyDescent="0.25">
      <c r="A1013" s="297">
        <f t="shared" si="15"/>
        <v>56.3</v>
      </c>
      <c r="B1013" s="465">
        <v>40986</v>
      </c>
      <c r="C1013" s="466" t="s">
        <v>905</v>
      </c>
      <c r="D1013" s="466" t="s">
        <v>905</v>
      </c>
      <c r="E1013" s="466" t="s">
        <v>380</v>
      </c>
      <c r="F1013" s="290" t="s">
        <v>185</v>
      </c>
      <c r="G1013" s="290" t="s">
        <v>521</v>
      </c>
      <c r="H1013" s="294">
        <v>850</v>
      </c>
      <c r="I1013" s="291"/>
      <c r="J1013" s="291"/>
      <c r="K1013" s="291"/>
      <c r="L1013" s="292"/>
      <c r="M1013" s="292"/>
      <c r="N1013" s="292"/>
      <c r="O1013" s="292"/>
      <c r="P1013" s="294"/>
      <c r="Q1013" s="294"/>
      <c r="R1013" s="294"/>
      <c r="S1013" s="294"/>
      <c r="T1013" s="294"/>
      <c r="U1013" s="294"/>
      <c r="V1013" s="431"/>
      <c r="W1013" s="294"/>
      <c r="X1013" s="294"/>
      <c r="Y1013" s="294">
        <f>IF(NFI_Expiration=1,IF($A1013&lt;VLOOKUP(H$5,NFI,5,0),1,0)*Table_NFI[[#This Row],[Hygiene Kit]],Table_NFI[Hygiene Kit])</f>
        <v>0</v>
      </c>
      <c r="Z1013" s="294">
        <f>IF(NFI_Expiration=1,IF($A1013&lt;VLOOKUP(I$5,NFI,5,0),1,0)*Table_NFI[[#This Row],[NFI Core Kit]],Table_NFI[NFI Core Kit])</f>
        <v>0</v>
      </c>
      <c r="AA1013" s="294">
        <f>IF(NFI_Expiration=1,IF($A1013&lt;VLOOKUP(J$5,NFI,5,0),1,0)*Table_NFI[[#This Row],[Sanitary Kit]],Table_NFI[Sanitary Kit])</f>
        <v>0</v>
      </c>
      <c r="AB1013" s="294">
        <f>IF(NFI_Expiration=1,IF($A1013&lt;VLOOKUP(K$5,NFI,5,0),1,0)*Table_NFI[[#This Row],[Mosquito net]],Table_NFI[Mosquito net])</f>
        <v>0</v>
      </c>
      <c r="AC1013" s="294">
        <f>IF(NFI_Expiration=1,IF($A1013&lt;VLOOKUP(L$5,NFI,5,0),1,0)*Table_NFI[[#This Row],[Tarpaulin]],Table_NFI[[#This Row],[Tarpaulin]])</f>
        <v>0</v>
      </c>
      <c r="AD1013" s="294">
        <f>IF(NFI_Expiration=1,IF($A1013&lt;VLOOKUP(M$5,NFI,5,0),1,0)*Table_NFI[[#This Row],[Blanket]],Table_NFI[[#This Row],[Blanket]])</f>
        <v>0</v>
      </c>
      <c r="AE1013" s="294">
        <f>IF(NFI_Expiration=1,IF($A1013&lt;VLOOKUP(N$5,NFI,5,0),1,0)*Table_NFI[[#This Row],[Kitchen Set]],Table_NFI[Kitchen Set])</f>
        <v>0</v>
      </c>
      <c r="AF1013" s="294">
        <f>IF(NFI_Expiration=1,IF($A1013&lt;VLOOKUP(O$5,NFI,5,0),1,0)*Table_NFI[[#This Row],[Clothes Kit]],Table_NFI[Clothes Kit])</f>
        <v>0</v>
      </c>
      <c r="AG1013" s="294">
        <f>IF(NFI_Expiration=1,IF($A1013&lt;VLOOKUP(P$5,NFI,5,0),1,0)*Table_NFI[[#This Row],[Plastic Bucket]],Table_NFI[Plastic Bucket])</f>
        <v>0</v>
      </c>
      <c r="AH1013" s="294">
        <f>IF(NFI_Expiration=1,IF($A1013&lt;VLOOKUP(Q$5,NFI,5,0),1,0)*Table_NFI[[#This Row],[Plastic Mat]],Table_NFI[Plastic Mat])*IF(Table_NFI[[#This Row],[Distribution Date]]&gt;"2014-04-01",1,2.5)</f>
        <v>0</v>
      </c>
      <c r="AI1013" s="294">
        <f>IF(NFI_Expiration=1,IF($A1013&lt;VLOOKUP(R$5,NFI,5,0),1,0)*Table_NFI[[#This Row],[Winter Clothes Adult]],Table_NFI[Winter Clothes Adult])</f>
        <v>0</v>
      </c>
      <c r="AJ1013" s="294">
        <f>IF(NFI_Expiration=1,IF($A1013&lt;VLOOKUP(S$5,NFI,5,0),1,0)*Table_NFI[[#This Row],[Winter Clothes Children]],Table_NFI[Winter Clothes Children])</f>
        <v>0</v>
      </c>
      <c r="AK1013" s="294">
        <f>IF(NFI_Expiration=1,IF($A1013&lt;VLOOKUP(T$5,NFI,5,0),1,0)*Table_NFI[[#This Row],[Winter Items Other]],Table_NFI[Winter Items Other])</f>
        <v>0</v>
      </c>
      <c r="AL1013" s="294">
        <f>IF(NFI_Expiration=1,IF($A1013&lt;VLOOKUP(M$5,NFI,5,0),1,0)*Table_NFI[[#This Row],[Winter Blanket]],Table_NFI[[#This Row],[Winter Blanket]])</f>
        <v>0</v>
      </c>
      <c r="AM1013" s="294">
        <f>IF(Table_NFI[[#This Row],[Winter Clothes Adult]]+Table_NFI[[#This Row],[Winter Clothes Children]]+Table_NFI[[#This Row],[Winter Items Other]]+Table_NFI[[#This Row],[Winter Blanket]]&gt;0,1,0)</f>
        <v>0</v>
      </c>
      <c r="AN1013" s="331">
        <f>IF(NFI_Expiration=1,IF($A1013&lt;VLOOKUP(V$5,NFI,5,0),1,0)*Table_NFI[[#This Row],[Jerry Can]],Table_NFI[Jerry Can])</f>
        <v>0</v>
      </c>
      <c r="AO1013" s="331">
        <f>IF(NFI_Expiration=1,IF($A1013&lt;VLOOKUP(V$5,NFI,5,0),1,0)*Table_NFI[[#This Row],[Shelter Tool kit]],Table_NFI[Shelter Tool kit])</f>
        <v>0</v>
      </c>
      <c r="AP1013" s="331">
        <f>IF(NFI_Expiration=1,IF($A1013&lt;VLOOKUP(V$5,NFI,5,0),1,0)*Table_NFI[[#This Row],[Tent]],Table_NFI[Tent])</f>
        <v>0</v>
      </c>
      <c r="AQ1013" s="473" t="str">
        <f>IFERROR(VLOOKUP(Table_NFI[[#This Row],[Camp Name]],CL,2,0),"")</f>
        <v>MMR001CMP200</v>
      </c>
      <c r="AR1013" s="468">
        <f ca="1">IF(Table_NFI[[#This Row],[Pcode]]="","",IF(OFFSET(CampList[Opening Date],MATCH(Table_NFI[[#This Row],[Pcode]],CampList[CP_Pcode],0)-1,0,1,1)&gt;=NFI_Monitor_Date,1,0))</f>
        <v>0</v>
      </c>
      <c r="AS1013" s="473" t="str">
        <f>IFERROR(VLOOKUP(Table_NFI[[#This Row],[Camp Name]],CL,3,0),"")</f>
        <v>Open</v>
      </c>
      <c r="AT1013" s="294" t="str">
        <f ca="1">IF(Table_NFI[[#This Row],[Pcode]]="","",OFFSET(CampList[Priority],MATCH(Table_NFI[[#This Row],[Pcode]],CampList[CP_Pcode],0)-1,0,1,1))</f>
        <v>P4</v>
      </c>
      <c r="AU1013" s="293">
        <f>IFERROR(Table_NFI[[#This Row],[Kitchen Set]]/VLOOKUP(Table_NFI[[#This Row],[Camp Name]],CL,4,0),"")</f>
        <v>0</v>
      </c>
      <c r="AV1013" s="466"/>
      <c r="AW1013" s="469"/>
    </row>
    <row r="1014" spans="1:49" s="98" customFormat="1" ht="14.45" customHeight="1" x14ac:dyDescent="0.25">
      <c r="A1014" s="297">
        <f t="shared" si="15"/>
        <v>56.366666666666667</v>
      </c>
      <c r="B1014" s="465">
        <v>40984</v>
      </c>
      <c r="C1014" s="466" t="s">
        <v>905</v>
      </c>
      <c r="D1014" s="466" t="s">
        <v>1002</v>
      </c>
      <c r="E1014" s="466" t="s">
        <v>380</v>
      </c>
      <c r="F1014" s="290" t="s">
        <v>302</v>
      </c>
      <c r="G1014" s="290" t="s">
        <v>306</v>
      </c>
      <c r="H1014" s="294">
        <v>94</v>
      </c>
      <c r="I1014" s="291"/>
      <c r="J1014" s="291"/>
      <c r="K1014" s="291"/>
      <c r="L1014" s="292"/>
      <c r="M1014" s="292"/>
      <c r="N1014" s="292"/>
      <c r="O1014" s="292"/>
      <c r="P1014" s="294"/>
      <c r="Q1014" s="294"/>
      <c r="R1014" s="294"/>
      <c r="S1014" s="294"/>
      <c r="T1014" s="294"/>
      <c r="U1014" s="294"/>
      <c r="V1014" s="431"/>
      <c r="W1014" s="294"/>
      <c r="X1014" s="294"/>
      <c r="Y1014" s="294">
        <f>IF(NFI_Expiration=1,IF($A1014&lt;VLOOKUP(H$5,NFI,5,0),1,0)*Table_NFI[[#This Row],[Hygiene Kit]],Table_NFI[Hygiene Kit])</f>
        <v>0</v>
      </c>
      <c r="Z1014" s="294">
        <f>IF(NFI_Expiration=1,IF($A1014&lt;VLOOKUP(I$5,NFI,5,0),1,0)*Table_NFI[[#This Row],[NFI Core Kit]],Table_NFI[NFI Core Kit])</f>
        <v>0</v>
      </c>
      <c r="AA1014" s="294">
        <f>IF(NFI_Expiration=1,IF($A1014&lt;VLOOKUP(J$5,NFI,5,0),1,0)*Table_NFI[[#This Row],[Sanitary Kit]],Table_NFI[Sanitary Kit])</f>
        <v>0</v>
      </c>
      <c r="AB1014" s="294">
        <f>IF(NFI_Expiration=1,IF($A1014&lt;VLOOKUP(K$5,NFI,5,0),1,0)*Table_NFI[[#This Row],[Mosquito net]],Table_NFI[Mosquito net])</f>
        <v>0</v>
      </c>
      <c r="AC1014" s="294">
        <f>IF(NFI_Expiration=1,IF($A1014&lt;VLOOKUP(L$5,NFI,5,0),1,0)*Table_NFI[[#This Row],[Tarpaulin]],Table_NFI[[#This Row],[Tarpaulin]])</f>
        <v>0</v>
      </c>
      <c r="AD1014" s="294">
        <f>IF(NFI_Expiration=1,IF($A1014&lt;VLOOKUP(M$5,NFI,5,0),1,0)*Table_NFI[[#This Row],[Blanket]],Table_NFI[[#This Row],[Blanket]])</f>
        <v>0</v>
      </c>
      <c r="AE1014" s="294">
        <f>IF(NFI_Expiration=1,IF($A1014&lt;VLOOKUP(N$5,NFI,5,0),1,0)*Table_NFI[[#This Row],[Kitchen Set]],Table_NFI[Kitchen Set])</f>
        <v>0</v>
      </c>
      <c r="AF1014" s="294">
        <f>IF(NFI_Expiration=1,IF($A1014&lt;VLOOKUP(O$5,NFI,5,0),1,0)*Table_NFI[[#This Row],[Clothes Kit]],Table_NFI[Clothes Kit])</f>
        <v>0</v>
      </c>
      <c r="AG1014" s="294">
        <f>IF(NFI_Expiration=1,IF($A1014&lt;VLOOKUP(P$5,NFI,5,0),1,0)*Table_NFI[[#This Row],[Plastic Bucket]],Table_NFI[Plastic Bucket])</f>
        <v>0</v>
      </c>
      <c r="AH1014" s="294">
        <f>IF(NFI_Expiration=1,IF($A1014&lt;VLOOKUP(Q$5,NFI,5,0),1,0)*Table_NFI[[#This Row],[Plastic Mat]],Table_NFI[Plastic Mat])*IF(Table_NFI[[#This Row],[Distribution Date]]&gt;"2014-04-01",1,2.5)</f>
        <v>0</v>
      </c>
      <c r="AI1014" s="294">
        <f>IF(NFI_Expiration=1,IF($A1014&lt;VLOOKUP(R$5,NFI,5,0),1,0)*Table_NFI[[#This Row],[Winter Clothes Adult]],Table_NFI[Winter Clothes Adult])</f>
        <v>0</v>
      </c>
      <c r="AJ1014" s="294">
        <f>IF(NFI_Expiration=1,IF($A1014&lt;VLOOKUP(S$5,NFI,5,0),1,0)*Table_NFI[[#This Row],[Winter Clothes Children]],Table_NFI[Winter Clothes Children])</f>
        <v>0</v>
      </c>
      <c r="AK1014" s="294">
        <f>IF(NFI_Expiration=1,IF($A1014&lt;VLOOKUP(T$5,NFI,5,0),1,0)*Table_NFI[[#This Row],[Winter Items Other]],Table_NFI[Winter Items Other])</f>
        <v>0</v>
      </c>
      <c r="AL1014" s="294">
        <f>IF(NFI_Expiration=1,IF($A1014&lt;VLOOKUP(M$5,NFI,5,0),1,0)*Table_NFI[[#This Row],[Winter Blanket]],Table_NFI[[#This Row],[Winter Blanket]])</f>
        <v>0</v>
      </c>
      <c r="AM1014" s="294">
        <f>IF(Table_NFI[[#This Row],[Winter Clothes Adult]]+Table_NFI[[#This Row],[Winter Clothes Children]]+Table_NFI[[#This Row],[Winter Items Other]]+Table_NFI[[#This Row],[Winter Blanket]]&gt;0,1,0)</f>
        <v>0</v>
      </c>
      <c r="AN1014" s="331">
        <f>IF(NFI_Expiration=1,IF($A1014&lt;VLOOKUP(V$5,NFI,5,0),1,0)*Table_NFI[[#This Row],[Jerry Can]],Table_NFI[Jerry Can])</f>
        <v>0</v>
      </c>
      <c r="AO1014" s="331">
        <f>IF(NFI_Expiration=1,IF($A1014&lt;VLOOKUP(V$5,NFI,5,0),1,0)*Table_NFI[[#This Row],[Shelter Tool kit]],Table_NFI[Shelter Tool kit])</f>
        <v>0</v>
      </c>
      <c r="AP1014" s="331">
        <f>IF(NFI_Expiration=1,IF($A1014&lt;VLOOKUP(V$5,NFI,5,0),1,0)*Table_NFI[[#This Row],[Tent]],Table_NFI[Tent])</f>
        <v>0</v>
      </c>
      <c r="AQ1014" s="473" t="str">
        <f>IFERROR(VLOOKUP(Table_NFI[[#This Row],[Camp Name]],CL,2,0),"")</f>
        <v>MMR001CMP067</v>
      </c>
      <c r="AR1014" s="468">
        <f ca="1">IF(Table_NFI[[#This Row],[Pcode]]="","",IF(OFFSET(CampList[Opening Date],MATCH(Table_NFI[[#This Row],[Pcode]],CampList[CP_Pcode],0)-1,0,1,1)&gt;=NFI_Monitor_Date,1,0))</f>
        <v>0</v>
      </c>
      <c r="AS1014" s="473" t="str">
        <f>IFERROR(VLOOKUP(Table_NFI[[#This Row],[Camp Name]],CL,3,0),"")</f>
        <v>Open</v>
      </c>
      <c r="AT1014" s="294" t="str">
        <f ca="1">IF(Table_NFI[[#This Row],[Pcode]]="","",OFFSET(CampList[Priority],MATCH(Table_NFI[[#This Row],[Pcode]],CampList[CP_Pcode],0)-1,0,1,1))</f>
        <v>P4</v>
      </c>
      <c r="AU1014" s="293">
        <f>IFERROR(Table_NFI[[#This Row],[Kitchen Set]]/VLOOKUP(Table_NFI[[#This Row],[Camp Name]],CL,4,0),"")</f>
        <v>0</v>
      </c>
      <c r="AV1014" s="466"/>
      <c r="AW1014" s="469"/>
    </row>
    <row r="1015" spans="1:49" s="98" customFormat="1" ht="14.45" customHeight="1" x14ac:dyDescent="0.25">
      <c r="A1015" s="297">
        <f t="shared" si="15"/>
        <v>56.366666666666667</v>
      </c>
      <c r="B1015" s="465">
        <v>40984</v>
      </c>
      <c r="C1015" s="466" t="s">
        <v>905</v>
      </c>
      <c r="D1015" s="466" t="s">
        <v>1002</v>
      </c>
      <c r="E1015" s="466" t="s">
        <v>380</v>
      </c>
      <c r="F1015" s="290" t="s">
        <v>302</v>
      </c>
      <c r="G1015" s="290" t="s">
        <v>308</v>
      </c>
      <c r="H1015" s="294">
        <v>49</v>
      </c>
      <c r="I1015" s="291"/>
      <c r="J1015" s="291"/>
      <c r="K1015" s="291"/>
      <c r="L1015" s="292"/>
      <c r="M1015" s="292"/>
      <c r="N1015" s="292"/>
      <c r="O1015" s="292"/>
      <c r="P1015" s="294"/>
      <c r="Q1015" s="294"/>
      <c r="R1015" s="294"/>
      <c r="S1015" s="294"/>
      <c r="T1015" s="294"/>
      <c r="U1015" s="294"/>
      <c r="V1015" s="431"/>
      <c r="W1015" s="294"/>
      <c r="X1015" s="294"/>
      <c r="Y1015" s="294">
        <f>IF(NFI_Expiration=1,IF($A1015&lt;VLOOKUP(H$5,NFI,5,0),1,0)*Table_NFI[[#This Row],[Hygiene Kit]],Table_NFI[Hygiene Kit])</f>
        <v>0</v>
      </c>
      <c r="Z1015" s="294">
        <f>IF(NFI_Expiration=1,IF($A1015&lt;VLOOKUP(I$5,NFI,5,0),1,0)*Table_NFI[[#This Row],[NFI Core Kit]],Table_NFI[NFI Core Kit])</f>
        <v>0</v>
      </c>
      <c r="AA1015" s="294">
        <f>IF(NFI_Expiration=1,IF($A1015&lt;VLOOKUP(J$5,NFI,5,0),1,0)*Table_NFI[[#This Row],[Sanitary Kit]],Table_NFI[Sanitary Kit])</f>
        <v>0</v>
      </c>
      <c r="AB1015" s="294">
        <f>IF(NFI_Expiration=1,IF($A1015&lt;VLOOKUP(K$5,NFI,5,0),1,0)*Table_NFI[[#This Row],[Mosquito net]],Table_NFI[Mosquito net])</f>
        <v>0</v>
      </c>
      <c r="AC1015" s="294">
        <f>IF(NFI_Expiration=1,IF($A1015&lt;VLOOKUP(L$5,NFI,5,0),1,0)*Table_NFI[[#This Row],[Tarpaulin]],Table_NFI[[#This Row],[Tarpaulin]])</f>
        <v>0</v>
      </c>
      <c r="AD1015" s="294">
        <f>IF(NFI_Expiration=1,IF($A1015&lt;VLOOKUP(M$5,NFI,5,0),1,0)*Table_NFI[[#This Row],[Blanket]],Table_NFI[[#This Row],[Blanket]])</f>
        <v>0</v>
      </c>
      <c r="AE1015" s="294">
        <f>IF(NFI_Expiration=1,IF($A1015&lt;VLOOKUP(N$5,NFI,5,0),1,0)*Table_NFI[[#This Row],[Kitchen Set]],Table_NFI[Kitchen Set])</f>
        <v>0</v>
      </c>
      <c r="AF1015" s="294">
        <f>IF(NFI_Expiration=1,IF($A1015&lt;VLOOKUP(O$5,NFI,5,0),1,0)*Table_NFI[[#This Row],[Clothes Kit]],Table_NFI[Clothes Kit])</f>
        <v>0</v>
      </c>
      <c r="AG1015" s="294">
        <f>IF(NFI_Expiration=1,IF($A1015&lt;VLOOKUP(P$5,NFI,5,0),1,0)*Table_NFI[[#This Row],[Plastic Bucket]],Table_NFI[Plastic Bucket])</f>
        <v>0</v>
      </c>
      <c r="AH1015" s="294">
        <f>IF(NFI_Expiration=1,IF($A1015&lt;VLOOKUP(Q$5,NFI,5,0),1,0)*Table_NFI[[#This Row],[Plastic Mat]],Table_NFI[Plastic Mat])*IF(Table_NFI[[#This Row],[Distribution Date]]&gt;"2014-04-01",1,2.5)</f>
        <v>0</v>
      </c>
      <c r="AI1015" s="294">
        <f>IF(NFI_Expiration=1,IF($A1015&lt;VLOOKUP(R$5,NFI,5,0),1,0)*Table_NFI[[#This Row],[Winter Clothes Adult]],Table_NFI[Winter Clothes Adult])</f>
        <v>0</v>
      </c>
      <c r="AJ1015" s="294">
        <f>IF(NFI_Expiration=1,IF($A1015&lt;VLOOKUP(S$5,NFI,5,0),1,0)*Table_NFI[[#This Row],[Winter Clothes Children]],Table_NFI[Winter Clothes Children])</f>
        <v>0</v>
      </c>
      <c r="AK1015" s="294">
        <f>IF(NFI_Expiration=1,IF($A1015&lt;VLOOKUP(T$5,NFI,5,0),1,0)*Table_NFI[[#This Row],[Winter Items Other]],Table_NFI[Winter Items Other])</f>
        <v>0</v>
      </c>
      <c r="AL1015" s="294">
        <f>IF(NFI_Expiration=1,IF($A1015&lt;VLOOKUP(M$5,NFI,5,0),1,0)*Table_NFI[[#This Row],[Winter Blanket]],Table_NFI[[#This Row],[Winter Blanket]])</f>
        <v>0</v>
      </c>
      <c r="AM1015" s="294">
        <f>IF(Table_NFI[[#This Row],[Winter Clothes Adult]]+Table_NFI[[#This Row],[Winter Clothes Children]]+Table_NFI[[#This Row],[Winter Items Other]]+Table_NFI[[#This Row],[Winter Blanket]]&gt;0,1,0)</f>
        <v>0</v>
      </c>
      <c r="AN1015" s="331">
        <f>IF(NFI_Expiration=1,IF($A1015&lt;VLOOKUP(V$5,NFI,5,0),1,0)*Table_NFI[[#This Row],[Jerry Can]],Table_NFI[Jerry Can])</f>
        <v>0</v>
      </c>
      <c r="AO1015" s="331">
        <f>IF(NFI_Expiration=1,IF($A1015&lt;VLOOKUP(V$5,NFI,5,0),1,0)*Table_NFI[[#This Row],[Shelter Tool kit]],Table_NFI[Shelter Tool kit])</f>
        <v>0</v>
      </c>
      <c r="AP1015" s="331">
        <f>IF(NFI_Expiration=1,IF($A1015&lt;VLOOKUP(V$5,NFI,5,0),1,0)*Table_NFI[[#This Row],[Tent]],Table_NFI[Tent])</f>
        <v>0</v>
      </c>
      <c r="AQ1015" s="473" t="str">
        <f>IFERROR(VLOOKUP(Table_NFI[[#This Row],[Camp Name]],CL,2,0),"")</f>
        <v>MMR001CMP068</v>
      </c>
      <c r="AR1015" s="468">
        <f ca="1">IF(Table_NFI[[#This Row],[Pcode]]="","",IF(OFFSET(CampList[Opening Date],MATCH(Table_NFI[[#This Row],[Pcode]],CampList[CP_Pcode],0)-1,0,1,1)&gt;=NFI_Monitor_Date,1,0))</f>
        <v>0</v>
      </c>
      <c r="AS1015" s="473" t="str">
        <f>IFERROR(VLOOKUP(Table_NFI[[#This Row],[Camp Name]],CL,3,0),"")</f>
        <v>Open</v>
      </c>
      <c r="AT1015" s="294" t="str">
        <f ca="1">IF(Table_NFI[[#This Row],[Pcode]]="","",OFFSET(CampList[Priority],MATCH(Table_NFI[[#This Row],[Pcode]],CampList[CP_Pcode],0)-1,0,1,1))</f>
        <v>P4</v>
      </c>
      <c r="AU1015" s="293">
        <f>IFERROR(Table_NFI[[#This Row],[Kitchen Set]]/VLOOKUP(Table_NFI[[#This Row],[Camp Name]],CL,4,0),"")</f>
        <v>0</v>
      </c>
      <c r="AV1015" s="466"/>
      <c r="AW1015" s="469"/>
    </row>
    <row r="1016" spans="1:49" s="470" customFormat="1" ht="14.45" customHeight="1" x14ac:dyDescent="0.25">
      <c r="A1016" s="297">
        <f t="shared" si="15"/>
        <v>56.43333333333333</v>
      </c>
      <c r="B1016" s="465">
        <v>40982</v>
      </c>
      <c r="C1016" s="466" t="s">
        <v>905</v>
      </c>
      <c r="D1016" s="467" t="s">
        <v>905</v>
      </c>
      <c r="E1016" s="466" t="s">
        <v>380</v>
      </c>
      <c r="F1016" s="290" t="s">
        <v>5</v>
      </c>
      <c r="G1016" s="290" t="s">
        <v>22</v>
      </c>
      <c r="H1016" s="294">
        <v>2188</v>
      </c>
      <c r="I1016" s="291"/>
      <c r="J1016" s="291"/>
      <c r="K1016" s="291"/>
      <c r="L1016" s="292"/>
      <c r="M1016" s="292"/>
      <c r="N1016" s="292"/>
      <c r="O1016" s="292"/>
      <c r="P1016" s="294"/>
      <c r="Q1016" s="294"/>
      <c r="R1016" s="294"/>
      <c r="S1016" s="294"/>
      <c r="T1016" s="294"/>
      <c r="U1016" s="294"/>
      <c r="V1016" s="431"/>
      <c r="W1016" s="294"/>
      <c r="X1016" s="294"/>
      <c r="Y1016" s="294">
        <f>IF(NFI_Expiration=1,IF($A1016&lt;VLOOKUP(H$5,NFI,5,0),1,0)*Table_NFI[[#This Row],[Hygiene Kit]],Table_NFI[Hygiene Kit])</f>
        <v>0</v>
      </c>
      <c r="Z1016" s="294">
        <f>IF(NFI_Expiration=1,IF($A1016&lt;VLOOKUP(I$5,NFI,5,0),1,0)*Table_NFI[[#This Row],[NFI Core Kit]],Table_NFI[NFI Core Kit])</f>
        <v>0</v>
      </c>
      <c r="AA1016" s="294">
        <f>IF(NFI_Expiration=1,IF($A1016&lt;VLOOKUP(J$5,NFI,5,0),1,0)*Table_NFI[[#This Row],[Sanitary Kit]],Table_NFI[Sanitary Kit])</f>
        <v>0</v>
      </c>
      <c r="AB1016" s="294">
        <f>IF(NFI_Expiration=1,IF($A1016&lt;VLOOKUP(K$5,NFI,5,0),1,0)*Table_NFI[[#This Row],[Mosquito net]],Table_NFI[Mosquito net])</f>
        <v>0</v>
      </c>
      <c r="AC1016" s="294">
        <f>IF(NFI_Expiration=1,IF($A1016&lt;VLOOKUP(L$5,NFI,5,0),1,0)*Table_NFI[[#This Row],[Tarpaulin]],Table_NFI[[#This Row],[Tarpaulin]])</f>
        <v>0</v>
      </c>
      <c r="AD1016" s="294">
        <f>IF(NFI_Expiration=1,IF($A1016&lt;VLOOKUP(M$5,NFI,5,0),1,0)*Table_NFI[[#This Row],[Blanket]],Table_NFI[[#This Row],[Blanket]])</f>
        <v>0</v>
      </c>
      <c r="AE1016" s="294">
        <f>IF(NFI_Expiration=1,IF($A1016&lt;VLOOKUP(N$5,NFI,5,0),1,0)*Table_NFI[[#This Row],[Kitchen Set]],Table_NFI[Kitchen Set])</f>
        <v>0</v>
      </c>
      <c r="AF1016" s="294">
        <f>IF(NFI_Expiration=1,IF($A1016&lt;VLOOKUP(O$5,NFI,5,0),1,0)*Table_NFI[[#This Row],[Clothes Kit]],Table_NFI[Clothes Kit])</f>
        <v>0</v>
      </c>
      <c r="AG1016" s="294">
        <f>IF(NFI_Expiration=1,IF($A1016&lt;VLOOKUP(P$5,NFI,5,0),1,0)*Table_NFI[[#This Row],[Plastic Bucket]],Table_NFI[Plastic Bucket])</f>
        <v>0</v>
      </c>
      <c r="AH1016" s="294">
        <f>IF(NFI_Expiration=1,IF($A1016&lt;VLOOKUP(Q$5,NFI,5,0),1,0)*Table_NFI[[#This Row],[Plastic Mat]],Table_NFI[Plastic Mat])*IF(Table_NFI[[#This Row],[Distribution Date]]&gt;"2014-04-01",1,2.5)</f>
        <v>0</v>
      </c>
      <c r="AI1016" s="294">
        <f>IF(NFI_Expiration=1,IF($A1016&lt;VLOOKUP(R$5,NFI,5,0),1,0)*Table_NFI[[#This Row],[Winter Clothes Adult]],Table_NFI[Winter Clothes Adult])</f>
        <v>0</v>
      </c>
      <c r="AJ1016" s="294">
        <f>IF(NFI_Expiration=1,IF($A1016&lt;VLOOKUP(S$5,NFI,5,0),1,0)*Table_NFI[[#This Row],[Winter Clothes Children]],Table_NFI[Winter Clothes Children])</f>
        <v>0</v>
      </c>
      <c r="AK1016" s="294">
        <f>IF(NFI_Expiration=1,IF($A1016&lt;VLOOKUP(T$5,NFI,5,0),1,0)*Table_NFI[[#This Row],[Winter Items Other]],Table_NFI[Winter Items Other])</f>
        <v>0</v>
      </c>
      <c r="AL1016" s="294">
        <f>IF(NFI_Expiration=1,IF($A1016&lt;VLOOKUP(M$5,NFI,5,0),1,0)*Table_NFI[[#This Row],[Winter Blanket]],Table_NFI[[#This Row],[Winter Blanket]])</f>
        <v>0</v>
      </c>
      <c r="AM1016" s="294">
        <f>IF(Table_NFI[[#This Row],[Winter Clothes Adult]]+Table_NFI[[#This Row],[Winter Clothes Children]]+Table_NFI[[#This Row],[Winter Items Other]]+Table_NFI[[#This Row],[Winter Blanket]]&gt;0,1,0)</f>
        <v>0</v>
      </c>
      <c r="AN1016" s="331">
        <f>IF(NFI_Expiration=1,IF($A1016&lt;VLOOKUP(V$5,NFI,5,0),1,0)*Table_NFI[[#This Row],[Jerry Can]],Table_NFI[Jerry Can])</f>
        <v>0</v>
      </c>
      <c r="AO1016" s="331">
        <f>IF(NFI_Expiration=1,IF($A1016&lt;VLOOKUP(V$5,NFI,5,0),1,0)*Table_NFI[[#This Row],[Shelter Tool kit]],Table_NFI[Shelter Tool kit])</f>
        <v>0</v>
      </c>
      <c r="AP1016" s="331">
        <f>IF(NFI_Expiration=1,IF($A1016&lt;VLOOKUP(V$5,NFI,5,0),1,0)*Table_NFI[[#This Row],[Tent]],Table_NFI[Tent])</f>
        <v>0</v>
      </c>
      <c r="AQ1016" s="473" t="str">
        <f>IFERROR(VLOOKUP(Table_NFI[[#This Row],[Camp Name]],CL,2,0),"")</f>
        <v>MMR001CMP047</v>
      </c>
      <c r="AR1016" s="468">
        <f ca="1">IF(Table_NFI[[#This Row],[Pcode]]="","",IF(OFFSET(CampList[Opening Date],MATCH(Table_NFI[[#This Row],[Pcode]],CampList[CP_Pcode],0)-1,0,1,1)&gt;=NFI_Monitor_Date,1,0))</f>
        <v>0</v>
      </c>
      <c r="AS1016" s="473" t="str">
        <f>IFERROR(VLOOKUP(Table_NFI[[#This Row],[Camp Name]],CL,3,0),"")</f>
        <v>Open</v>
      </c>
      <c r="AT1016" s="294" t="str">
        <f ca="1">IF(Table_NFI[[#This Row],[Pcode]]="","",OFFSET(CampList[Priority],MATCH(Table_NFI[[#This Row],[Pcode]],CampList[CP_Pcode],0)-1,0,1,1))</f>
        <v>P4</v>
      </c>
      <c r="AU1016" s="293">
        <f>IFERROR(Table_NFI[[#This Row],[Kitchen Set]]/VLOOKUP(Table_NFI[[#This Row],[Camp Name]],CL,4,0),"")</f>
        <v>0</v>
      </c>
      <c r="AV1016" s="466"/>
      <c r="AW1016" s="469"/>
    </row>
    <row r="1017" spans="1:49" s="470" customFormat="1" ht="14.45" customHeight="1" x14ac:dyDescent="0.25">
      <c r="A1017" s="297">
        <f t="shared" si="15"/>
        <v>56.56666666666667</v>
      </c>
      <c r="B1017" s="465">
        <v>40978</v>
      </c>
      <c r="C1017" s="466" t="s">
        <v>905</v>
      </c>
      <c r="D1017" s="466"/>
      <c r="E1017" s="466" t="s">
        <v>380</v>
      </c>
      <c r="F1017" s="466" t="s">
        <v>185</v>
      </c>
      <c r="G1017" s="466" t="s">
        <v>227</v>
      </c>
      <c r="H1017" s="294">
        <v>36</v>
      </c>
      <c r="I1017" s="291"/>
      <c r="J1017" s="292"/>
      <c r="K1017" s="291"/>
      <c r="L1017" s="292"/>
      <c r="M1017" s="292"/>
      <c r="N1017" s="292"/>
      <c r="O1017" s="292"/>
      <c r="P1017" s="294"/>
      <c r="Q1017" s="294"/>
      <c r="R1017" s="294"/>
      <c r="S1017" s="294"/>
      <c r="T1017" s="294"/>
      <c r="U1017" s="294"/>
      <c r="V1017" s="431"/>
      <c r="W1017" s="294"/>
      <c r="X1017" s="294"/>
      <c r="Y1017" s="294">
        <f>IF(NFI_Expiration=1,IF($A1017&lt;VLOOKUP(H$5,NFI,5,0),1,0)*Table_NFI[[#This Row],[Hygiene Kit]],Table_NFI[Hygiene Kit])</f>
        <v>0</v>
      </c>
      <c r="Z1017" s="294">
        <f>IF(NFI_Expiration=1,IF($A1017&lt;VLOOKUP(I$5,NFI,5,0),1,0)*Table_NFI[[#This Row],[NFI Core Kit]],Table_NFI[NFI Core Kit])</f>
        <v>0</v>
      </c>
      <c r="AA1017" s="294">
        <f>IF(NFI_Expiration=1,IF($A1017&lt;VLOOKUP(J$5,NFI,5,0),1,0)*Table_NFI[[#This Row],[Sanitary Kit]],Table_NFI[Sanitary Kit])</f>
        <v>0</v>
      </c>
      <c r="AB1017" s="294">
        <f>IF(NFI_Expiration=1,IF($A1017&lt;VLOOKUP(K$5,NFI,5,0),1,0)*Table_NFI[[#This Row],[Mosquito net]],Table_NFI[Mosquito net])</f>
        <v>0</v>
      </c>
      <c r="AC1017" s="294">
        <f>IF(NFI_Expiration=1,IF($A1017&lt;VLOOKUP(L$5,NFI,5,0),1,0)*Table_NFI[[#This Row],[Tarpaulin]],Table_NFI[[#This Row],[Tarpaulin]])</f>
        <v>0</v>
      </c>
      <c r="AD1017" s="294">
        <f>IF(NFI_Expiration=1,IF($A1017&lt;VLOOKUP(M$5,NFI,5,0),1,0)*Table_NFI[[#This Row],[Blanket]],Table_NFI[[#This Row],[Blanket]])</f>
        <v>0</v>
      </c>
      <c r="AE1017" s="294">
        <f>IF(NFI_Expiration=1,IF($A1017&lt;VLOOKUP(N$5,NFI,5,0),1,0)*Table_NFI[[#This Row],[Kitchen Set]],Table_NFI[Kitchen Set])</f>
        <v>0</v>
      </c>
      <c r="AF1017" s="294">
        <f>IF(NFI_Expiration=1,IF($A1017&lt;VLOOKUP(O$5,NFI,5,0),1,0)*Table_NFI[[#This Row],[Clothes Kit]],Table_NFI[Clothes Kit])</f>
        <v>0</v>
      </c>
      <c r="AG1017" s="294">
        <f>IF(NFI_Expiration=1,IF($A1017&lt;VLOOKUP(P$5,NFI,5,0),1,0)*Table_NFI[[#This Row],[Plastic Bucket]],Table_NFI[Plastic Bucket])</f>
        <v>0</v>
      </c>
      <c r="AH1017" s="294">
        <f>IF(NFI_Expiration=1,IF($A1017&lt;VLOOKUP(Q$5,NFI,5,0),1,0)*Table_NFI[[#This Row],[Plastic Mat]],Table_NFI[Plastic Mat])*IF(Table_NFI[[#This Row],[Distribution Date]]&gt;"2014-04-01",1,2.5)</f>
        <v>0</v>
      </c>
      <c r="AI1017" s="294">
        <f>IF(NFI_Expiration=1,IF($A1017&lt;VLOOKUP(R$5,NFI,5,0),1,0)*Table_NFI[[#This Row],[Winter Clothes Adult]],Table_NFI[Winter Clothes Adult])</f>
        <v>0</v>
      </c>
      <c r="AJ1017" s="294">
        <f>IF(NFI_Expiration=1,IF($A1017&lt;VLOOKUP(S$5,NFI,5,0),1,0)*Table_NFI[[#This Row],[Winter Clothes Children]],Table_NFI[Winter Clothes Children])</f>
        <v>0</v>
      </c>
      <c r="AK1017" s="294">
        <f>IF(NFI_Expiration=1,IF($A1017&lt;VLOOKUP(T$5,NFI,5,0),1,0)*Table_NFI[[#This Row],[Winter Items Other]],Table_NFI[Winter Items Other])</f>
        <v>0</v>
      </c>
      <c r="AL1017" s="294">
        <f>IF(NFI_Expiration=1,IF($A1017&lt;VLOOKUP(M$5,NFI,5,0),1,0)*Table_NFI[[#This Row],[Winter Blanket]],Table_NFI[[#This Row],[Winter Blanket]])</f>
        <v>0</v>
      </c>
      <c r="AM1017" s="294">
        <f>IF(Table_NFI[[#This Row],[Winter Clothes Adult]]+Table_NFI[[#This Row],[Winter Clothes Children]]+Table_NFI[[#This Row],[Winter Items Other]]+Table_NFI[[#This Row],[Winter Blanket]]&gt;0,1,0)</f>
        <v>0</v>
      </c>
      <c r="AN1017" s="331">
        <f>IF(NFI_Expiration=1,IF($A1017&lt;VLOOKUP(V$5,NFI,5,0),1,0)*Table_NFI[[#This Row],[Jerry Can]],Table_NFI[Jerry Can])</f>
        <v>0</v>
      </c>
      <c r="AO1017" s="331">
        <f>IF(NFI_Expiration=1,IF($A1017&lt;VLOOKUP(V$5,NFI,5,0),1,0)*Table_NFI[[#This Row],[Shelter Tool kit]],Table_NFI[Shelter Tool kit])</f>
        <v>0</v>
      </c>
      <c r="AP1017" s="331">
        <f>IF(NFI_Expiration=1,IF($A1017&lt;VLOOKUP(V$5,NFI,5,0),1,0)*Table_NFI[[#This Row],[Tent]],Table_NFI[Tent])</f>
        <v>0</v>
      </c>
      <c r="AQ1017" s="473" t="str">
        <f>IFERROR(VLOOKUP(Table_NFI[[#This Row],[Camp Name]],CL,2,0),"")</f>
        <v>MMR001CMP060</v>
      </c>
      <c r="AR1017" s="468">
        <f ca="1">IF(Table_NFI[[#This Row],[Pcode]]="","",IF(OFFSET(CampList[Opening Date],MATCH(Table_NFI[[#This Row],[Pcode]],CampList[CP_Pcode],0)-1,0,1,1)&gt;=NFI_Monitor_Date,1,0))</f>
        <v>0</v>
      </c>
      <c r="AS1017" s="473" t="str">
        <f>IFERROR(VLOOKUP(Table_NFI[[#This Row],[Camp Name]],CL,3,0),"")</f>
        <v>Open</v>
      </c>
      <c r="AT1017" s="294" t="str">
        <f ca="1">IF(Table_NFI[[#This Row],[Pcode]]="","",OFFSET(CampList[Priority],MATCH(Table_NFI[[#This Row],[Pcode]],CampList[CP_Pcode],0)-1,0,1,1))</f>
        <v>P4</v>
      </c>
      <c r="AU1017" s="293">
        <f>IFERROR(Table_NFI[[#This Row],[Kitchen Set]]/VLOOKUP(Table_NFI[[#This Row],[Camp Name]],CL,4,0),"")</f>
        <v>0</v>
      </c>
      <c r="AV1017" s="466"/>
      <c r="AW1017" s="469"/>
    </row>
    <row r="1018" spans="1:49" s="470" customFormat="1" ht="14.45" customHeight="1" x14ac:dyDescent="0.25">
      <c r="A1018" s="297">
        <f t="shared" si="15"/>
        <v>56.666666666666664</v>
      </c>
      <c r="B1018" s="465">
        <v>40975</v>
      </c>
      <c r="C1018" s="466" t="s">
        <v>452</v>
      </c>
      <c r="D1018" s="467" t="s">
        <v>452</v>
      </c>
      <c r="E1018" s="466" t="s">
        <v>380</v>
      </c>
      <c r="F1018" s="290" t="s">
        <v>310</v>
      </c>
      <c r="G1018" s="290" t="s">
        <v>318</v>
      </c>
      <c r="H1018" s="291"/>
      <c r="I1018" s="291"/>
      <c r="J1018" s="291"/>
      <c r="K1018" s="291">
        <v>12</v>
      </c>
      <c r="L1018" s="292">
        <v>8</v>
      </c>
      <c r="M1018" s="292">
        <v>12</v>
      </c>
      <c r="N1018" s="292">
        <v>8</v>
      </c>
      <c r="O1018" s="292">
        <v>8</v>
      </c>
      <c r="P1018" s="294">
        <v>8</v>
      </c>
      <c r="Q1018" s="294">
        <v>8</v>
      </c>
      <c r="R1018" s="294"/>
      <c r="S1018" s="294"/>
      <c r="T1018" s="294"/>
      <c r="U1018" s="294"/>
      <c r="V1018" s="431"/>
      <c r="W1018" s="294"/>
      <c r="X1018" s="294"/>
      <c r="Y1018" s="294">
        <f>IF(NFI_Expiration=1,IF($A1018&lt;VLOOKUP(H$5,NFI,5,0),1,0)*Table_NFI[[#This Row],[Hygiene Kit]],Table_NFI[Hygiene Kit])</f>
        <v>0</v>
      </c>
      <c r="Z1018" s="294">
        <f>IF(NFI_Expiration=1,IF($A1018&lt;VLOOKUP(I$5,NFI,5,0),1,0)*Table_NFI[[#This Row],[NFI Core Kit]],Table_NFI[NFI Core Kit])</f>
        <v>0</v>
      </c>
      <c r="AA1018" s="294">
        <f>IF(NFI_Expiration=1,IF($A1018&lt;VLOOKUP(J$5,NFI,5,0),1,0)*Table_NFI[[#This Row],[Sanitary Kit]],Table_NFI[Sanitary Kit])</f>
        <v>0</v>
      </c>
      <c r="AB1018" s="294">
        <f>IF(NFI_Expiration=1,IF($A1018&lt;VLOOKUP(K$5,NFI,5,0),1,0)*Table_NFI[[#This Row],[Mosquito net]],Table_NFI[Mosquito net])</f>
        <v>0</v>
      </c>
      <c r="AC1018" s="294">
        <f>IF(NFI_Expiration=1,IF($A1018&lt;VLOOKUP(L$5,NFI,5,0),1,0)*Table_NFI[[#This Row],[Tarpaulin]],Table_NFI[[#This Row],[Tarpaulin]])</f>
        <v>0</v>
      </c>
      <c r="AD1018" s="294">
        <f>IF(NFI_Expiration=1,IF($A1018&lt;VLOOKUP(M$5,NFI,5,0),1,0)*Table_NFI[[#This Row],[Blanket]],Table_NFI[[#This Row],[Blanket]])</f>
        <v>0</v>
      </c>
      <c r="AE1018" s="294">
        <f>IF(NFI_Expiration=1,IF($A1018&lt;VLOOKUP(N$5,NFI,5,0),1,0)*Table_NFI[[#This Row],[Kitchen Set]],Table_NFI[Kitchen Set])</f>
        <v>0</v>
      </c>
      <c r="AF1018" s="294">
        <f>IF(NFI_Expiration=1,IF($A1018&lt;VLOOKUP(O$5,NFI,5,0),1,0)*Table_NFI[[#This Row],[Clothes Kit]],Table_NFI[Clothes Kit])</f>
        <v>0</v>
      </c>
      <c r="AG1018" s="294">
        <f>IF(NFI_Expiration=1,IF($A1018&lt;VLOOKUP(P$5,NFI,5,0),1,0)*Table_NFI[[#This Row],[Plastic Bucket]],Table_NFI[Plastic Bucket])</f>
        <v>0</v>
      </c>
      <c r="AH1018" s="294">
        <f>IF(NFI_Expiration=1,IF($A1018&lt;VLOOKUP(Q$5,NFI,5,0),1,0)*Table_NFI[[#This Row],[Plastic Mat]],Table_NFI[Plastic Mat])*IF(Table_NFI[[#This Row],[Distribution Date]]&gt;"2014-04-01",1,2.5)</f>
        <v>0</v>
      </c>
      <c r="AI1018" s="294">
        <f>IF(NFI_Expiration=1,IF($A1018&lt;VLOOKUP(R$5,NFI,5,0),1,0)*Table_NFI[[#This Row],[Winter Clothes Adult]],Table_NFI[Winter Clothes Adult])</f>
        <v>0</v>
      </c>
      <c r="AJ1018" s="294">
        <f>IF(NFI_Expiration=1,IF($A1018&lt;VLOOKUP(S$5,NFI,5,0),1,0)*Table_NFI[[#This Row],[Winter Clothes Children]],Table_NFI[Winter Clothes Children])</f>
        <v>0</v>
      </c>
      <c r="AK1018" s="294">
        <f>IF(NFI_Expiration=1,IF($A1018&lt;VLOOKUP(T$5,NFI,5,0),1,0)*Table_NFI[[#This Row],[Winter Items Other]],Table_NFI[Winter Items Other])</f>
        <v>0</v>
      </c>
      <c r="AL1018" s="294">
        <f>IF(NFI_Expiration=1,IF($A1018&lt;VLOOKUP(M$5,NFI,5,0),1,0)*Table_NFI[[#This Row],[Winter Blanket]],Table_NFI[[#This Row],[Winter Blanket]])</f>
        <v>0</v>
      </c>
      <c r="AM1018" s="294">
        <f>IF(Table_NFI[[#This Row],[Winter Clothes Adult]]+Table_NFI[[#This Row],[Winter Clothes Children]]+Table_NFI[[#This Row],[Winter Items Other]]+Table_NFI[[#This Row],[Winter Blanket]]&gt;0,1,0)</f>
        <v>0</v>
      </c>
      <c r="AN1018" s="331">
        <f>IF(NFI_Expiration=1,IF($A1018&lt;VLOOKUP(V$5,NFI,5,0),1,0)*Table_NFI[[#This Row],[Jerry Can]],Table_NFI[Jerry Can])</f>
        <v>0</v>
      </c>
      <c r="AO1018" s="331">
        <f>IF(NFI_Expiration=1,IF($A1018&lt;VLOOKUP(V$5,NFI,5,0),1,0)*Table_NFI[[#This Row],[Shelter Tool kit]],Table_NFI[Shelter Tool kit])</f>
        <v>0</v>
      </c>
      <c r="AP1018" s="331">
        <f>IF(NFI_Expiration=1,IF($A1018&lt;VLOOKUP(V$5,NFI,5,0),1,0)*Table_NFI[[#This Row],[Tent]],Table_NFI[Tent])</f>
        <v>0</v>
      </c>
      <c r="AQ1018" s="473" t="str">
        <f>IFERROR(VLOOKUP(Table_NFI[[#This Row],[Camp Name]],CL,2,0),"")</f>
        <v>MMR001CMP032</v>
      </c>
      <c r="AR1018" s="468">
        <f ca="1">IF(Table_NFI[[#This Row],[Pcode]]="","",IF(OFFSET(CampList[Opening Date],MATCH(Table_NFI[[#This Row],[Pcode]],CampList[CP_Pcode],0)-1,0,1,1)&gt;=NFI_Monitor_Date,1,0))</f>
        <v>0</v>
      </c>
      <c r="AS1018" s="473" t="str">
        <f>IFERROR(VLOOKUP(Table_NFI[[#This Row],[Camp Name]],CL,3,0),"")</f>
        <v>Open</v>
      </c>
      <c r="AT1018" s="294" t="str">
        <f ca="1">IF(Table_NFI[[#This Row],[Pcode]]="","",OFFSET(CampList[Priority],MATCH(Table_NFI[[#This Row],[Pcode]],CampList[CP_Pcode],0)-1,0,1,1))</f>
        <v>P4</v>
      </c>
      <c r="AU1018" s="293">
        <f>IFERROR(Table_NFI[[#This Row],[Kitchen Set]]/VLOOKUP(Table_NFI[[#This Row],[Camp Name]],CL,4,0),"")</f>
        <v>8.7912087912087919E-2</v>
      </c>
      <c r="AV1018" s="466" t="s">
        <v>1092</v>
      </c>
      <c r="AW1018" s="469"/>
    </row>
    <row r="1019" spans="1:49" s="470" customFormat="1" ht="14.45" customHeight="1" x14ac:dyDescent="0.25">
      <c r="A1019" s="297">
        <f t="shared" si="15"/>
        <v>56.666666666666664</v>
      </c>
      <c r="B1019" s="465">
        <v>40975</v>
      </c>
      <c r="C1019" s="466" t="s">
        <v>452</v>
      </c>
      <c r="D1019" s="466" t="s">
        <v>452</v>
      </c>
      <c r="E1019" s="466" t="s">
        <v>380</v>
      </c>
      <c r="F1019" s="466" t="s">
        <v>310</v>
      </c>
      <c r="G1019" s="290" t="s">
        <v>349</v>
      </c>
      <c r="H1019" s="291"/>
      <c r="I1019" s="291"/>
      <c r="J1019" s="291"/>
      <c r="K1019" s="291">
        <v>38</v>
      </c>
      <c r="L1019" s="292">
        <v>18</v>
      </c>
      <c r="M1019" s="292">
        <v>38</v>
      </c>
      <c r="N1019" s="292">
        <v>17</v>
      </c>
      <c r="O1019" s="292">
        <v>18</v>
      </c>
      <c r="P1019" s="294">
        <v>18</v>
      </c>
      <c r="Q1019" s="294">
        <v>18</v>
      </c>
      <c r="R1019" s="294"/>
      <c r="S1019" s="294"/>
      <c r="T1019" s="294"/>
      <c r="U1019" s="294"/>
      <c r="V1019" s="431"/>
      <c r="W1019" s="294"/>
      <c r="X1019" s="294"/>
      <c r="Y1019" s="294">
        <f>IF(NFI_Expiration=1,IF($A1019&lt;VLOOKUP(H$5,NFI,5,0),1,0)*Table_NFI[[#This Row],[Hygiene Kit]],Table_NFI[Hygiene Kit])</f>
        <v>0</v>
      </c>
      <c r="Z1019" s="294">
        <f>IF(NFI_Expiration=1,IF($A1019&lt;VLOOKUP(I$5,NFI,5,0),1,0)*Table_NFI[[#This Row],[NFI Core Kit]],Table_NFI[NFI Core Kit])</f>
        <v>0</v>
      </c>
      <c r="AA1019" s="294">
        <f>IF(NFI_Expiration=1,IF($A1019&lt;VLOOKUP(J$5,NFI,5,0),1,0)*Table_NFI[[#This Row],[Sanitary Kit]],Table_NFI[Sanitary Kit])</f>
        <v>0</v>
      </c>
      <c r="AB1019" s="294">
        <f>IF(NFI_Expiration=1,IF($A1019&lt;VLOOKUP(K$5,NFI,5,0),1,0)*Table_NFI[[#This Row],[Mosquito net]],Table_NFI[Mosquito net])</f>
        <v>0</v>
      </c>
      <c r="AC1019" s="294">
        <f>IF(NFI_Expiration=1,IF($A1019&lt;VLOOKUP(L$5,NFI,5,0),1,0)*Table_NFI[[#This Row],[Tarpaulin]],Table_NFI[[#This Row],[Tarpaulin]])</f>
        <v>0</v>
      </c>
      <c r="AD1019" s="294">
        <f>IF(NFI_Expiration=1,IF($A1019&lt;VLOOKUP(M$5,NFI,5,0),1,0)*Table_NFI[[#This Row],[Blanket]],Table_NFI[[#This Row],[Blanket]])</f>
        <v>0</v>
      </c>
      <c r="AE1019" s="294">
        <f>IF(NFI_Expiration=1,IF($A1019&lt;VLOOKUP(N$5,NFI,5,0),1,0)*Table_NFI[[#This Row],[Kitchen Set]],Table_NFI[Kitchen Set])</f>
        <v>0</v>
      </c>
      <c r="AF1019" s="294">
        <f>IF(NFI_Expiration=1,IF($A1019&lt;VLOOKUP(O$5,NFI,5,0),1,0)*Table_NFI[[#This Row],[Clothes Kit]],Table_NFI[Clothes Kit])</f>
        <v>0</v>
      </c>
      <c r="AG1019" s="294">
        <f>IF(NFI_Expiration=1,IF($A1019&lt;VLOOKUP(P$5,NFI,5,0),1,0)*Table_NFI[[#This Row],[Plastic Bucket]],Table_NFI[Plastic Bucket])</f>
        <v>0</v>
      </c>
      <c r="AH1019" s="294">
        <f>IF(NFI_Expiration=1,IF($A1019&lt;VLOOKUP(Q$5,NFI,5,0),1,0)*Table_NFI[[#This Row],[Plastic Mat]],Table_NFI[Plastic Mat])*IF(Table_NFI[[#This Row],[Distribution Date]]&gt;"2014-04-01",1,2.5)</f>
        <v>0</v>
      </c>
      <c r="AI1019" s="294">
        <f>IF(NFI_Expiration=1,IF($A1019&lt;VLOOKUP(R$5,NFI,5,0),1,0)*Table_NFI[[#This Row],[Winter Clothes Adult]],Table_NFI[Winter Clothes Adult])</f>
        <v>0</v>
      </c>
      <c r="AJ1019" s="294">
        <f>IF(NFI_Expiration=1,IF($A1019&lt;VLOOKUP(S$5,NFI,5,0),1,0)*Table_NFI[[#This Row],[Winter Clothes Children]],Table_NFI[Winter Clothes Children])</f>
        <v>0</v>
      </c>
      <c r="AK1019" s="294">
        <f>IF(NFI_Expiration=1,IF($A1019&lt;VLOOKUP(T$5,NFI,5,0),1,0)*Table_NFI[[#This Row],[Winter Items Other]],Table_NFI[Winter Items Other])</f>
        <v>0</v>
      </c>
      <c r="AL1019" s="294">
        <f>IF(NFI_Expiration=1,IF($A1019&lt;VLOOKUP(M$5,NFI,5,0),1,0)*Table_NFI[[#This Row],[Winter Blanket]],Table_NFI[[#This Row],[Winter Blanket]])</f>
        <v>0</v>
      </c>
      <c r="AM1019" s="294">
        <f>IF(Table_NFI[[#This Row],[Winter Clothes Adult]]+Table_NFI[[#This Row],[Winter Clothes Children]]+Table_NFI[[#This Row],[Winter Items Other]]+Table_NFI[[#This Row],[Winter Blanket]]&gt;0,1,0)</f>
        <v>0</v>
      </c>
      <c r="AN1019" s="331">
        <f>IF(NFI_Expiration=1,IF($A1019&lt;VLOOKUP(V$5,NFI,5,0),1,0)*Table_NFI[[#This Row],[Jerry Can]],Table_NFI[Jerry Can])</f>
        <v>0</v>
      </c>
      <c r="AO1019" s="331">
        <f>IF(NFI_Expiration=1,IF($A1019&lt;VLOOKUP(V$5,NFI,5,0),1,0)*Table_NFI[[#This Row],[Shelter Tool kit]],Table_NFI[Shelter Tool kit])</f>
        <v>0</v>
      </c>
      <c r="AP1019" s="331">
        <f>IF(NFI_Expiration=1,IF($A1019&lt;VLOOKUP(V$5,NFI,5,0),1,0)*Table_NFI[[#This Row],[Tent]],Table_NFI[Tent])</f>
        <v>0</v>
      </c>
      <c r="AQ1019" s="473" t="str">
        <f>IFERROR(VLOOKUP(Table_NFI[[#This Row],[Camp Name]],CL,2,0),"")</f>
        <v>MMR001CMP037</v>
      </c>
      <c r="AR1019" s="468">
        <f ca="1">IF(Table_NFI[[#This Row],[Pcode]]="","",IF(OFFSET(CampList[Opening Date],MATCH(Table_NFI[[#This Row],[Pcode]],CampList[CP_Pcode],0)-1,0,1,1)&gt;=NFI_Monitor_Date,1,0))</f>
        <v>0</v>
      </c>
      <c r="AS1019" s="473" t="str">
        <f>IFERROR(VLOOKUP(Table_NFI[[#This Row],[Camp Name]],CL,3,0),"")</f>
        <v>Open</v>
      </c>
      <c r="AT1019" s="294" t="str">
        <f ca="1">IF(Table_NFI[[#This Row],[Pcode]]="","",OFFSET(CampList[Priority],MATCH(Table_NFI[[#This Row],[Pcode]],CampList[CP_Pcode],0)-1,0,1,1))</f>
        <v>P4</v>
      </c>
      <c r="AU1019" s="293">
        <f>IFERROR(Table_NFI[[#This Row],[Kitchen Set]]/VLOOKUP(Table_NFI[[#This Row],[Camp Name]],CL,4,0),"")</f>
        <v>0.38636363636363635</v>
      </c>
      <c r="AV1019" s="466" t="s">
        <v>1092</v>
      </c>
      <c r="AW1019" s="469"/>
    </row>
    <row r="1020" spans="1:49" s="470" customFormat="1" ht="15" customHeight="1" x14ac:dyDescent="0.25">
      <c r="A1020" s="297">
        <f t="shared" si="15"/>
        <v>56.966666666666669</v>
      </c>
      <c r="B1020" s="465">
        <v>40966</v>
      </c>
      <c r="C1020" s="466" t="s">
        <v>452</v>
      </c>
      <c r="D1020" s="467" t="s">
        <v>902</v>
      </c>
      <c r="E1020" s="466" t="s">
        <v>380</v>
      </c>
      <c r="F1020" s="290" t="s">
        <v>237</v>
      </c>
      <c r="G1020" s="290" t="s">
        <v>283</v>
      </c>
      <c r="H1020" s="291"/>
      <c r="I1020" s="291"/>
      <c r="J1020" s="291"/>
      <c r="K1020" s="291">
        <v>34</v>
      </c>
      <c r="L1020" s="292">
        <v>0</v>
      </c>
      <c r="M1020" s="292">
        <v>34</v>
      </c>
      <c r="N1020" s="292">
        <v>0</v>
      </c>
      <c r="O1020" s="292">
        <v>34</v>
      </c>
      <c r="P1020" s="294">
        <v>34</v>
      </c>
      <c r="Q1020" s="294">
        <v>34</v>
      </c>
      <c r="R1020" s="294"/>
      <c r="S1020" s="294"/>
      <c r="T1020" s="294"/>
      <c r="U1020" s="294"/>
      <c r="V1020" s="431"/>
      <c r="W1020" s="294"/>
      <c r="X1020" s="294"/>
      <c r="Y1020" s="294">
        <f>IF(NFI_Expiration=1,IF($A1020&lt;VLOOKUP(H$5,NFI,5,0),1,0)*Table_NFI[[#This Row],[Hygiene Kit]],Table_NFI[Hygiene Kit])</f>
        <v>0</v>
      </c>
      <c r="Z1020" s="294">
        <f>IF(NFI_Expiration=1,IF($A1020&lt;VLOOKUP(I$5,NFI,5,0),1,0)*Table_NFI[[#This Row],[NFI Core Kit]],Table_NFI[NFI Core Kit])</f>
        <v>0</v>
      </c>
      <c r="AA1020" s="294">
        <f>IF(NFI_Expiration=1,IF($A1020&lt;VLOOKUP(J$5,NFI,5,0),1,0)*Table_NFI[[#This Row],[Sanitary Kit]],Table_NFI[Sanitary Kit])</f>
        <v>0</v>
      </c>
      <c r="AB1020" s="294">
        <f>IF(NFI_Expiration=1,IF($A1020&lt;VLOOKUP(K$5,NFI,5,0),1,0)*Table_NFI[[#This Row],[Mosquito net]],Table_NFI[Mosquito net])</f>
        <v>0</v>
      </c>
      <c r="AC1020" s="294">
        <f>IF(NFI_Expiration=1,IF($A1020&lt;VLOOKUP(L$5,NFI,5,0),1,0)*Table_NFI[[#This Row],[Tarpaulin]],Table_NFI[[#This Row],[Tarpaulin]])</f>
        <v>0</v>
      </c>
      <c r="AD1020" s="294">
        <f>IF(NFI_Expiration=1,IF($A1020&lt;VLOOKUP(M$5,NFI,5,0),1,0)*Table_NFI[[#This Row],[Blanket]],Table_NFI[[#This Row],[Blanket]])</f>
        <v>0</v>
      </c>
      <c r="AE1020" s="294">
        <f>IF(NFI_Expiration=1,IF($A1020&lt;VLOOKUP(N$5,NFI,5,0),1,0)*Table_NFI[[#This Row],[Kitchen Set]],Table_NFI[Kitchen Set])</f>
        <v>0</v>
      </c>
      <c r="AF1020" s="294">
        <f>IF(NFI_Expiration=1,IF($A1020&lt;VLOOKUP(O$5,NFI,5,0),1,0)*Table_NFI[[#This Row],[Clothes Kit]],Table_NFI[Clothes Kit])</f>
        <v>0</v>
      </c>
      <c r="AG1020" s="294">
        <f>IF(NFI_Expiration=1,IF($A1020&lt;VLOOKUP(P$5,NFI,5,0),1,0)*Table_NFI[[#This Row],[Plastic Bucket]],Table_NFI[Plastic Bucket])</f>
        <v>0</v>
      </c>
      <c r="AH1020" s="294">
        <f>IF(NFI_Expiration=1,IF($A1020&lt;VLOOKUP(Q$5,NFI,5,0),1,0)*Table_NFI[[#This Row],[Plastic Mat]],Table_NFI[Plastic Mat])*IF(Table_NFI[[#This Row],[Distribution Date]]&gt;"2014-04-01",1,2.5)</f>
        <v>0</v>
      </c>
      <c r="AI1020" s="294">
        <f>IF(NFI_Expiration=1,IF($A1020&lt;VLOOKUP(R$5,NFI,5,0),1,0)*Table_NFI[[#This Row],[Winter Clothes Adult]],Table_NFI[Winter Clothes Adult])</f>
        <v>0</v>
      </c>
      <c r="AJ1020" s="294">
        <f>IF(NFI_Expiration=1,IF($A1020&lt;VLOOKUP(S$5,NFI,5,0),1,0)*Table_NFI[[#This Row],[Winter Clothes Children]],Table_NFI[Winter Clothes Children])</f>
        <v>0</v>
      </c>
      <c r="AK1020" s="294">
        <f>IF(NFI_Expiration=1,IF($A1020&lt;VLOOKUP(T$5,NFI,5,0),1,0)*Table_NFI[[#This Row],[Winter Items Other]],Table_NFI[Winter Items Other])</f>
        <v>0</v>
      </c>
      <c r="AL1020" s="294">
        <f>IF(NFI_Expiration=1,IF($A1020&lt;VLOOKUP(M$5,NFI,5,0),1,0)*Table_NFI[[#This Row],[Winter Blanket]],Table_NFI[[#This Row],[Winter Blanket]])</f>
        <v>0</v>
      </c>
      <c r="AM1020" s="294">
        <f>IF(Table_NFI[[#This Row],[Winter Clothes Adult]]+Table_NFI[[#This Row],[Winter Clothes Children]]+Table_NFI[[#This Row],[Winter Items Other]]+Table_NFI[[#This Row],[Winter Blanket]]&gt;0,1,0)</f>
        <v>0</v>
      </c>
      <c r="AN1020" s="331">
        <f>IF(NFI_Expiration=1,IF($A1020&lt;VLOOKUP(V$5,NFI,5,0),1,0)*Table_NFI[[#This Row],[Jerry Can]],Table_NFI[Jerry Can])</f>
        <v>0</v>
      </c>
      <c r="AO1020" s="331">
        <f>IF(NFI_Expiration=1,IF($A1020&lt;VLOOKUP(V$5,NFI,5,0),1,0)*Table_NFI[[#This Row],[Shelter Tool kit]],Table_NFI[Shelter Tool kit])</f>
        <v>0</v>
      </c>
      <c r="AP1020" s="331">
        <f>IF(NFI_Expiration=1,IF($A1020&lt;VLOOKUP(V$5,NFI,5,0),1,0)*Table_NFI[[#This Row],[Tent]],Table_NFI[Tent])</f>
        <v>0</v>
      </c>
      <c r="AQ1020" s="473" t="str">
        <f>IFERROR(VLOOKUP(Table_NFI[[#This Row],[Camp Name]],CL,2,0),"")</f>
        <v>MMR001CMP022</v>
      </c>
      <c r="AR1020" s="468">
        <f ca="1">IF(Table_NFI[[#This Row],[Pcode]]="","",IF(OFFSET(CampList[Opening Date],MATCH(Table_NFI[[#This Row],[Pcode]],CampList[CP_Pcode],0)-1,0,1,1)&gt;=NFI_Monitor_Date,1,0))</f>
        <v>0</v>
      </c>
      <c r="AS1020" s="473" t="str">
        <f>IFERROR(VLOOKUP(Table_NFI[[#This Row],[Camp Name]],CL,3,0),"")</f>
        <v>Open</v>
      </c>
      <c r="AT1020" s="294" t="str">
        <f ca="1">IF(Table_NFI[[#This Row],[Pcode]]="","",OFFSET(CampList[Priority],MATCH(Table_NFI[[#This Row],[Pcode]],CampList[CP_Pcode],0)-1,0,1,1))</f>
        <v>P4</v>
      </c>
      <c r="AU1020" s="293">
        <f>IFERROR(Table_NFI[[#This Row],[Kitchen Set]]/VLOOKUP(Table_NFI[[#This Row],[Camp Name]],CL,4,0),"")</f>
        <v>0</v>
      </c>
      <c r="AV1020" s="466" t="s">
        <v>1092</v>
      </c>
      <c r="AW1020" s="469"/>
    </row>
    <row r="1021" spans="1:49" s="470" customFormat="1" ht="14.45" customHeight="1" x14ac:dyDescent="0.25">
      <c r="A1021" s="297">
        <f t="shared" si="15"/>
        <v>57</v>
      </c>
      <c r="B1021" s="465">
        <v>40965</v>
      </c>
      <c r="C1021" s="466" t="s">
        <v>452</v>
      </c>
      <c r="D1021" s="466" t="s">
        <v>452</v>
      </c>
      <c r="E1021" s="466" t="s">
        <v>380</v>
      </c>
      <c r="F1021" s="466" t="s">
        <v>237</v>
      </c>
      <c r="G1021" s="290" t="s">
        <v>916</v>
      </c>
      <c r="H1021" s="291"/>
      <c r="I1021" s="291"/>
      <c r="J1021" s="291"/>
      <c r="K1021" s="291">
        <v>25</v>
      </c>
      <c r="L1021" s="292">
        <v>18</v>
      </c>
      <c r="M1021" s="292">
        <v>25</v>
      </c>
      <c r="N1021" s="292">
        <v>18</v>
      </c>
      <c r="O1021" s="292">
        <v>18</v>
      </c>
      <c r="P1021" s="294">
        <v>18</v>
      </c>
      <c r="Q1021" s="294">
        <v>18</v>
      </c>
      <c r="R1021" s="294"/>
      <c r="S1021" s="294"/>
      <c r="T1021" s="294"/>
      <c r="U1021" s="294"/>
      <c r="V1021" s="431"/>
      <c r="W1021" s="294"/>
      <c r="X1021" s="294"/>
      <c r="Y1021" s="294">
        <f>IF(NFI_Expiration=1,IF($A1021&lt;VLOOKUP(H$5,NFI,5,0),1,0)*Table_NFI[[#This Row],[Hygiene Kit]],Table_NFI[Hygiene Kit])</f>
        <v>0</v>
      </c>
      <c r="Z1021" s="294">
        <f>IF(NFI_Expiration=1,IF($A1021&lt;VLOOKUP(I$5,NFI,5,0),1,0)*Table_NFI[[#This Row],[NFI Core Kit]],Table_NFI[NFI Core Kit])</f>
        <v>0</v>
      </c>
      <c r="AA1021" s="294">
        <f>IF(NFI_Expiration=1,IF($A1021&lt;VLOOKUP(J$5,NFI,5,0),1,0)*Table_NFI[[#This Row],[Sanitary Kit]],Table_NFI[Sanitary Kit])</f>
        <v>0</v>
      </c>
      <c r="AB1021" s="294">
        <f>IF(NFI_Expiration=1,IF($A1021&lt;VLOOKUP(K$5,NFI,5,0),1,0)*Table_NFI[[#This Row],[Mosquito net]],Table_NFI[Mosquito net])</f>
        <v>0</v>
      </c>
      <c r="AC1021" s="294">
        <f>IF(NFI_Expiration=1,IF($A1021&lt;VLOOKUP(L$5,NFI,5,0),1,0)*Table_NFI[[#This Row],[Tarpaulin]],Table_NFI[[#This Row],[Tarpaulin]])</f>
        <v>0</v>
      </c>
      <c r="AD1021" s="294">
        <f>IF(NFI_Expiration=1,IF($A1021&lt;VLOOKUP(M$5,NFI,5,0),1,0)*Table_NFI[[#This Row],[Blanket]],Table_NFI[[#This Row],[Blanket]])</f>
        <v>0</v>
      </c>
      <c r="AE1021" s="294">
        <f>IF(NFI_Expiration=1,IF($A1021&lt;VLOOKUP(N$5,NFI,5,0),1,0)*Table_NFI[[#This Row],[Kitchen Set]],Table_NFI[Kitchen Set])</f>
        <v>0</v>
      </c>
      <c r="AF1021" s="294">
        <f>IF(NFI_Expiration=1,IF($A1021&lt;VLOOKUP(O$5,NFI,5,0),1,0)*Table_NFI[[#This Row],[Clothes Kit]],Table_NFI[Clothes Kit])</f>
        <v>0</v>
      </c>
      <c r="AG1021" s="294">
        <f>IF(NFI_Expiration=1,IF($A1021&lt;VLOOKUP(P$5,NFI,5,0),1,0)*Table_NFI[[#This Row],[Plastic Bucket]],Table_NFI[Plastic Bucket])</f>
        <v>0</v>
      </c>
      <c r="AH1021" s="294">
        <f>IF(NFI_Expiration=1,IF($A1021&lt;VLOOKUP(Q$5,NFI,5,0),1,0)*Table_NFI[[#This Row],[Plastic Mat]],Table_NFI[Plastic Mat])*IF(Table_NFI[[#This Row],[Distribution Date]]&gt;"2014-04-01",1,2.5)</f>
        <v>0</v>
      </c>
      <c r="AI1021" s="294">
        <f>IF(NFI_Expiration=1,IF($A1021&lt;VLOOKUP(R$5,NFI,5,0),1,0)*Table_NFI[[#This Row],[Winter Clothes Adult]],Table_NFI[Winter Clothes Adult])</f>
        <v>0</v>
      </c>
      <c r="AJ1021" s="294">
        <f>IF(NFI_Expiration=1,IF($A1021&lt;VLOOKUP(S$5,NFI,5,0),1,0)*Table_NFI[[#This Row],[Winter Clothes Children]],Table_NFI[Winter Clothes Children])</f>
        <v>0</v>
      </c>
      <c r="AK1021" s="294">
        <f>IF(NFI_Expiration=1,IF($A1021&lt;VLOOKUP(T$5,NFI,5,0),1,0)*Table_NFI[[#This Row],[Winter Items Other]],Table_NFI[Winter Items Other])</f>
        <v>0</v>
      </c>
      <c r="AL1021" s="294">
        <f>IF(NFI_Expiration=1,IF($A1021&lt;VLOOKUP(M$5,NFI,5,0),1,0)*Table_NFI[[#This Row],[Winter Blanket]],Table_NFI[[#This Row],[Winter Blanket]])</f>
        <v>0</v>
      </c>
      <c r="AM1021" s="294">
        <f>IF(Table_NFI[[#This Row],[Winter Clothes Adult]]+Table_NFI[[#This Row],[Winter Clothes Children]]+Table_NFI[[#This Row],[Winter Items Other]]+Table_NFI[[#This Row],[Winter Blanket]]&gt;0,1,0)</f>
        <v>0</v>
      </c>
      <c r="AN1021" s="331">
        <f>IF(NFI_Expiration=1,IF($A1021&lt;VLOOKUP(V$5,NFI,5,0),1,0)*Table_NFI[[#This Row],[Jerry Can]],Table_NFI[Jerry Can])</f>
        <v>0</v>
      </c>
      <c r="AO1021" s="331">
        <f>IF(NFI_Expiration=1,IF($A1021&lt;VLOOKUP(V$5,NFI,5,0),1,0)*Table_NFI[[#This Row],[Shelter Tool kit]],Table_NFI[Shelter Tool kit])</f>
        <v>0</v>
      </c>
      <c r="AP1021" s="331">
        <f>IF(NFI_Expiration=1,IF($A1021&lt;VLOOKUP(V$5,NFI,5,0),1,0)*Table_NFI[[#This Row],[Tent]],Table_NFI[Tent])</f>
        <v>0</v>
      </c>
      <c r="AQ1021" s="473" t="str">
        <f>IFERROR(VLOOKUP(Table_NFI[[#This Row],[Camp Name]],CL,2,0),"")</f>
        <v/>
      </c>
      <c r="AR1021" s="468" t="str">
        <f ca="1">IF(Table_NFI[[#This Row],[Pcode]]="","",IF(OFFSET(CampList[Opening Date],MATCH(Table_NFI[[#This Row],[Pcode]],CampList[CP_Pcode],0)-1,0,1,1)&gt;=NFI_Monitor_Date,1,0))</f>
        <v/>
      </c>
      <c r="AS1021" s="473" t="str">
        <f>IFERROR(VLOOKUP(Table_NFI[[#This Row],[Camp Name]],CL,3,0),"")</f>
        <v/>
      </c>
      <c r="AT1021" s="294" t="str">
        <f ca="1">IF(Table_NFI[[#This Row],[Pcode]]="","",OFFSET(CampList[Priority],MATCH(Table_NFI[[#This Row],[Pcode]],CampList[CP_Pcode],0)-1,0,1,1))</f>
        <v/>
      </c>
      <c r="AU1021" s="293" t="str">
        <f>IFERROR(Table_NFI[[#This Row],[Kitchen Set]]/VLOOKUP(Table_NFI[[#This Row],[Camp Name]],CL,4,0),"")</f>
        <v/>
      </c>
      <c r="AV1021" s="466" t="s">
        <v>1092</v>
      </c>
      <c r="AW1021" s="469" t="s">
        <v>1162</v>
      </c>
    </row>
    <row r="1022" spans="1:49" s="470" customFormat="1" ht="14.45" customHeight="1" x14ac:dyDescent="0.25">
      <c r="A1022" s="297">
        <f t="shared" si="15"/>
        <v>57</v>
      </c>
      <c r="B1022" s="465">
        <v>40965</v>
      </c>
      <c r="C1022" s="466" t="s">
        <v>452</v>
      </c>
      <c r="D1022" s="466" t="s">
        <v>902</v>
      </c>
      <c r="E1022" s="466" t="s">
        <v>380</v>
      </c>
      <c r="F1022" s="290" t="s">
        <v>237</v>
      </c>
      <c r="G1022" s="290" t="s">
        <v>917</v>
      </c>
      <c r="H1022" s="291"/>
      <c r="I1022" s="291"/>
      <c r="J1022" s="291"/>
      <c r="K1022" s="291">
        <v>25</v>
      </c>
      <c r="L1022" s="292">
        <v>0</v>
      </c>
      <c r="M1022" s="292">
        <v>25</v>
      </c>
      <c r="N1022" s="292">
        <v>0</v>
      </c>
      <c r="O1022" s="292">
        <v>10</v>
      </c>
      <c r="P1022" s="294">
        <v>10</v>
      </c>
      <c r="Q1022" s="294">
        <v>10</v>
      </c>
      <c r="R1022" s="294"/>
      <c r="S1022" s="294"/>
      <c r="T1022" s="294"/>
      <c r="U1022" s="294"/>
      <c r="V1022" s="431"/>
      <c r="W1022" s="294"/>
      <c r="X1022" s="294"/>
      <c r="Y1022" s="294">
        <f>IF(NFI_Expiration=1,IF($A1022&lt;VLOOKUP(H$5,NFI,5,0),1,0)*Table_NFI[[#This Row],[Hygiene Kit]],Table_NFI[Hygiene Kit])</f>
        <v>0</v>
      </c>
      <c r="Z1022" s="294">
        <f>IF(NFI_Expiration=1,IF($A1022&lt;VLOOKUP(I$5,NFI,5,0),1,0)*Table_NFI[[#This Row],[NFI Core Kit]],Table_NFI[NFI Core Kit])</f>
        <v>0</v>
      </c>
      <c r="AA1022" s="294">
        <f>IF(NFI_Expiration=1,IF($A1022&lt;VLOOKUP(J$5,NFI,5,0),1,0)*Table_NFI[[#This Row],[Sanitary Kit]],Table_NFI[Sanitary Kit])</f>
        <v>0</v>
      </c>
      <c r="AB1022" s="294">
        <f>IF(NFI_Expiration=1,IF($A1022&lt;VLOOKUP(K$5,NFI,5,0),1,0)*Table_NFI[[#This Row],[Mosquito net]],Table_NFI[Mosquito net])</f>
        <v>0</v>
      </c>
      <c r="AC1022" s="294">
        <f>IF(NFI_Expiration=1,IF($A1022&lt;VLOOKUP(L$5,NFI,5,0),1,0)*Table_NFI[[#This Row],[Tarpaulin]],Table_NFI[[#This Row],[Tarpaulin]])</f>
        <v>0</v>
      </c>
      <c r="AD1022" s="294">
        <f>IF(NFI_Expiration=1,IF($A1022&lt;VLOOKUP(M$5,NFI,5,0),1,0)*Table_NFI[[#This Row],[Blanket]],Table_NFI[[#This Row],[Blanket]])</f>
        <v>0</v>
      </c>
      <c r="AE1022" s="294">
        <f>IF(NFI_Expiration=1,IF($A1022&lt;VLOOKUP(N$5,NFI,5,0),1,0)*Table_NFI[[#This Row],[Kitchen Set]],Table_NFI[Kitchen Set])</f>
        <v>0</v>
      </c>
      <c r="AF1022" s="294">
        <f>IF(NFI_Expiration=1,IF($A1022&lt;VLOOKUP(O$5,NFI,5,0),1,0)*Table_NFI[[#This Row],[Clothes Kit]],Table_NFI[Clothes Kit])</f>
        <v>0</v>
      </c>
      <c r="AG1022" s="294">
        <f>IF(NFI_Expiration=1,IF($A1022&lt;VLOOKUP(P$5,NFI,5,0),1,0)*Table_NFI[[#This Row],[Plastic Bucket]],Table_NFI[Plastic Bucket])</f>
        <v>0</v>
      </c>
      <c r="AH1022" s="294">
        <f>IF(NFI_Expiration=1,IF($A1022&lt;VLOOKUP(Q$5,NFI,5,0),1,0)*Table_NFI[[#This Row],[Plastic Mat]],Table_NFI[Plastic Mat])*IF(Table_NFI[[#This Row],[Distribution Date]]&gt;"2014-04-01",1,2.5)</f>
        <v>0</v>
      </c>
      <c r="AI1022" s="294">
        <f>IF(NFI_Expiration=1,IF($A1022&lt;VLOOKUP(R$5,NFI,5,0),1,0)*Table_NFI[[#This Row],[Winter Clothes Adult]],Table_NFI[Winter Clothes Adult])</f>
        <v>0</v>
      </c>
      <c r="AJ1022" s="294">
        <f>IF(NFI_Expiration=1,IF($A1022&lt;VLOOKUP(S$5,NFI,5,0),1,0)*Table_NFI[[#This Row],[Winter Clothes Children]],Table_NFI[Winter Clothes Children])</f>
        <v>0</v>
      </c>
      <c r="AK1022" s="294">
        <f>IF(NFI_Expiration=1,IF($A1022&lt;VLOOKUP(T$5,NFI,5,0),1,0)*Table_NFI[[#This Row],[Winter Items Other]],Table_NFI[Winter Items Other])</f>
        <v>0</v>
      </c>
      <c r="AL1022" s="294">
        <f>IF(NFI_Expiration=1,IF($A1022&lt;VLOOKUP(M$5,NFI,5,0),1,0)*Table_NFI[[#This Row],[Winter Blanket]],Table_NFI[[#This Row],[Winter Blanket]])</f>
        <v>0</v>
      </c>
      <c r="AM1022" s="294">
        <f>IF(Table_NFI[[#This Row],[Winter Clothes Adult]]+Table_NFI[[#This Row],[Winter Clothes Children]]+Table_NFI[[#This Row],[Winter Items Other]]+Table_NFI[[#This Row],[Winter Blanket]]&gt;0,1,0)</f>
        <v>0</v>
      </c>
      <c r="AN1022" s="331">
        <f>IF(NFI_Expiration=1,IF($A1022&lt;VLOOKUP(V$5,NFI,5,0),1,0)*Table_NFI[[#This Row],[Jerry Can]],Table_NFI[Jerry Can])</f>
        <v>0</v>
      </c>
      <c r="AO1022" s="331">
        <f>IF(NFI_Expiration=1,IF($A1022&lt;VLOOKUP(V$5,NFI,5,0),1,0)*Table_NFI[[#This Row],[Shelter Tool kit]],Table_NFI[Shelter Tool kit])</f>
        <v>0</v>
      </c>
      <c r="AP1022" s="331">
        <f>IF(NFI_Expiration=1,IF($A1022&lt;VLOOKUP(V$5,NFI,5,0),1,0)*Table_NFI[[#This Row],[Tent]],Table_NFI[Tent])</f>
        <v>0</v>
      </c>
      <c r="AQ1022" s="473" t="str">
        <f>IFERROR(VLOOKUP(Table_NFI[[#This Row],[Camp Name]],CL,2,0),"")</f>
        <v/>
      </c>
      <c r="AR1022" s="468" t="str">
        <f ca="1">IF(Table_NFI[[#This Row],[Pcode]]="","",IF(OFFSET(CampList[Opening Date],MATCH(Table_NFI[[#This Row],[Pcode]],CampList[CP_Pcode],0)-1,0,1,1)&gt;=NFI_Monitor_Date,1,0))</f>
        <v/>
      </c>
      <c r="AS1022" s="473" t="str">
        <f>IFERROR(VLOOKUP(Table_NFI[[#This Row],[Camp Name]],CL,3,0),"")</f>
        <v/>
      </c>
      <c r="AT1022" s="294" t="str">
        <f ca="1">IF(Table_NFI[[#This Row],[Pcode]]="","",OFFSET(CampList[Priority],MATCH(Table_NFI[[#This Row],[Pcode]],CampList[CP_Pcode],0)-1,0,1,1))</f>
        <v/>
      </c>
      <c r="AU1022" s="293" t="str">
        <f>IFERROR(Table_NFI[[#This Row],[Kitchen Set]]/VLOOKUP(Table_NFI[[#This Row],[Camp Name]],CL,4,0),"")</f>
        <v/>
      </c>
      <c r="AV1022" s="466" t="s">
        <v>1092</v>
      </c>
      <c r="AW1022" s="469"/>
    </row>
    <row r="1023" spans="1:49" s="470" customFormat="1" ht="14.45" customHeight="1" x14ac:dyDescent="0.25">
      <c r="A1023" s="297">
        <f t="shared" si="15"/>
        <v>57.1</v>
      </c>
      <c r="B1023" s="465">
        <v>40962</v>
      </c>
      <c r="C1023" s="466" t="s">
        <v>905</v>
      </c>
      <c r="D1023" s="467" t="s">
        <v>905</v>
      </c>
      <c r="E1023" s="466" t="s">
        <v>380</v>
      </c>
      <c r="F1023" s="290" t="s">
        <v>185</v>
      </c>
      <c r="G1023" s="290" t="s">
        <v>186</v>
      </c>
      <c r="H1023" s="294">
        <v>172</v>
      </c>
      <c r="I1023" s="291"/>
      <c r="J1023" s="291"/>
      <c r="K1023" s="291"/>
      <c r="L1023" s="292"/>
      <c r="M1023" s="292"/>
      <c r="N1023" s="292"/>
      <c r="O1023" s="292"/>
      <c r="P1023" s="294"/>
      <c r="Q1023" s="294"/>
      <c r="R1023" s="294"/>
      <c r="S1023" s="294"/>
      <c r="T1023" s="294"/>
      <c r="U1023" s="294"/>
      <c r="V1023" s="431"/>
      <c r="W1023" s="294"/>
      <c r="X1023" s="294"/>
      <c r="Y1023" s="294">
        <f>IF(NFI_Expiration=1,IF($A1023&lt;VLOOKUP(H$5,NFI,5,0),1,0)*Table_NFI[[#This Row],[Hygiene Kit]],Table_NFI[Hygiene Kit])</f>
        <v>0</v>
      </c>
      <c r="Z1023" s="294">
        <f>IF(NFI_Expiration=1,IF($A1023&lt;VLOOKUP(I$5,NFI,5,0),1,0)*Table_NFI[[#This Row],[NFI Core Kit]],Table_NFI[NFI Core Kit])</f>
        <v>0</v>
      </c>
      <c r="AA1023" s="294">
        <f>IF(NFI_Expiration=1,IF($A1023&lt;VLOOKUP(J$5,NFI,5,0),1,0)*Table_NFI[[#This Row],[Sanitary Kit]],Table_NFI[Sanitary Kit])</f>
        <v>0</v>
      </c>
      <c r="AB1023" s="294">
        <f>IF(NFI_Expiration=1,IF($A1023&lt;VLOOKUP(K$5,NFI,5,0),1,0)*Table_NFI[[#This Row],[Mosquito net]],Table_NFI[Mosquito net])</f>
        <v>0</v>
      </c>
      <c r="AC1023" s="294">
        <f>IF(NFI_Expiration=1,IF($A1023&lt;VLOOKUP(L$5,NFI,5,0),1,0)*Table_NFI[[#This Row],[Tarpaulin]],Table_NFI[[#This Row],[Tarpaulin]])</f>
        <v>0</v>
      </c>
      <c r="AD1023" s="294">
        <f>IF(NFI_Expiration=1,IF($A1023&lt;VLOOKUP(M$5,NFI,5,0),1,0)*Table_NFI[[#This Row],[Blanket]],Table_NFI[[#This Row],[Blanket]])</f>
        <v>0</v>
      </c>
      <c r="AE1023" s="294">
        <f>IF(NFI_Expiration=1,IF($A1023&lt;VLOOKUP(N$5,NFI,5,0),1,0)*Table_NFI[[#This Row],[Kitchen Set]],Table_NFI[Kitchen Set])</f>
        <v>0</v>
      </c>
      <c r="AF1023" s="294">
        <f>IF(NFI_Expiration=1,IF($A1023&lt;VLOOKUP(O$5,NFI,5,0),1,0)*Table_NFI[[#This Row],[Clothes Kit]],Table_NFI[Clothes Kit])</f>
        <v>0</v>
      </c>
      <c r="AG1023" s="294">
        <f>IF(NFI_Expiration=1,IF($A1023&lt;VLOOKUP(P$5,NFI,5,0),1,0)*Table_NFI[[#This Row],[Plastic Bucket]],Table_NFI[Plastic Bucket])</f>
        <v>0</v>
      </c>
      <c r="AH1023" s="294">
        <f>IF(NFI_Expiration=1,IF($A1023&lt;VLOOKUP(Q$5,NFI,5,0),1,0)*Table_NFI[[#This Row],[Plastic Mat]],Table_NFI[Plastic Mat])*IF(Table_NFI[[#This Row],[Distribution Date]]&gt;"2014-04-01",1,2.5)</f>
        <v>0</v>
      </c>
      <c r="AI1023" s="294">
        <f>IF(NFI_Expiration=1,IF($A1023&lt;VLOOKUP(R$5,NFI,5,0),1,0)*Table_NFI[[#This Row],[Winter Clothes Adult]],Table_NFI[Winter Clothes Adult])</f>
        <v>0</v>
      </c>
      <c r="AJ1023" s="294">
        <f>IF(NFI_Expiration=1,IF($A1023&lt;VLOOKUP(S$5,NFI,5,0),1,0)*Table_NFI[[#This Row],[Winter Clothes Children]],Table_NFI[Winter Clothes Children])</f>
        <v>0</v>
      </c>
      <c r="AK1023" s="294">
        <f>IF(NFI_Expiration=1,IF($A1023&lt;VLOOKUP(T$5,NFI,5,0),1,0)*Table_NFI[[#This Row],[Winter Items Other]],Table_NFI[Winter Items Other])</f>
        <v>0</v>
      </c>
      <c r="AL1023" s="294">
        <f>IF(NFI_Expiration=1,IF($A1023&lt;VLOOKUP(M$5,NFI,5,0),1,0)*Table_NFI[[#This Row],[Winter Blanket]],Table_NFI[[#This Row],[Winter Blanket]])</f>
        <v>0</v>
      </c>
      <c r="AM1023" s="294">
        <f>IF(Table_NFI[[#This Row],[Winter Clothes Adult]]+Table_NFI[[#This Row],[Winter Clothes Children]]+Table_NFI[[#This Row],[Winter Items Other]]+Table_NFI[[#This Row],[Winter Blanket]]&gt;0,1,0)</f>
        <v>0</v>
      </c>
      <c r="AN1023" s="331">
        <f>IF(NFI_Expiration=1,IF($A1023&lt;VLOOKUP(V$5,NFI,5,0),1,0)*Table_NFI[[#This Row],[Jerry Can]],Table_NFI[Jerry Can])</f>
        <v>0</v>
      </c>
      <c r="AO1023" s="331">
        <f>IF(NFI_Expiration=1,IF($A1023&lt;VLOOKUP(V$5,NFI,5,0),1,0)*Table_NFI[[#This Row],[Shelter Tool kit]],Table_NFI[Shelter Tool kit])</f>
        <v>0</v>
      </c>
      <c r="AP1023" s="331">
        <f>IF(NFI_Expiration=1,IF($A1023&lt;VLOOKUP(V$5,NFI,5,0),1,0)*Table_NFI[[#This Row],[Tent]],Table_NFI[Tent])</f>
        <v>0</v>
      </c>
      <c r="AQ1023" s="473" t="str">
        <f>IFERROR(VLOOKUP(Table_NFI[[#This Row],[Camp Name]],CL,2,0),"")</f>
        <v>MMR001CMP071</v>
      </c>
      <c r="AR1023" s="468">
        <f ca="1">IF(Table_NFI[[#This Row],[Pcode]]="","",IF(OFFSET(CampList[Opening Date],MATCH(Table_NFI[[#This Row],[Pcode]],CampList[CP_Pcode],0)-1,0,1,1)&gt;=NFI_Monitor_Date,1,0))</f>
        <v>0</v>
      </c>
      <c r="AS1023" s="473" t="str">
        <f>IFERROR(VLOOKUP(Table_NFI[[#This Row],[Camp Name]],CL,3,0),"")</f>
        <v>Open</v>
      </c>
      <c r="AT1023" s="294" t="str">
        <f ca="1">IF(Table_NFI[[#This Row],[Pcode]]="","",OFFSET(CampList[Priority],MATCH(Table_NFI[[#This Row],[Pcode]],CampList[CP_Pcode],0)-1,0,1,1))</f>
        <v>P3</v>
      </c>
      <c r="AU1023" s="293">
        <f>IFERROR(Table_NFI[[#This Row],[Kitchen Set]]/VLOOKUP(Table_NFI[[#This Row],[Camp Name]],CL,4,0),"")</f>
        <v>0</v>
      </c>
      <c r="AV1023" s="466"/>
      <c r="AW1023" s="469"/>
    </row>
    <row r="1024" spans="1:49" s="470" customFormat="1" ht="14.45" customHeight="1" x14ac:dyDescent="0.25">
      <c r="A1024" s="297">
        <f t="shared" si="15"/>
        <v>57.1</v>
      </c>
      <c r="B1024" s="465">
        <v>40962</v>
      </c>
      <c r="C1024" s="466" t="s">
        <v>905</v>
      </c>
      <c r="D1024" s="466" t="s">
        <v>905</v>
      </c>
      <c r="E1024" s="466" t="s">
        <v>380</v>
      </c>
      <c r="F1024" s="466" t="s">
        <v>185</v>
      </c>
      <c r="G1024" s="290" t="s">
        <v>223</v>
      </c>
      <c r="H1024" s="294">
        <v>227</v>
      </c>
      <c r="I1024" s="291"/>
      <c r="J1024" s="291"/>
      <c r="K1024" s="291"/>
      <c r="L1024" s="292"/>
      <c r="M1024" s="292"/>
      <c r="N1024" s="292"/>
      <c r="O1024" s="292"/>
      <c r="P1024" s="294"/>
      <c r="Q1024" s="294"/>
      <c r="R1024" s="294"/>
      <c r="S1024" s="294"/>
      <c r="T1024" s="294"/>
      <c r="U1024" s="294"/>
      <c r="V1024" s="431"/>
      <c r="W1024" s="294"/>
      <c r="X1024" s="294"/>
      <c r="Y1024" s="294">
        <f>IF(NFI_Expiration=1,IF($A1024&lt;VLOOKUP(H$5,NFI,5,0),1,0)*Table_NFI[[#This Row],[Hygiene Kit]],Table_NFI[Hygiene Kit])</f>
        <v>0</v>
      </c>
      <c r="Z1024" s="294">
        <f>IF(NFI_Expiration=1,IF($A1024&lt;VLOOKUP(I$5,NFI,5,0),1,0)*Table_NFI[[#This Row],[NFI Core Kit]],Table_NFI[NFI Core Kit])</f>
        <v>0</v>
      </c>
      <c r="AA1024" s="294">
        <f>IF(NFI_Expiration=1,IF($A1024&lt;VLOOKUP(J$5,NFI,5,0),1,0)*Table_NFI[[#This Row],[Sanitary Kit]],Table_NFI[Sanitary Kit])</f>
        <v>0</v>
      </c>
      <c r="AB1024" s="294">
        <f>IF(NFI_Expiration=1,IF($A1024&lt;VLOOKUP(K$5,NFI,5,0),1,0)*Table_NFI[[#This Row],[Mosquito net]],Table_NFI[Mosquito net])</f>
        <v>0</v>
      </c>
      <c r="AC1024" s="294">
        <f>IF(NFI_Expiration=1,IF($A1024&lt;VLOOKUP(L$5,NFI,5,0),1,0)*Table_NFI[[#This Row],[Tarpaulin]],Table_NFI[[#This Row],[Tarpaulin]])</f>
        <v>0</v>
      </c>
      <c r="AD1024" s="294">
        <f>IF(NFI_Expiration=1,IF($A1024&lt;VLOOKUP(M$5,NFI,5,0),1,0)*Table_NFI[[#This Row],[Blanket]],Table_NFI[[#This Row],[Blanket]])</f>
        <v>0</v>
      </c>
      <c r="AE1024" s="294">
        <f>IF(NFI_Expiration=1,IF($A1024&lt;VLOOKUP(N$5,NFI,5,0),1,0)*Table_NFI[[#This Row],[Kitchen Set]],Table_NFI[Kitchen Set])</f>
        <v>0</v>
      </c>
      <c r="AF1024" s="294">
        <f>IF(NFI_Expiration=1,IF($A1024&lt;VLOOKUP(O$5,NFI,5,0),1,0)*Table_NFI[[#This Row],[Clothes Kit]],Table_NFI[Clothes Kit])</f>
        <v>0</v>
      </c>
      <c r="AG1024" s="294">
        <f>IF(NFI_Expiration=1,IF($A1024&lt;VLOOKUP(P$5,NFI,5,0),1,0)*Table_NFI[[#This Row],[Plastic Bucket]],Table_NFI[Plastic Bucket])</f>
        <v>0</v>
      </c>
      <c r="AH1024" s="294">
        <f>IF(NFI_Expiration=1,IF($A1024&lt;VLOOKUP(Q$5,NFI,5,0),1,0)*Table_NFI[[#This Row],[Plastic Mat]],Table_NFI[Plastic Mat])*IF(Table_NFI[[#This Row],[Distribution Date]]&gt;"2014-04-01",1,2.5)</f>
        <v>0</v>
      </c>
      <c r="AI1024" s="294">
        <f>IF(NFI_Expiration=1,IF($A1024&lt;VLOOKUP(R$5,NFI,5,0),1,0)*Table_NFI[[#This Row],[Winter Clothes Adult]],Table_NFI[Winter Clothes Adult])</f>
        <v>0</v>
      </c>
      <c r="AJ1024" s="294">
        <f>IF(NFI_Expiration=1,IF($A1024&lt;VLOOKUP(S$5,NFI,5,0),1,0)*Table_NFI[[#This Row],[Winter Clothes Children]],Table_NFI[Winter Clothes Children])</f>
        <v>0</v>
      </c>
      <c r="AK1024" s="294">
        <f>IF(NFI_Expiration=1,IF($A1024&lt;VLOOKUP(T$5,NFI,5,0),1,0)*Table_NFI[[#This Row],[Winter Items Other]],Table_NFI[Winter Items Other])</f>
        <v>0</v>
      </c>
      <c r="AL1024" s="294">
        <f>IF(NFI_Expiration=1,IF($A1024&lt;VLOOKUP(M$5,NFI,5,0),1,0)*Table_NFI[[#This Row],[Winter Blanket]],Table_NFI[[#This Row],[Winter Blanket]])</f>
        <v>0</v>
      </c>
      <c r="AM1024" s="294">
        <f>IF(Table_NFI[[#This Row],[Winter Clothes Adult]]+Table_NFI[[#This Row],[Winter Clothes Children]]+Table_NFI[[#This Row],[Winter Items Other]]+Table_NFI[[#This Row],[Winter Blanket]]&gt;0,1,0)</f>
        <v>0</v>
      </c>
      <c r="AN1024" s="331">
        <f>IF(NFI_Expiration=1,IF($A1024&lt;VLOOKUP(V$5,NFI,5,0),1,0)*Table_NFI[[#This Row],[Jerry Can]],Table_NFI[Jerry Can])</f>
        <v>0</v>
      </c>
      <c r="AO1024" s="331">
        <f>IF(NFI_Expiration=1,IF($A1024&lt;VLOOKUP(V$5,NFI,5,0),1,0)*Table_NFI[[#This Row],[Shelter Tool kit]],Table_NFI[Shelter Tool kit])</f>
        <v>0</v>
      </c>
      <c r="AP1024" s="331">
        <f>IF(NFI_Expiration=1,IF($A1024&lt;VLOOKUP(V$5,NFI,5,0),1,0)*Table_NFI[[#This Row],[Tent]],Table_NFI[Tent])</f>
        <v>0</v>
      </c>
      <c r="AQ1024" s="473" t="str">
        <f>IFERROR(VLOOKUP(Table_NFI[[#This Row],[Camp Name]],CL,2,0),"")</f>
        <v>MMR001CMP069</v>
      </c>
      <c r="AR1024" s="468">
        <f ca="1">IF(Table_NFI[[#This Row],[Pcode]]="","",IF(OFFSET(CampList[Opening Date],MATCH(Table_NFI[[#This Row],[Pcode]],CampList[CP_Pcode],0)-1,0,1,1)&gt;=NFI_Monitor_Date,1,0))</f>
        <v>0</v>
      </c>
      <c r="AS1024" s="473" t="str">
        <f>IFERROR(VLOOKUP(Table_NFI[[#This Row],[Camp Name]],CL,3,0),"")</f>
        <v>Open</v>
      </c>
      <c r="AT1024" s="294" t="str">
        <f ca="1">IF(Table_NFI[[#This Row],[Pcode]]="","",OFFSET(CampList[Priority],MATCH(Table_NFI[[#This Row],[Pcode]],CampList[CP_Pcode],0)-1,0,1,1))</f>
        <v>P3</v>
      </c>
      <c r="AU1024" s="293">
        <f>IFERROR(Table_NFI[[#This Row],[Kitchen Set]]/VLOOKUP(Table_NFI[[#This Row],[Camp Name]],CL,4,0),"")</f>
        <v>0</v>
      </c>
      <c r="AV1024" s="466"/>
      <c r="AW1024" s="469"/>
    </row>
    <row r="1025" spans="1:49" s="470" customFormat="1" ht="14.45" customHeight="1" x14ac:dyDescent="0.25">
      <c r="A1025" s="297">
        <f t="shared" si="15"/>
        <v>57.133333333333333</v>
      </c>
      <c r="B1025" s="465">
        <v>40961</v>
      </c>
      <c r="C1025" s="466" t="s">
        <v>452</v>
      </c>
      <c r="D1025" s="466" t="s">
        <v>505</v>
      </c>
      <c r="E1025" s="466" t="s">
        <v>380</v>
      </c>
      <c r="F1025" s="466" t="s">
        <v>185</v>
      </c>
      <c r="G1025" s="466" t="s">
        <v>217</v>
      </c>
      <c r="H1025" s="294">
        <v>149</v>
      </c>
      <c r="I1025" s="294"/>
      <c r="J1025" s="294"/>
      <c r="K1025" s="294"/>
      <c r="L1025" s="292"/>
      <c r="M1025" s="292"/>
      <c r="N1025" s="292"/>
      <c r="O1025" s="292"/>
      <c r="P1025" s="294"/>
      <c r="Q1025" s="294"/>
      <c r="R1025" s="294"/>
      <c r="S1025" s="294"/>
      <c r="T1025" s="294"/>
      <c r="U1025" s="294"/>
      <c r="V1025" s="431"/>
      <c r="W1025" s="294"/>
      <c r="X1025" s="294"/>
      <c r="Y1025" s="294">
        <f>IF(NFI_Expiration=1,IF($A1025&lt;VLOOKUP(H$5,NFI,5,0),1,0)*Table_NFI[[#This Row],[Hygiene Kit]],Table_NFI[Hygiene Kit])</f>
        <v>0</v>
      </c>
      <c r="Z1025" s="294">
        <f>IF(NFI_Expiration=1,IF($A1025&lt;VLOOKUP(I$5,NFI,5,0),1,0)*Table_NFI[[#This Row],[NFI Core Kit]],Table_NFI[NFI Core Kit])</f>
        <v>0</v>
      </c>
      <c r="AA1025" s="294">
        <f>IF(NFI_Expiration=1,IF($A1025&lt;VLOOKUP(J$5,NFI,5,0),1,0)*Table_NFI[[#This Row],[Sanitary Kit]],Table_NFI[Sanitary Kit])</f>
        <v>0</v>
      </c>
      <c r="AB1025" s="294">
        <f>IF(NFI_Expiration=1,IF($A1025&lt;VLOOKUP(K$5,NFI,5,0),1,0)*Table_NFI[[#This Row],[Mosquito net]],Table_NFI[Mosquito net])</f>
        <v>0</v>
      </c>
      <c r="AC1025" s="294">
        <f>IF(NFI_Expiration=1,IF($A1025&lt;VLOOKUP(L$5,NFI,5,0),1,0)*Table_NFI[[#This Row],[Tarpaulin]],Table_NFI[[#This Row],[Tarpaulin]])</f>
        <v>0</v>
      </c>
      <c r="AD1025" s="294">
        <f>IF(NFI_Expiration=1,IF($A1025&lt;VLOOKUP(M$5,NFI,5,0),1,0)*Table_NFI[[#This Row],[Blanket]],Table_NFI[[#This Row],[Blanket]])</f>
        <v>0</v>
      </c>
      <c r="AE1025" s="294">
        <f>IF(NFI_Expiration=1,IF($A1025&lt;VLOOKUP(N$5,NFI,5,0),1,0)*Table_NFI[[#This Row],[Kitchen Set]],Table_NFI[Kitchen Set])</f>
        <v>0</v>
      </c>
      <c r="AF1025" s="294">
        <f>IF(NFI_Expiration=1,IF($A1025&lt;VLOOKUP(O$5,NFI,5,0),1,0)*Table_NFI[[#This Row],[Clothes Kit]],Table_NFI[Clothes Kit])</f>
        <v>0</v>
      </c>
      <c r="AG1025" s="294">
        <f>IF(NFI_Expiration=1,IF($A1025&lt;VLOOKUP(P$5,NFI,5,0),1,0)*Table_NFI[[#This Row],[Plastic Bucket]],Table_NFI[Plastic Bucket])</f>
        <v>0</v>
      </c>
      <c r="AH1025" s="294">
        <f>IF(NFI_Expiration=1,IF($A1025&lt;VLOOKUP(Q$5,NFI,5,0),1,0)*Table_NFI[[#This Row],[Plastic Mat]],Table_NFI[Plastic Mat])*IF(Table_NFI[[#This Row],[Distribution Date]]&gt;"2014-04-01",1,2.5)</f>
        <v>0</v>
      </c>
      <c r="AI1025" s="294">
        <f>IF(NFI_Expiration=1,IF($A1025&lt;VLOOKUP(R$5,NFI,5,0),1,0)*Table_NFI[[#This Row],[Winter Clothes Adult]],Table_NFI[Winter Clothes Adult])</f>
        <v>0</v>
      </c>
      <c r="AJ1025" s="294">
        <f>IF(NFI_Expiration=1,IF($A1025&lt;VLOOKUP(S$5,NFI,5,0),1,0)*Table_NFI[[#This Row],[Winter Clothes Children]],Table_NFI[Winter Clothes Children])</f>
        <v>0</v>
      </c>
      <c r="AK1025" s="294">
        <f>IF(NFI_Expiration=1,IF($A1025&lt;VLOOKUP(T$5,NFI,5,0),1,0)*Table_NFI[[#This Row],[Winter Items Other]],Table_NFI[Winter Items Other])</f>
        <v>0</v>
      </c>
      <c r="AL1025" s="294">
        <f>IF(NFI_Expiration=1,IF($A1025&lt;VLOOKUP(M$5,NFI,5,0),1,0)*Table_NFI[[#This Row],[Winter Blanket]],Table_NFI[[#This Row],[Winter Blanket]])</f>
        <v>0</v>
      </c>
      <c r="AM1025" s="294">
        <f>IF(Table_NFI[[#This Row],[Winter Clothes Adult]]+Table_NFI[[#This Row],[Winter Clothes Children]]+Table_NFI[[#This Row],[Winter Items Other]]+Table_NFI[[#This Row],[Winter Blanket]]&gt;0,1,0)</f>
        <v>0</v>
      </c>
      <c r="AN1025" s="331">
        <f>IF(NFI_Expiration=1,IF($A1025&lt;VLOOKUP(V$5,NFI,5,0),1,0)*Table_NFI[[#This Row],[Jerry Can]],Table_NFI[Jerry Can])</f>
        <v>0</v>
      </c>
      <c r="AO1025" s="331">
        <f>IF(NFI_Expiration=1,IF($A1025&lt;VLOOKUP(V$5,NFI,5,0),1,0)*Table_NFI[[#This Row],[Shelter Tool kit]],Table_NFI[Shelter Tool kit])</f>
        <v>0</v>
      </c>
      <c r="AP1025" s="331">
        <f>IF(NFI_Expiration=1,IF($A1025&lt;VLOOKUP(V$5,NFI,5,0),1,0)*Table_NFI[[#This Row],[Tent]],Table_NFI[Tent])</f>
        <v>0</v>
      </c>
      <c r="AQ1025" s="473" t="str">
        <f>IFERROR(VLOOKUP(Table_NFI[[#This Row],[Camp Name]],CL,2,0),"")</f>
        <v>MMR001CMP059</v>
      </c>
      <c r="AR1025" s="468">
        <f ca="1">IF(Table_NFI[[#This Row],[Pcode]]="","",IF(OFFSET(CampList[Opening Date],MATCH(Table_NFI[[#This Row],[Pcode]],CampList[CP_Pcode],0)-1,0,1,1)&gt;=NFI_Monitor_Date,1,0))</f>
        <v>0</v>
      </c>
      <c r="AS1025" s="473" t="str">
        <f>IFERROR(VLOOKUP(Table_NFI[[#This Row],[Camp Name]],CL,3,0),"")</f>
        <v>Closed</v>
      </c>
      <c r="AT1025" s="294" t="str">
        <f ca="1">IF(Table_NFI[[#This Row],[Pcode]]="","",OFFSET(CampList[Priority],MATCH(Table_NFI[[#This Row],[Pcode]],CampList[CP_Pcode],0)-1,0,1,1))</f>
        <v>P4</v>
      </c>
      <c r="AU1025" s="293" t="str">
        <f>IFERROR(Table_NFI[[#This Row],[Kitchen Set]]/VLOOKUP(Table_NFI[[#This Row],[Camp Name]],CL,4,0),"")</f>
        <v/>
      </c>
      <c r="AV1025" s="466"/>
      <c r="AW1025" s="469"/>
    </row>
    <row r="1026" spans="1:49" s="98" customFormat="1" ht="14.45" customHeight="1" x14ac:dyDescent="0.25">
      <c r="A1026" s="297">
        <f t="shared" si="15"/>
        <v>57.133333333333333</v>
      </c>
      <c r="B1026" s="465">
        <v>40961</v>
      </c>
      <c r="C1026" s="466" t="s">
        <v>905</v>
      </c>
      <c r="D1026" s="466" t="s">
        <v>905</v>
      </c>
      <c r="E1026" s="466" t="s">
        <v>380</v>
      </c>
      <c r="F1026" s="466" t="s">
        <v>185</v>
      </c>
      <c r="G1026" s="290" t="s">
        <v>217</v>
      </c>
      <c r="H1026" s="294">
        <v>149</v>
      </c>
      <c r="I1026" s="291"/>
      <c r="J1026" s="292"/>
      <c r="K1026" s="291"/>
      <c r="L1026" s="292"/>
      <c r="M1026" s="292"/>
      <c r="N1026" s="292"/>
      <c r="O1026" s="292"/>
      <c r="P1026" s="294"/>
      <c r="Q1026" s="294"/>
      <c r="R1026" s="294"/>
      <c r="S1026" s="294"/>
      <c r="T1026" s="294"/>
      <c r="U1026" s="294"/>
      <c r="V1026" s="431"/>
      <c r="W1026" s="294"/>
      <c r="X1026" s="294"/>
      <c r="Y1026" s="294">
        <f>IF(NFI_Expiration=1,IF($A1026&lt;VLOOKUP(H$5,NFI,5,0),1,0)*Table_NFI[[#This Row],[Hygiene Kit]],Table_NFI[Hygiene Kit])</f>
        <v>0</v>
      </c>
      <c r="Z1026" s="294">
        <f>IF(NFI_Expiration=1,IF($A1026&lt;VLOOKUP(I$5,NFI,5,0),1,0)*Table_NFI[[#This Row],[NFI Core Kit]],Table_NFI[NFI Core Kit])</f>
        <v>0</v>
      </c>
      <c r="AA1026" s="294">
        <f>IF(NFI_Expiration=1,IF($A1026&lt;VLOOKUP(J$5,NFI,5,0),1,0)*Table_NFI[[#This Row],[Sanitary Kit]],Table_NFI[Sanitary Kit])</f>
        <v>0</v>
      </c>
      <c r="AB1026" s="294">
        <f>IF(NFI_Expiration=1,IF($A1026&lt;VLOOKUP(K$5,NFI,5,0),1,0)*Table_NFI[[#This Row],[Mosquito net]],Table_NFI[Mosquito net])</f>
        <v>0</v>
      </c>
      <c r="AC1026" s="294">
        <f>IF(NFI_Expiration=1,IF($A1026&lt;VLOOKUP(L$5,NFI,5,0),1,0)*Table_NFI[[#This Row],[Tarpaulin]],Table_NFI[[#This Row],[Tarpaulin]])</f>
        <v>0</v>
      </c>
      <c r="AD1026" s="294">
        <f>IF(NFI_Expiration=1,IF($A1026&lt;VLOOKUP(M$5,NFI,5,0),1,0)*Table_NFI[[#This Row],[Blanket]],Table_NFI[[#This Row],[Blanket]])</f>
        <v>0</v>
      </c>
      <c r="AE1026" s="294">
        <f>IF(NFI_Expiration=1,IF($A1026&lt;VLOOKUP(N$5,NFI,5,0),1,0)*Table_NFI[[#This Row],[Kitchen Set]],Table_NFI[Kitchen Set])</f>
        <v>0</v>
      </c>
      <c r="AF1026" s="294">
        <f>IF(NFI_Expiration=1,IF($A1026&lt;VLOOKUP(O$5,NFI,5,0),1,0)*Table_NFI[[#This Row],[Clothes Kit]],Table_NFI[Clothes Kit])</f>
        <v>0</v>
      </c>
      <c r="AG1026" s="294">
        <f>IF(NFI_Expiration=1,IF($A1026&lt;VLOOKUP(P$5,NFI,5,0),1,0)*Table_NFI[[#This Row],[Plastic Bucket]],Table_NFI[Plastic Bucket])</f>
        <v>0</v>
      </c>
      <c r="AH1026" s="294">
        <f>IF(NFI_Expiration=1,IF($A1026&lt;VLOOKUP(Q$5,NFI,5,0),1,0)*Table_NFI[[#This Row],[Plastic Mat]],Table_NFI[Plastic Mat])*IF(Table_NFI[[#This Row],[Distribution Date]]&gt;"2014-04-01",1,2.5)</f>
        <v>0</v>
      </c>
      <c r="AI1026" s="294">
        <f>IF(NFI_Expiration=1,IF($A1026&lt;VLOOKUP(R$5,NFI,5,0),1,0)*Table_NFI[[#This Row],[Winter Clothes Adult]],Table_NFI[Winter Clothes Adult])</f>
        <v>0</v>
      </c>
      <c r="AJ1026" s="294">
        <f>IF(NFI_Expiration=1,IF($A1026&lt;VLOOKUP(S$5,NFI,5,0),1,0)*Table_NFI[[#This Row],[Winter Clothes Children]],Table_NFI[Winter Clothes Children])</f>
        <v>0</v>
      </c>
      <c r="AK1026" s="294">
        <f>IF(NFI_Expiration=1,IF($A1026&lt;VLOOKUP(T$5,NFI,5,0),1,0)*Table_NFI[[#This Row],[Winter Items Other]],Table_NFI[Winter Items Other])</f>
        <v>0</v>
      </c>
      <c r="AL1026" s="294">
        <f>IF(NFI_Expiration=1,IF($A1026&lt;VLOOKUP(M$5,NFI,5,0),1,0)*Table_NFI[[#This Row],[Winter Blanket]],Table_NFI[[#This Row],[Winter Blanket]])</f>
        <v>0</v>
      </c>
      <c r="AM1026" s="294">
        <f>IF(Table_NFI[[#This Row],[Winter Clothes Adult]]+Table_NFI[[#This Row],[Winter Clothes Children]]+Table_NFI[[#This Row],[Winter Items Other]]+Table_NFI[[#This Row],[Winter Blanket]]&gt;0,1,0)</f>
        <v>0</v>
      </c>
      <c r="AN1026" s="331">
        <f>IF(NFI_Expiration=1,IF($A1026&lt;VLOOKUP(V$5,NFI,5,0),1,0)*Table_NFI[[#This Row],[Jerry Can]],Table_NFI[Jerry Can])</f>
        <v>0</v>
      </c>
      <c r="AO1026" s="331">
        <f>IF(NFI_Expiration=1,IF($A1026&lt;VLOOKUP(V$5,NFI,5,0),1,0)*Table_NFI[[#This Row],[Shelter Tool kit]],Table_NFI[Shelter Tool kit])</f>
        <v>0</v>
      </c>
      <c r="AP1026" s="331">
        <f>IF(NFI_Expiration=1,IF($A1026&lt;VLOOKUP(V$5,NFI,5,0),1,0)*Table_NFI[[#This Row],[Tent]],Table_NFI[Tent])</f>
        <v>0</v>
      </c>
      <c r="AQ1026" s="473" t="str">
        <f>IFERROR(VLOOKUP(Table_NFI[[#This Row],[Camp Name]],CL,2,0),"")</f>
        <v>MMR001CMP059</v>
      </c>
      <c r="AR1026" s="468">
        <f ca="1">IF(Table_NFI[[#This Row],[Pcode]]="","",IF(OFFSET(CampList[Opening Date],MATCH(Table_NFI[[#This Row],[Pcode]],CampList[CP_Pcode],0)-1,0,1,1)&gt;=NFI_Monitor_Date,1,0))</f>
        <v>0</v>
      </c>
      <c r="AS1026" s="473" t="str">
        <f>IFERROR(VLOOKUP(Table_NFI[[#This Row],[Camp Name]],CL,3,0),"")</f>
        <v>Closed</v>
      </c>
      <c r="AT1026" s="294" t="str">
        <f ca="1">IF(Table_NFI[[#This Row],[Pcode]]="","",OFFSET(CampList[Priority],MATCH(Table_NFI[[#This Row],[Pcode]],CampList[CP_Pcode],0)-1,0,1,1))</f>
        <v>P4</v>
      </c>
      <c r="AU1026" s="293" t="str">
        <f>IFERROR(Table_NFI[[#This Row],[Kitchen Set]]/VLOOKUP(Table_NFI[[#This Row],[Camp Name]],CL,4,0),"")</f>
        <v/>
      </c>
      <c r="AV1026" s="466"/>
      <c r="AW1026" s="469"/>
    </row>
    <row r="1027" spans="1:49" s="470" customFormat="1" ht="14.45" customHeight="1" x14ac:dyDescent="0.25">
      <c r="A1027" s="297">
        <f t="shared" si="15"/>
        <v>57.133333333333333</v>
      </c>
      <c r="B1027" s="465">
        <v>40961</v>
      </c>
      <c r="C1027" s="466" t="s">
        <v>905</v>
      </c>
      <c r="D1027" s="466" t="s">
        <v>905</v>
      </c>
      <c r="E1027" s="466" t="s">
        <v>380</v>
      </c>
      <c r="F1027" s="466" t="s">
        <v>5</v>
      </c>
      <c r="G1027" s="466" t="s">
        <v>1431</v>
      </c>
      <c r="H1027" s="294">
        <v>23</v>
      </c>
      <c r="I1027" s="291"/>
      <c r="J1027" s="292"/>
      <c r="K1027" s="291"/>
      <c r="L1027" s="292"/>
      <c r="M1027" s="292"/>
      <c r="N1027" s="292"/>
      <c r="O1027" s="292"/>
      <c r="P1027" s="294"/>
      <c r="Q1027" s="294"/>
      <c r="R1027" s="294"/>
      <c r="S1027" s="294"/>
      <c r="T1027" s="294"/>
      <c r="U1027" s="294"/>
      <c r="V1027" s="431"/>
      <c r="W1027" s="294"/>
      <c r="X1027" s="294"/>
      <c r="Y1027" s="294">
        <f>IF(NFI_Expiration=1,IF($A1027&lt;VLOOKUP(H$5,NFI,5,0),1,0)*Table_NFI[[#This Row],[Hygiene Kit]],Table_NFI[Hygiene Kit])</f>
        <v>0</v>
      </c>
      <c r="Z1027" s="294">
        <f>IF(NFI_Expiration=1,IF($A1027&lt;VLOOKUP(I$5,NFI,5,0),1,0)*Table_NFI[[#This Row],[NFI Core Kit]],Table_NFI[NFI Core Kit])</f>
        <v>0</v>
      </c>
      <c r="AA1027" s="294">
        <f>IF(NFI_Expiration=1,IF($A1027&lt;VLOOKUP(J$5,NFI,5,0),1,0)*Table_NFI[[#This Row],[Sanitary Kit]],Table_NFI[Sanitary Kit])</f>
        <v>0</v>
      </c>
      <c r="AB1027" s="294">
        <f>IF(NFI_Expiration=1,IF($A1027&lt;VLOOKUP(K$5,NFI,5,0),1,0)*Table_NFI[[#This Row],[Mosquito net]],Table_NFI[Mosquito net])</f>
        <v>0</v>
      </c>
      <c r="AC1027" s="294">
        <f>IF(NFI_Expiration=1,IF($A1027&lt;VLOOKUP(L$5,NFI,5,0),1,0)*Table_NFI[[#This Row],[Tarpaulin]],Table_NFI[[#This Row],[Tarpaulin]])</f>
        <v>0</v>
      </c>
      <c r="AD1027" s="294">
        <f>IF(NFI_Expiration=1,IF($A1027&lt;VLOOKUP(M$5,NFI,5,0),1,0)*Table_NFI[[#This Row],[Blanket]],Table_NFI[[#This Row],[Blanket]])</f>
        <v>0</v>
      </c>
      <c r="AE1027" s="294">
        <f>IF(NFI_Expiration=1,IF($A1027&lt;VLOOKUP(N$5,NFI,5,0),1,0)*Table_NFI[[#This Row],[Kitchen Set]],Table_NFI[Kitchen Set])</f>
        <v>0</v>
      </c>
      <c r="AF1027" s="294">
        <f>IF(NFI_Expiration=1,IF($A1027&lt;VLOOKUP(O$5,NFI,5,0),1,0)*Table_NFI[[#This Row],[Clothes Kit]],Table_NFI[Clothes Kit])</f>
        <v>0</v>
      </c>
      <c r="AG1027" s="294">
        <f>IF(NFI_Expiration=1,IF($A1027&lt;VLOOKUP(P$5,NFI,5,0),1,0)*Table_NFI[[#This Row],[Plastic Bucket]],Table_NFI[Plastic Bucket])</f>
        <v>0</v>
      </c>
      <c r="AH1027" s="294">
        <f>IF(NFI_Expiration=1,IF($A1027&lt;VLOOKUP(Q$5,NFI,5,0),1,0)*Table_NFI[[#This Row],[Plastic Mat]],Table_NFI[Plastic Mat])*IF(Table_NFI[[#This Row],[Distribution Date]]&gt;"2014-04-01",1,2.5)</f>
        <v>0</v>
      </c>
      <c r="AI1027" s="294">
        <f>IF(NFI_Expiration=1,IF($A1027&lt;VLOOKUP(R$5,NFI,5,0),1,0)*Table_NFI[[#This Row],[Winter Clothes Adult]],Table_NFI[Winter Clothes Adult])</f>
        <v>0</v>
      </c>
      <c r="AJ1027" s="294">
        <f>IF(NFI_Expiration=1,IF($A1027&lt;VLOOKUP(S$5,NFI,5,0),1,0)*Table_NFI[[#This Row],[Winter Clothes Children]],Table_NFI[Winter Clothes Children])</f>
        <v>0</v>
      </c>
      <c r="AK1027" s="294">
        <f>IF(NFI_Expiration=1,IF($A1027&lt;VLOOKUP(T$5,NFI,5,0),1,0)*Table_NFI[[#This Row],[Winter Items Other]],Table_NFI[Winter Items Other])</f>
        <v>0</v>
      </c>
      <c r="AL1027" s="294">
        <f>IF(NFI_Expiration=1,IF($A1027&lt;VLOOKUP(M$5,NFI,5,0),1,0)*Table_NFI[[#This Row],[Winter Blanket]],Table_NFI[[#This Row],[Winter Blanket]])</f>
        <v>0</v>
      </c>
      <c r="AM1027" s="294">
        <f>IF(Table_NFI[[#This Row],[Winter Clothes Adult]]+Table_NFI[[#This Row],[Winter Clothes Children]]+Table_NFI[[#This Row],[Winter Items Other]]+Table_NFI[[#This Row],[Winter Blanket]]&gt;0,1,0)</f>
        <v>0</v>
      </c>
      <c r="AN1027" s="331">
        <f>IF(NFI_Expiration=1,IF($A1027&lt;VLOOKUP(V$5,NFI,5,0),1,0)*Table_NFI[[#This Row],[Jerry Can]],Table_NFI[Jerry Can])</f>
        <v>0</v>
      </c>
      <c r="AO1027" s="331">
        <f>IF(NFI_Expiration=1,IF($A1027&lt;VLOOKUP(V$5,NFI,5,0),1,0)*Table_NFI[[#This Row],[Shelter Tool kit]],Table_NFI[Shelter Tool kit])</f>
        <v>0</v>
      </c>
      <c r="AP1027" s="331">
        <f>IF(NFI_Expiration=1,IF($A1027&lt;VLOOKUP(V$5,NFI,5,0),1,0)*Table_NFI[[#This Row],[Tent]],Table_NFI[Tent])</f>
        <v>0</v>
      </c>
      <c r="AQ1027" s="473" t="str">
        <f>IFERROR(VLOOKUP(Table_NFI[[#This Row],[Camp Name]],CL,2,0),"")</f>
        <v/>
      </c>
      <c r="AR1027" s="468" t="str">
        <f ca="1">IF(Table_NFI[[#This Row],[Pcode]]="","",IF(OFFSET(CampList[Opening Date],MATCH(Table_NFI[[#This Row],[Pcode]],CampList[CP_Pcode],0)-1,0,1,1)&gt;=NFI_Monitor_Date,1,0))</f>
        <v/>
      </c>
      <c r="AS1027" s="473" t="str">
        <f>IFERROR(VLOOKUP(Table_NFI[[#This Row],[Camp Name]],CL,3,0),"")</f>
        <v/>
      </c>
      <c r="AT1027" s="294" t="str">
        <f ca="1">IF(Table_NFI[[#This Row],[Pcode]]="","",OFFSET(CampList[Priority],MATCH(Table_NFI[[#This Row],[Pcode]],CampList[CP_Pcode],0)-1,0,1,1))</f>
        <v/>
      </c>
      <c r="AU1027" s="293" t="str">
        <f>IFERROR(Table_NFI[[#This Row],[Kitchen Set]]/VLOOKUP(Table_NFI[[#This Row],[Camp Name]],CL,4,0),"")</f>
        <v/>
      </c>
      <c r="AV1027" s="466"/>
      <c r="AW1027" s="469"/>
    </row>
    <row r="1028" spans="1:49" s="470" customFormat="1" ht="14.45" customHeight="1" x14ac:dyDescent="0.25">
      <c r="A1028" s="297">
        <f t="shared" si="15"/>
        <v>57.3</v>
      </c>
      <c r="B1028" s="465">
        <v>40956</v>
      </c>
      <c r="C1028" s="466" t="s">
        <v>905</v>
      </c>
      <c r="D1028" s="467" t="s">
        <v>905</v>
      </c>
      <c r="E1028" s="466" t="s">
        <v>380</v>
      </c>
      <c r="F1028" s="290" t="s">
        <v>5</v>
      </c>
      <c r="G1028" s="290" t="s">
        <v>14</v>
      </c>
      <c r="H1028" s="294">
        <v>240</v>
      </c>
      <c r="I1028" s="291"/>
      <c r="J1028" s="291"/>
      <c r="K1028" s="291"/>
      <c r="L1028" s="292"/>
      <c r="M1028" s="292"/>
      <c r="N1028" s="292"/>
      <c r="O1028" s="292"/>
      <c r="P1028" s="294"/>
      <c r="Q1028" s="294"/>
      <c r="R1028" s="294"/>
      <c r="S1028" s="294"/>
      <c r="T1028" s="294"/>
      <c r="U1028" s="294"/>
      <c r="V1028" s="431"/>
      <c r="W1028" s="294"/>
      <c r="X1028" s="294"/>
      <c r="Y1028" s="294">
        <f>IF(NFI_Expiration=1,IF($A1028&lt;VLOOKUP(H$5,NFI,5,0),1,0)*Table_NFI[[#This Row],[Hygiene Kit]],Table_NFI[Hygiene Kit])</f>
        <v>0</v>
      </c>
      <c r="Z1028" s="294">
        <f>IF(NFI_Expiration=1,IF($A1028&lt;VLOOKUP(I$5,NFI,5,0),1,0)*Table_NFI[[#This Row],[NFI Core Kit]],Table_NFI[NFI Core Kit])</f>
        <v>0</v>
      </c>
      <c r="AA1028" s="294">
        <f>IF(NFI_Expiration=1,IF($A1028&lt;VLOOKUP(J$5,NFI,5,0),1,0)*Table_NFI[[#This Row],[Sanitary Kit]],Table_NFI[Sanitary Kit])</f>
        <v>0</v>
      </c>
      <c r="AB1028" s="294">
        <f>IF(NFI_Expiration=1,IF($A1028&lt;VLOOKUP(K$5,NFI,5,0),1,0)*Table_NFI[[#This Row],[Mosquito net]],Table_NFI[Mosquito net])</f>
        <v>0</v>
      </c>
      <c r="AC1028" s="294">
        <f>IF(NFI_Expiration=1,IF($A1028&lt;VLOOKUP(L$5,NFI,5,0),1,0)*Table_NFI[[#This Row],[Tarpaulin]],Table_NFI[[#This Row],[Tarpaulin]])</f>
        <v>0</v>
      </c>
      <c r="AD1028" s="294">
        <f>IF(NFI_Expiration=1,IF($A1028&lt;VLOOKUP(M$5,NFI,5,0),1,0)*Table_NFI[[#This Row],[Blanket]],Table_NFI[[#This Row],[Blanket]])</f>
        <v>0</v>
      </c>
      <c r="AE1028" s="294">
        <f>IF(NFI_Expiration=1,IF($A1028&lt;VLOOKUP(N$5,NFI,5,0),1,0)*Table_NFI[[#This Row],[Kitchen Set]],Table_NFI[Kitchen Set])</f>
        <v>0</v>
      </c>
      <c r="AF1028" s="294">
        <f>IF(NFI_Expiration=1,IF($A1028&lt;VLOOKUP(O$5,NFI,5,0),1,0)*Table_NFI[[#This Row],[Clothes Kit]],Table_NFI[Clothes Kit])</f>
        <v>0</v>
      </c>
      <c r="AG1028" s="294">
        <f>IF(NFI_Expiration=1,IF($A1028&lt;VLOOKUP(P$5,NFI,5,0),1,0)*Table_NFI[[#This Row],[Plastic Bucket]],Table_NFI[Plastic Bucket])</f>
        <v>0</v>
      </c>
      <c r="AH1028" s="294">
        <f>IF(NFI_Expiration=1,IF($A1028&lt;VLOOKUP(Q$5,NFI,5,0),1,0)*Table_NFI[[#This Row],[Plastic Mat]],Table_NFI[Plastic Mat])*IF(Table_NFI[[#This Row],[Distribution Date]]&gt;"2014-04-01",1,2.5)</f>
        <v>0</v>
      </c>
      <c r="AI1028" s="294">
        <f>IF(NFI_Expiration=1,IF($A1028&lt;VLOOKUP(R$5,NFI,5,0),1,0)*Table_NFI[[#This Row],[Winter Clothes Adult]],Table_NFI[Winter Clothes Adult])</f>
        <v>0</v>
      </c>
      <c r="AJ1028" s="294">
        <f>IF(NFI_Expiration=1,IF($A1028&lt;VLOOKUP(S$5,NFI,5,0),1,0)*Table_NFI[[#This Row],[Winter Clothes Children]],Table_NFI[Winter Clothes Children])</f>
        <v>0</v>
      </c>
      <c r="AK1028" s="294">
        <f>IF(NFI_Expiration=1,IF($A1028&lt;VLOOKUP(T$5,NFI,5,0),1,0)*Table_NFI[[#This Row],[Winter Items Other]],Table_NFI[Winter Items Other])</f>
        <v>0</v>
      </c>
      <c r="AL1028" s="294">
        <f>IF(NFI_Expiration=1,IF($A1028&lt;VLOOKUP(M$5,NFI,5,0),1,0)*Table_NFI[[#This Row],[Winter Blanket]],Table_NFI[[#This Row],[Winter Blanket]])</f>
        <v>0</v>
      </c>
      <c r="AM1028" s="294">
        <f>IF(Table_NFI[[#This Row],[Winter Clothes Adult]]+Table_NFI[[#This Row],[Winter Clothes Children]]+Table_NFI[[#This Row],[Winter Items Other]]+Table_NFI[[#This Row],[Winter Blanket]]&gt;0,1,0)</f>
        <v>0</v>
      </c>
      <c r="AN1028" s="331">
        <f>IF(NFI_Expiration=1,IF($A1028&lt;VLOOKUP(V$5,NFI,5,0),1,0)*Table_NFI[[#This Row],[Jerry Can]],Table_NFI[Jerry Can])</f>
        <v>0</v>
      </c>
      <c r="AO1028" s="331">
        <f>IF(NFI_Expiration=1,IF($A1028&lt;VLOOKUP(V$5,NFI,5,0),1,0)*Table_NFI[[#This Row],[Shelter Tool kit]],Table_NFI[Shelter Tool kit])</f>
        <v>0</v>
      </c>
      <c r="AP1028" s="331">
        <f>IF(NFI_Expiration=1,IF($A1028&lt;VLOOKUP(V$5,NFI,5,0),1,0)*Table_NFI[[#This Row],[Tent]],Table_NFI[Tent])</f>
        <v>0</v>
      </c>
      <c r="AQ1028" s="473" t="str">
        <f>IFERROR(VLOOKUP(Table_NFI[[#This Row],[Camp Name]],CL,2,0),"")</f>
        <v>MMR001CMP052</v>
      </c>
      <c r="AR1028" s="468">
        <f ca="1">IF(Table_NFI[[#This Row],[Pcode]]="","",IF(OFFSET(CampList[Opening Date],MATCH(Table_NFI[[#This Row],[Pcode]],CampList[CP_Pcode],0)-1,0,1,1)&gt;=NFI_Monitor_Date,1,0))</f>
        <v>0</v>
      </c>
      <c r="AS1028" s="473" t="str">
        <f>IFERROR(VLOOKUP(Table_NFI[[#This Row],[Camp Name]],CL,3,0),"")</f>
        <v>Open</v>
      </c>
      <c r="AT1028" s="294" t="str">
        <f ca="1">IF(Table_NFI[[#This Row],[Pcode]]="","",OFFSET(CampList[Priority],MATCH(Table_NFI[[#This Row],[Pcode]],CampList[CP_Pcode],0)-1,0,1,1))</f>
        <v>P4</v>
      </c>
      <c r="AU1028" s="293">
        <f>IFERROR(Table_NFI[[#This Row],[Kitchen Set]]/VLOOKUP(Table_NFI[[#This Row],[Camp Name]],CL,4,0),"")</f>
        <v>0</v>
      </c>
      <c r="AV1028" s="466"/>
      <c r="AW1028" s="469"/>
    </row>
    <row r="1029" spans="1:49" s="470" customFormat="1" ht="14.45" customHeight="1" x14ac:dyDescent="0.25">
      <c r="A1029" s="297">
        <f t="shared" si="15"/>
        <v>57.366666666666667</v>
      </c>
      <c r="B1029" s="465">
        <v>40954</v>
      </c>
      <c r="C1029" s="467" t="s">
        <v>905</v>
      </c>
      <c r="D1029" s="467" t="s">
        <v>905</v>
      </c>
      <c r="E1029" s="466" t="s">
        <v>380</v>
      </c>
      <c r="F1029" s="466" t="s">
        <v>302</v>
      </c>
      <c r="G1029" s="290" t="s">
        <v>12</v>
      </c>
      <c r="H1029" s="294">
        <v>1070</v>
      </c>
      <c r="I1029" s="291"/>
      <c r="J1029" s="291"/>
      <c r="K1029" s="291"/>
      <c r="L1029" s="292"/>
      <c r="M1029" s="292"/>
      <c r="N1029" s="292"/>
      <c r="O1029" s="292"/>
      <c r="P1029" s="294"/>
      <c r="Q1029" s="294"/>
      <c r="R1029" s="294"/>
      <c r="S1029" s="294"/>
      <c r="T1029" s="294"/>
      <c r="U1029" s="294"/>
      <c r="V1029" s="431"/>
      <c r="W1029" s="294"/>
      <c r="X1029" s="294"/>
      <c r="Y1029" s="294">
        <f>IF(NFI_Expiration=1,IF($A1029&lt;VLOOKUP(H$5,NFI,5,0),1,0)*Table_NFI[[#This Row],[Hygiene Kit]],Table_NFI[Hygiene Kit])</f>
        <v>0</v>
      </c>
      <c r="Z1029" s="294">
        <f>IF(NFI_Expiration=1,IF($A1029&lt;VLOOKUP(I$5,NFI,5,0),1,0)*Table_NFI[[#This Row],[NFI Core Kit]],Table_NFI[NFI Core Kit])</f>
        <v>0</v>
      </c>
      <c r="AA1029" s="294">
        <f>IF(NFI_Expiration=1,IF($A1029&lt;VLOOKUP(J$5,NFI,5,0),1,0)*Table_NFI[[#This Row],[Sanitary Kit]],Table_NFI[Sanitary Kit])</f>
        <v>0</v>
      </c>
      <c r="AB1029" s="294">
        <f>IF(NFI_Expiration=1,IF($A1029&lt;VLOOKUP(K$5,NFI,5,0),1,0)*Table_NFI[[#This Row],[Mosquito net]],Table_NFI[Mosquito net])</f>
        <v>0</v>
      </c>
      <c r="AC1029" s="294">
        <f>IF(NFI_Expiration=1,IF($A1029&lt;VLOOKUP(L$5,NFI,5,0),1,0)*Table_NFI[[#This Row],[Tarpaulin]],Table_NFI[[#This Row],[Tarpaulin]])</f>
        <v>0</v>
      </c>
      <c r="AD1029" s="294">
        <f>IF(NFI_Expiration=1,IF($A1029&lt;VLOOKUP(M$5,NFI,5,0),1,0)*Table_NFI[[#This Row],[Blanket]],Table_NFI[[#This Row],[Blanket]])</f>
        <v>0</v>
      </c>
      <c r="AE1029" s="294">
        <f>IF(NFI_Expiration=1,IF($A1029&lt;VLOOKUP(N$5,NFI,5,0),1,0)*Table_NFI[[#This Row],[Kitchen Set]],Table_NFI[Kitchen Set])</f>
        <v>0</v>
      </c>
      <c r="AF1029" s="294">
        <f>IF(NFI_Expiration=1,IF($A1029&lt;VLOOKUP(O$5,NFI,5,0),1,0)*Table_NFI[[#This Row],[Clothes Kit]],Table_NFI[Clothes Kit])</f>
        <v>0</v>
      </c>
      <c r="AG1029" s="294">
        <f>IF(NFI_Expiration=1,IF($A1029&lt;VLOOKUP(P$5,NFI,5,0),1,0)*Table_NFI[[#This Row],[Plastic Bucket]],Table_NFI[Plastic Bucket])</f>
        <v>0</v>
      </c>
      <c r="AH1029" s="294">
        <f>IF(NFI_Expiration=1,IF($A1029&lt;VLOOKUP(Q$5,NFI,5,0),1,0)*Table_NFI[[#This Row],[Plastic Mat]],Table_NFI[Plastic Mat])*IF(Table_NFI[[#This Row],[Distribution Date]]&gt;"2014-04-01",1,2.5)</f>
        <v>0</v>
      </c>
      <c r="AI1029" s="294">
        <f>IF(NFI_Expiration=1,IF($A1029&lt;VLOOKUP(R$5,NFI,5,0),1,0)*Table_NFI[[#This Row],[Winter Clothes Adult]],Table_NFI[Winter Clothes Adult])</f>
        <v>0</v>
      </c>
      <c r="AJ1029" s="294">
        <f>IF(NFI_Expiration=1,IF($A1029&lt;VLOOKUP(S$5,NFI,5,0),1,0)*Table_NFI[[#This Row],[Winter Clothes Children]],Table_NFI[Winter Clothes Children])</f>
        <v>0</v>
      </c>
      <c r="AK1029" s="294">
        <f>IF(NFI_Expiration=1,IF($A1029&lt;VLOOKUP(T$5,NFI,5,0),1,0)*Table_NFI[[#This Row],[Winter Items Other]],Table_NFI[Winter Items Other])</f>
        <v>0</v>
      </c>
      <c r="AL1029" s="294">
        <f>IF(NFI_Expiration=1,IF($A1029&lt;VLOOKUP(M$5,NFI,5,0),1,0)*Table_NFI[[#This Row],[Winter Blanket]],Table_NFI[[#This Row],[Winter Blanket]])</f>
        <v>0</v>
      </c>
      <c r="AM1029" s="294">
        <f>IF(Table_NFI[[#This Row],[Winter Clothes Adult]]+Table_NFI[[#This Row],[Winter Clothes Children]]+Table_NFI[[#This Row],[Winter Items Other]]+Table_NFI[[#This Row],[Winter Blanket]]&gt;0,1,0)</f>
        <v>0</v>
      </c>
      <c r="AN1029" s="331">
        <f>IF(NFI_Expiration=1,IF($A1029&lt;VLOOKUP(V$5,NFI,5,0),1,0)*Table_NFI[[#This Row],[Jerry Can]],Table_NFI[Jerry Can])</f>
        <v>0</v>
      </c>
      <c r="AO1029" s="331">
        <f>IF(NFI_Expiration=1,IF($A1029&lt;VLOOKUP(V$5,NFI,5,0),1,0)*Table_NFI[[#This Row],[Shelter Tool kit]],Table_NFI[Shelter Tool kit])</f>
        <v>0</v>
      </c>
      <c r="AP1029" s="331">
        <f>IF(NFI_Expiration=1,IF($A1029&lt;VLOOKUP(V$5,NFI,5,0),1,0)*Table_NFI[[#This Row],[Tent]],Table_NFI[Tent])</f>
        <v>0</v>
      </c>
      <c r="AQ1029" s="473" t="str">
        <f>IFERROR(VLOOKUP(Table_NFI[[#This Row],[Camp Name]],CL,2,0),"")</f>
        <v>MMR001CMP163</v>
      </c>
      <c r="AR1029" s="468">
        <f ca="1">IF(Table_NFI[[#This Row],[Pcode]]="","",IF(OFFSET(CampList[Opening Date],MATCH(Table_NFI[[#This Row],[Pcode]],CampList[CP_Pcode],0)-1,0,1,1)&gt;=NFI_Monitor_Date,1,0))</f>
        <v>0</v>
      </c>
      <c r="AS1029" s="473" t="str">
        <f>IFERROR(VLOOKUP(Table_NFI[[#This Row],[Camp Name]],CL,3,0),"")</f>
        <v>Open</v>
      </c>
      <c r="AT1029" s="294" t="str">
        <f ca="1">IF(Table_NFI[[#This Row],[Pcode]]="","",OFFSET(CampList[Priority],MATCH(Table_NFI[[#This Row],[Pcode]],CampList[CP_Pcode],0)-1,0,1,1))</f>
        <v>P4</v>
      </c>
      <c r="AU1029" s="293">
        <f>IFERROR(Table_NFI[[#This Row],[Kitchen Set]]/VLOOKUP(Table_NFI[[#This Row],[Camp Name]],CL,4,0),"")</f>
        <v>0</v>
      </c>
      <c r="AV1029" s="466"/>
      <c r="AW1029" s="469"/>
    </row>
    <row r="1030" spans="1:49" s="470" customFormat="1" ht="14.45" customHeight="1" x14ac:dyDescent="0.25">
      <c r="A1030" s="297">
        <f t="shared" ref="A1030:A1093" si="16">IF(ISBLANK(B1030),"",(Report_Date-B1030)/30)</f>
        <v>57.366666666666667</v>
      </c>
      <c r="B1030" s="465">
        <v>40954</v>
      </c>
      <c r="C1030" s="466" t="s">
        <v>905</v>
      </c>
      <c r="D1030" s="466" t="s">
        <v>905</v>
      </c>
      <c r="E1030" s="466" t="s">
        <v>380</v>
      </c>
      <c r="F1030" s="290" t="s">
        <v>185</v>
      </c>
      <c r="G1030" s="290" t="s">
        <v>202</v>
      </c>
      <c r="H1030" s="294">
        <v>8</v>
      </c>
      <c r="I1030" s="291"/>
      <c r="J1030" s="291"/>
      <c r="K1030" s="291"/>
      <c r="L1030" s="292"/>
      <c r="M1030" s="292"/>
      <c r="N1030" s="292"/>
      <c r="O1030" s="292"/>
      <c r="P1030" s="294"/>
      <c r="Q1030" s="294"/>
      <c r="R1030" s="294"/>
      <c r="S1030" s="294"/>
      <c r="T1030" s="294"/>
      <c r="U1030" s="294"/>
      <c r="V1030" s="431"/>
      <c r="W1030" s="294"/>
      <c r="X1030" s="294"/>
      <c r="Y1030" s="294">
        <f>IF(NFI_Expiration=1,IF($A1030&lt;VLOOKUP(H$5,NFI,5,0),1,0)*Table_NFI[[#This Row],[Hygiene Kit]],Table_NFI[Hygiene Kit])</f>
        <v>0</v>
      </c>
      <c r="Z1030" s="294">
        <f>IF(NFI_Expiration=1,IF($A1030&lt;VLOOKUP(I$5,NFI,5,0),1,0)*Table_NFI[[#This Row],[NFI Core Kit]],Table_NFI[NFI Core Kit])</f>
        <v>0</v>
      </c>
      <c r="AA1030" s="294">
        <f>IF(NFI_Expiration=1,IF($A1030&lt;VLOOKUP(J$5,NFI,5,0),1,0)*Table_NFI[[#This Row],[Sanitary Kit]],Table_NFI[Sanitary Kit])</f>
        <v>0</v>
      </c>
      <c r="AB1030" s="294">
        <f>IF(NFI_Expiration=1,IF($A1030&lt;VLOOKUP(K$5,NFI,5,0),1,0)*Table_NFI[[#This Row],[Mosquito net]],Table_NFI[Mosquito net])</f>
        <v>0</v>
      </c>
      <c r="AC1030" s="294">
        <f>IF(NFI_Expiration=1,IF($A1030&lt;VLOOKUP(L$5,NFI,5,0),1,0)*Table_NFI[[#This Row],[Tarpaulin]],Table_NFI[[#This Row],[Tarpaulin]])</f>
        <v>0</v>
      </c>
      <c r="AD1030" s="294">
        <f>IF(NFI_Expiration=1,IF($A1030&lt;VLOOKUP(M$5,NFI,5,0),1,0)*Table_NFI[[#This Row],[Blanket]],Table_NFI[[#This Row],[Blanket]])</f>
        <v>0</v>
      </c>
      <c r="AE1030" s="294">
        <f>IF(NFI_Expiration=1,IF($A1030&lt;VLOOKUP(N$5,NFI,5,0),1,0)*Table_NFI[[#This Row],[Kitchen Set]],Table_NFI[Kitchen Set])</f>
        <v>0</v>
      </c>
      <c r="AF1030" s="294">
        <f>IF(NFI_Expiration=1,IF($A1030&lt;VLOOKUP(O$5,NFI,5,0),1,0)*Table_NFI[[#This Row],[Clothes Kit]],Table_NFI[Clothes Kit])</f>
        <v>0</v>
      </c>
      <c r="AG1030" s="294">
        <f>IF(NFI_Expiration=1,IF($A1030&lt;VLOOKUP(P$5,NFI,5,0),1,0)*Table_NFI[[#This Row],[Plastic Bucket]],Table_NFI[Plastic Bucket])</f>
        <v>0</v>
      </c>
      <c r="AH1030" s="294">
        <f>IF(NFI_Expiration=1,IF($A1030&lt;VLOOKUP(Q$5,NFI,5,0),1,0)*Table_NFI[[#This Row],[Plastic Mat]],Table_NFI[Plastic Mat])*IF(Table_NFI[[#This Row],[Distribution Date]]&gt;"2014-04-01",1,2.5)</f>
        <v>0</v>
      </c>
      <c r="AI1030" s="294">
        <f>IF(NFI_Expiration=1,IF($A1030&lt;VLOOKUP(R$5,NFI,5,0),1,0)*Table_NFI[[#This Row],[Winter Clothes Adult]],Table_NFI[Winter Clothes Adult])</f>
        <v>0</v>
      </c>
      <c r="AJ1030" s="294">
        <f>IF(NFI_Expiration=1,IF($A1030&lt;VLOOKUP(S$5,NFI,5,0),1,0)*Table_NFI[[#This Row],[Winter Clothes Children]],Table_NFI[Winter Clothes Children])</f>
        <v>0</v>
      </c>
      <c r="AK1030" s="294">
        <f>IF(NFI_Expiration=1,IF($A1030&lt;VLOOKUP(T$5,NFI,5,0),1,0)*Table_NFI[[#This Row],[Winter Items Other]],Table_NFI[Winter Items Other])</f>
        <v>0</v>
      </c>
      <c r="AL1030" s="294">
        <f>IF(NFI_Expiration=1,IF($A1030&lt;VLOOKUP(M$5,NFI,5,0),1,0)*Table_NFI[[#This Row],[Winter Blanket]],Table_NFI[[#This Row],[Winter Blanket]])</f>
        <v>0</v>
      </c>
      <c r="AM1030" s="294">
        <f>IF(Table_NFI[[#This Row],[Winter Clothes Adult]]+Table_NFI[[#This Row],[Winter Clothes Children]]+Table_NFI[[#This Row],[Winter Items Other]]+Table_NFI[[#This Row],[Winter Blanket]]&gt;0,1,0)</f>
        <v>0</v>
      </c>
      <c r="AN1030" s="331">
        <f>IF(NFI_Expiration=1,IF($A1030&lt;VLOOKUP(V$5,NFI,5,0),1,0)*Table_NFI[[#This Row],[Jerry Can]],Table_NFI[Jerry Can])</f>
        <v>0</v>
      </c>
      <c r="AO1030" s="331">
        <f>IF(NFI_Expiration=1,IF($A1030&lt;VLOOKUP(V$5,NFI,5,0),1,0)*Table_NFI[[#This Row],[Shelter Tool kit]],Table_NFI[Shelter Tool kit])</f>
        <v>0</v>
      </c>
      <c r="AP1030" s="331">
        <f>IF(NFI_Expiration=1,IF($A1030&lt;VLOOKUP(V$5,NFI,5,0),1,0)*Table_NFI[[#This Row],[Tent]],Table_NFI[Tent])</f>
        <v>0</v>
      </c>
      <c r="AQ1030" s="473" t="str">
        <f>IFERROR(VLOOKUP(Table_NFI[[#This Row],[Camp Name]],CL,2,0),"")</f>
        <v>MMR001CMP062</v>
      </c>
      <c r="AR1030" s="468">
        <f ca="1">IF(Table_NFI[[#This Row],[Pcode]]="","",IF(OFFSET(CampList[Opening Date],MATCH(Table_NFI[[#This Row],[Pcode]],CampList[CP_Pcode],0)-1,0,1,1)&gt;=NFI_Monitor_Date,1,0))</f>
        <v>0</v>
      </c>
      <c r="AS1030" s="473" t="str">
        <f>IFERROR(VLOOKUP(Table_NFI[[#This Row],[Camp Name]],CL,3,0),"")</f>
        <v>Open</v>
      </c>
      <c r="AT1030" s="294" t="str">
        <f ca="1">IF(Table_NFI[[#This Row],[Pcode]]="","",OFFSET(CampList[Priority],MATCH(Table_NFI[[#This Row],[Pcode]],CampList[CP_Pcode],0)-1,0,1,1))</f>
        <v>P4</v>
      </c>
      <c r="AU1030" s="293">
        <f>IFERROR(Table_NFI[[#This Row],[Kitchen Set]]/VLOOKUP(Table_NFI[[#This Row],[Camp Name]],CL,4,0),"")</f>
        <v>0</v>
      </c>
      <c r="AV1030" s="466"/>
      <c r="AW1030" s="469"/>
    </row>
    <row r="1031" spans="1:49" s="470" customFormat="1" ht="13.9" customHeight="1" x14ac:dyDescent="0.25">
      <c r="A1031" s="297">
        <f t="shared" si="16"/>
        <v>57.4</v>
      </c>
      <c r="B1031" s="465">
        <v>40953</v>
      </c>
      <c r="C1031" s="467" t="s">
        <v>905</v>
      </c>
      <c r="D1031" s="467" t="s">
        <v>905</v>
      </c>
      <c r="E1031" s="466" t="s">
        <v>380</v>
      </c>
      <c r="F1031" s="466" t="s">
        <v>302</v>
      </c>
      <c r="G1031" s="290" t="s">
        <v>12</v>
      </c>
      <c r="H1031" s="294">
        <v>429</v>
      </c>
      <c r="I1031" s="291"/>
      <c r="J1031" s="291"/>
      <c r="K1031" s="291"/>
      <c r="L1031" s="292"/>
      <c r="M1031" s="292"/>
      <c r="N1031" s="292"/>
      <c r="O1031" s="292"/>
      <c r="P1031" s="294"/>
      <c r="Q1031" s="294"/>
      <c r="R1031" s="294"/>
      <c r="S1031" s="294"/>
      <c r="T1031" s="294"/>
      <c r="U1031" s="294"/>
      <c r="V1031" s="431"/>
      <c r="W1031" s="294"/>
      <c r="X1031" s="294"/>
      <c r="Y1031" s="294">
        <f>IF(NFI_Expiration=1,IF($A1031&lt;VLOOKUP(H$5,NFI,5,0),1,0)*Table_NFI[[#This Row],[Hygiene Kit]],Table_NFI[Hygiene Kit])</f>
        <v>0</v>
      </c>
      <c r="Z1031" s="294">
        <f>IF(NFI_Expiration=1,IF($A1031&lt;VLOOKUP(I$5,NFI,5,0),1,0)*Table_NFI[[#This Row],[NFI Core Kit]],Table_NFI[NFI Core Kit])</f>
        <v>0</v>
      </c>
      <c r="AA1031" s="294">
        <f>IF(NFI_Expiration=1,IF($A1031&lt;VLOOKUP(J$5,NFI,5,0),1,0)*Table_NFI[[#This Row],[Sanitary Kit]],Table_NFI[Sanitary Kit])</f>
        <v>0</v>
      </c>
      <c r="AB1031" s="294">
        <f>IF(NFI_Expiration=1,IF($A1031&lt;VLOOKUP(K$5,NFI,5,0),1,0)*Table_NFI[[#This Row],[Mosquito net]],Table_NFI[Mosquito net])</f>
        <v>0</v>
      </c>
      <c r="AC1031" s="294">
        <f>IF(NFI_Expiration=1,IF($A1031&lt;VLOOKUP(L$5,NFI,5,0),1,0)*Table_NFI[[#This Row],[Tarpaulin]],Table_NFI[[#This Row],[Tarpaulin]])</f>
        <v>0</v>
      </c>
      <c r="AD1031" s="294">
        <f>IF(NFI_Expiration=1,IF($A1031&lt;VLOOKUP(M$5,NFI,5,0),1,0)*Table_NFI[[#This Row],[Blanket]],Table_NFI[[#This Row],[Blanket]])</f>
        <v>0</v>
      </c>
      <c r="AE1031" s="294">
        <f>IF(NFI_Expiration=1,IF($A1031&lt;VLOOKUP(N$5,NFI,5,0),1,0)*Table_NFI[[#This Row],[Kitchen Set]],Table_NFI[Kitchen Set])</f>
        <v>0</v>
      </c>
      <c r="AF1031" s="294">
        <f>IF(NFI_Expiration=1,IF($A1031&lt;VLOOKUP(O$5,NFI,5,0),1,0)*Table_NFI[[#This Row],[Clothes Kit]],Table_NFI[Clothes Kit])</f>
        <v>0</v>
      </c>
      <c r="AG1031" s="294">
        <f>IF(NFI_Expiration=1,IF($A1031&lt;VLOOKUP(P$5,NFI,5,0),1,0)*Table_NFI[[#This Row],[Plastic Bucket]],Table_NFI[Plastic Bucket])</f>
        <v>0</v>
      </c>
      <c r="AH1031" s="294">
        <f>IF(NFI_Expiration=1,IF($A1031&lt;VLOOKUP(Q$5,NFI,5,0),1,0)*Table_NFI[[#This Row],[Plastic Mat]],Table_NFI[Plastic Mat])*IF(Table_NFI[[#This Row],[Distribution Date]]&gt;"2014-04-01",1,2.5)</f>
        <v>0</v>
      </c>
      <c r="AI1031" s="294">
        <f>IF(NFI_Expiration=1,IF($A1031&lt;VLOOKUP(R$5,NFI,5,0),1,0)*Table_NFI[[#This Row],[Winter Clothes Adult]],Table_NFI[Winter Clothes Adult])</f>
        <v>0</v>
      </c>
      <c r="AJ1031" s="294">
        <f>IF(NFI_Expiration=1,IF($A1031&lt;VLOOKUP(S$5,NFI,5,0),1,0)*Table_NFI[[#This Row],[Winter Clothes Children]],Table_NFI[Winter Clothes Children])</f>
        <v>0</v>
      </c>
      <c r="AK1031" s="294">
        <f>IF(NFI_Expiration=1,IF($A1031&lt;VLOOKUP(T$5,NFI,5,0),1,0)*Table_NFI[[#This Row],[Winter Items Other]],Table_NFI[Winter Items Other])</f>
        <v>0</v>
      </c>
      <c r="AL1031" s="294">
        <f>IF(NFI_Expiration=1,IF($A1031&lt;VLOOKUP(M$5,NFI,5,0),1,0)*Table_NFI[[#This Row],[Winter Blanket]],Table_NFI[[#This Row],[Winter Blanket]])</f>
        <v>0</v>
      </c>
      <c r="AM1031" s="294">
        <f>IF(Table_NFI[[#This Row],[Winter Clothes Adult]]+Table_NFI[[#This Row],[Winter Clothes Children]]+Table_NFI[[#This Row],[Winter Items Other]]+Table_NFI[[#This Row],[Winter Blanket]]&gt;0,1,0)</f>
        <v>0</v>
      </c>
      <c r="AN1031" s="331">
        <f>IF(NFI_Expiration=1,IF($A1031&lt;VLOOKUP(V$5,NFI,5,0),1,0)*Table_NFI[[#This Row],[Jerry Can]],Table_NFI[Jerry Can])</f>
        <v>0</v>
      </c>
      <c r="AO1031" s="331">
        <f>IF(NFI_Expiration=1,IF($A1031&lt;VLOOKUP(V$5,NFI,5,0),1,0)*Table_NFI[[#This Row],[Shelter Tool kit]],Table_NFI[Shelter Tool kit])</f>
        <v>0</v>
      </c>
      <c r="AP1031" s="331">
        <f>IF(NFI_Expiration=1,IF($A1031&lt;VLOOKUP(V$5,NFI,5,0),1,0)*Table_NFI[[#This Row],[Tent]],Table_NFI[Tent])</f>
        <v>0</v>
      </c>
      <c r="AQ1031" s="473" t="str">
        <f>IFERROR(VLOOKUP(Table_NFI[[#This Row],[Camp Name]],CL,2,0),"")</f>
        <v>MMR001CMP163</v>
      </c>
      <c r="AR1031" s="468">
        <f ca="1">IF(Table_NFI[[#This Row],[Pcode]]="","",IF(OFFSET(CampList[Opening Date],MATCH(Table_NFI[[#This Row],[Pcode]],CampList[CP_Pcode],0)-1,0,1,1)&gt;=NFI_Monitor_Date,1,0))</f>
        <v>0</v>
      </c>
      <c r="AS1031" s="473" t="str">
        <f>IFERROR(VLOOKUP(Table_NFI[[#This Row],[Camp Name]],CL,3,0),"")</f>
        <v>Open</v>
      </c>
      <c r="AT1031" s="294" t="str">
        <f ca="1">IF(Table_NFI[[#This Row],[Pcode]]="","",OFFSET(CampList[Priority],MATCH(Table_NFI[[#This Row],[Pcode]],CampList[CP_Pcode],0)-1,0,1,1))</f>
        <v>P4</v>
      </c>
      <c r="AU1031" s="293">
        <f>IFERROR(Table_NFI[[#This Row],[Kitchen Set]]/VLOOKUP(Table_NFI[[#This Row],[Camp Name]],CL,4,0),"")</f>
        <v>0</v>
      </c>
      <c r="AV1031" s="466"/>
      <c r="AW1031" s="469"/>
    </row>
    <row r="1032" spans="1:49" s="470" customFormat="1" ht="14.45" customHeight="1" x14ac:dyDescent="0.25">
      <c r="A1032" s="297">
        <f t="shared" si="16"/>
        <v>57.533333333333331</v>
      </c>
      <c r="B1032" s="465">
        <v>40949</v>
      </c>
      <c r="C1032" s="466" t="s">
        <v>905</v>
      </c>
      <c r="D1032" s="467" t="s">
        <v>905</v>
      </c>
      <c r="E1032" s="466" t="s">
        <v>380</v>
      </c>
      <c r="F1032" s="290" t="s">
        <v>185</v>
      </c>
      <c r="G1032" s="290" t="s">
        <v>211</v>
      </c>
      <c r="H1032" s="294">
        <v>192</v>
      </c>
      <c r="I1032" s="291"/>
      <c r="J1032" s="291"/>
      <c r="K1032" s="291"/>
      <c r="L1032" s="292"/>
      <c r="M1032" s="292"/>
      <c r="N1032" s="292"/>
      <c r="O1032" s="292"/>
      <c r="P1032" s="294"/>
      <c r="Q1032" s="294"/>
      <c r="R1032" s="294"/>
      <c r="S1032" s="294"/>
      <c r="T1032" s="294"/>
      <c r="U1032" s="294"/>
      <c r="V1032" s="431"/>
      <c r="W1032" s="294"/>
      <c r="X1032" s="294"/>
      <c r="Y1032" s="294">
        <f>IF(NFI_Expiration=1,IF($A1032&lt;VLOOKUP(H$5,NFI,5,0),1,0)*Table_NFI[[#This Row],[Hygiene Kit]],Table_NFI[Hygiene Kit])</f>
        <v>0</v>
      </c>
      <c r="Z1032" s="294">
        <f>IF(NFI_Expiration=1,IF($A1032&lt;VLOOKUP(I$5,NFI,5,0),1,0)*Table_NFI[[#This Row],[NFI Core Kit]],Table_NFI[NFI Core Kit])</f>
        <v>0</v>
      </c>
      <c r="AA1032" s="294">
        <f>IF(NFI_Expiration=1,IF($A1032&lt;VLOOKUP(J$5,NFI,5,0),1,0)*Table_NFI[[#This Row],[Sanitary Kit]],Table_NFI[Sanitary Kit])</f>
        <v>0</v>
      </c>
      <c r="AB1032" s="294">
        <f>IF(NFI_Expiration=1,IF($A1032&lt;VLOOKUP(K$5,NFI,5,0),1,0)*Table_NFI[[#This Row],[Mosquito net]],Table_NFI[Mosquito net])</f>
        <v>0</v>
      </c>
      <c r="AC1032" s="294">
        <f>IF(NFI_Expiration=1,IF($A1032&lt;VLOOKUP(L$5,NFI,5,0),1,0)*Table_NFI[[#This Row],[Tarpaulin]],Table_NFI[[#This Row],[Tarpaulin]])</f>
        <v>0</v>
      </c>
      <c r="AD1032" s="294">
        <f>IF(NFI_Expiration=1,IF($A1032&lt;VLOOKUP(M$5,NFI,5,0),1,0)*Table_NFI[[#This Row],[Blanket]],Table_NFI[[#This Row],[Blanket]])</f>
        <v>0</v>
      </c>
      <c r="AE1032" s="294">
        <f>IF(NFI_Expiration=1,IF($A1032&lt;VLOOKUP(N$5,NFI,5,0),1,0)*Table_NFI[[#This Row],[Kitchen Set]],Table_NFI[Kitchen Set])</f>
        <v>0</v>
      </c>
      <c r="AF1032" s="294">
        <f>IF(NFI_Expiration=1,IF($A1032&lt;VLOOKUP(O$5,NFI,5,0),1,0)*Table_NFI[[#This Row],[Clothes Kit]],Table_NFI[Clothes Kit])</f>
        <v>0</v>
      </c>
      <c r="AG1032" s="294">
        <f>IF(NFI_Expiration=1,IF($A1032&lt;VLOOKUP(P$5,NFI,5,0),1,0)*Table_NFI[[#This Row],[Plastic Bucket]],Table_NFI[Plastic Bucket])</f>
        <v>0</v>
      </c>
      <c r="AH1032" s="294">
        <f>IF(NFI_Expiration=1,IF($A1032&lt;VLOOKUP(Q$5,NFI,5,0),1,0)*Table_NFI[[#This Row],[Plastic Mat]],Table_NFI[Plastic Mat])*IF(Table_NFI[[#This Row],[Distribution Date]]&gt;"2014-04-01",1,2.5)</f>
        <v>0</v>
      </c>
      <c r="AI1032" s="294">
        <f>IF(NFI_Expiration=1,IF($A1032&lt;VLOOKUP(R$5,NFI,5,0),1,0)*Table_NFI[[#This Row],[Winter Clothes Adult]],Table_NFI[Winter Clothes Adult])</f>
        <v>0</v>
      </c>
      <c r="AJ1032" s="294">
        <f>IF(NFI_Expiration=1,IF($A1032&lt;VLOOKUP(S$5,NFI,5,0),1,0)*Table_NFI[[#This Row],[Winter Clothes Children]],Table_NFI[Winter Clothes Children])</f>
        <v>0</v>
      </c>
      <c r="AK1032" s="294">
        <f>IF(NFI_Expiration=1,IF($A1032&lt;VLOOKUP(T$5,NFI,5,0),1,0)*Table_NFI[[#This Row],[Winter Items Other]],Table_NFI[Winter Items Other])</f>
        <v>0</v>
      </c>
      <c r="AL1032" s="294">
        <f>IF(NFI_Expiration=1,IF($A1032&lt;VLOOKUP(M$5,NFI,5,0),1,0)*Table_NFI[[#This Row],[Winter Blanket]],Table_NFI[[#This Row],[Winter Blanket]])</f>
        <v>0</v>
      </c>
      <c r="AM1032" s="294">
        <f>IF(Table_NFI[[#This Row],[Winter Clothes Adult]]+Table_NFI[[#This Row],[Winter Clothes Children]]+Table_NFI[[#This Row],[Winter Items Other]]+Table_NFI[[#This Row],[Winter Blanket]]&gt;0,1,0)</f>
        <v>0</v>
      </c>
      <c r="AN1032" s="331">
        <f>IF(NFI_Expiration=1,IF($A1032&lt;VLOOKUP(V$5,NFI,5,0),1,0)*Table_NFI[[#This Row],[Jerry Can]],Table_NFI[Jerry Can])</f>
        <v>0</v>
      </c>
      <c r="AO1032" s="331">
        <f>IF(NFI_Expiration=1,IF($A1032&lt;VLOOKUP(V$5,NFI,5,0),1,0)*Table_NFI[[#This Row],[Shelter Tool kit]],Table_NFI[Shelter Tool kit])</f>
        <v>0</v>
      </c>
      <c r="AP1032" s="331">
        <f>IF(NFI_Expiration=1,IF($A1032&lt;VLOOKUP(V$5,NFI,5,0),1,0)*Table_NFI[[#This Row],[Tent]],Table_NFI[Tent])</f>
        <v>0</v>
      </c>
      <c r="AQ1032" s="473" t="str">
        <f>IFERROR(VLOOKUP(Table_NFI[[#This Row],[Camp Name]],CL,2,0),"")</f>
        <v>MMR001CMP057</v>
      </c>
      <c r="AR1032" s="468">
        <f ca="1">IF(Table_NFI[[#This Row],[Pcode]]="","",IF(OFFSET(CampList[Opening Date],MATCH(Table_NFI[[#This Row],[Pcode]],CampList[CP_Pcode],0)-1,0,1,1)&gt;=NFI_Monitor_Date,1,0))</f>
        <v>0</v>
      </c>
      <c r="AS1032" s="473" t="str">
        <f>IFERROR(VLOOKUP(Table_NFI[[#This Row],[Camp Name]],CL,3,0),"")</f>
        <v>Closed</v>
      </c>
      <c r="AT1032" s="294" t="str">
        <f ca="1">IF(Table_NFI[[#This Row],[Pcode]]="","",OFFSET(CampList[Priority],MATCH(Table_NFI[[#This Row],[Pcode]],CampList[CP_Pcode],0)-1,0,1,1))</f>
        <v>P4</v>
      </c>
      <c r="AU1032" s="293" t="str">
        <f>IFERROR(Table_NFI[[#This Row],[Kitchen Set]]/VLOOKUP(Table_NFI[[#This Row],[Camp Name]],CL,4,0),"")</f>
        <v/>
      </c>
      <c r="AV1032" s="466"/>
      <c r="AW1032" s="469"/>
    </row>
    <row r="1033" spans="1:49" s="470" customFormat="1" ht="15" customHeight="1" x14ac:dyDescent="0.25">
      <c r="A1033" s="297">
        <f t="shared" si="16"/>
        <v>57.56666666666667</v>
      </c>
      <c r="B1033" s="465">
        <v>40948</v>
      </c>
      <c r="C1033" s="466" t="s">
        <v>905</v>
      </c>
      <c r="D1033" s="466" t="s">
        <v>905</v>
      </c>
      <c r="E1033" s="466" t="s">
        <v>380</v>
      </c>
      <c r="F1033" s="466" t="s">
        <v>185</v>
      </c>
      <c r="G1033" s="466" t="s">
        <v>209</v>
      </c>
      <c r="H1033" s="294">
        <v>138</v>
      </c>
      <c r="I1033" s="291"/>
      <c r="J1033" s="291"/>
      <c r="K1033" s="291"/>
      <c r="L1033" s="292"/>
      <c r="M1033" s="292"/>
      <c r="N1033" s="292"/>
      <c r="O1033" s="292"/>
      <c r="P1033" s="294"/>
      <c r="Q1033" s="294"/>
      <c r="R1033" s="294"/>
      <c r="S1033" s="294"/>
      <c r="T1033" s="294"/>
      <c r="U1033" s="294"/>
      <c r="V1033" s="431"/>
      <c r="W1033" s="294"/>
      <c r="X1033" s="294"/>
      <c r="Y1033" s="294">
        <f>IF(NFI_Expiration=1,IF($A1033&lt;VLOOKUP(H$5,NFI,5,0),1,0)*Table_NFI[[#This Row],[Hygiene Kit]],Table_NFI[Hygiene Kit])</f>
        <v>0</v>
      </c>
      <c r="Z1033" s="294">
        <f>IF(NFI_Expiration=1,IF($A1033&lt;VLOOKUP(I$5,NFI,5,0),1,0)*Table_NFI[[#This Row],[NFI Core Kit]],Table_NFI[NFI Core Kit])</f>
        <v>0</v>
      </c>
      <c r="AA1033" s="294">
        <f>IF(NFI_Expiration=1,IF($A1033&lt;VLOOKUP(J$5,NFI,5,0),1,0)*Table_NFI[[#This Row],[Sanitary Kit]],Table_NFI[Sanitary Kit])</f>
        <v>0</v>
      </c>
      <c r="AB1033" s="294">
        <f>IF(NFI_Expiration=1,IF($A1033&lt;VLOOKUP(K$5,NFI,5,0),1,0)*Table_NFI[[#This Row],[Mosquito net]],Table_NFI[Mosquito net])</f>
        <v>0</v>
      </c>
      <c r="AC1033" s="294">
        <f>IF(NFI_Expiration=1,IF($A1033&lt;VLOOKUP(L$5,NFI,5,0),1,0)*Table_NFI[[#This Row],[Tarpaulin]],Table_NFI[[#This Row],[Tarpaulin]])</f>
        <v>0</v>
      </c>
      <c r="AD1033" s="294">
        <f>IF(NFI_Expiration=1,IF($A1033&lt;VLOOKUP(M$5,NFI,5,0),1,0)*Table_NFI[[#This Row],[Blanket]],Table_NFI[[#This Row],[Blanket]])</f>
        <v>0</v>
      </c>
      <c r="AE1033" s="294">
        <f>IF(NFI_Expiration=1,IF($A1033&lt;VLOOKUP(N$5,NFI,5,0),1,0)*Table_NFI[[#This Row],[Kitchen Set]],Table_NFI[Kitchen Set])</f>
        <v>0</v>
      </c>
      <c r="AF1033" s="294">
        <f>IF(NFI_Expiration=1,IF($A1033&lt;VLOOKUP(O$5,NFI,5,0),1,0)*Table_NFI[[#This Row],[Clothes Kit]],Table_NFI[Clothes Kit])</f>
        <v>0</v>
      </c>
      <c r="AG1033" s="294">
        <f>IF(NFI_Expiration=1,IF($A1033&lt;VLOOKUP(P$5,NFI,5,0),1,0)*Table_NFI[[#This Row],[Plastic Bucket]],Table_NFI[Plastic Bucket])</f>
        <v>0</v>
      </c>
      <c r="AH1033" s="294">
        <f>IF(NFI_Expiration=1,IF($A1033&lt;VLOOKUP(Q$5,NFI,5,0),1,0)*Table_NFI[[#This Row],[Plastic Mat]],Table_NFI[Plastic Mat])*IF(Table_NFI[[#This Row],[Distribution Date]]&gt;"2014-04-01",1,2.5)</f>
        <v>0</v>
      </c>
      <c r="AI1033" s="294">
        <f>IF(NFI_Expiration=1,IF($A1033&lt;VLOOKUP(R$5,NFI,5,0),1,0)*Table_NFI[[#This Row],[Winter Clothes Adult]],Table_NFI[Winter Clothes Adult])</f>
        <v>0</v>
      </c>
      <c r="AJ1033" s="294">
        <f>IF(NFI_Expiration=1,IF($A1033&lt;VLOOKUP(S$5,NFI,5,0),1,0)*Table_NFI[[#This Row],[Winter Clothes Children]],Table_NFI[Winter Clothes Children])</f>
        <v>0</v>
      </c>
      <c r="AK1033" s="294">
        <f>IF(NFI_Expiration=1,IF($A1033&lt;VLOOKUP(T$5,NFI,5,0),1,0)*Table_NFI[[#This Row],[Winter Items Other]],Table_NFI[Winter Items Other])</f>
        <v>0</v>
      </c>
      <c r="AL1033" s="294">
        <f>IF(NFI_Expiration=1,IF($A1033&lt;VLOOKUP(M$5,NFI,5,0),1,0)*Table_NFI[[#This Row],[Winter Blanket]],Table_NFI[[#This Row],[Winter Blanket]])</f>
        <v>0</v>
      </c>
      <c r="AM1033" s="294">
        <f>IF(Table_NFI[[#This Row],[Winter Clothes Adult]]+Table_NFI[[#This Row],[Winter Clothes Children]]+Table_NFI[[#This Row],[Winter Items Other]]+Table_NFI[[#This Row],[Winter Blanket]]&gt;0,1,0)</f>
        <v>0</v>
      </c>
      <c r="AN1033" s="331">
        <f>IF(NFI_Expiration=1,IF($A1033&lt;VLOOKUP(V$5,NFI,5,0),1,0)*Table_NFI[[#This Row],[Jerry Can]],Table_NFI[Jerry Can])</f>
        <v>0</v>
      </c>
      <c r="AO1033" s="331">
        <f>IF(NFI_Expiration=1,IF($A1033&lt;VLOOKUP(V$5,NFI,5,0),1,0)*Table_NFI[[#This Row],[Shelter Tool kit]],Table_NFI[Shelter Tool kit])</f>
        <v>0</v>
      </c>
      <c r="AP1033" s="331">
        <f>IF(NFI_Expiration=1,IF($A1033&lt;VLOOKUP(V$5,NFI,5,0),1,0)*Table_NFI[[#This Row],[Tent]],Table_NFI[Tent])</f>
        <v>0</v>
      </c>
      <c r="AQ1033" s="473" t="str">
        <f>IFERROR(VLOOKUP(Table_NFI[[#This Row],[Camp Name]],CL,2,0),"")</f>
        <v>MMR001CMP056</v>
      </c>
      <c r="AR1033" s="468">
        <f ca="1">IF(Table_NFI[[#This Row],[Pcode]]="","",IF(OFFSET(CampList[Opening Date],MATCH(Table_NFI[[#This Row],[Pcode]],CampList[CP_Pcode],0)-1,0,1,1)&gt;=NFI_Monitor_Date,1,0))</f>
        <v>0</v>
      </c>
      <c r="AS1033" s="473" t="str">
        <f>IFERROR(VLOOKUP(Table_NFI[[#This Row],[Camp Name]],CL,3,0),"")</f>
        <v>Open</v>
      </c>
      <c r="AT1033" s="294" t="str">
        <f ca="1">IF(Table_NFI[[#This Row],[Pcode]]="","",OFFSET(CampList[Priority],MATCH(Table_NFI[[#This Row],[Pcode]],CampList[CP_Pcode],0)-1,0,1,1))</f>
        <v>P4</v>
      </c>
      <c r="AU1033" s="293">
        <f>IFERROR(Table_NFI[[#This Row],[Kitchen Set]]/VLOOKUP(Table_NFI[[#This Row],[Camp Name]],CL,4,0),"")</f>
        <v>0</v>
      </c>
      <c r="AV1033" s="466"/>
      <c r="AW1033" s="469"/>
    </row>
    <row r="1034" spans="1:49" s="470" customFormat="1" ht="14.45" customHeight="1" x14ac:dyDescent="0.25">
      <c r="A1034" s="297">
        <f t="shared" si="16"/>
        <v>57.633333333333333</v>
      </c>
      <c r="B1034" s="465">
        <v>40946</v>
      </c>
      <c r="C1034" s="466" t="s">
        <v>452</v>
      </c>
      <c r="D1034" s="467" t="s">
        <v>902</v>
      </c>
      <c r="E1034" s="466" t="s">
        <v>380</v>
      </c>
      <c r="F1034" s="290" t="s">
        <v>237</v>
      </c>
      <c r="G1034" s="290" t="s">
        <v>263</v>
      </c>
      <c r="H1034" s="291"/>
      <c r="I1034" s="291"/>
      <c r="J1034" s="291"/>
      <c r="K1034" s="291">
        <v>38</v>
      </c>
      <c r="L1034" s="292">
        <v>18</v>
      </c>
      <c r="M1034" s="292">
        <v>38</v>
      </c>
      <c r="N1034" s="292">
        <v>18</v>
      </c>
      <c r="O1034" s="292">
        <v>18</v>
      </c>
      <c r="P1034" s="294">
        <v>18</v>
      </c>
      <c r="Q1034" s="294">
        <v>18</v>
      </c>
      <c r="R1034" s="294"/>
      <c r="S1034" s="294"/>
      <c r="T1034" s="294"/>
      <c r="U1034" s="294"/>
      <c r="V1034" s="431"/>
      <c r="W1034" s="294"/>
      <c r="X1034" s="294"/>
      <c r="Y1034" s="294">
        <f>IF(NFI_Expiration=1,IF($A1034&lt;VLOOKUP(H$5,NFI,5,0),1,0)*Table_NFI[[#This Row],[Hygiene Kit]],Table_NFI[Hygiene Kit])</f>
        <v>0</v>
      </c>
      <c r="Z1034" s="294">
        <f>IF(NFI_Expiration=1,IF($A1034&lt;VLOOKUP(I$5,NFI,5,0),1,0)*Table_NFI[[#This Row],[NFI Core Kit]],Table_NFI[NFI Core Kit])</f>
        <v>0</v>
      </c>
      <c r="AA1034" s="294">
        <f>IF(NFI_Expiration=1,IF($A1034&lt;VLOOKUP(J$5,NFI,5,0),1,0)*Table_NFI[[#This Row],[Sanitary Kit]],Table_NFI[Sanitary Kit])</f>
        <v>0</v>
      </c>
      <c r="AB1034" s="294">
        <f>IF(NFI_Expiration=1,IF($A1034&lt;VLOOKUP(K$5,NFI,5,0),1,0)*Table_NFI[[#This Row],[Mosquito net]],Table_NFI[Mosquito net])</f>
        <v>0</v>
      </c>
      <c r="AC1034" s="294">
        <f>IF(NFI_Expiration=1,IF($A1034&lt;VLOOKUP(L$5,NFI,5,0),1,0)*Table_NFI[[#This Row],[Tarpaulin]],Table_NFI[[#This Row],[Tarpaulin]])</f>
        <v>0</v>
      </c>
      <c r="AD1034" s="294">
        <f>IF(NFI_Expiration=1,IF($A1034&lt;VLOOKUP(M$5,NFI,5,0),1,0)*Table_NFI[[#This Row],[Blanket]],Table_NFI[[#This Row],[Blanket]])</f>
        <v>0</v>
      </c>
      <c r="AE1034" s="294">
        <f>IF(NFI_Expiration=1,IF($A1034&lt;VLOOKUP(N$5,NFI,5,0),1,0)*Table_NFI[[#This Row],[Kitchen Set]],Table_NFI[Kitchen Set])</f>
        <v>0</v>
      </c>
      <c r="AF1034" s="294">
        <f>IF(NFI_Expiration=1,IF($A1034&lt;VLOOKUP(O$5,NFI,5,0),1,0)*Table_NFI[[#This Row],[Clothes Kit]],Table_NFI[Clothes Kit])</f>
        <v>0</v>
      </c>
      <c r="AG1034" s="294">
        <f>IF(NFI_Expiration=1,IF($A1034&lt;VLOOKUP(P$5,NFI,5,0),1,0)*Table_NFI[[#This Row],[Plastic Bucket]],Table_NFI[Plastic Bucket])</f>
        <v>0</v>
      </c>
      <c r="AH1034" s="294">
        <f>IF(NFI_Expiration=1,IF($A1034&lt;VLOOKUP(Q$5,NFI,5,0),1,0)*Table_NFI[[#This Row],[Plastic Mat]],Table_NFI[Plastic Mat])*IF(Table_NFI[[#This Row],[Distribution Date]]&gt;"2014-04-01",1,2.5)</f>
        <v>0</v>
      </c>
      <c r="AI1034" s="294">
        <f>IF(NFI_Expiration=1,IF($A1034&lt;VLOOKUP(R$5,NFI,5,0),1,0)*Table_NFI[[#This Row],[Winter Clothes Adult]],Table_NFI[Winter Clothes Adult])</f>
        <v>0</v>
      </c>
      <c r="AJ1034" s="294">
        <f>IF(NFI_Expiration=1,IF($A1034&lt;VLOOKUP(S$5,NFI,5,0),1,0)*Table_NFI[[#This Row],[Winter Clothes Children]],Table_NFI[Winter Clothes Children])</f>
        <v>0</v>
      </c>
      <c r="AK1034" s="294">
        <f>IF(NFI_Expiration=1,IF($A1034&lt;VLOOKUP(T$5,NFI,5,0),1,0)*Table_NFI[[#This Row],[Winter Items Other]],Table_NFI[Winter Items Other])</f>
        <v>0</v>
      </c>
      <c r="AL1034" s="294">
        <f>IF(NFI_Expiration=1,IF($A1034&lt;VLOOKUP(M$5,NFI,5,0),1,0)*Table_NFI[[#This Row],[Winter Blanket]],Table_NFI[[#This Row],[Winter Blanket]])</f>
        <v>0</v>
      </c>
      <c r="AM1034" s="294">
        <f>IF(Table_NFI[[#This Row],[Winter Clothes Adult]]+Table_NFI[[#This Row],[Winter Clothes Children]]+Table_NFI[[#This Row],[Winter Items Other]]+Table_NFI[[#This Row],[Winter Blanket]]&gt;0,1,0)</f>
        <v>0</v>
      </c>
      <c r="AN1034" s="331">
        <f>IF(NFI_Expiration=1,IF($A1034&lt;VLOOKUP(V$5,NFI,5,0),1,0)*Table_NFI[[#This Row],[Jerry Can]],Table_NFI[Jerry Can])</f>
        <v>0</v>
      </c>
      <c r="AO1034" s="331">
        <f>IF(NFI_Expiration=1,IF($A1034&lt;VLOOKUP(V$5,NFI,5,0),1,0)*Table_NFI[[#This Row],[Shelter Tool kit]],Table_NFI[Shelter Tool kit])</f>
        <v>0</v>
      </c>
      <c r="AP1034" s="331">
        <f>IF(NFI_Expiration=1,IF($A1034&lt;VLOOKUP(V$5,NFI,5,0),1,0)*Table_NFI[[#This Row],[Tent]],Table_NFI[Tent])</f>
        <v>0</v>
      </c>
      <c r="AQ1034" s="473" t="str">
        <f>IFERROR(VLOOKUP(Table_NFI[[#This Row],[Camp Name]],CL,2,0),"")</f>
        <v>MMR001CMP020</v>
      </c>
      <c r="AR1034" s="468">
        <f ca="1">IF(Table_NFI[[#This Row],[Pcode]]="","",IF(OFFSET(CampList[Opening Date],MATCH(Table_NFI[[#This Row],[Pcode]],CampList[CP_Pcode],0)-1,0,1,1)&gt;=NFI_Monitor_Date,1,0))</f>
        <v>0</v>
      </c>
      <c r="AS1034" s="473" t="str">
        <f>IFERROR(VLOOKUP(Table_NFI[[#This Row],[Camp Name]],CL,3,0),"")</f>
        <v>Open</v>
      </c>
      <c r="AT1034" s="294" t="str">
        <f ca="1">IF(Table_NFI[[#This Row],[Pcode]]="","",OFFSET(CampList[Priority],MATCH(Table_NFI[[#This Row],[Pcode]],CampList[CP_Pcode],0)-1,0,1,1))</f>
        <v>P4</v>
      </c>
      <c r="AU1034" s="293">
        <f>IFERROR(Table_NFI[[#This Row],[Kitchen Set]]/VLOOKUP(Table_NFI[[#This Row],[Camp Name]],CL,4,0),"")</f>
        <v>0.8571428571428571</v>
      </c>
      <c r="AV1034" s="466" t="s">
        <v>1092</v>
      </c>
      <c r="AW1034" s="469"/>
    </row>
    <row r="1035" spans="1:49" s="470" customFormat="1" ht="14.45" customHeight="1" x14ac:dyDescent="0.25">
      <c r="A1035" s="297">
        <f t="shared" si="16"/>
        <v>57.633333333333333</v>
      </c>
      <c r="B1035" s="465">
        <v>40946</v>
      </c>
      <c r="C1035" s="466" t="s">
        <v>905</v>
      </c>
      <c r="D1035" s="466" t="s">
        <v>905</v>
      </c>
      <c r="E1035" s="466" t="s">
        <v>380</v>
      </c>
      <c r="F1035" s="290" t="s">
        <v>5</v>
      </c>
      <c r="G1035" s="290" t="s">
        <v>20</v>
      </c>
      <c r="H1035" s="294">
        <v>90</v>
      </c>
      <c r="I1035" s="291"/>
      <c r="J1035" s="291"/>
      <c r="K1035" s="291"/>
      <c r="L1035" s="292"/>
      <c r="M1035" s="292"/>
      <c r="N1035" s="292"/>
      <c r="O1035" s="292"/>
      <c r="P1035" s="294"/>
      <c r="Q1035" s="294"/>
      <c r="R1035" s="294"/>
      <c r="S1035" s="294"/>
      <c r="T1035" s="294"/>
      <c r="U1035" s="294"/>
      <c r="V1035" s="431"/>
      <c r="W1035" s="294"/>
      <c r="X1035" s="294"/>
      <c r="Y1035" s="294">
        <f>IF(NFI_Expiration=1,IF($A1035&lt;VLOOKUP(H$5,NFI,5,0),1,0)*Table_NFI[[#This Row],[Hygiene Kit]],Table_NFI[Hygiene Kit])</f>
        <v>0</v>
      </c>
      <c r="Z1035" s="294">
        <f>IF(NFI_Expiration=1,IF($A1035&lt;VLOOKUP(I$5,NFI,5,0),1,0)*Table_NFI[[#This Row],[NFI Core Kit]],Table_NFI[NFI Core Kit])</f>
        <v>0</v>
      </c>
      <c r="AA1035" s="294">
        <f>IF(NFI_Expiration=1,IF($A1035&lt;VLOOKUP(J$5,NFI,5,0),1,0)*Table_NFI[[#This Row],[Sanitary Kit]],Table_NFI[Sanitary Kit])</f>
        <v>0</v>
      </c>
      <c r="AB1035" s="294">
        <f>IF(NFI_Expiration=1,IF($A1035&lt;VLOOKUP(K$5,NFI,5,0),1,0)*Table_NFI[[#This Row],[Mosquito net]],Table_NFI[Mosquito net])</f>
        <v>0</v>
      </c>
      <c r="AC1035" s="294">
        <f>IF(NFI_Expiration=1,IF($A1035&lt;VLOOKUP(L$5,NFI,5,0),1,0)*Table_NFI[[#This Row],[Tarpaulin]],Table_NFI[[#This Row],[Tarpaulin]])</f>
        <v>0</v>
      </c>
      <c r="AD1035" s="294">
        <f>IF(NFI_Expiration=1,IF($A1035&lt;VLOOKUP(M$5,NFI,5,0),1,0)*Table_NFI[[#This Row],[Blanket]],Table_NFI[[#This Row],[Blanket]])</f>
        <v>0</v>
      </c>
      <c r="AE1035" s="294">
        <f>IF(NFI_Expiration=1,IF($A1035&lt;VLOOKUP(N$5,NFI,5,0),1,0)*Table_NFI[[#This Row],[Kitchen Set]],Table_NFI[Kitchen Set])</f>
        <v>0</v>
      </c>
      <c r="AF1035" s="294">
        <f>IF(NFI_Expiration=1,IF($A1035&lt;VLOOKUP(O$5,NFI,5,0),1,0)*Table_NFI[[#This Row],[Clothes Kit]],Table_NFI[Clothes Kit])</f>
        <v>0</v>
      </c>
      <c r="AG1035" s="294">
        <f>IF(NFI_Expiration=1,IF($A1035&lt;VLOOKUP(P$5,NFI,5,0),1,0)*Table_NFI[[#This Row],[Plastic Bucket]],Table_NFI[Plastic Bucket])</f>
        <v>0</v>
      </c>
      <c r="AH1035" s="294">
        <f>IF(NFI_Expiration=1,IF($A1035&lt;VLOOKUP(Q$5,NFI,5,0),1,0)*Table_NFI[[#This Row],[Plastic Mat]],Table_NFI[Plastic Mat])*IF(Table_NFI[[#This Row],[Distribution Date]]&gt;"2014-04-01",1,2.5)</f>
        <v>0</v>
      </c>
      <c r="AI1035" s="294">
        <f>IF(NFI_Expiration=1,IF($A1035&lt;VLOOKUP(R$5,NFI,5,0),1,0)*Table_NFI[[#This Row],[Winter Clothes Adult]],Table_NFI[Winter Clothes Adult])</f>
        <v>0</v>
      </c>
      <c r="AJ1035" s="294">
        <f>IF(NFI_Expiration=1,IF($A1035&lt;VLOOKUP(S$5,NFI,5,0),1,0)*Table_NFI[[#This Row],[Winter Clothes Children]],Table_NFI[Winter Clothes Children])</f>
        <v>0</v>
      </c>
      <c r="AK1035" s="294">
        <f>IF(NFI_Expiration=1,IF($A1035&lt;VLOOKUP(T$5,NFI,5,0),1,0)*Table_NFI[[#This Row],[Winter Items Other]],Table_NFI[Winter Items Other])</f>
        <v>0</v>
      </c>
      <c r="AL1035" s="294">
        <f>IF(NFI_Expiration=1,IF($A1035&lt;VLOOKUP(M$5,NFI,5,0),1,0)*Table_NFI[[#This Row],[Winter Blanket]],Table_NFI[[#This Row],[Winter Blanket]])</f>
        <v>0</v>
      </c>
      <c r="AM1035" s="294">
        <f>IF(Table_NFI[[#This Row],[Winter Clothes Adult]]+Table_NFI[[#This Row],[Winter Clothes Children]]+Table_NFI[[#This Row],[Winter Items Other]]+Table_NFI[[#This Row],[Winter Blanket]]&gt;0,1,0)</f>
        <v>0</v>
      </c>
      <c r="AN1035" s="331">
        <f>IF(NFI_Expiration=1,IF($A1035&lt;VLOOKUP(V$5,NFI,5,0),1,0)*Table_NFI[[#This Row],[Jerry Can]],Table_NFI[Jerry Can])</f>
        <v>0</v>
      </c>
      <c r="AO1035" s="331">
        <f>IF(NFI_Expiration=1,IF($A1035&lt;VLOOKUP(V$5,NFI,5,0),1,0)*Table_NFI[[#This Row],[Shelter Tool kit]],Table_NFI[Shelter Tool kit])</f>
        <v>0</v>
      </c>
      <c r="AP1035" s="331">
        <f>IF(NFI_Expiration=1,IF($A1035&lt;VLOOKUP(V$5,NFI,5,0),1,0)*Table_NFI[[#This Row],[Tent]],Table_NFI[Tent])</f>
        <v>0</v>
      </c>
      <c r="AQ1035" s="473" t="str">
        <f>IFERROR(VLOOKUP(Table_NFI[[#This Row],[Camp Name]],CL,2,0),"")</f>
        <v>MMR001CMP054</v>
      </c>
      <c r="AR1035" s="468">
        <f ca="1">IF(Table_NFI[[#This Row],[Pcode]]="","",IF(OFFSET(CampList[Opening Date],MATCH(Table_NFI[[#This Row],[Pcode]],CampList[CP_Pcode],0)-1,0,1,1)&gt;=NFI_Monitor_Date,1,0))</f>
        <v>0</v>
      </c>
      <c r="AS1035" s="473" t="str">
        <f>IFERROR(VLOOKUP(Table_NFI[[#This Row],[Camp Name]],CL,3,0),"")</f>
        <v>Open</v>
      </c>
      <c r="AT1035" s="294" t="str">
        <f ca="1">IF(Table_NFI[[#This Row],[Pcode]]="","",OFFSET(CampList[Priority],MATCH(Table_NFI[[#This Row],[Pcode]],CampList[CP_Pcode],0)-1,0,1,1))</f>
        <v>P4</v>
      </c>
      <c r="AU1035" s="293">
        <f>IFERROR(Table_NFI[[#This Row],[Kitchen Set]]/VLOOKUP(Table_NFI[[#This Row],[Camp Name]],CL,4,0),"")</f>
        <v>0</v>
      </c>
      <c r="AV1035" s="466"/>
      <c r="AW1035" s="469"/>
    </row>
    <row r="1036" spans="1:49" s="470" customFormat="1" ht="15" customHeight="1" x14ac:dyDescent="0.25">
      <c r="A1036" s="297">
        <f t="shared" si="16"/>
        <v>57.666666666666664</v>
      </c>
      <c r="B1036" s="465">
        <v>40945</v>
      </c>
      <c r="C1036" s="466" t="s">
        <v>452</v>
      </c>
      <c r="D1036" s="467" t="s">
        <v>452</v>
      </c>
      <c r="E1036" s="466" t="s">
        <v>380</v>
      </c>
      <c r="F1036" s="290" t="s">
        <v>310</v>
      </c>
      <c r="G1036" s="290" t="s">
        <v>351</v>
      </c>
      <c r="H1036" s="291"/>
      <c r="I1036" s="291"/>
      <c r="J1036" s="291"/>
      <c r="K1036" s="291">
        <v>0</v>
      </c>
      <c r="L1036" s="292">
        <v>0</v>
      </c>
      <c r="M1036" s="292">
        <v>0</v>
      </c>
      <c r="N1036" s="292">
        <v>0</v>
      </c>
      <c r="O1036" s="292">
        <v>13</v>
      </c>
      <c r="P1036" s="294">
        <v>13</v>
      </c>
      <c r="Q1036" s="294">
        <v>13</v>
      </c>
      <c r="R1036" s="294"/>
      <c r="S1036" s="294"/>
      <c r="T1036" s="294"/>
      <c r="U1036" s="294"/>
      <c r="V1036" s="431"/>
      <c r="W1036" s="294"/>
      <c r="X1036" s="294"/>
      <c r="Y1036" s="294">
        <f>IF(NFI_Expiration=1,IF($A1036&lt;VLOOKUP(H$5,NFI,5,0),1,0)*Table_NFI[[#This Row],[Hygiene Kit]],Table_NFI[Hygiene Kit])</f>
        <v>0</v>
      </c>
      <c r="Z1036" s="294">
        <f>IF(NFI_Expiration=1,IF($A1036&lt;VLOOKUP(I$5,NFI,5,0),1,0)*Table_NFI[[#This Row],[NFI Core Kit]],Table_NFI[NFI Core Kit])</f>
        <v>0</v>
      </c>
      <c r="AA1036" s="294">
        <f>IF(NFI_Expiration=1,IF($A1036&lt;VLOOKUP(J$5,NFI,5,0),1,0)*Table_NFI[[#This Row],[Sanitary Kit]],Table_NFI[Sanitary Kit])</f>
        <v>0</v>
      </c>
      <c r="AB1036" s="294">
        <f>IF(NFI_Expiration=1,IF($A1036&lt;VLOOKUP(K$5,NFI,5,0),1,0)*Table_NFI[[#This Row],[Mosquito net]],Table_NFI[Mosquito net])</f>
        <v>0</v>
      </c>
      <c r="AC1036" s="294">
        <f>IF(NFI_Expiration=1,IF($A1036&lt;VLOOKUP(L$5,NFI,5,0),1,0)*Table_NFI[[#This Row],[Tarpaulin]],Table_NFI[[#This Row],[Tarpaulin]])</f>
        <v>0</v>
      </c>
      <c r="AD1036" s="294">
        <f>IF(NFI_Expiration=1,IF($A1036&lt;VLOOKUP(M$5,NFI,5,0),1,0)*Table_NFI[[#This Row],[Blanket]],Table_NFI[[#This Row],[Blanket]])</f>
        <v>0</v>
      </c>
      <c r="AE1036" s="294">
        <f>IF(NFI_Expiration=1,IF($A1036&lt;VLOOKUP(N$5,NFI,5,0),1,0)*Table_NFI[[#This Row],[Kitchen Set]],Table_NFI[Kitchen Set])</f>
        <v>0</v>
      </c>
      <c r="AF1036" s="294">
        <f>IF(NFI_Expiration=1,IF($A1036&lt;VLOOKUP(O$5,NFI,5,0),1,0)*Table_NFI[[#This Row],[Clothes Kit]],Table_NFI[Clothes Kit])</f>
        <v>0</v>
      </c>
      <c r="AG1036" s="294">
        <f>IF(NFI_Expiration=1,IF($A1036&lt;VLOOKUP(P$5,NFI,5,0),1,0)*Table_NFI[[#This Row],[Plastic Bucket]],Table_NFI[Plastic Bucket])</f>
        <v>0</v>
      </c>
      <c r="AH1036" s="294">
        <f>IF(NFI_Expiration=1,IF($A1036&lt;VLOOKUP(Q$5,NFI,5,0),1,0)*Table_NFI[[#This Row],[Plastic Mat]],Table_NFI[Plastic Mat])*IF(Table_NFI[[#This Row],[Distribution Date]]&gt;"2014-04-01",1,2.5)</f>
        <v>0</v>
      </c>
      <c r="AI1036" s="294">
        <f>IF(NFI_Expiration=1,IF($A1036&lt;VLOOKUP(R$5,NFI,5,0),1,0)*Table_NFI[[#This Row],[Winter Clothes Adult]],Table_NFI[Winter Clothes Adult])</f>
        <v>0</v>
      </c>
      <c r="AJ1036" s="294">
        <f>IF(NFI_Expiration=1,IF($A1036&lt;VLOOKUP(S$5,NFI,5,0),1,0)*Table_NFI[[#This Row],[Winter Clothes Children]],Table_NFI[Winter Clothes Children])</f>
        <v>0</v>
      </c>
      <c r="AK1036" s="294">
        <f>IF(NFI_Expiration=1,IF($A1036&lt;VLOOKUP(T$5,NFI,5,0),1,0)*Table_NFI[[#This Row],[Winter Items Other]],Table_NFI[Winter Items Other])</f>
        <v>0</v>
      </c>
      <c r="AL1036" s="294">
        <f>IF(NFI_Expiration=1,IF($A1036&lt;VLOOKUP(M$5,NFI,5,0),1,0)*Table_NFI[[#This Row],[Winter Blanket]],Table_NFI[[#This Row],[Winter Blanket]])</f>
        <v>0</v>
      </c>
      <c r="AM1036" s="294">
        <f>IF(Table_NFI[[#This Row],[Winter Clothes Adult]]+Table_NFI[[#This Row],[Winter Clothes Children]]+Table_NFI[[#This Row],[Winter Items Other]]+Table_NFI[[#This Row],[Winter Blanket]]&gt;0,1,0)</f>
        <v>0</v>
      </c>
      <c r="AN1036" s="331">
        <f>IF(NFI_Expiration=1,IF($A1036&lt;VLOOKUP(V$5,NFI,5,0),1,0)*Table_NFI[[#This Row],[Jerry Can]],Table_NFI[Jerry Can])</f>
        <v>0</v>
      </c>
      <c r="AO1036" s="331">
        <f>IF(NFI_Expiration=1,IF($A1036&lt;VLOOKUP(V$5,NFI,5,0),1,0)*Table_NFI[[#This Row],[Shelter Tool kit]],Table_NFI[Shelter Tool kit])</f>
        <v>0</v>
      </c>
      <c r="AP1036" s="331">
        <f>IF(NFI_Expiration=1,IF($A1036&lt;VLOOKUP(V$5,NFI,5,0),1,0)*Table_NFI[[#This Row],[Tent]],Table_NFI[Tent])</f>
        <v>0</v>
      </c>
      <c r="AQ1036" s="473" t="str">
        <f>IFERROR(VLOOKUP(Table_NFI[[#This Row],[Camp Name]],CL,2,0),"")</f>
        <v>MMR001CMP026</v>
      </c>
      <c r="AR1036" s="468">
        <f ca="1">IF(Table_NFI[[#This Row],[Pcode]]="","",IF(OFFSET(CampList[Opening Date],MATCH(Table_NFI[[#This Row],[Pcode]],CampList[CP_Pcode],0)-1,0,1,1)&gt;=NFI_Monitor_Date,1,0))</f>
        <v>0</v>
      </c>
      <c r="AS1036" s="473" t="str">
        <f>IFERROR(VLOOKUP(Table_NFI[[#This Row],[Camp Name]],CL,3,0),"")</f>
        <v>Open</v>
      </c>
      <c r="AT1036" s="294" t="str">
        <f ca="1">IF(Table_NFI[[#This Row],[Pcode]]="","",OFFSET(CampList[Priority],MATCH(Table_NFI[[#This Row],[Pcode]],CampList[CP_Pcode],0)-1,0,1,1))</f>
        <v>P4</v>
      </c>
      <c r="AU1036" s="293">
        <f>IFERROR(Table_NFI[[#This Row],[Kitchen Set]]/VLOOKUP(Table_NFI[[#This Row],[Camp Name]],CL,4,0),"")</f>
        <v>0</v>
      </c>
      <c r="AV1036" s="466" t="s">
        <v>1092</v>
      </c>
      <c r="AW1036" s="469"/>
    </row>
    <row r="1037" spans="1:49" s="470" customFormat="1" ht="14.45" customHeight="1" x14ac:dyDescent="0.25">
      <c r="A1037" s="297">
        <f t="shared" si="16"/>
        <v>57.8</v>
      </c>
      <c r="B1037" s="465">
        <v>40941</v>
      </c>
      <c r="C1037" s="467" t="s">
        <v>452</v>
      </c>
      <c r="D1037" s="467" t="s">
        <v>452</v>
      </c>
      <c r="E1037" s="466" t="s">
        <v>380</v>
      </c>
      <c r="F1037" s="290" t="s">
        <v>151</v>
      </c>
      <c r="G1037" s="290" t="s">
        <v>152</v>
      </c>
      <c r="H1037" s="294">
        <v>718</v>
      </c>
      <c r="I1037" s="291"/>
      <c r="J1037" s="291"/>
      <c r="K1037" s="291"/>
      <c r="L1037" s="292"/>
      <c r="M1037" s="292"/>
      <c r="N1037" s="292"/>
      <c r="O1037" s="292"/>
      <c r="P1037" s="294"/>
      <c r="Q1037" s="294"/>
      <c r="R1037" s="294"/>
      <c r="S1037" s="294"/>
      <c r="T1037" s="294"/>
      <c r="U1037" s="294"/>
      <c r="V1037" s="431"/>
      <c r="W1037" s="331"/>
      <c r="X1037" s="331"/>
      <c r="Y1037" s="294">
        <f>IF(NFI_Expiration=1,IF($A1037&lt;VLOOKUP(H$5,NFI,5,0),1,0)*Table_NFI[[#This Row],[Hygiene Kit]],Table_NFI[Hygiene Kit])</f>
        <v>0</v>
      </c>
      <c r="Z1037" s="294">
        <f>IF(NFI_Expiration=1,IF($A1037&lt;VLOOKUP(I$5,NFI,5,0),1,0)*Table_NFI[[#This Row],[NFI Core Kit]],Table_NFI[NFI Core Kit])</f>
        <v>0</v>
      </c>
      <c r="AA1037" s="294">
        <f>IF(NFI_Expiration=1,IF($A1037&lt;VLOOKUP(J$5,NFI,5,0),1,0)*Table_NFI[[#This Row],[Sanitary Kit]],Table_NFI[Sanitary Kit])</f>
        <v>0</v>
      </c>
      <c r="AB1037" s="294">
        <f>IF(NFI_Expiration=1,IF($A1037&lt;VLOOKUP(K$5,NFI,5,0),1,0)*Table_NFI[[#This Row],[Mosquito net]],Table_NFI[Mosquito net])</f>
        <v>0</v>
      </c>
      <c r="AC1037" s="294">
        <f>IF(NFI_Expiration=1,IF($A1037&lt;VLOOKUP(L$5,NFI,5,0),1,0)*Table_NFI[[#This Row],[Tarpaulin]],Table_NFI[[#This Row],[Tarpaulin]])</f>
        <v>0</v>
      </c>
      <c r="AD1037" s="294">
        <f>IF(NFI_Expiration=1,IF($A1037&lt;VLOOKUP(M$5,NFI,5,0),1,0)*Table_NFI[[#This Row],[Blanket]],Table_NFI[[#This Row],[Blanket]])</f>
        <v>0</v>
      </c>
      <c r="AE1037" s="294">
        <f>IF(NFI_Expiration=1,IF($A1037&lt;VLOOKUP(N$5,NFI,5,0),1,0)*Table_NFI[[#This Row],[Kitchen Set]],Table_NFI[Kitchen Set])</f>
        <v>0</v>
      </c>
      <c r="AF1037" s="294">
        <f>IF(NFI_Expiration=1,IF($A1037&lt;VLOOKUP(O$5,NFI,5,0),1,0)*Table_NFI[[#This Row],[Clothes Kit]],Table_NFI[Clothes Kit])</f>
        <v>0</v>
      </c>
      <c r="AG1037" s="294">
        <f>IF(NFI_Expiration=1,IF($A1037&lt;VLOOKUP(P$5,NFI,5,0),1,0)*Table_NFI[[#This Row],[Plastic Bucket]],Table_NFI[Plastic Bucket])</f>
        <v>0</v>
      </c>
      <c r="AH1037" s="294">
        <f>IF(NFI_Expiration=1,IF($A1037&lt;VLOOKUP(Q$5,NFI,5,0),1,0)*Table_NFI[[#This Row],[Plastic Mat]],Table_NFI[Plastic Mat])*IF(Table_NFI[[#This Row],[Distribution Date]]&gt;"2014-04-01",1,2.5)</f>
        <v>0</v>
      </c>
      <c r="AI1037" s="294">
        <f>IF(NFI_Expiration=1,IF($A1037&lt;VLOOKUP(R$5,NFI,5,0),1,0)*Table_NFI[[#This Row],[Winter Clothes Adult]],Table_NFI[Winter Clothes Adult])</f>
        <v>0</v>
      </c>
      <c r="AJ1037" s="294">
        <f>IF(NFI_Expiration=1,IF($A1037&lt;VLOOKUP(S$5,NFI,5,0),1,0)*Table_NFI[[#This Row],[Winter Clothes Children]],Table_NFI[Winter Clothes Children])</f>
        <v>0</v>
      </c>
      <c r="AK1037" s="294">
        <f>IF(NFI_Expiration=1,IF($A1037&lt;VLOOKUP(T$5,NFI,5,0),1,0)*Table_NFI[[#This Row],[Winter Items Other]],Table_NFI[Winter Items Other])</f>
        <v>0</v>
      </c>
      <c r="AL1037" s="294">
        <f>IF(NFI_Expiration=1,IF($A1037&lt;VLOOKUP(M$5,NFI,5,0),1,0)*Table_NFI[[#This Row],[Winter Blanket]],Table_NFI[[#This Row],[Winter Blanket]])</f>
        <v>0</v>
      </c>
      <c r="AM1037" s="294">
        <f>IF(Table_NFI[[#This Row],[Winter Clothes Adult]]+Table_NFI[[#This Row],[Winter Clothes Children]]+Table_NFI[[#This Row],[Winter Items Other]]+Table_NFI[[#This Row],[Winter Blanket]]&gt;0,1,0)</f>
        <v>0</v>
      </c>
      <c r="AN1037" s="331">
        <f>IF(NFI_Expiration=1,IF($A1037&lt;VLOOKUP(V$5,NFI,5,0),1,0)*Table_NFI[[#This Row],[Jerry Can]],Table_NFI[Jerry Can])</f>
        <v>0</v>
      </c>
      <c r="AO1037" s="331">
        <f>IF(NFI_Expiration=1,IF($A1037&lt;VLOOKUP(V$5,NFI,5,0),1,0)*Table_NFI[[#This Row],[Shelter Tool kit]],Table_NFI[Shelter Tool kit])</f>
        <v>0</v>
      </c>
      <c r="AP1037" s="331">
        <f>IF(NFI_Expiration=1,IF($A1037&lt;VLOOKUP(V$5,NFI,5,0),1,0)*Table_NFI[[#This Row],[Tent]],Table_NFI[Tent])</f>
        <v>0</v>
      </c>
      <c r="AQ1037" s="473" t="str">
        <f>IFERROR(VLOOKUP(Table_NFI[[#This Row],[Camp Name]],CL,2,0),"")</f>
        <v>MMR001CMP066</v>
      </c>
      <c r="AR1037" s="468">
        <f ca="1">IF(Table_NFI[[#This Row],[Pcode]]="","",IF(OFFSET(CampList[Opening Date],MATCH(Table_NFI[[#This Row],[Pcode]],CampList[CP_Pcode],0)-1,0,1,1)&gt;=NFI_Monitor_Date,1,0))</f>
        <v>0</v>
      </c>
      <c r="AS1037" s="473" t="str">
        <f>IFERROR(VLOOKUP(Table_NFI[[#This Row],[Camp Name]],CL,3,0),"")</f>
        <v>Open</v>
      </c>
      <c r="AT1037" s="294" t="str">
        <f ca="1">IF(Table_NFI[[#This Row],[Pcode]]="","",OFFSET(CampList[Priority],MATCH(Table_NFI[[#This Row],[Pcode]],CampList[CP_Pcode],0)-1,0,1,1))</f>
        <v>P4</v>
      </c>
      <c r="AU1037" s="293">
        <f>IFERROR(Table_NFI[[#This Row],[Kitchen Set]]/VLOOKUP(Table_NFI[[#This Row],[Camp Name]],CL,4,0),"")</f>
        <v>0</v>
      </c>
      <c r="AV1037" s="466"/>
      <c r="AW1037" s="469"/>
    </row>
    <row r="1038" spans="1:49" s="470" customFormat="1" ht="13.15" customHeight="1" x14ac:dyDescent="0.25">
      <c r="A1038" s="297">
        <f t="shared" si="16"/>
        <v>57.8</v>
      </c>
      <c r="B1038" s="465">
        <v>40941</v>
      </c>
      <c r="C1038" s="466" t="s">
        <v>905</v>
      </c>
      <c r="D1038" s="467" t="s">
        <v>905</v>
      </c>
      <c r="E1038" s="466" t="s">
        <v>380</v>
      </c>
      <c r="F1038" s="290" t="s">
        <v>151</v>
      </c>
      <c r="G1038" s="290" t="s">
        <v>152</v>
      </c>
      <c r="H1038" s="294">
        <v>718</v>
      </c>
      <c r="I1038" s="291"/>
      <c r="J1038" s="291"/>
      <c r="K1038" s="291"/>
      <c r="L1038" s="292"/>
      <c r="M1038" s="292"/>
      <c r="N1038" s="292"/>
      <c r="O1038" s="292"/>
      <c r="P1038" s="294"/>
      <c r="Q1038" s="294"/>
      <c r="R1038" s="294"/>
      <c r="S1038" s="294"/>
      <c r="T1038" s="294"/>
      <c r="U1038" s="294"/>
      <c r="V1038" s="431"/>
      <c r="W1038" s="331"/>
      <c r="X1038" s="331"/>
      <c r="Y1038" s="294">
        <f>IF(NFI_Expiration=1,IF($A1038&lt;VLOOKUP(H$5,NFI,5,0),1,0)*Table_NFI[[#This Row],[Hygiene Kit]],Table_NFI[Hygiene Kit])</f>
        <v>0</v>
      </c>
      <c r="Z1038" s="294">
        <f>IF(NFI_Expiration=1,IF($A1038&lt;VLOOKUP(I$5,NFI,5,0),1,0)*Table_NFI[[#This Row],[NFI Core Kit]],Table_NFI[NFI Core Kit])</f>
        <v>0</v>
      </c>
      <c r="AA1038" s="294">
        <f>IF(NFI_Expiration=1,IF($A1038&lt;VLOOKUP(J$5,NFI,5,0),1,0)*Table_NFI[[#This Row],[Sanitary Kit]],Table_NFI[Sanitary Kit])</f>
        <v>0</v>
      </c>
      <c r="AB1038" s="294">
        <f>IF(NFI_Expiration=1,IF($A1038&lt;VLOOKUP(K$5,NFI,5,0),1,0)*Table_NFI[[#This Row],[Mosquito net]],Table_NFI[Mosquito net])</f>
        <v>0</v>
      </c>
      <c r="AC1038" s="294">
        <f>IF(NFI_Expiration=1,IF($A1038&lt;VLOOKUP(L$5,NFI,5,0),1,0)*Table_NFI[[#This Row],[Tarpaulin]],Table_NFI[[#This Row],[Tarpaulin]])</f>
        <v>0</v>
      </c>
      <c r="AD1038" s="294">
        <f>IF(NFI_Expiration=1,IF($A1038&lt;VLOOKUP(M$5,NFI,5,0),1,0)*Table_NFI[[#This Row],[Blanket]],Table_NFI[[#This Row],[Blanket]])</f>
        <v>0</v>
      </c>
      <c r="AE1038" s="294">
        <f>IF(NFI_Expiration=1,IF($A1038&lt;VLOOKUP(N$5,NFI,5,0),1,0)*Table_NFI[[#This Row],[Kitchen Set]],Table_NFI[Kitchen Set])</f>
        <v>0</v>
      </c>
      <c r="AF1038" s="294">
        <f>IF(NFI_Expiration=1,IF($A1038&lt;VLOOKUP(O$5,NFI,5,0),1,0)*Table_NFI[[#This Row],[Clothes Kit]],Table_NFI[Clothes Kit])</f>
        <v>0</v>
      </c>
      <c r="AG1038" s="294">
        <f>IF(NFI_Expiration=1,IF($A1038&lt;VLOOKUP(P$5,NFI,5,0),1,0)*Table_NFI[[#This Row],[Plastic Bucket]],Table_NFI[Plastic Bucket])</f>
        <v>0</v>
      </c>
      <c r="AH1038" s="294">
        <f>IF(NFI_Expiration=1,IF($A1038&lt;VLOOKUP(Q$5,NFI,5,0),1,0)*Table_NFI[[#This Row],[Plastic Mat]],Table_NFI[Plastic Mat])*IF(Table_NFI[[#This Row],[Distribution Date]]&gt;"2014-04-01",1,2.5)</f>
        <v>0</v>
      </c>
      <c r="AI1038" s="294">
        <f>IF(NFI_Expiration=1,IF($A1038&lt;VLOOKUP(R$5,NFI,5,0),1,0)*Table_NFI[[#This Row],[Winter Clothes Adult]],Table_NFI[Winter Clothes Adult])</f>
        <v>0</v>
      </c>
      <c r="AJ1038" s="294">
        <f>IF(NFI_Expiration=1,IF($A1038&lt;VLOOKUP(S$5,NFI,5,0),1,0)*Table_NFI[[#This Row],[Winter Clothes Children]],Table_NFI[Winter Clothes Children])</f>
        <v>0</v>
      </c>
      <c r="AK1038" s="294">
        <f>IF(NFI_Expiration=1,IF($A1038&lt;VLOOKUP(T$5,NFI,5,0),1,0)*Table_NFI[[#This Row],[Winter Items Other]],Table_NFI[Winter Items Other])</f>
        <v>0</v>
      </c>
      <c r="AL1038" s="294">
        <f>IF(NFI_Expiration=1,IF($A1038&lt;VLOOKUP(M$5,NFI,5,0),1,0)*Table_NFI[[#This Row],[Winter Blanket]],Table_NFI[[#This Row],[Winter Blanket]])</f>
        <v>0</v>
      </c>
      <c r="AM1038" s="294">
        <f>IF(Table_NFI[[#This Row],[Winter Clothes Adult]]+Table_NFI[[#This Row],[Winter Clothes Children]]+Table_NFI[[#This Row],[Winter Items Other]]+Table_NFI[[#This Row],[Winter Blanket]]&gt;0,1,0)</f>
        <v>0</v>
      </c>
      <c r="AN1038" s="331">
        <f>IF(NFI_Expiration=1,IF($A1038&lt;VLOOKUP(V$5,NFI,5,0),1,0)*Table_NFI[[#This Row],[Jerry Can]],Table_NFI[Jerry Can])</f>
        <v>0</v>
      </c>
      <c r="AO1038" s="331">
        <f>IF(NFI_Expiration=1,IF($A1038&lt;VLOOKUP(V$5,NFI,5,0),1,0)*Table_NFI[[#This Row],[Shelter Tool kit]],Table_NFI[Shelter Tool kit])</f>
        <v>0</v>
      </c>
      <c r="AP1038" s="331">
        <f>IF(NFI_Expiration=1,IF($A1038&lt;VLOOKUP(V$5,NFI,5,0),1,0)*Table_NFI[[#This Row],[Tent]],Table_NFI[Tent])</f>
        <v>0</v>
      </c>
      <c r="AQ1038" s="473" t="str">
        <f>IFERROR(VLOOKUP(Table_NFI[[#This Row],[Camp Name]],CL,2,0),"")</f>
        <v>MMR001CMP066</v>
      </c>
      <c r="AR1038" s="468">
        <f ca="1">IF(Table_NFI[[#This Row],[Pcode]]="","",IF(OFFSET(CampList[Opening Date],MATCH(Table_NFI[[#This Row],[Pcode]],CampList[CP_Pcode],0)-1,0,1,1)&gt;=NFI_Monitor_Date,1,0))</f>
        <v>0</v>
      </c>
      <c r="AS1038" s="473" t="str">
        <f>IFERROR(VLOOKUP(Table_NFI[[#This Row],[Camp Name]],CL,3,0),"")</f>
        <v>Open</v>
      </c>
      <c r="AT1038" s="294" t="str">
        <f ca="1">IF(Table_NFI[[#This Row],[Pcode]]="","",OFFSET(CampList[Priority],MATCH(Table_NFI[[#This Row],[Pcode]],CampList[CP_Pcode],0)-1,0,1,1))</f>
        <v>P4</v>
      </c>
      <c r="AU1038" s="293">
        <f>IFERROR(Table_NFI[[#This Row],[Kitchen Set]]/VLOOKUP(Table_NFI[[#This Row],[Camp Name]],CL,4,0),"")</f>
        <v>0</v>
      </c>
      <c r="AV1038" s="466"/>
      <c r="AW1038" s="469"/>
    </row>
    <row r="1039" spans="1:49" s="470" customFormat="1" ht="14.45" customHeight="1" x14ac:dyDescent="0.25">
      <c r="A1039" s="297">
        <f t="shared" si="16"/>
        <v>57.866666666666667</v>
      </c>
      <c r="B1039" s="465">
        <v>40939</v>
      </c>
      <c r="C1039" s="466" t="s">
        <v>452</v>
      </c>
      <c r="D1039" s="466" t="s">
        <v>452</v>
      </c>
      <c r="E1039" s="466" t="s">
        <v>380</v>
      </c>
      <c r="F1039" s="466" t="s">
        <v>310</v>
      </c>
      <c r="G1039" s="290" t="s">
        <v>351</v>
      </c>
      <c r="H1039" s="291"/>
      <c r="I1039" s="291"/>
      <c r="J1039" s="291"/>
      <c r="K1039" s="291">
        <v>0</v>
      </c>
      <c r="L1039" s="292">
        <v>0</v>
      </c>
      <c r="M1039" s="292">
        <v>0</v>
      </c>
      <c r="N1039" s="292">
        <v>0</v>
      </c>
      <c r="O1039" s="292">
        <v>61</v>
      </c>
      <c r="P1039" s="294">
        <v>61</v>
      </c>
      <c r="Q1039" s="294">
        <v>61</v>
      </c>
      <c r="R1039" s="294"/>
      <c r="S1039" s="294"/>
      <c r="T1039" s="294"/>
      <c r="U1039" s="294"/>
      <c r="V1039" s="431"/>
      <c r="W1039" s="331"/>
      <c r="X1039" s="331"/>
      <c r="Y1039" s="294">
        <f>IF(NFI_Expiration=1,IF($A1039&lt;VLOOKUP(H$5,NFI,5,0),1,0)*Table_NFI[[#This Row],[Hygiene Kit]],Table_NFI[Hygiene Kit])</f>
        <v>0</v>
      </c>
      <c r="Z1039" s="294">
        <f>IF(NFI_Expiration=1,IF($A1039&lt;VLOOKUP(I$5,NFI,5,0),1,0)*Table_NFI[[#This Row],[NFI Core Kit]],Table_NFI[NFI Core Kit])</f>
        <v>0</v>
      </c>
      <c r="AA1039" s="294">
        <f>IF(NFI_Expiration=1,IF($A1039&lt;VLOOKUP(J$5,NFI,5,0),1,0)*Table_NFI[[#This Row],[Sanitary Kit]],Table_NFI[Sanitary Kit])</f>
        <v>0</v>
      </c>
      <c r="AB1039" s="294">
        <f>IF(NFI_Expiration=1,IF($A1039&lt;VLOOKUP(K$5,NFI,5,0),1,0)*Table_NFI[[#This Row],[Mosquito net]],Table_NFI[Mosquito net])</f>
        <v>0</v>
      </c>
      <c r="AC1039" s="294">
        <f>IF(NFI_Expiration=1,IF($A1039&lt;VLOOKUP(L$5,NFI,5,0),1,0)*Table_NFI[[#This Row],[Tarpaulin]],Table_NFI[[#This Row],[Tarpaulin]])</f>
        <v>0</v>
      </c>
      <c r="AD1039" s="294">
        <f>IF(NFI_Expiration=1,IF($A1039&lt;VLOOKUP(M$5,NFI,5,0),1,0)*Table_NFI[[#This Row],[Blanket]],Table_NFI[[#This Row],[Blanket]])</f>
        <v>0</v>
      </c>
      <c r="AE1039" s="294">
        <f>IF(NFI_Expiration=1,IF($A1039&lt;VLOOKUP(N$5,NFI,5,0),1,0)*Table_NFI[[#This Row],[Kitchen Set]],Table_NFI[Kitchen Set])</f>
        <v>0</v>
      </c>
      <c r="AF1039" s="294">
        <f>IF(NFI_Expiration=1,IF($A1039&lt;VLOOKUP(O$5,NFI,5,0),1,0)*Table_NFI[[#This Row],[Clothes Kit]],Table_NFI[Clothes Kit])</f>
        <v>0</v>
      </c>
      <c r="AG1039" s="294">
        <f>IF(NFI_Expiration=1,IF($A1039&lt;VLOOKUP(P$5,NFI,5,0),1,0)*Table_NFI[[#This Row],[Plastic Bucket]],Table_NFI[Plastic Bucket])</f>
        <v>0</v>
      </c>
      <c r="AH1039" s="294">
        <f>IF(NFI_Expiration=1,IF($A1039&lt;VLOOKUP(Q$5,NFI,5,0),1,0)*Table_NFI[[#This Row],[Plastic Mat]],Table_NFI[Plastic Mat])*IF(Table_NFI[[#This Row],[Distribution Date]]&gt;"2014-04-01",1,2.5)</f>
        <v>0</v>
      </c>
      <c r="AI1039" s="294">
        <f>IF(NFI_Expiration=1,IF($A1039&lt;VLOOKUP(R$5,NFI,5,0),1,0)*Table_NFI[[#This Row],[Winter Clothes Adult]],Table_NFI[Winter Clothes Adult])</f>
        <v>0</v>
      </c>
      <c r="AJ1039" s="294">
        <f>IF(NFI_Expiration=1,IF($A1039&lt;VLOOKUP(S$5,NFI,5,0),1,0)*Table_NFI[[#This Row],[Winter Clothes Children]],Table_NFI[Winter Clothes Children])</f>
        <v>0</v>
      </c>
      <c r="AK1039" s="294">
        <f>IF(NFI_Expiration=1,IF($A1039&lt;VLOOKUP(T$5,NFI,5,0),1,0)*Table_NFI[[#This Row],[Winter Items Other]],Table_NFI[Winter Items Other])</f>
        <v>0</v>
      </c>
      <c r="AL1039" s="294">
        <f>IF(NFI_Expiration=1,IF($A1039&lt;VLOOKUP(M$5,NFI,5,0),1,0)*Table_NFI[[#This Row],[Winter Blanket]],Table_NFI[[#This Row],[Winter Blanket]])</f>
        <v>0</v>
      </c>
      <c r="AM1039" s="294">
        <f>IF(Table_NFI[[#This Row],[Winter Clothes Adult]]+Table_NFI[[#This Row],[Winter Clothes Children]]+Table_NFI[[#This Row],[Winter Items Other]]+Table_NFI[[#This Row],[Winter Blanket]]&gt;0,1,0)</f>
        <v>0</v>
      </c>
      <c r="AN1039" s="331">
        <f>IF(NFI_Expiration=1,IF($A1039&lt;VLOOKUP(V$5,NFI,5,0),1,0)*Table_NFI[[#This Row],[Jerry Can]],Table_NFI[Jerry Can])</f>
        <v>0</v>
      </c>
      <c r="AO1039" s="331">
        <f>IF(NFI_Expiration=1,IF($A1039&lt;VLOOKUP(V$5,NFI,5,0),1,0)*Table_NFI[[#This Row],[Shelter Tool kit]],Table_NFI[Shelter Tool kit])</f>
        <v>0</v>
      </c>
      <c r="AP1039" s="331">
        <f>IF(NFI_Expiration=1,IF($A1039&lt;VLOOKUP(V$5,NFI,5,0),1,0)*Table_NFI[[#This Row],[Tent]],Table_NFI[Tent])</f>
        <v>0</v>
      </c>
      <c r="AQ1039" s="473" t="str">
        <f>IFERROR(VLOOKUP(Table_NFI[[#This Row],[Camp Name]],CL,2,0),"")</f>
        <v>MMR001CMP026</v>
      </c>
      <c r="AR1039" s="468">
        <f ca="1">IF(Table_NFI[[#This Row],[Pcode]]="","",IF(OFFSET(CampList[Opening Date],MATCH(Table_NFI[[#This Row],[Pcode]],CampList[CP_Pcode],0)-1,0,1,1)&gt;=NFI_Monitor_Date,1,0))</f>
        <v>0</v>
      </c>
      <c r="AS1039" s="473" t="str">
        <f>IFERROR(VLOOKUP(Table_NFI[[#This Row],[Camp Name]],CL,3,0),"")</f>
        <v>Open</v>
      </c>
      <c r="AT1039" s="294" t="str">
        <f ca="1">IF(Table_NFI[[#This Row],[Pcode]]="","",OFFSET(CampList[Priority],MATCH(Table_NFI[[#This Row],[Pcode]],CampList[CP_Pcode],0)-1,0,1,1))</f>
        <v>P4</v>
      </c>
      <c r="AU1039" s="293">
        <f>IFERROR(Table_NFI[[#This Row],[Kitchen Set]]/VLOOKUP(Table_NFI[[#This Row],[Camp Name]],CL,4,0),"")</f>
        <v>0</v>
      </c>
      <c r="AV1039" s="466" t="s">
        <v>1092</v>
      </c>
      <c r="AW1039" s="469"/>
    </row>
    <row r="1040" spans="1:49" s="479" customFormat="1" ht="17.45" customHeight="1" x14ac:dyDescent="0.25">
      <c r="A1040" s="297">
        <f t="shared" si="16"/>
        <v>58.06666666666667</v>
      </c>
      <c r="B1040" s="465">
        <v>40933</v>
      </c>
      <c r="C1040" s="466" t="s">
        <v>905</v>
      </c>
      <c r="D1040" s="466"/>
      <c r="E1040" s="466" t="s">
        <v>380</v>
      </c>
      <c r="F1040" s="290" t="s">
        <v>5</v>
      </c>
      <c r="G1040" s="290" t="s">
        <v>18</v>
      </c>
      <c r="H1040" s="294">
        <v>94</v>
      </c>
      <c r="I1040" s="291"/>
      <c r="J1040" s="291"/>
      <c r="K1040" s="291"/>
      <c r="L1040" s="292"/>
      <c r="M1040" s="292"/>
      <c r="N1040" s="292"/>
      <c r="O1040" s="292"/>
      <c r="P1040" s="294"/>
      <c r="Q1040" s="294"/>
      <c r="R1040" s="294"/>
      <c r="S1040" s="294"/>
      <c r="T1040" s="294"/>
      <c r="U1040" s="294"/>
      <c r="V1040" s="431"/>
      <c r="W1040" s="331"/>
      <c r="X1040" s="331"/>
      <c r="Y1040" s="294">
        <f>IF(NFI_Expiration=1,IF($A1040&lt;VLOOKUP(H$5,NFI,5,0),1,0)*Table_NFI[[#This Row],[Hygiene Kit]],Table_NFI[Hygiene Kit])</f>
        <v>0</v>
      </c>
      <c r="Z1040" s="294">
        <f>IF(NFI_Expiration=1,IF($A1040&lt;VLOOKUP(I$5,NFI,5,0),1,0)*Table_NFI[[#This Row],[NFI Core Kit]],Table_NFI[NFI Core Kit])</f>
        <v>0</v>
      </c>
      <c r="AA1040" s="294">
        <f>IF(NFI_Expiration=1,IF($A1040&lt;VLOOKUP(J$5,NFI,5,0),1,0)*Table_NFI[[#This Row],[Sanitary Kit]],Table_NFI[Sanitary Kit])</f>
        <v>0</v>
      </c>
      <c r="AB1040" s="294">
        <f>IF(NFI_Expiration=1,IF($A1040&lt;VLOOKUP(K$5,NFI,5,0),1,0)*Table_NFI[[#This Row],[Mosquito net]],Table_NFI[Mosquito net])</f>
        <v>0</v>
      </c>
      <c r="AC1040" s="294">
        <f>IF(NFI_Expiration=1,IF($A1040&lt;VLOOKUP(L$5,NFI,5,0),1,0)*Table_NFI[[#This Row],[Tarpaulin]],Table_NFI[[#This Row],[Tarpaulin]])</f>
        <v>0</v>
      </c>
      <c r="AD1040" s="294">
        <f>IF(NFI_Expiration=1,IF($A1040&lt;VLOOKUP(M$5,NFI,5,0),1,0)*Table_NFI[[#This Row],[Blanket]],Table_NFI[[#This Row],[Blanket]])</f>
        <v>0</v>
      </c>
      <c r="AE1040" s="294">
        <f>IF(NFI_Expiration=1,IF($A1040&lt;VLOOKUP(N$5,NFI,5,0),1,0)*Table_NFI[[#This Row],[Kitchen Set]],Table_NFI[Kitchen Set])</f>
        <v>0</v>
      </c>
      <c r="AF1040" s="294">
        <f>IF(NFI_Expiration=1,IF($A1040&lt;VLOOKUP(O$5,NFI,5,0),1,0)*Table_NFI[[#This Row],[Clothes Kit]],Table_NFI[Clothes Kit])</f>
        <v>0</v>
      </c>
      <c r="AG1040" s="294">
        <f>IF(NFI_Expiration=1,IF($A1040&lt;VLOOKUP(P$5,NFI,5,0),1,0)*Table_NFI[[#This Row],[Plastic Bucket]],Table_NFI[Plastic Bucket])</f>
        <v>0</v>
      </c>
      <c r="AH1040" s="294">
        <f>IF(NFI_Expiration=1,IF($A1040&lt;VLOOKUP(Q$5,NFI,5,0),1,0)*Table_NFI[[#This Row],[Plastic Mat]],Table_NFI[Plastic Mat])*IF(Table_NFI[[#This Row],[Distribution Date]]&gt;"2014-04-01",1,2.5)</f>
        <v>0</v>
      </c>
      <c r="AI1040" s="294">
        <f>IF(NFI_Expiration=1,IF($A1040&lt;VLOOKUP(R$5,NFI,5,0),1,0)*Table_NFI[[#This Row],[Winter Clothes Adult]],Table_NFI[Winter Clothes Adult])</f>
        <v>0</v>
      </c>
      <c r="AJ1040" s="294">
        <f>IF(NFI_Expiration=1,IF($A1040&lt;VLOOKUP(S$5,NFI,5,0),1,0)*Table_NFI[[#This Row],[Winter Clothes Children]],Table_NFI[Winter Clothes Children])</f>
        <v>0</v>
      </c>
      <c r="AK1040" s="294">
        <f>IF(NFI_Expiration=1,IF($A1040&lt;VLOOKUP(T$5,NFI,5,0),1,0)*Table_NFI[[#This Row],[Winter Items Other]],Table_NFI[Winter Items Other])</f>
        <v>0</v>
      </c>
      <c r="AL1040" s="294">
        <f>IF(NFI_Expiration=1,IF($A1040&lt;VLOOKUP(M$5,NFI,5,0),1,0)*Table_NFI[[#This Row],[Winter Blanket]],Table_NFI[[#This Row],[Winter Blanket]])</f>
        <v>0</v>
      </c>
      <c r="AM1040" s="294">
        <f>IF(Table_NFI[[#This Row],[Winter Clothes Adult]]+Table_NFI[[#This Row],[Winter Clothes Children]]+Table_NFI[[#This Row],[Winter Items Other]]+Table_NFI[[#This Row],[Winter Blanket]]&gt;0,1,0)</f>
        <v>0</v>
      </c>
      <c r="AN1040" s="331">
        <f>IF(NFI_Expiration=1,IF($A1040&lt;VLOOKUP(V$5,NFI,5,0),1,0)*Table_NFI[[#This Row],[Jerry Can]],Table_NFI[Jerry Can])</f>
        <v>0</v>
      </c>
      <c r="AO1040" s="331">
        <f>IF(NFI_Expiration=1,IF($A1040&lt;VLOOKUP(V$5,NFI,5,0),1,0)*Table_NFI[[#This Row],[Shelter Tool kit]],Table_NFI[Shelter Tool kit])</f>
        <v>0</v>
      </c>
      <c r="AP1040" s="331">
        <f>IF(NFI_Expiration=1,IF($A1040&lt;VLOOKUP(V$5,NFI,5,0),1,0)*Table_NFI[[#This Row],[Tent]],Table_NFI[Tent])</f>
        <v>0</v>
      </c>
      <c r="AQ1040" s="473" t="str">
        <f>IFERROR(VLOOKUP(Table_NFI[[#This Row],[Camp Name]],CL,2,0),"")</f>
        <v>MMR001CMP049</v>
      </c>
      <c r="AR1040" s="468">
        <f ca="1">IF(Table_NFI[[#This Row],[Pcode]]="","",IF(OFFSET(CampList[Opening Date],MATCH(Table_NFI[[#This Row],[Pcode]],CampList[CP_Pcode],0)-1,0,1,1)&gt;=NFI_Monitor_Date,1,0))</f>
        <v>0</v>
      </c>
      <c r="AS1040" s="473" t="str">
        <f>IFERROR(VLOOKUP(Table_NFI[[#This Row],[Camp Name]],CL,3,0),"")</f>
        <v>Open</v>
      </c>
      <c r="AT1040" s="294" t="str">
        <f ca="1">IF(Table_NFI[[#This Row],[Pcode]]="","",OFFSET(CampList[Priority],MATCH(Table_NFI[[#This Row],[Pcode]],CampList[CP_Pcode],0)-1,0,1,1))</f>
        <v>P4</v>
      </c>
      <c r="AU1040" s="293">
        <f>IFERROR(Table_NFI[[#This Row],[Kitchen Set]]/VLOOKUP(Table_NFI[[#This Row],[Camp Name]],CL,4,0),"")</f>
        <v>0</v>
      </c>
      <c r="AV1040" s="466"/>
      <c r="AW1040" s="469"/>
    </row>
    <row r="1041" spans="1:49" s="470" customFormat="1" ht="19.149999999999999" customHeight="1" x14ac:dyDescent="0.25">
      <c r="A1041" s="297">
        <f t="shared" si="16"/>
        <v>58.266666666666666</v>
      </c>
      <c r="B1041" s="465">
        <v>40927</v>
      </c>
      <c r="C1041" s="466" t="s">
        <v>452</v>
      </c>
      <c r="D1041" s="466" t="s">
        <v>460</v>
      </c>
      <c r="E1041" s="466" t="s">
        <v>380</v>
      </c>
      <c r="F1041" s="290" t="s">
        <v>237</v>
      </c>
      <c r="G1041" s="290" t="s">
        <v>253</v>
      </c>
      <c r="H1041" s="291"/>
      <c r="I1041" s="291"/>
      <c r="J1041" s="291"/>
      <c r="K1041" s="291">
        <v>0</v>
      </c>
      <c r="L1041" s="292">
        <v>0</v>
      </c>
      <c r="M1041" s="292">
        <v>0</v>
      </c>
      <c r="N1041" s="292">
        <v>0</v>
      </c>
      <c r="O1041" s="292">
        <v>118</v>
      </c>
      <c r="P1041" s="294">
        <v>118</v>
      </c>
      <c r="Q1041" s="294">
        <v>118</v>
      </c>
      <c r="R1041" s="294"/>
      <c r="S1041" s="294"/>
      <c r="T1041" s="294"/>
      <c r="U1041" s="294"/>
      <c r="V1041" s="431"/>
      <c r="W1041" s="331"/>
      <c r="X1041" s="331"/>
      <c r="Y1041" s="294">
        <f>IF(NFI_Expiration=1,IF($A1041&lt;VLOOKUP(H$5,NFI,5,0),1,0)*Table_NFI[[#This Row],[Hygiene Kit]],Table_NFI[Hygiene Kit])</f>
        <v>0</v>
      </c>
      <c r="Z1041" s="294">
        <f>IF(NFI_Expiration=1,IF($A1041&lt;VLOOKUP(I$5,NFI,5,0),1,0)*Table_NFI[[#This Row],[NFI Core Kit]],Table_NFI[NFI Core Kit])</f>
        <v>0</v>
      </c>
      <c r="AA1041" s="294">
        <f>IF(NFI_Expiration=1,IF($A1041&lt;VLOOKUP(J$5,NFI,5,0),1,0)*Table_NFI[[#This Row],[Sanitary Kit]],Table_NFI[Sanitary Kit])</f>
        <v>0</v>
      </c>
      <c r="AB1041" s="294">
        <f>IF(NFI_Expiration=1,IF($A1041&lt;VLOOKUP(K$5,NFI,5,0),1,0)*Table_NFI[[#This Row],[Mosquito net]],Table_NFI[Mosquito net])</f>
        <v>0</v>
      </c>
      <c r="AC1041" s="294">
        <f>IF(NFI_Expiration=1,IF($A1041&lt;VLOOKUP(L$5,NFI,5,0),1,0)*Table_NFI[[#This Row],[Tarpaulin]],Table_NFI[[#This Row],[Tarpaulin]])</f>
        <v>0</v>
      </c>
      <c r="AD1041" s="294">
        <f>IF(NFI_Expiration=1,IF($A1041&lt;VLOOKUP(M$5,NFI,5,0),1,0)*Table_NFI[[#This Row],[Blanket]],Table_NFI[[#This Row],[Blanket]])</f>
        <v>0</v>
      </c>
      <c r="AE1041" s="294">
        <f>IF(NFI_Expiration=1,IF($A1041&lt;VLOOKUP(N$5,NFI,5,0),1,0)*Table_NFI[[#This Row],[Kitchen Set]],Table_NFI[Kitchen Set])</f>
        <v>0</v>
      </c>
      <c r="AF1041" s="294">
        <f>IF(NFI_Expiration=1,IF($A1041&lt;VLOOKUP(O$5,NFI,5,0),1,0)*Table_NFI[[#This Row],[Clothes Kit]],Table_NFI[Clothes Kit])</f>
        <v>0</v>
      </c>
      <c r="AG1041" s="294">
        <f>IF(NFI_Expiration=1,IF($A1041&lt;VLOOKUP(P$5,NFI,5,0),1,0)*Table_NFI[[#This Row],[Plastic Bucket]],Table_NFI[Plastic Bucket])</f>
        <v>0</v>
      </c>
      <c r="AH1041" s="294">
        <f>IF(NFI_Expiration=1,IF($A1041&lt;VLOOKUP(Q$5,NFI,5,0),1,0)*Table_NFI[[#This Row],[Plastic Mat]],Table_NFI[Plastic Mat])*IF(Table_NFI[[#This Row],[Distribution Date]]&gt;"2014-04-01",1,2.5)</f>
        <v>0</v>
      </c>
      <c r="AI1041" s="294">
        <f>IF(NFI_Expiration=1,IF($A1041&lt;VLOOKUP(R$5,NFI,5,0),1,0)*Table_NFI[[#This Row],[Winter Clothes Adult]],Table_NFI[Winter Clothes Adult])</f>
        <v>0</v>
      </c>
      <c r="AJ1041" s="294">
        <f>IF(NFI_Expiration=1,IF($A1041&lt;VLOOKUP(S$5,NFI,5,0),1,0)*Table_NFI[[#This Row],[Winter Clothes Children]],Table_NFI[Winter Clothes Children])</f>
        <v>0</v>
      </c>
      <c r="AK1041" s="294">
        <f>IF(NFI_Expiration=1,IF($A1041&lt;VLOOKUP(T$5,NFI,5,0),1,0)*Table_NFI[[#This Row],[Winter Items Other]],Table_NFI[Winter Items Other])</f>
        <v>0</v>
      </c>
      <c r="AL1041" s="294">
        <f>IF(NFI_Expiration=1,IF($A1041&lt;VLOOKUP(M$5,NFI,5,0),1,0)*Table_NFI[[#This Row],[Winter Blanket]],Table_NFI[[#This Row],[Winter Blanket]])</f>
        <v>0</v>
      </c>
      <c r="AM1041" s="294">
        <f>IF(Table_NFI[[#This Row],[Winter Clothes Adult]]+Table_NFI[[#This Row],[Winter Clothes Children]]+Table_NFI[[#This Row],[Winter Items Other]]+Table_NFI[[#This Row],[Winter Blanket]]&gt;0,1,0)</f>
        <v>0</v>
      </c>
      <c r="AN1041" s="331">
        <f>IF(NFI_Expiration=1,IF($A1041&lt;VLOOKUP(V$5,NFI,5,0),1,0)*Table_NFI[[#This Row],[Jerry Can]],Table_NFI[Jerry Can])</f>
        <v>0</v>
      </c>
      <c r="AO1041" s="331">
        <f>IF(NFI_Expiration=1,IF($A1041&lt;VLOOKUP(V$5,NFI,5,0),1,0)*Table_NFI[[#This Row],[Shelter Tool kit]],Table_NFI[Shelter Tool kit])</f>
        <v>0</v>
      </c>
      <c r="AP1041" s="331">
        <f>IF(NFI_Expiration=1,IF($A1041&lt;VLOOKUP(V$5,NFI,5,0),1,0)*Table_NFI[[#This Row],[Tent]],Table_NFI[Tent])</f>
        <v>0</v>
      </c>
      <c r="AQ1041" s="473" t="str">
        <f>IFERROR(VLOOKUP(Table_NFI[[#This Row],[Camp Name]],CL,2,0),"")</f>
        <v>MMR001CMP018</v>
      </c>
      <c r="AR1041" s="468">
        <f ca="1">IF(Table_NFI[[#This Row],[Pcode]]="","",IF(OFFSET(CampList[Opening Date],MATCH(Table_NFI[[#This Row],[Pcode]],CampList[CP_Pcode],0)-1,0,1,1)&gt;=NFI_Monitor_Date,1,0))</f>
        <v>0</v>
      </c>
      <c r="AS1041" s="473" t="str">
        <f>IFERROR(VLOOKUP(Table_NFI[[#This Row],[Camp Name]],CL,3,0),"")</f>
        <v>Open</v>
      </c>
      <c r="AT1041" s="294" t="str">
        <f ca="1">IF(Table_NFI[[#This Row],[Pcode]]="","",OFFSET(CampList[Priority],MATCH(Table_NFI[[#This Row],[Pcode]],CampList[CP_Pcode],0)-1,0,1,1))</f>
        <v>P4</v>
      </c>
      <c r="AU1041" s="293">
        <f>IFERROR(Table_NFI[[#This Row],[Kitchen Set]]/VLOOKUP(Table_NFI[[#This Row],[Camp Name]],CL,4,0),"")</f>
        <v>0</v>
      </c>
      <c r="AV1041" s="466" t="s">
        <v>1092</v>
      </c>
      <c r="AW1041" s="469"/>
    </row>
    <row r="1042" spans="1:49" s="470" customFormat="1" ht="13.15" customHeight="1" x14ac:dyDescent="0.25">
      <c r="A1042" s="297">
        <f t="shared" si="16"/>
        <v>58.466666666666669</v>
      </c>
      <c r="B1042" s="465">
        <v>40921</v>
      </c>
      <c r="C1042" s="466" t="s">
        <v>452</v>
      </c>
      <c r="D1042" s="467" t="s">
        <v>460</v>
      </c>
      <c r="E1042" s="466" t="s">
        <v>380</v>
      </c>
      <c r="F1042" s="290" t="s">
        <v>527</v>
      </c>
      <c r="G1042" s="290" t="s">
        <v>62</v>
      </c>
      <c r="H1042" s="291"/>
      <c r="I1042" s="291"/>
      <c r="J1042" s="291"/>
      <c r="K1042" s="291">
        <v>52</v>
      </c>
      <c r="L1042" s="292">
        <v>26</v>
      </c>
      <c r="M1042" s="292">
        <v>36</v>
      </c>
      <c r="N1042" s="292">
        <v>0</v>
      </c>
      <c r="O1042" s="292">
        <v>26</v>
      </c>
      <c r="P1042" s="294">
        <v>26</v>
      </c>
      <c r="Q1042" s="294">
        <v>26</v>
      </c>
      <c r="R1042" s="294"/>
      <c r="S1042" s="294"/>
      <c r="T1042" s="294"/>
      <c r="U1042" s="294"/>
      <c r="V1042" s="431"/>
      <c r="W1042" s="331"/>
      <c r="X1042" s="331"/>
      <c r="Y1042" s="294">
        <f>IF(NFI_Expiration=1,IF($A1042&lt;VLOOKUP(H$5,NFI,5,0),1,0)*Table_NFI[[#This Row],[Hygiene Kit]],Table_NFI[Hygiene Kit])</f>
        <v>0</v>
      </c>
      <c r="Z1042" s="294">
        <f>IF(NFI_Expiration=1,IF($A1042&lt;VLOOKUP(I$5,NFI,5,0),1,0)*Table_NFI[[#This Row],[NFI Core Kit]],Table_NFI[NFI Core Kit])</f>
        <v>0</v>
      </c>
      <c r="AA1042" s="294">
        <f>IF(NFI_Expiration=1,IF($A1042&lt;VLOOKUP(J$5,NFI,5,0),1,0)*Table_NFI[[#This Row],[Sanitary Kit]],Table_NFI[Sanitary Kit])</f>
        <v>0</v>
      </c>
      <c r="AB1042" s="294">
        <f>IF(NFI_Expiration=1,IF($A1042&lt;VLOOKUP(K$5,NFI,5,0),1,0)*Table_NFI[[#This Row],[Mosquito net]],Table_NFI[Mosquito net])</f>
        <v>0</v>
      </c>
      <c r="AC1042" s="294">
        <f>IF(NFI_Expiration=1,IF($A1042&lt;VLOOKUP(L$5,NFI,5,0),1,0)*Table_NFI[[#This Row],[Tarpaulin]],Table_NFI[[#This Row],[Tarpaulin]])</f>
        <v>0</v>
      </c>
      <c r="AD1042" s="294">
        <f>IF(NFI_Expiration=1,IF($A1042&lt;VLOOKUP(M$5,NFI,5,0),1,0)*Table_NFI[[#This Row],[Blanket]],Table_NFI[[#This Row],[Blanket]])</f>
        <v>0</v>
      </c>
      <c r="AE1042" s="294">
        <f>IF(NFI_Expiration=1,IF($A1042&lt;VLOOKUP(N$5,NFI,5,0),1,0)*Table_NFI[[#This Row],[Kitchen Set]],Table_NFI[Kitchen Set])</f>
        <v>0</v>
      </c>
      <c r="AF1042" s="294">
        <f>IF(NFI_Expiration=1,IF($A1042&lt;VLOOKUP(O$5,NFI,5,0),1,0)*Table_NFI[[#This Row],[Clothes Kit]],Table_NFI[Clothes Kit])</f>
        <v>0</v>
      </c>
      <c r="AG1042" s="294">
        <f>IF(NFI_Expiration=1,IF($A1042&lt;VLOOKUP(P$5,NFI,5,0),1,0)*Table_NFI[[#This Row],[Plastic Bucket]],Table_NFI[Plastic Bucket])</f>
        <v>0</v>
      </c>
      <c r="AH1042" s="294">
        <f>IF(NFI_Expiration=1,IF($A1042&lt;VLOOKUP(Q$5,NFI,5,0),1,0)*Table_NFI[[#This Row],[Plastic Mat]],Table_NFI[Plastic Mat])*IF(Table_NFI[[#This Row],[Distribution Date]]&gt;"2014-04-01",1,2.5)</f>
        <v>0</v>
      </c>
      <c r="AI1042" s="294">
        <f>IF(NFI_Expiration=1,IF($A1042&lt;VLOOKUP(R$5,NFI,5,0),1,0)*Table_NFI[[#This Row],[Winter Clothes Adult]],Table_NFI[Winter Clothes Adult])</f>
        <v>0</v>
      </c>
      <c r="AJ1042" s="294">
        <f>IF(NFI_Expiration=1,IF($A1042&lt;VLOOKUP(S$5,NFI,5,0),1,0)*Table_NFI[[#This Row],[Winter Clothes Children]],Table_NFI[Winter Clothes Children])</f>
        <v>0</v>
      </c>
      <c r="AK1042" s="294">
        <f>IF(NFI_Expiration=1,IF($A1042&lt;VLOOKUP(T$5,NFI,5,0),1,0)*Table_NFI[[#This Row],[Winter Items Other]],Table_NFI[Winter Items Other])</f>
        <v>0</v>
      </c>
      <c r="AL1042" s="294">
        <f>IF(NFI_Expiration=1,IF($A1042&lt;VLOOKUP(M$5,NFI,5,0),1,0)*Table_NFI[[#This Row],[Winter Blanket]],Table_NFI[[#This Row],[Winter Blanket]])</f>
        <v>0</v>
      </c>
      <c r="AM1042" s="294">
        <f>IF(Table_NFI[[#This Row],[Winter Clothes Adult]]+Table_NFI[[#This Row],[Winter Clothes Children]]+Table_NFI[[#This Row],[Winter Items Other]]+Table_NFI[[#This Row],[Winter Blanket]]&gt;0,1,0)</f>
        <v>0</v>
      </c>
      <c r="AN1042" s="331">
        <f>IF(NFI_Expiration=1,IF($A1042&lt;VLOOKUP(V$5,NFI,5,0),1,0)*Table_NFI[[#This Row],[Jerry Can]],Table_NFI[Jerry Can])</f>
        <v>0</v>
      </c>
      <c r="AO1042" s="331">
        <f>IF(NFI_Expiration=1,IF($A1042&lt;VLOOKUP(V$5,NFI,5,0),1,0)*Table_NFI[[#This Row],[Shelter Tool kit]],Table_NFI[Shelter Tool kit])</f>
        <v>0</v>
      </c>
      <c r="AP1042" s="331">
        <f>IF(NFI_Expiration=1,IF($A1042&lt;VLOOKUP(V$5,NFI,5,0),1,0)*Table_NFI[[#This Row],[Tent]],Table_NFI[Tent])</f>
        <v>0</v>
      </c>
      <c r="AQ1042" s="473" t="str">
        <f>IFERROR(VLOOKUP(Table_NFI[[#This Row],[Camp Name]],CL,2,0),"")</f>
        <v>MMR001CMP179</v>
      </c>
      <c r="AR1042" s="468">
        <f ca="1">IF(Table_NFI[[#This Row],[Pcode]]="","",IF(OFFSET(CampList[Opening Date],MATCH(Table_NFI[[#This Row],[Pcode]],CampList[CP_Pcode],0)-1,0,1,1)&gt;=NFI_Monitor_Date,1,0))</f>
        <v>0</v>
      </c>
      <c r="AS1042" s="473" t="str">
        <f>IFERROR(VLOOKUP(Table_NFI[[#This Row],[Camp Name]],CL,3,0),"")</f>
        <v>Open</v>
      </c>
      <c r="AT1042" s="294" t="str">
        <f ca="1">IF(Table_NFI[[#This Row],[Pcode]]="","",OFFSET(CampList[Priority],MATCH(Table_NFI[[#This Row],[Pcode]],CampList[CP_Pcode],0)-1,0,1,1))</f>
        <v>P4</v>
      </c>
      <c r="AU1042" s="293">
        <f>IFERROR(Table_NFI[[#This Row],[Kitchen Set]]/VLOOKUP(Table_NFI[[#This Row],[Camp Name]],CL,4,0),"")</f>
        <v>0</v>
      </c>
      <c r="AV1042" s="466" t="s">
        <v>1092</v>
      </c>
      <c r="AW1042" s="469"/>
    </row>
    <row r="1043" spans="1:49" s="470" customFormat="1" ht="13.15" customHeight="1" x14ac:dyDescent="0.25">
      <c r="A1043" s="297">
        <f t="shared" si="16"/>
        <v>58.466666666666669</v>
      </c>
      <c r="B1043" s="465">
        <v>40921</v>
      </c>
      <c r="C1043" s="466" t="s">
        <v>452</v>
      </c>
      <c r="D1043" s="466" t="s">
        <v>460</v>
      </c>
      <c r="E1043" s="466" t="s">
        <v>380</v>
      </c>
      <c r="F1043" s="290" t="s">
        <v>527</v>
      </c>
      <c r="G1043" s="290" t="s">
        <v>62</v>
      </c>
      <c r="H1043" s="291"/>
      <c r="I1043" s="291"/>
      <c r="J1043" s="291"/>
      <c r="K1043" s="291">
        <v>120</v>
      </c>
      <c r="L1043" s="292">
        <v>60</v>
      </c>
      <c r="M1043" s="292">
        <v>60</v>
      </c>
      <c r="N1043" s="292">
        <v>0</v>
      </c>
      <c r="O1043" s="292">
        <v>60</v>
      </c>
      <c r="P1043" s="294">
        <v>60</v>
      </c>
      <c r="Q1043" s="294">
        <v>60</v>
      </c>
      <c r="R1043" s="294"/>
      <c r="S1043" s="294"/>
      <c r="T1043" s="294"/>
      <c r="U1043" s="294"/>
      <c r="V1043" s="431"/>
      <c r="W1043" s="331"/>
      <c r="X1043" s="331"/>
      <c r="Y1043" s="294">
        <f>IF(NFI_Expiration=1,IF($A1043&lt;VLOOKUP(H$5,NFI,5,0),1,0)*Table_NFI[[#This Row],[Hygiene Kit]],Table_NFI[Hygiene Kit])</f>
        <v>0</v>
      </c>
      <c r="Z1043" s="294">
        <f>IF(NFI_Expiration=1,IF($A1043&lt;VLOOKUP(I$5,NFI,5,0),1,0)*Table_NFI[[#This Row],[NFI Core Kit]],Table_NFI[NFI Core Kit])</f>
        <v>0</v>
      </c>
      <c r="AA1043" s="294">
        <f>IF(NFI_Expiration=1,IF($A1043&lt;VLOOKUP(J$5,NFI,5,0),1,0)*Table_NFI[[#This Row],[Sanitary Kit]],Table_NFI[Sanitary Kit])</f>
        <v>0</v>
      </c>
      <c r="AB1043" s="294">
        <f>IF(NFI_Expiration=1,IF($A1043&lt;VLOOKUP(K$5,NFI,5,0),1,0)*Table_NFI[[#This Row],[Mosquito net]],Table_NFI[Mosquito net])</f>
        <v>0</v>
      </c>
      <c r="AC1043" s="294">
        <f>IF(NFI_Expiration=1,IF($A1043&lt;VLOOKUP(L$5,NFI,5,0),1,0)*Table_NFI[[#This Row],[Tarpaulin]],Table_NFI[[#This Row],[Tarpaulin]])</f>
        <v>0</v>
      </c>
      <c r="AD1043" s="294">
        <f>IF(NFI_Expiration=1,IF($A1043&lt;VLOOKUP(M$5,NFI,5,0),1,0)*Table_NFI[[#This Row],[Blanket]],Table_NFI[[#This Row],[Blanket]])</f>
        <v>0</v>
      </c>
      <c r="AE1043" s="294">
        <f>IF(NFI_Expiration=1,IF($A1043&lt;VLOOKUP(N$5,NFI,5,0),1,0)*Table_NFI[[#This Row],[Kitchen Set]],Table_NFI[Kitchen Set])</f>
        <v>0</v>
      </c>
      <c r="AF1043" s="294">
        <f>IF(NFI_Expiration=1,IF($A1043&lt;VLOOKUP(O$5,NFI,5,0),1,0)*Table_NFI[[#This Row],[Clothes Kit]],Table_NFI[Clothes Kit])</f>
        <v>0</v>
      </c>
      <c r="AG1043" s="294">
        <f>IF(NFI_Expiration=1,IF($A1043&lt;VLOOKUP(P$5,NFI,5,0),1,0)*Table_NFI[[#This Row],[Plastic Bucket]],Table_NFI[Plastic Bucket])</f>
        <v>0</v>
      </c>
      <c r="AH1043" s="294">
        <f>IF(NFI_Expiration=1,IF($A1043&lt;VLOOKUP(Q$5,NFI,5,0),1,0)*Table_NFI[[#This Row],[Plastic Mat]],Table_NFI[Plastic Mat])*IF(Table_NFI[[#This Row],[Distribution Date]]&gt;"2014-04-01",1,2.5)</f>
        <v>0</v>
      </c>
      <c r="AI1043" s="294">
        <f>IF(NFI_Expiration=1,IF($A1043&lt;VLOOKUP(R$5,NFI,5,0),1,0)*Table_NFI[[#This Row],[Winter Clothes Adult]],Table_NFI[Winter Clothes Adult])</f>
        <v>0</v>
      </c>
      <c r="AJ1043" s="294">
        <f>IF(NFI_Expiration=1,IF($A1043&lt;VLOOKUP(S$5,NFI,5,0),1,0)*Table_NFI[[#This Row],[Winter Clothes Children]],Table_NFI[Winter Clothes Children])</f>
        <v>0</v>
      </c>
      <c r="AK1043" s="294">
        <f>IF(NFI_Expiration=1,IF($A1043&lt;VLOOKUP(T$5,NFI,5,0),1,0)*Table_NFI[[#This Row],[Winter Items Other]],Table_NFI[Winter Items Other])</f>
        <v>0</v>
      </c>
      <c r="AL1043" s="294">
        <f>IF(NFI_Expiration=1,IF($A1043&lt;VLOOKUP(M$5,NFI,5,0),1,0)*Table_NFI[[#This Row],[Winter Blanket]],Table_NFI[[#This Row],[Winter Blanket]])</f>
        <v>0</v>
      </c>
      <c r="AM1043" s="294">
        <f>IF(Table_NFI[[#This Row],[Winter Clothes Adult]]+Table_NFI[[#This Row],[Winter Clothes Children]]+Table_NFI[[#This Row],[Winter Items Other]]+Table_NFI[[#This Row],[Winter Blanket]]&gt;0,1,0)</f>
        <v>0</v>
      </c>
      <c r="AN1043" s="331">
        <f>IF(NFI_Expiration=1,IF($A1043&lt;VLOOKUP(V$5,NFI,5,0),1,0)*Table_NFI[[#This Row],[Jerry Can]],Table_NFI[Jerry Can])</f>
        <v>0</v>
      </c>
      <c r="AO1043" s="331">
        <f>IF(NFI_Expiration=1,IF($A1043&lt;VLOOKUP(V$5,NFI,5,0),1,0)*Table_NFI[[#This Row],[Shelter Tool kit]],Table_NFI[Shelter Tool kit])</f>
        <v>0</v>
      </c>
      <c r="AP1043" s="331">
        <f>IF(NFI_Expiration=1,IF($A1043&lt;VLOOKUP(V$5,NFI,5,0),1,0)*Table_NFI[[#This Row],[Tent]],Table_NFI[Tent])</f>
        <v>0</v>
      </c>
      <c r="AQ1043" s="473" t="str">
        <f>IFERROR(VLOOKUP(Table_NFI[[#This Row],[Camp Name]],CL,2,0),"")</f>
        <v>MMR001CMP179</v>
      </c>
      <c r="AR1043" s="468">
        <f ca="1">IF(Table_NFI[[#This Row],[Pcode]]="","",IF(OFFSET(CampList[Opening Date],MATCH(Table_NFI[[#This Row],[Pcode]],CampList[CP_Pcode],0)-1,0,1,1)&gt;=NFI_Monitor_Date,1,0))</f>
        <v>0</v>
      </c>
      <c r="AS1043" s="473" t="str">
        <f>IFERROR(VLOOKUP(Table_NFI[[#This Row],[Camp Name]],CL,3,0),"")</f>
        <v>Open</v>
      </c>
      <c r="AT1043" s="294" t="str">
        <f ca="1">IF(Table_NFI[[#This Row],[Pcode]]="","",OFFSET(CampList[Priority],MATCH(Table_NFI[[#This Row],[Pcode]],CampList[CP_Pcode],0)-1,0,1,1))</f>
        <v>P4</v>
      </c>
      <c r="AU1043" s="293">
        <f>IFERROR(Table_NFI[[#This Row],[Kitchen Set]]/VLOOKUP(Table_NFI[[#This Row],[Camp Name]],CL,4,0),"")</f>
        <v>0</v>
      </c>
      <c r="AV1043" s="466" t="s">
        <v>1092</v>
      </c>
      <c r="AW1043" s="469"/>
    </row>
    <row r="1044" spans="1:49" s="470" customFormat="1" ht="13.15" customHeight="1" x14ac:dyDescent="0.25">
      <c r="A1044" s="297">
        <f t="shared" si="16"/>
        <v>58.466666666666669</v>
      </c>
      <c r="B1044" s="465">
        <v>40921</v>
      </c>
      <c r="C1044" s="466" t="s">
        <v>452</v>
      </c>
      <c r="D1044" s="467" t="s">
        <v>460</v>
      </c>
      <c r="E1044" s="466" t="s">
        <v>380</v>
      </c>
      <c r="F1044" s="290" t="s">
        <v>527</v>
      </c>
      <c r="G1044" s="290" t="s">
        <v>62</v>
      </c>
      <c r="H1044" s="291"/>
      <c r="I1044" s="291"/>
      <c r="J1044" s="291"/>
      <c r="K1044" s="291">
        <v>148</v>
      </c>
      <c r="L1044" s="292">
        <v>74</v>
      </c>
      <c r="M1044" s="292">
        <v>74</v>
      </c>
      <c r="N1044" s="292">
        <v>0</v>
      </c>
      <c r="O1044" s="292">
        <v>74</v>
      </c>
      <c r="P1044" s="294">
        <v>74</v>
      </c>
      <c r="Q1044" s="294">
        <v>74</v>
      </c>
      <c r="R1044" s="294"/>
      <c r="S1044" s="294"/>
      <c r="T1044" s="294"/>
      <c r="U1044" s="294"/>
      <c r="V1044" s="431"/>
      <c r="W1044" s="331"/>
      <c r="X1044" s="331"/>
      <c r="Y1044" s="294">
        <f>IF(NFI_Expiration=1,IF($A1044&lt;VLOOKUP(H$5,NFI,5,0),1,0)*Table_NFI[[#This Row],[Hygiene Kit]],Table_NFI[Hygiene Kit])</f>
        <v>0</v>
      </c>
      <c r="Z1044" s="294">
        <f>IF(NFI_Expiration=1,IF($A1044&lt;VLOOKUP(I$5,NFI,5,0),1,0)*Table_NFI[[#This Row],[NFI Core Kit]],Table_NFI[NFI Core Kit])</f>
        <v>0</v>
      </c>
      <c r="AA1044" s="294">
        <f>IF(NFI_Expiration=1,IF($A1044&lt;VLOOKUP(J$5,NFI,5,0),1,0)*Table_NFI[[#This Row],[Sanitary Kit]],Table_NFI[Sanitary Kit])</f>
        <v>0</v>
      </c>
      <c r="AB1044" s="294">
        <f>IF(NFI_Expiration=1,IF($A1044&lt;VLOOKUP(K$5,NFI,5,0),1,0)*Table_NFI[[#This Row],[Mosquito net]],Table_NFI[Mosquito net])</f>
        <v>0</v>
      </c>
      <c r="AC1044" s="294">
        <f>IF(NFI_Expiration=1,IF($A1044&lt;VLOOKUP(L$5,NFI,5,0),1,0)*Table_NFI[[#This Row],[Tarpaulin]],Table_NFI[[#This Row],[Tarpaulin]])</f>
        <v>0</v>
      </c>
      <c r="AD1044" s="294">
        <f>IF(NFI_Expiration=1,IF($A1044&lt;VLOOKUP(M$5,NFI,5,0),1,0)*Table_NFI[[#This Row],[Blanket]],Table_NFI[[#This Row],[Blanket]])</f>
        <v>0</v>
      </c>
      <c r="AE1044" s="294">
        <f>IF(NFI_Expiration=1,IF($A1044&lt;VLOOKUP(N$5,NFI,5,0),1,0)*Table_NFI[[#This Row],[Kitchen Set]],Table_NFI[Kitchen Set])</f>
        <v>0</v>
      </c>
      <c r="AF1044" s="294">
        <f>IF(NFI_Expiration=1,IF($A1044&lt;VLOOKUP(O$5,NFI,5,0),1,0)*Table_NFI[[#This Row],[Clothes Kit]],Table_NFI[Clothes Kit])</f>
        <v>0</v>
      </c>
      <c r="AG1044" s="294">
        <f>IF(NFI_Expiration=1,IF($A1044&lt;VLOOKUP(P$5,NFI,5,0),1,0)*Table_NFI[[#This Row],[Plastic Bucket]],Table_NFI[Plastic Bucket])</f>
        <v>0</v>
      </c>
      <c r="AH1044" s="294">
        <f>IF(NFI_Expiration=1,IF($A1044&lt;VLOOKUP(Q$5,NFI,5,0),1,0)*Table_NFI[[#This Row],[Plastic Mat]],Table_NFI[Plastic Mat])*IF(Table_NFI[[#This Row],[Distribution Date]]&gt;"2014-04-01",1,2.5)</f>
        <v>0</v>
      </c>
      <c r="AI1044" s="294">
        <f>IF(NFI_Expiration=1,IF($A1044&lt;VLOOKUP(R$5,NFI,5,0),1,0)*Table_NFI[[#This Row],[Winter Clothes Adult]],Table_NFI[Winter Clothes Adult])</f>
        <v>0</v>
      </c>
      <c r="AJ1044" s="294">
        <f>IF(NFI_Expiration=1,IF($A1044&lt;VLOOKUP(S$5,NFI,5,0),1,0)*Table_NFI[[#This Row],[Winter Clothes Children]],Table_NFI[Winter Clothes Children])</f>
        <v>0</v>
      </c>
      <c r="AK1044" s="294">
        <f>IF(NFI_Expiration=1,IF($A1044&lt;VLOOKUP(T$5,NFI,5,0),1,0)*Table_NFI[[#This Row],[Winter Items Other]],Table_NFI[Winter Items Other])</f>
        <v>0</v>
      </c>
      <c r="AL1044" s="294">
        <f>IF(NFI_Expiration=1,IF($A1044&lt;VLOOKUP(M$5,NFI,5,0),1,0)*Table_NFI[[#This Row],[Winter Blanket]],Table_NFI[[#This Row],[Winter Blanket]])</f>
        <v>0</v>
      </c>
      <c r="AM1044" s="294">
        <f>IF(Table_NFI[[#This Row],[Winter Clothes Adult]]+Table_NFI[[#This Row],[Winter Clothes Children]]+Table_NFI[[#This Row],[Winter Items Other]]+Table_NFI[[#This Row],[Winter Blanket]]&gt;0,1,0)</f>
        <v>0</v>
      </c>
      <c r="AN1044" s="331">
        <f>IF(NFI_Expiration=1,IF($A1044&lt;VLOOKUP(V$5,NFI,5,0),1,0)*Table_NFI[[#This Row],[Jerry Can]],Table_NFI[Jerry Can])</f>
        <v>0</v>
      </c>
      <c r="AO1044" s="331">
        <f>IF(NFI_Expiration=1,IF($A1044&lt;VLOOKUP(V$5,NFI,5,0),1,0)*Table_NFI[[#This Row],[Shelter Tool kit]],Table_NFI[Shelter Tool kit])</f>
        <v>0</v>
      </c>
      <c r="AP1044" s="331">
        <f>IF(NFI_Expiration=1,IF($A1044&lt;VLOOKUP(V$5,NFI,5,0),1,0)*Table_NFI[[#This Row],[Tent]],Table_NFI[Tent])</f>
        <v>0</v>
      </c>
      <c r="AQ1044" s="473" t="str">
        <f>IFERROR(VLOOKUP(Table_NFI[[#This Row],[Camp Name]],CL,2,0),"")</f>
        <v>MMR001CMP179</v>
      </c>
      <c r="AR1044" s="468">
        <f ca="1">IF(Table_NFI[[#This Row],[Pcode]]="","",IF(OFFSET(CampList[Opening Date],MATCH(Table_NFI[[#This Row],[Pcode]],CampList[CP_Pcode],0)-1,0,1,1)&gt;=NFI_Monitor_Date,1,0))</f>
        <v>0</v>
      </c>
      <c r="AS1044" s="473" t="str">
        <f>IFERROR(VLOOKUP(Table_NFI[[#This Row],[Camp Name]],CL,3,0),"")</f>
        <v>Open</v>
      </c>
      <c r="AT1044" s="294" t="str">
        <f ca="1">IF(Table_NFI[[#This Row],[Pcode]]="","",OFFSET(CampList[Priority],MATCH(Table_NFI[[#This Row],[Pcode]],CampList[CP_Pcode],0)-1,0,1,1))</f>
        <v>P4</v>
      </c>
      <c r="AU1044" s="293">
        <f>IFERROR(Table_NFI[[#This Row],[Kitchen Set]]/VLOOKUP(Table_NFI[[#This Row],[Camp Name]],CL,4,0),"")</f>
        <v>0</v>
      </c>
      <c r="AV1044" s="466" t="s">
        <v>1092</v>
      </c>
      <c r="AW1044" s="469"/>
    </row>
    <row r="1045" spans="1:49" s="470" customFormat="1" ht="13.15" customHeight="1" x14ac:dyDescent="0.25">
      <c r="A1045" s="297">
        <f t="shared" si="16"/>
        <v>58.466666666666669</v>
      </c>
      <c r="B1045" s="465">
        <v>40921</v>
      </c>
      <c r="C1045" s="466" t="s">
        <v>452</v>
      </c>
      <c r="D1045" s="467" t="s">
        <v>460</v>
      </c>
      <c r="E1045" s="466" t="s">
        <v>380</v>
      </c>
      <c r="F1045" s="290" t="s">
        <v>527</v>
      </c>
      <c r="G1045" s="290" t="s">
        <v>52</v>
      </c>
      <c r="H1045" s="291"/>
      <c r="I1045" s="291"/>
      <c r="J1045" s="291"/>
      <c r="K1045" s="291">
        <v>70</v>
      </c>
      <c r="L1045" s="292">
        <v>35</v>
      </c>
      <c r="M1045" s="292">
        <v>35</v>
      </c>
      <c r="N1045" s="292">
        <v>0</v>
      </c>
      <c r="O1045" s="292">
        <v>35</v>
      </c>
      <c r="P1045" s="294">
        <v>35</v>
      </c>
      <c r="Q1045" s="294">
        <v>35</v>
      </c>
      <c r="R1045" s="294"/>
      <c r="S1045" s="294"/>
      <c r="T1045" s="294"/>
      <c r="U1045" s="294"/>
      <c r="V1045" s="431"/>
      <c r="W1045" s="331"/>
      <c r="X1045" s="331"/>
      <c r="Y1045" s="294">
        <f>IF(NFI_Expiration=1,IF($A1045&lt;VLOOKUP(H$5,NFI,5,0),1,0)*Table_NFI[[#This Row],[Hygiene Kit]],Table_NFI[Hygiene Kit])</f>
        <v>0</v>
      </c>
      <c r="Z1045" s="294">
        <f>IF(NFI_Expiration=1,IF($A1045&lt;VLOOKUP(I$5,NFI,5,0),1,0)*Table_NFI[[#This Row],[NFI Core Kit]],Table_NFI[NFI Core Kit])</f>
        <v>0</v>
      </c>
      <c r="AA1045" s="294">
        <f>IF(NFI_Expiration=1,IF($A1045&lt;VLOOKUP(J$5,NFI,5,0),1,0)*Table_NFI[[#This Row],[Sanitary Kit]],Table_NFI[Sanitary Kit])</f>
        <v>0</v>
      </c>
      <c r="AB1045" s="294">
        <f>IF(NFI_Expiration=1,IF($A1045&lt;VLOOKUP(K$5,NFI,5,0),1,0)*Table_NFI[[#This Row],[Mosquito net]],Table_NFI[Mosquito net])</f>
        <v>0</v>
      </c>
      <c r="AC1045" s="294">
        <f>IF(NFI_Expiration=1,IF($A1045&lt;VLOOKUP(L$5,NFI,5,0),1,0)*Table_NFI[[#This Row],[Tarpaulin]],Table_NFI[[#This Row],[Tarpaulin]])</f>
        <v>0</v>
      </c>
      <c r="AD1045" s="294">
        <f>IF(NFI_Expiration=1,IF($A1045&lt;VLOOKUP(M$5,NFI,5,0),1,0)*Table_NFI[[#This Row],[Blanket]],Table_NFI[[#This Row],[Blanket]])</f>
        <v>0</v>
      </c>
      <c r="AE1045" s="294">
        <f>IF(NFI_Expiration=1,IF($A1045&lt;VLOOKUP(N$5,NFI,5,0),1,0)*Table_NFI[[#This Row],[Kitchen Set]],Table_NFI[Kitchen Set])</f>
        <v>0</v>
      </c>
      <c r="AF1045" s="294">
        <f>IF(NFI_Expiration=1,IF($A1045&lt;VLOOKUP(O$5,NFI,5,0),1,0)*Table_NFI[[#This Row],[Clothes Kit]],Table_NFI[Clothes Kit])</f>
        <v>0</v>
      </c>
      <c r="AG1045" s="294">
        <f>IF(NFI_Expiration=1,IF($A1045&lt;VLOOKUP(P$5,NFI,5,0),1,0)*Table_NFI[[#This Row],[Plastic Bucket]],Table_NFI[Plastic Bucket])</f>
        <v>0</v>
      </c>
      <c r="AH1045" s="294">
        <f>IF(NFI_Expiration=1,IF($A1045&lt;VLOOKUP(Q$5,NFI,5,0),1,0)*Table_NFI[[#This Row],[Plastic Mat]],Table_NFI[Plastic Mat])*IF(Table_NFI[[#This Row],[Distribution Date]]&gt;"2014-04-01",1,2.5)</f>
        <v>0</v>
      </c>
      <c r="AI1045" s="294">
        <f>IF(NFI_Expiration=1,IF($A1045&lt;VLOOKUP(R$5,NFI,5,0),1,0)*Table_NFI[[#This Row],[Winter Clothes Adult]],Table_NFI[Winter Clothes Adult])</f>
        <v>0</v>
      </c>
      <c r="AJ1045" s="294">
        <f>IF(NFI_Expiration=1,IF($A1045&lt;VLOOKUP(S$5,NFI,5,0),1,0)*Table_NFI[[#This Row],[Winter Clothes Children]],Table_NFI[Winter Clothes Children])</f>
        <v>0</v>
      </c>
      <c r="AK1045" s="294">
        <f>IF(NFI_Expiration=1,IF($A1045&lt;VLOOKUP(T$5,NFI,5,0),1,0)*Table_NFI[[#This Row],[Winter Items Other]],Table_NFI[Winter Items Other])</f>
        <v>0</v>
      </c>
      <c r="AL1045" s="294">
        <f>IF(NFI_Expiration=1,IF($A1045&lt;VLOOKUP(M$5,NFI,5,0),1,0)*Table_NFI[[#This Row],[Winter Blanket]],Table_NFI[[#This Row],[Winter Blanket]])</f>
        <v>0</v>
      </c>
      <c r="AM1045" s="294">
        <f>IF(Table_NFI[[#This Row],[Winter Clothes Adult]]+Table_NFI[[#This Row],[Winter Clothes Children]]+Table_NFI[[#This Row],[Winter Items Other]]+Table_NFI[[#This Row],[Winter Blanket]]&gt;0,1,0)</f>
        <v>0</v>
      </c>
      <c r="AN1045" s="331">
        <f>IF(NFI_Expiration=1,IF($A1045&lt;VLOOKUP(V$5,NFI,5,0),1,0)*Table_NFI[[#This Row],[Jerry Can]],Table_NFI[Jerry Can])</f>
        <v>0</v>
      </c>
      <c r="AO1045" s="331">
        <f>IF(NFI_Expiration=1,IF($A1045&lt;VLOOKUP(V$5,NFI,5,0),1,0)*Table_NFI[[#This Row],[Shelter Tool kit]],Table_NFI[Shelter Tool kit])</f>
        <v>0</v>
      </c>
      <c r="AP1045" s="331">
        <f>IF(NFI_Expiration=1,IF($A1045&lt;VLOOKUP(V$5,NFI,5,0),1,0)*Table_NFI[[#This Row],[Tent]],Table_NFI[Tent])</f>
        <v>0</v>
      </c>
      <c r="AQ1045" s="473" t="str">
        <f>IFERROR(VLOOKUP(Table_NFI[[#This Row],[Camp Name]],CL,2,0),"")</f>
        <v>MMR001CMP169</v>
      </c>
      <c r="AR1045" s="468">
        <f ca="1">IF(Table_NFI[[#This Row],[Pcode]]="","",IF(OFFSET(CampList[Opening Date],MATCH(Table_NFI[[#This Row],[Pcode]],CampList[CP_Pcode],0)-1,0,1,1)&gt;=NFI_Monitor_Date,1,0))</f>
        <v>0</v>
      </c>
      <c r="AS1045" s="473" t="str">
        <f>IFERROR(VLOOKUP(Table_NFI[[#This Row],[Camp Name]],CL,3,0),"")</f>
        <v>Open</v>
      </c>
      <c r="AT1045" s="294" t="str">
        <f ca="1">IF(Table_NFI[[#This Row],[Pcode]]="","",OFFSET(CampList[Priority],MATCH(Table_NFI[[#This Row],[Pcode]],CampList[CP_Pcode],0)-1,0,1,1))</f>
        <v>P4</v>
      </c>
      <c r="AU1045" s="293">
        <f>IFERROR(Table_NFI[[#This Row],[Kitchen Set]]/VLOOKUP(Table_NFI[[#This Row],[Camp Name]],CL,4,0),"")</f>
        <v>0</v>
      </c>
      <c r="AV1045" s="466" t="s">
        <v>1092</v>
      </c>
      <c r="AW1045" s="469"/>
    </row>
    <row r="1046" spans="1:49" s="470" customFormat="1" ht="13.15" customHeight="1" x14ac:dyDescent="0.25">
      <c r="A1046" s="297">
        <f t="shared" si="16"/>
        <v>58.466666666666669</v>
      </c>
      <c r="B1046" s="465">
        <v>40921</v>
      </c>
      <c r="C1046" s="466" t="s">
        <v>452</v>
      </c>
      <c r="D1046" s="467" t="s">
        <v>460</v>
      </c>
      <c r="E1046" s="466" t="s">
        <v>380</v>
      </c>
      <c r="F1046" s="290" t="s">
        <v>527</v>
      </c>
      <c r="G1046" s="290" t="s">
        <v>88</v>
      </c>
      <c r="H1046" s="291"/>
      <c r="I1046" s="291"/>
      <c r="J1046" s="291"/>
      <c r="K1046" s="291">
        <v>10</v>
      </c>
      <c r="L1046" s="292">
        <v>5</v>
      </c>
      <c r="M1046" s="292">
        <v>5</v>
      </c>
      <c r="N1046" s="292">
        <v>0</v>
      </c>
      <c r="O1046" s="292">
        <v>5</v>
      </c>
      <c r="P1046" s="294">
        <v>5</v>
      </c>
      <c r="Q1046" s="294">
        <v>5</v>
      </c>
      <c r="R1046" s="294"/>
      <c r="S1046" s="294"/>
      <c r="T1046" s="294"/>
      <c r="U1046" s="294"/>
      <c r="V1046" s="431"/>
      <c r="W1046" s="331"/>
      <c r="X1046" s="331"/>
      <c r="Y1046" s="294">
        <f>IF(NFI_Expiration=1,IF($A1046&lt;VLOOKUP(H$5,NFI,5,0),1,0)*Table_NFI[[#This Row],[Hygiene Kit]],Table_NFI[Hygiene Kit])</f>
        <v>0</v>
      </c>
      <c r="Z1046" s="294">
        <f>IF(NFI_Expiration=1,IF($A1046&lt;VLOOKUP(I$5,NFI,5,0),1,0)*Table_NFI[[#This Row],[NFI Core Kit]],Table_NFI[NFI Core Kit])</f>
        <v>0</v>
      </c>
      <c r="AA1046" s="294">
        <f>IF(NFI_Expiration=1,IF($A1046&lt;VLOOKUP(J$5,NFI,5,0),1,0)*Table_NFI[[#This Row],[Sanitary Kit]],Table_NFI[Sanitary Kit])</f>
        <v>0</v>
      </c>
      <c r="AB1046" s="294">
        <f>IF(NFI_Expiration=1,IF($A1046&lt;VLOOKUP(K$5,NFI,5,0),1,0)*Table_NFI[[#This Row],[Mosquito net]],Table_NFI[Mosquito net])</f>
        <v>0</v>
      </c>
      <c r="AC1046" s="294">
        <f>IF(NFI_Expiration=1,IF($A1046&lt;VLOOKUP(L$5,NFI,5,0),1,0)*Table_NFI[[#This Row],[Tarpaulin]],Table_NFI[[#This Row],[Tarpaulin]])</f>
        <v>0</v>
      </c>
      <c r="AD1046" s="294">
        <f>IF(NFI_Expiration=1,IF($A1046&lt;VLOOKUP(M$5,NFI,5,0),1,0)*Table_NFI[[#This Row],[Blanket]],Table_NFI[[#This Row],[Blanket]])</f>
        <v>0</v>
      </c>
      <c r="AE1046" s="294">
        <f>IF(NFI_Expiration=1,IF($A1046&lt;VLOOKUP(N$5,NFI,5,0),1,0)*Table_NFI[[#This Row],[Kitchen Set]],Table_NFI[Kitchen Set])</f>
        <v>0</v>
      </c>
      <c r="AF1046" s="294">
        <f>IF(NFI_Expiration=1,IF($A1046&lt;VLOOKUP(O$5,NFI,5,0),1,0)*Table_NFI[[#This Row],[Clothes Kit]],Table_NFI[Clothes Kit])</f>
        <v>0</v>
      </c>
      <c r="AG1046" s="294">
        <f>IF(NFI_Expiration=1,IF($A1046&lt;VLOOKUP(P$5,NFI,5,0),1,0)*Table_NFI[[#This Row],[Plastic Bucket]],Table_NFI[Plastic Bucket])</f>
        <v>0</v>
      </c>
      <c r="AH1046" s="294">
        <f>IF(NFI_Expiration=1,IF($A1046&lt;VLOOKUP(Q$5,NFI,5,0),1,0)*Table_NFI[[#This Row],[Plastic Mat]],Table_NFI[Plastic Mat])*IF(Table_NFI[[#This Row],[Distribution Date]]&gt;"2014-04-01",1,2.5)</f>
        <v>0</v>
      </c>
      <c r="AI1046" s="294">
        <f>IF(NFI_Expiration=1,IF($A1046&lt;VLOOKUP(R$5,NFI,5,0),1,0)*Table_NFI[[#This Row],[Winter Clothes Adult]],Table_NFI[Winter Clothes Adult])</f>
        <v>0</v>
      </c>
      <c r="AJ1046" s="294">
        <f>IF(NFI_Expiration=1,IF($A1046&lt;VLOOKUP(S$5,NFI,5,0),1,0)*Table_NFI[[#This Row],[Winter Clothes Children]],Table_NFI[Winter Clothes Children])</f>
        <v>0</v>
      </c>
      <c r="AK1046" s="294">
        <f>IF(NFI_Expiration=1,IF($A1046&lt;VLOOKUP(T$5,NFI,5,0),1,0)*Table_NFI[[#This Row],[Winter Items Other]],Table_NFI[Winter Items Other])</f>
        <v>0</v>
      </c>
      <c r="AL1046" s="294">
        <f>IF(NFI_Expiration=1,IF($A1046&lt;VLOOKUP(M$5,NFI,5,0),1,0)*Table_NFI[[#This Row],[Winter Blanket]],Table_NFI[[#This Row],[Winter Blanket]])</f>
        <v>0</v>
      </c>
      <c r="AM1046" s="294">
        <f>IF(Table_NFI[[#This Row],[Winter Clothes Adult]]+Table_NFI[[#This Row],[Winter Clothes Children]]+Table_NFI[[#This Row],[Winter Items Other]]+Table_NFI[[#This Row],[Winter Blanket]]&gt;0,1,0)</f>
        <v>0</v>
      </c>
      <c r="AN1046" s="331">
        <f>IF(NFI_Expiration=1,IF($A1046&lt;VLOOKUP(V$5,NFI,5,0),1,0)*Table_NFI[[#This Row],[Jerry Can]],Table_NFI[Jerry Can])</f>
        <v>0</v>
      </c>
      <c r="AO1046" s="331">
        <f>IF(NFI_Expiration=1,IF($A1046&lt;VLOOKUP(V$5,NFI,5,0),1,0)*Table_NFI[[#This Row],[Shelter Tool kit]],Table_NFI[Shelter Tool kit])</f>
        <v>0</v>
      </c>
      <c r="AP1046" s="331">
        <f>IF(NFI_Expiration=1,IF($A1046&lt;VLOOKUP(V$5,NFI,5,0),1,0)*Table_NFI[[#This Row],[Tent]],Table_NFI[Tent])</f>
        <v>0</v>
      </c>
      <c r="AQ1046" s="473" t="str">
        <f>IFERROR(VLOOKUP(Table_NFI[[#This Row],[Camp Name]],CL,2,0),"")</f>
        <v>MMR001CMP148</v>
      </c>
      <c r="AR1046" s="468">
        <f ca="1">IF(Table_NFI[[#This Row],[Pcode]]="","",IF(OFFSET(CampList[Opening Date],MATCH(Table_NFI[[#This Row],[Pcode]],CampList[CP_Pcode],0)-1,0,1,1)&gt;=NFI_Monitor_Date,1,0))</f>
        <v>0</v>
      </c>
      <c r="AS1046" s="473" t="str">
        <f>IFERROR(VLOOKUP(Table_NFI[[#This Row],[Camp Name]],CL,3,0),"")</f>
        <v>Open</v>
      </c>
      <c r="AT1046" s="294" t="str">
        <f ca="1">IF(Table_NFI[[#This Row],[Pcode]]="","",OFFSET(CampList[Priority],MATCH(Table_NFI[[#This Row],[Pcode]],CampList[CP_Pcode],0)-1,0,1,1))</f>
        <v>P4</v>
      </c>
      <c r="AU1046" s="293">
        <f>IFERROR(Table_NFI[[#This Row],[Kitchen Set]]/VLOOKUP(Table_NFI[[#This Row],[Camp Name]],CL,4,0),"")</f>
        <v>0</v>
      </c>
      <c r="AV1046" s="466" t="s">
        <v>1092</v>
      </c>
      <c r="AW1046" s="469"/>
    </row>
    <row r="1047" spans="1:49" s="479" customFormat="1" ht="16.899999999999999" customHeight="1" x14ac:dyDescent="0.25">
      <c r="A1047" s="297">
        <f t="shared" si="16"/>
        <v>58.466666666666669</v>
      </c>
      <c r="B1047" s="465">
        <v>40921</v>
      </c>
      <c r="C1047" s="466" t="s">
        <v>452</v>
      </c>
      <c r="D1047" s="467" t="s">
        <v>460</v>
      </c>
      <c r="E1047" s="466" t="s">
        <v>380</v>
      </c>
      <c r="F1047" s="290"/>
      <c r="G1047" s="290" t="s">
        <v>908</v>
      </c>
      <c r="H1047" s="291"/>
      <c r="I1047" s="291"/>
      <c r="J1047" s="291"/>
      <c r="K1047" s="291">
        <v>76</v>
      </c>
      <c r="L1047" s="292">
        <v>38</v>
      </c>
      <c r="M1047" s="292">
        <v>38</v>
      </c>
      <c r="N1047" s="292">
        <v>0</v>
      </c>
      <c r="O1047" s="292">
        <v>38</v>
      </c>
      <c r="P1047" s="294">
        <v>38</v>
      </c>
      <c r="Q1047" s="294">
        <v>38</v>
      </c>
      <c r="R1047" s="294"/>
      <c r="S1047" s="294"/>
      <c r="T1047" s="294"/>
      <c r="U1047" s="294"/>
      <c r="V1047" s="431"/>
      <c r="W1047" s="294"/>
      <c r="X1047" s="294"/>
      <c r="Y1047" s="294">
        <f>IF(NFI_Expiration=1,IF($A1047&lt;VLOOKUP(H$5,NFI,5,0),1,0)*Table_NFI[[#This Row],[Hygiene Kit]],Table_NFI[Hygiene Kit])</f>
        <v>0</v>
      </c>
      <c r="Z1047" s="294">
        <f>IF(NFI_Expiration=1,IF($A1047&lt;VLOOKUP(I$5,NFI,5,0),1,0)*Table_NFI[[#This Row],[NFI Core Kit]],Table_NFI[NFI Core Kit])</f>
        <v>0</v>
      </c>
      <c r="AA1047" s="294">
        <f>IF(NFI_Expiration=1,IF($A1047&lt;VLOOKUP(J$5,NFI,5,0),1,0)*Table_NFI[[#This Row],[Sanitary Kit]],Table_NFI[Sanitary Kit])</f>
        <v>0</v>
      </c>
      <c r="AB1047" s="294">
        <f>IF(NFI_Expiration=1,IF($A1047&lt;VLOOKUP(K$5,NFI,5,0),1,0)*Table_NFI[[#This Row],[Mosquito net]],Table_NFI[Mosquito net])</f>
        <v>0</v>
      </c>
      <c r="AC1047" s="294">
        <f>IF(NFI_Expiration=1,IF($A1047&lt;VLOOKUP(L$5,NFI,5,0),1,0)*Table_NFI[[#This Row],[Tarpaulin]],Table_NFI[[#This Row],[Tarpaulin]])</f>
        <v>0</v>
      </c>
      <c r="AD1047" s="294">
        <f>IF(NFI_Expiration=1,IF($A1047&lt;VLOOKUP(M$5,NFI,5,0),1,0)*Table_NFI[[#This Row],[Blanket]],Table_NFI[[#This Row],[Blanket]])</f>
        <v>0</v>
      </c>
      <c r="AE1047" s="294">
        <f>IF(NFI_Expiration=1,IF($A1047&lt;VLOOKUP(N$5,NFI,5,0),1,0)*Table_NFI[[#This Row],[Kitchen Set]],Table_NFI[Kitchen Set])</f>
        <v>0</v>
      </c>
      <c r="AF1047" s="294">
        <f>IF(NFI_Expiration=1,IF($A1047&lt;VLOOKUP(O$5,NFI,5,0),1,0)*Table_NFI[[#This Row],[Clothes Kit]],Table_NFI[Clothes Kit])</f>
        <v>0</v>
      </c>
      <c r="AG1047" s="294">
        <f>IF(NFI_Expiration=1,IF($A1047&lt;VLOOKUP(P$5,NFI,5,0),1,0)*Table_NFI[[#This Row],[Plastic Bucket]],Table_NFI[Plastic Bucket])</f>
        <v>0</v>
      </c>
      <c r="AH1047" s="294">
        <f>IF(NFI_Expiration=1,IF($A1047&lt;VLOOKUP(Q$5,NFI,5,0),1,0)*Table_NFI[[#This Row],[Plastic Mat]],Table_NFI[Plastic Mat])*IF(Table_NFI[[#This Row],[Distribution Date]]&gt;"2014-04-01",1,2.5)</f>
        <v>0</v>
      </c>
      <c r="AI1047" s="294">
        <f>IF(NFI_Expiration=1,IF($A1047&lt;VLOOKUP(R$5,NFI,5,0),1,0)*Table_NFI[[#This Row],[Winter Clothes Adult]],Table_NFI[Winter Clothes Adult])</f>
        <v>0</v>
      </c>
      <c r="AJ1047" s="294">
        <f>IF(NFI_Expiration=1,IF($A1047&lt;VLOOKUP(S$5,NFI,5,0),1,0)*Table_NFI[[#This Row],[Winter Clothes Children]],Table_NFI[Winter Clothes Children])</f>
        <v>0</v>
      </c>
      <c r="AK1047" s="294">
        <f>IF(NFI_Expiration=1,IF($A1047&lt;VLOOKUP(T$5,NFI,5,0),1,0)*Table_NFI[[#This Row],[Winter Items Other]],Table_NFI[Winter Items Other])</f>
        <v>0</v>
      </c>
      <c r="AL1047" s="294">
        <f>IF(NFI_Expiration=1,IF($A1047&lt;VLOOKUP(M$5,NFI,5,0),1,0)*Table_NFI[[#This Row],[Winter Blanket]],Table_NFI[[#This Row],[Winter Blanket]])</f>
        <v>0</v>
      </c>
      <c r="AM1047" s="294">
        <f>IF(Table_NFI[[#This Row],[Winter Clothes Adult]]+Table_NFI[[#This Row],[Winter Clothes Children]]+Table_NFI[[#This Row],[Winter Items Other]]+Table_NFI[[#This Row],[Winter Blanket]]&gt;0,1,0)</f>
        <v>0</v>
      </c>
      <c r="AN1047" s="331">
        <f>IF(NFI_Expiration=1,IF($A1047&lt;VLOOKUP(V$5,NFI,5,0),1,0)*Table_NFI[[#This Row],[Jerry Can]],Table_NFI[Jerry Can])</f>
        <v>0</v>
      </c>
      <c r="AO1047" s="331">
        <f>IF(NFI_Expiration=1,IF($A1047&lt;VLOOKUP(V$5,NFI,5,0),1,0)*Table_NFI[[#This Row],[Shelter Tool kit]],Table_NFI[Shelter Tool kit])</f>
        <v>0</v>
      </c>
      <c r="AP1047" s="331">
        <f>IF(NFI_Expiration=1,IF($A1047&lt;VLOOKUP(V$5,NFI,5,0),1,0)*Table_NFI[[#This Row],[Tent]],Table_NFI[Tent])</f>
        <v>0</v>
      </c>
      <c r="AQ1047" s="473" t="str">
        <f>IFERROR(VLOOKUP(Table_NFI[[#This Row],[Camp Name]],CL,2,0),"")</f>
        <v/>
      </c>
      <c r="AR1047" s="468" t="str">
        <f ca="1">IF(Table_NFI[[#This Row],[Pcode]]="","",IF(OFFSET(CampList[Opening Date],MATCH(Table_NFI[[#This Row],[Pcode]],CampList[CP_Pcode],0)-1,0,1,1)&gt;=NFI_Monitor_Date,1,0))</f>
        <v/>
      </c>
      <c r="AS1047" s="473" t="str">
        <f>IFERROR(VLOOKUP(Table_NFI[[#This Row],[Camp Name]],CL,3,0),"")</f>
        <v/>
      </c>
      <c r="AT1047" s="294" t="str">
        <f ca="1">IF(Table_NFI[[#This Row],[Pcode]]="","",OFFSET(CampList[Priority],MATCH(Table_NFI[[#This Row],[Pcode]],CampList[CP_Pcode],0)-1,0,1,1))</f>
        <v/>
      </c>
      <c r="AU1047" s="293" t="str">
        <f>IFERROR(Table_NFI[[#This Row],[Kitchen Set]]/VLOOKUP(Table_NFI[[#This Row],[Camp Name]],CL,4,0),"")</f>
        <v/>
      </c>
      <c r="AV1047" s="466" t="s">
        <v>1092</v>
      </c>
      <c r="AW1047" s="469"/>
    </row>
    <row r="1048" spans="1:49" s="479" customFormat="1" ht="16.899999999999999" customHeight="1" x14ac:dyDescent="0.25">
      <c r="A1048" s="297">
        <f t="shared" si="16"/>
        <v>58.466666666666669</v>
      </c>
      <c r="B1048" s="465">
        <v>40921</v>
      </c>
      <c r="C1048" s="466" t="s">
        <v>452</v>
      </c>
      <c r="D1048" s="467" t="s">
        <v>460</v>
      </c>
      <c r="E1048" s="466" t="s">
        <v>380</v>
      </c>
      <c r="F1048" s="290"/>
      <c r="G1048" s="290" t="s">
        <v>910</v>
      </c>
      <c r="H1048" s="291"/>
      <c r="I1048" s="291"/>
      <c r="J1048" s="291"/>
      <c r="K1048" s="291">
        <v>18</v>
      </c>
      <c r="L1048" s="292">
        <v>9</v>
      </c>
      <c r="M1048" s="292">
        <v>9</v>
      </c>
      <c r="N1048" s="292">
        <v>0</v>
      </c>
      <c r="O1048" s="292">
        <v>9</v>
      </c>
      <c r="P1048" s="294">
        <v>9</v>
      </c>
      <c r="Q1048" s="294">
        <v>9</v>
      </c>
      <c r="R1048" s="294"/>
      <c r="S1048" s="294"/>
      <c r="T1048" s="294"/>
      <c r="U1048" s="294"/>
      <c r="V1048" s="431"/>
      <c r="W1048" s="331"/>
      <c r="X1048" s="331"/>
      <c r="Y1048" s="294">
        <f>IF(NFI_Expiration=1,IF($A1048&lt;VLOOKUP(H$5,NFI,5,0),1,0)*Table_NFI[[#This Row],[Hygiene Kit]],Table_NFI[Hygiene Kit])</f>
        <v>0</v>
      </c>
      <c r="Z1048" s="294">
        <f>IF(NFI_Expiration=1,IF($A1048&lt;VLOOKUP(I$5,NFI,5,0),1,0)*Table_NFI[[#This Row],[NFI Core Kit]],Table_NFI[NFI Core Kit])</f>
        <v>0</v>
      </c>
      <c r="AA1048" s="294">
        <f>IF(NFI_Expiration=1,IF($A1048&lt;VLOOKUP(J$5,NFI,5,0),1,0)*Table_NFI[[#This Row],[Sanitary Kit]],Table_NFI[Sanitary Kit])</f>
        <v>0</v>
      </c>
      <c r="AB1048" s="294">
        <f>IF(NFI_Expiration=1,IF($A1048&lt;VLOOKUP(K$5,NFI,5,0),1,0)*Table_NFI[[#This Row],[Mosquito net]],Table_NFI[Mosquito net])</f>
        <v>0</v>
      </c>
      <c r="AC1048" s="294">
        <f>IF(NFI_Expiration=1,IF($A1048&lt;VLOOKUP(L$5,NFI,5,0),1,0)*Table_NFI[[#This Row],[Tarpaulin]],Table_NFI[[#This Row],[Tarpaulin]])</f>
        <v>0</v>
      </c>
      <c r="AD1048" s="294">
        <f>IF(NFI_Expiration=1,IF($A1048&lt;VLOOKUP(M$5,NFI,5,0),1,0)*Table_NFI[[#This Row],[Blanket]],Table_NFI[[#This Row],[Blanket]])</f>
        <v>0</v>
      </c>
      <c r="AE1048" s="294">
        <f>IF(NFI_Expiration=1,IF($A1048&lt;VLOOKUP(N$5,NFI,5,0),1,0)*Table_NFI[[#This Row],[Kitchen Set]],Table_NFI[Kitchen Set])</f>
        <v>0</v>
      </c>
      <c r="AF1048" s="294">
        <f>IF(NFI_Expiration=1,IF($A1048&lt;VLOOKUP(O$5,NFI,5,0),1,0)*Table_NFI[[#This Row],[Clothes Kit]],Table_NFI[Clothes Kit])</f>
        <v>0</v>
      </c>
      <c r="AG1048" s="294">
        <f>IF(NFI_Expiration=1,IF($A1048&lt;VLOOKUP(P$5,NFI,5,0),1,0)*Table_NFI[[#This Row],[Plastic Bucket]],Table_NFI[Plastic Bucket])</f>
        <v>0</v>
      </c>
      <c r="AH1048" s="294">
        <f>IF(NFI_Expiration=1,IF($A1048&lt;VLOOKUP(Q$5,NFI,5,0),1,0)*Table_NFI[[#This Row],[Plastic Mat]],Table_NFI[Plastic Mat])*IF(Table_NFI[[#This Row],[Distribution Date]]&gt;"2014-04-01",1,2.5)</f>
        <v>0</v>
      </c>
      <c r="AI1048" s="294">
        <f>IF(NFI_Expiration=1,IF($A1048&lt;VLOOKUP(R$5,NFI,5,0),1,0)*Table_NFI[[#This Row],[Winter Clothes Adult]],Table_NFI[Winter Clothes Adult])</f>
        <v>0</v>
      </c>
      <c r="AJ1048" s="294">
        <f>IF(NFI_Expiration=1,IF($A1048&lt;VLOOKUP(S$5,NFI,5,0),1,0)*Table_NFI[[#This Row],[Winter Clothes Children]],Table_NFI[Winter Clothes Children])</f>
        <v>0</v>
      </c>
      <c r="AK1048" s="294">
        <f>IF(NFI_Expiration=1,IF($A1048&lt;VLOOKUP(T$5,NFI,5,0),1,0)*Table_NFI[[#This Row],[Winter Items Other]],Table_NFI[Winter Items Other])</f>
        <v>0</v>
      </c>
      <c r="AL1048" s="294">
        <f>IF(NFI_Expiration=1,IF($A1048&lt;VLOOKUP(M$5,NFI,5,0),1,0)*Table_NFI[[#This Row],[Winter Blanket]],Table_NFI[[#This Row],[Winter Blanket]])</f>
        <v>0</v>
      </c>
      <c r="AM1048" s="294">
        <f>IF(Table_NFI[[#This Row],[Winter Clothes Adult]]+Table_NFI[[#This Row],[Winter Clothes Children]]+Table_NFI[[#This Row],[Winter Items Other]]+Table_NFI[[#This Row],[Winter Blanket]]&gt;0,1,0)</f>
        <v>0</v>
      </c>
      <c r="AN1048" s="331">
        <f>IF(NFI_Expiration=1,IF($A1048&lt;VLOOKUP(V$5,NFI,5,0),1,0)*Table_NFI[[#This Row],[Jerry Can]],Table_NFI[Jerry Can])</f>
        <v>0</v>
      </c>
      <c r="AO1048" s="331">
        <f>IF(NFI_Expiration=1,IF($A1048&lt;VLOOKUP(V$5,NFI,5,0),1,0)*Table_NFI[[#This Row],[Shelter Tool kit]],Table_NFI[Shelter Tool kit])</f>
        <v>0</v>
      </c>
      <c r="AP1048" s="331">
        <f>IF(NFI_Expiration=1,IF($A1048&lt;VLOOKUP(V$5,NFI,5,0),1,0)*Table_NFI[[#This Row],[Tent]],Table_NFI[Tent])</f>
        <v>0</v>
      </c>
      <c r="AQ1048" s="473" t="str">
        <f>IFERROR(VLOOKUP(Table_NFI[[#This Row],[Camp Name]],CL,2,0),"")</f>
        <v/>
      </c>
      <c r="AR1048" s="468" t="str">
        <f ca="1">IF(Table_NFI[[#This Row],[Pcode]]="","",IF(OFFSET(CampList[Opening Date],MATCH(Table_NFI[[#This Row],[Pcode]],CampList[CP_Pcode],0)-1,0,1,1)&gt;=NFI_Monitor_Date,1,0))</f>
        <v/>
      </c>
      <c r="AS1048" s="473" t="str">
        <f>IFERROR(VLOOKUP(Table_NFI[[#This Row],[Camp Name]],CL,3,0),"")</f>
        <v/>
      </c>
      <c r="AT1048" s="294" t="str">
        <f ca="1">IF(Table_NFI[[#This Row],[Pcode]]="","",OFFSET(CampList[Priority],MATCH(Table_NFI[[#This Row],[Pcode]],CampList[CP_Pcode],0)-1,0,1,1))</f>
        <v/>
      </c>
      <c r="AU1048" s="293" t="str">
        <f>IFERROR(Table_NFI[[#This Row],[Kitchen Set]]/VLOOKUP(Table_NFI[[#This Row],[Camp Name]],CL,4,0),"")</f>
        <v/>
      </c>
      <c r="AV1048" s="466" t="s">
        <v>1092</v>
      </c>
      <c r="AW1048" s="469" t="s">
        <v>1162</v>
      </c>
    </row>
    <row r="1049" spans="1:49" s="479" customFormat="1" ht="14.45" customHeight="1" x14ac:dyDescent="0.25">
      <c r="A1049" s="297">
        <f t="shared" si="16"/>
        <v>58.466666666666669</v>
      </c>
      <c r="B1049" s="465">
        <v>40921</v>
      </c>
      <c r="C1049" s="466" t="s">
        <v>452</v>
      </c>
      <c r="D1049" s="467" t="s">
        <v>460</v>
      </c>
      <c r="E1049" s="466" t="s">
        <v>380</v>
      </c>
      <c r="F1049" s="290"/>
      <c r="G1049" s="290" t="s">
        <v>911</v>
      </c>
      <c r="H1049" s="291"/>
      <c r="I1049" s="291"/>
      <c r="J1049" s="291"/>
      <c r="K1049" s="291">
        <v>10</v>
      </c>
      <c r="L1049" s="292">
        <v>5</v>
      </c>
      <c r="M1049" s="292">
        <v>5</v>
      </c>
      <c r="N1049" s="292">
        <v>0</v>
      </c>
      <c r="O1049" s="292">
        <v>5</v>
      </c>
      <c r="P1049" s="294">
        <v>5</v>
      </c>
      <c r="Q1049" s="294">
        <v>5</v>
      </c>
      <c r="R1049" s="294"/>
      <c r="S1049" s="294"/>
      <c r="T1049" s="294"/>
      <c r="U1049" s="294"/>
      <c r="V1049" s="431"/>
      <c r="W1049" s="294"/>
      <c r="X1049" s="294"/>
      <c r="Y1049" s="294">
        <f>IF(NFI_Expiration=1,IF($A1049&lt;VLOOKUP(H$5,NFI,5,0),1,0)*Table_NFI[[#This Row],[Hygiene Kit]],Table_NFI[Hygiene Kit])</f>
        <v>0</v>
      </c>
      <c r="Z1049" s="294">
        <f>IF(NFI_Expiration=1,IF($A1049&lt;VLOOKUP(I$5,NFI,5,0),1,0)*Table_NFI[[#This Row],[NFI Core Kit]],Table_NFI[NFI Core Kit])</f>
        <v>0</v>
      </c>
      <c r="AA1049" s="294">
        <f>IF(NFI_Expiration=1,IF($A1049&lt;VLOOKUP(J$5,NFI,5,0),1,0)*Table_NFI[[#This Row],[Sanitary Kit]],Table_NFI[Sanitary Kit])</f>
        <v>0</v>
      </c>
      <c r="AB1049" s="294">
        <f>IF(NFI_Expiration=1,IF($A1049&lt;VLOOKUP(K$5,NFI,5,0),1,0)*Table_NFI[[#This Row],[Mosquito net]],Table_NFI[Mosquito net])</f>
        <v>0</v>
      </c>
      <c r="AC1049" s="294">
        <f>IF(NFI_Expiration=1,IF($A1049&lt;VLOOKUP(L$5,NFI,5,0),1,0)*Table_NFI[[#This Row],[Tarpaulin]],Table_NFI[[#This Row],[Tarpaulin]])</f>
        <v>0</v>
      </c>
      <c r="AD1049" s="294">
        <f>IF(NFI_Expiration=1,IF($A1049&lt;VLOOKUP(M$5,NFI,5,0),1,0)*Table_NFI[[#This Row],[Blanket]],Table_NFI[[#This Row],[Blanket]])</f>
        <v>0</v>
      </c>
      <c r="AE1049" s="294">
        <f>IF(NFI_Expiration=1,IF($A1049&lt;VLOOKUP(N$5,NFI,5,0),1,0)*Table_NFI[[#This Row],[Kitchen Set]],Table_NFI[Kitchen Set])</f>
        <v>0</v>
      </c>
      <c r="AF1049" s="294">
        <f>IF(NFI_Expiration=1,IF($A1049&lt;VLOOKUP(O$5,NFI,5,0),1,0)*Table_NFI[[#This Row],[Clothes Kit]],Table_NFI[Clothes Kit])</f>
        <v>0</v>
      </c>
      <c r="AG1049" s="294">
        <f>IF(NFI_Expiration=1,IF($A1049&lt;VLOOKUP(P$5,NFI,5,0),1,0)*Table_NFI[[#This Row],[Plastic Bucket]],Table_NFI[Plastic Bucket])</f>
        <v>0</v>
      </c>
      <c r="AH1049" s="294">
        <f>IF(NFI_Expiration=1,IF($A1049&lt;VLOOKUP(Q$5,NFI,5,0),1,0)*Table_NFI[[#This Row],[Plastic Mat]],Table_NFI[Plastic Mat])*IF(Table_NFI[[#This Row],[Distribution Date]]&gt;"2014-04-01",1,2.5)</f>
        <v>0</v>
      </c>
      <c r="AI1049" s="294">
        <f>IF(NFI_Expiration=1,IF($A1049&lt;VLOOKUP(R$5,NFI,5,0),1,0)*Table_NFI[[#This Row],[Winter Clothes Adult]],Table_NFI[Winter Clothes Adult])</f>
        <v>0</v>
      </c>
      <c r="AJ1049" s="294">
        <f>IF(NFI_Expiration=1,IF($A1049&lt;VLOOKUP(S$5,NFI,5,0),1,0)*Table_NFI[[#This Row],[Winter Clothes Children]],Table_NFI[Winter Clothes Children])</f>
        <v>0</v>
      </c>
      <c r="AK1049" s="294">
        <f>IF(NFI_Expiration=1,IF($A1049&lt;VLOOKUP(T$5,NFI,5,0),1,0)*Table_NFI[[#This Row],[Winter Items Other]],Table_NFI[Winter Items Other])</f>
        <v>0</v>
      </c>
      <c r="AL1049" s="294">
        <f>IF(NFI_Expiration=1,IF($A1049&lt;VLOOKUP(M$5,NFI,5,0),1,0)*Table_NFI[[#This Row],[Winter Blanket]],Table_NFI[[#This Row],[Winter Blanket]])</f>
        <v>0</v>
      </c>
      <c r="AM1049" s="294">
        <f>IF(Table_NFI[[#This Row],[Winter Clothes Adult]]+Table_NFI[[#This Row],[Winter Clothes Children]]+Table_NFI[[#This Row],[Winter Items Other]]+Table_NFI[[#This Row],[Winter Blanket]]&gt;0,1,0)</f>
        <v>0</v>
      </c>
      <c r="AN1049" s="331">
        <f>IF(NFI_Expiration=1,IF($A1049&lt;VLOOKUP(V$5,NFI,5,0),1,0)*Table_NFI[[#This Row],[Jerry Can]],Table_NFI[Jerry Can])</f>
        <v>0</v>
      </c>
      <c r="AO1049" s="331">
        <f>IF(NFI_Expiration=1,IF($A1049&lt;VLOOKUP(V$5,NFI,5,0),1,0)*Table_NFI[[#This Row],[Shelter Tool kit]],Table_NFI[Shelter Tool kit])</f>
        <v>0</v>
      </c>
      <c r="AP1049" s="331">
        <f>IF(NFI_Expiration=1,IF($A1049&lt;VLOOKUP(V$5,NFI,5,0),1,0)*Table_NFI[[#This Row],[Tent]],Table_NFI[Tent])</f>
        <v>0</v>
      </c>
      <c r="AQ1049" s="473" t="str">
        <f>IFERROR(VLOOKUP(Table_NFI[[#This Row],[Camp Name]],CL,2,0),"")</f>
        <v/>
      </c>
      <c r="AR1049" s="468" t="str">
        <f ca="1">IF(Table_NFI[[#This Row],[Pcode]]="","",IF(OFFSET(CampList[Opening Date],MATCH(Table_NFI[[#This Row],[Pcode]],CampList[CP_Pcode],0)-1,0,1,1)&gt;=NFI_Monitor_Date,1,0))</f>
        <v/>
      </c>
      <c r="AS1049" s="473" t="str">
        <f>IFERROR(VLOOKUP(Table_NFI[[#This Row],[Camp Name]],CL,3,0),"")</f>
        <v/>
      </c>
      <c r="AT1049" s="294" t="str">
        <f ca="1">IF(Table_NFI[[#This Row],[Pcode]]="","",OFFSET(CampList[Priority],MATCH(Table_NFI[[#This Row],[Pcode]],CampList[CP_Pcode],0)-1,0,1,1))</f>
        <v/>
      </c>
      <c r="AU1049" s="293" t="str">
        <f>IFERROR(Table_NFI[[#This Row],[Kitchen Set]]/VLOOKUP(Table_NFI[[#This Row],[Camp Name]],CL,4,0),"")</f>
        <v/>
      </c>
      <c r="AV1049" s="466" t="s">
        <v>1092</v>
      </c>
      <c r="AW1049" s="469" t="s">
        <v>1163</v>
      </c>
    </row>
    <row r="1050" spans="1:49" s="479" customFormat="1" ht="16.899999999999999" customHeight="1" x14ac:dyDescent="0.25">
      <c r="A1050" s="297">
        <f t="shared" si="16"/>
        <v>58.466666666666669</v>
      </c>
      <c r="B1050" s="465">
        <v>40921</v>
      </c>
      <c r="C1050" s="466" t="s">
        <v>452</v>
      </c>
      <c r="D1050" s="467" t="s">
        <v>452</v>
      </c>
      <c r="E1050" s="466" t="s">
        <v>380</v>
      </c>
      <c r="F1050" s="290" t="s">
        <v>310</v>
      </c>
      <c r="G1050" s="290" t="s">
        <v>326</v>
      </c>
      <c r="H1050" s="291"/>
      <c r="I1050" s="291"/>
      <c r="J1050" s="291"/>
      <c r="K1050" s="291">
        <v>35</v>
      </c>
      <c r="L1050" s="292">
        <v>17</v>
      </c>
      <c r="M1050" s="292">
        <v>35</v>
      </c>
      <c r="N1050" s="292">
        <v>17</v>
      </c>
      <c r="O1050" s="292">
        <v>17</v>
      </c>
      <c r="P1050" s="294">
        <v>17</v>
      </c>
      <c r="Q1050" s="294">
        <v>17</v>
      </c>
      <c r="R1050" s="294"/>
      <c r="S1050" s="294"/>
      <c r="T1050" s="294"/>
      <c r="U1050" s="294"/>
      <c r="V1050" s="431"/>
      <c r="W1050" s="331"/>
      <c r="X1050" s="331"/>
      <c r="Y1050" s="294">
        <f>IF(NFI_Expiration=1,IF($A1050&lt;VLOOKUP(H$5,NFI,5,0),1,0)*Table_NFI[[#This Row],[Hygiene Kit]],Table_NFI[Hygiene Kit])</f>
        <v>0</v>
      </c>
      <c r="Z1050" s="294">
        <f>IF(NFI_Expiration=1,IF($A1050&lt;VLOOKUP(I$5,NFI,5,0),1,0)*Table_NFI[[#This Row],[NFI Core Kit]],Table_NFI[NFI Core Kit])</f>
        <v>0</v>
      </c>
      <c r="AA1050" s="294">
        <f>IF(NFI_Expiration=1,IF($A1050&lt;VLOOKUP(J$5,NFI,5,0),1,0)*Table_NFI[[#This Row],[Sanitary Kit]],Table_NFI[Sanitary Kit])</f>
        <v>0</v>
      </c>
      <c r="AB1050" s="294">
        <f>IF(NFI_Expiration=1,IF($A1050&lt;VLOOKUP(K$5,NFI,5,0),1,0)*Table_NFI[[#This Row],[Mosquito net]],Table_NFI[Mosquito net])</f>
        <v>0</v>
      </c>
      <c r="AC1050" s="294">
        <f>IF(NFI_Expiration=1,IF($A1050&lt;VLOOKUP(L$5,NFI,5,0),1,0)*Table_NFI[[#This Row],[Tarpaulin]],Table_NFI[[#This Row],[Tarpaulin]])</f>
        <v>0</v>
      </c>
      <c r="AD1050" s="294">
        <f>IF(NFI_Expiration=1,IF($A1050&lt;VLOOKUP(M$5,NFI,5,0),1,0)*Table_NFI[[#This Row],[Blanket]],Table_NFI[[#This Row],[Blanket]])</f>
        <v>0</v>
      </c>
      <c r="AE1050" s="294">
        <f>IF(NFI_Expiration=1,IF($A1050&lt;VLOOKUP(N$5,NFI,5,0),1,0)*Table_NFI[[#This Row],[Kitchen Set]],Table_NFI[Kitchen Set])</f>
        <v>0</v>
      </c>
      <c r="AF1050" s="294">
        <f>IF(NFI_Expiration=1,IF($A1050&lt;VLOOKUP(O$5,NFI,5,0),1,0)*Table_NFI[[#This Row],[Clothes Kit]],Table_NFI[Clothes Kit])</f>
        <v>0</v>
      </c>
      <c r="AG1050" s="294">
        <f>IF(NFI_Expiration=1,IF($A1050&lt;VLOOKUP(P$5,NFI,5,0),1,0)*Table_NFI[[#This Row],[Plastic Bucket]],Table_NFI[Plastic Bucket])</f>
        <v>0</v>
      </c>
      <c r="AH1050" s="294">
        <f>IF(NFI_Expiration=1,IF($A1050&lt;VLOOKUP(Q$5,NFI,5,0),1,0)*Table_NFI[[#This Row],[Plastic Mat]],Table_NFI[Plastic Mat])*IF(Table_NFI[[#This Row],[Distribution Date]]&gt;"2014-04-01",1,2.5)</f>
        <v>0</v>
      </c>
      <c r="AI1050" s="294">
        <f>IF(NFI_Expiration=1,IF($A1050&lt;VLOOKUP(R$5,NFI,5,0),1,0)*Table_NFI[[#This Row],[Winter Clothes Adult]],Table_NFI[Winter Clothes Adult])</f>
        <v>0</v>
      </c>
      <c r="AJ1050" s="294">
        <f>IF(NFI_Expiration=1,IF($A1050&lt;VLOOKUP(S$5,NFI,5,0),1,0)*Table_NFI[[#This Row],[Winter Clothes Children]],Table_NFI[Winter Clothes Children])</f>
        <v>0</v>
      </c>
      <c r="AK1050" s="294">
        <f>IF(NFI_Expiration=1,IF($A1050&lt;VLOOKUP(T$5,NFI,5,0),1,0)*Table_NFI[[#This Row],[Winter Items Other]],Table_NFI[Winter Items Other])</f>
        <v>0</v>
      </c>
      <c r="AL1050" s="294">
        <f>IF(NFI_Expiration=1,IF($A1050&lt;VLOOKUP(M$5,NFI,5,0),1,0)*Table_NFI[[#This Row],[Winter Blanket]],Table_NFI[[#This Row],[Winter Blanket]])</f>
        <v>0</v>
      </c>
      <c r="AM1050" s="294">
        <f>IF(Table_NFI[[#This Row],[Winter Clothes Adult]]+Table_NFI[[#This Row],[Winter Clothes Children]]+Table_NFI[[#This Row],[Winter Items Other]]+Table_NFI[[#This Row],[Winter Blanket]]&gt;0,1,0)</f>
        <v>0</v>
      </c>
      <c r="AN1050" s="331">
        <f>IF(NFI_Expiration=1,IF($A1050&lt;VLOOKUP(V$5,NFI,5,0),1,0)*Table_NFI[[#This Row],[Jerry Can]],Table_NFI[Jerry Can])</f>
        <v>0</v>
      </c>
      <c r="AO1050" s="331">
        <f>IF(NFI_Expiration=1,IF($A1050&lt;VLOOKUP(V$5,NFI,5,0),1,0)*Table_NFI[[#This Row],[Shelter Tool kit]],Table_NFI[Shelter Tool kit])</f>
        <v>0</v>
      </c>
      <c r="AP1050" s="331">
        <f>IF(NFI_Expiration=1,IF($A1050&lt;VLOOKUP(V$5,NFI,5,0),1,0)*Table_NFI[[#This Row],[Tent]],Table_NFI[Tent])</f>
        <v>0</v>
      </c>
      <c r="AQ1050" s="473" t="str">
        <f>IFERROR(VLOOKUP(Table_NFI[[#This Row],[Camp Name]],CL,2,0),"")</f>
        <v>MMR001CMP039</v>
      </c>
      <c r="AR1050" s="468">
        <f ca="1">IF(Table_NFI[[#This Row],[Pcode]]="","",IF(OFFSET(CampList[Opening Date],MATCH(Table_NFI[[#This Row],[Pcode]],CampList[CP_Pcode],0)-1,0,1,1)&gt;=NFI_Monitor_Date,1,0))</f>
        <v>0</v>
      </c>
      <c r="AS1050" s="473" t="str">
        <f>IFERROR(VLOOKUP(Table_NFI[[#This Row],[Camp Name]],CL,3,0),"")</f>
        <v>Open</v>
      </c>
      <c r="AT1050" s="294" t="str">
        <f ca="1">IF(Table_NFI[[#This Row],[Pcode]]="","",OFFSET(CampList[Priority],MATCH(Table_NFI[[#This Row],[Pcode]],CampList[CP_Pcode],0)-1,0,1,1))</f>
        <v>P4</v>
      </c>
      <c r="AU1050" s="293">
        <f>IFERROR(Table_NFI[[#This Row],[Kitchen Set]]/VLOOKUP(Table_NFI[[#This Row],[Camp Name]],CL,4,0),"")</f>
        <v>0.44736842105263158</v>
      </c>
      <c r="AV1050" s="466" t="s">
        <v>1092</v>
      </c>
      <c r="AW1050" s="469"/>
    </row>
    <row r="1051" spans="1:49" s="479" customFormat="1" ht="22.9" customHeight="1" x14ac:dyDescent="0.25">
      <c r="A1051" s="297">
        <f t="shared" si="16"/>
        <v>58.466666666666669</v>
      </c>
      <c r="B1051" s="465">
        <v>40921</v>
      </c>
      <c r="C1051" s="466" t="s">
        <v>452</v>
      </c>
      <c r="D1051" s="467" t="s">
        <v>460</v>
      </c>
      <c r="E1051" s="466" t="s">
        <v>380</v>
      </c>
      <c r="F1051" s="290" t="s">
        <v>527</v>
      </c>
      <c r="G1051" s="295" t="s">
        <v>136</v>
      </c>
      <c r="H1051" s="291"/>
      <c r="I1051" s="291"/>
      <c r="J1051" s="291"/>
      <c r="K1051" s="291">
        <v>224</v>
      </c>
      <c r="L1051" s="292">
        <v>112</v>
      </c>
      <c r="M1051" s="292">
        <v>112</v>
      </c>
      <c r="N1051" s="292">
        <v>0</v>
      </c>
      <c r="O1051" s="292">
        <v>112</v>
      </c>
      <c r="P1051" s="294">
        <v>112</v>
      </c>
      <c r="Q1051" s="294">
        <v>112</v>
      </c>
      <c r="R1051" s="294"/>
      <c r="S1051" s="294"/>
      <c r="T1051" s="294"/>
      <c r="U1051" s="294"/>
      <c r="V1051" s="431"/>
      <c r="W1051" s="331"/>
      <c r="X1051" s="331"/>
      <c r="Y1051" s="294">
        <f>IF(NFI_Expiration=1,IF($A1051&lt;VLOOKUP(H$5,NFI,5,0),1,0)*Table_NFI[[#This Row],[Hygiene Kit]],Table_NFI[Hygiene Kit])</f>
        <v>0</v>
      </c>
      <c r="Z1051" s="294">
        <f>IF(NFI_Expiration=1,IF($A1051&lt;VLOOKUP(I$5,NFI,5,0),1,0)*Table_NFI[[#This Row],[NFI Core Kit]],Table_NFI[NFI Core Kit])</f>
        <v>0</v>
      </c>
      <c r="AA1051" s="294">
        <f>IF(NFI_Expiration=1,IF($A1051&lt;VLOOKUP(J$5,NFI,5,0),1,0)*Table_NFI[[#This Row],[Sanitary Kit]],Table_NFI[Sanitary Kit])</f>
        <v>0</v>
      </c>
      <c r="AB1051" s="294">
        <f>IF(NFI_Expiration=1,IF($A1051&lt;VLOOKUP(K$5,NFI,5,0),1,0)*Table_NFI[[#This Row],[Mosquito net]],Table_NFI[Mosquito net])</f>
        <v>0</v>
      </c>
      <c r="AC1051" s="294">
        <f>IF(NFI_Expiration=1,IF($A1051&lt;VLOOKUP(L$5,NFI,5,0),1,0)*Table_NFI[[#This Row],[Tarpaulin]],Table_NFI[[#This Row],[Tarpaulin]])</f>
        <v>0</v>
      </c>
      <c r="AD1051" s="294">
        <f>IF(NFI_Expiration=1,IF($A1051&lt;VLOOKUP(M$5,NFI,5,0),1,0)*Table_NFI[[#This Row],[Blanket]],Table_NFI[[#This Row],[Blanket]])</f>
        <v>0</v>
      </c>
      <c r="AE1051" s="294">
        <f>IF(NFI_Expiration=1,IF($A1051&lt;VLOOKUP(N$5,NFI,5,0),1,0)*Table_NFI[[#This Row],[Kitchen Set]],Table_NFI[Kitchen Set])</f>
        <v>0</v>
      </c>
      <c r="AF1051" s="294">
        <f>IF(NFI_Expiration=1,IF($A1051&lt;VLOOKUP(O$5,NFI,5,0),1,0)*Table_NFI[[#This Row],[Clothes Kit]],Table_NFI[Clothes Kit])</f>
        <v>0</v>
      </c>
      <c r="AG1051" s="294">
        <f>IF(NFI_Expiration=1,IF($A1051&lt;VLOOKUP(P$5,NFI,5,0),1,0)*Table_NFI[[#This Row],[Plastic Bucket]],Table_NFI[Plastic Bucket])</f>
        <v>0</v>
      </c>
      <c r="AH1051" s="294">
        <f>IF(NFI_Expiration=1,IF($A1051&lt;VLOOKUP(Q$5,NFI,5,0),1,0)*Table_NFI[[#This Row],[Plastic Mat]],Table_NFI[Plastic Mat])*IF(Table_NFI[[#This Row],[Distribution Date]]&gt;"2014-04-01",1,2.5)</f>
        <v>0</v>
      </c>
      <c r="AI1051" s="294">
        <f>IF(NFI_Expiration=1,IF($A1051&lt;VLOOKUP(R$5,NFI,5,0),1,0)*Table_NFI[[#This Row],[Winter Clothes Adult]],Table_NFI[Winter Clothes Adult])</f>
        <v>0</v>
      </c>
      <c r="AJ1051" s="294">
        <f>IF(NFI_Expiration=1,IF($A1051&lt;VLOOKUP(S$5,NFI,5,0),1,0)*Table_NFI[[#This Row],[Winter Clothes Children]],Table_NFI[Winter Clothes Children])</f>
        <v>0</v>
      </c>
      <c r="AK1051" s="294">
        <f>IF(NFI_Expiration=1,IF($A1051&lt;VLOOKUP(T$5,NFI,5,0),1,0)*Table_NFI[[#This Row],[Winter Items Other]],Table_NFI[Winter Items Other])</f>
        <v>0</v>
      </c>
      <c r="AL1051" s="294">
        <f>IF(NFI_Expiration=1,IF($A1051&lt;VLOOKUP(M$5,NFI,5,0),1,0)*Table_NFI[[#This Row],[Winter Blanket]],Table_NFI[[#This Row],[Winter Blanket]])</f>
        <v>0</v>
      </c>
      <c r="AM1051" s="294">
        <f>IF(Table_NFI[[#This Row],[Winter Clothes Adult]]+Table_NFI[[#This Row],[Winter Clothes Children]]+Table_NFI[[#This Row],[Winter Items Other]]+Table_NFI[[#This Row],[Winter Blanket]]&gt;0,1,0)</f>
        <v>0</v>
      </c>
      <c r="AN1051" s="331">
        <f>IF(NFI_Expiration=1,IF($A1051&lt;VLOOKUP(V$5,NFI,5,0),1,0)*Table_NFI[[#This Row],[Jerry Can]],Table_NFI[Jerry Can])</f>
        <v>0</v>
      </c>
      <c r="AO1051" s="331">
        <f>IF(NFI_Expiration=1,IF($A1051&lt;VLOOKUP(V$5,NFI,5,0),1,0)*Table_NFI[[#This Row],[Shelter Tool kit]],Table_NFI[Shelter Tool kit])</f>
        <v>0</v>
      </c>
      <c r="AP1051" s="331">
        <f>IF(NFI_Expiration=1,IF($A1051&lt;VLOOKUP(V$5,NFI,5,0),1,0)*Table_NFI[[#This Row],[Tent]],Table_NFI[Tent])</f>
        <v>0</v>
      </c>
      <c r="AQ1051" s="473" t="str">
        <f>IFERROR(VLOOKUP(Table_NFI[[#This Row],[Camp Name]],CL,2,0),"")</f>
        <v>MMR001CMP106</v>
      </c>
      <c r="AR1051" s="468">
        <f ca="1">IF(Table_NFI[[#This Row],[Pcode]]="","",IF(OFFSET(CampList[Opening Date],MATCH(Table_NFI[[#This Row],[Pcode]],CampList[CP_Pcode],0)-1,0,1,1)&gt;=NFI_Monitor_Date,1,0))</f>
        <v>0</v>
      </c>
      <c r="AS1051" s="473" t="str">
        <f>IFERROR(VLOOKUP(Table_NFI[[#This Row],[Camp Name]],CL,3,0),"")</f>
        <v>Closed</v>
      </c>
      <c r="AT1051" s="294" t="str">
        <f ca="1">IF(Table_NFI[[#This Row],[Pcode]]="","",OFFSET(CampList[Priority],MATCH(Table_NFI[[#This Row],[Pcode]],CampList[CP_Pcode],0)-1,0,1,1))</f>
        <v/>
      </c>
      <c r="AU1051" s="293" t="str">
        <f>IFERROR(Table_NFI[[#This Row],[Kitchen Set]]/VLOOKUP(Table_NFI[[#This Row],[Camp Name]],CL,4,0),"")</f>
        <v/>
      </c>
      <c r="AV1051" s="466" t="s">
        <v>1092</v>
      </c>
      <c r="AW1051" s="469"/>
    </row>
    <row r="1052" spans="1:49" s="479" customFormat="1" ht="19.149999999999999" customHeight="1" x14ac:dyDescent="0.25">
      <c r="A1052" s="297">
        <f t="shared" si="16"/>
        <v>58.466666666666669</v>
      </c>
      <c r="B1052" s="465">
        <v>40921</v>
      </c>
      <c r="C1052" s="466" t="s">
        <v>452</v>
      </c>
      <c r="D1052" s="467" t="s">
        <v>460</v>
      </c>
      <c r="E1052" s="466" t="s">
        <v>380</v>
      </c>
      <c r="F1052" s="290" t="s">
        <v>527</v>
      </c>
      <c r="G1052" s="290" t="s">
        <v>84</v>
      </c>
      <c r="H1052" s="291"/>
      <c r="I1052" s="291"/>
      <c r="J1052" s="291"/>
      <c r="K1052" s="291">
        <v>34</v>
      </c>
      <c r="L1052" s="292">
        <v>17</v>
      </c>
      <c r="M1052" s="292">
        <v>17</v>
      </c>
      <c r="N1052" s="292">
        <v>0</v>
      </c>
      <c r="O1052" s="292">
        <v>17</v>
      </c>
      <c r="P1052" s="294">
        <v>17</v>
      </c>
      <c r="Q1052" s="294">
        <v>17</v>
      </c>
      <c r="R1052" s="294"/>
      <c r="S1052" s="294"/>
      <c r="T1052" s="294"/>
      <c r="U1052" s="294"/>
      <c r="V1052" s="431"/>
      <c r="W1052" s="331"/>
      <c r="X1052" s="331"/>
      <c r="Y1052" s="294">
        <f>IF(NFI_Expiration=1,IF($A1052&lt;VLOOKUP(H$5,NFI,5,0),1,0)*Table_NFI[[#This Row],[Hygiene Kit]],Table_NFI[Hygiene Kit])</f>
        <v>0</v>
      </c>
      <c r="Z1052" s="294">
        <f>IF(NFI_Expiration=1,IF($A1052&lt;VLOOKUP(I$5,NFI,5,0),1,0)*Table_NFI[[#This Row],[NFI Core Kit]],Table_NFI[NFI Core Kit])</f>
        <v>0</v>
      </c>
      <c r="AA1052" s="294">
        <f>IF(NFI_Expiration=1,IF($A1052&lt;VLOOKUP(J$5,NFI,5,0),1,0)*Table_NFI[[#This Row],[Sanitary Kit]],Table_NFI[Sanitary Kit])</f>
        <v>0</v>
      </c>
      <c r="AB1052" s="294">
        <f>IF(NFI_Expiration=1,IF($A1052&lt;VLOOKUP(K$5,NFI,5,0),1,0)*Table_NFI[[#This Row],[Mosquito net]],Table_NFI[Mosquito net])</f>
        <v>0</v>
      </c>
      <c r="AC1052" s="294">
        <f>IF(NFI_Expiration=1,IF($A1052&lt;VLOOKUP(L$5,NFI,5,0),1,0)*Table_NFI[[#This Row],[Tarpaulin]],Table_NFI[[#This Row],[Tarpaulin]])</f>
        <v>0</v>
      </c>
      <c r="AD1052" s="294">
        <f>IF(NFI_Expiration=1,IF($A1052&lt;VLOOKUP(M$5,NFI,5,0),1,0)*Table_NFI[[#This Row],[Blanket]],Table_NFI[[#This Row],[Blanket]])</f>
        <v>0</v>
      </c>
      <c r="AE1052" s="294">
        <f>IF(NFI_Expiration=1,IF($A1052&lt;VLOOKUP(N$5,NFI,5,0),1,0)*Table_NFI[[#This Row],[Kitchen Set]],Table_NFI[Kitchen Set])</f>
        <v>0</v>
      </c>
      <c r="AF1052" s="294">
        <f>IF(NFI_Expiration=1,IF($A1052&lt;VLOOKUP(O$5,NFI,5,0),1,0)*Table_NFI[[#This Row],[Clothes Kit]],Table_NFI[Clothes Kit])</f>
        <v>0</v>
      </c>
      <c r="AG1052" s="294">
        <f>IF(NFI_Expiration=1,IF($A1052&lt;VLOOKUP(P$5,NFI,5,0),1,0)*Table_NFI[[#This Row],[Plastic Bucket]],Table_NFI[Plastic Bucket])</f>
        <v>0</v>
      </c>
      <c r="AH1052" s="294">
        <f>IF(NFI_Expiration=1,IF($A1052&lt;VLOOKUP(Q$5,NFI,5,0),1,0)*Table_NFI[[#This Row],[Plastic Mat]],Table_NFI[Plastic Mat])*IF(Table_NFI[[#This Row],[Distribution Date]]&gt;"2014-04-01",1,2.5)</f>
        <v>0</v>
      </c>
      <c r="AI1052" s="294">
        <f>IF(NFI_Expiration=1,IF($A1052&lt;VLOOKUP(R$5,NFI,5,0),1,0)*Table_NFI[[#This Row],[Winter Clothes Adult]],Table_NFI[Winter Clothes Adult])</f>
        <v>0</v>
      </c>
      <c r="AJ1052" s="294">
        <f>IF(NFI_Expiration=1,IF($A1052&lt;VLOOKUP(S$5,NFI,5,0),1,0)*Table_NFI[[#This Row],[Winter Clothes Children]],Table_NFI[Winter Clothes Children])</f>
        <v>0</v>
      </c>
      <c r="AK1052" s="294">
        <f>IF(NFI_Expiration=1,IF($A1052&lt;VLOOKUP(T$5,NFI,5,0),1,0)*Table_NFI[[#This Row],[Winter Items Other]],Table_NFI[Winter Items Other])</f>
        <v>0</v>
      </c>
      <c r="AL1052" s="294">
        <f>IF(NFI_Expiration=1,IF($A1052&lt;VLOOKUP(M$5,NFI,5,0),1,0)*Table_NFI[[#This Row],[Winter Blanket]],Table_NFI[[#This Row],[Winter Blanket]])</f>
        <v>0</v>
      </c>
      <c r="AM1052" s="294">
        <f>IF(Table_NFI[[#This Row],[Winter Clothes Adult]]+Table_NFI[[#This Row],[Winter Clothes Children]]+Table_NFI[[#This Row],[Winter Items Other]]+Table_NFI[[#This Row],[Winter Blanket]]&gt;0,1,0)</f>
        <v>0</v>
      </c>
      <c r="AN1052" s="331">
        <f>IF(NFI_Expiration=1,IF($A1052&lt;VLOOKUP(V$5,NFI,5,0),1,0)*Table_NFI[[#This Row],[Jerry Can]],Table_NFI[Jerry Can])</f>
        <v>0</v>
      </c>
      <c r="AO1052" s="331">
        <f>IF(NFI_Expiration=1,IF($A1052&lt;VLOOKUP(V$5,NFI,5,0),1,0)*Table_NFI[[#This Row],[Shelter Tool kit]],Table_NFI[Shelter Tool kit])</f>
        <v>0</v>
      </c>
      <c r="AP1052" s="331">
        <f>IF(NFI_Expiration=1,IF($A1052&lt;VLOOKUP(V$5,NFI,5,0),1,0)*Table_NFI[[#This Row],[Tent]],Table_NFI[Tent])</f>
        <v>0</v>
      </c>
      <c r="AQ1052" s="473" t="str">
        <f>IFERROR(VLOOKUP(Table_NFI[[#This Row],[Camp Name]],CL,2,0),"")</f>
        <v>MMR001CMP085</v>
      </c>
      <c r="AR1052" s="468">
        <f ca="1">IF(Table_NFI[[#This Row],[Pcode]]="","",IF(OFFSET(CampList[Opening Date],MATCH(Table_NFI[[#This Row],[Pcode]],CampList[CP_Pcode],0)-1,0,1,1)&gt;=NFI_Monitor_Date,1,0))</f>
        <v>0</v>
      </c>
      <c r="AS1052" s="473" t="str">
        <f>IFERROR(VLOOKUP(Table_NFI[[#This Row],[Camp Name]],CL,3,0),"")</f>
        <v>Closed</v>
      </c>
      <c r="AT1052" s="294" t="str">
        <f ca="1">IF(Table_NFI[[#This Row],[Pcode]]="","",OFFSET(CampList[Priority],MATCH(Table_NFI[[#This Row],[Pcode]],CampList[CP_Pcode],0)-1,0,1,1))</f>
        <v/>
      </c>
      <c r="AU1052" s="293" t="str">
        <f>IFERROR(Table_NFI[[#This Row],[Kitchen Set]]/VLOOKUP(Table_NFI[[#This Row],[Camp Name]],CL,4,0),"")</f>
        <v/>
      </c>
      <c r="AV1052" s="466" t="s">
        <v>1092</v>
      </c>
      <c r="AW1052" s="469"/>
    </row>
    <row r="1053" spans="1:49" s="479" customFormat="1" ht="19.899999999999999" customHeight="1" x14ac:dyDescent="0.25">
      <c r="A1053" s="297">
        <f t="shared" si="16"/>
        <v>58.466666666666669</v>
      </c>
      <c r="B1053" s="465">
        <v>40921</v>
      </c>
      <c r="C1053" s="466" t="s">
        <v>452</v>
      </c>
      <c r="D1053" s="467" t="s">
        <v>460</v>
      </c>
      <c r="E1053" s="466" t="s">
        <v>380</v>
      </c>
      <c r="F1053" s="290"/>
      <c r="G1053" s="290" t="s">
        <v>915</v>
      </c>
      <c r="H1053" s="291"/>
      <c r="I1053" s="291"/>
      <c r="J1053" s="291"/>
      <c r="K1053" s="291">
        <v>126</v>
      </c>
      <c r="L1053" s="292">
        <v>63</v>
      </c>
      <c r="M1053" s="292">
        <v>63</v>
      </c>
      <c r="N1053" s="292">
        <v>0</v>
      </c>
      <c r="O1053" s="292">
        <v>63</v>
      </c>
      <c r="P1053" s="294">
        <v>63</v>
      </c>
      <c r="Q1053" s="294">
        <v>63</v>
      </c>
      <c r="R1053" s="294"/>
      <c r="S1053" s="294"/>
      <c r="T1053" s="294"/>
      <c r="U1053" s="294"/>
      <c r="V1053" s="431"/>
      <c r="W1053" s="331"/>
      <c r="X1053" s="331"/>
      <c r="Y1053" s="294">
        <f>IF(NFI_Expiration=1,IF($A1053&lt;VLOOKUP(H$5,NFI,5,0),1,0)*Table_NFI[[#This Row],[Hygiene Kit]],Table_NFI[Hygiene Kit])</f>
        <v>0</v>
      </c>
      <c r="Z1053" s="294">
        <f>IF(NFI_Expiration=1,IF($A1053&lt;VLOOKUP(I$5,NFI,5,0),1,0)*Table_NFI[[#This Row],[NFI Core Kit]],Table_NFI[NFI Core Kit])</f>
        <v>0</v>
      </c>
      <c r="AA1053" s="294">
        <f>IF(NFI_Expiration=1,IF($A1053&lt;VLOOKUP(J$5,NFI,5,0),1,0)*Table_NFI[[#This Row],[Sanitary Kit]],Table_NFI[Sanitary Kit])</f>
        <v>0</v>
      </c>
      <c r="AB1053" s="294">
        <f>IF(NFI_Expiration=1,IF($A1053&lt;VLOOKUP(K$5,NFI,5,0),1,0)*Table_NFI[[#This Row],[Mosquito net]],Table_NFI[Mosquito net])</f>
        <v>0</v>
      </c>
      <c r="AC1053" s="294">
        <f>IF(NFI_Expiration=1,IF($A1053&lt;VLOOKUP(L$5,NFI,5,0),1,0)*Table_NFI[[#This Row],[Tarpaulin]],Table_NFI[[#This Row],[Tarpaulin]])</f>
        <v>0</v>
      </c>
      <c r="AD1053" s="294">
        <f>IF(NFI_Expiration=1,IF($A1053&lt;VLOOKUP(M$5,NFI,5,0),1,0)*Table_NFI[[#This Row],[Blanket]],Table_NFI[[#This Row],[Blanket]])</f>
        <v>0</v>
      </c>
      <c r="AE1053" s="294">
        <f>IF(NFI_Expiration=1,IF($A1053&lt;VLOOKUP(N$5,NFI,5,0),1,0)*Table_NFI[[#This Row],[Kitchen Set]],Table_NFI[Kitchen Set])</f>
        <v>0</v>
      </c>
      <c r="AF1053" s="294">
        <f>IF(NFI_Expiration=1,IF($A1053&lt;VLOOKUP(O$5,NFI,5,0),1,0)*Table_NFI[[#This Row],[Clothes Kit]],Table_NFI[Clothes Kit])</f>
        <v>0</v>
      </c>
      <c r="AG1053" s="294">
        <f>IF(NFI_Expiration=1,IF($A1053&lt;VLOOKUP(P$5,NFI,5,0),1,0)*Table_NFI[[#This Row],[Plastic Bucket]],Table_NFI[Plastic Bucket])</f>
        <v>0</v>
      </c>
      <c r="AH1053" s="294">
        <f>IF(NFI_Expiration=1,IF($A1053&lt;VLOOKUP(Q$5,NFI,5,0),1,0)*Table_NFI[[#This Row],[Plastic Mat]],Table_NFI[Plastic Mat])*IF(Table_NFI[[#This Row],[Distribution Date]]&gt;"2014-04-01",1,2.5)</f>
        <v>0</v>
      </c>
      <c r="AI1053" s="294">
        <f>IF(NFI_Expiration=1,IF($A1053&lt;VLOOKUP(R$5,NFI,5,0),1,0)*Table_NFI[[#This Row],[Winter Clothes Adult]],Table_NFI[Winter Clothes Adult])</f>
        <v>0</v>
      </c>
      <c r="AJ1053" s="294">
        <f>IF(NFI_Expiration=1,IF($A1053&lt;VLOOKUP(S$5,NFI,5,0),1,0)*Table_NFI[[#This Row],[Winter Clothes Children]],Table_NFI[Winter Clothes Children])</f>
        <v>0</v>
      </c>
      <c r="AK1053" s="294">
        <f>IF(NFI_Expiration=1,IF($A1053&lt;VLOOKUP(T$5,NFI,5,0),1,0)*Table_NFI[[#This Row],[Winter Items Other]],Table_NFI[Winter Items Other])</f>
        <v>0</v>
      </c>
      <c r="AL1053" s="294">
        <f>IF(NFI_Expiration=1,IF($A1053&lt;VLOOKUP(M$5,NFI,5,0),1,0)*Table_NFI[[#This Row],[Winter Blanket]],Table_NFI[[#This Row],[Winter Blanket]])</f>
        <v>0</v>
      </c>
      <c r="AM1053" s="294">
        <f>IF(Table_NFI[[#This Row],[Winter Clothes Adult]]+Table_NFI[[#This Row],[Winter Clothes Children]]+Table_NFI[[#This Row],[Winter Items Other]]+Table_NFI[[#This Row],[Winter Blanket]]&gt;0,1,0)</f>
        <v>0</v>
      </c>
      <c r="AN1053" s="331">
        <f>IF(NFI_Expiration=1,IF($A1053&lt;VLOOKUP(V$5,NFI,5,0),1,0)*Table_NFI[[#This Row],[Jerry Can]],Table_NFI[Jerry Can])</f>
        <v>0</v>
      </c>
      <c r="AO1053" s="331">
        <f>IF(NFI_Expiration=1,IF($A1053&lt;VLOOKUP(V$5,NFI,5,0),1,0)*Table_NFI[[#This Row],[Shelter Tool kit]],Table_NFI[Shelter Tool kit])</f>
        <v>0</v>
      </c>
      <c r="AP1053" s="331">
        <f>IF(NFI_Expiration=1,IF($A1053&lt;VLOOKUP(V$5,NFI,5,0),1,0)*Table_NFI[[#This Row],[Tent]],Table_NFI[Tent])</f>
        <v>0</v>
      </c>
      <c r="AQ1053" s="473" t="str">
        <f>IFERROR(VLOOKUP(Table_NFI[[#This Row],[Camp Name]],CL,2,0),"")</f>
        <v/>
      </c>
      <c r="AR1053" s="468" t="str">
        <f ca="1">IF(Table_NFI[[#This Row],[Pcode]]="","",IF(OFFSET(CampList[Opening Date],MATCH(Table_NFI[[#This Row],[Pcode]],CampList[CP_Pcode],0)-1,0,1,1)&gt;=NFI_Monitor_Date,1,0))</f>
        <v/>
      </c>
      <c r="AS1053" s="473" t="str">
        <f>IFERROR(VLOOKUP(Table_NFI[[#This Row],[Camp Name]],CL,3,0),"")</f>
        <v/>
      </c>
      <c r="AT1053" s="294" t="str">
        <f ca="1">IF(Table_NFI[[#This Row],[Pcode]]="","",OFFSET(CampList[Priority],MATCH(Table_NFI[[#This Row],[Pcode]],CampList[CP_Pcode],0)-1,0,1,1))</f>
        <v/>
      </c>
      <c r="AU1053" s="293" t="str">
        <f>IFERROR(Table_NFI[[#This Row],[Kitchen Set]]/VLOOKUP(Table_NFI[[#This Row],[Camp Name]],CL,4,0),"")</f>
        <v/>
      </c>
      <c r="AV1053" s="466" t="s">
        <v>1092</v>
      </c>
      <c r="AW1053" s="469" t="s">
        <v>1161</v>
      </c>
    </row>
    <row r="1054" spans="1:49" s="479" customFormat="1" ht="14.45" customHeight="1" x14ac:dyDescent="0.25">
      <c r="A1054" s="297">
        <f t="shared" si="16"/>
        <v>58.466666666666669</v>
      </c>
      <c r="B1054" s="465">
        <v>40921</v>
      </c>
      <c r="C1054" s="466" t="s">
        <v>452</v>
      </c>
      <c r="D1054" s="467" t="s">
        <v>460</v>
      </c>
      <c r="E1054" s="466" t="s">
        <v>380</v>
      </c>
      <c r="F1054" s="290" t="s">
        <v>527</v>
      </c>
      <c r="G1054" s="290" t="s">
        <v>110</v>
      </c>
      <c r="H1054" s="291"/>
      <c r="I1054" s="291"/>
      <c r="J1054" s="291"/>
      <c r="K1054" s="291">
        <v>112</v>
      </c>
      <c r="L1054" s="292">
        <v>56</v>
      </c>
      <c r="M1054" s="292">
        <v>56</v>
      </c>
      <c r="N1054" s="292">
        <v>0</v>
      </c>
      <c r="O1054" s="292">
        <v>56</v>
      </c>
      <c r="P1054" s="294">
        <v>56</v>
      </c>
      <c r="Q1054" s="294">
        <v>56</v>
      </c>
      <c r="R1054" s="294"/>
      <c r="S1054" s="294"/>
      <c r="T1054" s="294"/>
      <c r="U1054" s="294"/>
      <c r="V1054" s="431"/>
      <c r="W1054" s="331"/>
      <c r="X1054" s="331"/>
      <c r="Y1054" s="294">
        <f>IF(NFI_Expiration=1,IF($A1054&lt;VLOOKUP(H$5,NFI,5,0),1,0)*Table_NFI[[#This Row],[Hygiene Kit]],Table_NFI[Hygiene Kit])</f>
        <v>0</v>
      </c>
      <c r="Z1054" s="294">
        <f>IF(NFI_Expiration=1,IF($A1054&lt;VLOOKUP(I$5,NFI,5,0),1,0)*Table_NFI[[#This Row],[NFI Core Kit]],Table_NFI[NFI Core Kit])</f>
        <v>0</v>
      </c>
      <c r="AA1054" s="294">
        <f>IF(NFI_Expiration=1,IF($A1054&lt;VLOOKUP(J$5,NFI,5,0),1,0)*Table_NFI[[#This Row],[Sanitary Kit]],Table_NFI[Sanitary Kit])</f>
        <v>0</v>
      </c>
      <c r="AB1054" s="294">
        <f>IF(NFI_Expiration=1,IF($A1054&lt;VLOOKUP(K$5,NFI,5,0),1,0)*Table_NFI[[#This Row],[Mosquito net]],Table_NFI[Mosquito net])</f>
        <v>0</v>
      </c>
      <c r="AC1054" s="294">
        <f>IF(NFI_Expiration=1,IF($A1054&lt;VLOOKUP(L$5,NFI,5,0),1,0)*Table_NFI[[#This Row],[Tarpaulin]],Table_NFI[[#This Row],[Tarpaulin]])</f>
        <v>0</v>
      </c>
      <c r="AD1054" s="294">
        <f>IF(NFI_Expiration=1,IF($A1054&lt;VLOOKUP(M$5,NFI,5,0),1,0)*Table_NFI[[#This Row],[Blanket]],Table_NFI[[#This Row],[Blanket]])</f>
        <v>0</v>
      </c>
      <c r="AE1054" s="294">
        <f>IF(NFI_Expiration=1,IF($A1054&lt;VLOOKUP(N$5,NFI,5,0),1,0)*Table_NFI[[#This Row],[Kitchen Set]],Table_NFI[Kitchen Set])</f>
        <v>0</v>
      </c>
      <c r="AF1054" s="294">
        <f>IF(NFI_Expiration=1,IF($A1054&lt;VLOOKUP(O$5,NFI,5,0),1,0)*Table_NFI[[#This Row],[Clothes Kit]],Table_NFI[Clothes Kit])</f>
        <v>0</v>
      </c>
      <c r="AG1054" s="294">
        <f>IF(NFI_Expiration=1,IF($A1054&lt;VLOOKUP(P$5,NFI,5,0),1,0)*Table_NFI[[#This Row],[Plastic Bucket]],Table_NFI[Plastic Bucket])</f>
        <v>0</v>
      </c>
      <c r="AH1054" s="294">
        <f>IF(NFI_Expiration=1,IF($A1054&lt;VLOOKUP(Q$5,NFI,5,0),1,0)*Table_NFI[[#This Row],[Plastic Mat]],Table_NFI[Plastic Mat])*IF(Table_NFI[[#This Row],[Distribution Date]]&gt;"2014-04-01",1,2.5)</f>
        <v>0</v>
      </c>
      <c r="AI1054" s="294">
        <f>IF(NFI_Expiration=1,IF($A1054&lt;VLOOKUP(R$5,NFI,5,0),1,0)*Table_NFI[[#This Row],[Winter Clothes Adult]],Table_NFI[Winter Clothes Adult])</f>
        <v>0</v>
      </c>
      <c r="AJ1054" s="294">
        <f>IF(NFI_Expiration=1,IF($A1054&lt;VLOOKUP(S$5,NFI,5,0),1,0)*Table_NFI[[#This Row],[Winter Clothes Children]],Table_NFI[Winter Clothes Children])</f>
        <v>0</v>
      </c>
      <c r="AK1054" s="294">
        <f>IF(NFI_Expiration=1,IF($A1054&lt;VLOOKUP(T$5,NFI,5,0),1,0)*Table_NFI[[#This Row],[Winter Items Other]],Table_NFI[Winter Items Other])</f>
        <v>0</v>
      </c>
      <c r="AL1054" s="294">
        <f>IF(NFI_Expiration=1,IF($A1054&lt;VLOOKUP(M$5,NFI,5,0),1,0)*Table_NFI[[#This Row],[Winter Blanket]],Table_NFI[[#This Row],[Winter Blanket]])</f>
        <v>0</v>
      </c>
      <c r="AM1054" s="294">
        <f>IF(Table_NFI[[#This Row],[Winter Clothes Adult]]+Table_NFI[[#This Row],[Winter Clothes Children]]+Table_NFI[[#This Row],[Winter Items Other]]+Table_NFI[[#This Row],[Winter Blanket]]&gt;0,1,0)</f>
        <v>0</v>
      </c>
      <c r="AN1054" s="331">
        <f>IF(NFI_Expiration=1,IF($A1054&lt;VLOOKUP(V$5,NFI,5,0),1,0)*Table_NFI[[#This Row],[Jerry Can]],Table_NFI[Jerry Can])</f>
        <v>0</v>
      </c>
      <c r="AO1054" s="331">
        <f>IF(NFI_Expiration=1,IF($A1054&lt;VLOOKUP(V$5,NFI,5,0),1,0)*Table_NFI[[#This Row],[Shelter Tool kit]],Table_NFI[Shelter Tool kit])</f>
        <v>0</v>
      </c>
      <c r="AP1054" s="331">
        <f>IF(NFI_Expiration=1,IF($A1054&lt;VLOOKUP(V$5,NFI,5,0),1,0)*Table_NFI[[#This Row],[Tent]],Table_NFI[Tent])</f>
        <v>0</v>
      </c>
      <c r="AQ1054" s="473" t="str">
        <f>IFERROR(VLOOKUP(Table_NFI[[#This Row],[Camp Name]],CL,2,0),"")</f>
        <v>MMR001CMP082</v>
      </c>
      <c r="AR1054" s="468">
        <f ca="1">IF(Table_NFI[[#This Row],[Pcode]]="","",IF(OFFSET(CampList[Opening Date],MATCH(Table_NFI[[#This Row],[Pcode]],CampList[CP_Pcode],0)-1,0,1,1)&gt;=NFI_Monitor_Date,1,0))</f>
        <v>0</v>
      </c>
      <c r="AS1054" s="473" t="str">
        <f>IFERROR(VLOOKUP(Table_NFI[[#This Row],[Camp Name]],CL,3,0),"")</f>
        <v>Closed</v>
      </c>
      <c r="AT1054" s="294" t="str">
        <f ca="1">IF(Table_NFI[[#This Row],[Pcode]]="","",OFFSET(CampList[Priority],MATCH(Table_NFI[[#This Row],[Pcode]],CampList[CP_Pcode],0)-1,0,1,1))</f>
        <v/>
      </c>
      <c r="AU1054" s="293" t="str">
        <f>IFERROR(Table_NFI[[#This Row],[Kitchen Set]]/VLOOKUP(Table_NFI[[#This Row],[Camp Name]],CL,4,0),"")</f>
        <v/>
      </c>
      <c r="AV1054" s="466" t="s">
        <v>1092</v>
      </c>
      <c r="AW1054" s="469"/>
    </row>
    <row r="1055" spans="1:49" s="479" customFormat="1" ht="15" customHeight="1" x14ac:dyDescent="0.25">
      <c r="A1055" s="297">
        <f t="shared" si="16"/>
        <v>58.533333333333331</v>
      </c>
      <c r="B1055" s="465">
        <v>40919</v>
      </c>
      <c r="C1055" s="466" t="s">
        <v>452</v>
      </c>
      <c r="D1055" s="467" t="s">
        <v>460</v>
      </c>
      <c r="E1055" s="466" t="s">
        <v>380</v>
      </c>
      <c r="F1055" s="290" t="s">
        <v>310</v>
      </c>
      <c r="G1055" s="290" t="s">
        <v>347</v>
      </c>
      <c r="H1055" s="291"/>
      <c r="I1055" s="291"/>
      <c r="J1055" s="291"/>
      <c r="K1055" s="291">
        <v>536</v>
      </c>
      <c r="L1055" s="292">
        <v>268</v>
      </c>
      <c r="M1055" s="292">
        <v>536</v>
      </c>
      <c r="N1055" s="292">
        <v>268</v>
      </c>
      <c r="O1055" s="292">
        <v>268</v>
      </c>
      <c r="P1055" s="294">
        <v>268</v>
      </c>
      <c r="Q1055" s="294">
        <v>268</v>
      </c>
      <c r="R1055" s="294"/>
      <c r="S1055" s="294"/>
      <c r="T1055" s="294"/>
      <c r="U1055" s="294"/>
      <c r="V1055" s="431"/>
      <c r="W1055" s="331"/>
      <c r="X1055" s="331"/>
      <c r="Y1055" s="294">
        <f>IF(NFI_Expiration=1,IF($A1055&lt;VLOOKUP(H$5,NFI,5,0),1,0)*Table_NFI[[#This Row],[Hygiene Kit]],Table_NFI[Hygiene Kit])</f>
        <v>0</v>
      </c>
      <c r="Z1055" s="294">
        <f>IF(NFI_Expiration=1,IF($A1055&lt;VLOOKUP(I$5,NFI,5,0),1,0)*Table_NFI[[#This Row],[NFI Core Kit]],Table_NFI[NFI Core Kit])</f>
        <v>0</v>
      </c>
      <c r="AA1055" s="294">
        <f>IF(NFI_Expiration=1,IF($A1055&lt;VLOOKUP(J$5,NFI,5,0),1,0)*Table_NFI[[#This Row],[Sanitary Kit]],Table_NFI[Sanitary Kit])</f>
        <v>0</v>
      </c>
      <c r="AB1055" s="294">
        <f>IF(NFI_Expiration=1,IF($A1055&lt;VLOOKUP(K$5,NFI,5,0),1,0)*Table_NFI[[#This Row],[Mosquito net]],Table_NFI[Mosquito net])</f>
        <v>0</v>
      </c>
      <c r="AC1055" s="294">
        <f>IF(NFI_Expiration=1,IF($A1055&lt;VLOOKUP(L$5,NFI,5,0),1,0)*Table_NFI[[#This Row],[Tarpaulin]],Table_NFI[[#This Row],[Tarpaulin]])</f>
        <v>0</v>
      </c>
      <c r="AD1055" s="294">
        <f>IF(NFI_Expiration=1,IF($A1055&lt;VLOOKUP(M$5,NFI,5,0),1,0)*Table_NFI[[#This Row],[Blanket]],Table_NFI[[#This Row],[Blanket]])</f>
        <v>0</v>
      </c>
      <c r="AE1055" s="294">
        <f>IF(NFI_Expiration=1,IF($A1055&lt;VLOOKUP(N$5,NFI,5,0),1,0)*Table_NFI[[#This Row],[Kitchen Set]],Table_NFI[Kitchen Set])</f>
        <v>0</v>
      </c>
      <c r="AF1055" s="294">
        <f>IF(NFI_Expiration=1,IF($A1055&lt;VLOOKUP(O$5,NFI,5,0),1,0)*Table_NFI[[#This Row],[Clothes Kit]],Table_NFI[Clothes Kit])</f>
        <v>0</v>
      </c>
      <c r="AG1055" s="294">
        <f>IF(NFI_Expiration=1,IF($A1055&lt;VLOOKUP(P$5,NFI,5,0),1,0)*Table_NFI[[#This Row],[Plastic Bucket]],Table_NFI[Plastic Bucket])</f>
        <v>0</v>
      </c>
      <c r="AH1055" s="294">
        <f>IF(NFI_Expiration=1,IF($A1055&lt;VLOOKUP(Q$5,NFI,5,0),1,0)*Table_NFI[[#This Row],[Plastic Mat]],Table_NFI[Plastic Mat])*IF(Table_NFI[[#This Row],[Distribution Date]]&gt;"2014-04-01",1,2.5)</f>
        <v>0</v>
      </c>
      <c r="AI1055" s="294">
        <f>IF(NFI_Expiration=1,IF($A1055&lt;VLOOKUP(R$5,NFI,5,0),1,0)*Table_NFI[[#This Row],[Winter Clothes Adult]],Table_NFI[Winter Clothes Adult])</f>
        <v>0</v>
      </c>
      <c r="AJ1055" s="294">
        <f>IF(NFI_Expiration=1,IF($A1055&lt;VLOOKUP(S$5,NFI,5,0),1,0)*Table_NFI[[#This Row],[Winter Clothes Children]],Table_NFI[Winter Clothes Children])</f>
        <v>0</v>
      </c>
      <c r="AK1055" s="294">
        <f>IF(NFI_Expiration=1,IF($A1055&lt;VLOOKUP(T$5,NFI,5,0),1,0)*Table_NFI[[#This Row],[Winter Items Other]],Table_NFI[Winter Items Other])</f>
        <v>0</v>
      </c>
      <c r="AL1055" s="294">
        <f>IF(NFI_Expiration=1,IF($A1055&lt;VLOOKUP(M$5,NFI,5,0),1,0)*Table_NFI[[#This Row],[Winter Blanket]],Table_NFI[[#This Row],[Winter Blanket]])</f>
        <v>0</v>
      </c>
      <c r="AM1055" s="294">
        <f>IF(Table_NFI[[#This Row],[Winter Clothes Adult]]+Table_NFI[[#This Row],[Winter Clothes Children]]+Table_NFI[[#This Row],[Winter Items Other]]+Table_NFI[[#This Row],[Winter Blanket]]&gt;0,1,0)</f>
        <v>0</v>
      </c>
      <c r="AN1055" s="331">
        <f>IF(NFI_Expiration=1,IF($A1055&lt;VLOOKUP(V$5,NFI,5,0),1,0)*Table_NFI[[#This Row],[Jerry Can]],Table_NFI[Jerry Can])</f>
        <v>0</v>
      </c>
      <c r="AO1055" s="331">
        <f>IF(NFI_Expiration=1,IF($A1055&lt;VLOOKUP(V$5,NFI,5,0),1,0)*Table_NFI[[#This Row],[Shelter Tool kit]],Table_NFI[Shelter Tool kit])</f>
        <v>0</v>
      </c>
      <c r="AP1055" s="331">
        <f>IF(NFI_Expiration=1,IF($A1055&lt;VLOOKUP(V$5,NFI,5,0),1,0)*Table_NFI[[#This Row],[Tent]],Table_NFI[Tent])</f>
        <v>0</v>
      </c>
      <c r="AQ1055" s="473" t="str">
        <f>IFERROR(VLOOKUP(Table_NFI[[#This Row],[Camp Name]],CL,2,0),"")</f>
        <v>MMR001CMP041</v>
      </c>
      <c r="AR1055" s="468">
        <f ca="1">IF(Table_NFI[[#This Row],[Pcode]]="","",IF(OFFSET(CampList[Opening Date],MATCH(Table_NFI[[#This Row],[Pcode]],CampList[CP_Pcode],0)-1,0,1,1)&gt;=NFI_Monitor_Date,1,0))</f>
        <v>0</v>
      </c>
      <c r="AS1055" s="473" t="str">
        <f>IFERROR(VLOOKUP(Table_NFI[[#This Row],[Camp Name]],CL,3,0),"")</f>
        <v>Open</v>
      </c>
      <c r="AT1055" s="294" t="str">
        <f ca="1">IF(Table_NFI[[#This Row],[Pcode]]="","",OFFSET(CampList[Priority],MATCH(Table_NFI[[#This Row],[Pcode]],CampList[CP_Pcode],0)-1,0,1,1))</f>
        <v>P1</v>
      </c>
      <c r="AU1055" s="293">
        <f>IFERROR(Table_NFI[[#This Row],[Kitchen Set]]/VLOOKUP(Table_NFI[[#This Row],[Camp Name]],CL,4,0),"")</f>
        <v>1.4972067039106145</v>
      </c>
      <c r="AV1055" s="466" t="s">
        <v>1092</v>
      </c>
      <c r="AW1055" s="469"/>
    </row>
    <row r="1056" spans="1:49" s="479" customFormat="1" ht="15.75" customHeight="1" x14ac:dyDescent="0.25">
      <c r="A1056" s="297">
        <f t="shared" si="16"/>
        <v>58.666666666666664</v>
      </c>
      <c r="B1056" s="465">
        <v>40915</v>
      </c>
      <c r="C1056" s="466" t="s">
        <v>452</v>
      </c>
      <c r="D1056" s="466" t="s">
        <v>506</v>
      </c>
      <c r="E1056" s="466" t="s">
        <v>380</v>
      </c>
      <c r="F1056" s="290" t="s">
        <v>237</v>
      </c>
      <c r="G1056" s="290" t="s">
        <v>253</v>
      </c>
      <c r="H1056" s="291"/>
      <c r="I1056" s="291"/>
      <c r="J1056" s="291"/>
      <c r="K1056" s="291">
        <v>32</v>
      </c>
      <c r="L1056" s="292">
        <v>16</v>
      </c>
      <c r="M1056" s="292">
        <v>32</v>
      </c>
      <c r="N1056" s="292">
        <v>16</v>
      </c>
      <c r="O1056" s="292">
        <v>16</v>
      </c>
      <c r="P1056" s="294">
        <v>16</v>
      </c>
      <c r="Q1056" s="294">
        <v>16</v>
      </c>
      <c r="R1056" s="294"/>
      <c r="S1056" s="294"/>
      <c r="T1056" s="294"/>
      <c r="U1056" s="294"/>
      <c r="V1056" s="431"/>
      <c r="W1056" s="331"/>
      <c r="X1056" s="331"/>
      <c r="Y1056" s="294">
        <f>IF(NFI_Expiration=1,IF($A1056&lt;VLOOKUP(H$5,NFI,5,0),1,0)*Table_NFI[[#This Row],[Hygiene Kit]],Table_NFI[Hygiene Kit])</f>
        <v>0</v>
      </c>
      <c r="Z1056" s="294">
        <f>IF(NFI_Expiration=1,IF($A1056&lt;VLOOKUP(I$5,NFI,5,0),1,0)*Table_NFI[[#This Row],[NFI Core Kit]],Table_NFI[NFI Core Kit])</f>
        <v>0</v>
      </c>
      <c r="AA1056" s="294">
        <f>IF(NFI_Expiration=1,IF($A1056&lt;VLOOKUP(J$5,NFI,5,0),1,0)*Table_NFI[[#This Row],[Sanitary Kit]],Table_NFI[Sanitary Kit])</f>
        <v>0</v>
      </c>
      <c r="AB1056" s="294">
        <f>IF(NFI_Expiration=1,IF($A1056&lt;VLOOKUP(K$5,NFI,5,0),1,0)*Table_NFI[[#This Row],[Mosquito net]],Table_NFI[Mosquito net])</f>
        <v>0</v>
      </c>
      <c r="AC1056" s="294">
        <f>IF(NFI_Expiration=1,IF($A1056&lt;VLOOKUP(L$5,NFI,5,0),1,0)*Table_NFI[[#This Row],[Tarpaulin]],Table_NFI[[#This Row],[Tarpaulin]])</f>
        <v>0</v>
      </c>
      <c r="AD1056" s="294">
        <f>IF(NFI_Expiration=1,IF($A1056&lt;VLOOKUP(M$5,NFI,5,0),1,0)*Table_NFI[[#This Row],[Blanket]],Table_NFI[[#This Row],[Blanket]])</f>
        <v>0</v>
      </c>
      <c r="AE1056" s="294">
        <f>IF(NFI_Expiration=1,IF($A1056&lt;VLOOKUP(N$5,NFI,5,0),1,0)*Table_NFI[[#This Row],[Kitchen Set]],Table_NFI[Kitchen Set])</f>
        <v>0</v>
      </c>
      <c r="AF1056" s="294">
        <f>IF(NFI_Expiration=1,IF($A1056&lt;VLOOKUP(O$5,NFI,5,0),1,0)*Table_NFI[[#This Row],[Clothes Kit]],Table_NFI[Clothes Kit])</f>
        <v>0</v>
      </c>
      <c r="AG1056" s="294">
        <f>IF(NFI_Expiration=1,IF($A1056&lt;VLOOKUP(P$5,NFI,5,0),1,0)*Table_NFI[[#This Row],[Plastic Bucket]],Table_NFI[Plastic Bucket])</f>
        <v>0</v>
      </c>
      <c r="AH1056" s="294">
        <f>IF(NFI_Expiration=1,IF($A1056&lt;VLOOKUP(Q$5,NFI,5,0),1,0)*Table_NFI[[#This Row],[Plastic Mat]],Table_NFI[Plastic Mat])*IF(Table_NFI[[#This Row],[Distribution Date]]&gt;"2014-04-01",1,2.5)</f>
        <v>0</v>
      </c>
      <c r="AI1056" s="294">
        <f>IF(NFI_Expiration=1,IF($A1056&lt;VLOOKUP(R$5,NFI,5,0),1,0)*Table_NFI[[#This Row],[Winter Clothes Adult]],Table_NFI[Winter Clothes Adult])</f>
        <v>0</v>
      </c>
      <c r="AJ1056" s="294">
        <f>IF(NFI_Expiration=1,IF($A1056&lt;VLOOKUP(S$5,NFI,5,0),1,0)*Table_NFI[[#This Row],[Winter Clothes Children]],Table_NFI[Winter Clothes Children])</f>
        <v>0</v>
      </c>
      <c r="AK1056" s="294">
        <f>IF(NFI_Expiration=1,IF($A1056&lt;VLOOKUP(T$5,NFI,5,0),1,0)*Table_NFI[[#This Row],[Winter Items Other]],Table_NFI[Winter Items Other])</f>
        <v>0</v>
      </c>
      <c r="AL1056" s="294">
        <f>IF(NFI_Expiration=1,IF($A1056&lt;VLOOKUP(M$5,NFI,5,0),1,0)*Table_NFI[[#This Row],[Winter Blanket]],Table_NFI[[#This Row],[Winter Blanket]])</f>
        <v>0</v>
      </c>
      <c r="AM1056" s="294">
        <f>IF(Table_NFI[[#This Row],[Winter Clothes Adult]]+Table_NFI[[#This Row],[Winter Clothes Children]]+Table_NFI[[#This Row],[Winter Items Other]]+Table_NFI[[#This Row],[Winter Blanket]]&gt;0,1,0)</f>
        <v>0</v>
      </c>
      <c r="AN1056" s="331">
        <f>IF(NFI_Expiration=1,IF($A1056&lt;VLOOKUP(V$5,NFI,5,0),1,0)*Table_NFI[[#This Row],[Jerry Can]],Table_NFI[Jerry Can])</f>
        <v>0</v>
      </c>
      <c r="AO1056" s="331">
        <f>IF(NFI_Expiration=1,IF($A1056&lt;VLOOKUP(V$5,NFI,5,0),1,0)*Table_NFI[[#This Row],[Shelter Tool kit]],Table_NFI[Shelter Tool kit])</f>
        <v>0</v>
      </c>
      <c r="AP1056" s="331">
        <f>IF(NFI_Expiration=1,IF($A1056&lt;VLOOKUP(V$5,NFI,5,0),1,0)*Table_NFI[[#This Row],[Tent]],Table_NFI[Tent])</f>
        <v>0</v>
      </c>
      <c r="AQ1056" s="473" t="str">
        <f>IFERROR(VLOOKUP(Table_NFI[[#This Row],[Camp Name]],CL,2,0),"")</f>
        <v>MMR001CMP018</v>
      </c>
      <c r="AR1056" s="468">
        <f ca="1">IF(Table_NFI[[#This Row],[Pcode]]="","",IF(OFFSET(CampList[Opening Date],MATCH(Table_NFI[[#This Row],[Pcode]],CampList[CP_Pcode],0)-1,0,1,1)&gt;=NFI_Monitor_Date,1,0))</f>
        <v>0</v>
      </c>
      <c r="AS1056" s="473" t="str">
        <f>IFERROR(VLOOKUP(Table_NFI[[#This Row],[Camp Name]],CL,3,0),"")</f>
        <v>Open</v>
      </c>
      <c r="AT1056" s="294" t="str">
        <f ca="1">IF(Table_NFI[[#This Row],[Pcode]]="","",OFFSET(CampList[Priority],MATCH(Table_NFI[[#This Row],[Pcode]],CampList[CP_Pcode],0)-1,0,1,1))</f>
        <v>P4</v>
      </c>
      <c r="AU1056" s="293">
        <f>IFERROR(Table_NFI[[#This Row],[Kitchen Set]]/VLOOKUP(Table_NFI[[#This Row],[Camp Name]],CL,4,0),"")</f>
        <v>8.0808080808080815E-2</v>
      </c>
      <c r="AV1056" s="466" t="s">
        <v>1092</v>
      </c>
      <c r="AW1056" s="469"/>
    </row>
    <row r="1057" spans="1:49" s="479" customFormat="1" ht="15.75" customHeight="1" x14ac:dyDescent="0.25">
      <c r="A1057" s="297">
        <f t="shared" si="16"/>
        <v>58.666666666666664</v>
      </c>
      <c r="B1057" s="465">
        <v>40915</v>
      </c>
      <c r="C1057" s="466" t="s">
        <v>452</v>
      </c>
      <c r="D1057" s="466" t="s">
        <v>506</v>
      </c>
      <c r="E1057" s="466" t="s">
        <v>380</v>
      </c>
      <c r="F1057" s="466" t="s">
        <v>310</v>
      </c>
      <c r="G1057" s="290" t="s">
        <v>330</v>
      </c>
      <c r="H1057" s="291"/>
      <c r="I1057" s="291"/>
      <c r="J1057" s="291"/>
      <c r="K1057" s="291">
        <v>50</v>
      </c>
      <c r="L1057" s="292">
        <v>25</v>
      </c>
      <c r="M1057" s="292">
        <v>50</v>
      </c>
      <c r="N1057" s="292">
        <v>25</v>
      </c>
      <c r="O1057" s="292">
        <v>27</v>
      </c>
      <c r="P1057" s="294">
        <v>27</v>
      </c>
      <c r="Q1057" s="294">
        <v>27</v>
      </c>
      <c r="R1057" s="294"/>
      <c r="S1057" s="294"/>
      <c r="T1057" s="294"/>
      <c r="U1057" s="294"/>
      <c r="V1057" s="431"/>
      <c r="W1057" s="331"/>
      <c r="X1057" s="331"/>
      <c r="Y1057" s="294">
        <f>IF(NFI_Expiration=1,IF($A1057&lt;VLOOKUP(H$5,NFI,5,0),1,0)*Table_NFI[[#This Row],[Hygiene Kit]],Table_NFI[Hygiene Kit])</f>
        <v>0</v>
      </c>
      <c r="Z1057" s="294">
        <f>IF(NFI_Expiration=1,IF($A1057&lt;VLOOKUP(I$5,NFI,5,0),1,0)*Table_NFI[[#This Row],[NFI Core Kit]],Table_NFI[NFI Core Kit])</f>
        <v>0</v>
      </c>
      <c r="AA1057" s="294">
        <f>IF(NFI_Expiration=1,IF($A1057&lt;VLOOKUP(J$5,NFI,5,0),1,0)*Table_NFI[[#This Row],[Sanitary Kit]],Table_NFI[Sanitary Kit])</f>
        <v>0</v>
      </c>
      <c r="AB1057" s="294">
        <f>IF(NFI_Expiration=1,IF($A1057&lt;VLOOKUP(K$5,NFI,5,0),1,0)*Table_NFI[[#This Row],[Mosquito net]],Table_NFI[Mosquito net])</f>
        <v>0</v>
      </c>
      <c r="AC1057" s="294">
        <f>IF(NFI_Expiration=1,IF($A1057&lt;VLOOKUP(L$5,NFI,5,0),1,0)*Table_NFI[[#This Row],[Tarpaulin]],Table_NFI[[#This Row],[Tarpaulin]])</f>
        <v>0</v>
      </c>
      <c r="AD1057" s="294">
        <f>IF(NFI_Expiration=1,IF($A1057&lt;VLOOKUP(M$5,NFI,5,0),1,0)*Table_NFI[[#This Row],[Blanket]],Table_NFI[[#This Row],[Blanket]])</f>
        <v>0</v>
      </c>
      <c r="AE1057" s="294">
        <f>IF(NFI_Expiration=1,IF($A1057&lt;VLOOKUP(N$5,NFI,5,0),1,0)*Table_NFI[[#This Row],[Kitchen Set]],Table_NFI[Kitchen Set])</f>
        <v>0</v>
      </c>
      <c r="AF1057" s="294">
        <f>IF(NFI_Expiration=1,IF($A1057&lt;VLOOKUP(O$5,NFI,5,0),1,0)*Table_NFI[[#This Row],[Clothes Kit]],Table_NFI[Clothes Kit])</f>
        <v>0</v>
      </c>
      <c r="AG1057" s="294">
        <f>IF(NFI_Expiration=1,IF($A1057&lt;VLOOKUP(P$5,NFI,5,0),1,0)*Table_NFI[[#This Row],[Plastic Bucket]],Table_NFI[Plastic Bucket])</f>
        <v>0</v>
      </c>
      <c r="AH1057" s="294">
        <f>IF(NFI_Expiration=1,IF($A1057&lt;VLOOKUP(Q$5,NFI,5,0),1,0)*Table_NFI[[#This Row],[Plastic Mat]],Table_NFI[Plastic Mat])*IF(Table_NFI[[#This Row],[Distribution Date]]&gt;"2014-04-01",1,2.5)</f>
        <v>0</v>
      </c>
      <c r="AI1057" s="294">
        <f>IF(NFI_Expiration=1,IF($A1057&lt;VLOOKUP(R$5,NFI,5,0),1,0)*Table_NFI[[#This Row],[Winter Clothes Adult]],Table_NFI[Winter Clothes Adult])</f>
        <v>0</v>
      </c>
      <c r="AJ1057" s="294">
        <f>IF(NFI_Expiration=1,IF($A1057&lt;VLOOKUP(S$5,NFI,5,0),1,0)*Table_NFI[[#This Row],[Winter Clothes Children]],Table_NFI[Winter Clothes Children])</f>
        <v>0</v>
      </c>
      <c r="AK1057" s="294">
        <f>IF(NFI_Expiration=1,IF($A1057&lt;VLOOKUP(T$5,NFI,5,0),1,0)*Table_NFI[[#This Row],[Winter Items Other]],Table_NFI[Winter Items Other])</f>
        <v>0</v>
      </c>
      <c r="AL1057" s="294">
        <f>IF(NFI_Expiration=1,IF($A1057&lt;VLOOKUP(M$5,NFI,5,0),1,0)*Table_NFI[[#This Row],[Winter Blanket]],Table_NFI[[#This Row],[Winter Blanket]])</f>
        <v>0</v>
      </c>
      <c r="AM1057" s="294">
        <f>IF(Table_NFI[[#This Row],[Winter Clothes Adult]]+Table_NFI[[#This Row],[Winter Clothes Children]]+Table_NFI[[#This Row],[Winter Items Other]]+Table_NFI[[#This Row],[Winter Blanket]]&gt;0,1,0)</f>
        <v>0</v>
      </c>
      <c r="AN1057" s="331">
        <f>IF(NFI_Expiration=1,IF($A1057&lt;VLOOKUP(V$5,NFI,5,0),1,0)*Table_NFI[[#This Row],[Jerry Can]],Table_NFI[Jerry Can])</f>
        <v>0</v>
      </c>
      <c r="AO1057" s="331">
        <f>IF(NFI_Expiration=1,IF($A1057&lt;VLOOKUP(V$5,NFI,5,0),1,0)*Table_NFI[[#This Row],[Shelter Tool kit]],Table_NFI[Shelter Tool kit])</f>
        <v>0</v>
      </c>
      <c r="AP1057" s="331">
        <f>IF(NFI_Expiration=1,IF($A1057&lt;VLOOKUP(V$5,NFI,5,0),1,0)*Table_NFI[[#This Row],[Tent]],Table_NFI[Tent])</f>
        <v>0</v>
      </c>
      <c r="AQ1057" s="473" t="str">
        <f>IFERROR(VLOOKUP(Table_NFI[[#This Row],[Camp Name]],CL,2,0),"")</f>
        <v>MMR001CMP029</v>
      </c>
      <c r="AR1057" s="468">
        <f ca="1">IF(Table_NFI[[#This Row],[Pcode]]="","",IF(OFFSET(CampList[Opening Date],MATCH(Table_NFI[[#This Row],[Pcode]],CampList[CP_Pcode],0)-1,0,1,1)&gt;=NFI_Monitor_Date,1,0))</f>
        <v>0</v>
      </c>
      <c r="AS1057" s="473" t="str">
        <f>IFERROR(VLOOKUP(Table_NFI[[#This Row],[Camp Name]],CL,3,0),"")</f>
        <v>Open</v>
      </c>
      <c r="AT1057" s="294" t="str">
        <f ca="1">IF(Table_NFI[[#This Row],[Pcode]]="","",OFFSET(CampList[Priority],MATCH(Table_NFI[[#This Row],[Pcode]],CampList[CP_Pcode],0)-1,0,1,1))</f>
        <v>P4</v>
      </c>
      <c r="AU1057" s="293">
        <f>IFERROR(Table_NFI[[#This Row],[Kitchen Set]]/VLOOKUP(Table_NFI[[#This Row],[Camp Name]],CL,4,0),"")</f>
        <v>0.11210762331838565</v>
      </c>
      <c r="AV1057" s="466" t="s">
        <v>1092</v>
      </c>
      <c r="AW1057" s="469"/>
    </row>
    <row r="1058" spans="1:49" s="479" customFormat="1" ht="15.75" customHeight="1" x14ac:dyDescent="0.25">
      <c r="A1058" s="297">
        <f t="shared" si="16"/>
        <v>58.7</v>
      </c>
      <c r="B1058" s="465">
        <v>40914</v>
      </c>
      <c r="C1058" s="466" t="s">
        <v>452</v>
      </c>
      <c r="D1058" s="467" t="s">
        <v>506</v>
      </c>
      <c r="E1058" s="466" t="s">
        <v>380</v>
      </c>
      <c r="F1058" s="290" t="s">
        <v>237</v>
      </c>
      <c r="G1058" s="290" t="s">
        <v>255</v>
      </c>
      <c r="H1058" s="291"/>
      <c r="I1058" s="291"/>
      <c r="J1058" s="291"/>
      <c r="K1058" s="291">
        <v>0</v>
      </c>
      <c r="L1058" s="292">
        <v>0</v>
      </c>
      <c r="M1058" s="292">
        <v>0</v>
      </c>
      <c r="N1058" s="292">
        <v>0</v>
      </c>
      <c r="O1058" s="292">
        <v>9</v>
      </c>
      <c r="P1058" s="294">
        <v>9</v>
      </c>
      <c r="Q1058" s="294">
        <v>9</v>
      </c>
      <c r="R1058" s="294"/>
      <c r="S1058" s="294"/>
      <c r="T1058" s="294"/>
      <c r="U1058" s="294"/>
      <c r="V1058" s="431"/>
      <c r="W1058" s="331"/>
      <c r="X1058" s="331"/>
      <c r="Y1058" s="294">
        <f>IF(NFI_Expiration=1,IF($A1058&lt;VLOOKUP(H$5,NFI,5,0),1,0)*Table_NFI[[#This Row],[Hygiene Kit]],Table_NFI[Hygiene Kit])</f>
        <v>0</v>
      </c>
      <c r="Z1058" s="294">
        <f>IF(NFI_Expiration=1,IF($A1058&lt;VLOOKUP(I$5,NFI,5,0),1,0)*Table_NFI[[#This Row],[NFI Core Kit]],Table_NFI[NFI Core Kit])</f>
        <v>0</v>
      </c>
      <c r="AA1058" s="294">
        <f>IF(NFI_Expiration=1,IF($A1058&lt;VLOOKUP(J$5,NFI,5,0),1,0)*Table_NFI[[#This Row],[Sanitary Kit]],Table_NFI[Sanitary Kit])</f>
        <v>0</v>
      </c>
      <c r="AB1058" s="294">
        <f>IF(NFI_Expiration=1,IF($A1058&lt;VLOOKUP(K$5,NFI,5,0),1,0)*Table_NFI[[#This Row],[Mosquito net]],Table_NFI[Mosquito net])</f>
        <v>0</v>
      </c>
      <c r="AC1058" s="294">
        <f>IF(NFI_Expiration=1,IF($A1058&lt;VLOOKUP(L$5,NFI,5,0),1,0)*Table_NFI[[#This Row],[Tarpaulin]],Table_NFI[[#This Row],[Tarpaulin]])</f>
        <v>0</v>
      </c>
      <c r="AD1058" s="294">
        <f>IF(NFI_Expiration=1,IF($A1058&lt;VLOOKUP(M$5,NFI,5,0),1,0)*Table_NFI[[#This Row],[Blanket]],Table_NFI[[#This Row],[Blanket]])</f>
        <v>0</v>
      </c>
      <c r="AE1058" s="294">
        <f>IF(NFI_Expiration=1,IF($A1058&lt;VLOOKUP(N$5,NFI,5,0),1,0)*Table_NFI[[#This Row],[Kitchen Set]],Table_NFI[Kitchen Set])</f>
        <v>0</v>
      </c>
      <c r="AF1058" s="294">
        <f>IF(NFI_Expiration=1,IF($A1058&lt;VLOOKUP(O$5,NFI,5,0),1,0)*Table_NFI[[#This Row],[Clothes Kit]],Table_NFI[Clothes Kit])</f>
        <v>0</v>
      </c>
      <c r="AG1058" s="294">
        <f>IF(NFI_Expiration=1,IF($A1058&lt;VLOOKUP(P$5,NFI,5,0),1,0)*Table_NFI[[#This Row],[Plastic Bucket]],Table_NFI[Plastic Bucket])</f>
        <v>0</v>
      </c>
      <c r="AH1058" s="294">
        <f>IF(NFI_Expiration=1,IF($A1058&lt;VLOOKUP(Q$5,NFI,5,0),1,0)*Table_NFI[[#This Row],[Plastic Mat]],Table_NFI[Plastic Mat])*IF(Table_NFI[[#This Row],[Distribution Date]]&gt;"2014-04-01",1,2.5)</f>
        <v>0</v>
      </c>
      <c r="AI1058" s="294">
        <f>IF(NFI_Expiration=1,IF($A1058&lt;VLOOKUP(R$5,NFI,5,0),1,0)*Table_NFI[[#This Row],[Winter Clothes Adult]],Table_NFI[Winter Clothes Adult])</f>
        <v>0</v>
      </c>
      <c r="AJ1058" s="294">
        <f>IF(NFI_Expiration=1,IF($A1058&lt;VLOOKUP(S$5,NFI,5,0),1,0)*Table_NFI[[#This Row],[Winter Clothes Children]],Table_NFI[Winter Clothes Children])</f>
        <v>0</v>
      </c>
      <c r="AK1058" s="294">
        <f>IF(NFI_Expiration=1,IF($A1058&lt;VLOOKUP(T$5,NFI,5,0),1,0)*Table_NFI[[#This Row],[Winter Items Other]],Table_NFI[Winter Items Other])</f>
        <v>0</v>
      </c>
      <c r="AL1058" s="294">
        <f>IF(NFI_Expiration=1,IF($A1058&lt;VLOOKUP(M$5,NFI,5,0),1,0)*Table_NFI[[#This Row],[Winter Blanket]],Table_NFI[[#This Row],[Winter Blanket]])</f>
        <v>0</v>
      </c>
      <c r="AM1058" s="294">
        <f>IF(Table_NFI[[#This Row],[Winter Clothes Adult]]+Table_NFI[[#This Row],[Winter Clothes Children]]+Table_NFI[[#This Row],[Winter Items Other]]+Table_NFI[[#This Row],[Winter Blanket]]&gt;0,1,0)</f>
        <v>0</v>
      </c>
      <c r="AN1058" s="331">
        <f>IF(NFI_Expiration=1,IF($A1058&lt;VLOOKUP(V$5,NFI,5,0),1,0)*Table_NFI[[#This Row],[Jerry Can]],Table_NFI[Jerry Can])</f>
        <v>0</v>
      </c>
      <c r="AO1058" s="331">
        <f>IF(NFI_Expiration=1,IF($A1058&lt;VLOOKUP(V$5,NFI,5,0),1,0)*Table_NFI[[#This Row],[Shelter Tool kit]],Table_NFI[Shelter Tool kit])</f>
        <v>0</v>
      </c>
      <c r="AP1058" s="331">
        <f>IF(NFI_Expiration=1,IF($A1058&lt;VLOOKUP(V$5,NFI,5,0),1,0)*Table_NFI[[#This Row],[Tent]],Table_NFI[Tent])</f>
        <v>0</v>
      </c>
      <c r="AQ1058" s="473" t="str">
        <f>IFERROR(VLOOKUP(Table_NFI[[#This Row],[Camp Name]],CL,2,0),"")</f>
        <v>MMR001CMP019</v>
      </c>
      <c r="AR1058" s="468">
        <f ca="1">IF(Table_NFI[[#This Row],[Pcode]]="","",IF(OFFSET(CampList[Opening Date],MATCH(Table_NFI[[#This Row],[Pcode]],CampList[CP_Pcode],0)-1,0,1,1)&gt;=NFI_Monitor_Date,1,0))</f>
        <v>0</v>
      </c>
      <c r="AS1058" s="473" t="str">
        <f>IFERROR(VLOOKUP(Table_NFI[[#This Row],[Camp Name]],CL,3,0),"")</f>
        <v>Open</v>
      </c>
      <c r="AT1058" s="294" t="str">
        <f ca="1">IF(Table_NFI[[#This Row],[Pcode]]="","",OFFSET(CampList[Priority],MATCH(Table_NFI[[#This Row],[Pcode]],CampList[CP_Pcode],0)-1,0,1,1))</f>
        <v>P4</v>
      </c>
      <c r="AU1058" s="293">
        <f>IFERROR(Table_NFI[[#This Row],[Kitchen Set]]/VLOOKUP(Table_NFI[[#This Row],[Camp Name]],CL,4,0),"")</f>
        <v>0</v>
      </c>
      <c r="AV1058" s="466" t="s">
        <v>1092</v>
      </c>
      <c r="AW1058" s="469"/>
    </row>
    <row r="1059" spans="1:49" s="479" customFormat="1" ht="15.75" customHeight="1" x14ac:dyDescent="0.25">
      <c r="A1059" s="297">
        <f t="shared" si="16"/>
        <v>58.7</v>
      </c>
      <c r="B1059" s="465">
        <v>40914</v>
      </c>
      <c r="C1059" s="466" t="s">
        <v>452</v>
      </c>
      <c r="D1059" s="467" t="s">
        <v>452</v>
      </c>
      <c r="E1059" s="466" t="s">
        <v>380</v>
      </c>
      <c r="F1059" s="290" t="s">
        <v>310</v>
      </c>
      <c r="G1059" s="290" t="s">
        <v>349</v>
      </c>
      <c r="H1059" s="291"/>
      <c r="I1059" s="291"/>
      <c r="J1059" s="291"/>
      <c r="K1059" s="291">
        <v>29</v>
      </c>
      <c r="L1059" s="292">
        <v>0</v>
      </c>
      <c r="M1059" s="292">
        <v>29</v>
      </c>
      <c r="N1059" s="292">
        <v>15</v>
      </c>
      <c r="O1059" s="292">
        <v>15</v>
      </c>
      <c r="P1059" s="294">
        <v>15</v>
      </c>
      <c r="Q1059" s="294">
        <v>15</v>
      </c>
      <c r="R1059" s="294"/>
      <c r="S1059" s="294"/>
      <c r="T1059" s="294"/>
      <c r="U1059" s="294"/>
      <c r="V1059" s="431"/>
      <c r="W1059" s="331"/>
      <c r="X1059" s="331"/>
      <c r="Y1059" s="294">
        <f>IF(NFI_Expiration=1,IF($A1059&lt;VLOOKUP(H$5,NFI,5,0),1,0)*Table_NFI[[#This Row],[Hygiene Kit]],Table_NFI[Hygiene Kit])</f>
        <v>0</v>
      </c>
      <c r="Z1059" s="294">
        <f>IF(NFI_Expiration=1,IF($A1059&lt;VLOOKUP(I$5,NFI,5,0),1,0)*Table_NFI[[#This Row],[NFI Core Kit]],Table_NFI[NFI Core Kit])</f>
        <v>0</v>
      </c>
      <c r="AA1059" s="294">
        <f>IF(NFI_Expiration=1,IF($A1059&lt;VLOOKUP(J$5,NFI,5,0),1,0)*Table_NFI[[#This Row],[Sanitary Kit]],Table_NFI[Sanitary Kit])</f>
        <v>0</v>
      </c>
      <c r="AB1059" s="294">
        <f>IF(NFI_Expiration=1,IF($A1059&lt;VLOOKUP(K$5,NFI,5,0),1,0)*Table_NFI[[#This Row],[Mosquito net]],Table_NFI[Mosquito net])</f>
        <v>0</v>
      </c>
      <c r="AC1059" s="294">
        <f>IF(NFI_Expiration=1,IF($A1059&lt;VLOOKUP(L$5,NFI,5,0),1,0)*Table_NFI[[#This Row],[Tarpaulin]],Table_NFI[[#This Row],[Tarpaulin]])</f>
        <v>0</v>
      </c>
      <c r="AD1059" s="294">
        <f>IF(NFI_Expiration=1,IF($A1059&lt;VLOOKUP(M$5,NFI,5,0),1,0)*Table_NFI[[#This Row],[Blanket]],Table_NFI[[#This Row],[Blanket]])</f>
        <v>0</v>
      </c>
      <c r="AE1059" s="294">
        <f>IF(NFI_Expiration=1,IF($A1059&lt;VLOOKUP(N$5,NFI,5,0),1,0)*Table_NFI[[#This Row],[Kitchen Set]],Table_NFI[Kitchen Set])</f>
        <v>0</v>
      </c>
      <c r="AF1059" s="294">
        <f>IF(NFI_Expiration=1,IF($A1059&lt;VLOOKUP(O$5,NFI,5,0),1,0)*Table_NFI[[#This Row],[Clothes Kit]],Table_NFI[Clothes Kit])</f>
        <v>0</v>
      </c>
      <c r="AG1059" s="294">
        <f>IF(NFI_Expiration=1,IF($A1059&lt;VLOOKUP(P$5,NFI,5,0),1,0)*Table_NFI[[#This Row],[Plastic Bucket]],Table_NFI[Plastic Bucket])</f>
        <v>0</v>
      </c>
      <c r="AH1059" s="294">
        <f>IF(NFI_Expiration=1,IF($A1059&lt;VLOOKUP(Q$5,NFI,5,0),1,0)*Table_NFI[[#This Row],[Plastic Mat]],Table_NFI[Plastic Mat])*IF(Table_NFI[[#This Row],[Distribution Date]]&gt;"2014-04-01",1,2.5)</f>
        <v>0</v>
      </c>
      <c r="AI1059" s="294">
        <f>IF(NFI_Expiration=1,IF($A1059&lt;VLOOKUP(R$5,NFI,5,0),1,0)*Table_NFI[[#This Row],[Winter Clothes Adult]],Table_NFI[Winter Clothes Adult])</f>
        <v>0</v>
      </c>
      <c r="AJ1059" s="294">
        <f>IF(NFI_Expiration=1,IF($A1059&lt;VLOOKUP(S$5,NFI,5,0),1,0)*Table_NFI[[#This Row],[Winter Clothes Children]],Table_NFI[Winter Clothes Children])</f>
        <v>0</v>
      </c>
      <c r="AK1059" s="294">
        <f>IF(NFI_Expiration=1,IF($A1059&lt;VLOOKUP(T$5,NFI,5,0),1,0)*Table_NFI[[#This Row],[Winter Items Other]],Table_NFI[Winter Items Other])</f>
        <v>0</v>
      </c>
      <c r="AL1059" s="294">
        <f>IF(NFI_Expiration=1,IF($A1059&lt;VLOOKUP(M$5,NFI,5,0),1,0)*Table_NFI[[#This Row],[Winter Blanket]],Table_NFI[[#This Row],[Winter Blanket]])</f>
        <v>0</v>
      </c>
      <c r="AM1059" s="294">
        <f>IF(Table_NFI[[#This Row],[Winter Clothes Adult]]+Table_NFI[[#This Row],[Winter Clothes Children]]+Table_NFI[[#This Row],[Winter Items Other]]+Table_NFI[[#This Row],[Winter Blanket]]&gt;0,1,0)</f>
        <v>0</v>
      </c>
      <c r="AN1059" s="331">
        <f>IF(NFI_Expiration=1,IF($A1059&lt;VLOOKUP(V$5,NFI,5,0),1,0)*Table_NFI[[#This Row],[Jerry Can]],Table_NFI[Jerry Can])</f>
        <v>0</v>
      </c>
      <c r="AO1059" s="331">
        <f>IF(NFI_Expiration=1,IF($A1059&lt;VLOOKUP(V$5,NFI,5,0),1,0)*Table_NFI[[#This Row],[Shelter Tool kit]],Table_NFI[Shelter Tool kit])</f>
        <v>0</v>
      </c>
      <c r="AP1059" s="331">
        <f>IF(NFI_Expiration=1,IF($A1059&lt;VLOOKUP(V$5,NFI,5,0),1,0)*Table_NFI[[#This Row],[Tent]],Table_NFI[Tent])</f>
        <v>0</v>
      </c>
      <c r="AQ1059" s="473" t="str">
        <f>IFERROR(VLOOKUP(Table_NFI[[#This Row],[Camp Name]],CL,2,0),"")</f>
        <v>MMR001CMP037</v>
      </c>
      <c r="AR1059" s="468">
        <f ca="1">IF(Table_NFI[[#This Row],[Pcode]]="","",IF(OFFSET(CampList[Opening Date],MATCH(Table_NFI[[#This Row],[Pcode]],CampList[CP_Pcode],0)-1,0,1,1)&gt;=NFI_Monitor_Date,1,0))</f>
        <v>0</v>
      </c>
      <c r="AS1059" s="473" t="str">
        <f>IFERROR(VLOOKUP(Table_NFI[[#This Row],[Camp Name]],CL,3,0),"")</f>
        <v>Open</v>
      </c>
      <c r="AT1059" s="294" t="str">
        <f ca="1">IF(Table_NFI[[#This Row],[Pcode]]="","",OFFSET(CampList[Priority],MATCH(Table_NFI[[#This Row],[Pcode]],CampList[CP_Pcode],0)-1,0,1,1))</f>
        <v>P4</v>
      </c>
      <c r="AU1059" s="293">
        <f>IFERROR(Table_NFI[[#This Row],[Kitchen Set]]/VLOOKUP(Table_NFI[[#This Row],[Camp Name]],CL,4,0),"")</f>
        <v>0.34090909090909088</v>
      </c>
      <c r="AV1059" s="466" t="s">
        <v>1092</v>
      </c>
      <c r="AW1059" s="469"/>
    </row>
    <row r="1060" spans="1:49" s="479" customFormat="1" ht="15.75" customHeight="1" x14ac:dyDescent="0.25">
      <c r="A1060" s="297">
        <f t="shared" si="16"/>
        <v>58.7</v>
      </c>
      <c r="B1060" s="465">
        <v>40914</v>
      </c>
      <c r="C1060" s="466" t="s">
        <v>452</v>
      </c>
      <c r="D1060" s="467" t="s">
        <v>452</v>
      </c>
      <c r="E1060" s="466" t="s">
        <v>380</v>
      </c>
      <c r="F1060" s="290" t="s">
        <v>310</v>
      </c>
      <c r="G1060" s="290" t="s">
        <v>349</v>
      </c>
      <c r="H1060" s="291"/>
      <c r="I1060" s="291"/>
      <c r="J1060" s="291"/>
      <c r="K1060" s="291">
        <v>59</v>
      </c>
      <c r="L1060" s="292">
        <v>30</v>
      </c>
      <c r="M1060" s="292">
        <v>59</v>
      </c>
      <c r="N1060" s="292">
        <v>30</v>
      </c>
      <c r="O1060" s="292">
        <v>30</v>
      </c>
      <c r="P1060" s="294">
        <v>30</v>
      </c>
      <c r="Q1060" s="294">
        <v>30</v>
      </c>
      <c r="R1060" s="294"/>
      <c r="S1060" s="294"/>
      <c r="T1060" s="294"/>
      <c r="U1060" s="294"/>
      <c r="V1060" s="431"/>
      <c r="W1060" s="331"/>
      <c r="X1060" s="331"/>
      <c r="Y1060" s="294">
        <f>IF(NFI_Expiration=1,IF($A1060&lt;VLOOKUP(H$5,NFI,5,0),1,0)*Table_NFI[[#This Row],[Hygiene Kit]],Table_NFI[Hygiene Kit])</f>
        <v>0</v>
      </c>
      <c r="Z1060" s="294">
        <f>IF(NFI_Expiration=1,IF($A1060&lt;VLOOKUP(I$5,NFI,5,0),1,0)*Table_NFI[[#This Row],[NFI Core Kit]],Table_NFI[NFI Core Kit])</f>
        <v>0</v>
      </c>
      <c r="AA1060" s="294">
        <f>IF(NFI_Expiration=1,IF($A1060&lt;VLOOKUP(J$5,NFI,5,0),1,0)*Table_NFI[[#This Row],[Sanitary Kit]],Table_NFI[Sanitary Kit])</f>
        <v>0</v>
      </c>
      <c r="AB1060" s="294">
        <f>IF(NFI_Expiration=1,IF($A1060&lt;VLOOKUP(K$5,NFI,5,0),1,0)*Table_NFI[[#This Row],[Mosquito net]],Table_NFI[Mosquito net])</f>
        <v>0</v>
      </c>
      <c r="AC1060" s="294">
        <f>IF(NFI_Expiration=1,IF($A1060&lt;VLOOKUP(L$5,NFI,5,0),1,0)*Table_NFI[[#This Row],[Tarpaulin]],Table_NFI[[#This Row],[Tarpaulin]])</f>
        <v>0</v>
      </c>
      <c r="AD1060" s="294">
        <f>IF(NFI_Expiration=1,IF($A1060&lt;VLOOKUP(M$5,NFI,5,0),1,0)*Table_NFI[[#This Row],[Blanket]],Table_NFI[[#This Row],[Blanket]])</f>
        <v>0</v>
      </c>
      <c r="AE1060" s="294">
        <f>IF(NFI_Expiration=1,IF($A1060&lt;VLOOKUP(N$5,NFI,5,0),1,0)*Table_NFI[[#This Row],[Kitchen Set]],Table_NFI[Kitchen Set])</f>
        <v>0</v>
      </c>
      <c r="AF1060" s="294">
        <f>IF(NFI_Expiration=1,IF($A1060&lt;VLOOKUP(O$5,NFI,5,0),1,0)*Table_NFI[[#This Row],[Clothes Kit]],Table_NFI[Clothes Kit])</f>
        <v>0</v>
      </c>
      <c r="AG1060" s="294">
        <f>IF(NFI_Expiration=1,IF($A1060&lt;VLOOKUP(P$5,NFI,5,0),1,0)*Table_NFI[[#This Row],[Plastic Bucket]],Table_NFI[Plastic Bucket])</f>
        <v>0</v>
      </c>
      <c r="AH1060" s="294">
        <f>IF(NFI_Expiration=1,IF($A1060&lt;VLOOKUP(Q$5,NFI,5,0),1,0)*Table_NFI[[#This Row],[Plastic Mat]],Table_NFI[Plastic Mat])*IF(Table_NFI[[#This Row],[Distribution Date]]&gt;"2014-04-01",1,2.5)</f>
        <v>0</v>
      </c>
      <c r="AI1060" s="294">
        <f>IF(NFI_Expiration=1,IF($A1060&lt;VLOOKUP(R$5,NFI,5,0),1,0)*Table_NFI[[#This Row],[Winter Clothes Adult]],Table_NFI[Winter Clothes Adult])</f>
        <v>0</v>
      </c>
      <c r="AJ1060" s="294">
        <f>IF(NFI_Expiration=1,IF($A1060&lt;VLOOKUP(S$5,NFI,5,0),1,0)*Table_NFI[[#This Row],[Winter Clothes Children]],Table_NFI[Winter Clothes Children])</f>
        <v>0</v>
      </c>
      <c r="AK1060" s="294">
        <f>IF(NFI_Expiration=1,IF($A1060&lt;VLOOKUP(T$5,NFI,5,0),1,0)*Table_NFI[[#This Row],[Winter Items Other]],Table_NFI[Winter Items Other])</f>
        <v>0</v>
      </c>
      <c r="AL1060" s="294">
        <f>IF(NFI_Expiration=1,IF($A1060&lt;VLOOKUP(M$5,NFI,5,0),1,0)*Table_NFI[[#This Row],[Winter Blanket]],Table_NFI[[#This Row],[Winter Blanket]])</f>
        <v>0</v>
      </c>
      <c r="AM1060" s="294">
        <f>IF(Table_NFI[[#This Row],[Winter Clothes Adult]]+Table_NFI[[#This Row],[Winter Clothes Children]]+Table_NFI[[#This Row],[Winter Items Other]]+Table_NFI[[#This Row],[Winter Blanket]]&gt;0,1,0)</f>
        <v>0</v>
      </c>
      <c r="AN1060" s="331">
        <f>IF(NFI_Expiration=1,IF($A1060&lt;VLOOKUP(V$5,NFI,5,0),1,0)*Table_NFI[[#This Row],[Jerry Can]],Table_NFI[Jerry Can])</f>
        <v>0</v>
      </c>
      <c r="AO1060" s="331">
        <f>IF(NFI_Expiration=1,IF($A1060&lt;VLOOKUP(V$5,NFI,5,0),1,0)*Table_NFI[[#This Row],[Shelter Tool kit]],Table_NFI[Shelter Tool kit])</f>
        <v>0</v>
      </c>
      <c r="AP1060" s="331">
        <f>IF(NFI_Expiration=1,IF($A1060&lt;VLOOKUP(V$5,NFI,5,0),1,0)*Table_NFI[[#This Row],[Tent]],Table_NFI[Tent])</f>
        <v>0</v>
      </c>
      <c r="AQ1060" s="473" t="str">
        <f>IFERROR(VLOOKUP(Table_NFI[[#This Row],[Camp Name]],CL,2,0),"")</f>
        <v>MMR001CMP037</v>
      </c>
      <c r="AR1060" s="468">
        <f ca="1">IF(Table_NFI[[#This Row],[Pcode]]="","",IF(OFFSET(CampList[Opening Date],MATCH(Table_NFI[[#This Row],[Pcode]],CampList[CP_Pcode],0)-1,0,1,1)&gt;=NFI_Monitor_Date,1,0))</f>
        <v>0</v>
      </c>
      <c r="AS1060" s="473" t="str">
        <f>IFERROR(VLOOKUP(Table_NFI[[#This Row],[Camp Name]],CL,3,0),"")</f>
        <v>Open</v>
      </c>
      <c r="AT1060" s="294" t="str">
        <f ca="1">IF(Table_NFI[[#This Row],[Pcode]]="","",OFFSET(CampList[Priority],MATCH(Table_NFI[[#This Row],[Pcode]],CampList[CP_Pcode],0)-1,0,1,1))</f>
        <v>P4</v>
      </c>
      <c r="AU1060" s="293">
        <f>IFERROR(Table_NFI[[#This Row],[Kitchen Set]]/VLOOKUP(Table_NFI[[#This Row],[Camp Name]],CL,4,0),"")</f>
        <v>0.68181818181818177</v>
      </c>
      <c r="AV1060" s="466" t="s">
        <v>1092</v>
      </c>
      <c r="AW1060" s="469"/>
    </row>
    <row r="1061" spans="1:49" s="479" customFormat="1" ht="15.75" customHeight="1" x14ac:dyDescent="0.25">
      <c r="A1061" s="297">
        <f t="shared" si="16"/>
        <v>58.7</v>
      </c>
      <c r="B1061" s="465">
        <v>40914</v>
      </c>
      <c r="C1061" s="466" t="s">
        <v>452</v>
      </c>
      <c r="D1061" s="467" t="s">
        <v>452</v>
      </c>
      <c r="E1061" s="466" t="s">
        <v>380</v>
      </c>
      <c r="F1061" s="290" t="s">
        <v>310</v>
      </c>
      <c r="G1061" s="290" t="s">
        <v>316</v>
      </c>
      <c r="H1061" s="291"/>
      <c r="I1061" s="291"/>
      <c r="J1061" s="291"/>
      <c r="K1061" s="291">
        <v>29</v>
      </c>
      <c r="L1061" s="292">
        <v>14</v>
      </c>
      <c r="M1061" s="292">
        <v>29</v>
      </c>
      <c r="N1061" s="292">
        <v>14</v>
      </c>
      <c r="O1061" s="292">
        <v>14</v>
      </c>
      <c r="P1061" s="294">
        <v>14</v>
      </c>
      <c r="Q1061" s="294">
        <v>14</v>
      </c>
      <c r="R1061" s="294"/>
      <c r="S1061" s="294"/>
      <c r="T1061" s="294"/>
      <c r="U1061" s="294"/>
      <c r="V1061" s="431"/>
      <c r="W1061" s="331"/>
      <c r="X1061" s="331"/>
      <c r="Y1061" s="294">
        <f>IF(NFI_Expiration=1,IF($A1061&lt;VLOOKUP(H$5,NFI,5,0),1,0)*Table_NFI[[#This Row],[Hygiene Kit]],Table_NFI[Hygiene Kit])</f>
        <v>0</v>
      </c>
      <c r="Z1061" s="294">
        <f>IF(NFI_Expiration=1,IF($A1061&lt;VLOOKUP(I$5,NFI,5,0),1,0)*Table_NFI[[#This Row],[NFI Core Kit]],Table_NFI[NFI Core Kit])</f>
        <v>0</v>
      </c>
      <c r="AA1061" s="294">
        <f>IF(NFI_Expiration=1,IF($A1061&lt;VLOOKUP(J$5,NFI,5,0),1,0)*Table_NFI[[#This Row],[Sanitary Kit]],Table_NFI[Sanitary Kit])</f>
        <v>0</v>
      </c>
      <c r="AB1061" s="294">
        <f>IF(NFI_Expiration=1,IF($A1061&lt;VLOOKUP(K$5,NFI,5,0),1,0)*Table_NFI[[#This Row],[Mosquito net]],Table_NFI[Mosquito net])</f>
        <v>0</v>
      </c>
      <c r="AC1061" s="294">
        <f>IF(NFI_Expiration=1,IF($A1061&lt;VLOOKUP(L$5,NFI,5,0),1,0)*Table_NFI[[#This Row],[Tarpaulin]],Table_NFI[[#This Row],[Tarpaulin]])</f>
        <v>0</v>
      </c>
      <c r="AD1061" s="294">
        <f>IF(NFI_Expiration=1,IF($A1061&lt;VLOOKUP(M$5,NFI,5,0),1,0)*Table_NFI[[#This Row],[Blanket]],Table_NFI[[#This Row],[Blanket]])</f>
        <v>0</v>
      </c>
      <c r="AE1061" s="294">
        <f>IF(NFI_Expiration=1,IF($A1061&lt;VLOOKUP(N$5,NFI,5,0),1,0)*Table_NFI[[#This Row],[Kitchen Set]],Table_NFI[Kitchen Set])</f>
        <v>0</v>
      </c>
      <c r="AF1061" s="294">
        <f>IF(NFI_Expiration=1,IF($A1061&lt;VLOOKUP(O$5,NFI,5,0),1,0)*Table_NFI[[#This Row],[Clothes Kit]],Table_NFI[Clothes Kit])</f>
        <v>0</v>
      </c>
      <c r="AG1061" s="294">
        <f>IF(NFI_Expiration=1,IF($A1061&lt;VLOOKUP(P$5,NFI,5,0),1,0)*Table_NFI[[#This Row],[Plastic Bucket]],Table_NFI[Plastic Bucket])</f>
        <v>0</v>
      </c>
      <c r="AH1061" s="294">
        <f>IF(NFI_Expiration=1,IF($A1061&lt;VLOOKUP(Q$5,NFI,5,0),1,0)*Table_NFI[[#This Row],[Plastic Mat]],Table_NFI[Plastic Mat])*IF(Table_NFI[[#This Row],[Distribution Date]]&gt;"2014-04-01",1,2.5)</f>
        <v>0</v>
      </c>
      <c r="AI1061" s="294">
        <f>IF(NFI_Expiration=1,IF($A1061&lt;VLOOKUP(R$5,NFI,5,0),1,0)*Table_NFI[[#This Row],[Winter Clothes Adult]],Table_NFI[Winter Clothes Adult])</f>
        <v>0</v>
      </c>
      <c r="AJ1061" s="294">
        <f>IF(NFI_Expiration=1,IF($A1061&lt;VLOOKUP(S$5,NFI,5,0),1,0)*Table_NFI[[#This Row],[Winter Clothes Children]],Table_NFI[Winter Clothes Children])</f>
        <v>0</v>
      </c>
      <c r="AK1061" s="294">
        <f>IF(NFI_Expiration=1,IF($A1061&lt;VLOOKUP(T$5,NFI,5,0),1,0)*Table_NFI[[#This Row],[Winter Items Other]],Table_NFI[Winter Items Other])</f>
        <v>0</v>
      </c>
      <c r="AL1061" s="294">
        <f>IF(NFI_Expiration=1,IF($A1061&lt;VLOOKUP(M$5,NFI,5,0),1,0)*Table_NFI[[#This Row],[Winter Blanket]],Table_NFI[[#This Row],[Winter Blanket]])</f>
        <v>0</v>
      </c>
      <c r="AM1061" s="294">
        <f>IF(Table_NFI[[#This Row],[Winter Clothes Adult]]+Table_NFI[[#This Row],[Winter Clothes Children]]+Table_NFI[[#This Row],[Winter Items Other]]+Table_NFI[[#This Row],[Winter Blanket]]&gt;0,1,0)</f>
        <v>0</v>
      </c>
      <c r="AN1061" s="331">
        <f>IF(NFI_Expiration=1,IF($A1061&lt;VLOOKUP(V$5,NFI,5,0),1,0)*Table_NFI[[#This Row],[Jerry Can]],Table_NFI[Jerry Can])</f>
        <v>0</v>
      </c>
      <c r="AO1061" s="331">
        <f>IF(NFI_Expiration=1,IF($A1061&lt;VLOOKUP(V$5,NFI,5,0),1,0)*Table_NFI[[#This Row],[Shelter Tool kit]],Table_NFI[Shelter Tool kit])</f>
        <v>0</v>
      </c>
      <c r="AP1061" s="331">
        <f>IF(NFI_Expiration=1,IF($A1061&lt;VLOOKUP(V$5,NFI,5,0),1,0)*Table_NFI[[#This Row],[Tent]],Table_NFI[Tent])</f>
        <v>0</v>
      </c>
      <c r="AQ1061" s="473" t="str">
        <f>IFERROR(VLOOKUP(Table_NFI[[#This Row],[Camp Name]],CL,2,0),"")</f>
        <v>MMR001CMP038</v>
      </c>
      <c r="AR1061" s="468">
        <f ca="1">IF(Table_NFI[[#This Row],[Pcode]]="","",IF(OFFSET(CampList[Opening Date],MATCH(Table_NFI[[#This Row],[Pcode]],CampList[CP_Pcode],0)-1,0,1,1)&gt;=NFI_Monitor_Date,1,0))</f>
        <v>0</v>
      </c>
      <c r="AS1061" s="473" t="str">
        <f>IFERROR(VLOOKUP(Table_NFI[[#This Row],[Camp Name]],CL,3,0),"")</f>
        <v>Open</v>
      </c>
      <c r="AT1061" s="294" t="str">
        <f ca="1">IF(Table_NFI[[#This Row],[Pcode]]="","",OFFSET(CampList[Priority],MATCH(Table_NFI[[#This Row],[Pcode]],CampList[CP_Pcode],0)-1,0,1,1))</f>
        <v>P4</v>
      </c>
      <c r="AU1061" s="293">
        <f>IFERROR(Table_NFI[[#This Row],[Kitchen Set]]/VLOOKUP(Table_NFI[[#This Row],[Camp Name]],CL,4,0),"")</f>
        <v>0.2</v>
      </c>
      <c r="AV1061" s="466" t="s">
        <v>1092</v>
      </c>
      <c r="AW1061" s="469"/>
    </row>
    <row r="1062" spans="1:49" s="479" customFormat="1" ht="15.75" customHeight="1" x14ac:dyDescent="0.25">
      <c r="A1062" s="297">
        <f t="shared" si="16"/>
        <v>58.733333333333334</v>
      </c>
      <c r="B1062" s="465">
        <v>40913</v>
      </c>
      <c r="C1062" s="466" t="s">
        <v>452</v>
      </c>
      <c r="D1062" s="467" t="s">
        <v>460</v>
      </c>
      <c r="E1062" s="466" t="s">
        <v>380</v>
      </c>
      <c r="F1062" s="290" t="s">
        <v>310</v>
      </c>
      <c r="G1062" s="290" t="s">
        <v>326</v>
      </c>
      <c r="H1062" s="291"/>
      <c r="I1062" s="291"/>
      <c r="J1062" s="291"/>
      <c r="K1062" s="291">
        <v>52</v>
      </c>
      <c r="L1062" s="292">
        <v>29</v>
      </c>
      <c r="M1062" s="292">
        <v>52</v>
      </c>
      <c r="N1062" s="292">
        <v>29</v>
      </c>
      <c r="O1062" s="292">
        <v>29</v>
      </c>
      <c r="P1062" s="294">
        <v>29</v>
      </c>
      <c r="Q1062" s="294">
        <v>29</v>
      </c>
      <c r="R1062" s="294"/>
      <c r="S1062" s="294"/>
      <c r="T1062" s="294"/>
      <c r="U1062" s="294"/>
      <c r="V1062" s="431"/>
      <c r="W1062" s="331"/>
      <c r="X1062" s="331"/>
      <c r="Y1062" s="294">
        <f>IF(NFI_Expiration=1,IF($A1062&lt;VLOOKUP(H$5,NFI,5,0),1,0)*Table_NFI[[#This Row],[Hygiene Kit]],Table_NFI[Hygiene Kit])</f>
        <v>0</v>
      </c>
      <c r="Z1062" s="294">
        <f>IF(NFI_Expiration=1,IF($A1062&lt;VLOOKUP(I$5,NFI,5,0),1,0)*Table_NFI[[#This Row],[NFI Core Kit]],Table_NFI[NFI Core Kit])</f>
        <v>0</v>
      </c>
      <c r="AA1062" s="294">
        <f>IF(NFI_Expiration=1,IF($A1062&lt;VLOOKUP(J$5,NFI,5,0),1,0)*Table_NFI[[#This Row],[Sanitary Kit]],Table_NFI[Sanitary Kit])</f>
        <v>0</v>
      </c>
      <c r="AB1062" s="294">
        <f>IF(NFI_Expiration=1,IF($A1062&lt;VLOOKUP(K$5,NFI,5,0),1,0)*Table_NFI[[#This Row],[Mosquito net]],Table_NFI[Mosquito net])</f>
        <v>0</v>
      </c>
      <c r="AC1062" s="294">
        <f>IF(NFI_Expiration=1,IF($A1062&lt;VLOOKUP(L$5,NFI,5,0),1,0)*Table_NFI[[#This Row],[Tarpaulin]],Table_NFI[[#This Row],[Tarpaulin]])</f>
        <v>0</v>
      </c>
      <c r="AD1062" s="294">
        <f>IF(NFI_Expiration=1,IF($A1062&lt;VLOOKUP(M$5,NFI,5,0),1,0)*Table_NFI[[#This Row],[Blanket]],Table_NFI[[#This Row],[Blanket]])</f>
        <v>0</v>
      </c>
      <c r="AE1062" s="294">
        <f>IF(NFI_Expiration=1,IF($A1062&lt;VLOOKUP(N$5,NFI,5,0),1,0)*Table_NFI[[#This Row],[Kitchen Set]],Table_NFI[Kitchen Set])</f>
        <v>0</v>
      </c>
      <c r="AF1062" s="294">
        <f>IF(NFI_Expiration=1,IF($A1062&lt;VLOOKUP(O$5,NFI,5,0),1,0)*Table_NFI[[#This Row],[Clothes Kit]],Table_NFI[Clothes Kit])</f>
        <v>0</v>
      </c>
      <c r="AG1062" s="294">
        <f>IF(NFI_Expiration=1,IF($A1062&lt;VLOOKUP(P$5,NFI,5,0),1,0)*Table_NFI[[#This Row],[Plastic Bucket]],Table_NFI[Plastic Bucket])</f>
        <v>0</v>
      </c>
      <c r="AH1062" s="294">
        <f>IF(NFI_Expiration=1,IF($A1062&lt;VLOOKUP(Q$5,NFI,5,0),1,0)*Table_NFI[[#This Row],[Plastic Mat]],Table_NFI[Plastic Mat])*IF(Table_NFI[[#This Row],[Distribution Date]]&gt;"2014-04-01",1,2.5)</f>
        <v>0</v>
      </c>
      <c r="AI1062" s="294">
        <f>IF(NFI_Expiration=1,IF($A1062&lt;VLOOKUP(R$5,NFI,5,0),1,0)*Table_NFI[[#This Row],[Winter Clothes Adult]],Table_NFI[Winter Clothes Adult])</f>
        <v>0</v>
      </c>
      <c r="AJ1062" s="294">
        <f>IF(NFI_Expiration=1,IF($A1062&lt;VLOOKUP(S$5,NFI,5,0),1,0)*Table_NFI[[#This Row],[Winter Clothes Children]],Table_NFI[Winter Clothes Children])</f>
        <v>0</v>
      </c>
      <c r="AK1062" s="294">
        <f>IF(NFI_Expiration=1,IF($A1062&lt;VLOOKUP(T$5,NFI,5,0),1,0)*Table_NFI[[#This Row],[Winter Items Other]],Table_NFI[Winter Items Other])</f>
        <v>0</v>
      </c>
      <c r="AL1062" s="294">
        <f>IF(NFI_Expiration=1,IF($A1062&lt;VLOOKUP(M$5,NFI,5,0),1,0)*Table_NFI[[#This Row],[Winter Blanket]],Table_NFI[[#This Row],[Winter Blanket]])</f>
        <v>0</v>
      </c>
      <c r="AM1062" s="294">
        <f>IF(Table_NFI[[#This Row],[Winter Clothes Adult]]+Table_NFI[[#This Row],[Winter Clothes Children]]+Table_NFI[[#This Row],[Winter Items Other]]+Table_NFI[[#This Row],[Winter Blanket]]&gt;0,1,0)</f>
        <v>0</v>
      </c>
      <c r="AN1062" s="331">
        <f>IF(NFI_Expiration=1,IF($A1062&lt;VLOOKUP(V$5,NFI,5,0),1,0)*Table_NFI[[#This Row],[Jerry Can]],Table_NFI[Jerry Can])</f>
        <v>0</v>
      </c>
      <c r="AO1062" s="331">
        <f>IF(NFI_Expiration=1,IF($A1062&lt;VLOOKUP(V$5,NFI,5,0),1,0)*Table_NFI[[#This Row],[Shelter Tool kit]],Table_NFI[Shelter Tool kit])</f>
        <v>0</v>
      </c>
      <c r="AP1062" s="331">
        <f>IF(NFI_Expiration=1,IF($A1062&lt;VLOOKUP(V$5,NFI,5,0),1,0)*Table_NFI[[#This Row],[Tent]],Table_NFI[Tent])</f>
        <v>0</v>
      </c>
      <c r="AQ1062" s="473" t="str">
        <f>IFERROR(VLOOKUP(Table_NFI[[#This Row],[Camp Name]],CL,2,0),"")</f>
        <v>MMR001CMP039</v>
      </c>
      <c r="AR1062" s="468">
        <f ca="1">IF(Table_NFI[[#This Row],[Pcode]]="","",IF(OFFSET(CampList[Opening Date],MATCH(Table_NFI[[#This Row],[Pcode]],CampList[CP_Pcode],0)-1,0,1,1)&gt;=NFI_Monitor_Date,1,0))</f>
        <v>0</v>
      </c>
      <c r="AS1062" s="473" t="str">
        <f>IFERROR(VLOOKUP(Table_NFI[[#This Row],[Camp Name]],CL,3,0),"")</f>
        <v>Open</v>
      </c>
      <c r="AT1062" s="294" t="str">
        <f ca="1">IF(Table_NFI[[#This Row],[Pcode]]="","",OFFSET(CampList[Priority],MATCH(Table_NFI[[#This Row],[Pcode]],CampList[CP_Pcode],0)-1,0,1,1))</f>
        <v>P4</v>
      </c>
      <c r="AU1062" s="293">
        <f>IFERROR(Table_NFI[[#This Row],[Kitchen Set]]/VLOOKUP(Table_NFI[[#This Row],[Camp Name]],CL,4,0),"")</f>
        <v>0.76315789473684215</v>
      </c>
      <c r="AV1062" s="466" t="s">
        <v>1092</v>
      </c>
      <c r="AW1062" s="469"/>
    </row>
    <row r="1063" spans="1:49" s="479" customFormat="1" ht="15.75" customHeight="1" x14ac:dyDescent="0.25">
      <c r="A1063" s="297">
        <f t="shared" si="16"/>
        <v>58.8</v>
      </c>
      <c r="B1063" s="465">
        <v>40911</v>
      </c>
      <c r="C1063" s="466" t="s">
        <v>452</v>
      </c>
      <c r="D1063" s="467" t="s">
        <v>506</v>
      </c>
      <c r="E1063" s="466" t="s">
        <v>380</v>
      </c>
      <c r="F1063" s="290" t="s">
        <v>237</v>
      </c>
      <c r="G1063" s="290" t="s">
        <v>249</v>
      </c>
      <c r="H1063" s="291"/>
      <c r="I1063" s="291"/>
      <c r="J1063" s="291"/>
      <c r="K1063" s="291">
        <v>0</v>
      </c>
      <c r="L1063" s="292">
        <v>0</v>
      </c>
      <c r="M1063" s="292">
        <v>0</v>
      </c>
      <c r="N1063" s="292">
        <v>0</v>
      </c>
      <c r="O1063" s="292">
        <v>8</v>
      </c>
      <c r="P1063" s="294">
        <v>8</v>
      </c>
      <c r="Q1063" s="294">
        <v>8</v>
      </c>
      <c r="R1063" s="294"/>
      <c r="S1063" s="294"/>
      <c r="T1063" s="294"/>
      <c r="U1063" s="294"/>
      <c r="V1063" s="431"/>
      <c r="W1063" s="331"/>
      <c r="X1063" s="331"/>
      <c r="Y1063" s="294">
        <f>IF(NFI_Expiration=1,IF($A1063&lt;VLOOKUP(H$5,NFI,5,0),1,0)*Table_NFI[[#This Row],[Hygiene Kit]],Table_NFI[Hygiene Kit])</f>
        <v>0</v>
      </c>
      <c r="Z1063" s="294">
        <f>IF(NFI_Expiration=1,IF($A1063&lt;VLOOKUP(I$5,NFI,5,0),1,0)*Table_NFI[[#This Row],[NFI Core Kit]],Table_NFI[NFI Core Kit])</f>
        <v>0</v>
      </c>
      <c r="AA1063" s="294">
        <f>IF(NFI_Expiration=1,IF($A1063&lt;VLOOKUP(J$5,NFI,5,0),1,0)*Table_NFI[[#This Row],[Sanitary Kit]],Table_NFI[Sanitary Kit])</f>
        <v>0</v>
      </c>
      <c r="AB1063" s="294">
        <f>IF(NFI_Expiration=1,IF($A1063&lt;VLOOKUP(K$5,NFI,5,0),1,0)*Table_NFI[[#This Row],[Mosquito net]],Table_NFI[Mosquito net])</f>
        <v>0</v>
      </c>
      <c r="AC1063" s="294">
        <f>IF(NFI_Expiration=1,IF($A1063&lt;VLOOKUP(L$5,NFI,5,0),1,0)*Table_NFI[[#This Row],[Tarpaulin]],Table_NFI[[#This Row],[Tarpaulin]])</f>
        <v>0</v>
      </c>
      <c r="AD1063" s="294">
        <f>IF(NFI_Expiration=1,IF($A1063&lt;VLOOKUP(M$5,NFI,5,0),1,0)*Table_NFI[[#This Row],[Blanket]],Table_NFI[[#This Row],[Blanket]])</f>
        <v>0</v>
      </c>
      <c r="AE1063" s="294">
        <f>IF(NFI_Expiration=1,IF($A1063&lt;VLOOKUP(N$5,NFI,5,0),1,0)*Table_NFI[[#This Row],[Kitchen Set]],Table_NFI[Kitchen Set])</f>
        <v>0</v>
      </c>
      <c r="AF1063" s="294">
        <f>IF(NFI_Expiration=1,IF($A1063&lt;VLOOKUP(O$5,NFI,5,0),1,0)*Table_NFI[[#This Row],[Clothes Kit]],Table_NFI[Clothes Kit])</f>
        <v>0</v>
      </c>
      <c r="AG1063" s="294">
        <f>IF(NFI_Expiration=1,IF($A1063&lt;VLOOKUP(P$5,NFI,5,0),1,0)*Table_NFI[[#This Row],[Plastic Bucket]],Table_NFI[Plastic Bucket])</f>
        <v>0</v>
      </c>
      <c r="AH1063" s="294">
        <f>IF(NFI_Expiration=1,IF($A1063&lt;VLOOKUP(Q$5,NFI,5,0),1,0)*Table_NFI[[#This Row],[Plastic Mat]],Table_NFI[Plastic Mat])*IF(Table_NFI[[#This Row],[Distribution Date]]&gt;"2014-04-01",1,2.5)</f>
        <v>0</v>
      </c>
      <c r="AI1063" s="294">
        <f>IF(NFI_Expiration=1,IF($A1063&lt;VLOOKUP(R$5,NFI,5,0),1,0)*Table_NFI[[#This Row],[Winter Clothes Adult]],Table_NFI[Winter Clothes Adult])</f>
        <v>0</v>
      </c>
      <c r="AJ1063" s="294">
        <f>IF(NFI_Expiration=1,IF($A1063&lt;VLOOKUP(S$5,NFI,5,0),1,0)*Table_NFI[[#This Row],[Winter Clothes Children]],Table_NFI[Winter Clothes Children])</f>
        <v>0</v>
      </c>
      <c r="AK1063" s="294">
        <f>IF(NFI_Expiration=1,IF($A1063&lt;VLOOKUP(T$5,NFI,5,0),1,0)*Table_NFI[[#This Row],[Winter Items Other]],Table_NFI[Winter Items Other])</f>
        <v>0</v>
      </c>
      <c r="AL1063" s="294">
        <f>IF(NFI_Expiration=1,IF($A1063&lt;VLOOKUP(M$5,NFI,5,0),1,0)*Table_NFI[[#This Row],[Winter Blanket]],Table_NFI[[#This Row],[Winter Blanket]])</f>
        <v>0</v>
      </c>
      <c r="AM1063" s="294">
        <f>IF(Table_NFI[[#This Row],[Winter Clothes Adult]]+Table_NFI[[#This Row],[Winter Clothes Children]]+Table_NFI[[#This Row],[Winter Items Other]]+Table_NFI[[#This Row],[Winter Blanket]]&gt;0,1,0)</f>
        <v>0</v>
      </c>
      <c r="AN1063" s="331">
        <f>IF(NFI_Expiration=1,IF($A1063&lt;VLOOKUP(V$5,NFI,5,0),1,0)*Table_NFI[[#This Row],[Jerry Can]],Table_NFI[Jerry Can])</f>
        <v>0</v>
      </c>
      <c r="AO1063" s="331">
        <f>IF(NFI_Expiration=1,IF($A1063&lt;VLOOKUP(V$5,NFI,5,0),1,0)*Table_NFI[[#This Row],[Shelter Tool kit]],Table_NFI[Shelter Tool kit])</f>
        <v>0</v>
      </c>
      <c r="AP1063" s="331">
        <f>IF(NFI_Expiration=1,IF($A1063&lt;VLOOKUP(V$5,NFI,5,0),1,0)*Table_NFI[[#This Row],[Tent]],Table_NFI[Tent])</f>
        <v>0</v>
      </c>
      <c r="AQ1063" s="473" t="str">
        <f>IFERROR(VLOOKUP(Table_NFI[[#This Row],[Camp Name]],CL,2,0),"")</f>
        <v>MMR001CMP004</v>
      </c>
      <c r="AR1063" s="468">
        <f ca="1">IF(Table_NFI[[#This Row],[Pcode]]="","",IF(OFFSET(CampList[Opening Date],MATCH(Table_NFI[[#This Row],[Pcode]],CampList[CP_Pcode],0)-1,0,1,1)&gt;=NFI_Monitor_Date,1,0))</f>
        <v>0</v>
      </c>
      <c r="AS1063" s="473" t="str">
        <f>IFERROR(VLOOKUP(Table_NFI[[#This Row],[Camp Name]],CL,3,0),"")</f>
        <v>Open</v>
      </c>
      <c r="AT1063" s="294" t="str">
        <f ca="1">IF(Table_NFI[[#This Row],[Pcode]]="","",OFFSET(CampList[Priority],MATCH(Table_NFI[[#This Row],[Pcode]],CampList[CP_Pcode],0)-1,0,1,1))</f>
        <v>P4</v>
      </c>
      <c r="AU1063" s="293">
        <f>IFERROR(Table_NFI[[#This Row],[Kitchen Set]]/VLOOKUP(Table_NFI[[#This Row],[Camp Name]],CL,4,0),"")</f>
        <v>0</v>
      </c>
      <c r="AV1063" s="466" t="s">
        <v>1092</v>
      </c>
      <c r="AW1063" s="469"/>
    </row>
    <row r="1064" spans="1:49" s="479" customFormat="1" ht="21.75" customHeight="1" x14ac:dyDescent="0.25">
      <c r="A1064" s="297">
        <f t="shared" si="16"/>
        <v>58.9</v>
      </c>
      <c r="B1064" s="465">
        <v>40908</v>
      </c>
      <c r="C1064" s="466" t="s">
        <v>452</v>
      </c>
      <c r="D1064" s="467" t="s">
        <v>506</v>
      </c>
      <c r="E1064" s="466" t="s">
        <v>380</v>
      </c>
      <c r="F1064" s="290" t="s">
        <v>310</v>
      </c>
      <c r="G1064" s="290" t="s">
        <v>330</v>
      </c>
      <c r="H1064" s="291"/>
      <c r="I1064" s="291"/>
      <c r="J1064" s="291"/>
      <c r="K1064" s="291">
        <v>46</v>
      </c>
      <c r="L1064" s="292">
        <v>27</v>
      </c>
      <c r="M1064" s="292">
        <v>47</v>
      </c>
      <c r="N1064" s="292">
        <v>27</v>
      </c>
      <c r="O1064" s="292">
        <v>27</v>
      </c>
      <c r="P1064" s="294">
        <v>27</v>
      </c>
      <c r="Q1064" s="294">
        <v>27</v>
      </c>
      <c r="R1064" s="294"/>
      <c r="S1064" s="294"/>
      <c r="T1064" s="294"/>
      <c r="U1064" s="294"/>
      <c r="V1064" s="431"/>
      <c r="W1064" s="331"/>
      <c r="X1064" s="331"/>
      <c r="Y1064" s="294">
        <f>IF(NFI_Expiration=1,IF($A1064&lt;VLOOKUP(H$5,NFI,5,0),1,0)*Table_NFI[[#This Row],[Hygiene Kit]],Table_NFI[Hygiene Kit])</f>
        <v>0</v>
      </c>
      <c r="Z1064" s="294">
        <f>IF(NFI_Expiration=1,IF($A1064&lt;VLOOKUP(I$5,NFI,5,0),1,0)*Table_NFI[[#This Row],[NFI Core Kit]],Table_NFI[NFI Core Kit])</f>
        <v>0</v>
      </c>
      <c r="AA1064" s="294">
        <f>IF(NFI_Expiration=1,IF($A1064&lt;VLOOKUP(J$5,NFI,5,0),1,0)*Table_NFI[[#This Row],[Sanitary Kit]],Table_NFI[Sanitary Kit])</f>
        <v>0</v>
      </c>
      <c r="AB1064" s="294">
        <f>IF(NFI_Expiration=1,IF($A1064&lt;VLOOKUP(K$5,NFI,5,0),1,0)*Table_NFI[[#This Row],[Mosquito net]],Table_NFI[Mosquito net])</f>
        <v>0</v>
      </c>
      <c r="AC1064" s="294">
        <f>IF(NFI_Expiration=1,IF($A1064&lt;VLOOKUP(L$5,NFI,5,0),1,0)*Table_NFI[[#This Row],[Tarpaulin]],Table_NFI[[#This Row],[Tarpaulin]])</f>
        <v>0</v>
      </c>
      <c r="AD1064" s="294">
        <f>IF(NFI_Expiration=1,IF($A1064&lt;VLOOKUP(M$5,NFI,5,0),1,0)*Table_NFI[[#This Row],[Blanket]],Table_NFI[[#This Row],[Blanket]])</f>
        <v>0</v>
      </c>
      <c r="AE1064" s="294">
        <f>IF(NFI_Expiration=1,IF($A1064&lt;VLOOKUP(N$5,NFI,5,0),1,0)*Table_NFI[[#This Row],[Kitchen Set]],Table_NFI[Kitchen Set])</f>
        <v>0</v>
      </c>
      <c r="AF1064" s="294">
        <f>IF(NFI_Expiration=1,IF($A1064&lt;VLOOKUP(O$5,NFI,5,0),1,0)*Table_NFI[[#This Row],[Clothes Kit]],Table_NFI[Clothes Kit])</f>
        <v>0</v>
      </c>
      <c r="AG1064" s="294">
        <f>IF(NFI_Expiration=1,IF($A1064&lt;VLOOKUP(P$5,NFI,5,0),1,0)*Table_NFI[[#This Row],[Plastic Bucket]],Table_NFI[Plastic Bucket])</f>
        <v>0</v>
      </c>
      <c r="AH1064" s="294">
        <f>IF(NFI_Expiration=1,IF($A1064&lt;VLOOKUP(Q$5,NFI,5,0),1,0)*Table_NFI[[#This Row],[Plastic Mat]],Table_NFI[Plastic Mat])*IF(Table_NFI[[#This Row],[Distribution Date]]&gt;"2014-04-01",1,2.5)</f>
        <v>0</v>
      </c>
      <c r="AI1064" s="294">
        <f>IF(NFI_Expiration=1,IF($A1064&lt;VLOOKUP(R$5,NFI,5,0),1,0)*Table_NFI[[#This Row],[Winter Clothes Adult]],Table_NFI[Winter Clothes Adult])</f>
        <v>0</v>
      </c>
      <c r="AJ1064" s="294">
        <f>IF(NFI_Expiration=1,IF($A1064&lt;VLOOKUP(S$5,NFI,5,0),1,0)*Table_NFI[[#This Row],[Winter Clothes Children]],Table_NFI[Winter Clothes Children])</f>
        <v>0</v>
      </c>
      <c r="AK1064" s="294">
        <f>IF(NFI_Expiration=1,IF($A1064&lt;VLOOKUP(T$5,NFI,5,0),1,0)*Table_NFI[[#This Row],[Winter Items Other]],Table_NFI[Winter Items Other])</f>
        <v>0</v>
      </c>
      <c r="AL1064" s="294">
        <f>IF(NFI_Expiration=1,IF($A1064&lt;VLOOKUP(M$5,NFI,5,0),1,0)*Table_NFI[[#This Row],[Winter Blanket]],Table_NFI[[#This Row],[Winter Blanket]])</f>
        <v>0</v>
      </c>
      <c r="AM1064" s="294">
        <f>IF(Table_NFI[[#This Row],[Winter Clothes Adult]]+Table_NFI[[#This Row],[Winter Clothes Children]]+Table_NFI[[#This Row],[Winter Items Other]]+Table_NFI[[#This Row],[Winter Blanket]]&gt;0,1,0)</f>
        <v>0</v>
      </c>
      <c r="AN1064" s="331">
        <f>IF(NFI_Expiration=1,IF($A1064&lt;VLOOKUP(V$5,NFI,5,0),1,0)*Table_NFI[[#This Row],[Jerry Can]],Table_NFI[Jerry Can])</f>
        <v>0</v>
      </c>
      <c r="AO1064" s="331">
        <f>IF(NFI_Expiration=1,IF($A1064&lt;VLOOKUP(V$5,NFI,5,0),1,0)*Table_NFI[[#This Row],[Shelter Tool kit]],Table_NFI[Shelter Tool kit])</f>
        <v>0</v>
      </c>
      <c r="AP1064" s="331">
        <f>IF(NFI_Expiration=1,IF($A1064&lt;VLOOKUP(V$5,NFI,5,0),1,0)*Table_NFI[[#This Row],[Tent]],Table_NFI[Tent])</f>
        <v>0</v>
      </c>
      <c r="AQ1064" s="473" t="str">
        <f>IFERROR(VLOOKUP(Table_NFI[[#This Row],[Camp Name]],CL,2,0),"")</f>
        <v>MMR001CMP029</v>
      </c>
      <c r="AR1064" s="468">
        <f ca="1">IF(Table_NFI[[#This Row],[Pcode]]="","",IF(OFFSET(CampList[Opening Date],MATCH(Table_NFI[[#This Row],[Pcode]],CampList[CP_Pcode],0)-1,0,1,1)&gt;=NFI_Monitor_Date,1,0))</f>
        <v>0</v>
      </c>
      <c r="AS1064" s="473" t="str">
        <f>IFERROR(VLOOKUP(Table_NFI[[#This Row],[Camp Name]],CL,3,0),"")</f>
        <v>Open</v>
      </c>
      <c r="AT1064" s="294" t="str">
        <f ca="1">IF(Table_NFI[[#This Row],[Pcode]]="","",OFFSET(CampList[Priority],MATCH(Table_NFI[[#This Row],[Pcode]],CampList[CP_Pcode],0)-1,0,1,1))</f>
        <v>P4</v>
      </c>
      <c r="AU1064" s="293">
        <f>IFERROR(Table_NFI[[#This Row],[Kitchen Set]]/VLOOKUP(Table_NFI[[#This Row],[Camp Name]],CL,4,0),"")</f>
        <v>0.1210762331838565</v>
      </c>
      <c r="AV1064" s="466" t="s">
        <v>1092</v>
      </c>
      <c r="AW1064" s="469"/>
    </row>
    <row r="1065" spans="1:49" s="479" customFormat="1" ht="23.25" customHeight="1" x14ac:dyDescent="0.25">
      <c r="A1065" s="297">
        <f t="shared" si="16"/>
        <v>58.93333333333333</v>
      </c>
      <c r="B1065" s="465">
        <v>40907</v>
      </c>
      <c r="C1065" s="466" t="s">
        <v>452</v>
      </c>
      <c r="D1065" s="467" t="s">
        <v>460</v>
      </c>
      <c r="E1065" s="466" t="s">
        <v>380</v>
      </c>
      <c r="F1065" s="290" t="s">
        <v>237</v>
      </c>
      <c r="G1065" s="290" t="s">
        <v>253</v>
      </c>
      <c r="H1065" s="291"/>
      <c r="I1065" s="291"/>
      <c r="J1065" s="291"/>
      <c r="K1065" s="291">
        <v>56</v>
      </c>
      <c r="L1065" s="292">
        <v>29</v>
      </c>
      <c r="M1065" s="292">
        <v>56</v>
      </c>
      <c r="N1065" s="292">
        <v>29</v>
      </c>
      <c r="O1065" s="292">
        <v>29</v>
      </c>
      <c r="P1065" s="294">
        <v>29</v>
      </c>
      <c r="Q1065" s="294">
        <v>29</v>
      </c>
      <c r="R1065" s="294"/>
      <c r="S1065" s="294"/>
      <c r="T1065" s="294"/>
      <c r="U1065" s="294"/>
      <c r="V1065" s="431"/>
      <c r="W1065" s="331"/>
      <c r="X1065" s="331"/>
      <c r="Y1065" s="294">
        <f>IF(NFI_Expiration=1,IF($A1065&lt;VLOOKUP(H$5,NFI,5,0),1,0)*Table_NFI[[#This Row],[Hygiene Kit]],Table_NFI[Hygiene Kit])</f>
        <v>0</v>
      </c>
      <c r="Z1065" s="294">
        <f>IF(NFI_Expiration=1,IF($A1065&lt;VLOOKUP(I$5,NFI,5,0),1,0)*Table_NFI[[#This Row],[NFI Core Kit]],Table_NFI[NFI Core Kit])</f>
        <v>0</v>
      </c>
      <c r="AA1065" s="294">
        <f>IF(NFI_Expiration=1,IF($A1065&lt;VLOOKUP(J$5,NFI,5,0),1,0)*Table_NFI[[#This Row],[Sanitary Kit]],Table_NFI[Sanitary Kit])</f>
        <v>0</v>
      </c>
      <c r="AB1065" s="294">
        <f>IF(NFI_Expiration=1,IF($A1065&lt;VLOOKUP(K$5,NFI,5,0),1,0)*Table_NFI[[#This Row],[Mosquito net]],Table_NFI[Mosquito net])</f>
        <v>0</v>
      </c>
      <c r="AC1065" s="294">
        <f>IF(NFI_Expiration=1,IF($A1065&lt;VLOOKUP(L$5,NFI,5,0),1,0)*Table_NFI[[#This Row],[Tarpaulin]],Table_NFI[[#This Row],[Tarpaulin]])</f>
        <v>0</v>
      </c>
      <c r="AD1065" s="294">
        <f>IF(NFI_Expiration=1,IF($A1065&lt;VLOOKUP(M$5,NFI,5,0),1,0)*Table_NFI[[#This Row],[Blanket]],Table_NFI[[#This Row],[Blanket]])</f>
        <v>0</v>
      </c>
      <c r="AE1065" s="294">
        <f>IF(NFI_Expiration=1,IF($A1065&lt;VLOOKUP(N$5,NFI,5,0),1,0)*Table_NFI[[#This Row],[Kitchen Set]],Table_NFI[Kitchen Set])</f>
        <v>0</v>
      </c>
      <c r="AF1065" s="294">
        <f>IF(NFI_Expiration=1,IF($A1065&lt;VLOOKUP(O$5,NFI,5,0),1,0)*Table_NFI[[#This Row],[Clothes Kit]],Table_NFI[Clothes Kit])</f>
        <v>0</v>
      </c>
      <c r="AG1065" s="294">
        <f>IF(NFI_Expiration=1,IF($A1065&lt;VLOOKUP(P$5,NFI,5,0),1,0)*Table_NFI[[#This Row],[Plastic Bucket]],Table_NFI[Plastic Bucket])</f>
        <v>0</v>
      </c>
      <c r="AH1065" s="294">
        <f>IF(NFI_Expiration=1,IF($A1065&lt;VLOOKUP(Q$5,NFI,5,0),1,0)*Table_NFI[[#This Row],[Plastic Mat]],Table_NFI[Plastic Mat])*IF(Table_NFI[[#This Row],[Distribution Date]]&gt;"2014-04-01",1,2.5)</f>
        <v>0</v>
      </c>
      <c r="AI1065" s="294">
        <f>IF(NFI_Expiration=1,IF($A1065&lt;VLOOKUP(R$5,NFI,5,0),1,0)*Table_NFI[[#This Row],[Winter Clothes Adult]],Table_NFI[Winter Clothes Adult])</f>
        <v>0</v>
      </c>
      <c r="AJ1065" s="294">
        <f>IF(NFI_Expiration=1,IF($A1065&lt;VLOOKUP(S$5,NFI,5,0),1,0)*Table_NFI[[#This Row],[Winter Clothes Children]],Table_NFI[Winter Clothes Children])</f>
        <v>0</v>
      </c>
      <c r="AK1065" s="294">
        <f>IF(NFI_Expiration=1,IF($A1065&lt;VLOOKUP(T$5,NFI,5,0),1,0)*Table_NFI[[#This Row],[Winter Items Other]],Table_NFI[Winter Items Other])</f>
        <v>0</v>
      </c>
      <c r="AL1065" s="294">
        <f>IF(NFI_Expiration=1,IF($A1065&lt;VLOOKUP(M$5,NFI,5,0),1,0)*Table_NFI[[#This Row],[Winter Blanket]],Table_NFI[[#This Row],[Winter Blanket]])</f>
        <v>0</v>
      </c>
      <c r="AM1065" s="294">
        <f>IF(Table_NFI[[#This Row],[Winter Clothes Adult]]+Table_NFI[[#This Row],[Winter Clothes Children]]+Table_NFI[[#This Row],[Winter Items Other]]+Table_NFI[[#This Row],[Winter Blanket]]&gt;0,1,0)</f>
        <v>0</v>
      </c>
      <c r="AN1065" s="331">
        <f>IF(NFI_Expiration=1,IF($A1065&lt;VLOOKUP(V$5,NFI,5,0),1,0)*Table_NFI[[#This Row],[Jerry Can]],Table_NFI[Jerry Can])</f>
        <v>0</v>
      </c>
      <c r="AO1065" s="331">
        <f>IF(NFI_Expiration=1,IF($A1065&lt;VLOOKUP(V$5,NFI,5,0),1,0)*Table_NFI[[#This Row],[Shelter Tool kit]],Table_NFI[Shelter Tool kit])</f>
        <v>0</v>
      </c>
      <c r="AP1065" s="331">
        <f>IF(NFI_Expiration=1,IF($A1065&lt;VLOOKUP(V$5,NFI,5,0),1,0)*Table_NFI[[#This Row],[Tent]],Table_NFI[Tent])</f>
        <v>0</v>
      </c>
      <c r="AQ1065" s="473" t="str">
        <f>IFERROR(VLOOKUP(Table_NFI[[#This Row],[Camp Name]],CL,2,0),"")</f>
        <v>MMR001CMP018</v>
      </c>
      <c r="AR1065" s="468">
        <f ca="1">IF(Table_NFI[[#This Row],[Pcode]]="","",IF(OFFSET(CampList[Opening Date],MATCH(Table_NFI[[#This Row],[Pcode]],CampList[CP_Pcode],0)-1,0,1,1)&gt;=NFI_Monitor_Date,1,0))</f>
        <v>0</v>
      </c>
      <c r="AS1065" s="473" t="str">
        <f>IFERROR(VLOOKUP(Table_NFI[[#This Row],[Camp Name]],CL,3,0),"")</f>
        <v>Open</v>
      </c>
      <c r="AT1065" s="294" t="str">
        <f ca="1">IF(Table_NFI[[#This Row],[Pcode]]="","",OFFSET(CampList[Priority],MATCH(Table_NFI[[#This Row],[Pcode]],CampList[CP_Pcode],0)-1,0,1,1))</f>
        <v>P4</v>
      </c>
      <c r="AU1065" s="293">
        <f>IFERROR(Table_NFI[[#This Row],[Kitchen Set]]/VLOOKUP(Table_NFI[[#This Row],[Camp Name]],CL,4,0),"")</f>
        <v>0.14646464646464646</v>
      </c>
      <c r="AV1065" s="466" t="s">
        <v>1092</v>
      </c>
      <c r="AW1065" s="469"/>
    </row>
    <row r="1066" spans="1:49" s="479" customFormat="1" ht="15.75" customHeight="1" x14ac:dyDescent="0.25">
      <c r="A1066" s="297">
        <f t="shared" si="16"/>
        <v>59</v>
      </c>
      <c r="B1066" s="465">
        <v>40905</v>
      </c>
      <c r="C1066" s="466" t="s">
        <v>452</v>
      </c>
      <c r="D1066" s="466" t="s">
        <v>903</v>
      </c>
      <c r="E1066" s="466" t="s">
        <v>380</v>
      </c>
      <c r="F1066" s="466" t="s">
        <v>310</v>
      </c>
      <c r="G1066" s="290" t="s">
        <v>313</v>
      </c>
      <c r="H1066" s="291"/>
      <c r="I1066" s="291"/>
      <c r="J1066" s="291"/>
      <c r="K1066" s="291">
        <v>31</v>
      </c>
      <c r="L1066" s="292">
        <v>19</v>
      </c>
      <c r="M1066" s="292">
        <v>31</v>
      </c>
      <c r="N1066" s="292">
        <v>19</v>
      </c>
      <c r="O1066" s="292">
        <v>19</v>
      </c>
      <c r="P1066" s="294">
        <v>19</v>
      </c>
      <c r="Q1066" s="294">
        <v>19</v>
      </c>
      <c r="R1066" s="294"/>
      <c r="S1066" s="294"/>
      <c r="T1066" s="294"/>
      <c r="U1066" s="294"/>
      <c r="V1066" s="431"/>
      <c r="W1066" s="331"/>
      <c r="X1066" s="331"/>
      <c r="Y1066" s="294">
        <f>IF(NFI_Expiration=1,IF($A1066&lt;VLOOKUP(H$5,NFI,5,0),1,0)*Table_NFI[[#This Row],[Hygiene Kit]],Table_NFI[Hygiene Kit])</f>
        <v>0</v>
      </c>
      <c r="Z1066" s="294">
        <f>IF(NFI_Expiration=1,IF($A1066&lt;VLOOKUP(I$5,NFI,5,0),1,0)*Table_NFI[[#This Row],[NFI Core Kit]],Table_NFI[NFI Core Kit])</f>
        <v>0</v>
      </c>
      <c r="AA1066" s="294">
        <f>IF(NFI_Expiration=1,IF($A1066&lt;VLOOKUP(J$5,NFI,5,0),1,0)*Table_NFI[[#This Row],[Sanitary Kit]],Table_NFI[Sanitary Kit])</f>
        <v>0</v>
      </c>
      <c r="AB1066" s="294">
        <f>IF(NFI_Expiration=1,IF($A1066&lt;VLOOKUP(K$5,NFI,5,0),1,0)*Table_NFI[[#This Row],[Mosquito net]],Table_NFI[Mosquito net])</f>
        <v>0</v>
      </c>
      <c r="AC1066" s="294">
        <f>IF(NFI_Expiration=1,IF($A1066&lt;VLOOKUP(L$5,NFI,5,0),1,0)*Table_NFI[[#This Row],[Tarpaulin]],Table_NFI[[#This Row],[Tarpaulin]])</f>
        <v>0</v>
      </c>
      <c r="AD1066" s="294">
        <f>IF(NFI_Expiration=1,IF($A1066&lt;VLOOKUP(M$5,NFI,5,0),1,0)*Table_NFI[[#This Row],[Blanket]],Table_NFI[[#This Row],[Blanket]])</f>
        <v>0</v>
      </c>
      <c r="AE1066" s="294">
        <f>IF(NFI_Expiration=1,IF($A1066&lt;VLOOKUP(N$5,NFI,5,0),1,0)*Table_NFI[[#This Row],[Kitchen Set]],Table_NFI[Kitchen Set])</f>
        <v>0</v>
      </c>
      <c r="AF1066" s="294">
        <f>IF(NFI_Expiration=1,IF($A1066&lt;VLOOKUP(O$5,NFI,5,0),1,0)*Table_NFI[[#This Row],[Clothes Kit]],Table_NFI[Clothes Kit])</f>
        <v>0</v>
      </c>
      <c r="AG1066" s="294">
        <f>IF(NFI_Expiration=1,IF($A1066&lt;VLOOKUP(P$5,NFI,5,0),1,0)*Table_NFI[[#This Row],[Plastic Bucket]],Table_NFI[Plastic Bucket])</f>
        <v>0</v>
      </c>
      <c r="AH1066" s="294">
        <f>IF(NFI_Expiration=1,IF($A1066&lt;VLOOKUP(Q$5,NFI,5,0),1,0)*Table_NFI[[#This Row],[Plastic Mat]],Table_NFI[Plastic Mat])*IF(Table_NFI[[#This Row],[Distribution Date]]&gt;"2014-04-01",1,2.5)</f>
        <v>0</v>
      </c>
      <c r="AI1066" s="294">
        <f>IF(NFI_Expiration=1,IF($A1066&lt;VLOOKUP(R$5,NFI,5,0),1,0)*Table_NFI[[#This Row],[Winter Clothes Adult]],Table_NFI[Winter Clothes Adult])</f>
        <v>0</v>
      </c>
      <c r="AJ1066" s="294">
        <f>IF(NFI_Expiration=1,IF($A1066&lt;VLOOKUP(S$5,NFI,5,0),1,0)*Table_NFI[[#This Row],[Winter Clothes Children]],Table_NFI[Winter Clothes Children])</f>
        <v>0</v>
      </c>
      <c r="AK1066" s="294">
        <f>IF(NFI_Expiration=1,IF($A1066&lt;VLOOKUP(T$5,NFI,5,0),1,0)*Table_NFI[[#This Row],[Winter Items Other]],Table_NFI[Winter Items Other])</f>
        <v>0</v>
      </c>
      <c r="AL1066" s="294">
        <f>IF(NFI_Expiration=1,IF($A1066&lt;VLOOKUP(M$5,NFI,5,0),1,0)*Table_NFI[[#This Row],[Winter Blanket]],Table_NFI[[#This Row],[Winter Blanket]])</f>
        <v>0</v>
      </c>
      <c r="AM1066" s="294">
        <f>IF(Table_NFI[[#This Row],[Winter Clothes Adult]]+Table_NFI[[#This Row],[Winter Clothes Children]]+Table_NFI[[#This Row],[Winter Items Other]]+Table_NFI[[#This Row],[Winter Blanket]]&gt;0,1,0)</f>
        <v>0</v>
      </c>
      <c r="AN1066" s="331">
        <f>IF(NFI_Expiration=1,IF($A1066&lt;VLOOKUP(V$5,NFI,5,0),1,0)*Table_NFI[[#This Row],[Jerry Can]],Table_NFI[Jerry Can])</f>
        <v>0</v>
      </c>
      <c r="AO1066" s="331">
        <f>IF(NFI_Expiration=1,IF($A1066&lt;VLOOKUP(V$5,NFI,5,0),1,0)*Table_NFI[[#This Row],[Shelter Tool kit]],Table_NFI[Shelter Tool kit])</f>
        <v>0</v>
      </c>
      <c r="AP1066" s="331">
        <f>IF(NFI_Expiration=1,IF($A1066&lt;VLOOKUP(V$5,NFI,5,0),1,0)*Table_NFI[[#This Row],[Tent]],Table_NFI[Tent])</f>
        <v>0</v>
      </c>
      <c r="AQ1066" s="473" t="str">
        <f>IFERROR(VLOOKUP(Table_NFI[[#This Row],[Camp Name]],CL,2,0),"")</f>
        <v>MMR001CMP028</v>
      </c>
      <c r="AR1066" s="468">
        <f ca="1">IF(Table_NFI[[#This Row],[Pcode]]="","",IF(OFFSET(CampList[Opening Date],MATCH(Table_NFI[[#This Row],[Pcode]],CampList[CP_Pcode],0)-1,0,1,1)&gt;=NFI_Monitor_Date,1,0))</f>
        <v>0</v>
      </c>
      <c r="AS1066" s="473" t="str">
        <f>IFERROR(VLOOKUP(Table_NFI[[#This Row],[Camp Name]],CL,3,0),"")</f>
        <v>Open</v>
      </c>
      <c r="AT1066" s="294" t="str">
        <f ca="1">IF(Table_NFI[[#This Row],[Pcode]]="","",OFFSET(CampList[Priority],MATCH(Table_NFI[[#This Row],[Pcode]],CampList[CP_Pcode],0)-1,0,1,1))</f>
        <v>P4</v>
      </c>
      <c r="AU1066" s="293">
        <f>IFERROR(Table_NFI[[#This Row],[Kitchen Set]]/VLOOKUP(Table_NFI[[#This Row],[Camp Name]],CL,4,0),"")</f>
        <v>0.19191919191919191</v>
      </c>
      <c r="AV1066" s="466" t="s">
        <v>1092</v>
      </c>
      <c r="AW1066" s="469"/>
    </row>
    <row r="1067" spans="1:49" s="479" customFormat="1" ht="15.75" customHeight="1" x14ac:dyDescent="0.25">
      <c r="A1067" s="297">
        <f t="shared" si="16"/>
        <v>59.06666666666667</v>
      </c>
      <c r="B1067" s="465">
        <v>40903</v>
      </c>
      <c r="C1067" s="466" t="s">
        <v>452</v>
      </c>
      <c r="D1067" s="466" t="s">
        <v>460</v>
      </c>
      <c r="E1067" s="466" t="s">
        <v>380</v>
      </c>
      <c r="F1067" s="290" t="s">
        <v>310</v>
      </c>
      <c r="G1067" s="290" t="s">
        <v>342</v>
      </c>
      <c r="H1067" s="291"/>
      <c r="I1067" s="291"/>
      <c r="J1067" s="291"/>
      <c r="K1067" s="291">
        <v>54</v>
      </c>
      <c r="L1067" s="292">
        <v>33</v>
      </c>
      <c r="M1067" s="292">
        <v>54</v>
      </c>
      <c r="N1067" s="292">
        <v>33</v>
      </c>
      <c r="O1067" s="292">
        <v>33</v>
      </c>
      <c r="P1067" s="294">
        <v>33</v>
      </c>
      <c r="Q1067" s="294">
        <v>33</v>
      </c>
      <c r="R1067" s="294"/>
      <c r="S1067" s="294"/>
      <c r="T1067" s="294"/>
      <c r="U1067" s="294"/>
      <c r="V1067" s="431"/>
      <c r="W1067" s="331"/>
      <c r="X1067" s="331"/>
      <c r="Y1067" s="294">
        <f>IF(NFI_Expiration=1,IF($A1067&lt;VLOOKUP(H$5,NFI,5,0),1,0)*Table_NFI[[#This Row],[Hygiene Kit]],Table_NFI[Hygiene Kit])</f>
        <v>0</v>
      </c>
      <c r="Z1067" s="294">
        <f>IF(NFI_Expiration=1,IF($A1067&lt;VLOOKUP(I$5,NFI,5,0),1,0)*Table_NFI[[#This Row],[NFI Core Kit]],Table_NFI[NFI Core Kit])</f>
        <v>0</v>
      </c>
      <c r="AA1067" s="294">
        <f>IF(NFI_Expiration=1,IF($A1067&lt;VLOOKUP(J$5,NFI,5,0),1,0)*Table_NFI[[#This Row],[Sanitary Kit]],Table_NFI[Sanitary Kit])</f>
        <v>0</v>
      </c>
      <c r="AB1067" s="294">
        <f>IF(NFI_Expiration=1,IF($A1067&lt;VLOOKUP(K$5,NFI,5,0),1,0)*Table_NFI[[#This Row],[Mosquito net]],Table_NFI[Mosquito net])</f>
        <v>0</v>
      </c>
      <c r="AC1067" s="294">
        <f>IF(NFI_Expiration=1,IF($A1067&lt;VLOOKUP(L$5,NFI,5,0),1,0)*Table_NFI[[#This Row],[Tarpaulin]],Table_NFI[[#This Row],[Tarpaulin]])</f>
        <v>0</v>
      </c>
      <c r="AD1067" s="294">
        <f>IF(NFI_Expiration=1,IF($A1067&lt;VLOOKUP(M$5,NFI,5,0),1,0)*Table_NFI[[#This Row],[Blanket]],Table_NFI[[#This Row],[Blanket]])</f>
        <v>0</v>
      </c>
      <c r="AE1067" s="294">
        <f>IF(NFI_Expiration=1,IF($A1067&lt;VLOOKUP(N$5,NFI,5,0),1,0)*Table_NFI[[#This Row],[Kitchen Set]],Table_NFI[Kitchen Set])</f>
        <v>0</v>
      </c>
      <c r="AF1067" s="294">
        <f>IF(NFI_Expiration=1,IF($A1067&lt;VLOOKUP(O$5,NFI,5,0),1,0)*Table_NFI[[#This Row],[Clothes Kit]],Table_NFI[Clothes Kit])</f>
        <v>0</v>
      </c>
      <c r="AG1067" s="294">
        <f>IF(NFI_Expiration=1,IF($A1067&lt;VLOOKUP(P$5,NFI,5,0),1,0)*Table_NFI[[#This Row],[Plastic Bucket]],Table_NFI[Plastic Bucket])</f>
        <v>0</v>
      </c>
      <c r="AH1067" s="294">
        <f>IF(NFI_Expiration=1,IF($A1067&lt;VLOOKUP(Q$5,NFI,5,0),1,0)*Table_NFI[[#This Row],[Plastic Mat]],Table_NFI[Plastic Mat])*IF(Table_NFI[[#This Row],[Distribution Date]]&gt;"2014-04-01",1,2.5)</f>
        <v>0</v>
      </c>
      <c r="AI1067" s="294">
        <f>IF(NFI_Expiration=1,IF($A1067&lt;VLOOKUP(R$5,NFI,5,0),1,0)*Table_NFI[[#This Row],[Winter Clothes Adult]],Table_NFI[Winter Clothes Adult])</f>
        <v>0</v>
      </c>
      <c r="AJ1067" s="294">
        <f>IF(NFI_Expiration=1,IF($A1067&lt;VLOOKUP(S$5,NFI,5,0),1,0)*Table_NFI[[#This Row],[Winter Clothes Children]],Table_NFI[Winter Clothes Children])</f>
        <v>0</v>
      </c>
      <c r="AK1067" s="294">
        <f>IF(NFI_Expiration=1,IF($A1067&lt;VLOOKUP(T$5,NFI,5,0),1,0)*Table_NFI[[#This Row],[Winter Items Other]],Table_NFI[Winter Items Other])</f>
        <v>0</v>
      </c>
      <c r="AL1067" s="294">
        <f>IF(NFI_Expiration=1,IF($A1067&lt;VLOOKUP(M$5,NFI,5,0),1,0)*Table_NFI[[#This Row],[Winter Blanket]],Table_NFI[[#This Row],[Winter Blanket]])</f>
        <v>0</v>
      </c>
      <c r="AM1067" s="294">
        <f>IF(Table_NFI[[#This Row],[Winter Clothes Adult]]+Table_NFI[[#This Row],[Winter Clothes Children]]+Table_NFI[[#This Row],[Winter Items Other]]+Table_NFI[[#This Row],[Winter Blanket]]&gt;0,1,0)</f>
        <v>0</v>
      </c>
      <c r="AN1067" s="331">
        <f>IF(NFI_Expiration=1,IF($A1067&lt;VLOOKUP(V$5,NFI,5,0),1,0)*Table_NFI[[#This Row],[Jerry Can]],Table_NFI[Jerry Can])</f>
        <v>0</v>
      </c>
      <c r="AO1067" s="331">
        <f>IF(NFI_Expiration=1,IF($A1067&lt;VLOOKUP(V$5,NFI,5,0),1,0)*Table_NFI[[#This Row],[Shelter Tool kit]],Table_NFI[Shelter Tool kit])</f>
        <v>0</v>
      </c>
      <c r="AP1067" s="331">
        <f>IF(NFI_Expiration=1,IF($A1067&lt;VLOOKUP(V$5,NFI,5,0),1,0)*Table_NFI[[#This Row],[Tent]],Table_NFI[Tent])</f>
        <v>0</v>
      </c>
      <c r="AQ1067" s="473" t="str">
        <f>IFERROR(VLOOKUP(Table_NFI[[#This Row],[Camp Name]],CL,2,0),"")</f>
        <v>MMR001CMP025</v>
      </c>
      <c r="AR1067" s="468">
        <f ca="1">IF(Table_NFI[[#This Row],[Pcode]]="","",IF(OFFSET(CampList[Opening Date],MATCH(Table_NFI[[#This Row],[Pcode]],CampList[CP_Pcode],0)-1,0,1,1)&gt;=NFI_Monitor_Date,1,0))</f>
        <v>0</v>
      </c>
      <c r="AS1067" s="473" t="str">
        <f>IFERROR(VLOOKUP(Table_NFI[[#This Row],[Camp Name]],CL,3,0),"")</f>
        <v>Open</v>
      </c>
      <c r="AT1067" s="294" t="str">
        <f ca="1">IF(Table_NFI[[#This Row],[Pcode]]="","",OFFSET(CampList[Priority],MATCH(Table_NFI[[#This Row],[Pcode]],CampList[CP_Pcode],0)-1,0,1,1))</f>
        <v>P4</v>
      </c>
      <c r="AU1067" s="293">
        <f>IFERROR(Table_NFI[[#This Row],[Kitchen Set]]/VLOOKUP(Table_NFI[[#This Row],[Camp Name]],CL,4,0),"")</f>
        <v>1.064516129032258</v>
      </c>
      <c r="AV1067" s="466" t="s">
        <v>1092</v>
      </c>
      <c r="AW1067" s="469"/>
    </row>
    <row r="1068" spans="1:49" s="479" customFormat="1" ht="15.75" customHeight="1" x14ac:dyDescent="0.25">
      <c r="A1068" s="297">
        <f t="shared" si="16"/>
        <v>59.2</v>
      </c>
      <c r="B1068" s="465">
        <v>40899</v>
      </c>
      <c r="C1068" s="466" t="s">
        <v>452</v>
      </c>
      <c r="D1068" s="466" t="s">
        <v>452</v>
      </c>
      <c r="E1068" s="466" t="s">
        <v>380</v>
      </c>
      <c r="F1068" s="290" t="s">
        <v>310</v>
      </c>
      <c r="G1068" s="290" t="s">
        <v>318</v>
      </c>
      <c r="H1068" s="291"/>
      <c r="I1068" s="291"/>
      <c r="J1068" s="291"/>
      <c r="K1068" s="291">
        <v>0</v>
      </c>
      <c r="L1068" s="292">
        <v>0</v>
      </c>
      <c r="M1068" s="292">
        <v>0</v>
      </c>
      <c r="N1068" s="292">
        <v>0</v>
      </c>
      <c r="O1068" s="292">
        <v>4</v>
      </c>
      <c r="P1068" s="294">
        <v>4</v>
      </c>
      <c r="Q1068" s="294">
        <v>4</v>
      </c>
      <c r="R1068" s="294"/>
      <c r="S1068" s="294"/>
      <c r="T1068" s="294"/>
      <c r="U1068" s="294"/>
      <c r="V1068" s="431"/>
      <c r="W1068" s="331"/>
      <c r="X1068" s="331"/>
      <c r="Y1068" s="294">
        <f>IF(NFI_Expiration=1,IF($A1068&lt;VLOOKUP(H$5,NFI,5,0),1,0)*Table_NFI[[#This Row],[Hygiene Kit]],Table_NFI[Hygiene Kit])</f>
        <v>0</v>
      </c>
      <c r="Z1068" s="294">
        <f>IF(NFI_Expiration=1,IF($A1068&lt;VLOOKUP(I$5,NFI,5,0),1,0)*Table_NFI[[#This Row],[NFI Core Kit]],Table_NFI[NFI Core Kit])</f>
        <v>0</v>
      </c>
      <c r="AA1068" s="294">
        <f>IF(NFI_Expiration=1,IF($A1068&lt;VLOOKUP(J$5,NFI,5,0),1,0)*Table_NFI[[#This Row],[Sanitary Kit]],Table_NFI[Sanitary Kit])</f>
        <v>0</v>
      </c>
      <c r="AB1068" s="294">
        <f>IF(NFI_Expiration=1,IF($A1068&lt;VLOOKUP(K$5,NFI,5,0),1,0)*Table_NFI[[#This Row],[Mosquito net]],Table_NFI[Mosquito net])</f>
        <v>0</v>
      </c>
      <c r="AC1068" s="294">
        <f>IF(NFI_Expiration=1,IF($A1068&lt;VLOOKUP(L$5,NFI,5,0),1,0)*Table_NFI[[#This Row],[Tarpaulin]],Table_NFI[[#This Row],[Tarpaulin]])</f>
        <v>0</v>
      </c>
      <c r="AD1068" s="294">
        <f>IF(NFI_Expiration=1,IF($A1068&lt;VLOOKUP(M$5,NFI,5,0),1,0)*Table_NFI[[#This Row],[Blanket]],Table_NFI[[#This Row],[Blanket]])</f>
        <v>0</v>
      </c>
      <c r="AE1068" s="294">
        <f>IF(NFI_Expiration=1,IF($A1068&lt;VLOOKUP(N$5,NFI,5,0),1,0)*Table_NFI[[#This Row],[Kitchen Set]],Table_NFI[Kitchen Set])</f>
        <v>0</v>
      </c>
      <c r="AF1068" s="294">
        <f>IF(NFI_Expiration=1,IF($A1068&lt;VLOOKUP(O$5,NFI,5,0),1,0)*Table_NFI[[#This Row],[Clothes Kit]],Table_NFI[Clothes Kit])</f>
        <v>0</v>
      </c>
      <c r="AG1068" s="294">
        <f>IF(NFI_Expiration=1,IF($A1068&lt;VLOOKUP(P$5,NFI,5,0),1,0)*Table_NFI[[#This Row],[Plastic Bucket]],Table_NFI[Plastic Bucket])</f>
        <v>0</v>
      </c>
      <c r="AH1068" s="294">
        <f>IF(NFI_Expiration=1,IF($A1068&lt;VLOOKUP(Q$5,NFI,5,0),1,0)*Table_NFI[[#This Row],[Plastic Mat]],Table_NFI[Plastic Mat])*IF(Table_NFI[[#This Row],[Distribution Date]]&gt;"2014-04-01",1,2.5)</f>
        <v>0</v>
      </c>
      <c r="AI1068" s="294">
        <f>IF(NFI_Expiration=1,IF($A1068&lt;VLOOKUP(R$5,NFI,5,0),1,0)*Table_NFI[[#This Row],[Winter Clothes Adult]],Table_NFI[Winter Clothes Adult])</f>
        <v>0</v>
      </c>
      <c r="AJ1068" s="294">
        <f>IF(NFI_Expiration=1,IF($A1068&lt;VLOOKUP(S$5,NFI,5,0),1,0)*Table_NFI[[#This Row],[Winter Clothes Children]],Table_NFI[Winter Clothes Children])</f>
        <v>0</v>
      </c>
      <c r="AK1068" s="294">
        <f>IF(NFI_Expiration=1,IF($A1068&lt;VLOOKUP(T$5,NFI,5,0),1,0)*Table_NFI[[#This Row],[Winter Items Other]],Table_NFI[Winter Items Other])</f>
        <v>0</v>
      </c>
      <c r="AL1068" s="294">
        <f>IF(NFI_Expiration=1,IF($A1068&lt;VLOOKUP(M$5,NFI,5,0),1,0)*Table_NFI[[#This Row],[Winter Blanket]],Table_NFI[[#This Row],[Winter Blanket]])</f>
        <v>0</v>
      </c>
      <c r="AM1068" s="294">
        <f>IF(Table_NFI[[#This Row],[Winter Clothes Adult]]+Table_NFI[[#This Row],[Winter Clothes Children]]+Table_NFI[[#This Row],[Winter Items Other]]+Table_NFI[[#This Row],[Winter Blanket]]&gt;0,1,0)</f>
        <v>0</v>
      </c>
      <c r="AN1068" s="331">
        <f>IF(NFI_Expiration=1,IF($A1068&lt;VLOOKUP(V$5,NFI,5,0),1,0)*Table_NFI[[#This Row],[Jerry Can]],Table_NFI[Jerry Can])</f>
        <v>0</v>
      </c>
      <c r="AO1068" s="331">
        <f>IF(NFI_Expiration=1,IF($A1068&lt;VLOOKUP(V$5,NFI,5,0),1,0)*Table_NFI[[#This Row],[Shelter Tool kit]],Table_NFI[Shelter Tool kit])</f>
        <v>0</v>
      </c>
      <c r="AP1068" s="331">
        <f>IF(NFI_Expiration=1,IF($A1068&lt;VLOOKUP(V$5,NFI,5,0),1,0)*Table_NFI[[#This Row],[Tent]],Table_NFI[Tent])</f>
        <v>0</v>
      </c>
      <c r="AQ1068" s="473" t="str">
        <f>IFERROR(VLOOKUP(Table_NFI[[#This Row],[Camp Name]],CL,2,0),"")</f>
        <v>MMR001CMP032</v>
      </c>
      <c r="AR1068" s="468">
        <f ca="1">IF(Table_NFI[[#This Row],[Pcode]]="","",IF(OFFSET(CampList[Opening Date],MATCH(Table_NFI[[#This Row],[Pcode]],CampList[CP_Pcode],0)-1,0,1,1)&gt;=NFI_Monitor_Date,1,0))</f>
        <v>0</v>
      </c>
      <c r="AS1068" s="473" t="str">
        <f>IFERROR(VLOOKUP(Table_NFI[[#This Row],[Camp Name]],CL,3,0),"")</f>
        <v>Open</v>
      </c>
      <c r="AT1068" s="294" t="str">
        <f ca="1">IF(Table_NFI[[#This Row],[Pcode]]="","",OFFSET(CampList[Priority],MATCH(Table_NFI[[#This Row],[Pcode]],CampList[CP_Pcode],0)-1,0,1,1))</f>
        <v>P4</v>
      </c>
      <c r="AU1068" s="293">
        <f>IFERROR(Table_NFI[[#This Row],[Kitchen Set]]/VLOOKUP(Table_NFI[[#This Row],[Camp Name]],CL,4,0),"")</f>
        <v>0</v>
      </c>
      <c r="AV1068" s="466" t="s">
        <v>1092</v>
      </c>
      <c r="AW1068" s="469"/>
    </row>
    <row r="1069" spans="1:49" s="479" customFormat="1" ht="15.75" customHeight="1" x14ac:dyDescent="0.25">
      <c r="A1069" s="297">
        <f t="shared" si="16"/>
        <v>59.5</v>
      </c>
      <c r="B1069" s="465">
        <v>40890</v>
      </c>
      <c r="C1069" s="466" t="s">
        <v>452</v>
      </c>
      <c r="D1069" s="467" t="s">
        <v>572</v>
      </c>
      <c r="E1069" s="466" t="s">
        <v>380</v>
      </c>
      <c r="F1069" s="290" t="s">
        <v>185</v>
      </c>
      <c r="G1069" s="290" t="s">
        <v>194</v>
      </c>
      <c r="H1069" s="291"/>
      <c r="I1069" s="291"/>
      <c r="J1069" s="291"/>
      <c r="K1069" s="291">
        <v>250</v>
      </c>
      <c r="L1069" s="292">
        <v>125</v>
      </c>
      <c r="M1069" s="292">
        <v>250</v>
      </c>
      <c r="N1069" s="292">
        <v>125</v>
      </c>
      <c r="O1069" s="292">
        <v>125</v>
      </c>
      <c r="P1069" s="294">
        <v>125</v>
      </c>
      <c r="Q1069" s="294">
        <v>125</v>
      </c>
      <c r="R1069" s="294"/>
      <c r="S1069" s="294"/>
      <c r="T1069" s="294"/>
      <c r="U1069" s="294"/>
      <c r="V1069" s="431"/>
      <c r="W1069" s="331"/>
      <c r="X1069" s="331"/>
      <c r="Y1069" s="294">
        <f>IF(NFI_Expiration=1,IF($A1069&lt;VLOOKUP(H$5,NFI,5,0),1,0)*Table_NFI[[#This Row],[Hygiene Kit]],Table_NFI[Hygiene Kit])</f>
        <v>0</v>
      </c>
      <c r="Z1069" s="294">
        <f>IF(NFI_Expiration=1,IF($A1069&lt;VLOOKUP(I$5,NFI,5,0),1,0)*Table_NFI[[#This Row],[NFI Core Kit]],Table_NFI[NFI Core Kit])</f>
        <v>0</v>
      </c>
      <c r="AA1069" s="294">
        <f>IF(NFI_Expiration=1,IF($A1069&lt;VLOOKUP(J$5,NFI,5,0),1,0)*Table_NFI[[#This Row],[Sanitary Kit]],Table_NFI[Sanitary Kit])</f>
        <v>0</v>
      </c>
      <c r="AB1069" s="294">
        <f>IF(NFI_Expiration=1,IF($A1069&lt;VLOOKUP(K$5,NFI,5,0),1,0)*Table_NFI[[#This Row],[Mosquito net]],Table_NFI[Mosquito net])</f>
        <v>0</v>
      </c>
      <c r="AC1069" s="294">
        <f>IF(NFI_Expiration=1,IF($A1069&lt;VLOOKUP(L$5,NFI,5,0),1,0)*Table_NFI[[#This Row],[Tarpaulin]],Table_NFI[[#This Row],[Tarpaulin]])</f>
        <v>0</v>
      </c>
      <c r="AD1069" s="294">
        <f>IF(NFI_Expiration=1,IF($A1069&lt;VLOOKUP(M$5,NFI,5,0),1,0)*Table_NFI[[#This Row],[Blanket]],Table_NFI[[#This Row],[Blanket]])</f>
        <v>0</v>
      </c>
      <c r="AE1069" s="294">
        <f>IF(NFI_Expiration=1,IF($A1069&lt;VLOOKUP(N$5,NFI,5,0),1,0)*Table_NFI[[#This Row],[Kitchen Set]],Table_NFI[Kitchen Set])</f>
        <v>0</v>
      </c>
      <c r="AF1069" s="294">
        <f>IF(NFI_Expiration=1,IF($A1069&lt;VLOOKUP(O$5,NFI,5,0),1,0)*Table_NFI[[#This Row],[Clothes Kit]],Table_NFI[Clothes Kit])</f>
        <v>0</v>
      </c>
      <c r="AG1069" s="294">
        <f>IF(NFI_Expiration=1,IF($A1069&lt;VLOOKUP(P$5,NFI,5,0),1,0)*Table_NFI[[#This Row],[Plastic Bucket]],Table_NFI[Plastic Bucket])</f>
        <v>0</v>
      </c>
      <c r="AH1069" s="294">
        <f>IF(NFI_Expiration=1,IF($A1069&lt;VLOOKUP(Q$5,NFI,5,0),1,0)*Table_NFI[[#This Row],[Plastic Mat]],Table_NFI[Plastic Mat])*IF(Table_NFI[[#This Row],[Distribution Date]]&gt;"2014-04-01",1,2.5)</f>
        <v>0</v>
      </c>
      <c r="AI1069" s="294">
        <f>IF(NFI_Expiration=1,IF($A1069&lt;VLOOKUP(R$5,NFI,5,0),1,0)*Table_NFI[[#This Row],[Winter Clothes Adult]],Table_NFI[Winter Clothes Adult])</f>
        <v>0</v>
      </c>
      <c r="AJ1069" s="294">
        <f>IF(NFI_Expiration=1,IF($A1069&lt;VLOOKUP(S$5,NFI,5,0),1,0)*Table_NFI[[#This Row],[Winter Clothes Children]],Table_NFI[Winter Clothes Children])</f>
        <v>0</v>
      </c>
      <c r="AK1069" s="294">
        <f>IF(NFI_Expiration=1,IF($A1069&lt;VLOOKUP(T$5,NFI,5,0),1,0)*Table_NFI[[#This Row],[Winter Items Other]],Table_NFI[Winter Items Other])</f>
        <v>0</v>
      </c>
      <c r="AL1069" s="294">
        <f>IF(NFI_Expiration=1,IF($A1069&lt;VLOOKUP(M$5,NFI,5,0),1,0)*Table_NFI[[#This Row],[Winter Blanket]],Table_NFI[[#This Row],[Winter Blanket]])</f>
        <v>0</v>
      </c>
      <c r="AM1069" s="294">
        <f>IF(Table_NFI[[#This Row],[Winter Clothes Adult]]+Table_NFI[[#This Row],[Winter Clothes Children]]+Table_NFI[[#This Row],[Winter Items Other]]+Table_NFI[[#This Row],[Winter Blanket]]&gt;0,1,0)</f>
        <v>0</v>
      </c>
      <c r="AN1069" s="331">
        <f>IF(NFI_Expiration=1,IF($A1069&lt;VLOOKUP(V$5,NFI,5,0),1,0)*Table_NFI[[#This Row],[Jerry Can]],Table_NFI[Jerry Can])</f>
        <v>0</v>
      </c>
      <c r="AO1069" s="331">
        <f>IF(NFI_Expiration=1,IF($A1069&lt;VLOOKUP(V$5,NFI,5,0),1,0)*Table_NFI[[#This Row],[Shelter Tool kit]],Table_NFI[Shelter Tool kit])</f>
        <v>0</v>
      </c>
      <c r="AP1069" s="331">
        <f>IF(NFI_Expiration=1,IF($A1069&lt;VLOOKUP(V$5,NFI,5,0),1,0)*Table_NFI[[#This Row],[Tent]],Table_NFI[Tent])</f>
        <v>0</v>
      </c>
      <c r="AQ1069" s="473" t="str">
        <f>IFERROR(VLOOKUP(Table_NFI[[#This Row],[Camp Name]],CL,2,0),"")</f>
        <v>MMR001CMP122</v>
      </c>
      <c r="AR1069" s="468">
        <f ca="1">IF(Table_NFI[[#This Row],[Pcode]]="","",IF(OFFSET(CampList[Opening Date],MATCH(Table_NFI[[#This Row],[Pcode]],CampList[CP_Pcode],0)-1,0,1,1)&gt;=NFI_Monitor_Date,1,0))</f>
        <v>0</v>
      </c>
      <c r="AS1069" s="473" t="str">
        <f>IFERROR(VLOOKUP(Table_NFI[[#This Row],[Camp Name]],CL,3,0),"")</f>
        <v>Open</v>
      </c>
      <c r="AT1069" s="294" t="str">
        <f ca="1">IF(Table_NFI[[#This Row],[Pcode]]="","",OFFSET(CampList[Priority],MATCH(Table_NFI[[#This Row],[Pcode]],CampList[CP_Pcode],0)-1,0,1,1))</f>
        <v>P2</v>
      </c>
      <c r="AU1069" s="293">
        <f>IFERROR(Table_NFI[[#This Row],[Kitchen Set]]/VLOOKUP(Table_NFI[[#This Row],[Camp Name]],CL,4,0),"")</f>
        <v>0.19500780031201248</v>
      </c>
      <c r="AV1069" s="466" t="s">
        <v>1092</v>
      </c>
      <c r="AW1069" s="469"/>
    </row>
    <row r="1070" spans="1:49" s="479" customFormat="1" ht="15.75" customHeight="1" x14ac:dyDescent="0.25">
      <c r="A1070" s="297">
        <f t="shared" si="16"/>
        <v>59.5</v>
      </c>
      <c r="B1070" s="465">
        <v>40890</v>
      </c>
      <c r="C1070" s="466" t="s">
        <v>452</v>
      </c>
      <c r="D1070" s="467" t="s">
        <v>572</v>
      </c>
      <c r="E1070" s="466" t="s">
        <v>380</v>
      </c>
      <c r="F1070" s="290" t="s">
        <v>185</v>
      </c>
      <c r="G1070" s="290" t="s">
        <v>196</v>
      </c>
      <c r="H1070" s="291"/>
      <c r="I1070" s="291"/>
      <c r="J1070" s="291"/>
      <c r="K1070" s="291">
        <v>250</v>
      </c>
      <c r="L1070" s="292">
        <v>125</v>
      </c>
      <c r="M1070" s="292">
        <v>250</v>
      </c>
      <c r="N1070" s="292">
        <v>125</v>
      </c>
      <c r="O1070" s="292">
        <v>125</v>
      </c>
      <c r="P1070" s="294">
        <v>125</v>
      </c>
      <c r="Q1070" s="294">
        <v>125</v>
      </c>
      <c r="R1070" s="294"/>
      <c r="S1070" s="294"/>
      <c r="T1070" s="294"/>
      <c r="U1070" s="294"/>
      <c r="V1070" s="431"/>
      <c r="W1070" s="331"/>
      <c r="X1070" s="331"/>
      <c r="Y1070" s="294">
        <f>IF(NFI_Expiration=1,IF($A1070&lt;VLOOKUP(H$5,NFI,5,0),1,0)*Table_NFI[[#This Row],[Hygiene Kit]],Table_NFI[Hygiene Kit])</f>
        <v>0</v>
      </c>
      <c r="Z1070" s="294">
        <f>IF(NFI_Expiration=1,IF($A1070&lt;VLOOKUP(I$5,NFI,5,0),1,0)*Table_NFI[[#This Row],[NFI Core Kit]],Table_NFI[NFI Core Kit])</f>
        <v>0</v>
      </c>
      <c r="AA1070" s="294">
        <f>IF(NFI_Expiration=1,IF($A1070&lt;VLOOKUP(J$5,NFI,5,0),1,0)*Table_NFI[[#This Row],[Sanitary Kit]],Table_NFI[Sanitary Kit])</f>
        <v>0</v>
      </c>
      <c r="AB1070" s="294">
        <f>IF(NFI_Expiration=1,IF($A1070&lt;VLOOKUP(K$5,NFI,5,0),1,0)*Table_NFI[[#This Row],[Mosquito net]],Table_NFI[Mosquito net])</f>
        <v>0</v>
      </c>
      <c r="AC1070" s="294">
        <f>IF(NFI_Expiration=1,IF($A1070&lt;VLOOKUP(L$5,NFI,5,0),1,0)*Table_NFI[[#This Row],[Tarpaulin]],Table_NFI[[#This Row],[Tarpaulin]])</f>
        <v>0</v>
      </c>
      <c r="AD1070" s="294">
        <f>IF(NFI_Expiration=1,IF($A1070&lt;VLOOKUP(M$5,NFI,5,0),1,0)*Table_NFI[[#This Row],[Blanket]],Table_NFI[[#This Row],[Blanket]])</f>
        <v>0</v>
      </c>
      <c r="AE1070" s="294">
        <f>IF(NFI_Expiration=1,IF($A1070&lt;VLOOKUP(N$5,NFI,5,0),1,0)*Table_NFI[[#This Row],[Kitchen Set]],Table_NFI[Kitchen Set])</f>
        <v>0</v>
      </c>
      <c r="AF1070" s="294">
        <f>IF(NFI_Expiration=1,IF($A1070&lt;VLOOKUP(O$5,NFI,5,0),1,0)*Table_NFI[[#This Row],[Clothes Kit]],Table_NFI[Clothes Kit])</f>
        <v>0</v>
      </c>
      <c r="AG1070" s="294">
        <f>IF(NFI_Expiration=1,IF($A1070&lt;VLOOKUP(P$5,NFI,5,0),1,0)*Table_NFI[[#This Row],[Plastic Bucket]],Table_NFI[Plastic Bucket])</f>
        <v>0</v>
      </c>
      <c r="AH1070" s="294">
        <f>IF(NFI_Expiration=1,IF($A1070&lt;VLOOKUP(Q$5,NFI,5,0),1,0)*Table_NFI[[#This Row],[Plastic Mat]],Table_NFI[Plastic Mat])*IF(Table_NFI[[#This Row],[Distribution Date]]&gt;"2014-04-01",1,2.5)</f>
        <v>0</v>
      </c>
      <c r="AI1070" s="294">
        <f>IF(NFI_Expiration=1,IF($A1070&lt;VLOOKUP(R$5,NFI,5,0),1,0)*Table_NFI[[#This Row],[Winter Clothes Adult]],Table_NFI[Winter Clothes Adult])</f>
        <v>0</v>
      </c>
      <c r="AJ1070" s="294">
        <f>IF(NFI_Expiration=1,IF($A1070&lt;VLOOKUP(S$5,NFI,5,0),1,0)*Table_NFI[[#This Row],[Winter Clothes Children]],Table_NFI[Winter Clothes Children])</f>
        <v>0</v>
      </c>
      <c r="AK1070" s="294">
        <f>IF(NFI_Expiration=1,IF($A1070&lt;VLOOKUP(T$5,NFI,5,0),1,0)*Table_NFI[[#This Row],[Winter Items Other]],Table_NFI[Winter Items Other])</f>
        <v>0</v>
      </c>
      <c r="AL1070" s="294">
        <f>IF(NFI_Expiration=1,IF($A1070&lt;VLOOKUP(M$5,NFI,5,0),1,0)*Table_NFI[[#This Row],[Winter Blanket]],Table_NFI[[#This Row],[Winter Blanket]])</f>
        <v>0</v>
      </c>
      <c r="AM1070" s="294">
        <f>IF(Table_NFI[[#This Row],[Winter Clothes Adult]]+Table_NFI[[#This Row],[Winter Clothes Children]]+Table_NFI[[#This Row],[Winter Items Other]]+Table_NFI[[#This Row],[Winter Blanket]]&gt;0,1,0)</f>
        <v>0</v>
      </c>
      <c r="AN1070" s="331">
        <f>IF(NFI_Expiration=1,IF($A1070&lt;VLOOKUP(V$5,NFI,5,0),1,0)*Table_NFI[[#This Row],[Jerry Can]],Table_NFI[Jerry Can])</f>
        <v>0</v>
      </c>
      <c r="AO1070" s="331">
        <f>IF(NFI_Expiration=1,IF($A1070&lt;VLOOKUP(V$5,NFI,5,0),1,0)*Table_NFI[[#This Row],[Shelter Tool kit]],Table_NFI[Shelter Tool kit])</f>
        <v>0</v>
      </c>
      <c r="AP1070" s="331">
        <f>IF(NFI_Expiration=1,IF($A1070&lt;VLOOKUP(V$5,NFI,5,0),1,0)*Table_NFI[[#This Row],[Tent]],Table_NFI[Tent])</f>
        <v>0</v>
      </c>
      <c r="AQ1070" s="473" t="str">
        <f>IFERROR(VLOOKUP(Table_NFI[[#This Row],[Camp Name]],CL,2,0),"")</f>
        <v>MMR001CMP121</v>
      </c>
      <c r="AR1070" s="468">
        <f ca="1">IF(Table_NFI[[#This Row],[Pcode]]="","",IF(OFFSET(CampList[Opening Date],MATCH(Table_NFI[[#This Row],[Pcode]],CampList[CP_Pcode],0)-1,0,1,1)&gt;=NFI_Monitor_Date,1,0))</f>
        <v>0</v>
      </c>
      <c r="AS1070" s="473" t="str">
        <f>IFERROR(VLOOKUP(Table_NFI[[#This Row],[Camp Name]],CL,3,0),"")</f>
        <v>Open</v>
      </c>
      <c r="AT1070" s="294" t="str">
        <f ca="1">IF(Table_NFI[[#This Row],[Pcode]]="","",OFFSET(CampList[Priority],MATCH(Table_NFI[[#This Row],[Pcode]],CampList[CP_Pcode],0)-1,0,1,1))</f>
        <v>P2</v>
      </c>
      <c r="AU1070" s="293">
        <f>IFERROR(Table_NFI[[#This Row],[Kitchen Set]]/VLOOKUP(Table_NFI[[#This Row],[Camp Name]],CL,4,0),"")</f>
        <v>7.5803517283201935E-2</v>
      </c>
      <c r="AV1070" s="466" t="s">
        <v>1092</v>
      </c>
      <c r="AW1070" s="469"/>
    </row>
    <row r="1071" spans="1:49" s="479" customFormat="1" ht="15" customHeight="1" x14ac:dyDescent="0.25">
      <c r="A1071" s="297">
        <f t="shared" si="16"/>
        <v>59.5</v>
      </c>
      <c r="B1071" s="465">
        <v>40890</v>
      </c>
      <c r="C1071" s="466" t="s">
        <v>452</v>
      </c>
      <c r="D1071" s="467" t="s">
        <v>572</v>
      </c>
      <c r="E1071" s="466" t="s">
        <v>380</v>
      </c>
      <c r="F1071" s="290" t="s">
        <v>310</v>
      </c>
      <c r="G1071" s="290" t="s">
        <v>322</v>
      </c>
      <c r="H1071" s="291"/>
      <c r="I1071" s="291"/>
      <c r="J1071" s="291"/>
      <c r="K1071" s="291">
        <v>250</v>
      </c>
      <c r="L1071" s="292">
        <v>125</v>
      </c>
      <c r="M1071" s="292">
        <v>250</v>
      </c>
      <c r="N1071" s="292">
        <v>125</v>
      </c>
      <c r="O1071" s="292">
        <v>125</v>
      </c>
      <c r="P1071" s="294">
        <v>125</v>
      </c>
      <c r="Q1071" s="294">
        <v>125</v>
      </c>
      <c r="R1071" s="294"/>
      <c r="S1071" s="294"/>
      <c r="T1071" s="294"/>
      <c r="U1071" s="294"/>
      <c r="V1071" s="431"/>
      <c r="W1071" s="331"/>
      <c r="X1071" s="331"/>
      <c r="Y1071" s="294">
        <f>IF(NFI_Expiration=1,IF($A1071&lt;VLOOKUP(H$5,NFI,5,0),1,0)*Table_NFI[[#This Row],[Hygiene Kit]],Table_NFI[Hygiene Kit])</f>
        <v>0</v>
      </c>
      <c r="Z1071" s="294">
        <f>IF(NFI_Expiration=1,IF($A1071&lt;VLOOKUP(I$5,NFI,5,0),1,0)*Table_NFI[[#This Row],[NFI Core Kit]],Table_NFI[NFI Core Kit])</f>
        <v>0</v>
      </c>
      <c r="AA1071" s="294">
        <f>IF(NFI_Expiration=1,IF($A1071&lt;VLOOKUP(J$5,NFI,5,0),1,0)*Table_NFI[[#This Row],[Sanitary Kit]],Table_NFI[Sanitary Kit])</f>
        <v>0</v>
      </c>
      <c r="AB1071" s="294">
        <f>IF(NFI_Expiration=1,IF($A1071&lt;VLOOKUP(K$5,NFI,5,0),1,0)*Table_NFI[[#This Row],[Mosquito net]],Table_NFI[Mosquito net])</f>
        <v>0</v>
      </c>
      <c r="AC1071" s="294">
        <f>IF(NFI_Expiration=1,IF($A1071&lt;VLOOKUP(L$5,NFI,5,0),1,0)*Table_NFI[[#This Row],[Tarpaulin]],Table_NFI[[#This Row],[Tarpaulin]])</f>
        <v>0</v>
      </c>
      <c r="AD1071" s="294">
        <f>IF(NFI_Expiration=1,IF($A1071&lt;VLOOKUP(M$5,NFI,5,0),1,0)*Table_NFI[[#This Row],[Blanket]],Table_NFI[[#This Row],[Blanket]])</f>
        <v>0</v>
      </c>
      <c r="AE1071" s="294">
        <f>IF(NFI_Expiration=1,IF($A1071&lt;VLOOKUP(N$5,NFI,5,0),1,0)*Table_NFI[[#This Row],[Kitchen Set]],Table_NFI[Kitchen Set])</f>
        <v>0</v>
      </c>
      <c r="AF1071" s="294">
        <f>IF(NFI_Expiration=1,IF($A1071&lt;VLOOKUP(O$5,NFI,5,0),1,0)*Table_NFI[[#This Row],[Clothes Kit]],Table_NFI[Clothes Kit])</f>
        <v>0</v>
      </c>
      <c r="AG1071" s="294">
        <f>IF(NFI_Expiration=1,IF($A1071&lt;VLOOKUP(P$5,NFI,5,0),1,0)*Table_NFI[[#This Row],[Plastic Bucket]],Table_NFI[Plastic Bucket])</f>
        <v>0</v>
      </c>
      <c r="AH1071" s="294">
        <f>IF(NFI_Expiration=1,IF($A1071&lt;VLOOKUP(Q$5,NFI,5,0),1,0)*Table_NFI[[#This Row],[Plastic Mat]],Table_NFI[Plastic Mat])*IF(Table_NFI[[#This Row],[Distribution Date]]&gt;"2014-04-01",1,2.5)</f>
        <v>0</v>
      </c>
      <c r="AI1071" s="294">
        <f>IF(NFI_Expiration=1,IF($A1071&lt;VLOOKUP(R$5,NFI,5,0),1,0)*Table_NFI[[#This Row],[Winter Clothes Adult]],Table_NFI[Winter Clothes Adult])</f>
        <v>0</v>
      </c>
      <c r="AJ1071" s="294">
        <f>IF(NFI_Expiration=1,IF($A1071&lt;VLOOKUP(S$5,NFI,5,0),1,0)*Table_NFI[[#This Row],[Winter Clothes Children]],Table_NFI[Winter Clothes Children])</f>
        <v>0</v>
      </c>
      <c r="AK1071" s="294">
        <f>IF(NFI_Expiration=1,IF($A1071&lt;VLOOKUP(T$5,NFI,5,0),1,0)*Table_NFI[[#This Row],[Winter Items Other]],Table_NFI[Winter Items Other])</f>
        <v>0</v>
      </c>
      <c r="AL1071" s="294">
        <f>IF(NFI_Expiration=1,IF($A1071&lt;VLOOKUP(M$5,NFI,5,0),1,0)*Table_NFI[[#This Row],[Winter Blanket]],Table_NFI[[#This Row],[Winter Blanket]])</f>
        <v>0</v>
      </c>
      <c r="AM1071" s="294">
        <f>IF(Table_NFI[[#This Row],[Winter Clothes Adult]]+Table_NFI[[#This Row],[Winter Clothes Children]]+Table_NFI[[#This Row],[Winter Items Other]]+Table_NFI[[#This Row],[Winter Blanket]]&gt;0,1,0)</f>
        <v>0</v>
      </c>
      <c r="AN1071" s="331">
        <f>IF(NFI_Expiration=1,IF($A1071&lt;VLOOKUP(V$5,NFI,5,0),1,0)*Table_NFI[[#This Row],[Jerry Can]],Table_NFI[Jerry Can])</f>
        <v>0</v>
      </c>
      <c r="AO1071" s="331">
        <f>IF(NFI_Expiration=1,IF($A1071&lt;VLOOKUP(V$5,NFI,5,0),1,0)*Table_NFI[[#This Row],[Shelter Tool kit]],Table_NFI[Shelter Tool kit])</f>
        <v>0</v>
      </c>
      <c r="AP1071" s="331">
        <f>IF(NFI_Expiration=1,IF($A1071&lt;VLOOKUP(V$5,NFI,5,0),1,0)*Table_NFI[[#This Row],[Tent]],Table_NFI[Tent])</f>
        <v>0</v>
      </c>
      <c r="AQ1071" s="473" t="str">
        <f>IFERROR(VLOOKUP(Table_NFI[[#This Row],[Camp Name]],CL,2,0),"")</f>
        <v>MMR001CMP119</v>
      </c>
      <c r="AR1071" s="468">
        <f ca="1">IF(Table_NFI[[#This Row],[Pcode]]="","",IF(OFFSET(CampList[Opening Date],MATCH(Table_NFI[[#This Row],[Pcode]],CampList[CP_Pcode],0)-1,0,1,1)&gt;=NFI_Monitor_Date,1,0))</f>
        <v>0</v>
      </c>
      <c r="AS1071" s="473" t="str">
        <f>IFERROR(VLOOKUP(Table_NFI[[#This Row],[Camp Name]],CL,3,0),"")</f>
        <v>Open</v>
      </c>
      <c r="AT1071" s="294" t="str">
        <f ca="1">IF(Table_NFI[[#This Row],[Pcode]]="","",OFFSET(CampList[Priority],MATCH(Table_NFI[[#This Row],[Pcode]],CampList[CP_Pcode],0)-1,0,1,1))</f>
        <v>P2</v>
      </c>
      <c r="AU1071" s="293">
        <f>IFERROR(Table_NFI[[#This Row],[Kitchen Set]]/VLOOKUP(Table_NFI[[#This Row],[Camp Name]],CL,4,0),"")</f>
        <v>0.21367521367521367</v>
      </c>
      <c r="AV1071" s="466" t="s">
        <v>1092</v>
      </c>
      <c r="AW1071" s="469"/>
    </row>
    <row r="1072" spans="1:49" s="479" customFormat="1" ht="15.75" customHeight="1" x14ac:dyDescent="0.25">
      <c r="A1072" s="297">
        <f t="shared" si="16"/>
        <v>59.5</v>
      </c>
      <c r="B1072" s="465">
        <v>40890</v>
      </c>
      <c r="C1072" s="466" t="s">
        <v>452</v>
      </c>
      <c r="D1072" s="467" t="s">
        <v>572</v>
      </c>
      <c r="E1072" s="466" t="s">
        <v>380</v>
      </c>
      <c r="F1072" s="290" t="s">
        <v>310</v>
      </c>
      <c r="G1072" s="290" t="s">
        <v>1245</v>
      </c>
      <c r="H1072" s="291"/>
      <c r="I1072" s="291"/>
      <c r="J1072" s="291"/>
      <c r="K1072" s="291">
        <v>250</v>
      </c>
      <c r="L1072" s="292">
        <v>125</v>
      </c>
      <c r="M1072" s="292">
        <v>250</v>
      </c>
      <c r="N1072" s="292">
        <v>125</v>
      </c>
      <c r="O1072" s="292">
        <v>125</v>
      </c>
      <c r="P1072" s="294">
        <v>125</v>
      </c>
      <c r="Q1072" s="294">
        <v>125</v>
      </c>
      <c r="R1072" s="294"/>
      <c r="S1072" s="294"/>
      <c r="T1072" s="294"/>
      <c r="U1072" s="294"/>
      <c r="V1072" s="431"/>
      <c r="W1072" s="331"/>
      <c r="X1072" s="331"/>
      <c r="Y1072" s="294">
        <f>IF(NFI_Expiration=1,IF($A1072&lt;VLOOKUP(H$5,NFI,5,0),1,0)*Table_NFI[[#This Row],[Hygiene Kit]],Table_NFI[Hygiene Kit])</f>
        <v>0</v>
      </c>
      <c r="Z1072" s="294">
        <f>IF(NFI_Expiration=1,IF($A1072&lt;VLOOKUP(I$5,NFI,5,0),1,0)*Table_NFI[[#This Row],[NFI Core Kit]],Table_NFI[NFI Core Kit])</f>
        <v>0</v>
      </c>
      <c r="AA1072" s="294">
        <f>IF(NFI_Expiration=1,IF($A1072&lt;VLOOKUP(J$5,NFI,5,0),1,0)*Table_NFI[[#This Row],[Sanitary Kit]],Table_NFI[Sanitary Kit])</f>
        <v>0</v>
      </c>
      <c r="AB1072" s="294">
        <f>IF(NFI_Expiration=1,IF($A1072&lt;VLOOKUP(K$5,NFI,5,0),1,0)*Table_NFI[[#This Row],[Mosquito net]],Table_NFI[Mosquito net])</f>
        <v>0</v>
      </c>
      <c r="AC1072" s="294">
        <f>IF(NFI_Expiration=1,IF($A1072&lt;VLOOKUP(L$5,NFI,5,0),1,0)*Table_NFI[[#This Row],[Tarpaulin]],Table_NFI[[#This Row],[Tarpaulin]])</f>
        <v>0</v>
      </c>
      <c r="AD1072" s="294">
        <f>IF(NFI_Expiration=1,IF($A1072&lt;VLOOKUP(M$5,NFI,5,0),1,0)*Table_NFI[[#This Row],[Blanket]],Table_NFI[[#This Row],[Blanket]])</f>
        <v>0</v>
      </c>
      <c r="AE1072" s="294">
        <f>IF(NFI_Expiration=1,IF($A1072&lt;VLOOKUP(N$5,NFI,5,0),1,0)*Table_NFI[[#This Row],[Kitchen Set]],Table_NFI[Kitchen Set])</f>
        <v>0</v>
      </c>
      <c r="AF1072" s="294">
        <f>IF(NFI_Expiration=1,IF($A1072&lt;VLOOKUP(O$5,NFI,5,0),1,0)*Table_NFI[[#This Row],[Clothes Kit]],Table_NFI[Clothes Kit])</f>
        <v>0</v>
      </c>
      <c r="AG1072" s="294">
        <f>IF(NFI_Expiration=1,IF($A1072&lt;VLOOKUP(P$5,NFI,5,0),1,0)*Table_NFI[[#This Row],[Plastic Bucket]],Table_NFI[Plastic Bucket])</f>
        <v>0</v>
      </c>
      <c r="AH1072" s="294">
        <f>IF(NFI_Expiration=1,IF($A1072&lt;VLOOKUP(Q$5,NFI,5,0),1,0)*Table_NFI[[#This Row],[Plastic Mat]],Table_NFI[Plastic Mat])*IF(Table_NFI[[#This Row],[Distribution Date]]&gt;"2014-04-01",1,2.5)</f>
        <v>0</v>
      </c>
      <c r="AI1072" s="294">
        <f>IF(NFI_Expiration=1,IF($A1072&lt;VLOOKUP(R$5,NFI,5,0),1,0)*Table_NFI[[#This Row],[Winter Clothes Adult]],Table_NFI[Winter Clothes Adult])</f>
        <v>0</v>
      </c>
      <c r="AJ1072" s="294">
        <f>IF(NFI_Expiration=1,IF($A1072&lt;VLOOKUP(S$5,NFI,5,0),1,0)*Table_NFI[[#This Row],[Winter Clothes Children]],Table_NFI[Winter Clothes Children])</f>
        <v>0</v>
      </c>
      <c r="AK1072" s="294">
        <f>IF(NFI_Expiration=1,IF($A1072&lt;VLOOKUP(T$5,NFI,5,0),1,0)*Table_NFI[[#This Row],[Winter Items Other]],Table_NFI[Winter Items Other])</f>
        <v>0</v>
      </c>
      <c r="AL1072" s="294">
        <f>IF(NFI_Expiration=1,IF($A1072&lt;VLOOKUP(M$5,NFI,5,0),1,0)*Table_NFI[[#This Row],[Winter Blanket]],Table_NFI[[#This Row],[Winter Blanket]])</f>
        <v>0</v>
      </c>
      <c r="AM1072" s="294">
        <f>IF(Table_NFI[[#This Row],[Winter Clothes Adult]]+Table_NFI[[#This Row],[Winter Clothes Children]]+Table_NFI[[#This Row],[Winter Items Other]]+Table_NFI[[#This Row],[Winter Blanket]]&gt;0,1,0)</f>
        <v>0</v>
      </c>
      <c r="AN1072" s="331">
        <f>IF(NFI_Expiration=1,IF($A1072&lt;VLOOKUP(V$5,NFI,5,0),1,0)*Table_NFI[[#This Row],[Jerry Can]],Table_NFI[Jerry Can])</f>
        <v>0</v>
      </c>
      <c r="AO1072" s="331">
        <f>IF(NFI_Expiration=1,IF($A1072&lt;VLOOKUP(V$5,NFI,5,0),1,0)*Table_NFI[[#This Row],[Shelter Tool kit]],Table_NFI[Shelter Tool kit])</f>
        <v>0</v>
      </c>
      <c r="AP1072" s="331">
        <f>IF(NFI_Expiration=1,IF($A1072&lt;VLOOKUP(V$5,NFI,5,0),1,0)*Table_NFI[[#This Row],[Tent]],Table_NFI[Tent])</f>
        <v>0</v>
      </c>
      <c r="AQ1072" s="473" t="str">
        <f>IFERROR(VLOOKUP(Table_NFI[[#This Row],[Camp Name]],CL,2,0),"")</f>
        <v>MMR001CMP111</v>
      </c>
      <c r="AR1072" s="468">
        <f ca="1">IF(Table_NFI[[#This Row],[Pcode]]="","",IF(OFFSET(CampList[Opening Date],MATCH(Table_NFI[[#This Row],[Pcode]],CampList[CP_Pcode],0)-1,0,1,1)&gt;=NFI_Monitor_Date,1,0))</f>
        <v>0</v>
      </c>
      <c r="AS1072" s="473" t="str">
        <f>IFERROR(VLOOKUP(Table_NFI[[#This Row],[Camp Name]],CL,3,0),"")</f>
        <v>Open</v>
      </c>
      <c r="AT1072" s="294" t="str">
        <f ca="1">IF(Table_NFI[[#This Row],[Pcode]]="","",OFFSET(CampList[Priority],MATCH(Table_NFI[[#This Row],[Pcode]],CampList[CP_Pcode],0)-1,0,1,1))</f>
        <v>P2</v>
      </c>
      <c r="AU1072" s="293">
        <f>IFERROR(Table_NFI[[#This Row],[Kitchen Set]]/VLOOKUP(Table_NFI[[#This Row],[Camp Name]],CL,4,0),"")</f>
        <v>0.20695364238410596</v>
      </c>
      <c r="AV1072" s="466" t="s">
        <v>1092</v>
      </c>
      <c r="AW1072" s="469"/>
    </row>
    <row r="1073" spans="1:49" s="479" customFormat="1" ht="15.75" customHeight="1" x14ac:dyDescent="0.25">
      <c r="A1073" s="297">
        <f t="shared" si="16"/>
        <v>59.56666666666667</v>
      </c>
      <c r="B1073" s="465">
        <v>40888</v>
      </c>
      <c r="C1073" s="466" t="s">
        <v>452</v>
      </c>
      <c r="D1073" s="466" t="s">
        <v>460</v>
      </c>
      <c r="E1073" s="466" t="s">
        <v>380</v>
      </c>
      <c r="F1073" s="290" t="s">
        <v>237</v>
      </c>
      <c r="G1073" s="290" t="s">
        <v>261</v>
      </c>
      <c r="H1073" s="291"/>
      <c r="I1073" s="291"/>
      <c r="J1073" s="291"/>
      <c r="K1073" s="291">
        <v>6</v>
      </c>
      <c r="L1073" s="292">
        <v>4</v>
      </c>
      <c r="M1073" s="292">
        <v>6</v>
      </c>
      <c r="N1073" s="292">
        <v>4</v>
      </c>
      <c r="O1073" s="292">
        <v>4</v>
      </c>
      <c r="P1073" s="294">
        <v>4</v>
      </c>
      <c r="Q1073" s="294">
        <v>4</v>
      </c>
      <c r="R1073" s="294"/>
      <c r="S1073" s="294"/>
      <c r="T1073" s="294"/>
      <c r="U1073" s="294"/>
      <c r="V1073" s="431"/>
      <c r="W1073" s="331"/>
      <c r="X1073" s="331"/>
      <c r="Y1073" s="294">
        <f>IF(NFI_Expiration=1,IF($A1073&lt;VLOOKUP(H$5,NFI,5,0),1,0)*Table_NFI[[#This Row],[Hygiene Kit]],Table_NFI[Hygiene Kit])</f>
        <v>0</v>
      </c>
      <c r="Z1073" s="294">
        <f>IF(NFI_Expiration=1,IF($A1073&lt;VLOOKUP(I$5,NFI,5,0),1,0)*Table_NFI[[#This Row],[NFI Core Kit]],Table_NFI[NFI Core Kit])</f>
        <v>0</v>
      </c>
      <c r="AA1073" s="294">
        <f>IF(NFI_Expiration=1,IF($A1073&lt;VLOOKUP(J$5,NFI,5,0),1,0)*Table_NFI[[#This Row],[Sanitary Kit]],Table_NFI[Sanitary Kit])</f>
        <v>0</v>
      </c>
      <c r="AB1073" s="294">
        <f>IF(NFI_Expiration=1,IF($A1073&lt;VLOOKUP(K$5,NFI,5,0),1,0)*Table_NFI[[#This Row],[Mosquito net]],Table_NFI[Mosquito net])</f>
        <v>0</v>
      </c>
      <c r="AC1073" s="294">
        <f>IF(NFI_Expiration=1,IF($A1073&lt;VLOOKUP(L$5,NFI,5,0),1,0)*Table_NFI[[#This Row],[Tarpaulin]],Table_NFI[[#This Row],[Tarpaulin]])</f>
        <v>0</v>
      </c>
      <c r="AD1073" s="294">
        <f>IF(NFI_Expiration=1,IF($A1073&lt;VLOOKUP(M$5,NFI,5,0),1,0)*Table_NFI[[#This Row],[Blanket]],Table_NFI[[#This Row],[Blanket]])</f>
        <v>0</v>
      </c>
      <c r="AE1073" s="294">
        <f>IF(NFI_Expiration=1,IF($A1073&lt;VLOOKUP(N$5,NFI,5,0),1,0)*Table_NFI[[#This Row],[Kitchen Set]],Table_NFI[Kitchen Set])</f>
        <v>0</v>
      </c>
      <c r="AF1073" s="294">
        <f>IF(NFI_Expiration=1,IF($A1073&lt;VLOOKUP(O$5,NFI,5,0),1,0)*Table_NFI[[#This Row],[Clothes Kit]],Table_NFI[Clothes Kit])</f>
        <v>0</v>
      </c>
      <c r="AG1073" s="294">
        <f>IF(NFI_Expiration=1,IF($A1073&lt;VLOOKUP(P$5,NFI,5,0),1,0)*Table_NFI[[#This Row],[Plastic Bucket]],Table_NFI[Plastic Bucket])</f>
        <v>0</v>
      </c>
      <c r="AH1073" s="294">
        <f>IF(NFI_Expiration=1,IF($A1073&lt;VLOOKUP(Q$5,NFI,5,0),1,0)*Table_NFI[[#This Row],[Plastic Mat]],Table_NFI[Plastic Mat])*IF(Table_NFI[[#This Row],[Distribution Date]]&gt;"2014-04-01",1,2.5)</f>
        <v>0</v>
      </c>
      <c r="AI1073" s="294">
        <f>IF(NFI_Expiration=1,IF($A1073&lt;VLOOKUP(R$5,NFI,5,0),1,0)*Table_NFI[[#This Row],[Winter Clothes Adult]],Table_NFI[Winter Clothes Adult])</f>
        <v>0</v>
      </c>
      <c r="AJ1073" s="294">
        <f>IF(NFI_Expiration=1,IF($A1073&lt;VLOOKUP(S$5,NFI,5,0),1,0)*Table_NFI[[#This Row],[Winter Clothes Children]],Table_NFI[Winter Clothes Children])</f>
        <v>0</v>
      </c>
      <c r="AK1073" s="294">
        <f>IF(NFI_Expiration=1,IF($A1073&lt;VLOOKUP(T$5,NFI,5,0),1,0)*Table_NFI[[#This Row],[Winter Items Other]],Table_NFI[Winter Items Other])</f>
        <v>0</v>
      </c>
      <c r="AL1073" s="294">
        <f>IF(NFI_Expiration=1,IF($A1073&lt;VLOOKUP(M$5,NFI,5,0),1,0)*Table_NFI[[#This Row],[Winter Blanket]],Table_NFI[[#This Row],[Winter Blanket]])</f>
        <v>0</v>
      </c>
      <c r="AM1073" s="294">
        <f>IF(Table_NFI[[#This Row],[Winter Clothes Adult]]+Table_NFI[[#This Row],[Winter Clothes Children]]+Table_NFI[[#This Row],[Winter Items Other]]+Table_NFI[[#This Row],[Winter Blanket]]&gt;0,1,0)</f>
        <v>0</v>
      </c>
      <c r="AN1073" s="331">
        <f>IF(NFI_Expiration=1,IF($A1073&lt;VLOOKUP(V$5,NFI,5,0),1,0)*Table_NFI[[#This Row],[Jerry Can]],Table_NFI[Jerry Can])</f>
        <v>0</v>
      </c>
      <c r="AO1073" s="331">
        <f>IF(NFI_Expiration=1,IF($A1073&lt;VLOOKUP(V$5,NFI,5,0),1,0)*Table_NFI[[#This Row],[Shelter Tool kit]],Table_NFI[Shelter Tool kit])</f>
        <v>0</v>
      </c>
      <c r="AP1073" s="331">
        <f>IF(NFI_Expiration=1,IF($A1073&lt;VLOOKUP(V$5,NFI,5,0),1,0)*Table_NFI[[#This Row],[Tent]],Table_NFI[Tent])</f>
        <v>0</v>
      </c>
      <c r="AQ1073" s="473" t="str">
        <f>IFERROR(VLOOKUP(Table_NFI[[#This Row],[Camp Name]],CL,2,0),"")</f>
        <v>MMR001CMP008</v>
      </c>
      <c r="AR1073" s="468">
        <f ca="1">IF(Table_NFI[[#This Row],[Pcode]]="","",IF(OFFSET(CampList[Opening Date],MATCH(Table_NFI[[#This Row],[Pcode]],CampList[CP_Pcode],0)-1,0,1,1)&gt;=NFI_Monitor_Date,1,0))</f>
        <v>0</v>
      </c>
      <c r="AS1073" s="473" t="str">
        <f>IFERROR(VLOOKUP(Table_NFI[[#This Row],[Camp Name]],CL,3,0),"")</f>
        <v>Open</v>
      </c>
      <c r="AT1073" s="294" t="str">
        <f ca="1">IF(Table_NFI[[#This Row],[Pcode]]="","",OFFSET(CampList[Priority],MATCH(Table_NFI[[#This Row],[Pcode]],CampList[CP_Pcode],0)-1,0,1,1))</f>
        <v>P4</v>
      </c>
      <c r="AU1073" s="293">
        <f>IFERROR(Table_NFI[[#This Row],[Kitchen Set]]/VLOOKUP(Table_NFI[[#This Row],[Camp Name]],CL,4,0),"")</f>
        <v>4.3478260869565216E-2</v>
      </c>
      <c r="AV1073" s="466" t="s">
        <v>1092</v>
      </c>
      <c r="AW1073" s="469"/>
    </row>
    <row r="1074" spans="1:49" s="479" customFormat="1" ht="15.75" customHeight="1" x14ac:dyDescent="0.25">
      <c r="A1074" s="297">
        <f t="shared" si="16"/>
        <v>59.56666666666667</v>
      </c>
      <c r="B1074" s="465">
        <v>40888</v>
      </c>
      <c r="C1074" s="466" t="s">
        <v>452</v>
      </c>
      <c r="D1074" s="466" t="s">
        <v>903</v>
      </c>
      <c r="E1074" s="466" t="s">
        <v>380</v>
      </c>
      <c r="F1074" s="466" t="s">
        <v>237</v>
      </c>
      <c r="G1074" s="290" t="s">
        <v>918</v>
      </c>
      <c r="H1074" s="291"/>
      <c r="I1074" s="291"/>
      <c r="J1074" s="291"/>
      <c r="K1074" s="291">
        <v>88</v>
      </c>
      <c r="L1074" s="292">
        <v>49</v>
      </c>
      <c r="M1074" s="292">
        <v>88</v>
      </c>
      <c r="N1074" s="292">
        <v>49</v>
      </c>
      <c r="O1074" s="292">
        <v>49</v>
      </c>
      <c r="P1074" s="294">
        <v>49</v>
      </c>
      <c r="Q1074" s="294">
        <v>49</v>
      </c>
      <c r="R1074" s="294"/>
      <c r="S1074" s="294"/>
      <c r="T1074" s="294"/>
      <c r="U1074" s="294"/>
      <c r="V1074" s="431"/>
      <c r="W1074" s="331"/>
      <c r="X1074" s="331"/>
      <c r="Y1074" s="294">
        <f>IF(NFI_Expiration=1,IF($A1074&lt;VLOOKUP(H$5,NFI,5,0),1,0)*Table_NFI[[#This Row],[Hygiene Kit]],Table_NFI[Hygiene Kit])</f>
        <v>0</v>
      </c>
      <c r="Z1074" s="294">
        <f>IF(NFI_Expiration=1,IF($A1074&lt;VLOOKUP(I$5,NFI,5,0),1,0)*Table_NFI[[#This Row],[NFI Core Kit]],Table_NFI[NFI Core Kit])</f>
        <v>0</v>
      </c>
      <c r="AA1074" s="294">
        <f>IF(NFI_Expiration=1,IF($A1074&lt;VLOOKUP(J$5,NFI,5,0),1,0)*Table_NFI[[#This Row],[Sanitary Kit]],Table_NFI[Sanitary Kit])</f>
        <v>0</v>
      </c>
      <c r="AB1074" s="294">
        <f>IF(NFI_Expiration=1,IF($A1074&lt;VLOOKUP(K$5,NFI,5,0),1,0)*Table_NFI[[#This Row],[Mosquito net]],Table_NFI[Mosquito net])</f>
        <v>0</v>
      </c>
      <c r="AC1074" s="294">
        <f>IF(NFI_Expiration=1,IF($A1074&lt;VLOOKUP(L$5,NFI,5,0),1,0)*Table_NFI[[#This Row],[Tarpaulin]],Table_NFI[[#This Row],[Tarpaulin]])</f>
        <v>0</v>
      </c>
      <c r="AD1074" s="294">
        <f>IF(NFI_Expiration=1,IF($A1074&lt;VLOOKUP(M$5,NFI,5,0),1,0)*Table_NFI[[#This Row],[Blanket]],Table_NFI[[#This Row],[Blanket]])</f>
        <v>0</v>
      </c>
      <c r="AE1074" s="294">
        <f>IF(NFI_Expiration=1,IF($A1074&lt;VLOOKUP(N$5,NFI,5,0),1,0)*Table_NFI[[#This Row],[Kitchen Set]],Table_NFI[Kitchen Set])</f>
        <v>0</v>
      </c>
      <c r="AF1074" s="294">
        <f>IF(NFI_Expiration=1,IF($A1074&lt;VLOOKUP(O$5,NFI,5,0),1,0)*Table_NFI[[#This Row],[Clothes Kit]],Table_NFI[Clothes Kit])</f>
        <v>0</v>
      </c>
      <c r="AG1074" s="294">
        <f>IF(NFI_Expiration=1,IF($A1074&lt;VLOOKUP(P$5,NFI,5,0),1,0)*Table_NFI[[#This Row],[Plastic Bucket]],Table_NFI[Plastic Bucket])</f>
        <v>0</v>
      </c>
      <c r="AH1074" s="294">
        <f>IF(NFI_Expiration=1,IF($A1074&lt;VLOOKUP(Q$5,NFI,5,0),1,0)*Table_NFI[[#This Row],[Plastic Mat]],Table_NFI[Plastic Mat])*IF(Table_NFI[[#This Row],[Distribution Date]]&gt;"2014-04-01",1,2.5)</f>
        <v>0</v>
      </c>
      <c r="AI1074" s="294">
        <f>IF(NFI_Expiration=1,IF($A1074&lt;VLOOKUP(R$5,NFI,5,0),1,0)*Table_NFI[[#This Row],[Winter Clothes Adult]],Table_NFI[Winter Clothes Adult])</f>
        <v>0</v>
      </c>
      <c r="AJ1074" s="294">
        <f>IF(NFI_Expiration=1,IF($A1074&lt;VLOOKUP(S$5,NFI,5,0),1,0)*Table_NFI[[#This Row],[Winter Clothes Children]],Table_NFI[Winter Clothes Children])</f>
        <v>0</v>
      </c>
      <c r="AK1074" s="294">
        <f>IF(NFI_Expiration=1,IF($A1074&lt;VLOOKUP(T$5,NFI,5,0),1,0)*Table_NFI[[#This Row],[Winter Items Other]],Table_NFI[Winter Items Other])</f>
        <v>0</v>
      </c>
      <c r="AL1074" s="294">
        <f>IF(NFI_Expiration=1,IF($A1074&lt;VLOOKUP(M$5,NFI,5,0),1,0)*Table_NFI[[#This Row],[Winter Blanket]],Table_NFI[[#This Row],[Winter Blanket]])</f>
        <v>0</v>
      </c>
      <c r="AM1074" s="294">
        <f>IF(Table_NFI[[#This Row],[Winter Clothes Adult]]+Table_NFI[[#This Row],[Winter Clothes Children]]+Table_NFI[[#This Row],[Winter Items Other]]+Table_NFI[[#This Row],[Winter Blanket]]&gt;0,1,0)</f>
        <v>0</v>
      </c>
      <c r="AN1074" s="331">
        <f>IF(NFI_Expiration=1,IF($A1074&lt;VLOOKUP(V$5,NFI,5,0),1,0)*Table_NFI[[#This Row],[Jerry Can]],Table_NFI[Jerry Can])</f>
        <v>0</v>
      </c>
      <c r="AO1074" s="331">
        <f>IF(NFI_Expiration=1,IF($A1074&lt;VLOOKUP(V$5,NFI,5,0),1,0)*Table_NFI[[#This Row],[Shelter Tool kit]],Table_NFI[Shelter Tool kit])</f>
        <v>0</v>
      </c>
      <c r="AP1074" s="331">
        <f>IF(NFI_Expiration=1,IF($A1074&lt;VLOOKUP(V$5,NFI,5,0),1,0)*Table_NFI[[#This Row],[Tent]],Table_NFI[Tent])</f>
        <v>0</v>
      </c>
      <c r="AQ1074" s="473" t="str">
        <f>IFERROR(VLOOKUP(Table_NFI[[#This Row],[Camp Name]],CL,2,0),"")</f>
        <v/>
      </c>
      <c r="AR1074" s="468" t="str">
        <f ca="1">IF(Table_NFI[[#This Row],[Pcode]]="","",IF(OFFSET(CampList[Opening Date],MATCH(Table_NFI[[#This Row],[Pcode]],CampList[CP_Pcode],0)-1,0,1,1)&gt;=NFI_Monitor_Date,1,0))</f>
        <v/>
      </c>
      <c r="AS1074" s="473" t="str">
        <f>IFERROR(VLOOKUP(Table_NFI[[#This Row],[Camp Name]],CL,3,0),"")</f>
        <v/>
      </c>
      <c r="AT1074" s="294" t="str">
        <f ca="1">IF(Table_NFI[[#This Row],[Pcode]]="","",OFFSET(CampList[Priority],MATCH(Table_NFI[[#This Row],[Pcode]],CampList[CP_Pcode],0)-1,0,1,1))</f>
        <v/>
      </c>
      <c r="AU1074" s="293" t="str">
        <f>IFERROR(Table_NFI[[#This Row],[Kitchen Set]]/VLOOKUP(Table_NFI[[#This Row],[Camp Name]],CL,4,0),"")</f>
        <v/>
      </c>
      <c r="AV1074" s="466" t="s">
        <v>1092</v>
      </c>
      <c r="AW1074" s="469"/>
    </row>
    <row r="1075" spans="1:49" s="479" customFormat="1" ht="15.75" customHeight="1" x14ac:dyDescent="0.25">
      <c r="A1075" s="297">
        <f t="shared" si="16"/>
        <v>59.56666666666667</v>
      </c>
      <c r="B1075" s="465">
        <v>40888</v>
      </c>
      <c r="C1075" s="466" t="s">
        <v>452</v>
      </c>
      <c r="D1075" s="467" t="s">
        <v>460</v>
      </c>
      <c r="E1075" s="466" t="s">
        <v>380</v>
      </c>
      <c r="F1075" s="290" t="s">
        <v>237</v>
      </c>
      <c r="G1075" s="290" t="s">
        <v>277</v>
      </c>
      <c r="H1075" s="291"/>
      <c r="I1075" s="291"/>
      <c r="J1075" s="291"/>
      <c r="K1075" s="291">
        <v>2</v>
      </c>
      <c r="L1075" s="292">
        <v>2</v>
      </c>
      <c r="M1075" s="292">
        <v>2</v>
      </c>
      <c r="N1075" s="292">
        <v>2</v>
      </c>
      <c r="O1075" s="292">
        <v>2</v>
      </c>
      <c r="P1075" s="294">
        <v>2</v>
      </c>
      <c r="Q1075" s="294">
        <v>2</v>
      </c>
      <c r="R1075" s="294"/>
      <c r="S1075" s="294"/>
      <c r="T1075" s="294"/>
      <c r="U1075" s="294"/>
      <c r="V1075" s="431"/>
      <c r="W1075" s="331"/>
      <c r="X1075" s="331"/>
      <c r="Y1075" s="294">
        <f>IF(NFI_Expiration=1,IF($A1075&lt;VLOOKUP(H$5,NFI,5,0),1,0)*Table_NFI[[#This Row],[Hygiene Kit]],Table_NFI[Hygiene Kit])</f>
        <v>0</v>
      </c>
      <c r="Z1075" s="294">
        <f>IF(NFI_Expiration=1,IF($A1075&lt;VLOOKUP(I$5,NFI,5,0),1,0)*Table_NFI[[#This Row],[NFI Core Kit]],Table_NFI[NFI Core Kit])</f>
        <v>0</v>
      </c>
      <c r="AA1075" s="294">
        <f>IF(NFI_Expiration=1,IF($A1075&lt;VLOOKUP(J$5,NFI,5,0),1,0)*Table_NFI[[#This Row],[Sanitary Kit]],Table_NFI[Sanitary Kit])</f>
        <v>0</v>
      </c>
      <c r="AB1075" s="294">
        <f>IF(NFI_Expiration=1,IF($A1075&lt;VLOOKUP(K$5,NFI,5,0),1,0)*Table_NFI[[#This Row],[Mosquito net]],Table_NFI[Mosquito net])</f>
        <v>0</v>
      </c>
      <c r="AC1075" s="294">
        <f>IF(NFI_Expiration=1,IF($A1075&lt;VLOOKUP(L$5,NFI,5,0),1,0)*Table_NFI[[#This Row],[Tarpaulin]],Table_NFI[[#This Row],[Tarpaulin]])</f>
        <v>0</v>
      </c>
      <c r="AD1075" s="294">
        <f>IF(NFI_Expiration=1,IF($A1075&lt;VLOOKUP(M$5,NFI,5,0),1,0)*Table_NFI[[#This Row],[Blanket]],Table_NFI[[#This Row],[Blanket]])</f>
        <v>0</v>
      </c>
      <c r="AE1075" s="294">
        <f>IF(NFI_Expiration=1,IF($A1075&lt;VLOOKUP(N$5,NFI,5,0),1,0)*Table_NFI[[#This Row],[Kitchen Set]],Table_NFI[Kitchen Set])</f>
        <v>0</v>
      </c>
      <c r="AF1075" s="294">
        <f>IF(NFI_Expiration=1,IF($A1075&lt;VLOOKUP(O$5,NFI,5,0),1,0)*Table_NFI[[#This Row],[Clothes Kit]],Table_NFI[Clothes Kit])</f>
        <v>0</v>
      </c>
      <c r="AG1075" s="294">
        <f>IF(NFI_Expiration=1,IF($A1075&lt;VLOOKUP(P$5,NFI,5,0),1,0)*Table_NFI[[#This Row],[Plastic Bucket]],Table_NFI[Plastic Bucket])</f>
        <v>0</v>
      </c>
      <c r="AH1075" s="294">
        <f>IF(NFI_Expiration=1,IF($A1075&lt;VLOOKUP(Q$5,NFI,5,0),1,0)*Table_NFI[[#This Row],[Plastic Mat]],Table_NFI[Plastic Mat])*IF(Table_NFI[[#This Row],[Distribution Date]]&gt;"2014-04-01",1,2.5)</f>
        <v>0</v>
      </c>
      <c r="AI1075" s="294">
        <f>IF(NFI_Expiration=1,IF($A1075&lt;VLOOKUP(R$5,NFI,5,0),1,0)*Table_NFI[[#This Row],[Winter Clothes Adult]],Table_NFI[Winter Clothes Adult])</f>
        <v>0</v>
      </c>
      <c r="AJ1075" s="294">
        <f>IF(NFI_Expiration=1,IF($A1075&lt;VLOOKUP(S$5,NFI,5,0),1,0)*Table_NFI[[#This Row],[Winter Clothes Children]],Table_NFI[Winter Clothes Children])</f>
        <v>0</v>
      </c>
      <c r="AK1075" s="294">
        <f>IF(NFI_Expiration=1,IF($A1075&lt;VLOOKUP(T$5,NFI,5,0),1,0)*Table_NFI[[#This Row],[Winter Items Other]],Table_NFI[Winter Items Other])</f>
        <v>0</v>
      </c>
      <c r="AL1075" s="294">
        <f>IF(NFI_Expiration=1,IF($A1075&lt;VLOOKUP(M$5,NFI,5,0),1,0)*Table_NFI[[#This Row],[Winter Blanket]],Table_NFI[[#This Row],[Winter Blanket]])</f>
        <v>0</v>
      </c>
      <c r="AM1075" s="294">
        <f>IF(Table_NFI[[#This Row],[Winter Clothes Adult]]+Table_NFI[[#This Row],[Winter Clothes Children]]+Table_NFI[[#This Row],[Winter Items Other]]+Table_NFI[[#This Row],[Winter Blanket]]&gt;0,1,0)</f>
        <v>0</v>
      </c>
      <c r="AN1075" s="331">
        <f>IF(NFI_Expiration=1,IF($A1075&lt;VLOOKUP(V$5,NFI,5,0),1,0)*Table_NFI[[#This Row],[Jerry Can]],Table_NFI[Jerry Can])</f>
        <v>0</v>
      </c>
      <c r="AO1075" s="331">
        <f>IF(NFI_Expiration=1,IF($A1075&lt;VLOOKUP(V$5,NFI,5,0),1,0)*Table_NFI[[#This Row],[Shelter Tool kit]],Table_NFI[Shelter Tool kit])</f>
        <v>0</v>
      </c>
      <c r="AP1075" s="331">
        <f>IF(NFI_Expiration=1,IF($A1075&lt;VLOOKUP(V$5,NFI,5,0),1,0)*Table_NFI[[#This Row],[Tent]],Table_NFI[Tent])</f>
        <v>0</v>
      </c>
      <c r="AQ1075" s="473" t="str">
        <f>IFERROR(VLOOKUP(Table_NFI[[#This Row],[Camp Name]],CL,2,0),"")</f>
        <v>MMR001CMP006</v>
      </c>
      <c r="AR1075" s="468">
        <f ca="1">IF(Table_NFI[[#This Row],[Pcode]]="","",IF(OFFSET(CampList[Opening Date],MATCH(Table_NFI[[#This Row],[Pcode]],CampList[CP_Pcode],0)-1,0,1,1)&gt;=NFI_Monitor_Date,1,0))</f>
        <v>0</v>
      </c>
      <c r="AS1075" s="473" t="str">
        <f>IFERROR(VLOOKUP(Table_NFI[[#This Row],[Camp Name]],CL,3,0),"")</f>
        <v>Open</v>
      </c>
      <c r="AT1075" s="294" t="str">
        <f ca="1">IF(Table_NFI[[#This Row],[Pcode]]="","",OFFSET(CampList[Priority],MATCH(Table_NFI[[#This Row],[Pcode]],CampList[CP_Pcode],0)-1,0,1,1))</f>
        <v>P4</v>
      </c>
      <c r="AU1075" s="293">
        <f>IFERROR(Table_NFI[[#This Row],[Kitchen Set]]/VLOOKUP(Table_NFI[[#This Row],[Camp Name]],CL,4,0),"")</f>
        <v>2.2727272727272728E-2</v>
      </c>
      <c r="AV1075" s="466" t="s">
        <v>1092</v>
      </c>
      <c r="AW1075" s="469"/>
    </row>
    <row r="1076" spans="1:49" s="479" customFormat="1" ht="15.75" customHeight="1" x14ac:dyDescent="0.25">
      <c r="A1076" s="297">
        <f t="shared" si="16"/>
        <v>59.56666666666667</v>
      </c>
      <c r="B1076" s="465">
        <v>40888</v>
      </c>
      <c r="C1076" s="466" t="s">
        <v>452</v>
      </c>
      <c r="D1076" s="467" t="s">
        <v>460</v>
      </c>
      <c r="E1076" s="466" t="s">
        <v>380</v>
      </c>
      <c r="F1076" s="290" t="s">
        <v>237</v>
      </c>
      <c r="G1076" s="290" t="s">
        <v>275</v>
      </c>
      <c r="H1076" s="291"/>
      <c r="I1076" s="291"/>
      <c r="J1076" s="291"/>
      <c r="K1076" s="291">
        <v>3</v>
      </c>
      <c r="L1076" s="292">
        <v>2</v>
      </c>
      <c r="M1076" s="292">
        <v>3</v>
      </c>
      <c r="N1076" s="292">
        <v>2</v>
      </c>
      <c r="O1076" s="292">
        <v>2</v>
      </c>
      <c r="P1076" s="294">
        <v>2</v>
      </c>
      <c r="Q1076" s="294">
        <v>2</v>
      </c>
      <c r="R1076" s="294"/>
      <c r="S1076" s="294"/>
      <c r="T1076" s="294"/>
      <c r="U1076" s="294"/>
      <c r="V1076" s="431"/>
      <c r="W1076" s="331"/>
      <c r="X1076" s="331"/>
      <c r="Y1076" s="294">
        <f>IF(NFI_Expiration=1,IF($A1076&lt;VLOOKUP(H$5,NFI,5,0),1,0)*Table_NFI[[#This Row],[Hygiene Kit]],Table_NFI[Hygiene Kit])</f>
        <v>0</v>
      </c>
      <c r="Z1076" s="294">
        <f>IF(NFI_Expiration=1,IF($A1076&lt;VLOOKUP(I$5,NFI,5,0),1,0)*Table_NFI[[#This Row],[NFI Core Kit]],Table_NFI[NFI Core Kit])</f>
        <v>0</v>
      </c>
      <c r="AA1076" s="294">
        <f>IF(NFI_Expiration=1,IF($A1076&lt;VLOOKUP(J$5,NFI,5,0),1,0)*Table_NFI[[#This Row],[Sanitary Kit]],Table_NFI[Sanitary Kit])</f>
        <v>0</v>
      </c>
      <c r="AB1076" s="294">
        <f>IF(NFI_Expiration=1,IF($A1076&lt;VLOOKUP(K$5,NFI,5,0),1,0)*Table_NFI[[#This Row],[Mosquito net]],Table_NFI[Mosquito net])</f>
        <v>0</v>
      </c>
      <c r="AC1076" s="294">
        <f>IF(NFI_Expiration=1,IF($A1076&lt;VLOOKUP(L$5,NFI,5,0),1,0)*Table_NFI[[#This Row],[Tarpaulin]],Table_NFI[[#This Row],[Tarpaulin]])</f>
        <v>0</v>
      </c>
      <c r="AD1076" s="294">
        <f>IF(NFI_Expiration=1,IF($A1076&lt;VLOOKUP(M$5,NFI,5,0),1,0)*Table_NFI[[#This Row],[Blanket]],Table_NFI[[#This Row],[Blanket]])</f>
        <v>0</v>
      </c>
      <c r="AE1076" s="294">
        <f>IF(NFI_Expiration=1,IF($A1076&lt;VLOOKUP(N$5,NFI,5,0),1,0)*Table_NFI[[#This Row],[Kitchen Set]],Table_NFI[Kitchen Set])</f>
        <v>0</v>
      </c>
      <c r="AF1076" s="294">
        <f>IF(NFI_Expiration=1,IF($A1076&lt;VLOOKUP(O$5,NFI,5,0),1,0)*Table_NFI[[#This Row],[Clothes Kit]],Table_NFI[Clothes Kit])</f>
        <v>0</v>
      </c>
      <c r="AG1076" s="294">
        <f>IF(NFI_Expiration=1,IF($A1076&lt;VLOOKUP(P$5,NFI,5,0),1,0)*Table_NFI[[#This Row],[Plastic Bucket]],Table_NFI[Plastic Bucket])</f>
        <v>0</v>
      </c>
      <c r="AH1076" s="294">
        <f>IF(NFI_Expiration=1,IF($A1076&lt;VLOOKUP(Q$5,NFI,5,0),1,0)*Table_NFI[[#This Row],[Plastic Mat]],Table_NFI[Plastic Mat])*IF(Table_NFI[[#This Row],[Distribution Date]]&gt;"2014-04-01",1,2.5)</f>
        <v>0</v>
      </c>
      <c r="AI1076" s="294">
        <f>IF(NFI_Expiration=1,IF($A1076&lt;VLOOKUP(R$5,NFI,5,0),1,0)*Table_NFI[[#This Row],[Winter Clothes Adult]],Table_NFI[Winter Clothes Adult])</f>
        <v>0</v>
      </c>
      <c r="AJ1076" s="294">
        <f>IF(NFI_Expiration=1,IF($A1076&lt;VLOOKUP(S$5,NFI,5,0),1,0)*Table_NFI[[#This Row],[Winter Clothes Children]],Table_NFI[Winter Clothes Children])</f>
        <v>0</v>
      </c>
      <c r="AK1076" s="294">
        <f>IF(NFI_Expiration=1,IF($A1076&lt;VLOOKUP(T$5,NFI,5,0),1,0)*Table_NFI[[#This Row],[Winter Items Other]],Table_NFI[Winter Items Other])</f>
        <v>0</v>
      </c>
      <c r="AL1076" s="294">
        <f>IF(NFI_Expiration=1,IF($A1076&lt;VLOOKUP(M$5,NFI,5,0),1,0)*Table_NFI[[#This Row],[Winter Blanket]],Table_NFI[[#This Row],[Winter Blanket]])</f>
        <v>0</v>
      </c>
      <c r="AM1076" s="294">
        <f>IF(Table_NFI[[#This Row],[Winter Clothes Adult]]+Table_NFI[[#This Row],[Winter Clothes Children]]+Table_NFI[[#This Row],[Winter Items Other]]+Table_NFI[[#This Row],[Winter Blanket]]&gt;0,1,0)</f>
        <v>0</v>
      </c>
      <c r="AN1076" s="331">
        <f>IF(NFI_Expiration=1,IF($A1076&lt;VLOOKUP(V$5,NFI,5,0),1,0)*Table_NFI[[#This Row],[Jerry Can]],Table_NFI[Jerry Can])</f>
        <v>0</v>
      </c>
      <c r="AO1076" s="331">
        <f>IF(NFI_Expiration=1,IF($A1076&lt;VLOOKUP(V$5,NFI,5,0),1,0)*Table_NFI[[#This Row],[Shelter Tool kit]],Table_NFI[Shelter Tool kit])</f>
        <v>0</v>
      </c>
      <c r="AP1076" s="331">
        <f>IF(NFI_Expiration=1,IF($A1076&lt;VLOOKUP(V$5,NFI,5,0),1,0)*Table_NFI[[#This Row],[Tent]],Table_NFI[Tent])</f>
        <v>0</v>
      </c>
      <c r="AQ1076" s="473" t="str">
        <f>IFERROR(VLOOKUP(Table_NFI[[#This Row],[Camp Name]],CL,2,0),"")</f>
        <v>MMR001CMP005</v>
      </c>
      <c r="AR1076" s="468">
        <f ca="1">IF(Table_NFI[[#This Row],[Pcode]]="","",IF(OFFSET(CampList[Opening Date],MATCH(Table_NFI[[#This Row],[Pcode]],CampList[CP_Pcode],0)-1,0,1,1)&gt;=NFI_Monitor_Date,1,0))</f>
        <v>0</v>
      </c>
      <c r="AS1076" s="473" t="str">
        <f>IFERROR(VLOOKUP(Table_NFI[[#This Row],[Camp Name]],CL,3,0),"")</f>
        <v>Open</v>
      </c>
      <c r="AT1076" s="294" t="str">
        <f ca="1">IF(Table_NFI[[#This Row],[Pcode]]="","",OFFSET(CampList[Priority],MATCH(Table_NFI[[#This Row],[Pcode]],CampList[CP_Pcode],0)-1,0,1,1))</f>
        <v>P4</v>
      </c>
      <c r="AU1076" s="293">
        <f>IFERROR(Table_NFI[[#This Row],[Kitchen Set]]/VLOOKUP(Table_NFI[[#This Row],[Camp Name]],CL,4,0),"")</f>
        <v>6.4516129032258063E-2</v>
      </c>
      <c r="AV1076" s="466" t="s">
        <v>1092</v>
      </c>
      <c r="AW1076" s="469"/>
    </row>
    <row r="1077" spans="1:49" s="479" customFormat="1" ht="15.75" customHeight="1" x14ac:dyDescent="0.25">
      <c r="A1077" s="297">
        <f t="shared" si="16"/>
        <v>59.633333333333333</v>
      </c>
      <c r="B1077" s="465">
        <v>40886</v>
      </c>
      <c r="C1077" s="466" t="s">
        <v>452</v>
      </c>
      <c r="D1077" s="467" t="s">
        <v>460</v>
      </c>
      <c r="E1077" s="466" t="s">
        <v>380</v>
      </c>
      <c r="F1077" s="290" t="s">
        <v>237</v>
      </c>
      <c r="G1077" s="290" t="s">
        <v>240</v>
      </c>
      <c r="H1077" s="291"/>
      <c r="I1077" s="291"/>
      <c r="J1077" s="291"/>
      <c r="K1077" s="291">
        <v>13</v>
      </c>
      <c r="L1077" s="292">
        <v>6</v>
      </c>
      <c r="M1077" s="292">
        <v>13</v>
      </c>
      <c r="N1077" s="292">
        <v>6</v>
      </c>
      <c r="O1077" s="292">
        <v>6</v>
      </c>
      <c r="P1077" s="294">
        <v>6</v>
      </c>
      <c r="Q1077" s="294">
        <v>6</v>
      </c>
      <c r="R1077" s="294"/>
      <c r="S1077" s="294"/>
      <c r="T1077" s="294"/>
      <c r="U1077" s="294"/>
      <c r="V1077" s="431"/>
      <c r="W1077" s="331"/>
      <c r="X1077" s="331"/>
      <c r="Y1077" s="294">
        <f>IF(NFI_Expiration=1,IF($A1077&lt;VLOOKUP(H$5,NFI,5,0),1,0)*Table_NFI[[#This Row],[Hygiene Kit]],Table_NFI[Hygiene Kit])</f>
        <v>0</v>
      </c>
      <c r="Z1077" s="294">
        <f>IF(NFI_Expiration=1,IF($A1077&lt;VLOOKUP(I$5,NFI,5,0),1,0)*Table_NFI[[#This Row],[NFI Core Kit]],Table_NFI[NFI Core Kit])</f>
        <v>0</v>
      </c>
      <c r="AA1077" s="294">
        <f>IF(NFI_Expiration=1,IF($A1077&lt;VLOOKUP(J$5,NFI,5,0),1,0)*Table_NFI[[#This Row],[Sanitary Kit]],Table_NFI[Sanitary Kit])</f>
        <v>0</v>
      </c>
      <c r="AB1077" s="294">
        <f>IF(NFI_Expiration=1,IF($A1077&lt;VLOOKUP(K$5,NFI,5,0),1,0)*Table_NFI[[#This Row],[Mosquito net]],Table_NFI[Mosquito net])</f>
        <v>0</v>
      </c>
      <c r="AC1077" s="294">
        <f>IF(NFI_Expiration=1,IF($A1077&lt;VLOOKUP(L$5,NFI,5,0),1,0)*Table_NFI[[#This Row],[Tarpaulin]],Table_NFI[[#This Row],[Tarpaulin]])</f>
        <v>0</v>
      </c>
      <c r="AD1077" s="294">
        <f>IF(NFI_Expiration=1,IF($A1077&lt;VLOOKUP(M$5,NFI,5,0),1,0)*Table_NFI[[#This Row],[Blanket]],Table_NFI[[#This Row],[Blanket]])</f>
        <v>0</v>
      </c>
      <c r="AE1077" s="294">
        <f>IF(NFI_Expiration=1,IF($A1077&lt;VLOOKUP(N$5,NFI,5,0),1,0)*Table_NFI[[#This Row],[Kitchen Set]],Table_NFI[Kitchen Set])</f>
        <v>0</v>
      </c>
      <c r="AF1077" s="294">
        <f>IF(NFI_Expiration=1,IF($A1077&lt;VLOOKUP(O$5,NFI,5,0),1,0)*Table_NFI[[#This Row],[Clothes Kit]],Table_NFI[Clothes Kit])</f>
        <v>0</v>
      </c>
      <c r="AG1077" s="294">
        <f>IF(NFI_Expiration=1,IF($A1077&lt;VLOOKUP(P$5,NFI,5,0),1,0)*Table_NFI[[#This Row],[Plastic Bucket]],Table_NFI[Plastic Bucket])</f>
        <v>0</v>
      </c>
      <c r="AH1077" s="294">
        <f>IF(NFI_Expiration=1,IF($A1077&lt;VLOOKUP(Q$5,NFI,5,0),1,0)*Table_NFI[[#This Row],[Plastic Mat]],Table_NFI[Plastic Mat])*IF(Table_NFI[[#This Row],[Distribution Date]]&gt;"2014-04-01",1,2.5)</f>
        <v>0</v>
      </c>
      <c r="AI1077" s="294">
        <f>IF(NFI_Expiration=1,IF($A1077&lt;VLOOKUP(R$5,NFI,5,0),1,0)*Table_NFI[[#This Row],[Winter Clothes Adult]],Table_NFI[Winter Clothes Adult])</f>
        <v>0</v>
      </c>
      <c r="AJ1077" s="294">
        <f>IF(NFI_Expiration=1,IF($A1077&lt;VLOOKUP(S$5,NFI,5,0),1,0)*Table_NFI[[#This Row],[Winter Clothes Children]],Table_NFI[Winter Clothes Children])</f>
        <v>0</v>
      </c>
      <c r="AK1077" s="294">
        <f>IF(NFI_Expiration=1,IF($A1077&lt;VLOOKUP(T$5,NFI,5,0),1,0)*Table_NFI[[#This Row],[Winter Items Other]],Table_NFI[Winter Items Other])</f>
        <v>0</v>
      </c>
      <c r="AL1077" s="294">
        <f>IF(NFI_Expiration=1,IF($A1077&lt;VLOOKUP(M$5,NFI,5,0),1,0)*Table_NFI[[#This Row],[Winter Blanket]],Table_NFI[[#This Row],[Winter Blanket]])</f>
        <v>0</v>
      </c>
      <c r="AM1077" s="294">
        <f>IF(Table_NFI[[#This Row],[Winter Clothes Adult]]+Table_NFI[[#This Row],[Winter Clothes Children]]+Table_NFI[[#This Row],[Winter Items Other]]+Table_NFI[[#This Row],[Winter Blanket]]&gt;0,1,0)</f>
        <v>0</v>
      </c>
      <c r="AN1077" s="331">
        <f>IF(NFI_Expiration=1,IF($A1077&lt;VLOOKUP(V$5,NFI,5,0),1,0)*Table_NFI[[#This Row],[Jerry Can]],Table_NFI[Jerry Can])</f>
        <v>0</v>
      </c>
      <c r="AO1077" s="331">
        <f>IF(NFI_Expiration=1,IF($A1077&lt;VLOOKUP(V$5,NFI,5,0),1,0)*Table_NFI[[#This Row],[Shelter Tool kit]],Table_NFI[Shelter Tool kit])</f>
        <v>0</v>
      </c>
      <c r="AP1077" s="331">
        <f>IF(NFI_Expiration=1,IF($A1077&lt;VLOOKUP(V$5,NFI,5,0),1,0)*Table_NFI[[#This Row],[Tent]],Table_NFI[Tent])</f>
        <v>0</v>
      </c>
      <c r="AQ1077" s="473" t="str">
        <f>IFERROR(VLOOKUP(Table_NFI[[#This Row],[Camp Name]],CL,2,0),"")</f>
        <v>MMR001CMP015</v>
      </c>
      <c r="AR1077" s="468">
        <f ca="1">IF(Table_NFI[[#This Row],[Pcode]]="","",IF(OFFSET(CampList[Opening Date],MATCH(Table_NFI[[#This Row],[Pcode]],CampList[CP_Pcode],0)-1,0,1,1)&gt;=NFI_Monitor_Date,1,0))</f>
        <v>0</v>
      </c>
      <c r="AS1077" s="473" t="str">
        <f>IFERROR(VLOOKUP(Table_NFI[[#This Row],[Camp Name]],CL,3,0),"")</f>
        <v>Open</v>
      </c>
      <c r="AT1077" s="294" t="str">
        <f ca="1">IF(Table_NFI[[#This Row],[Pcode]]="","",OFFSET(CampList[Priority],MATCH(Table_NFI[[#This Row],[Pcode]],CampList[CP_Pcode],0)-1,0,1,1))</f>
        <v>P4</v>
      </c>
      <c r="AU1077" s="293">
        <f>IFERROR(Table_NFI[[#This Row],[Kitchen Set]]/VLOOKUP(Table_NFI[[#This Row],[Camp Name]],CL,4,0),"")</f>
        <v>0.2</v>
      </c>
      <c r="AV1077" s="466" t="s">
        <v>1092</v>
      </c>
      <c r="AW1077" s="469"/>
    </row>
    <row r="1078" spans="1:49" s="479" customFormat="1" ht="15.75" customHeight="1" x14ac:dyDescent="0.25">
      <c r="A1078" s="297">
        <f t="shared" si="16"/>
        <v>59.766666666666666</v>
      </c>
      <c r="B1078" s="465">
        <v>40882</v>
      </c>
      <c r="C1078" s="466" t="s">
        <v>452</v>
      </c>
      <c r="D1078" s="467" t="s">
        <v>506</v>
      </c>
      <c r="E1078" s="466" t="s">
        <v>380</v>
      </c>
      <c r="F1078" s="290" t="s">
        <v>237</v>
      </c>
      <c r="G1078" s="290" t="s">
        <v>253</v>
      </c>
      <c r="H1078" s="291"/>
      <c r="I1078" s="291"/>
      <c r="J1078" s="291"/>
      <c r="K1078" s="291">
        <v>80</v>
      </c>
      <c r="L1078" s="292">
        <v>45</v>
      </c>
      <c r="M1078" s="292">
        <v>80</v>
      </c>
      <c r="N1078" s="292">
        <v>45</v>
      </c>
      <c r="O1078" s="292">
        <v>45</v>
      </c>
      <c r="P1078" s="294">
        <v>45</v>
      </c>
      <c r="Q1078" s="294">
        <v>45</v>
      </c>
      <c r="R1078" s="294"/>
      <c r="S1078" s="294"/>
      <c r="T1078" s="294"/>
      <c r="U1078" s="294"/>
      <c r="V1078" s="431"/>
      <c r="W1078" s="331"/>
      <c r="X1078" s="331"/>
      <c r="Y1078" s="294">
        <f>IF(NFI_Expiration=1,IF($A1078&lt;VLOOKUP(H$5,NFI,5,0),1,0)*Table_NFI[[#This Row],[Hygiene Kit]],Table_NFI[Hygiene Kit])</f>
        <v>0</v>
      </c>
      <c r="Z1078" s="294">
        <f>IF(NFI_Expiration=1,IF($A1078&lt;VLOOKUP(I$5,NFI,5,0),1,0)*Table_NFI[[#This Row],[NFI Core Kit]],Table_NFI[NFI Core Kit])</f>
        <v>0</v>
      </c>
      <c r="AA1078" s="294">
        <f>IF(NFI_Expiration=1,IF($A1078&lt;VLOOKUP(J$5,NFI,5,0),1,0)*Table_NFI[[#This Row],[Sanitary Kit]],Table_NFI[Sanitary Kit])</f>
        <v>0</v>
      </c>
      <c r="AB1078" s="294">
        <f>IF(NFI_Expiration=1,IF($A1078&lt;VLOOKUP(K$5,NFI,5,0),1,0)*Table_NFI[[#This Row],[Mosquito net]],Table_NFI[Mosquito net])</f>
        <v>0</v>
      </c>
      <c r="AC1078" s="294">
        <f>IF(NFI_Expiration=1,IF($A1078&lt;VLOOKUP(L$5,NFI,5,0),1,0)*Table_NFI[[#This Row],[Tarpaulin]],Table_NFI[[#This Row],[Tarpaulin]])</f>
        <v>0</v>
      </c>
      <c r="AD1078" s="294">
        <f>IF(NFI_Expiration=1,IF($A1078&lt;VLOOKUP(M$5,NFI,5,0),1,0)*Table_NFI[[#This Row],[Blanket]],Table_NFI[[#This Row],[Blanket]])</f>
        <v>0</v>
      </c>
      <c r="AE1078" s="294">
        <f>IF(NFI_Expiration=1,IF($A1078&lt;VLOOKUP(N$5,NFI,5,0),1,0)*Table_NFI[[#This Row],[Kitchen Set]],Table_NFI[Kitchen Set])</f>
        <v>0</v>
      </c>
      <c r="AF1078" s="294">
        <f>IF(NFI_Expiration=1,IF($A1078&lt;VLOOKUP(O$5,NFI,5,0),1,0)*Table_NFI[[#This Row],[Clothes Kit]],Table_NFI[Clothes Kit])</f>
        <v>0</v>
      </c>
      <c r="AG1078" s="294">
        <f>IF(NFI_Expiration=1,IF($A1078&lt;VLOOKUP(P$5,NFI,5,0),1,0)*Table_NFI[[#This Row],[Plastic Bucket]],Table_NFI[Plastic Bucket])</f>
        <v>0</v>
      </c>
      <c r="AH1078" s="294">
        <f>IF(NFI_Expiration=1,IF($A1078&lt;VLOOKUP(Q$5,NFI,5,0),1,0)*Table_NFI[[#This Row],[Plastic Mat]],Table_NFI[Plastic Mat])*IF(Table_NFI[[#This Row],[Distribution Date]]&gt;"2014-04-01",1,2.5)</f>
        <v>0</v>
      </c>
      <c r="AI1078" s="294">
        <f>IF(NFI_Expiration=1,IF($A1078&lt;VLOOKUP(R$5,NFI,5,0),1,0)*Table_NFI[[#This Row],[Winter Clothes Adult]],Table_NFI[Winter Clothes Adult])</f>
        <v>0</v>
      </c>
      <c r="AJ1078" s="294">
        <f>IF(NFI_Expiration=1,IF($A1078&lt;VLOOKUP(S$5,NFI,5,0),1,0)*Table_NFI[[#This Row],[Winter Clothes Children]],Table_NFI[Winter Clothes Children])</f>
        <v>0</v>
      </c>
      <c r="AK1078" s="294">
        <f>IF(NFI_Expiration=1,IF($A1078&lt;VLOOKUP(T$5,NFI,5,0),1,0)*Table_NFI[[#This Row],[Winter Items Other]],Table_NFI[Winter Items Other])</f>
        <v>0</v>
      </c>
      <c r="AL1078" s="294">
        <f>IF(NFI_Expiration=1,IF($A1078&lt;VLOOKUP(M$5,NFI,5,0),1,0)*Table_NFI[[#This Row],[Winter Blanket]],Table_NFI[[#This Row],[Winter Blanket]])</f>
        <v>0</v>
      </c>
      <c r="AM1078" s="294">
        <f>IF(Table_NFI[[#This Row],[Winter Clothes Adult]]+Table_NFI[[#This Row],[Winter Clothes Children]]+Table_NFI[[#This Row],[Winter Items Other]]+Table_NFI[[#This Row],[Winter Blanket]]&gt;0,1,0)</f>
        <v>0</v>
      </c>
      <c r="AN1078" s="331">
        <f>IF(NFI_Expiration=1,IF($A1078&lt;VLOOKUP(V$5,NFI,5,0),1,0)*Table_NFI[[#This Row],[Jerry Can]],Table_NFI[Jerry Can])</f>
        <v>0</v>
      </c>
      <c r="AO1078" s="331">
        <f>IF(NFI_Expiration=1,IF($A1078&lt;VLOOKUP(V$5,NFI,5,0),1,0)*Table_NFI[[#This Row],[Shelter Tool kit]],Table_NFI[Shelter Tool kit])</f>
        <v>0</v>
      </c>
      <c r="AP1078" s="331">
        <f>IF(NFI_Expiration=1,IF($A1078&lt;VLOOKUP(V$5,NFI,5,0),1,0)*Table_NFI[[#This Row],[Tent]],Table_NFI[Tent])</f>
        <v>0</v>
      </c>
      <c r="AQ1078" s="473" t="str">
        <f>IFERROR(VLOOKUP(Table_NFI[[#This Row],[Camp Name]],CL,2,0),"")</f>
        <v>MMR001CMP018</v>
      </c>
      <c r="AR1078" s="468">
        <f ca="1">IF(Table_NFI[[#This Row],[Pcode]]="","",IF(OFFSET(CampList[Opening Date],MATCH(Table_NFI[[#This Row],[Pcode]],CampList[CP_Pcode],0)-1,0,1,1)&gt;=NFI_Monitor_Date,1,0))</f>
        <v>0</v>
      </c>
      <c r="AS1078" s="473" t="str">
        <f>IFERROR(VLOOKUP(Table_NFI[[#This Row],[Camp Name]],CL,3,0),"")</f>
        <v>Open</v>
      </c>
      <c r="AT1078" s="294" t="str">
        <f ca="1">IF(Table_NFI[[#This Row],[Pcode]]="","",OFFSET(CampList[Priority],MATCH(Table_NFI[[#This Row],[Pcode]],CampList[CP_Pcode],0)-1,0,1,1))</f>
        <v>P4</v>
      </c>
      <c r="AU1078" s="293">
        <f>IFERROR(Table_NFI[[#This Row],[Kitchen Set]]/VLOOKUP(Table_NFI[[#This Row],[Camp Name]],CL,4,0),"")</f>
        <v>0.22727272727272727</v>
      </c>
      <c r="AV1078" s="466" t="s">
        <v>1092</v>
      </c>
      <c r="AW1078" s="469"/>
    </row>
    <row r="1079" spans="1:49" s="479" customFormat="1" ht="15.75" customHeight="1" x14ac:dyDescent="0.25">
      <c r="A1079" s="297">
        <f t="shared" si="16"/>
        <v>59.8</v>
      </c>
      <c r="B1079" s="465">
        <v>40881</v>
      </c>
      <c r="C1079" s="466" t="s">
        <v>452</v>
      </c>
      <c r="D1079" s="467" t="s">
        <v>460</v>
      </c>
      <c r="E1079" s="466" t="s">
        <v>380</v>
      </c>
      <c r="F1079" s="290" t="s">
        <v>237</v>
      </c>
      <c r="G1079" s="290" t="s">
        <v>281</v>
      </c>
      <c r="H1079" s="291"/>
      <c r="I1079" s="291"/>
      <c r="J1079" s="291"/>
      <c r="K1079" s="291">
        <v>52</v>
      </c>
      <c r="L1079" s="292">
        <v>27</v>
      </c>
      <c r="M1079" s="292">
        <v>52</v>
      </c>
      <c r="N1079" s="292">
        <v>27</v>
      </c>
      <c r="O1079" s="292">
        <v>27</v>
      </c>
      <c r="P1079" s="294">
        <v>27</v>
      </c>
      <c r="Q1079" s="294">
        <v>27</v>
      </c>
      <c r="R1079" s="294"/>
      <c r="S1079" s="294"/>
      <c r="T1079" s="294"/>
      <c r="U1079" s="294"/>
      <c r="V1079" s="431"/>
      <c r="W1079" s="331"/>
      <c r="X1079" s="331"/>
      <c r="Y1079" s="294">
        <f>IF(NFI_Expiration=1,IF($A1079&lt;VLOOKUP(H$5,NFI,5,0),1,0)*Table_NFI[[#This Row],[Hygiene Kit]],Table_NFI[Hygiene Kit])</f>
        <v>0</v>
      </c>
      <c r="Z1079" s="294">
        <f>IF(NFI_Expiration=1,IF($A1079&lt;VLOOKUP(I$5,NFI,5,0),1,0)*Table_NFI[[#This Row],[NFI Core Kit]],Table_NFI[NFI Core Kit])</f>
        <v>0</v>
      </c>
      <c r="AA1079" s="294">
        <f>IF(NFI_Expiration=1,IF($A1079&lt;VLOOKUP(J$5,NFI,5,0),1,0)*Table_NFI[[#This Row],[Sanitary Kit]],Table_NFI[Sanitary Kit])</f>
        <v>0</v>
      </c>
      <c r="AB1079" s="294">
        <f>IF(NFI_Expiration=1,IF($A1079&lt;VLOOKUP(K$5,NFI,5,0),1,0)*Table_NFI[[#This Row],[Mosquito net]],Table_NFI[Mosquito net])</f>
        <v>0</v>
      </c>
      <c r="AC1079" s="294">
        <f>IF(NFI_Expiration=1,IF($A1079&lt;VLOOKUP(L$5,NFI,5,0),1,0)*Table_NFI[[#This Row],[Tarpaulin]],Table_NFI[[#This Row],[Tarpaulin]])</f>
        <v>0</v>
      </c>
      <c r="AD1079" s="294">
        <f>IF(NFI_Expiration=1,IF($A1079&lt;VLOOKUP(M$5,NFI,5,0),1,0)*Table_NFI[[#This Row],[Blanket]],Table_NFI[[#This Row],[Blanket]])</f>
        <v>0</v>
      </c>
      <c r="AE1079" s="294">
        <f>IF(NFI_Expiration=1,IF($A1079&lt;VLOOKUP(N$5,NFI,5,0),1,0)*Table_NFI[[#This Row],[Kitchen Set]],Table_NFI[Kitchen Set])</f>
        <v>0</v>
      </c>
      <c r="AF1079" s="294">
        <f>IF(NFI_Expiration=1,IF($A1079&lt;VLOOKUP(O$5,NFI,5,0),1,0)*Table_NFI[[#This Row],[Clothes Kit]],Table_NFI[Clothes Kit])</f>
        <v>0</v>
      </c>
      <c r="AG1079" s="294">
        <f>IF(NFI_Expiration=1,IF($A1079&lt;VLOOKUP(P$5,NFI,5,0),1,0)*Table_NFI[[#This Row],[Plastic Bucket]],Table_NFI[Plastic Bucket])</f>
        <v>0</v>
      </c>
      <c r="AH1079" s="294">
        <f>IF(NFI_Expiration=1,IF($A1079&lt;VLOOKUP(Q$5,NFI,5,0),1,0)*Table_NFI[[#This Row],[Plastic Mat]],Table_NFI[Plastic Mat])*IF(Table_NFI[[#This Row],[Distribution Date]]&gt;"2014-04-01",1,2.5)</f>
        <v>0</v>
      </c>
      <c r="AI1079" s="294">
        <f>IF(NFI_Expiration=1,IF($A1079&lt;VLOOKUP(R$5,NFI,5,0),1,0)*Table_NFI[[#This Row],[Winter Clothes Adult]],Table_NFI[Winter Clothes Adult])</f>
        <v>0</v>
      </c>
      <c r="AJ1079" s="294">
        <f>IF(NFI_Expiration=1,IF($A1079&lt;VLOOKUP(S$5,NFI,5,0),1,0)*Table_NFI[[#This Row],[Winter Clothes Children]],Table_NFI[Winter Clothes Children])</f>
        <v>0</v>
      </c>
      <c r="AK1079" s="294">
        <f>IF(NFI_Expiration=1,IF($A1079&lt;VLOOKUP(T$5,NFI,5,0),1,0)*Table_NFI[[#This Row],[Winter Items Other]],Table_NFI[Winter Items Other])</f>
        <v>0</v>
      </c>
      <c r="AL1079" s="294">
        <f>IF(NFI_Expiration=1,IF($A1079&lt;VLOOKUP(M$5,NFI,5,0),1,0)*Table_NFI[[#This Row],[Winter Blanket]],Table_NFI[[#This Row],[Winter Blanket]])</f>
        <v>0</v>
      </c>
      <c r="AM1079" s="294">
        <f>IF(Table_NFI[[#This Row],[Winter Clothes Adult]]+Table_NFI[[#This Row],[Winter Clothes Children]]+Table_NFI[[#This Row],[Winter Items Other]]+Table_NFI[[#This Row],[Winter Blanket]]&gt;0,1,0)</f>
        <v>0</v>
      </c>
      <c r="AN1079" s="331">
        <f>IF(NFI_Expiration=1,IF($A1079&lt;VLOOKUP(V$5,NFI,5,0),1,0)*Table_NFI[[#This Row],[Jerry Can]],Table_NFI[Jerry Can])</f>
        <v>0</v>
      </c>
      <c r="AO1079" s="331">
        <f>IF(NFI_Expiration=1,IF($A1079&lt;VLOOKUP(V$5,NFI,5,0),1,0)*Table_NFI[[#This Row],[Shelter Tool kit]],Table_NFI[Shelter Tool kit])</f>
        <v>0</v>
      </c>
      <c r="AP1079" s="331">
        <f>IF(NFI_Expiration=1,IF($A1079&lt;VLOOKUP(V$5,NFI,5,0),1,0)*Table_NFI[[#This Row],[Tent]],Table_NFI[Tent])</f>
        <v>0</v>
      </c>
      <c r="AQ1079" s="473" t="str">
        <f>IFERROR(VLOOKUP(Table_NFI[[#This Row],[Camp Name]],CL,2,0),"")</f>
        <v>MMR001CMP009</v>
      </c>
      <c r="AR1079" s="468">
        <f ca="1">IF(Table_NFI[[#This Row],[Pcode]]="","",IF(OFFSET(CampList[Opening Date],MATCH(Table_NFI[[#This Row],[Pcode]],CampList[CP_Pcode],0)-1,0,1,1)&gt;=NFI_Monitor_Date,1,0))</f>
        <v>0</v>
      </c>
      <c r="AS1079" s="473" t="str">
        <f>IFERROR(VLOOKUP(Table_NFI[[#This Row],[Camp Name]],CL,3,0),"")</f>
        <v>Open</v>
      </c>
      <c r="AT1079" s="294" t="str">
        <f ca="1">IF(Table_NFI[[#This Row],[Pcode]]="","",OFFSET(CampList[Priority],MATCH(Table_NFI[[#This Row],[Pcode]],CampList[CP_Pcode],0)-1,0,1,1))</f>
        <v>P4</v>
      </c>
      <c r="AU1079" s="293">
        <f>IFERROR(Table_NFI[[#This Row],[Kitchen Set]]/VLOOKUP(Table_NFI[[#This Row],[Camp Name]],CL,4,0),"")</f>
        <v>0.36986301369863012</v>
      </c>
      <c r="AV1079" s="466" t="s">
        <v>1092</v>
      </c>
      <c r="AW1079" s="469"/>
    </row>
    <row r="1080" spans="1:49" s="479" customFormat="1" ht="15.75" customHeight="1" x14ac:dyDescent="0.25">
      <c r="A1080" s="297">
        <f t="shared" si="16"/>
        <v>60.333333333333336</v>
      </c>
      <c r="B1080" s="465">
        <v>40865</v>
      </c>
      <c r="C1080" s="466" t="s">
        <v>452</v>
      </c>
      <c r="D1080" s="467" t="s">
        <v>452</v>
      </c>
      <c r="E1080" s="466" t="s">
        <v>380</v>
      </c>
      <c r="F1080" s="290" t="s">
        <v>237</v>
      </c>
      <c r="G1080" s="290" t="s">
        <v>906</v>
      </c>
      <c r="H1080" s="291"/>
      <c r="I1080" s="291"/>
      <c r="J1080" s="291"/>
      <c r="K1080" s="291">
        <v>24</v>
      </c>
      <c r="L1080" s="292">
        <v>3</v>
      </c>
      <c r="M1080" s="292">
        <v>24</v>
      </c>
      <c r="N1080" s="292">
        <v>3</v>
      </c>
      <c r="O1080" s="292">
        <v>3</v>
      </c>
      <c r="P1080" s="294">
        <v>3</v>
      </c>
      <c r="Q1080" s="294">
        <v>3</v>
      </c>
      <c r="R1080" s="294"/>
      <c r="S1080" s="294"/>
      <c r="T1080" s="294"/>
      <c r="U1080" s="294"/>
      <c r="V1080" s="431"/>
      <c r="W1080" s="331"/>
      <c r="X1080" s="331"/>
      <c r="Y1080" s="294">
        <f>IF(NFI_Expiration=1,IF($A1080&lt;VLOOKUP(H$5,NFI,5,0),1,0)*Table_NFI[[#This Row],[Hygiene Kit]],Table_NFI[Hygiene Kit])</f>
        <v>0</v>
      </c>
      <c r="Z1080" s="294">
        <f>IF(NFI_Expiration=1,IF($A1080&lt;VLOOKUP(I$5,NFI,5,0),1,0)*Table_NFI[[#This Row],[NFI Core Kit]],Table_NFI[NFI Core Kit])</f>
        <v>0</v>
      </c>
      <c r="AA1080" s="294">
        <f>IF(NFI_Expiration=1,IF($A1080&lt;VLOOKUP(J$5,NFI,5,0),1,0)*Table_NFI[[#This Row],[Sanitary Kit]],Table_NFI[Sanitary Kit])</f>
        <v>0</v>
      </c>
      <c r="AB1080" s="294">
        <f>IF(NFI_Expiration=1,IF($A1080&lt;VLOOKUP(K$5,NFI,5,0),1,0)*Table_NFI[[#This Row],[Mosquito net]],Table_NFI[Mosquito net])</f>
        <v>0</v>
      </c>
      <c r="AC1080" s="294">
        <f>IF(NFI_Expiration=1,IF($A1080&lt;VLOOKUP(L$5,NFI,5,0),1,0)*Table_NFI[[#This Row],[Tarpaulin]],Table_NFI[[#This Row],[Tarpaulin]])</f>
        <v>0</v>
      </c>
      <c r="AD1080" s="294">
        <f>IF(NFI_Expiration=1,IF($A1080&lt;VLOOKUP(M$5,NFI,5,0),1,0)*Table_NFI[[#This Row],[Blanket]],Table_NFI[[#This Row],[Blanket]])</f>
        <v>0</v>
      </c>
      <c r="AE1080" s="294">
        <f>IF(NFI_Expiration=1,IF($A1080&lt;VLOOKUP(N$5,NFI,5,0),1,0)*Table_NFI[[#This Row],[Kitchen Set]],Table_NFI[Kitchen Set])</f>
        <v>0</v>
      </c>
      <c r="AF1080" s="294">
        <f>IF(NFI_Expiration=1,IF($A1080&lt;VLOOKUP(O$5,NFI,5,0),1,0)*Table_NFI[[#This Row],[Clothes Kit]],Table_NFI[Clothes Kit])</f>
        <v>0</v>
      </c>
      <c r="AG1080" s="294">
        <f>IF(NFI_Expiration=1,IF($A1080&lt;VLOOKUP(P$5,NFI,5,0),1,0)*Table_NFI[[#This Row],[Plastic Bucket]],Table_NFI[Plastic Bucket])</f>
        <v>0</v>
      </c>
      <c r="AH1080" s="294">
        <f>IF(NFI_Expiration=1,IF($A1080&lt;VLOOKUP(Q$5,NFI,5,0),1,0)*Table_NFI[[#This Row],[Plastic Mat]],Table_NFI[Plastic Mat])*IF(Table_NFI[[#This Row],[Distribution Date]]&gt;"2014-04-01",1,2.5)</f>
        <v>0</v>
      </c>
      <c r="AI1080" s="294">
        <f>IF(NFI_Expiration=1,IF($A1080&lt;VLOOKUP(R$5,NFI,5,0),1,0)*Table_NFI[[#This Row],[Winter Clothes Adult]],Table_NFI[Winter Clothes Adult])</f>
        <v>0</v>
      </c>
      <c r="AJ1080" s="294">
        <f>IF(NFI_Expiration=1,IF($A1080&lt;VLOOKUP(S$5,NFI,5,0),1,0)*Table_NFI[[#This Row],[Winter Clothes Children]],Table_NFI[Winter Clothes Children])</f>
        <v>0</v>
      </c>
      <c r="AK1080" s="294">
        <f>IF(NFI_Expiration=1,IF($A1080&lt;VLOOKUP(T$5,NFI,5,0),1,0)*Table_NFI[[#This Row],[Winter Items Other]],Table_NFI[Winter Items Other])</f>
        <v>0</v>
      </c>
      <c r="AL1080" s="294">
        <f>IF(NFI_Expiration=1,IF($A1080&lt;VLOOKUP(M$5,NFI,5,0),1,0)*Table_NFI[[#This Row],[Winter Blanket]],Table_NFI[[#This Row],[Winter Blanket]])</f>
        <v>0</v>
      </c>
      <c r="AM1080" s="294">
        <f>IF(Table_NFI[[#This Row],[Winter Clothes Adult]]+Table_NFI[[#This Row],[Winter Clothes Children]]+Table_NFI[[#This Row],[Winter Items Other]]+Table_NFI[[#This Row],[Winter Blanket]]&gt;0,1,0)</f>
        <v>0</v>
      </c>
      <c r="AN1080" s="331">
        <f>IF(NFI_Expiration=1,IF($A1080&lt;VLOOKUP(V$5,NFI,5,0),1,0)*Table_NFI[[#This Row],[Jerry Can]],Table_NFI[Jerry Can])</f>
        <v>0</v>
      </c>
      <c r="AO1080" s="331">
        <f>IF(NFI_Expiration=1,IF($A1080&lt;VLOOKUP(V$5,NFI,5,0),1,0)*Table_NFI[[#This Row],[Shelter Tool kit]],Table_NFI[Shelter Tool kit])</f>
        <v>0</v>
      </c>
      <c r="AP1080" s="331">
        <f>IF(NFI_Expiration=1,IF($A1080&lt;VLOOKUP(V$5,NFI,5,0),1,0)*Table_NFI[[#This Row],[Tent]],Table_NFI[Tent])</f>
        <v>0</v>
      </c>
      <c r="AQ1080" s="473" t="str">
        <f>IFERROR(VLOOKUP(Table_NFI[[#This Row],[Camp Name]],CL,2,0),"")</f>
        <v/>
      </c>
      <c r="AR1080" s="468" t="str">
        <f ca="1">IF(Table_NFI[[#This Row],[Pcode]]="","",IF(OFFSET(CampList[Opening Date],MATCH(Table_NFI[[#This Row],[Pcode]],CampList[CP_Pcode],0)-1,0,1,1)&gt;=NFI_Monitor_Date,1,0))</f>
        <v/>
      </c>
      <c r="AS1080" s="473" t="str">
        <f>IFERROR(VLOOKUP(Table_NFI[[#This Row],[Camp Name]],CL,3,0),"")</f>
        <v/>
      </c>
      <c r="AT1080" s="294" t="str">
        <f ca="1">IF(Table_NFI[[#This Row],[Pcode]]="","",OFFSET(CampList[Priority],MATCH(Table_NFI[[#This Row],[Pcode]],CampList[CP_Pcode],0)-1,0,1,1))</f>
        <v/>
      </c>
      <c r="AU1080" s="293" t="str">
        <f>IFERROR(Table_NFI[[#This Row],[Kitchen Set]]/VLOOKUP(Table_NFI[[#This Row],[Camp Name]],CL,4,0),"")</f>
        <v/>
      </c>
      <c r="AV1080" s="466" t="s">
        <v>1092</v>
      </c>
      <c r="AW1080" s="469"/>
    </row>
    <row r="1081" spans="1:49" s="479" customFormat="1" ht="15.75" customHeight="1" x14ac:dyDescent="0.25">
      <c r="A1081" s="297">
        <f t="shared" si="16"/>
        <v>60.333333333333336</v>
      </c>
      <c r="B1081" s="465">
        <v>40865</v>
      </c>
      <c r="C1081" s="466" t="s">
        <v>452</v>
      </c>
      <c r="D1081" s="467" t="s">
        <v>452</v>
      </c>
      <c r="E1081" s="466" t="s">
        <v>380</v>
      </c>
      <c r="F1081" s="290" t="s">
        <v>237</v>
      </c>
      <c r="G1081" s="290" t="s">
        <v>283</v>
      </c>
      <c r="H1081" s="291"/>
      <c r="I1081" s="291"/>
      <c r="J1081" s="291"/>
      <c r="K1081" s="291">
        <v>175</v>
      </c>
      <c r="L1081" s="292">
        <v>0</v>
      </c>
      <c r="M1081" s="292">
        <v>175</v>
      </c>
      <c r="N1081" s="292">
        <v>0</v>
      </c>
      <c r="O1081" s="292">
        <v>0</v>
      </c>
      <c r="P1081" s="294"/>
      <c r="Q1081" s="294"/>
      <c r="R1081" s="294"/>
      <c r="S1081" s="294"/>
      <c r="T1081" s="294"/>
      <c r="U1081" s="294"/>
      <c r="V1081" s="431"/>
      <c r="W1081" s="331"/>
      <c r="X1081" s="331"/>
      <c r="Y1081" s="294">
        <f>IF(NFI_Expiration=1,IF($A1081&lt;VLOOKUP(H$5,NFI,5,0),1,0)*Table_NFI[[#This Row],[Hygiene Kit]],Table_NFI[Hygiene Kit])</f>
        <v>0</v>
      </c>
      <c r="Z1081" s="294">
        <f>IF(NFI_Expiration=1,IF($A1081&lt;VLOOKUP(I$5,NFI,5,0),1,0)*Table_NFI[[#This Row],[NFI Core Kit]],Table_NFI[NFI Core Kit])</f>
        <v>0</v>
      </c>
      <c r="AA1081" s="294">
        <f>IF(NFI_Expiration=1,IF($A1081&lt;VLOOKUP(J$5,NFI,5,0),1,0)*Table_NFI[[#This Row],[Sanitary Kit]],Table_NFI[Sanitary Kit])</f>
        <v>0</v>
      </c>
      <c r="AB1081" s="294">
        <f>IF(NFI_Expiration=1,IF($A1081&lt;VLOOKUP(K$5,NFI,5,0),1,0)*Table_NFI[[#This Row],[Mosquito net]],Table_NFI[Mosquito net])</f>
        <v>0</v>
      </c>
      <c r="AC1081" s="294">
        <f>IF(NFI_Expiration=1,IF($A1081&lt;VLOOKUP(L$5,NFI,5,0),1,0)*Table_NFI[[#This Row],[Tarpaulin]],Table_NFI[[#This Row],[Tarpaulin]])</f>
        <v>0</v>
      </c>
      <c r="AD1081" s="294">
        <f>IF(NFI_Expiration=1,IF($A1081&lt;VLOOKUP(M$5,NFI,5,0),1,0)*Table_NFI[[#This Row],[Blanket]],Table_NFI[[#This Row],[Blanket]])</f>
        <v>0</v>
      </c>
      <c r="AE1081" s="294">
        <f>IF(NFI_Expiration=1,IF($A1081&lt;VLOOKUP(N$5,NFI,5,0),1,0)*Table_NFI[[#This Row],[Kitchen Set]],Table_NFI[Kitchen Set])</f>
        <v>0</v>
      </c>
      <c r="AF1081" s="294">
        <f>IF(NFI_Expiration=1,IF($A1081&lt;VLOOKUP(O$5,NFI,5,0),1,0)*Table_NFI[[#This Row],[Clothes Kit]],Table_NFI[Clothes Kit])</f>
        <v>0</v>
      </c>
      <c r="AG1081" s="294">
        <f>IF(NFI_Expiration=1,IF($A1081&lt;VLOOKUP(P$5,NFI,5,0),1,0)*Table_NFI[[#This Row],[Plastic Bucket]],Table_NFI[Plastic Bucket])</f>
        <v>0</v>
      </c>
      <c r="AH1081" s="294">
        <f>IF(NFI_Expiration=1,IF($A1081&lt;VLOOKUP(Q$5,NFI,5,0),1,0)*Table_NFI[[#This Row],[Plastic Mat]],Table_NFI[Plastic Mat])*IF(Table_NFI[[#This Row],[Distribution Date]]&gt;"2014-04-01",1,2.5)</f>
        <v>0</v>
      </c>
      <c r="AI1081" s="294">
        <f>IF(NFI_Expiration=1,IF($A1081&lt;VLOOKUP(R$5,NFI,5,0),1,0)*Table_NFI[[#This Row],[Winter Clothes Adult]],Table_NFI[Winter Clothes Adult])</f>
        <v>0</v>
      </c>
      <c r="AJ1081" s="294">
        <f>IF(NFI_Expiration=1,IF($A1081&lt;VLOOKUP(S$5,NFI,5,0),1,0)*Table_NFI[[#This Row],[Winter Clothes Children]],Table_NFI[Winter Clothes Children])</f>
        <v>0</v>
      </c>
      <c r="AK1081" s="294">
        <f>IF(NFI_Expiration=1,IF($A1081&lt;VLOOKUP(T$5,NFI,5,0),1,0)*Table_NFI[[#This Row],[Winter Items Other]],Table_NFI[Winter Items Other])</f>
        <v>0</v>
      </c>
      <c r="AL1081" s="294">
        <f>IF(NFI_Expiration=1,IF($A1081&lt;VLOOKUP(M$5,NFI,5,0),1,0)*Table_NFI[[#This Row],[Winter Blanket]],Table_NFI[[#This Row],[Winter Blanket]])</f>
        <v>0</v>
      </c>
      <c r="AM1081" s="294">
        <f>IF(Table_NFI[[#This Row],[Winter Clothes Adult]]+Table_NFI[[#This Row],[Winter Clothes Children]]+Table_NFI[[#This Row],[Winter Items Other]]+Table_NFI[[#This Row],[Winter Blanket]]&gt;0,1,0)</f>
        <v>0</v>
      </c>
      <c r="AN1081" s="331">
        <f>IF(NFI_Expiration=1,IF($A1081&lt;VLOOKUP(V$5,NFI,5,0),1,0)*Table_NFI[[#This Row],[Jerry Can]],Table_NFI[Jerry Can])</f>
        <v>0</v>
      </c>
      <c r="AO1081" s="331">
        <f>IF(NFI_Expiration=1,IF($A1081&lt;VLOOKUP(V$5,NFI,5,0),1,0)*Table_NFI[[#This Row],[Shelter Tool kit]],Table_NFI[Shelter Tool kit])</f>
        <v>0</v>
      </c>
      <c r="AP1081" s="331">
        <f>IF(NFI_Expiration=1,IF($A1081&lt;VLOOKUP(V$5,NFI,5,0),1,0)*Table_NFI[[#This Row],[Tent]],Table_NFI[Tent])</f>
        <v>0</v>
      </c>
      <c r="AQ1081" s="473" t="str">
        <f>IFERROR(VLOOKUP(Table_NFI[[#This Row],[Camp Name]],CL,2,0),"")</f>
        <v>MMR001CMP022</v>
      </c>
      <c r="AR1081" s="468">
        <f ca="1">IF(Table_NFI[[#This Row],[Pcode]]="","",IF(OFFSET(CampList[Opening Date],MATCH(Table_NFI[[#This Row],[Pcode]],CampList[CP_Pcode],0)-1,0,1,1)&gt;=NFI_Monitor_Date,1,0))</f>
        <v>0</v>
      </c>
      <c r="AS1081" s="473" t="str">
        <f>IFERROR(VLOOKUP(Table_NFI[[#This Row],[Camp Name]],CL,3,0),"")</f>
        <v>Open</v>
      </c>
      <c r="AT1081" s="294" t="str">
        <f ca="1">IF(Table_NFI[[#This Row],[Pcode]]="","",OFFSET(CampList[Priority],MATCH(Table_NFI[[#This Row],[Pcode]],CampList[CP_Pcode],0)-1,0,1,1))</f>
        <v>P4</v>
      </c>
      <c r="AU1081" s="293">
        <f>IFERROR(Table_NFI[[#This Row],[Kitchen Set]]/VLOOKUP(Table_NFI[[#This Row],[Camp Name]],CL,4,0),"")</f>
        <v>0</v>
      </c>
      <c r="AV1081" s="466" t="s">
        <v>1092</v>
      </c>
      <c r="AW1081" s="469"/>
    </row>
    <row r="1082" spans="1:49" s="479" customFormat="1" ht="14.45" customHeight="1" x14ac:dyDescent="0.25">
      <c r="A1082" s="297">
        <f t="shared" si="16"/>
        <v>60.4</v>
      </c>
      <c r="B1082" s="465">
        <v>40863</v>
      </c>
      <c r="C1082" s="466" t="s">
        <v>452</v>
      </c>
      <c r="D1082" s="467" t="s">
        <v>460</v>
      </c>
      <c r="E1082" s="466" t="s">
        <v>380</v>
      </c>
      <c r="F1082" s="290" t="s">
        <v>237</v>
      </c>
      <c r="G1082" s="290" t="s">
        <v>269</v>
      </c>
      <c r="H1082" s="291"/>
      <c r="I1082" s="291"/>
      <c r="J1082" s="291"/>
      <c r="K1082" s="291">
        <v>92</v>
      </c>
      <c r="L1082" s="292">
        <v>53</v>
      </c>
      <c r="M1082" s="292">
        <v>92</v>
      </c>
      <c r="N1082" s="292">
        <v>53</v>
      </c>
      <c r="O1082" s="292">
        <v>53</v>
      </c>
      <c r="P1082" s="294">
        <v>53</v>
      </c>
      <c r="Q1082" s="294">
        <v>53</v>
      </c>
      <c r="R1082" s="294"/>
      <c r="S1082" s="294"/>
      <c r="T1082" s="294"/>
      <c r="U1082" s="294"/>
      <c r="V1082" s="431"/>
      <c r="W1082" s="331"/>
      <c r="X1082" s="331"/>
      <c r="Y1082" s="294">
        <f>IF(NFI_Expiration=1,IF($A1082&lt;VLOOKUP(H$5,NFI,5,0),1,0)*Table_NFI[[#This Row],[Hygiene Kit]],Table_NFI[Hygiene Kit])</f>
        <v>0</v>
      </c>
      <c r="Z1082" s="294">
        <f>IF(NFI_Expiration=1,IF($A1082&lt;VLOOKUP(I$5,NFI,5,0),1,0)*Table_NFI[[#This Row],[NFI Core Kit]],Table_NFI[NFI Core Kit])</f>
        <v>0</v>
      </c>
      <c r="AA1082" s="294">
        <f>IF(NFI_Expiration=1,IF($A1082&lt;VLOOKUP(J$5,NFI,5,0),1,0)*Table_NFI[[#This Row],[Sanitary Kit]],Table_NFI[Sanitary Kit])</f>
        <v>0</v>
      </c>
      <c r="AB1082" s="294">
        <f>IF(NFI_Expiration=1,IF($A1082&lt;VLOOKUP(K$5,NFI,5,0),1,0)*Table_NFI[[#This Row],[Mosquito net]],Table_NFI[Mosquito net])</f>
        <v>0</v>
      </c>
      <c r="AC1082" s="294">
        <f>IF(NFI_Expiration=1,IF($A1082&lt;VLOOKUP(L$5,NFI,5,0),1,0)*Table_NFI[[#This Row],[Tarpaulin]],Table_NFI[[#This Row],[Tarpaulin]])</f>
        <v>0</v>
      </c>
      <c r="AD1082" s="294">
        <f>IF(NFI_Expiration=1,IF($A1082&lt;VLOOKUP(M$5,NFI,5,0),1,0)*Table_NFI[[#This Row],[Blanket]],Table_NFI[[#This Row],[Blanket]])</f>
        <v>0</v>
      </c>
      <c r="AE1082" s="294">
        <f>IF(NFI_Expiration=1,IF($A1082&lt;VLOOKUP(N$5,NFI,5,0),1,0)*Table_NFI[[#This Row],[Kitchen Set]],Table_NFI[Kitchen Set])</f>
        <v>0</v>
      </c>
      <c r="AF1082" s="294">
        <f>IF(NFI_Expiration=1,IF($A1082&lt;VLOOKUP(O$5,NFI,5,0),1,0)*Table_NFI[[#This Row],[Clothes Kit]],Table_NFI[Clothes Kit])</f>
        <v>0</v>
      </c>
      <c r="AG1082" s="294">
        <f>IF(NFI_Expiration=1,IF($A1082&lt;VLOOKUP(P$5,NFI,5,0),1,0)*Table_NFI[[#This Row],[Plastic Bucket]],Table_NFI[Plastic Bucket])</f>
        <v>0</v>
      </c>
      <c r="AH1082" s="294">
        <f>IF(NFI_Expiration=1,IF($A1082&lt;VLOOKUP(Q$5,NFI,5,0),1,0)*Table_NFI[[#This Row],[Plastic Mat]],Table_NFI[Plastic Mat])*IF(Table_NFI[[#This Row],[Distribution Date]]&gt;"2014-04-01",1,2.5)</f>
        <v>0</v>
      </c>
      <c r="AI1082" s="294">
        <f>IF(NFI_Expiration=1,IF($A1082&lt;VLOOKUP(R$5,NFI,5,0),1,0)*Table_NFI[[#This Row],[Winter Clothes Adult]],Table_NFI[Winter Clothes Adult])</f>
        <v>0</v>
      </c>
      <c r="AJ1082" s="294">
        <f>IF(NFI_Expiration=1,IF($A1082&lt;VLOOKUP(S$5,NFI,5,0),1,0)*Table_NFI[[#This Row],[Winter Clothes Children]],Table_NFI[Winter Clothes Children])</f>
        <v>0</v>
      </c>
      <c r="AK1082" s="294">
        <f>IF(NFI_Expiration=1,IF($A1082&lt;VLOOKUP(T$5,NFI,5,0),1,0)*Table_NFI[[#This Row],[Winter Items Other]],Table_NFI[Winter Items Other])</f>
        <v>0</v>
      </c>
      <c r="AL1082" s="294">
        <f>IF(NFI_Expiration=1,IF($A1082&lt;VLOOKUP(M$5,NFI,5,0),1,0)*Table_NFI[[#This Row],[Winter Blanket]],Table_NFI[[#This Row],[Winter Blanket]])</f>
        <v>0</v>
      </c>
      <c r="AM1082" s="294">
        <f>IF(Table_NFI[[#This Row],[Winter Clothes Adult]]+Table_NFI[[#This Row],[Winter Clothes Children]]+Table_NFI[[#This Row],[Winter Items Other]]+Table_NFI[[#This Row],[Winter Blanket]]&gt;0,1,0)</f>
        <v>0</v>
      </c>
      <c r="AN1082" s="331">
        <f>IF(NFI_Expiration=1,IF($A1082&lt;VLOOKUP(V$5,NFI,5,0),1,0)*Table_NFI[[#This Row],[Jerry Can]],Table_NFI[Jerry Can])</f>
        <v>0</v>
      </c>
      <c r="AO1082" s="331">
        <f>IF(NFI_Expiration=1,IF($A1082&lt;VLOOKUP(V$5,NFI,5,0),1,0)*Table_NFI[[#This Row],[Shelter Tool kit]],Table_NFI[Shelter Tool kit])</f>
        <v>0</v>
      </c>
      <c r="AP1082" s="331">
        <f>IF(NFI_Expiration=1,IF($A1082&lt;VLOOKUP(V$5,NFI,5,0),1,0)*Table_NFI[[#This Row],[Tent]],Table_NFI[Tent])</f>
        <v>0</v>
      </c>
      <c r="AQ1082" s="473" t="str">
        <f>IFERROR(VLOOKUP(Table_NFI[[#This Row],[Camp Name]],CL,2,0),"")</f>
        <v>MMR001CMP002</v>
      </c>
      <c r="AR1082" s="468">
        <f ca="1">IF(Table_NFI[[#This Row],[Pcode]]="","",IF(OFFSET(CampList[Opening Date],MATCH(Table_NFI[[#This Row],[Pcode]],CampList[CP_Pcode],0)-1,0,1,1)&gt;=NFI_Monitor_Date,1,0))</f>
        <v>0</v>
      </c>
      <c r="AS1082" s="473" t="str">
        <f>IFERROR(VLOOKUP(Table_NFI[[#This Row],[Camp Name]],CL,3,0),"")</f>
        <v>Open</v>
      </c>
      <c r="AT1082" s="294" t="str">
        <f ca="1">IF(Table_NFI[[#This Row],[Pcode]]="","",OFFSET(CampList[Priority],MATCH(Table_NFI[[#This Row],[Pcode]],CampList[CP_Pcode],0)-1,0,1,1))</f>
        <v>P4</v>
      </c>
      <c r="AU1082" s="293">
        <f>IFERROR(Table_NFI[[#This Row],[Kitchen Set]]/VLOOKUP(Table_NFI[[#This Row],[Camp Name]],CL,4,0),"")</f>
        <v>0.85483870967741937</v>
      </c>
      <c r="AV1082" s="466" t="s">
        <v>1092</v>
      </c>
      <c r="AW1082" s="469"/>
    </row>
    <row r="1083" spans="1:49" s="479" customFormat="1" ht="15.75" customHeight="1" x14ac:dyDescent="0.25">
      <c r="A1083" s="297">
        <f t="shared" si="16"/>
        <v>60.4</v>
      </c>
      <c r="B1083" s="465">
        <v>40863</v>
      </c>
      <c r="C1083" s="466" t="s">
        <v>452</v>
      </c>
      <c r="D1083" s="467" t="s">
        <v>460</v>
      </c>
      <c r="E1083" s="466" t="s">
        <v>380</v>
      </c>
      <c r="F1083" s="290" t="s">
        <v>237</v>
      </c>
      <c r="G1083" s="290" t="s">
        <v>281</v>
      </c>
      <c r="H1083" s="291"/>
      <c r="I1083" s="291"/>
      <c r="J1083" s="291"/>
      <c r="K1083" s="291">
        <v>63</v>
      </c>
      <c r="L1083" s="292">
        <v>30</v>
      </c>
      <c r="M1083" s="292">
        <v>63</v>
      </c>
      <c r="N1083" s="292">
        <v>30</v>
      </c>
      <c r="O1083" s="292">
        <v>30</v>
      </c>
      <c r="P1083" s="294">
        <v>30</v>
      </c>
      <c r="Q1083" s="294">
        <v>30</v>
      </c>
      <c r="R1083" s="294"/>
      <c r="S1083" s="294"/>
      <c r="T1083" s="294"/>
      <c r="U1083" s="294"/>
      <c r="V1083" s="431"/>
      <c r="W1083" s="331"/>
      <c r="X1083" s="331"/>
      <c r="Y1083" s="294">
        <f>IF(NFI_Expiration=1,IF($A1083&lt;VLOOKUP(H$5,NFI,5,0),1,0)*Table_NFI[[#This Row],[Hygiene Kit]],Table_NFI[Hygiene Kit])</f>
        <v>0</v>
      </c>
      <c r="Z1083" s="294">
        <f>IF(NFI_Expiration=1,IF($A1083&lt;VLOOKUP(I$5,NFI,5,0),1,0)*Table_NFI[[#This Row],[NFI Core Kit]],Table_NFI[NFI Core Kit])</f>
        <v>0</v>
      </c>
      <c r="AA1083" s="294">
        <f>IF(NFI_Expiration=1,IF($A1083&lt;VLOOKUP(J$5,NFI,5,0),1,0)*Table_NFI[[#This Row],[Sanitary Kit]],Table_NFI[Sanitary Kit])</f>
        <v>0</v>
      </c>
      <c r="AB1083" s="294">
        <f>IF(NFI_Expiration=1,IF($A1083&lt;VLOOKUP(K$5,NFI,5,0),1,0)*Table_NFI[[#This Row],[Mosquito net]],Table_NFI[Mosquito net])</f>
        <v>0</v>
      </c>
      <c r="AC1083" s="294">
        <f>IF(NFI_Expiration=1,IF($A1083&lt;VLOOKUP(L$5,NFI,5,0),1,0)*Table_NFI[[#This Row],[Tarpaulin]],Table_NFI[[#This Row],[Tarpaulin]])</f>
        <v>0</v>
      </c>
      <c r="AD1083" s="294">
        <f>IF(NFI_Expiration=1,IF($A1083&lt;VLOOKUP(M$5,NFI,5,0),1,0)*Table_NFI[[#This Row],[Blanket]],Table_NFI[[#This Row],[Blanket]])</f>
        <v>0</v>
      </c>
      <c r="AE1083" s="294">
        <f>IF(NFI_Expiration=1,IF($A1083&lt;VLOOKUP(N$5,NFI,5,0),1,0)*Table_NFI[[#This Row],[Kitchen Set]],Table_NFI[Kitchen Set])</f>
        <v>0</v>
      </c>
      <c r="AF1083" s="294">
        <f>IF(NFI_Expiration=1,IF($A1083&lt;VLOOKUP(O$5,NFI,5,0),1,0)*Table_NFI[[#This Row],[Clothes Kit]],Table_NFI[Clothes Kit])</f>
        <v>0</v>
      </c>
      <c r="AG1083" s="294">
        <f>IF(NFI_Expiration=1,IF($A1083&lt;VLOOKUP(P$5,NFI,5,0),1,0)*Table_NFI[[#This Row],[Plastic Bucket]],Table_NFI[Plastic Bucket])</f>
        <v>0</v>
      </c>
      <c r="AH1083" s="294">
        <f>IF(NFI_Expiration=1,IF($A1083&lt;VLOOKUP(Q$5,NFI,5,0),1,0)*Table_NFI[[#This Row],[Plastic Mat]],Table_NFI[Plastic Mat])*IF(Table_NFI[[#This Row],[Distribution Date]]&gt;"2014-04-01",1,2.5)</f>
        <v>0</v>
      </c>
      <c r="AI1083" s="294">
        <f>IF(NFI_Expiration=1,IF($A1083&lt;VLOOKUP(R$5,NFI,5,0),1,0)*Table_NFI[[#This Row],[Winter Clothes Adult]],Table_NFI[Winter Clothes Adult])</f>
        <v>0</v>
      </c>
      <c r="AJ1083" s="294">
        <f>IF(NFI_Expiration=1,IF($A1083&lt;VLOOKUP(S$5,NFI,5,0),1,0)*Table_NFI[[#This Row],[Winter Clothes Children]],Table_NFI[Winter Clothes Children])</f>
        <v>0</v>
      </c>
      <c r="AK1083" s="294">
        <f>IF(NFI_Expiration=1,IF($A1083&lt;VLOOKUP(T$5,NFI,5,0),1,0)*Table_NFI[[#This Row],[Winter Items Other]],Table_NFI[Winter Items Other])</f>
        <v>0</v>
      </c>
      <c r="AL1083" s="294">
        <f>IF(NFI_Expiration=1,IF($A1083&lt;VLOOKUP(M$5,NFI,5,0),1,0)*Table_NFI[[#This Row],[Winter Blanket]],Table_NFI[[#This Row],[Winter Blanket]])</f>
        <v>0</v>
      </c>
      <c r="AM1083" s="294">
        <f>IF(Table_NFI[[#This Row],[Winter Clothes Adult]]+Table_NFI[[#This Row],[Winter Clothes Children]]+Table_NFI[[#This Row],[Winter Items Other]]+Table_NFI[[#This Row],[Winter Blanket]]&gt;0,1,0)</f>
        <v>0</v>
      </c>
      <c r="AN1083" s="331">
        <f>IF(NFI_Expiration=1,IF($A1083&lt;VLOOKUP(V$5,NFI,5,0),1,0)*Table_NFI[[#This Row],[Jerry Can]],Table_NFI[Jerry Can])</f>
        <v>0</v>
      </c>
      <c r="AO1083" s="331">
        <f>IF(NFI_Expiration=1,IF($A1083&lt;VLOOKUP(V$5,NFI,5,0),1,0)*Table_NFI[[#This Row],[Shelter Tool kit]],Table_NFI[Shelter Tool kit])</f>
        <v>0</v>
      </c>
      <c r="AP1083" s="331">
        <f>IF(NFI_Expiration=1,IF($A1083&lt;VLOOKUP(V$5,NFI,5,0),1,0)*Table_NFI[[#This Row],[Tent]],Table_NFI[Tent])</f>
        <v>0</v>
      </c>
      <c r="AQ1083" s="473" t="str">
        <f>IFERROR(VLOOKUP(Table_NFI[[#This Row],[Camp Name]],CL,2,0),"")</f>
        <v>MMR001CMP009</v>
      </c>
      <c r="AR1083" s="468">
        <f ca="1">IF(Table_NFI[[#This Row],[Pcode]]="","",IF(OFFSET(CampList[Opening Date],MATCH(Table_NFI[[#This Row],[Pcode]],CampList[CP_Pcode],0)-1,0,1,1)&gt;=NFI_Monitor_Date,1,0))</f>
        <v>0</v>
      </c>
      <c r="AS1083" s="473" t="str">
        <f>IFERROR(VLOOKUP(Table_NFI[[#This Row],[Camp Name]],CL,3,0),"")</f>
        <v>Open</v>
      </c>
      <c r="AT1083" s="294" t="str">
        <f ca="1">IF(Table_NFI[[#This Row],[Pcode]]="","",OFFSET(CampList[Priority],MATCH(Table_NFI[[#This Row],[Pcode]],CampList[CP_Pcode],0)-1,0,1,1))</f>
        <v>P4</v>
      </c>
      <c r="AU1083" s="293">
        <f>IFERROR(Table_NFI[[#This Row],[Kitchen Set]]/VLOOKUP(Table_NFI[[#This Row],[Camp Name]],CL,4,0),"")</f>
        <v>0.41095890410958902</v>
      </c>
      <c r="AV1083" s="466" t="s">
        <v>1092</v>
      </c>
      <c r="AW1083" s="469"/>
    </row>
    <row r="1084" spans="1:49" s="479" customFormat="1" ht="15.75" customHeight="1" x14ac:dyDescent="0.25">
      <c r="A1084" s="297">
        <f t="shared" si="16"/>
        <v>60.4</v>
      </c>
      <c r="B1084" s="465">
        <v>40863</v>
      </c>
      <c r="C1084" s="466" t="s">
        <v>452</v>
      </c>
      <c r="D1084" s="466" t="s">
        <v>460</v>
      </c>
      <c r="E1084" s="466" t="s">
        <v>380</v>
      </c>
      <c r="F1084" s="290" t="s">
        <v>237</v>
      </c>
      <c r="G1084" s="290" t="s">
        <v>251</v>
      </c>
      <c r="H1084" s="291"/>
      <c r="I1084" s="291"/>
      <c r="J1084" s="291"/>
      <c r="K1084" s="291">
        <v>53</v>
      </c>
      <c r="L1084" s="292">
        <v>31</v>
      </c>
      <c r="M1084" s="292">
        <v>53</v>
      </c>
      <c r="N1084" s="292">
        <v>31</v>
      </c>
      <c r="O1084" s="292">
        <v>31</v>
      </c>
      <c r="P1084" s="294">
        <v>31</v>
      </c>
      <c r="Q1084" s="294">
        <v>31</v>
      </c>
      <c r="R1084" s="294"/>
      <c r="S1084" s="294"/>
      <c r="T1084" s="294"/>
      <c r="U1084" s="294"/>
      <c r="V1084" s="431"/>
      <c r="W1084" s="331"/>
      <c r="X1084" s="331"/>
      <c r="Y1084" s="294">
        <f>IF(NFI_Expiration=1,IF($A1084&lt;VLOOKUP(H$5,NFI,5,0),1,0)*Table_NFI[[#This Row],[Hygiene Kit]],Table_NFI[Hygiene Kit])</f>
        <v>0</v>
      </c>
      <c r="Z1084" s="294">
        <f>IF(NFI_Expiration=1,IF($A1084&lt;VLOOKUP(I$5,NFI,5,0),1,0)*Table_NFI[[#This Row],[NFI Core Kit]],Table_NFI[NFI Core Kit])</f>
        <v>0</v>
      </c>
      <c r="AA1084" s="294">
        <f>IF(NFI_Expiration=1,IF($A1084&lt;VLOOKUP(J$5,NFI,5,0),1,0)*Table_NFI[[#This Row],[Sanitary Kit]],Table_NFI[Sanitary Kit])</f>
        <v>0</v>
      </c>
      <c r="AB1084" s="294">
        <f>IF(NFI_Expiration=1,IF($A1084&lt;VLOOKUP(K$5,NFI,5,0),1,0)*Table_NFI[[#This Row],[Mosquito net]],Table_NFI[Mosquito net])</f>
        <v>0</v>
      </c>
      <c r="AC1084" s="294">
        <f>IF(NFI_Expiration=1,IF($A1084&lt;VLOOKUP(L$5,NFI,5,0),1,0)*Table_NFI[[#This Row],[Tarpaulin]],Table_NFI[[#This Row],[Tarpaulin]])</f>
        <v>0</v>
      </c>
      <c r="AD1084" s="294">
        <f>IF(NFI_Expiration=1,IF($A1084&lt;VLOOKUP(M$5,NFI,5,0),1,0)*Table_NFI[[#This Row],[Blanket]],Table_NFI[[#This Row],[Blanket]])</f>
        <v>0</v>
      </c>
      <c r="AE1084" s="294">
        <f>IF(NFI_Expiration=1,IF($A1084&lt;VLOOKUP(N$5,NFI,5,0),1,0)*Table_NFI[[#This Row],[Kitchen Set]],Table_NFI[Kitchen Set])</f>
        <v>0</v>
      </c>
      <c r="AF1084" s="294">
        <f>IF(NFI_Expiration=1,IF($A1084&lt;VLOOKUP(O$5,NFI,5,0),1,0)*Table_NFI[[#This Row],[Clothes Kit]],Table_NFI[Clothes Kit])</f>
        <v>0</v>
      </c>
      <c r="AG1084" s="294">
        <f>IF(NFI_Expiration=1,IF($A1084&lt;VLOOKUP(P$5,NFI,5,0),1,0)*Table_NFI[[#This Row],[Plastic Bucket]],Table_NFI[Plastic Bucket])</f>
        <v>0</v>
      </c>
      <c r="AH1084" s="294">
        <f>IF(NFI_Expiration=1,IF($A1084&lt;VLOOKUP(Q$5,NFI,5,0),1,0)*Table_NFI[[#This Row],[Plastic Mat]],Table_NFI[Plastic Mat])*IF(Table_NFI[[#This Row],[Distribution Date]]&gt;"2014-04-01",1,2.5)</f>
        <v>0</v>
      </c>
      <c r="AI1084" s="294">
        <f>IF(NFI_Expiration=1,IF($A1084&lt;VLOOKUP(R$5,NFI,5,0),1,0)*Table_NFI[[#This Row],[Winter Clothes Adult]],Table_NFI[Winter Clothes Adult])</f>
        <v>0</v>
      </c>
      <c r="AJ1084" s="294">
        <f>IF(NFI_Expiration=1,IF($A1084&lt;VLOOKUP(S$5,NFI,5,0),1,0)*Table_NFI[[#This Row],[Winter Clothes Children]],Table_NFI[Winter Clothes Children])</f>
        <v>0</v>
      </c>
      <c r="AK1084" s="294">
        <f>IF(NFI_Expiration=1,IF($A1084&lt;VLOOKUP(T$5,NFI,5,0),1,0)*Table_NFI[[#This Row],[Winter Items Other]],Table_NFI[Winter Items Other])</f>
        <v>0</v>
      </c>
      <c r="AL1084" s="294">
        <f>IF(NFI_Expiration=1,IF($A1084&lt;VLOOKUP(M$5,NFI,5,0),1,0)*Table_NFI[[#This Row],[Winter Blanket]],Table_NFI[[#This Row],[Winter Blanket]])</f>
        <v>0</v>
      </c>
      <c r="AM1084" s="294">
        <f>IF(Table_NFI[[#This Row],[Winter Clothes Adult]]+Table_NFI[[#This Row],[Winter Clothes Children]]+Table_NFI[[#This Row],[Winter Items Other]]+Table_NFI[[#This Row],[Winter Blanket]]&gt;0,1,0)</f>
        <v>0</v>
      </c>
      <c r="AN1084" s="331">
        <f>IF(NFI_Expiration=1,IF($A1084&lt;VLOOKUP(V$5,NFI,5,0),1,0)*Table_NFI[[#This Row],[Jerry Can]],Table_NFI[Jerry Can])</f>
        <v>0</v>
      </c>
      <c r="AO1084" s="331">
        <f>IF(NFI_Expiration=1,IF($A1084&lt;VLOOKUP(V$5,NFI,5,0),1,0)*Table_NFI[[#This Row],[Shelter Tool kit]],Table_NFI[Shelter Tool kit])</f>
        <v>0</v>
      </c>
      <c r="AP1084" s="331">
        <f>IF(NFI_Expiration=1,IF($A1084&lt;VLOOKUP(V$5,NFI,5,0),1,0)*Table_NFI[[#This Row],[Tent]],Table_NFI[Tent])</f>
        <v>0</v>
      </c>
      <c r="AQ1084" s="473" t="str">
        <f>IFERROR(VLOOKUP(Table_NFI[[#This Row],[Camp Name]],CL,2,0),"")</f>
        <v>MMR001CMP003</v>
      </c>
      <c r="AR1084" s="468">
        <f ca="1">IF(Table_NFI[[#This Row],[Pcode]]="","",IF(OFFSET(CampList[Opening Date],MATCH(Table_NFI[[#This Row],[Pcode]],CampList[CP_Pcode],0)-1,0,1,1)&gt;=NFI_Monitor_Date,1,0))</f>
        <v>0</v>
      </c>
      <c r="AS1084" s="473" t="str">
        <f>IFERROR(VLOOKUP(Table_NFI[[#This Row],[Camp Name]],CL,3,0),"")</f>
        <v>Open</v>
      </c>
      <c r="AT1084" s="294" t="str">
        <f ca="1">IF(Table_NFI[[#This Row],[Pcode]]="","",OFFSET(CampList[Priority],MATCH(Table_NFI[[#This Row],[Pcode]],CampList[CP_Pcode],0)-1,0,1,1))</f>
        <v>P4</v>
      </c>
      <c r="AU1084" s="293">
        <f>IFERROR(Table_NFI[[#This Row],[Kitchen Set]]/VLOOKUP(Table_NFI[[#This Row],[Camp Name]],CL,4,0),"")</f>
        <v>1.1923076923076923</v>
      </c>
      <c r="AV1084" s="466" t="s">
        <v>1092</v>
      </c>
      <c r="AW1084" s="469"/>
    </row>
    <row r="1085" spans="1:49" s="479" customFormat="1" ht="15.75" customHeight="1" x14ac:dyDescent="0.25">
      <c r="A1085" s="297">
        <f t="shared" si="16"/>
        <v>60.43333333333333</v>
      </c>
      <c r="B1085" s="465">
        <v>40862</v>
      </c>
      <c r="C1085" s="466" t="s">
        <v>452</v>
      </c>
      <c r="D1085" s="467" t="s">
        <v>460</v>
      </c>
      <c r="E1085" s="466" t="s">
        <v>380</v>
      </c>
      <c r="F1085" s="290" t="s">
        <v>237</v>
      </c>
      <c r="G1085" s="290" t="s">
        <v>275</v>
      </c>
      <c r="H1085" s="291"/>
      <c r="I1085" s="291"/>
      <c r="J1085" s="291"/>
      <c r="K1085" s="291">
        <v>30</v>
      </c>
      <c r="L1085" s="292">
        <v>17</v>
      </c>
      <c r="M1085" s="292">
        <v>30</v>
      </c>
      <c r="N1085" s="292">
        <v>17</v>
      </c>
      <c r="O1085" s="292">
        <v>17</v>
      </c>
      <c r="P1085" s="294">
        <v>17</v>
      </c>
      <c r="Q1085" s="294">
        <v>17</v>
      </c>
      <c r="R1085" s="294"/>
      <c r="S1085" s="294"/>
      <c r="T1085" s="294"/>
      <c r="U1085" s="294"/>
      <c r="V1085" s="431"/>
      <c r="W1085" s="331"/>
      <c r="X1085" s="331"/>
      <c r="Y1085" s="294">
        <f>IF(NFI_Expiration=1,IF($A1085&lt;VLOOKUP(H$5,NFI,5,0),1,0)*Table_NFI[[#This Row],[Hygiene Kit]],Table_NFI[Hygiene Kit])</f>
        <v>0</v>
      </c>
      <c r="Z1085" s="294">
        <f>IF(NFI_Expiration=1,IF($A1085&lt;VLOOKUP(I$5,NFI,5,0),1,0)*Table_NFI[[#This Row],[NFI Core Kit]],Table_NFI[NFI Core Kit])</f>
        <v>0</v>
      </c>
      <c r="AA1085" s="294">
        <f>IF(NFI_Expiration=1,IF($A1085&lt;VLOOKUP(J$5,NFI,5,0),1,0)*Table_NFI[[#This Row],[Sanitary Kit]],Table_NFI[Sanitary Kit])</f>
        <v>0</v>
      </c>
      <c r="AB1085" s="294">
        <f>IF(NFI_Expiration=1,IF($A1085&lt;VLOOKUP(K$5,NFI,5,0),1,0)*Table_NFI[[#This Row],[Mosquito net]],Table_NFI[Mosquito net])</f>
        <v>0</v>
      </c>
      <c r="AC1085" s="294">
        <f>IF(NFI_Expiration=1,IF($A1085&lt;VLOOKUP(L$5,NFI,5,0),1,0)*Table_NFI[[#This Row],[Tarpaulin]],Table_NFI[[#This Row],[Tarpaulin]])</f>
        <v>0</v>
      </c>
      <c r="AD1085" s="294">
        <f>IF(NFI_Expiration=1,IF($A1085&lt;VLOOKUP(M$5,NFI,5,0),1,0)*Table_NFI[[#This Row],[Blanket]],Table_NFI[[#This Row],[Blanket]])</f>
        <v>0</v>
      </c>
      <c r="AE1085" s="294">
        <f>IF(NFI_Expiration=1,IF($A1085&lt;VLOOKUP(N$5,NFI,5,0),1,0)*Table_NFI[[#This Row],[Kitchen Set]],Table_NFI[Kitchen Set])</f>
        <v>0</v>
      </c>
      <c r="AF1085" s="294">
        <f>IF(NFI_Expiration=1,IF($A1085&lt;VLOOKUP(O$5,NFI,5,0),1,0)*Table_NFI[[#This Row],[Clothes Kit]],Table_NFI[Clothes Kit])</f>
        <v>0</v>
      </c>
      <c r="AG1085" s="294">
        <f>IF(NFI_Expiration=1,IF($A1085&lt;VLOOKUP(P$5,NFI,5,0),1,0)*Table_NFI[[#This Row],[Plastic Bucket]],Table_NFI[Plastic Bucket])</f>
        <v>0</v>
      </c>
      <c r="AH1085" s="294">
        <f>IF(NFI_Expiration=1,IF($A1085&lt;VLOOKUP(Q$5,NFI,5,0),1,0)*Table_NFI[[#This Row],[Plastic Mat]],Table_NFI[Plastic Mat])*IF(Table_NFI[[#This Row],[Distribution Date]]&gt;"2014-04-01",1,2.5)</f>
        <v>0</v>
      </c>
      <c r="AI1085" s="294">
        <f>IF(NFI_Expiration=1,IF($A1085&lt;VLOOKUP(R$5,NFI,5,0),1,0)*Table_NFI[[#This Row],[Winter Clothes Adult]],Table_NFI[Winter Clothes Adult])</f>
        <v>0</v>
      </c>
      <c r="AJ1085" s="294">
        <f>IF(NFI_Expiration=1,IF($A1085&lt;VLOOKUP(S$5,NFI,5,0),1,0)*Table_NFI[[#This Row],[Winter Clothes Children]],Table_NFI[Winter Clothes Children])</f>
        <v>0</v>
      </c>
      <c r="AK1085" s="294">
        <f>IF(NFI_Expiration=1,IF($A1085&lt;VLOOKUP(T$5,NFI,5,0),1,0)*Table_NFI[[#This Row],[Winter Items Other]],Table_NFI[Winter Items Other])</f>
        <v>0</v>
      </c>
      <c r="AL1085" s="294">
        <f>IF(NFI_Expiration=1,IF($A1085&lt;VLOOKUP(M$5,NFI,5,0),1,0)*Table_NFI[[#This Row],[Winter Blanket]],Table_NFI[[#This Row],[Winter Blanket]])</f>
        <v>0</v>
      </c>
      <c r="AM1085" s="294">
        <f>IF(Table_NFI[[#This Row],[Winter Clothes Adult]]+Table_NFI[[#This Row],[Winter Clothes Children]]+Table_NFI[[#This Row],[Winter Items Other]]+Table_NFI[[#This Row],[Winter Blanket]]&gt;0,1,0)</f>
        <v>0</v>
      </c>
      <c r="AN1085" s="331">
        <f>IF(NFI_Expiration=1,IF($A1085&lt;VLOOKUP(V$5,NFI,5,0),1,0)*Table_NFI[[#This Row],[Jerry Can]],Table_NFI[Jerry Can])</f>
        <v>0</v>
      </c>
      <c r="AO1085" s="331">
        <f>IF(NFI_Expiration=1,IF($A1085&lt;VLOOKUP(V$5,NFI,5,0),1,0)*Table_NFI[[#This Row],[Shelter Tool kit]],Table_NFI[Shelter Tool kit])</f>
        <v>0</v>
      </c>
      <c r="AP1085" s="331">
        <f>IF(NFI_Expiration=1,IF($A1085&lt;VLOOKUP(V$5,NFI,5,0),1,0)*Table_NFI[[#This Row],[Tent]],Table_NFI[Tent])</f>
        <v>0</v>
      </c>
      <c r="AQ1085" s="473" t="str">
        <f>IFERROR(VLOOKUP(Table_NFI[[#This Row],[Camp Name]],CL,2,0),"")</f>
        <v>MMR001CMP005</v>
      </c>
      <c r="AR1085" s="468">
        <f ca="1">IF(Table_NFI[[#This Row],[Pcode]]="","",IF(OFFSET(CampList[Opening Date],MATCH(Table_NFI[[#This Row],[Pcode]],CampList[CP_Pcode],0)-1,0,1,1)&gt;=NFI_Monitor_Date,1,0))</f>
        <v>0</v>
      </c>
      <c r="AS1085" s="473" t="str">
        <f>IFERROR(VLOOKUP(Table_NFI[[#This Row],[Camp Name]],CL,3,0),"")</f>
        <v>Open</v>
      </c>
      <c r="AT1085" s="294" t="str">
        <f ca="1">IF(Table_NFI[[#This Row],[Pcode]]="","",OFFSET(CampList[Priority],MATCH(Table_NFI[[#This Row],[Pcode]],CampList[CP_Pcode],0)-1,0,1,1))</f>
        <v>P4</v>
      </c>
      <c r="AU1085" s="293">
        <f>IFERROR(Table_NFI[[#This Row],[Kitchen Set]]/VLOOKUP(Table_NFI[[#This Row],[Camp Name]],CL,4,0),"")</f>
        <v>0.54838709677419351</v>
      </c>
      <c r="AV1085" s="466" t="s">
        <v>1092</v>
      </c>
      <c r="AW1085" s="469"/>
    </row>
    <row r="1086" spans="1:49" s="479" customFormat="1" ht="15.75" customHeight="1" x14ac:dyDescent="0.25">
      <c r="A1086" s="297">
        <f t="shared" si="16"/>
        <v>60.466666666666669</v>
      </c>
      <c r="B1086" s="465">
        <v>40861</v>
      </c>
      <c r="C1086" s="466" t="s">
        <v>452</v>
      </c>
      <c r="D1086" s="467" t="s">
        <v>460</v>
      </c>
      <c r="E1086" s="466" t="s">
        <v>380</v>
      </c>
      <c r="F1086" s="290" t="s">
        <v>237</v>
      </c>
      <c r="G1086" s="290" t="s">
        <v>257</v>
      </c>
      <c r="H1086" s="291"/>
      <c r="I1086" s="291"/>
      <c r="J1086" s="291"/>
      <c r="K1086" s="291">
        <v>47</v>
      </c>
      <c r="L1086" s="292">
        <v>28</v>
      </c>
      <c r="M1086" s="292">
        <v>47</v>
      </c>
      <c r="N1086" s="292">
        <v>28</v>
      </c>
      <c r="O1086" s="292">
        <v>28</v>
      </c>
      <c r="P1086" s="294">
        <v>28</v>
      </c>
      <c r="Q1086" s="294">
        <v>28</v>
      </c>
      <c r="R1086" s="294"/>
      <c r="S1086" s="294"/>
      <c r="T1086" s="294"/>
      <c r="U1086" s="294"/>
      <c r="V1086" s="431"/>
      <c r="W1086" s="331"/>
      <c r="X1086" s="331"/>
      <c r="Y1086" s="294">
        <f>IF(NFI_Expiration=1,IF($A1086&lt;VLOOKUP(H$5,NFI,5,0),1,0)*Table_NFI[[#This Row],[Hygiene Kit]],Table_NFI[Hygiene Kit])</f>
        <v>0</v>
      </c>
      <c r="Z1086" s="294">
        <f>IF(NFI_Expiration=1,IF($A1086&lt;VLOOKUP(I$5,NFI,5,0),1,0)*Table_NFI[[#This Row],[NFI Core Kit]],Table_NFI[NFI Core Kit])</f>
        <v>0</v>
      </c>
      <c r="AA1086" s="294">
        <f>IF(NFI_Expiration=1,IF($A1086&lt;VLOOKUP(J$5,NFI,5,0),1,0)*Table_NFI[[#This Row],[Sanitary Kit]],Table_NFI[Sanitary Kit])</f>
        <v>0</v>
      </c>
      <c r="AB1086" s="294">
        <f>IF(NFI_Expiration=1,IF($A1086&lt;VLOOKUP(K$5,NFI,5,0),1,0)*Table_NFI[[#This Row],[Mosquito net]],Table_NFI[Mosquito net])</f>
        <v>0</v>
      </c>
      <c r="AC1086" s="294">
        <f>IF(NFI_Expiration=1,IF($A1086&lt;VLOOKUP(L$5,NFI,5,0),1,0)*Table_NFI[[#This Row],[Tarpaulin]],Table_NFI[[#This Row],[Tarpaulin]])</f>
        <v>0</v>
      </c>
      <c r="AD1086" s="294">
        <f>IF(NFI_Expiration=1,IF($A1086&lt;VLOOKUP(M$5,NFI,5,0),1,0)*Table_NFI[[#This Row],[Blanket]],Table_NFI[[#This Row],[Blanket]])</f>
        <v>0</v>
      </c>
      <c r="AE1086" s="294">
        <f>IF(NFI_Expiration=1,IF($A1086&lt;VLOOKUP(N$5,NFI,5,0),1,0)*Table_NFI[[#This Row],[Kitchen Set]],Table_NFI[Kitchen Set])</f>
        <v>0</v>
      </c>
      <c r="AF1086" s="294">
        <f>IF(NFI_Expiration=1,IF($A1086&lt;VLOOKUP(O$5,NFI,5,0),1,0)*Table_NFI[[#This Row],[Clothes Kit]],Table_NFI[Clothes Kit])</f>
        <v>0</v>
      </c>
      <c r="AG1086" s="294">
        <f>IF(NFI_Expiration=1,IF($A1086&lt;VLOOKUP(P$5,NFI,5,0),1,0)*Table_NFI[[#This Row],[Plastic Bucket]],Table_NFI[Plastic Bucket])</f>
        <v>0</v>
      </c>
      <c r="AH1086" s="294">
        <f>IF(NFI_Expiration=1,IF($A1086&lt;VLOOKUP(Q$5,NFI,5,0),1,0)*Table_NFI[[#This Row],[Plastic Mat]],Table_NFI[Plastic Mat])*IF(Table_NFI[[#This Row],[Distribution Date]]&gt;"2014-04-01",1,2.5)</f>
        <v>0</v>
      </c>
      <c r="AI1086" s="294">
        <f>IF(NFI_Expiration=1,IF($A1086&lt;VLOOKUP(R$5,NFI,5,0),1,0)*Table_NFI[[#This Row],[Winter Clothes Adult]],Table_NFI[Winter Clothes Adult])</f>
        <v>0</v>
      </c>
      <c r="AJ1086" s="294">
        <f>IF(NFI_Expiration=1,IF($A1086&lt;VLOOKUP(S$5,NFI,5,0),1,0)*Table_NFI[[#This Row],[Winter Clothes Children]],Table_NFI[Winter Clothes Children])</f>
        <v>0</v>
      </c>
      <c r="AK1086" s="294">
        <f>IF(NFI_Expiration=1,IF($A1086&lt;VLOOKUP(T$5,NFI,5,0),1,0)*Table_NFI[[#This Row],[Winter Items Other]],Table_NFI[Winter Items Other])</f>
        <v>0</v>
      </c>
      <c r="AL1086" s="294">
        <f>IF(NFI_Expiration=1,IF($A1086&lt;VLOOKUP(M$5,NFI,5,0),1,0)*Table_NFI[[#This Row],[Winter Blanket]],Table_NFI[[#This Row],[Winter Blanket]])</f>
        <v>0</v>
      </c>
      <c r="AM1086" s="294">
        <f>IF(Table_NFI[[#This Row],[Winter Clothes Adult]]+Table_NFI[[#This Row],[Winter Clothes Children]]+Table_NFI[[#This Row],[Winter Items Other]]+Table_NFI[[#This Row],[Winter Blanket]]&gt;0,1,0)</f>
        <v>0</v>
      </c>
      <c r="AN1086" s="331">
        <f>IF(NFI_Expiration=1,IF($A1086&lt;VLOOKUP(V$5,NFI,5,0),1,0)*Table_NFI[[#This Row],[Jerry Can]],Table_NFI[Jerry Can])</f>
        <v>0</v>
      </c>
      <c r="AO1086" s="331">
        <f>IF(NFI_Expiration=1,IF($A1086&lt;VLOOKUP(V$5,NFI,5,0),1,0)*Table_NFI[[#This Row],[Shelter Tool kit]],Table_NFI[Shelter Tool kit])</f>
        <v>0</v>
      </c>
      <c r="AP1086" s="331">
        <f>IF(NFI_Expiration=1,IF($A1086&lt;VLOOKUP(V$5,NFI,5,0),1,0)*Table_NFI[[#This Row],[Tent]],Table_NFI[Tent])</f>
        <v>0</v>
      </c>
      <c r="AQ1086" s="473" t="str">
        <f>IFERROR(VLOOKUP(Table_NFI[[#This Row],[Camp Name]],CL,2,0),"")</f>
        <v>MMR001CMP013</v>
      </c>
      <c r="AR1086" s="468">
        <f ca="1">IF(Table_NFI[[#This Row],[Pcode]]="","",IF(OFFSET(CampList[Opening Date],MATCH(Table_NFI[[#This Row],[Pcode]],CampList[CP_Pcode],0)-1,0,1,1)&gt;=NFI_Monitor_Date,1,0))</f>
        <v>0</v>
      </c>
      <c r="AS1086" s="473" t="str">
        <f>IFERROR(VLOOKUP(Table_NFI[[#This Row],[Camp Name]],CL,3,0),"")</f>
        <v>Open</v>
      </c>
      <c r="AT1086" s="294" t="str">
        <f ca="1">IF(Table_NFI[[#This Row],[Pcode]]="","",OFFSET(CampList[Priority],MATCH(Table_NFI[[#This Row],[Pcode]],CampList[CP_Pcode],0)-1,0,1,1))</f>
        <v>P4</v>
      </c>
      <c r="AU1086" s="293">
        <f>IFERROR(Table_NFI[[#This Row],[Kitchen Set]]/VLOOKUP(Table_NFI[[#This Row],[Camp Name]],CL,4,0),"")</f>
        <v>1.6470588235294117</v>
      </c>
      <c r="AV1086" s="466" t="s">
        <v>1092</v>
      </c>
      <c r="AW1086" s="469"/>
    </row>
    <row r="1087" spans="1:49" s="479" customFormat="1" ht="15.75" customHeight="1" x14ac:dyDescent="0.25">
      <c r="A1087" s="297">
        <f t="shared" si="16"/>
        <v>60.466666666666669</v>
      </c>
      <c r="B1087" s="465">
        <v>40861</v>
      </c>
      <c r="C1087" s="466" t="s">
        <v>452</v>
      </c>
      <c r="D1087" s="467" t="s">
        <v>460</v>
      </c>
      <c r="E1087" s="466" t="s">
        <v>380</v>
      </c>
      <c r="F1087" s="290" t="s">
        <v>237</v>
      </c>
      <c r="G1087" s="290" t="s">
        <v>240</v>
      </c>
      <c r="H1087" s="291"/>
      <c r="I1087" s="291"/>
      <c r="J1087" s="291"/>
      <c r="K1087" s="291">
        <v>52</v>
      </c>
      <c r="L1087" s="292">
        <v>25</v>
      </c>
      <c r="M1087" s="292">
        <v>52</v>
      </c>
      <c r="N1087" s="292">
        <v>25</v>
      </c>
      <c r="O1087" s="292">
        <v>25</v>
      </c>
      <c r="P1087" s="294">
        <v>25</v>
      </c>
      <c r="Q1087" s="294">
        <v>25</v>
      </c>
      <c r="R1087" s="294"/>
      <c r="S1087" s="294"/>
      <c r="T1087" s="294"/>
      <c r="U1087" s="294"/>
      <c r="V1087" s="431"/>
      <c r="W1087" s="331"/>
      <c r="X1087" s="331"/>
      <c r="Y1087" s="294">
        <f>IF(NFI_Expiration=1,IF($A1087&lt;VLOOKUP(H$5,NFI,5,0),1,0)*Table_NFI[[#This Row],[Hygiene Kit]],Table_NFI[Hygiene Kit])</f>
        <v>0</v>
      </c>
      <c r="Z1087" s="294">
        <f>IF(NFI_Expiration=1,IF($A1087&lt;VLOOKUP(I$5,NFI,5,0),1,0)*Table_NFI[[#This Row],[NFI Core Kit]],Table_NFI[NFI Core Kit])</f>
        <v>0</v>
      </c>
      <c r="AA1087" s="294">
        <f>IF(NFI_Expiration=1,IF($A1087&lt;VLOOKUP(J$5,NFI,5,0),1,0)*Table_NFI[[#This Row],[Sanitary Kit]],Table_NFI[Sanitary Kit])</f>
        <v>0</v>
      </c>
      <c r="AB1087" s="294">
        <f>IF(NFI_Expiration=1,IF($A1087&lt;VLOOKUP(K$5,NFI,5,0),1,0)*Table_NFI[[#This Row],[Mosquito net]],Table_NFI[Mosquito net])</f>
        <v>0</v>
      </c>
      <c r="AC1087" s="294">
        <f>IF(NFI_Expiration=1,IF($A1087&lt;VLOOKUP(L$5,NFI,5,0),1,0)*Table_NFI[[#This Row],[Tarpaulin]],Table_NFI[[#This Row],[Tarpaulin]])</f>
        <v>0</v>
      </c>
      <c r="AD1087" s="294">
        <f>IF(NFI_Expiration=1,IF($A1087&lt;VLOOKUP(M$5,NFI,5,0),1,0)*Table_NFI[[#This Row],[Blanket]],Table_NFI[[#This Row],[Blanket]])</f>
        <v>0</v>
      </c>
      <c r="AE1087" s="294">
        <f>IF(NFI_Expiration=1,IF($A1087&lt;VLOOKUP(N$5,NFI,5,0),1,0)*Table_NFI[[#This Row],[Kitchen Set]],Table_NFI[Kitchen Set])</f>
        <v>0</v>
      </c>
      <c r="AF1087" s="294">
        <f>IF(NFI_Expiration=1,IF($A1087&lt;VLOOKUP(O$5,NFI,5,0),1,0)*Table_NFI[[#This Row],[Clothes Kit]],Table_NFI[Clothes Kit])</f>
        <v>0</v>
      </c>
      <c r="AG1087" s="294">
        <f>IF(NFI_Expiration=1,IF($A1087&lt;VLOOKUP(P$5,NFI,5,0),1,0)*Table_NFI[[#This Row],[Plastic Bucket]],Table_NFI[Plastic Bucket])</f>
        <v>0</v>
      </c>
      <c r="AH1087" s="294">
        <f>IF(NFI_Expiration=1,IF($A1087&lt;VLOOKUP(Q$5,NFI,5,0),1,0)*Table_NFI[[#This Row],[Plastic Mat]],Table_NFI[Plastic Mat])*IF(Table_NFI[[#This Row],[Distribution Date]]&gt;"2014-04-01",1,2.5)</f>
        <v>0</v>
      </c>
      <c r="AI1087" s="294">
        <f>IF(NFI_Expiration=1,IF($A1087&lt;VLOOKUP(R$5,NFI,5,0),1,0)*Table_NFI[[#This Row],[Winter Clothes Adult]],Table_NFI[Winter Clothes Adult])</f>
        <v>0</v>
      </c>
      <c r="AJ1087" s="294">
        <f>IF(NFI_Expiration=1,IF($A1087&lt;VLOOKUP(S$5,NFI,5,0),1,0)*Table_NFI[[#This Row],[Winter Clothes Children]],Table_NFI[Winter Clothes Children])</f>
        <v>0</v>
      </c>
      <c r="AK1087" s="294">
        <f>IF(NFI_Expiration=1,IF($A1087&lt;VLOOKUP(T$5,NFI,5,0),1,0)*Table_NFI[[#This Row],[Winter Items Other]],Table_NFI[Winter Items Other])</f>
        <v>0</v>
      </c>
      <c r="AL1087" s="294">
        <f>IF(NFI_Expiration=1,IF($A1087&lt;VLOOKUP(M$5,NFI,5,0),1,0)*Table_NFI[[#This Row],[Winter Blanket]],Table_NFI[[#This Row],[Winter Blanket]])</f>
        <v>0</v>
      </c>
      <c r="AM1087" s="294">
        <f>IF(Table_NFI[[#This Row],[Winter Clothes Adult]]+Table_NFI[[#This Row],[Winter Clothes Children]]+Table_NFI[[#This Row],[Winter Items Other]]+Table_NFI[[#This Row],[Winter Blanket]]&gt;0,1,0)</f>
        <v>0</v>
      </c>
      <c r="AN1087" s="331">
        <f>IF(NFI_Expiration=1,IF($A1087&lt;VLOOKUP(V$5,NFI,5,0),1,0)*Table_NFI[[#This Row],[Jerry Can]],Table_NFI[Jerry Can])</f>
        <v>0</v>
      </c>
      <c r="AO1087" s="331">
        <f>IF(NFI_Expiration=1,IF($A1087&lt;VLOOKUP(V$5,NFI,5,0),1,0)*Table_NFI[[#This Row],[Shelter Tool kit]],Table_NFI[Shelter Tool kit])</f>
        <v>0</v>
      </c>
      <c r="AP1087" s="331">
        <f>IF(NFI_Expiration=1,IF($A1087&lt;VLOOKUP(V$5,NFI,5,0),1,0)*Table_NFI[[#This Row],[Tent]],Table_NFI[Tent])</f>
        <v>0</v>
      </c>
      <c r="AQ1087" s="473" t="str">
        <f>IFERROR(VLOOKUP(Table_NFI[[#This Row],[Camp Name]],CL,2,0),"")</f>
        <v>MMR001CMP015</v>
      </c>
      <c r="AR1087" s="468">
        <f ca="1">IF(Table_NFI[[#This Row],[Pcode]]="","",IF(OFFSET(CampList[Opening Date],MATCH(Table_NFI[[#This Row],[Pcode]],CampList[CP_Pcode],0)-1,0,1,1)&gt;=NFI_Monitor_Date,1,0))</f>
        <v>0</v>
      </c>
      <c r="AS1087" s="473" t="str">
        <f>IFERROR(VLOOKUP(Table_NFI[[#This Row],[Camp Name]],CL,3,0),"")</f>
        <v>Open</v>
      </c>
      <c r="AT1087" s="294" t="str">
        <f ca="1">IF(Table_NFI[[#This Row],[Pcode]]="","",OFFSET(CampList[Priority],MATCH(Table_NFI[[#This Row],[Pcode]],CampList[CP_Pcode],0)-1,0,1,1))</f>
        <v>P4</v>
      </c>
      <c r="AU1087" s="293">
        <f>IFERROR(Table_NFI[[#This Row],[Kitchen Set]]/VLOOKUP(Table_NFI[[#This Row],[Camp Name]],CL,4,0),"")</f>
        <v>0.83333333333333337</v>
      </c>
      <c r="AV1087" s="466" t="s">
        <v>1092</v>
      </c>
      <c r="AW1087" s="469"/>
    </row>
    <row r="1088" spans="1:49" s="479" customFormat="1" ht="15.75" customHeight="1" x14ac:dyDescent="0.25">
      <c r="A1088" s="297">
        <f t="shared" si="16"/>
        <v>60.466666666666669</v>
      </c>
      <c r="B1088" s="465">
        <v>40861</v>
      </c>
      <c r="C1088" s="466" t="s">
        <v>452</v>
      </c>
      <c r="D1088" s="467" t="s">
        <v>460</v>
      </c>
      <c r="E1088" s="466" t="s">
        <v>380</v>
      </c>
      <c r="F1088" s="290" t="s">
        <v>237</v>
      </c>
      <c r="G1088" s="290" t="s">
        <v>259</v>
      </c>
      <c r="H1088" s="291"/>
      <c r="I1088" s="291"/>
      <c r="J1088" s="291"/>
      <c r="K1088" s="291">
        <v>57</v>
      </c>
      <c r="L1088" s="292">
        <v>30</v>
      </c>
      <c r="M1088" s="292">
        <v>57</v>
      </c>
      <c r="N1088" s="292">
        <v>30</v>
      </c>
      <c r="O1088" s="292">
        <v>30</v>
      </c>
      <c r="P1088" s="294">
        <v>30</v>
      </c>
      <c r="Q1088" s="294">
        <v>30</v>
      </c>
      <c r="R1088" s="294"/>
      <c r="S1088" s="294"/>
      <c r="T1088" s="294"/>
      <c r="U1088" s="294"/>
      <c r="V1088" s="431"/>
      <c r="W1088" s="331"/>
      <c r="X1088" s="331"/>
      <c r="Y1088" s="294">
        <f>IF(NFI_Expiration=1,IF($A1088&lt;VLOOKUP(H$5,NFI,5,0),1,0)*Table_NFI[[#This Row],[Hygiene Kit]],Table_NFI[Hygiene Kit])</f>
        <v>0</v>
      </c>
      <c r="Z1088" s="294">
        <f>IF(NFI_Expiration=1,IF($A1088&lt;VLOOKUP(I$5,NFI,5,0),1,0)*Table_NFI[[#This Row],[NFI Core Kit]],Table_NFI[NFI Core Kit])</f>
        <v>0</v>
      </c>
      <c r="AA1088" s="294">
        <f>IF(NFI_Expiration=1,IF($A1088&lt;VLOOKUP(J$5,NFI,5,0),1,0)*Table_NFI[[#This Row],[Sanitary Kit]],Table_NFI[Sanitary Kit])</f>
        <v>0</v>
      </c>
      <c r="AB1088" s="294">
        <f>IF(NFI_Expiration=1,IF($A1088&lt;VLOOKUP(K$5,NFI,5,0),1,0)*Table_NFI[[#This Row],[Mosquito net]],Table_NFI[Mosquito net])</f>
        <v>0</v>
      </c>
      <c r="AC1088" s="294">
        <f>IF(NFI_Expiration=1,IF($A1088&lt;VLOOKUP(L$5,NFI,5,0),1,0)*Table_NFI[[#This Row],[Tarpaulin]],Table_NFI[[#This Row],[Tarpaulin]])</f>
        <v>0</v>
      </c>
      <c r="AD1088" s="294">
        <f>IF(NFI_Expiration=1,IF($A1088&lt;VLOOKUP(M$5,NFI,5,0),1,0)*Table_NFI[[#This Row],[Blanket]],Table_NFI[[#This Row],[Blanket]])</f>
        <v>0</v>
      </c>
      <c r="AE1088" s="294">
        <f>IF(NFI_Expiration=1,IF($A1088&lt;VLOOKUP(N$5,NFI,5,0),1,0)*Table_NFI[[#This Row],[Kitchen Set]],Table_NFI[Kitchen Set])</f>
        <v>0</v>
      </c>
      <c r="AF1088" s="294">
        <f>IF(NFI_Expiration=1,IF($A1088&lt;VLOOKUP(O$5,NFI,5,0),1,0)*Table_NFI[[#This Row],[Clothes Kit]],Table_NFI[Clothes Kit])</f>
        <v>0</v>
      </c>
      <c r="AG1088" s="294">
        <f>IF(NFI_Expiration=1,IF($A1088&lt;VLOOKUP(P$5,NFI,5,0),1,0)*Table_NFI[[#This Row],[Plastic Bucket]],Table_NFI[Plastic Bucket])</f>
        <v>0</v>
      </c>
      <c r="AH1088" s="294">
        <f>IF(NFI_Expiration=1,IF($A1088&lt;VLOOKUP(Q$5,NFI,5,0),1,0)*Table_NFI[[#This Row],[Plastic Mat]],Table_NFI[Plastic Mat])*IF(Table_NFI[[#This Row],[Distribution Date]]&gt;"2014-04-01",1,2.5)</f>
        <v>0</v>
      </c>
      <c r="AI1088" s="294">
        <f>IF(NFI_Expiration=1,IF($A1088&lt;VLOOKUP(R$5,NFI,5,0),1,0)*Table_NFI[[#This Row],[Winter Clothes Adult]],Table_NFI[Winter Clothes Adult])</f>
        <v>0</v>
      </c>
      <c r="AJ1088" s="294">
        <f>IF(NFI_Expiration=1,IF($A1088&lt;VLOOKUP(S$5,NFI,5,0),1,0)*Table_NFI[[#This Row],[Winter Clothes Children]],Table_NFI[Winter Clothes Children])</f>
        <v>0</v>
      </c>
      <c r="AK1088" s="294">
        <f>IF(NFI_Expiration=1,IF($A1088&lt;VLOOKUP(T$5,NFI,5,0),1,0)*Table_NFI[[#This Row],[Winter Items Other]],Table_NFI[Winter Items Other])</f>
        <v>0</v>
      </c>
      <c r="AL1088" s="294">
        <f>IF(NFI_Expiration=1,IF($A1088&lt;VLOOKUP(M$5,NFI,5,0),1,0)*Table_NFI[[#This Row],[Winter Blanket]],Table_NFI[[#This Row],[Winter Blanket]])</f>
        <v>0</v>
      </c>
      <c r="AM1088" s="294">
        <f>IF(Table_NFI[[#This Row],[Winter Clothes Adult]]+Table_NFI[[#This Row],[Winter Clothes Children]]+Table_NFI[[#This Row],[Winter Items Other]]+Table_NFI[[#This Row],[Winter Blanket]]&gt;0,1,0)</f>
        <v>0</v>
      </c>
      <c r="AN1088" s="331">
        <f>IF(NFI_Expiration=1,IF($A1088&lt;VLOOKUP(V$5,NFI,5,0),1,0)*Table_NFI[[#This Row],[Jerry Can]],Table_NFI[Jerry Can])</f>
        <v>0</v>
      </c>
      <c r="AO1088" s="331">
        <f>IF(NFI_Expiration=1,IF($A1088&lt;VLOOKUP(V$5,NFI,5,0),1,0)*Table_NFI[[#This Row],[Shelter Tool kit]],Table_NFI[Shelter Tool kit])</f>
        <v>0</v>
      </c>
      <c r="AP1088" s="331">
        <f>IF(NFI_Expiration=1,IF($A1088&lt;VLOOKUP(V$5,NFI,5,0),1,0)*Table_NFI[[#This Row],[Tent]],Table_NFI[Tent])</f>
        <v>0</v>
      </c>
      <c r="AQ1088" s="473" t="str">
        <f>IFERROR(VLOOKUP(Table_NFI[[#This Row],[Camp Name]],CL,2,0),"")</f>
        <v>MMR001CMP016</v>
      </c>
      <c r="AR1088" s="468">
        <f ca="1">IF(Table_NFI[[#This Row],[Pcode]]="","",IF(OFFSET(CampList[Opening Date],MATCH(Table_NFI[[#This Row],[Pcode]],CampList[CP_Pcode],0)-1,0,1,1)&gt;=NFI_Monitor_Date,1,0))</f>
        <v>0</v>
      </c>
      <c r="AS1088" s="473" t="str">
        <f>IFERROR(VLOOKUP(Table_NFI[[#This Row],[Camp Name]],CL,3,0),"")</f>
        <v>Open</v>
      </c>
      <c r="AT1088" s="294" t="str">
        <f ca="1">IF(Table_NFI[[#This Row],[Pcode]]="","",OFFSET(CampList[Priority],MATCH(Table_NFI[[#This Row],[Pcode]],CampList[CP_Pcode],0)-1,0,1,1))</f>
        <v>P4</v>
      </c>
      <c r="AU1088" s="293">
        <f>IFERROR(Table_NFI[[#This Row],[Kitchen Set]]/VLOOKUP(Table_NFI[[#This Row],[Camp Name]],CL,4,0),"")</f>
        <v>0.5</v>
      </c>
      <c r="AV1088" s="466" t="s">
        <v>1092</v>
      </c>
      <c r="AW1088" s="469"/>
    </row>
    <row r="1089" spans="1:49" s="479" customFormat="1" ht="15.75" customHeight="1" x14ac:dyDescent="0.25">
      <c r="A1089" s="297">
        <f t="shared" si="16"/>
        <v>60.8</v>
      </c>
      <c r="B1089" s="465">
        <v>40851</v>
      </c>
      <c r="C1089" s="466" t="s">
        <v>452</v>
      </c>
      <c r="D1089" s="467" t="s">
        <v>460</v>
      </c>
      <c r="E1089" s="466" t="s">
        <v>380</v>
      </c>
      <c r="F1089" s="290" t="s">
        <v>237</v>
      </c>
      <c r="G1089" s="290" t="s">
        <v>253</v>
      </c>
      <c r="H1089" s="291"/>
      <c r="I1089" s="291"/>
      <c r="J1089" s="291"/>
      <c r="K1089" s="291">
        <v>208</v>
      </c>
      <c r="L1089" s="292">
        <v>102</v>
      </c>
      <c r="M1089" s="292">
        <v>208</v>
      </c>
      <c r="N1089" s="292">
        <v>102</v>
      </c>
      <c r="O1089" s="292">
        <v>102</v>
      </c>
      <c r="P1089" s="294">
        <v>102</v>
      </c>
      <c r="Q1089" s="294">
        <v>102</v>
      </c>
      <c r="R1089" s="294"/>
      <c r="S1089" s="294"/>
      <c r="T1089" s="294"/>
      <c r="U1089" s="294"/>
      <c r="V1089" s="431"/>
      <c r="W1089" s="331"/>
      <c r="X1089" s="331"/>
      <c r="Y1089" s="294">
        <f>IF(NFI_Expiration=1,IF($A1089&lt;VLOOKUP(H$5,NFI,5,0),1,0)*Table_NFI[[#This Row],[Hygiene Kit]],Table_NFI[Hygiene Kit])</f>
        <v>0</v>
      </c>
      <c r="Z1089" s="294">
        <f>IF(NFI_Expiration=1,IF($A1089&lt;VLOOKUP(I$5,NFI,5,0),1,0)*Table_NFI[[#This Row],[NFI Core Kit]],Table_NFI[NFI Core Kit])</f>
        <v>0</v>
      </c>
      <c r="AA1089" s="294">
        <f>IF(NFI_Expiration=1,IF($A1089&lt;VLOOKUP(J$5,NFI,5,0),1,0)*Table_NFI[[#This Row],[Sanitary Kit]],Table_NFI[Sanitary Kit])</f>
        <v>0</v>
      </c>
      <c r="AB1089" s="294">
        <f>IF(NFI_Expiration=1,IF($A1089&lt;VLOOKUP(K$5,NFI,5,0),1,0)*Table_NFI[[#This Row],[Mosquito net]],Table_NFI[Mosquito net])</f>
        <v>0</v>
      </c>
      <c r="AC1089" s="294">
        <f>IF(NFI_Expiration=1,IF($A1089&lt;VLOOKUP(L$5,NFI,5,0),1,0)*Table_NFI[[#This Row],[Tarpaulin]],Table_NFI[[#This Row],[Tarpaulin]])</f>
        <v>0</v>
      </c>
      <c r="AD1089" s="294">
        <f>IF(NFI_Expiration=1,IF($A1089&lt;VLOOKUP(M$5,NFI,5,0),1,0)*Table_NFI[[#This Row],[Blanket]],Table_NFI[[#This Row],[Blanket]])</f>
        <v>0</v>
      </c>
      <c r="AE1089" s="294">
        <f>IF(NFI_Expiration=1,IF($A1089&lt;VLOOKUP(N$5,NFI,5,0),1,0)*Table_NFI[[#This Row],[Kitchen Set]],Table_NFI[Kitchen Set])</f>
        <v>0</v>
      </c>
      <c r="AF1089" s="294">
        <f>IF(NFI_Expiration=1,IF($A1089&lt;VLOOKUP(O$5,NFI,5,0),1,0)*Table_NFI[[#This Row],[Clothes Kit]],Table_NFI[Clothes Kit])</f>
        <v>0</v>
      </c>
      <c r="AG1089" s="294">
        <f>IF(NFI_Expiration=1,IF($A1089&lt;VLOOKUP(P$5,NFI,5,0),1,0)*Table_NFI[[#This Row],[Plastic Bucket]],Table_NFI[Plastic Bucket])</f>
        <v>0</v>
      </c>
      <c r="AH1089" s="294">
        <f>IF(NFI_Expiration=1,IF($A1089&lt;VLOOKUP(Q$5,NFI,5,0),1,0)*Table_NFI[[#This Row],[Plastic Mat]],Table_NFI[Plastic Mat])*IF(Table_NFI[[#This Row],[Distribution Date]]&gt;"2014-04-01",1,2.5)</f>
        <v>0</v>
      </c>
      <c r="AI1089" s="294">
        <f>IF(NFI_Expiration=1,IF($A1089&lt;VLOOKUP(R$5,NFI,5,0),1,0)*Table_NFI[[#This Row],[Winter Clothes Adult]],Table_NFI[Winter Clothes Adult])</f>
        <v>0</v>
      </c>
      <c r="AJ1089" s="294">
        <f>IF(NFI_Expiration=1,IF($A1089&lt;VLOOKUP(S$5,NFI,5,0),1,0)*Table_NFI[[#This Row],[Winter Clothes Children]],Table_NFI[Winter Clothes Children])</f>
        <v>0</v>
      </c>
      <c r="AK1089" s="294">
        <f>IF(NFI_Expiration=1,IF($A1089&lt;VLOOKUP(T$5,NFI,5,0),1,0)*Table_NFI[[#This Row],[Winter Items Other]],Table_NFI[Winter Items Other])</f>
        <v>0</v>
      </c>
      <c r="AL1089" s="294">
        <f>IF(NFI_Expiration=1,IF($A1089&lt;VLOOKUP(M$5,NFI,5,0),1,0)*Table_NFI[[#This Row],[Winter Blanket]],Table_NFI[[#This Row],[Winter Blanket]])</f>
        <v>0</v>
      </c>
      <c r="AM1089" s="294">
        <f>IF(Table_NFI[[#This Row],[Winter Clothes Adult]]+Table_NFI[[#This Row],[Winter Clothes Children]]+Table_NFI[[#This Row],[Winter Items Other]]+Table_NFI[[#This Row],[Winter Blanket]]&gt;0,1,0)</f>
        <v>0</v>
      </c>
      <c r="AN1089" s="331">
        <f>IF(NFI_Expiration=1,IF($A1089&lt;VLOOKUP(V$5,NFI,5,0),1,0)*Table_NFI[[#This Row],[Jerry Can]],Table_NFI[Jerry Can])</f>
        <v>0</v>
      </c>
      <c r="AO1089" s="331">
        <f>IF(NFI_Expiration=1,IF($A1089&lt;VLOOKUP(V$5,NFI,5,0),1,0)*Table_NFI[[#This Row],[Shelter Tool kit]],Table_NFI[Shelter Tool kit])</f>
        <v>0</v>
      </c>
      <c r="AP1089" s="331">
        <f>IF(NFI_Expiration=1,IF($A1089&lt;VLOOKUP(V$5,NFI,5,0),1,0)*Table_NFI[[#This Row],[Tent]],Table_NFI[Tent])</f>
        <v>0</v>
      </c>
      <c r="AQ1089" s="473" t="str">
        <f>IFERROR(VLOOKUP(Table_NFI[[#This Row],[Camp Name]],CL,2,0),"")</f>
        <v>MMR001CMP018</v>
      </c>
      <c r="AR1089" s="468">
        <f ca="1">IF(Table_NFI[[#This Row],[Pcode]]="","",IF(OFFSET(CampList[Opening Date],MATCH(Table_NFI[[#This Row],[Pcode]],CampList[CP_Pcode],0)-1,0,1,1)&gt;=NFI_Monitor_Date,1,0))</f>
        <v>0</v>
      </c>
      <c r="AS1089" s="473" t="str">
        <f>IFERROR(VLOOKUP(Table_NFI[[#This Row],[Camp Name]],CL,3,0),"")</f>
        <v>Open</v>
      </c>
      <c r="AT1089" s="294" t="str">
        <f ca="1">IF(Table_NFI[[#This Row],[Pcode]]="","",OFFSET(CampList[Priority],MATCH(Table_NFI[[#This Row],[Pcode]],CampList[CP_Pcode],0)-1,0,1,1))</f>
        <v>P4</v>
      </c>
      <c r="AU1089" s="293">
        <f>IFERROR(Table_NFI[[#This Row],[Kitchen Set]]/VLOOKUP(Table_NFI[[#This Row],[Camp Name]],CL,4,0),"")</f>
        <v>0.51515151515151514</v>
      </c>
      <c r="AV1089" s="466" t="s">
        <v>1092</v>
      </c>
      <c r="AW1089" s="469"/>
    </row>
    <row r="1090" spans="1:49" s="479" customFormat="1" ht="15.75" customHeight="1" x14ac:dyDescent="0.25">
      <c r="A1090" s="297">
        <f t="shared" si="16"/>
        <v>60.8</v>
      </c>
      <c r="B1090" s="465">
        <v>40851</v>
      </c>
      <c r="C1090" s="466" t="s">
        <v>452</v>
      </c>
      <c r="D1090" s="467" t="s">
        <v>460</v>
      </c>
      <c r="E1090" s="466" t="s">
        <v>380</v>
      </c>
      <c r="F1090" s="290" t="s">
        <v>237</v>
      </c>
      <c r="G1090" s="290" t="s">
        <v>267</v>
      </c>
      <c r="H1090" s="291"/>
      <c r="I1090" s="291"/>
      <c r="J1090" s="291"/>
      <c r="K1090" s="291">
        <v>10</v>
      </c>
      <c r="L1090" s="292">
        <v>6</v>
      </c>
      <c r="M1090" s="292">
        <v>10</v>
      </c>
      <c r="N1090" s="292">
        <v>6</v>
      </c>
      <c r="O1090" s="292">
        <v>6</v>
      </c>
      <c r="P1090" s="294">
        <v>6</v>
      </c>
      <c r="Q1090" s="294">
        <v>6</v>
      </c>
      <c r="R1090" s="294"/>
      <c r="S1090" s="294"/>
      <c r="T1090" s="294"/>
      <c r="U1090" s="294"/>
      <c r="V1090" s="431"/>
      <c r="W1090" s="331"/>
      <c r="X1090" s="331"/>
      <c r="Y1090" s="294">
        <f>IF(NFI_Expiration=1,IF($A1090&lt;VLOOKUP(H$5,NFI,5,0),1,0)*Table_NFI[[#This Row],[Hygiene Kit]],Table_NFI[Hygiene Kit])</f>
        <v>0</v>
      </c>
      <c r="Z1090" s="294">
        <f>IF(NFI_Expiration=1,IF($A1090&lt;VLOOKUP(I$5,NFI,5,0),1,0)*Table_NFI[[#This Row],[NFI Core Kit]],Table_NFI[NFI Core Kit])</f>
        <v>0</v>
      </c>
      <c r="AA1090" s="294">
        <f>IF(NFI_Expiration=1,IF($A1090&lt;VLOOKUP(J$5,NFI,5,0),1,0)*Table_NFI[[#This Row],[Sanitary Kit]],Table_NFI[Sanitary Kit])</f>
        <v>0</v>
      </c>
      <c r="AB1090" s="294">
        <f>IF(NFI_Expiration=1,IF($A1090&lt;VLOOKUP(K$5,NFI,5,0),1,0)*Table_NFI[[#This Row],[Mosquito net]],Table_NFI[Mosquito net])</f>
        <v>0</v>
      </c>
      <c r="AC1090" s="294">
        <f>IF(NFI_Expiration=1,IF($A1090&lt;VLOOKUP(L$5,NFI,5,0),1,0)*Table_NFI[[#This Row],[Tarpaulin]],Table_NFI[[#This Row],[Tarpaulin]])</f>
        <v>0</v>
      </c>
      <c r="AD1090" s="294">
        <f>IF(NFI_Expiration=1,IF($A1090&lt;VLOOKUP(M$5,NFI,5,0),1,0)*Table_NFI[[#This Row],[Blanket]],Table_NFI[[#This Row],[Blanket]])</f>
        <v>0</v>
      </c>
      <c r="AE1090" s="294">
        <f>IF(NFI_Expiration=1,IF($A1090&lt;VLOOKUP(N$5,NFI,5,0),1,0)*Table_NFI[[#This Row],[Kitchen Set]],Table_NFI[Kitchen Set])</f>
        <v>0</v>
      </c>
      <c r="AF1090" s="294">
        <f>IF(NFI_Expiration=1,IF($A1090&lt;VLOOKUP(O$5,NFI,5,0),1,0)*Table_NFI[[#This Row],[Clothes Kit]],Table_NFI[Clothes Kit])</f>
        <v>0</v>
      </c>
      <c r="AG1090" s="294">
        <f>IF(NFI_Expiration=1,IF($A1090&lt;VLOOKUP(P$5,NFI,5,0),1,0)*Table_NFI[[#This Row],[Plastic Bucket]],Table_NFI[Plastic Bucket])</f>
        <v>0</v>
      </c>
      <c r="AH1090" s="294">
        <f>IF(NFI_Expiration=1,IF($A1090&lt;VLOOKUP(Q$5,NFI,5,0),1,0)*Table_NFI[[#This Row],[Plastic Mat]],Table_NFI[Plastic Mat])*IF(Table_NFI[[#This Row],[Distribution Date]]&gt;"2014-04-01",1,2.5)</f>
        <v>0</v>
      </c>
      <c r="AI1090" s="294">
        <f>IF(NFI_Expiration=1,IF($A1090&lt;VLOOKUP(R$5,NFI,5,0),1,0)*Table_NFI[[#This Row],[Winter Clothes Adult]],Table_NFI[Winter Clothes Adult])</f>
        <v>0</v>
      </c>
      <c r="AJ1090" s="294">
        <f>IF(NFI_Expiration=1,IF($A1090&lt;VLOOKUP(S$5,NFI,5,0),1,0)*Table_NFI[[#This Row],[Winter Clothes Children]],Table_NFI[Winter Clothes Children])</f>
        <v>0</v>
      </c>
      <c r="AK1090" s="294">
        <f>IF(NFI_Expiration=1,IF($A1090&lt;VLOOKUP(T$5,NFI,5,0),1,0)*Table_NFI[[#This Row],[Winter Items Other]],Table_NFI[Winter Items Other])</f>
        <v>0</v>
      </c>
      <c r="AL1090" s="294">
        <f>IF(NFI_Expiration=1,IF($A1090&lt;VLOOKUP(M$5,NFI,5,0),1,0)*Table_NFI[[#This Row],[Winter Blanket]],Table_NFI[[#This Row],[Winter Blanket]])</f>
        <v>0</v>
      </c>
      <c r="AM1090" s="294">
        <f>IF(Table_NFI[[#This Row],[Winter Clothes Adult]]+Table_NFI[[#This Row],[Winter Clothes Children]]+Table_NFI[[#This Row],[Winter Items Other]]+Table_NFI[[#This Row],[Winter Blanket]]&gt;0,1,0)</f>
        <v>0</v>
      </c>
      <c r="AN1090" s="331">
        <f>IF(NFI_Expiration=1,IF($A1090&lt;VLOOKUP(V$5,NFI,5,0),1,0)*Table_NFI[[#This Row],[Jerry Can]],Table_NFI[Jerry Can])</f>
        <v>0</v>
      </c>
      <c r="AO1090" s="331">
        <f>IF(NFI_Expiration=1,IF($A1090&lt;VLOOKUP(V$5,NFI,5,0),1,0)*Table_NFI[[#This Row],[Shelter Tool kit]],Table_NFI[Shelter Tool kit])</f>
        <v>0</v>
      </c>
      <c r="AP1090" s="331">
        <f>IF(NFI_Expiration=1,IF($A1090&lt;VLOOKUP(V$5,NFI,5,0),1,0)*Table_NFI[[#This Row],[Tent]],Table_NFI[Tent])</f>
        <v>0</v>
      </c>
      <c r="AQ1090" s="473" t="str">
        <f>IFERROR(VLOOKUP(Table_NFI[[#This Row],[Camp Name]],CL,2,0),"")</f>
        <v>MMR001CMP017</v>
      </c>
      <c r="AR1090" s="468">
        <f ca="1">IF(Table_NFI[[#This Row],[Pcode]]="","",IF(OFFSET(CampList[Opening Date],MATCH(Table_NFI[[#This Row],[Pcode]],CampList[CP_Pcode],0)-1,0,1,1)&gt;=NFI_Monitor_Date,1,0))</f>
        <v>0</v>
      </c>
      <c r="AS1090" s="473" t="str">
        <f>IFERROR(VLOOKUP(Table_NFI[[#This Row],[Camp Name]],CL,3,0),"")</f>
        <v>Closed</v>
      </c>
      <c r="AT1090" s="294" t="str">
        <f ca="1">IF(Table_NFI[[#This Row],[Pcode]]="","",OFFSET(CampList[Priority],MATCH(Table_NFI[[#This Row],[Pcode]],CampList[CP_Pcode],0)-1,0,1,1))</f>
        <v>P4</v>
      </c>
      <c r="AU1090" s="293" t="str">
        <f>IFERROR(Table_NFI[[#This Row],[Kitchen Set]]/VLOOKUP(Table_NFI[[#This Row],[Camp Name]],CL,4,0),"")</f>
        <v/>
      </c>
      <c r="AV1090" s="466" t="s">
        <v>1092</v>
      </c>
      <c r="AW1090" s="469"/>
    </row>
    <row r="1091" spans="1:49" s="479" customFormat="1" ht="15.75" customHeight="1" x14ac:dyDescent="0.25">
      <c r="A1091" s="297">
        <f t="shared" si="16"/>
        <v>60.833333333333336</v>
      </c>
      <c r="B1091" s="465">
        <v>40850</v>
      </c>
      <c r="C1091" s="466" t="s">
        <v>452</v>
      </c>
      <c r="D1091" s="467" t="s">
        <v>506</v>
      </c>
      <c r="E1091" s="466" t="s">
        <v>380</v>
      </c>
      <c r="F1091" s="290" t="s">
        <v>237</v>
      </c>
      <c r="G1091" s="290" t="s">
        <v>253</v>
      </c>
      <c r="H1091" s="291"/>
      <c r="I1091" s="291"/>
      <c r="J1091" s="291"/>
      <c r="K1091" s="291">
        <v>106</v>
      </c>
      <c r="L1091" s="292">
        <v>52</v>
      </c>
      <c r="M1091" s="292">
        <v>106</v>
      </c>
      <c r="N1091" s="292">
        <v>52</v>
      </c>
      <c r="O1091" s="292">
        <v>52</v>
      </c>
      <c r="P1091" s="294">
        <v>52</v>
      </c>
      <c r="Q1091" s="294">
        <v>52</v>
      </c>
      <c r="R1091" s="294"/>
      <c r="S1091" s="294"/>
      <c r="T1091" s="294"/>
      <c r="U1091" s="294"/>
      <c r="V1091" s="431"/>
      <c r="W1091" s="331"/>
      <c r="X1091" s="331"/>
      <c r="Y1091" s="294">
        <f>IF(NFI_Expiration=1,IF($A1091&lt;VLOOKUP(H$5,NFI,5,0),1,0)*Table_NFI[[#This Row],[Hygiene Kit]],Table_NFI[Hygiene Kit])</f>
        <v>0</v>
      </c>
      <c r="Z1091" s="294">
        <f>IF(NFI_Expiration=1,IF($A1091&lt;VLOOKUP(I$5,NFI,5,0),1,0)*Table_NFI[[#This Row],[NFI Core Kit]],Table_NFI[NFI Core Kit])</f>
        <v>0</v>
      </c>
      <c r="AA1091" s="294">
        <f>IF(NFI_Expiration=1,IF($A1091&lt;VLOOKUP(J$5,NFI,5,0),1,0)*Table_NFI[[#This Row],[Sanitary Kit]],Table_NFI[Sanitary Kit])</f>
        <v>0</v>
      </c>
      <c r="AB1091" s="294">
        <f>IF(NFI_Expiration=1,IF($A1091&lt;VLOOKUP(K$5,NFI,5,0),1,0)*Table_NFI[[#This Row],[Mosquito net]],Table_NFI[Mosquito net])</f>
        <v>0</v>
      </c>
      <c r="AC1091" s="294">
        <f>IF(NFI_Expiration=1,IF($A1091&lt;VLOOKUP(L$5,NFI,5,0),1,0)*Table_NFI[[#This Row],[Tarpaulin]],Table_NFI[[#This Row],[Tarpaulin]])</f>
        <v>0</v>
      </c>
      <c r="AD1091" s="294">
        <f>IF(NFI_Expiration=1,IF($A1091&lt;VLOOKUP(M$5,NFI,5,0),1,0)*Table_NFI[[#This Row],[Blanket]],Table_NFI[[#This Row],[Blanket]])</f>
        <v>0</v>
      </c>
      <c r="AE1091" s="294">
        <f>IF(NFI_Expiration=1,IF($A1091&lt;VLOOKUP(N$5,NFI,5,0),1,0)*Table_NFI[[#This Row],[Kitchen Set]],Table_NFI[Kitchen Set])</f>
        <v>0</v>
      </c>
      <c r="AF1091" s="294">
        <f>IF(NFI_Expiration=1,IF($A1091&lt;VLOOKUP(O$5,NFI,5,0),1,0)*Table_NFI[[#This Row],[Clothes Kit]],Table_NFI[Clothes Kit])</f>
        <v>0</v>
      </c>
      <c r="AG1091" s="294">
        <f>IF(NFI_Expiration=1,IF($A1091&lt;VLOOKUP(P$5,NFI,5,0),1,0)*Table_NFI[[#This Row],[Plastic Bucket]],Table_NFI[Plastic Bucket])</f>
        <v>0</v>
      </c>
      <c r="AH1091" s="294">
        <f>IF(NFI_Expiration=1,IF($A1091&lt;VLOOKUP(Q$5,NFI,5,0),1,0)*Table_NFI[[#This Row],[Plastic Mat]],Table_NFI[Plastic Mat])*IF(Table_NFI[[#This Row],[Distribution Date]]&gt;"2014-04-01",1,2.5)</f>
        <v>0</v>
      </c>
      <c r="AI1091" s="294">
        <f>IF(NFI_Expiration=1,IF($A1091&lt;VLOOKUP(R$5,NFI,5,0),1,0)*Table_NFI[[#This Row],[Winter Clothes Adult]],Table_NFI[Winter Clothes Adult])</f>
        <v>0</v>
      </c>
      <c r="AJ1091" s="294">
        <f>IF(NFI_Expiration=1,IF($A1091&lt;VLOOKUP(S$5,NFI,5,0),1,0)*Table_NFI[[#This Row],[Winter Clothes Children]],Table_NFI[Winter Clothes Children])</f>
        <v>0</v>
      </c>
      <c r="AK1091" s="294">
        <f>IF(NFI_Expiration=1,IF($A1091&lt;VLOOKUP(T$5,NFI,5,0),1,0)*Table_NFI[[#This Row],[Winter Items Other]],Table_NFI[Winter Items Other])</f>
        <v>0</v>
      </c>
      <c r="AL1091" s="294">
        <f>IF(NFI_Expiration=1,IF($A1091&lt;VLOOKUP(M$5,NFI,5,0),1,0)*Table_NFI[[#This Row],[Winter Blanket]],Table_NFI[[#This Row],[Winter Blanket]])</f>
        <v>0</v>
      </c>
      <c r="AM1091" s="294">
        <f>IF(Table_NFI[[#This Row],[Winter Clothes Adult]]+Table_NFI[[#This Row],[Winter Clothes Children]]+Table_NFI[[#This Row],[Winter Items Other]]+Table_NFI[[#This Row],[Winter Blanket]]&gt;0,1,0)</f>
        <v>0</v>
      </c>
      <c r="AN1091" s="331">
        <f>IF(NFI_Expiration=1,IF($A1091&lt;VLOOKUP(V$5,NFI,5,0),1,0)*Table_NFI[[#This Row],[Jerry Can]],Table_NFI[Jerry Can])</f>
        <v>0</v>
      </c>
      <c r="AO1091" s="331">
        <f>IF(NFI_Expiration=1,IF($A1091&lt;VLOOKUP(V$5,NFI,5,0),1,0)*Table_NFI[[#This Row],[Shelter Tool kit]],Table_NFI[Shelter Tool kit])</f>
        <v>0</v>
      </c>
      <c r="AP1091" s="331">
        <f>IF(NFI_Expiration=1,IF($A1091&lt;VLOOKUP(V$5,NFI,5,0),1,0)*Table_NFI[[#This Row],[Tent]],Table_NFI[Tent])</f>
        <v>0</v>
      </c>
      <c r="AQ1091" s="473" t="str">
        <f>IFERROR(VLOOKUP(Table_NFI[[#This Row],[Camp Name]],CL,2,0),"")</f>
        <v>MMR001CMP018</v>
      </c>
      <c r="AR1091" s="468">
        <f ca="1">IF(Table_NFI[[#This Row],[Pcode]]="","",IF(OFFSET(CampList[Opening Date],MATCH(Table_NFI[[#This Row],[Pcode]],CampList[CP_Pcode],0)-1,0,1,1)&gt;=NFI_Monitor_Date,1,0))</f>
        <v>0</v>
      </c>
      <c r="AS1091" s="473" t="str">
        <f>IFERROR(VLOOKUP(Table_NFI[[#This Row],[Camp Name]],CL,3,0),"")</f>
        <v>Open</v>
      </c>
      <c r="AT1091" s="294" t="str">
        <f ca="1">IF(Table_NFI[[#This Row],[Pcode]]="","",OFFSET(CampList[Priority],MATCH(Table_NFI[[#This Row],[Pcode]],CampList[CP_Pcode],0)-1,0,1,1))</f>
        <v>P4</v>
      </c>
      <c r="AU1091" s="293">
        <f>IFERROR(Table_NFI[[#This Row],[Kitchen Set]]/VLOOKUP(Table_NFI[[#This Row],[Camp Name]],CL,4,0),"")</f>
        <v>0.26262626262626265</v>
      </c>
      <c r="AV1091" s="466" t="s">
        <v>1092</v>
      </c>
      <c r="AW1091" s="469"/>
    </row>
    <row r="1092" spans="1:49" s="479" customFormat="1" ht="15.75" customHeight="1" x14ac:dyDescent="0.25">
      <c r="A1092" s="297">
        <f t="shared" si="16"/>
        <v>60.833333333333336</v>
      </c>
      <c r="B1092" s="465">
        <v>40850</v>
      </c>
      <c r="C1092" s="466" t="s">
        <v>452</v>
      </c>
      <c r="D1092" s="467" t="s">
        <v>460</v>
      </c>
      <c r="E1092" s="466" t="s">
        <v>380</v>
      </c>
      <c r="F1092" s="290" t="s">
        <v>237</v>
      </c>
      <c r="G1092" s="290" t="s">
        <v>285</v>
      </c>
      <c r="H1092" s="291"/>
      <c r="I1092" s="291"/>
      <c r="J1092" s="291"/>
      <c r="K1092" s="291">
        <v>116</v>
      </c>
      <c r="L1092" s="292">
        <v>49</v>
      </c>
      <c r="M1092" s="292">
        <v>116</v>
      </c>
      <c r="N1092" s="292">
        <v>49</v>
      </c>
      <c r="O1092" s="292">
        <v>49</v>
      </c>
      <c r="P1092" s="294">
        <v>49</v>
      </c>
      <c r="Q1092" s="294">
        <v>49</v>
      </c>
      <c r="R1092" s="294"/>
      <c r="S1092" s="294"/>
      <c r="T1092" s="294"/>
      <c r="U1092" s="294"/>
      <c r="V1092" s="431"/>
      <c r="W1092" s="331"/>
      <c r="X1092" s="331"/>
      <c r="Y1092" s="294">
        <f>IF(NFI_Expiration=1,IF($A1092&lt;VLOOKUP(H$5,NFI,5,0),1,0)*Table_NFI[[#This Row],[Hygiene Kit]],Table_NFI[Hygiene Kit])</f>
        <v>0</v>
      </c>
      <c r="Z1092" s="294">
        <f>IF(NFI_Expiration=1,IF($A1092&lt;VLOOKUP(I$5,NFI,5,0),1,0)*Table_NFI[[#This Row],[NFI Core Kit]],Table_NFI[NFI Core Kit])</f>
        <v>0</v>
      </c>
      <c r="AA1092" s="294">
        <f>IF(NFI_Expiration=1,IF($A1092&lt;VLOOKUP(J$5,NFI,5,0),1,0)*Table_NFI[[#This Row],[Sanitary Kit]],Table_NFI[Sanitary Kit])</f>
        <v>0</v>
      </c>
      <c r="AB1092" s="294">
        <f>IF(NFI_Expiration=1,IF($A1092&lt;VLOOKUP(K$5,NFI,5,0),1,0)*Table_NFI[[#This Row],[Mosquito net]],Table_NFI[Mosquito net])</f>
        <v>0</v>
      </c>
      <c r="AC1092" s="294">
        <f>IF(NFI_Expiration=1,IF($A1092&lt;VLOOKUP(L$5,NFI,5,0),1,0)*Table_NFI[[#This Row],[Tarpaulin]],Table_NFI[[#This Row],[Tarpaulin]])</f>
        <v>0</v>
      </c>
      <c r="AD1092" s="294">
        <f>IF(NFI_Expiration=1,IF($A1092&lt;VLOOKUP(M$5,NFI,5,0),1,0)*Table_NFI[[#This Row],[Blanket]],Table_NFI[[#This Row],[Blanket]])</f>
        <v>0</v>
      </c>
      <c r="AE1092" s="294">
        <f>IF(NFI_Expiration=1,IF($A1092&lt;VLOOKUP(N$5,NFI,5,0),1,0)*Table_NFI[[#This Row],[Kitchen Set]],Table_NFI[Kitchen Set])</f>
        <v>0</v>
      </c>
      <c r="AF1092" s="294">
        <f>IF(NFI_Expiration=1,IF($A1092&lt;VLOOKUP(O$5,NFI,5,0),1,0)*Table_NFI[[#This Row],[Clothes Kit]],Table_NFI[Clothes Kit])</f>
        <v>0</v>
      </c>
      <c r="AG1092" s="294">
        <f>IF(NFI_Expiration=1,IF($A1092&lt;VLOOKUP(P$5,NFI,5,0),1,0)*Table_NFI[[#This Row],[Plastic Bucket]],Table_NFI[Plastic Bucket])</f>
        <v>0</v>
      </c>
      <c r="AH1092" s="294">
        <f>IF(NFI_Expiration=1,IF($A1092&lt;VLOOKUP(Q$5,NFI,5,0),1,0)*Table_NFI[[#This Row],[Plastic Mat]],Table_NFI[Plastic Mat])*IF(Table_NFI[[#This Row],[Distribution Date]]&gt;"2014-04-01",1,2.5)</f>
        <v>0</v>
      </c>
      <c r="AI1092" s="294">
        <f>IF(NFI_Expiration=1,IF($A1092&lt;VLOOKUP(R$5,NFI,5,0),1,0)*Table_NFI[[#This Row],[Winter Clothes Adult]],Table_NFI[Winter Clothes Adult])</f>
        <v>0</v>
      </c>
      <c r="AJ1092" s="294">
        <f>IF(NFI_Expiration=1,IF($A1092&lt;VLOOKUP(S$5,NFI,5,0),1,0)*Table_NFI[[#This Row],[Winter Clothes Children]],Table_NFI[Winter Clothes Children])</f>
        <v>0</v>
      </c>
      <c r="AK1092" s="294">
        <f>IF(NFI_Expiration=1,IF($A1092&lt;VLOOKUP(T$5,NFI,5,0),1,0)*Table_NFI[[#This Row],[Winter Items Other]],Table_NFI[Winter Items Other])</f>
        <v>0</v>
      </c>
      <c r="AL1092" s="294">
        <f>IF(NFI_Expiration=1,IF($A1092&lt;VLOOKUP(M$5,NFI,5,0),1,0)*Table_NFI[[#This Row],[Winter Blanket]],Table_NFI[[#This Row],[Winter Blanket]])</f>
        <v>0</v>
      </c>
      <c r="AM1092" s="294">
        <f>IF(Table_NFI[[#This Row],[Winter Clothes Adult]]+Table_NFI[[#This Row],[Winter Clothes Children]]+Table_NFI[[#This Row],[Winter Items Other]]+Table_NFI[[#This Row],[Winter Blanket]]&gt;0,1,0)</f>
        <v>0</v>
      </c>
      <c r="AN1092" s="331">
        <f>IF(NFI_Expiration=1,IF($A1092&lt;VLOOKUP(V$5,NFI,5,0),1,0)*Table_NFI[[#This Row],[Jerry Can]],Table_NFI[Jerry Can])</f>
        <v>0</v>
      </c>
      <c r="AO1092" s="331">
        <f>IF(NFI_Expiration=1,IF($A1092&lt;VLOOKUP(V$5,NFI,5,0),1,0)*Table_NFI[[#This Row],[Shelter Tool kit]],Table_NFI[Shelter Tool kit])</f>
        <v>0</v>
      </c>
      <c r="AP1092" s="331">
        <f>IF(NFI_Expiration=1,IF($A1092&lt;VLOOKUP(V$5,NFI,5,0),1,0)*Table_NFI[[#This Row],[Tent]],Table_NFI[Tent])</f>
        <v>0</v>
      </c>
      <c r="AQ1092" s="473" t="str">
        <f>IFERROR(VLOOKUP(Table_NFI[[#This Row],[Camp Name]],CL,2,0),"")</f>
        <v>MMR001CMP014</v>
      </c>
      <c r="AR1092" s="468">
        <f ca="1">IF(Table_NFI[[#This Row],[Pcode]]="","",IF(OFFSET(CampList[Opening Date],MATCH(Table_NFI[[#This Row],[Pcode]],CampList[CP_Pcode],0)-1,0,1,1)&gt;=NFI_Monitor_Date,1,0))</f>
        <v>0</v>
      </c>
      <c r="AS1092" s="473" t="str">
        <f>IFERROR(VLOOKUP(Table_NFI[[#This Row],[Camp Name]],CL,3,0),"")</f>
        <v>Open</v>
      </c>
      <c r="AT1092" s="294" t="str">
        <f ca="1">IF(Table_NFI[[#This Row],[Pcode]]="","",OFFSET(CampList[Priority],MATCH(Table_NFI[[#This Row],[Pcode]],CampList[CP_Pcode],0)-1,0,1,1))</f>
        <v>P4</v>
      </c>
      <c r="AU1092" s="293">
        <f>IFERROR(Table_NFI[[#This Row],[Kitchen Set]]/VLOOKUP(Table_NFI[[#This Row],[Camp Name]],CL,4,0),"")</f>
        <v>0.57647058823529407</v>
      </c>
      <c r="AV1092" s="466" t="s">
        <v>1092</v>
      </c>
      <c r="AW1092" s="469"/>
    </row>
    <row r="1093" spans="1:49" s="479" customFormat="1" ht="15.75" customHeight="1" x14ac:dyDescent="0.25">
      <c r="A1093" s="297">
        <f t="shared" si="16"/>
        <v>60.833333333333336</v>
      </c>
      <c r="B1093" s="465">
        <v>40850</v>
      </c>
      <c r="C1093" s="466" t="s">
        <v>452</v>
      </c>
      <c r="D1093" s="467" t="s">
        <v>506</v>
      </c>
      <c r="E1093" s="466" t="s">
        <v>380</v>
      </c>
      <c r="F1093" s="290" t="s">
        <v>237</v>
      </c>
      <c r="G1093" s="290" t="s">
        <v>281</v>
      </c>
      <c r="H1093" s="291"/>
      <c r="I1093" s="291"/>
      <c r="J1093" s="291"/>
      <c r="K1093" s="291">
        <v>18</v>
      </c>
      <c r="L1093" s="292">
        <v>8</v>
      </c>
      <c r="M1093" s="292">
        <v>18</v>
      </c>
      <c r="N1093" s="292">
        <v>8</v>
      </c>
      <c r="O1093" s="292">
        <v>8</v>
      </c>
      <c r="P1093" s="294">
        <v>8</v>
      </c>
      <c r="Q1093" s="294">
        <v>8</v>
      </c>
      <c r="R1093" s="294"/>
      <c r="S1093" s="294"/>
      <c r="T1093" s="294"/>
      <c r="U1093" s="294"/>
      <c r="V1093" s="431"/>
      <c r="W1093" s="331"/>
      <c r="X1093" s="331"/>
      <c r="Y1093" s="294">
        <f>IF(NFI_Expiration=1,IF($A1093&lt;VLOOKUP(H$5,NFI,5,0),1,0)*Table_NFI[[#This Row],[Hygiene Kit]],Table_NFI[Hygiene Kit])</f>
        <v>0</v>
      </c>
      <c r="Z1093" s="294">
        <f>IF(NFI_Expiration=1,IF($A1093&lt;VLOOKUP(I$5,NFI,5,0),1,0)*Table_NFI[[#This Row],[NFI Core Kit]],Table_NFI[NFI Core Kit])</f>
        <v>0</v>
      </c>
      <c r="AA1093" s="294">
        <f>IF(NFI_Expiration=1,IF($A1093&lt;VLOOKUP(J$5,NFI,5,0),1,0)*Table_NFI[[#This Row],[Sanitary Kit]],Table_NFI[Sanitary Kit])</f>
        <v>0</v>
      </c>
      <c r="AB1093" s="294">
        <f>IF(NFI_Expiration=1,IF($A1093&lt;VLOOKUP(K$5,NFI,5,0),1,0)*Table_NFI[[#This Row],[Mosquito net]],Table_NFI[Mosquito net])</f>
        <v>0</v>
      </c>
      <c r="AC1093" s="294">
        <f>IF(NFI_Expiration=1,IF($A1093&lt;VLOOKUP(L$5,NFI,5,0),1,0)*Table_NFI[[#This Row],[Tarpaulin]],Table_NFI[[#This Row],[Tarpaulin]])</f>
        <v>0</v>
      </c>
      <c r="AD1093" s="294">
        <f>IF(NFI_Expiration=1,IF($A1093&lt;VLOOKUP(M$5,NFI,5,0),1,0)*Table_NFI[[#This Row],[Blanket]],Table_NFI[[#This Row],[Blanket]])</f>
        <v>0</v>
      </c>
      <c r="AE1093" s="294">
        <f>IF(NFI_Expiration=1,IF($A1093&lt;VLOOKUP(N$5,NFI,5,0),1,0)*Table_NFI[[#This Row],[Kitchen Set]],Table_NFI[Kitchen Set])</f>
        <v>0</v>
      </c>
      <c r="AF1093" s="294">
        <f>IF(NFI_Expiration=1,IF($A1093&lt;VLOOKUP(O$5,NFI,5,0),1,0)*Table_NFI[[#This Row],[Clothes Kit]],Table_NFI[Clothes Kit])</f>
        <v>0</v>
      </c>
      <c r="AG1093" s="294">
        <f>IF(NFI_Expiration=1,IF($A1093&lt;VLOOKUP(P$5,NFI,5,0),1,0)*Table_NFI[[#This Row],[Plastic Bucket]],Table_NFI[Plastic Bucket])</f>
        <v>0</v>
      </c>
      <c r="AH1093" s="294">
        <f>IF(NFI_Expiration=1,IF($A1093&lt;VLOOKUP(Q$5,NFI,5,0),1,0)*Table_NFI[[#This Row],[Plastic Mat]],Table_NFI[Plastic Mat])*IF(Table_NFI[[#This Row],[Distribution Date]]&gt;"2014-04-01",1,2.5)</f>
        <v>0</v>
      </c>
      <c r="AI1093" s="294">
        <f>IF(NFI_Expiration=1,IF($A1093&lt;VLOOKUP(R$5,NFI,5,0),1,0)*Table_NFI[[#This Row],[Winter Clothes Adult]],Table_NFI[Winter Clothes Adult])</f>
        <v>0</v>
      </c>
      <c r="AJ1093" s="294">
        <f>IF(NFI_Expiration=1,IF($A1093&lt;VLOOKUP(S$5,NFI,5,0),1,0)*Table_NFI[[#This Row],[Winter Clothes Children]],Table_NFI[Winter Clothes Children])</f>
        <v>0</v>
      </c>
      <c r="AK1093" s="294">
        <f>IF(NFI_Expiration=1,IF($A1093&lt;VLOOKUP(T$5,NFI,5,0),1,0)*Table_NFI[[#This Row],[Winter Items Other]],Table_NFI[Winter Items Other])</f>
        <v>0</v>
      </c>
      <c r="AL1093" s="294">
        <f>IF(NFI_Expiration=1,IF($A1093&lt;VLOOKUP(M$5,NFI,5,0),1,0)*Table_NFI[[#This Row],[Winter Blanket]],Table_NFI[[#This Row],[Winter Blanket]])</f>
        <v>0</v>
      </c>
      <c r="AM1093" s="294">
        <f>IF(Table_NFI[[#This Row],[Winter Clothes Adult]]+Table_NFI[[#This Row],[Winter Clothes Children]]+Table_NFI[[#This Row],[Winter Items Other]]+Table_NFI[[#This Row],[Winter Blanket]]&gt;0,1,0)</f>
        <v>0</v>
      </c>
      <c r="AN1093" s="331">
        <f>IF(NFI_Expiration=1,IF($A1093&lt;VLOOKUP(V$5,NFI,5,0),1,0)*Table_NFI[[#This Row],[Jerry Can]],Table_NFI[Jerry Can])</f>
        <v>0</v>
      </c>
      <c r="AO1093" s="331">
        <f>IF(NFI_Expiration=1,IF($A1093&lt;VLOOKUP(V$5,NFI,5,0),1,0)*Table_NFI[[#This Row],[Shelter Tool kit]],Table_NFI[Shelter Tool kit])</f>
        <v>0</v>
      </c>
      <c r="AP1093" s="331">
        <f>IF(NFI_Expiration=1,IF($A1093&lt;VLOOKUP(V$5,NFI,5,0),1,0)*Table_NFI[[#This Row],[Tent]],Table_NFI[Tent])</f>
        <v>0</v>
      </c>
      <c r="AQ1093" s="473" t="str">
        <f>IFERROR(VLOOKUP(Table_NFI[[#This Row],[Camp Name]],CL,2,0),"")</f>
        <v>MMR001CMP009</v>
      </c>
      <c r="AR1093" s="468">
        <f ca="1">IF(Table_NFI[[#This Row],[Pcode]]="","",IF(OFFSET(CampList[Opening Date],MATCH(Table_NFI[[#This Row],[Pcode]],CampList[CP_Pcode],0)-1,0,1,1)&gt;=NFI_Monitor_Date,1,0))</f>
        <v>0</v>
      </c>
      <c r="AS1093" s="473" t="str">
        <f>IFERROR(VLOOKUP(Table_NFI[[#This Row],[Camp Name]],CL,3,0),"")</f>
        <v>Open</v>
      </c>
      <c r="AT1093" s="294" t="str">
        <f ca="1">IF(Table_NFI[[#This Row],[Pcode]]="","",OFFSET(CampList[Priority],MATCH(Table_NFI[[#This Row],[Pcode]],CampList[CP_Pcode],0)-1,0,1,1))</f>
        <v>P4</v>
      </c>
      <c r="AU1093" s="293">
        <f>IFERROR(Table_NFI[[#This Row],[Kitchen Set]]/VLOOKUP(Table_NFI[[#This Row],[Camp Name]],CL,4,0),"")</f>
        <v>0.1095890410958904</v>
      </c>
      <c r="AV1093" s="466" t="s">
        <v>1092</v>
      </c>
      <c r="AW1093" s="469"/>
    </row>
    <row r="1094" spans="1:49" s="479" customFormat="1" ht="14.45" customHeight="1" x14ac:dyDescent="0.25">
      <c r="A1094" s="297">
        <f t="shared" ref="A1094:A1157" si="17">IF(ISBLANK(B1094),"",(Report_Date-B1094)/30)</f>
        <v>60.833333333333336</v>
      </c>
      <c r="B1094" s="465">
        <v>40850</v>
      </c>
      <c r="C1094" s="466" t="s">
        <v>452</v>
      </c>
      <c r="D1094" s="467" t="s">
        <v>460</v>
      </c>
      <c r="E1094" s="466" t="s">
        <v>380</v>
      </c>
      <c r="F1094" s="290" t="s">
        <v>237</v>
      </c>
      <c r="G1094" s="290" t="s">
        <v>238</v>
      </c>
      <c r="H1094" s="291"/>
      <c r="I1094" s="291"/>
      <c r="J1094" s="291"/>
      <c r="K1094" s="291">
        <v>73</v>
      </c>
      <c r="L1094" s="292">
        <v>34</v>
      </c>
      <c r="M1094" s="292">
        <v>73</v>
      </c>
      <c r="N1094" s="292">
        <v>34</v>
      </c>
      <c r="O1094" s="292">
        <v>34</v>
      </c>
      <c r="P1094" s="294">
        <v>34</v>
      </c>
      <c r="Q1094" s="294">
        <v>34</v>
      </c>
      <c r="R1094" s="294"/>
      <c r="S1094" s="294"/>
      <c r="T1094" s="294"/>
      <c r="U1094" s="294"/>
      <c r="V1094" s="431"/>
      <c r="W1094" s="331"/>
      <c r="X1094" s="331"/>
      <c r="Y1094" s="294">
        <f>IF(NFI_Expiration=1,IF($A1094&lt;VLOOKUP(H$5,NFI,5,0),1,0)*Table_NFI[[#This Row],[Hygiene Kit]],Table_NFI[Hygiene Kit])</f>
        <v>0</v>
      </c>
      <c r="Z1094" s="294">
        <f>IF(NFI_Expiration=1,IF($A1094&lt;VLOOKUP(I$5,NFI,5,0),1,0)*Table_NFI[[#This Row],[NFI Core Kit]],Table_NFI[NFI Core Kit])</f>
        <v>0</v>
      </c>
      <c r="AA1094" s="294">
        <f>IF(NFI_Expiration=1,IF($A1094&lt;VLOOKUP(J$5,NFI,5,0),1,0)*Table_NFI[[#This Row],[Sanitary Kit]],Table_NFI[Sanitary Kit])</f>
        <v>0</v>
      </c>
      <c r="AB1094" s="294">
        <f>IF(NFI_Expiration=1,IF($A1094&lt;VLOOKUP(K$5,NFI,5,0),1,0)*Table_NFI[[#This Row],[Mosquito net]],Table_NFI[Mosquito net])</f>
        <v>0</v>
      </c>
      <c r="AC1094" s="294">
        <f>IF(NFI_Expiration=1,IF($A1094&lt;VLOOKUP(L$5,NFI,5,0),1,0)*Table_NFI[[#This Row],[Tarpaulin]],Table_NFI[[#This Row],[Tarpaulin]])</f>
        <v>0</v>
      </c>
      <c r="AD1094" s="294">
        <f>IF(NFI_Expiration=1,IF($A1094&lt;VLOOKUP(M$5,NFI,5,0),1,0)*Table_NFI[[#This Row],[Blanket]],Table_NFI[[#This Row],[Blanket]])</f>
        <v>0</v>
      </c>
      <c r="AE1094" s="294">
        <f>IF(NFI_Expiration=1,IF($A1094&lt;VLOOKUP(N$5,NFI,5,0),1,0)*Table_NFI[[#This Row],[Kitchen Set]],Table_NFI[Kitchen Set])</f>
        <v>0</v>
      </c>
      <c r="AF1094" s="294">
        <f>IF(NFI_Expiration=1,IF($A1094&lt;VLOOKUP(O$5,NFI,5,0),1,0)*Table_NFI[[#This Row],[Clothes Kit]],Table_NFI[Clothes Kit])</f>
        <v>0</v>
      </c>
      <c r="AG1094" s="294">
        <f>IF(NFI_Expiration=1,IF($A1094&lt;VLOOKUP(P$5,NFI,5,0),1,0)*Table_NFI[[#This Row],[Plastic Bucket]],Table_NFI[Plastic Bucket])</f>
        <v>0</v>
      </c>
      <c r="AH1094" s="294">
        <f>IF(NFI_Expiration=1,IF($A1094&lt;VLOOKUP(Q$5,NFI,5,0),1,0)*Table_NFI[[#This Row],[Plastic Mat]],Table_NFI[Plastic Mat])*IF(Table_NFI[[#This Row],[Distribution Date]]&gt;"2014-04-01",1,2.5)</f>
        <v>0</v>
      </c>
      <c r="AI1094" s="294">
        <f>IF(NFI_Expiration=1,IF($A1094&lt;VLOOKUP(R$5,NFI,5,0),1,0)*Table_NFI[[#This Row],[Winter Clothes Adult]],Table_NFI[Winter Clothes Adult])</f>
        <v>0</v>
      </c>
      <c r="AJ1094" s="294">
        <f>IF(NFI_Expiration=1,IF($A1094&lt;VLOOKUP(S$5,NFI,5,0),1,0)*Table_NFI[[#This Row],[Winter Clothes Children]],Table_NFI[Winter Clothes Children])</f>
        <v>0</v>
      </c>
      <c r="AK1094" s="294">
        <f>IF(NFI_Expiration=1,IF($A1094&lt;VLOOKUP(T$5,NFI,5,0),1,0)*Table_NFI[[#This Row],[Winter Items Other]],Table_NFI[Winter Items Other])</f>
        <v>0</v>
      </c>
      <c r="AL1094" s="294">
        <f>IF(NFI_Expiration=1,IF($A1094&lt;VLOOKUP(M$5,NFI,5,0),1,0)*Table_NFI[[#This Row],[Winter Blanket]],Table_NFI[[#This Row],[Winter Blanket]])</f>
        <v>0</v>
      </c>
      <c r="AM1094" s="294">
        <f>IF(Table_NFI[[#This Row],[Winter Clothes Adult]]+Table_NFI[[#This Row],[Winter Clothes Children]]+Table_NFI[[#This Row],[Winter Items Other]]+Table_NFI[[#This Row],[Winter Blanket]]&gt;0,1,0)</f>
        <v>0</v>
      </c>
      <c r="AN1094" s="331">
        <f>IF(NFI_Expiration=1,IF($A1094&lt;VLOOKUP(V$5,NFI,5,0),1,0)*Table_NFI[[#This Row],[Jerry Can]],Table_NFI[Jerry Can])</f>
        <v>0</v>
      </c>
      <c r="AO1094" s="331">
        <f>IF(NFI_Expiration=1,IF($A1094&lt;VLOOKUP(V$5,NFI,5,0),1,0)*Table_NFI[[#This Row],[Shelter Tool kit]],Table_NFI[Shelter Tool kit])</f>
        <v>0</v>
      </c>
      <c r="AP1094" s="331">
        <f>IF(NFI_Expiration=1,IF($A1094&lt;VLOOKUP(V$5,NFI,5,0),1,0)*Table_NFI[[#This Row],[Tent]],Table_NFI[Tent])</f>
        <v>0</v>
      </c>
      <c r="AQ1094" s="473" t="str">
        <f>IFERROR(VLOOKUP(Table_NFI[[#This Row],[Camp Name]],CL,2,0),"")</f>
        <v>MMR001CMP001</v>
      </c>
      <c r="AR1094" s="468">
        <f ca="1">IF(Table_NFI[[#This Row],[Pcode]]="","",IF(OFFSET(CampList[Opening Date],MATCH(Table_NFI[[#This Row],[Pcode]],CampList[CP_Pcode],0)-1,0,1,1)&gt;=NFI_Monitor_Date,1,0))</f>
        <v>0</v>
      </c>
      <c r="AS1094" s="473" t="str">
        <f>IFERROR(VLOOKUP(Table_NFI[[#This Row],[Camp Name]],CL,3,0),"")</f>
        <v>Open</v>
      </c>
      <c r="AT1094" s="294" t="str">
        <f ca="1">IF(Table_NFI[[#This Row],[Pcode]]="","",OFFSET(CampList[Priority],MATCH(Table_NFI[[#This Row],[Pcode]],CampList[CP_Pcode],0)-1,0,1,1))</f>
        <v>P4</v>
      </c>
      <c r="AU1094" s="293">
        <f>IFERROR(Table_NFI[[#This Row],[Kitchen Set]]/VLOOKUP(Table_NFI[[#This Row],[Camp Name]],CL,4,0),"")</f>
        <v>0.70833333333333337</v>
      </c>
      <c r="AV1094" s="466" t="s">
        <v>1092</v>
      </c>
      <c r="AW1094" s="469"/>
    </row>
    <row r="1095" spans="1:49" s="479" customFormat="1" ht="15.75" customHeight="1" x14ac:dyDescent="0.25">
      <c r="A1095" s="297">
        <f t="shared" si="17"/>
        <v>60.833333333333336</v>
      </c>
      <c r="B1095" s="465">
        <v>40850</v>
      </c>
      <c r="C1095" s="466" t="s">
        <v>452</v>
      </c>
      <c r="D1095" s="467" t="s">
        <v>506</v>
      </c>
      <c r="E1095" s="466" t="s">
        <v>380</v>
      </c>
      <c r="F1095" s="290" t="s">
        <v>237</v>
      </c>
      <c r="G1095" s="290" t="s">
        <v>249</v>
      </c>
      <c r="H1095" s="291"/>
      <c r="I1095" s="291"/>
      <c r="J1095" s="291"/>
      <c r="K1095" s="291">
        <v>18</v>
      </c>
      <c r="L1095" s="292">
        <v>8</v>
      </c>
      <c r="M1095" s="292">
        <v>18</v>
      </c>
      <c r="N1095" s="292">
        <v>8</v>
      </c>
      <c r="O1095" s="292">
        <v>8</v>
      </c>
      <c r="P1095" s="294">
        <v>8</v>
      </c>
      <c r="Q1095" s="294">
        <v>8</v>
      </c>
      <c r="R1095" s="294"/>
      <c r="S1095" s="294"/>
      <c r="T1095" s="294"/>
      <c r="U1095" s="294"/>
      <c r="V1095" s="431"/>
      <c r="W1095" s="331"/>
      <c r="X1095" s="331"/>
      <c r="Y1095" s="294">
        <f>IF(NFI_Expiration=1,IF($A1095&lt;VLOOKUP(H$5,NFI,5,0),1,0)*Table_NFI[[#This Row],[Hygiene Kit]],Table_NFI[Hygiene Kit])</f>
        <v>0</v>
      </c>
      <c r="Z1095" s="294">
        <f>IF(NFI_Expiration=1,IF($A1095&lt;VLOOKUP(I$5,NFI,5,0),1,0)*Table_NFI[[#This Row],[NFI Core Kit]],Table_NFI[NFI Core Kit])</f>
        <v>0</v>
      </c>
      <c r="AA1095" s="294">
        <f>IF(NFI_Expiration=1,IF($A1095&lt;VLOOKUP(J$5,NFI,5,0),1,0)*Table_NFI[[#This Row],[Sanitary Kit]],Table_NFI[Sanitary Kit])</f>
        <v>0</v>
      </c>
      <c r="AB1095" s="294">
        <f>IF(NFI_Expiration=1,IF($A1095&lt;VLOOKUP(K$5,NFI,5,0),1,0)*Table_NFI[[#This Row],[Mosquito net]],Table_NFI[Mosquito net])</f>
        <v>0</v>
      </c>
      <c r="AC1095" s="294">
        <f>IF(NFI_Expiration=1,IF($A1095&lt;VLOOKUP(L$5,NFI,5,0),1,0)*Table_NFI[[#This Row],[Tarpaulin]],Table_NFI[[#This Row],[Tarpaulin]])</f>
        <v>0</v>
      </c>
      <c r="AD1095" s="294">
        <f>IF(NFI_Expiration=1,IF($A1095&lt;VLOOKUP(M$5,NFI,5,0),1,0)*Table_NFI[[#This Row],[Blanket]],Table_NFI[[#This Row],[Blanket]])</f>
        <v>0</v>
      </c>
      <c r="AE1095" s="294">
        <f>IF(NFI_Expiration=1,IF($A1095&lt;VLOOKUP(N$5,NFI,5,0),1,0)*Table_NFI[[#This Row],[Kitchen Set]],Table_NFI[Kitchen Set])</f>
        <v>0</v>
      </c>
      <c r="AF1095" s="294">
        <f>IF(NFI_Expiration=1,IF($A1095&lt;VLOOKUP(O$5,NFI,5,0),1,0)*Table_NFI[[#This Row],[Clothes Kit]],Table_NFI[Clothes Kit])</f>
        <v>0</v>
      </c>
      <c r="AG1095" s="294">
        <f>IF(NFI_Expiration=1,IF($A1095&lt;VLOOKUP(P$5,NFI,5,0),1,0)*Table_NFI[[#This Row],[Plastic Bucket]],Table_NFI[Plastic Bucket])</f>
        <v>0</v>
      </c>
      <c r="AH1095" s="294">
        <f>IF(NFI_Expiration=1,IF($A1095&lt;VLOOKUP(Q$5,NFI,5,0),1,0)*Table_NFI[[#This Row],[Plastic Mat]],Table_NFI[Plastic Mat])*IF(Table_NFI[[#This Row],[Distribution Date]]&gt;"2014-04-01",1,2.5)</f>
        <v>0</v>
      </c>
      <c r="AI1095" s="294">
        <f>IF(NFI_Expiration=1,IF($A1095&lt;VLOOKUP(R$5,NFI,5,0),1,0)*Table_NFI[[#This Row],[Winter Clothes Adult]],Table_NFI[Winter Clothes Adult])</f>
        <v>0</v>
      </c>
      <c r="AJ1095" s="294">
        <f>IF(NFI_Expiration=1,IF($A1095&lt;VLOOKUP(S$5,NFI,5,0),1,0)*Table_NFI[[#This Row],[Winter Clothes Children]],Table_NFI[Winter Clothes Children])</f>
        <v>0</v>
      </c>
      <c r="AK1095" s="294">
        <f>IF(NFI_Expiration=1,IF($A1095&lt;VLOOKUP(T$5,NFI,5,0),1,0)*Table_NFI[[#This Row],[Winter Items Other]],Table_NFI[Winter Items Other])</f>
        <v>0</v>
      </c>
      <c r="AL1095" s="294">
        <f>IF(NFI_Expiration=1,IF($A1095&lt;VLOOKUP(M$5,NFI,5,0),1,0)*Table_NFI[[#This Row],[Winter Blanket]],Table_NFI[[#This Row],[Winter Blanket]])</f>
        <v>0</v>
      </c>
      <c r="AM1095" s="294">
        <f>IF(Table_NFI[[#This Row],[Winter Clothes Adult]]+Table_NFI[[#This Row],[Winter Clothes Children]]+Table_NFI[[#This Row],[Winter Items Other]]+Table_NFI[[#This Row],[Winter Blanket]]&gt;0,1,0)</f>
        <v>0</v>
      </c>
      <c r="AN1095" s="331">
        <f>IF(NFI_Expiration=1,IF($A1095&lt;VLOOKUP(V$5,NFI,5,0),1,0)*Table_NFI[[#This Row],[Jerry Can]],Table_NFI[Jerry Can])</f>
        <v>0</v>
      </c>
      <c r="AO1095" s="331">
        <f>IF(NFI_Expiration=1,IF($A1095&lt;VLOOKUP(V$5,NFI,5,0),1,0)*Table_NFI[[#This Row],[Shelter Tool kit]],Table_NFI[Shelter Tool kit])</f>
        <v>0</v>
      </c>
      <c r="AP1095" s="331">
        <f>IF(NFI_Expiration=1,IF($A1095&lt;VLOOKUP(V$5,NFI,5,0),1,0)*Table_NFI[[#This Row],[Tent]],Table_NFI[Tent])</f>
        <v>0</v>
      </c>
      <c r="AQ1095" s="473" t="str">
        <f>IFERROR(VLOOKUP(Table_NFI[[#This Row],[Camp Name]],CL,2,0),"")</f>
        <v>MMR001CMP004</v>
      </c>
      <c r="AR1095" s="468">
        <f ca="1">IF(Table_NFI[[#This Row],[Pcode]]="","",IF(OFFSET(CampList[Opening Date],MATCH(Table_NFI[[#This Row],[Pcode]],CampList[CP_Pcode],0)-1,0,1,1)&gt;=NFI_Monitor_Date,1,0))</f>
        <v>0</v>
      </c>
      <c r="AS1095" s="473" t="str">
        <f>IFERROR(VLOOKUP(Table_NFI[[#This Row],[Camp Name]],CL,3,0),"")</f>
        <v>Open</v>
      </c>
      <c r="AT1095" s="294" t="str">
        <f ca="1">IF(Table_NFI[[#This Row],[Pcode]]="","",OFFSET(CampList[Priority],MATCH(Table_NFI[[#This Row],[Pcode]],CampList[CP_Pcode],0)-1,0,1,1))</f>
        <v>P4</v>
      </c>
      <c r="AU1095" s="293">
        <f>IFERROR(Table_NFI[[#This Row],[Kitchen Set]]/VLOOKUP(Table_NFI[[#This Row],[Camp Name]],CL,4,0),"")</f>
        <v>2</v>
      </c>
      <c r="AV1095" s="466" t="s">
        <v>1092</v>
      </c>
      <c r="AW1095" s="469"/>
    </row>
    <row r="1096" spans="1:49" s="479" customFormat="1" ht="15.75" customHeight="1" x14ac:dyDescent="0.25">
      <c r="A1096" s="297">
        <f t="shared" si="17"/>
        <v>60.866666666666667</v>
      </c>
      <c r="B1096" s="465">
        <v>40849</v>
      </c>
      <c r="C1096" s="466" t="s">
        <v>452</v>
      </c>
      <c r="D1096" s="467" t="s">
        <v>460</v>
      </c>
      <c r="E1096" s="466" t="s">
        <v>380</v>
      </c>
      <c r="F1096" s="290" t="s">
        <v>237</v>
      </c>
      <c r="G1096" s="290" t="s">
        <v>243</v>
      </c>
      <c r="H1096" s="291"/>
      <c r="I1096" s="291"/>
      <c r="J1096" s="291"/>
      <c r="K1096" s="291">
        <v>0</v>
      </c>
      <c r="L1096" s="292">
        <v>5</v>
      </c>
      <c r="M1096" s="292">
        <v>0</v>
      </c>
      <c r="N1096" s="292">
        <v>5</v>
      </c>
      <c r="O1096" s="292">
        <v>5</v>
      </c>
      <c r="P1096" s="294">
        <v>5</v>
      </c>
      <c r="Q1096" s="294">
        <v>5</v>
      </c>
      <c r="R1096" s="294"/>
      <c r="S1096" s="294"/>
      <c r="T1096" s="294"/>
      <c r="U1096" s="294"/>
      <c r="V1096" s="431"/>
      <c r="W1096" s="331"/>
      <c r="X1096" s="331"/>
      <c r="Y1096" s="294">
        <f>IF(NFI_Expiration=1,IF($A1096&lt;VLOOKUP(H$5,NFI,5,0),1,0)*Table_NFI[[#This Row],[Hygiene Kit]],Table_NFI[Hygiene Kit])</f>
        <v>0</v>
      </c>
      <c r="Z1096" s="294">
        <f>IF(NFI_Expiration=1,IF($A1096&lt;VLOOKUP(I$5,NFI,5,0),1,0)*Table_NFI[[#This Row],[NFI Core Kit]],Table_NFI[NFI Core Kit])</f>
        <v>0</v>
      </c>
      <c r="AA1096" s="294">
        <f>IF(NFI_Expiration=1,IF($A1096&lt;VLOOKUP(J$5,NFI,5,0),1,0)*Table_NFI[[#This Row],[Sanitary Kit]],Table_NFI[Sanitary Kit])</f>
        <v>0</v>
      </c>
      <c r="AB1096" s="294">
        <f>IF(NFI_Expiration=1,IF($A1096&lt;VLOOKUP(K$5,NFI,5,0),1,0)*Table_NFI[[#This Row],[Mosquito net]],Table_NFI[Mosquito net])</f>
        <v>0</v>
      </c>
      <c r="AC1096" s="294">
        <f>IF(NFI_Expiration=1,IF($A1096&lt;VLOOKUP(L$5,NFI,5,0),1,0)*Table_NFI[[#This Row],[Tarpaulin]],Table_NFI[[#This Row],[Tarpaulin]])</f>
        <v>0</v>
      </c>
      <c r="AD1096" s="294">
        <f>IF(NFI_Expiration=1,IF($A1096&lt;VLOOKUP(M$5,NFI,5,0),1,0)*Table_NFI[[#This Row],[Blanket]],Table_NFI[[#This Row],[Blanket]])</f>
        <v>0</v>
      </c>
      <c r="AE1096" s="294">
        <f>IF(NFI_Expiration=1,IF($A1096&lt;VLOOKUP(N$5,NFI,5,0),1,0)*Table_NFI[[#This Row],[Kitchen Set]],Table_NFI[Kitchen Set])</f>
        <v>0</v>
      </c>
      <c r="AF1096" s="294">
        <f>IF(NFI_Expiration=1,IF($A1096&lt;VLOOKUP(O$5,NFI,5,0),1,0)*Table_NFI[[#This Row],[Clothes Kit]],Table_NFI[Clothes Kit])</f>
        <v>0</v>
      </c>
      <c r="AG1096" s="294">
        <f>IF(NFI_Expiration=1,IF($A1096&lt;VLOOKUP(P$5,NFI,5,0),1,0)*Table_NFI[[#This Row],[Plastic Bucket]],Table_NFI[Plastic Bucket])</f>
        <v>0</v>
      </c>
      <c r="AH1096" s="294">
        <f>IF(NFI_Expiration=1,IF($A1096&lt;VLOOKUP(Q$5,NFI,5,0),1,0)*Table_NFI[[#This Row],[Plastic Mat]],Table_NFI[Plastic Mat])*IF(Table_NFI[[#This Row],[Distribution Date]]&gt;"2014-04-01",1,2.5)</f>
        <v>0</v>
      </c>
      <c r="AI1096" s="294">
        <f>IF(NFI_Expiration=1,IF($A1096&lt;VLOOKUP(R$5,NFI,5,0),1,0)*Table_NFI[[#This Row],[Winter Clothes Adult]],Table_NFI[Winter Clothes Adult])</f>
        <v>0</v>
      </c>
      <c r="AJ1096" s="294">
        <f>IF(NFI_Expiration=1,IF($A1096&lt;VLOOKUP(S$5,NFI,5,0),1,0)*Table_NFI[[#This Row],[Winter Clothes Children]],Table_NFI[Winter Clothes Children])</f>
        <v>0</v>
      </c>
      <c r="AK1096" s="294">
        <f>IF(NFI_Expiration=1,IF($A1096&lt;VLOOKUP(T$5,NFI,5,0),1,0)*Table_NFI[[#This Row],[Winter Items Other]],Table_NFI[Winter Items Other])</f>
        <v>0</v>
      </c>
      <c r="AL1096" s="294">
        <f>IF(NFI_Expiration=1,IF($A1096&lt;VLOOKUP(M$5,NFI,5,0),1,0)*Table_NFI[[#This Row],[Winter Blanket]],Table_NFI[[#This Row],[Winter Blanket]])</f>
        <v>0</v>
      </c>
      <c r="AM1096" s="294">
        <f>IF(Table_NFI[[#This Row],[Winter Clothes Adult]]+Table_NFI[[#This Row],[Winter Clothes Children]]+Table_NFI[[#This Row],[Winter Items Other]]+Table_NFI[[#This Row],[Winter Blanket]]&gt;0,1,0)</f>
        <v>0</v>
      </c>
      <c r="AN1096" s="331">
        <f>IF(NFI_Expiration=1,IF($A1096&lt;VLOOKUP(V$5,NFI,5,0),1,0)*Table_NFI[[#This Row],[Jerry Can]],Table_NFI[Jerry Can])</f>
        <v>0</v>
      </c>
      <c r="AO1096" s="331">
        <f>IF(NFI_Expiration=1,IF($A1096&lt;VLOOKUP(V$5,NFI,5,0),1,0)*Table_NFI[[#This Row],[Shelter Tool kit]],Table_NFI[Shelter Tool kit])</f>
        <v>0</v>
      </c>
      <c r="AP1096" s="331">
        <f>IF(NFI_Expiration=1,IF($A1096&lt;VLOOKUP(V$5,NFI,5,0),1,0)*Table_NFI[[#This Row],[Tent]],Table_NFI[Tent])</f>
        <v>0</v>
      </c>
      <c r="AQ1096" s="473" t="str">
        <f>IFERROR(VLOOKUP(Table_NFI[[#This Row],[Camp Name]],CL,2,0),"")</f>
        <v>MMR001CMP012</v>
      </c>
      <c r="AR1096" s="468">
        <f ca="1">IF(Table_NFI[[#This Row],[Pcode]]="","",IF(OFFSET(CampList[Opening Date],MATCH(Table_NFI[[#This Row],[Pcode]],CampList[CP_Pcode],0)-1,0,1,1)&gt;=NFI_Monitor_Date,1,0))</f>
        <v>0</v>
      </c>
      <c r="AS1096" s="473" t="str">
        <f>IFERROR(VLOOKUP(Table_NFI[[#This Row],[Camp Name]],CL,3,0),"")</f>
        <v>Open</v>
      </c>
      <c r="AT1096" s="294" t="str">
        <f ca="1">IF(Table_NFI[[#This Row],[Pcode]]="","",OFFSET(CampList[Priority],MATCH(Table_NFI[[#This Row],[Pcode]],CampList[CP_Pcode],0)-1,0,1,1))</f>
        <v>P4</v>
      </c>
      <c r="AU1096" s="293">
        <f>IFERROR(Table_NFI[[#This Row],[Kitchen Set]]/VLOOKUP(Table_NFI[[#This Row],[Camp Name]],CL,4,0),"")</f>
        <v>0.83333333333333337</v>
      </c>
      <c r="AV1096" s="466" t="s">
        <v>1092</v>
      </c>
      <c r="AW1096" s="469"/>
    </row>
    <row r="1097" spans="1:49" s="479" customFormat="1" ht="15.75" customHeight="1" x14ac:dyDescent="0.25">
      <c r="A1097" s="297">
        <f t="shared" si="17"/>
        <v>60.866666666666667</v>
      </c>
      <c r="B1097" s="465">
        <v>40849</v>
      </c>
      <c r="C1097" s="466" t="s">
        <v>452</v>
      </c>
      <c r="D1097" s="467" t="s">
        <v>460</v>
      </c>
      <c r="E1097" s="466" t="s">
        <v>380</v>
      </c>
      <c r="F1097" s="290" t="s">
        <v>237</v>
      </c>
      <c r="G1097" s="290" t="s">
        <v>245</v>
      </c>
      <c r="H1097" s="291"/>
      <c r="I1097" s="291"/>
      <c r="J1097" s="291"/>
      <c r="K1097" s="291">
        <v>0</v>
      </c>
      <c r="L1097" s="292">
        <v>6</v>
      </c>
      <c r="M1097" s="292">
        <v>0</v>
      </c>
      <c r="N1097" s="292">
        <v>6</v>
      </c>
      <c r="O1097" s="292">
        <v>6</v>
      </c>
      <c r="P1097" s="294">
        <v>6</v>
      </c>
      <c r="Q1097" s="294">
        <v>6</v>
      </c>
      <c r="R1097" s="294"/>
      <c r="S1097" s="294"/>
      <c r="T1097" s="294"/>
      <c r="U1097" s="294"/>
      <c r="V1097" s="431"/>
      <c r="W1097" s="331"/>
      <c r="X1097" s="331"/>
      <c r="Y1097" s="294">
        <f>IF(NFI_Expiration=1,IF($A1097&lt;VLOOKUP(H$5,NFI,5,0),1,0)*Table_NFI[[#This Row],[Hygiene Kit]],Table_NFI[Hygiene Kit])</f>
        <v>0</v>
      </c>
      <c r="Z1097" s="294">
        <f>IF(NFI_Expiration=1,IF($A1097&lt;VLOOKUP(I$5,NFI,5,0),1,0)*Table_NFI[[#This Row],[NFI Core Kit]],Table_NFI[NFI Core Kit])</f>
        <v>0</v>
      </c>
      <c r="AA1097" s="294">
        <f>IF(NFI_Expiration=1,IF($A1097&lt;VLOOKUP(J$5,NFI,5,0),1,0)*Table_NFI[[#This Row],[Sanitary Kit]],Table_NFI[Sanitary Kit])</f>
        <v>0</v>
      </c>
      <c r="AB1097" s="294">
        <f>IF(NFI_Expiration=1,IF($A1097&lt;VLOOKUP(K$5,NFI,5,0),1,0)*Table_NFI[[#This Row],[Mosquito net]],Table_NFI[Mosquito net])</f>
        <v>0</v>
      </c>
      <c r="AC1097" s="294">
        <f>IF(NFI_Expiration=1,IF($A1097&lt;VLOOKUP(L$5,NFI,5,0),1,0)*Table_NFI[[#This Row],[Tarpaulin]],Table_NFI[[#This Row],[Tarpaulin]])</f>
        <v>0</v>
      </c>
      <c r="AD1097" s="294">
        <f>IF(NFI_Expiration=1,IF($A1097&lt;VLOOKUP(M$5,NFI,5,0),1,0)*Table_NFI[[#This Row],[Blanket]],Table_NFI[[#This Row],[Blanket]])</f>
        <v>0</v>
      </c>
      <c r="AE1097" s="294">
        <f>IF(NFI_Expiration=1,IF($A1097&lt;VLOOKUP(N$5,NFI,5,0),1,0)*Table_NFI[[#This Row],[Kitchen Set]],Table_NFI[Kitchen Set])</f>
        <v>0</v>
      </c>
      <c r="AF1097" s="294">
        <f>IF(NFI_Expiration=1,IF($A1097&lt;VLOOKUP(O$5,NFI,5,0),1,0)*Table_NFI[[#This Row],[Clothes Kit]],Table_NFI[Clothes Kit])</f>
        <v>0</v>
      </c>
      <c r="AG1097" s="294">
        <f>IF(NFI_Expiration=1,IF($A1097&lt;VLOOKUP(P$5,NFI,5,0),1,0)*Table_NFI[[#This Row],[Plastic Bucket]],Table_NFI[Plastic Bucket])</f>
        <v>0</v>
      </c>
      <c r="AH1097" s="294">
        <f>IF(NFI_Expiration=1,IF($A1097&lt;VLOOKUP(Q$5,NFI,5,0),1,0)*Table_NFI[[#This Row],[Plastic Mat]],Table_NFI[Plastic Mat])*IF(Table_NFI[[#This Row],[Distribution Date]]&gt;"2014-04-01",1,2.5)</f>
        <v>0</v>
      </c>
      <c r="AI1097" s="294">
        <f>IF(NFI_Expiration=1,IF($A1097&lt;VLOOKUP(R$5,NFI,5,0),1,0)*Table_NFI[[#This Row],[Winter Clothes Adult]],Table_NFI[Winter Clothes Adult])</f>
        <v>0</v>
      </c>
      <c r="AJ1097" s="294">
        <f>IF(NFI_Expiration=1,IF($A1097&lt;VLOOKUP(S$5,NFI,5,0),1,0)*Table_NFI[[#This Row],[Winter Clothes Children]],Table_NFI[Winter Clothes Children])</f>
        <v>0</v>
      </c>
      <c r="AK1097" s="294">
        <f>IF(NFI_Expiration=1,IF($A1097&lt;VLOOKUP(T$5,NFI,5,0),1,0)*Table_NFI[[#This Row],[Winter Items Other]],Table_NFI[Winter Items Other])</f>
        <v>0</v>
      </c>
      <c r="AL1097" s="294">
        <f>IF(NFI_Expiration=1,IF($A1097&lt;VLOOKUP(M$5,NFI,5,0),1,0)*Table_NFI[[#This Row],[Winter Blanket]],Table_NFI[[#This Row],[Winter Blanket]])</f>
        <v>0</v>
      </c>
      <c r="AM1097" s="294">
        <f>IF(Table_NFI[[#This Row],[Winter Clothes Adult]]+Table_NFI[[#This Row],[Winter Clothes Children]]+Table_NFI[[#This Row],[Winter Items Other]]+Table_NFI[[#This Row],[Winter Blanket]]&gt;0,1,0)</f>
        <v>0</v>
      </c>
      <c r="AN1097" s="331">
        <f>IF(NFI_Expiration=1,IF($A1097&lt;VLOOKUP(V$5,NFI,5,0),1,0)*Table_NFI[[#This Row],[Jerry Can]],Table_NFI[Jerry Can])</f>
        <v>0</v>
      </c>
      <c r="AO1097" s="331">
        <f>IF(NFI_Expiration=1,IF($A1097&lt;VLOOKUP(V$5,NFI,5,0),1,0)*Table_NFI[[#This Row],[Shelter Tool kit]],Table_NFI[Shelter Tool kit])</f>
        <v>0</v>
      </c>
      <c r="AP1097" s="331">
        <f>IF(NFI_Expiration=1,IF($A1097&lt;VLOOKUP(V$5,NFI,5,0),1,0)*Table_NFI[[#This Row],[Tent]],Table_NFI[Tent])</f>
        <v>0</v>
      </c>
      <c r="AQ1097" s="473" t="str">
        <f>IFERROR(VLOOKUP(Table_NFI[[#This Row],[Camp Name]],CL,2,0),"")</f>
        <v>MMR001CMP010</v>
      </c>
      <c r="AR1097" s="468">
        <f ca="1">IF(Table_NFI[[#This Row],[Pcode]]="","",IF(OFFSET(CampList[Opening Date],MATCH(Table_NFI[[#This Row],[Pcode]],CampList[CP_Pcode],0)-1,0,1,1)&gt;=NFI_Monitor_Date,1,0))</f>
        <v>0</v>
      </c>
      <c r="AS1097" s="473" t="str">
        <f>IFERROR(VLOOKUP(Table_NFI[[#This Row],[Camp Name]],CL,3,0),"")</f>
        <v>Open</v>
      </c>
      <c r="AT1097" s="294" t="str">
        <f ca="1">IF(Table_NFI[[#This Row],[Pcode]]="","",OFFSET(CampList[Priority],MATCH(Table_NFI[[#This Row],[Pcode]],CampList[CP_Pcode],0)-1,0,1,1))</f>
        <v>P4</v>
      </c>
      <c r="AU1097" s="293">
        <f>IFERROR(Table_NFI[[#This Row],[Kitchen Set]]/VLOOKUP(Table_NFI[[#This Row],[Camp Name]],CL,4,0),"")</f>
        <v>1</v>
      </c>
      <c r="AV1097" s="466" t="s">
        <v>1092</v>
      </c>
      <c r="AW1097" s="469"/>
    </row>
    <row r="1098" spans="1:49" s="479" customFormat="1" ht="15.75" customHeight="1" x14ac:dyDescent="0.25">
      <c r="A1098" s="297">
        <f t="shared" si="17"/>
        <v>60.866666666666667</v>
      </c>
      <c r="B1098" s="465">
        <v>40849</v>
      </c>
      <c r="C1098" s="466" t="s">
        <v>452</v>
      </c>
      <c r="D1098" s="467" t="s">
        <v>460</v>
      </c>
      <c r="E1098" s="466" t="s">
        <v>380</v>
      </c>
      <c r="F1098" s="290" t="s">
        <v>237</v>
      </c>
      <c r="G1098" s="290" t="s">
        <v>247</v>
      </c>
      <c r="H1098" s="291"/>
      <c r="I1098" s="291"/>
      <c r="J1098" s="291"/>
      <c r="K1098" s="291">
        <v>39</v>
      </c>
      <c r="L1098" s="292">
        <v>8</v>
      </c>
      <c r="M1098" s="292">
        <v>39</v>
      </c>
      <c r="N1098" s="292">
        <v>8</v>
      </c>
      <c r="O1098" s="292">
        <v>8</v>
      </c>
      <c r="P1098" s="294">
        <v>8</v>
      </c>
      <c r="Q1098" s="294">
        <v>8</v>
      </c>
      <c r="R1098" s="294"/>
      <c r="S1098" s="294"/>
      <c r="T1098" s="294"/>
      <c r="U1098" s="294"/>
      <c r="V1098" s="431"/>
      <c r="W1098" s="331"/>
      <c r="X1098" s="331"/>
      <c r="Y1098" s="294">
        <f>IF(NFI_Expiration=1,IF($A1098&lt;VLOOKUP(H$5,NFI,5,0),1,0)*Table_NFI[[#This Row],[Hygiene Kit]],Table_NFI[Hygiene Kit])</f>
        <v>0</v>
      </c>
      <c r="Z1098" s="294">
        <f>IF(NFI_Expiration=1,IF($A1098&lt;VLOOKUP(I$5,NFI,5,0),1,0)*Table_NFI[[#This Row],[NFI Core Kit]],Table_NFI[NFI Core Kit])</f>
        <v>0</v>
      </c>
      <c r="AA1098" s="294">
        <f>IF(NFI_Expiration=1,IF($A1098&lt;VLOOKUP(J$5,NFI,5,0),1,0)*Table_NFI[[#This Row],[Sanitary Kit]],Table_NFI[Sanitary Kit])</f>
        <v>0</v>
      </c>
      <c r="AB1098" s="294">
        <f>IF(NFI_Expiration=1,IF($A1098&lt;VLOOKUP(K$5,NFI,5,0),1,0)*Table_NFI[[#This Row],[Mosquito net]],Table_NFI[Mosquito net])</f>
        <v>0</v>
      </c>
      <c r="AC1098" s="294">
        <f>IF(NFI_Expiration=1,IF($A1098&lt;VLOOKUP(L$5,NFI,5,0),1,0)*Table_NFI[[#This Row],[Tarpaulin]],Table_NFI[[#This Row],[Tarpaulin]])</f>
        <v>0</v>
      </c>
      <c r="AD1098" s="294">
        <f>IF(NFI_Expiration=1,IF($A1098&lt;VLOOKUP(M$5,NFI,5,0),1,0)*Table_NFI[[#This Row],[Blanket]],Table_NFI[[#This Row],[Blanket]])</f>
        <v>0</v>
      </c>
      <c r="AE1098" s="294">
        <f>IF(NFI_Expiration=1,IF($A1098&lt;VLOOKUP(N$5,NFI,5,0),1,0)*Table_NFI[[#This Row],[Kitchen Set]],Table_NFI[Kitchen Set])</f>
        <v>0</v>
      </c>
      <c r="AF1098" s="294">
        <f>IF(NFI_Expiration=1,IF($A1098&lt;VLOOKUP(O$5,NFI,5,0),1,0)*Table_NFI[[#This Row],[Clothes Kit]],Table_NFI[Clothes Kit])</f>
        <v>0</v>
      </c>
      <c r="AG1098" s="294">
        <f>IF(NFI_Expiration=1,IF($A1098&lt;VLOOKUP(P$5,NFI,5,0),1,0)*Table_NFI[[#This Row],[Plastic Bucket]],Table_NFI[Plastic Bucket])</f>
        <v>0</v>
      </c>
      <c r="AH1098" s="294">
        <f>IF(NFI_Expiration=1,IF($A1098&lt;VLOOKUP(Q$5,NFI,5,0),1,0)*Table_NFI[[#This Row],[Plastic Mat]],Table_NFI[Plastic Mat])*IF(Table_NFI[[#This Row],[Distribution Date]]&gt;"2014-04-01",1,2.5)</f>
        <v>0</v>
      </c>
      <c r="AI1098" s="294">
        <f>IF(NFI_Expiration=1,IF($A1098&lt;VLOOKUP(R$5,NFI,5,0),1,0)*Table_NFI[[#This Row],[Winter Clothes Adult]],Table_NFI[Winter Clothes Adult])</f>
        <v>0</v>
      </c>
      <c r="AJ1098" s="294">
        <f>IF(NFI_Expiration=1,IF($A1098&lt;VLOOKUP(S$5,NFI,5,0),1,0)*Table_NFI[[#This Row],[Winter Clothes Children]],Table_NFI[Winter Clothes Children])</f>
        <v>0</v>
      </c>
      <c r="AK1098" s="294">
        <f>IF(NFI_Expiration=1,IF($A1098&lt;VLOOKUP(T$5,NFI,5,0),1,0)*Table_NFI[[#This Row],[Winter Items Other]],Table_NFI[Winter Items Other])</f>
        <v>0</v>
      </c>
      <c r="AL1098" s="294">
        <f>IF(NFI_Expiration=1,IF($A1098&lt;VLOOKUP(M$5,NFI,5,0),1,0)*Table_NFI[[#This Row],[Winter Blanket]],Table_NFI[[#This Row],[Winter Blanket]])</f>
        <v>0</v>
      </c>
      <c r="AM1098" s="294">
        <f>IF(Table_NFI[[#This Row],[Winter Clothes Adult]]+Table_NFI[[#This Row],[Winter Clothes Children]]+Table_NFI[[#This Row],[Winter Items Other]]+Table_NFI[[#This Row],[Winter Blanket]]&gt;0,1,0)</f>
        <v>0</v>
      </c>
      <c r="AN1098" s="331">
        <f>IF(NFI_Expiration=1,IF($A1098&lt;VLOOKUP(V$5,NFI,5,0),1,0)*Table_NFI[[#This Row],[Jerry Can]],Table_NFI[Jerry Can])</f>
        <v>0</v>
      </c>
      <c r="AO1098" s="331">
        <f>IF(NFI_Expiration=1,IF($A1098&lt;VLOOKUP(V$5,NFI,5,0),1,0)*Table_NFI[[#This Row],[Shelter Tool kit]],Table_NFI[Shelter Tool kit])</f>
        <v>0</v>
      </c>
      <c r="AP1098" s="331">
        <f>IF(NFI_Expiration=1,IF($A1098&lt;VLOOKUP(V$5,NFI,5,0),1,0)*Table_NFI[[#This Row],[Tent]],Table_NFI[Tent])</f>
        <v>0</v>
      </c>
      <c r="AQ1098" s="473" t="str">
        <f>IFERROR(VLOOKUP(Table_NFI[[#This Row],[Camp Name]],CL,2,0),"")</f>
        <v>MMR001CMP011</v>
      </c>
      <c r="AR1098" s="468">
        <f ca="1">IF(Table_NFI[[#This Row],[Pcode]]="","",IF(OFFSET(CampList[Opening Date],MATCH(Table_NFI[[#This Row],[Pcode]],CampList[CP_Pcode],0)-1,0,1,1)&gt;=NFI_Monitor_Date,1,0))</f>
        <v>0</v>
      </c>
      <c r="AS1098" s="473" t="str">
        <f>IFERROR(VLOOKUP(Table_NFI[[#This Row],[Camp Name]],CL,3,0),"")</f>
        <v>Open</v>
      </c>
      <c r="AT1098" s="294" t="str">
        <f ca="1">IF(Table_NFI[[#This Row],[Pcode]]="","",OFFSET(CampList[Priority],MATCH(Table_NFI[[#This Row],[Pcode]],CampList[CP_Pcode],0)-1,0,1,1))</f>
        <v>P4</v>
      </c>
      <c r="AU1098" s="293">
        <f>IFERROR(Table_NFI[[#This Row],[Kitchen Set]]/VLOOKUP(Table_NFI[[#This Row],[Camp Name]],CL,4,0),"")</f>
        <v>0.4</v>
      </c>
      <c r="AV1098" s="466" t="s">
        <v>1092</v>
      </c>
      <c r="AW1098" s="469"/>
    </row>
    <row r="1099" spans="1:49" s="479" customFormat="1" ht="15.75" customHeight="1" x14ac:dyDescent="0.25">
      <c r="A1099" s="297">
        <f t="shared" si="17"/>
        <v>60.866666666666667</v>
      </c>
      <c r="B1099" s="465">
        <v>40849</v>
      </c>
      <c r="C1099" s="466" t="s">
        <v>452</v>
      </c>
      <c r="D1099" s="467" t="s">
        <v>460</v>
      </c>
      <c r="E1099" s="466" t="s">
        <v>380</v>
      </c>
      <c r="F1099" s="290" t="s">
        <v>237</v>
      </c>
      <c r="G1099" s="290" t="s">
        <v>261</v>
      </c>
      <c r="H1099" s="291"/>
      <c r="I1099" s="291"/>
      <c r="J1099" s="291"/>
      <c r="K1099" s="291">
        <v>112</v>
      </c>
      <c r="L1099" s="292">
        <v>68</v>
      </c>
      <c r="M1099" s="292">
        <v>112</v>
      </c>
      <c r="N1099" s="292">
        <v>68</v>
      </c>
      <c r="O1099" s="292">
        <v>68</v>
      </c>
      <c r="P1099" s="294">
        <v>68</v>
      </c>
      <c r="Q1099" s="294">
        <v>68</v>
      </c>
      <c r="R1099" s="294"/>
      <c r="S1099" s="294"/>
      <c r="T1099" s="294"/>
      <c r="U1099" s="294"/>
      <c r="V1099" s="431"/>
      <c r="W1099" s="331"/>
      <c r="X1099" s="331"/>
      <c r="Y1099" s="294">
        <f>IF(NFI_Expiration=1,IF($A1099&lt;VLOOKUP(H$5,NFI,5,0),1,0)*Table_NFI[[#This Row],[Hygiene Kit]],Table_NFI[Hygiene Kit])</f>
        <v>0</v>
      </c>
      <c r="Z1099" s="294">
        <f>IF(NFI_Expiration=1,IF($A1099&lt;VLOOKUP(I$5,NFI,5,0),1,0)*Table_NFI[[#This Row],[NFI Core Kit]],Table_NFI[NFI Core Kit])</f>
        <v>0</v>
      </c>
      <c r="AA1099" s="294">
        <f>IF(NFI_Expiration=1,IF($A1099&lt;VLOOKUP(J$5,NFI,5,0),1,0)*Table_NFI[[#This Row],[Sanitary Kit]],Table_NFI[Sanitary Kit])</f>
        <v>0</v>
      </c>
      <c r="AB1099" s="294">
        <f>IF(NFI_Expiration=1,IF($A1099&lt;VLOOKUP(K$5,NFI,5,0),1,0)*Table_NFI[[#This Row],[Mosquito net]],Table_NFI[Mosquito net])</f>
        <v>0</v>
      </c>
      <c r="AC1099" s="294">
        <f>IF(NFI_Expiration=1,IF($A1099&lt;VLOOKUP(L$5,NFI,5,0),1,0)*Table_NFI[[#This Row],[Tarpaulin]],Table_NFI[[#This Row],[Tarpaulin]])</f>
        <v>0</v>
      </c>
      <c r="AD1099" s="294">
        <f>IF(NFI_Expiration=1,IF($A1099&lt;VLOOKUP(M$5,NFI,5,0),1,0)*Table_NFI[[#This Row],[Blanket]],Table_NFI[[#This Row],[Blanket]])</f>
        <v>0</v>
      </c>
      <c r="AE1099" s="294">
        <f>IF(NFI_Expiration=1,IF($A1099&lt;VLOOKUP(N$5,NFI,5,0),1,0)*Table_NFI[[#This Row],[Kitchen Set]],Table_NFI[Kitchen Set])</f>
        <v>0</v>
      </c>
      <c r="AF1099" s="294">
        <f>IF(NFI_Expiration=1,IF($A1099&lt;VLOOKUP(O$5,NFI,5,0),1,0)*Table_NFI[[#This Row],[Clothes Kit]],Table_NFI[Clothes Kit])</f>
        <v>0</v>
      </c>
      <c r="AG1099" s="294">
        <f>IF(NFI_Expiration=1,IF($A1099&lt;VLOOKUP(P$5,NFI,5,0),1,0)*Table_NFI[[#This Row],[Plastic Bucket]],Table_NFI[Plastic Bucket])</f>
        <v>0</v>
      </c>
      <c r="AH1099" s="294">
        <f>IF(NFI_Expiration=1,IF($A1099&lt;VLOOKUP(Q$5,NFI,5,0),1,0)*Table_NFI[[#This Row],[Plastic Mat]],Table_NFI[Plastic Mat])*IF(Table_NFI[[#This Row],[Distribution Date]]&gt;"2014-04-01",1,2.5)</f>
        <v>0</v>
      </c>
      <c r="AI1099" s="294">
        <f>IF(NFI_Expiration=1,IF($A1099&lt;VLOOKUP(R$5,NFI,5,0),1,0)*Table_NFI[[#This Row],[Winter Clothes Adult]],Table_NFI[Winter Clothes Adult])</f>
        <v>0</v>
      </c>
      <c r="AJ1099" s="294">
        <f>IF(NFI_Expiration=1,IF($A1099&lt;VLOOKUP(S$5,NFI,5,0),1,0)*Table_NFI[[#This Row],[Winter Clothes Children]],Table_NFI[Winter Clothes Children])</f>
        <v>0</v>
      </c>
      <c r="AK1099" s="294">
        <f>IF(NFI_Expiration=1,IF($A1099&lt;VLOOKUP(T$5,NFI,5,0),1,0)*Table_NFI[[#This Row],[Winter Items Other]],Table_NFI[Winter Items Other])</f>
        <v>0</v>
      </c>
      <c r="AL1099" s="294">
        <f>IF(NFI_Expiration=1,IF($A1099&lt;VLOOKUP(M$5,NFI,5,0),1,0)*Table_NFI[[#This Row],[Winter Blanket]],Table_NFI[[#This Row],[Winter Blanket]])</f>
        <v>0</v>
      </c>
      <c r="AM1099" s="294">
        <f>IF(Table_NFI[[#This Row],[Winter Clothes Adult]]+Table_NFI[[#This Row],[Winter Clothes Children]]+Table_NFI[[#This Row],[Winter Items Other]]+Table_NFI[[#This Row],[Winter Blanket]]&gt;0,1,0)</f>
        <v>0</v>
      </c>
      <c r="AN1099" s="331">
        <f>IF(NFI_Expiration=1,IF($A1099&lt;VLOOKUP(V$5,NFI,5,0),1,0)*Table_NFI[[#This Row],[Jerry Can]],Table_NFI[Jerry Can])</f>
        <v>0</v>
      </c>
      <c r="AO1099" s="331">
        <f>IF(NFI_Expiration=1,IF($A1099&lt;VLOOKUP(V$5,NFI,5,0),1,0)*Table_NFI[[#This Row],[Shelter Tool kit]],Table_NFI[Shelter Tool kit])</f>
        <v>0</v>
      </c>
      <c r="AP1099" s="331">
        <f>IF(NFI_Expiration=1,IF($A1099&lt;VLOOKUP(V$5,NFI,5,0),1,0)*Table_NFI[[#This Row],[Tent]],Table_NFI[Tent])</f>
        <v>0</v>
      </c>
      <c r="AQ1099" s="473" t="str">
        <f>IFERROR(VLOOKUP(Table_NFI[[#This Row],[Camp Name]],CL,2,0),"")</f>
        <v>MMR001CMP008</v>
      </c>
      <c r="AR1099" s="468">
        <f ca="1">IF(Table_NFI[[#This Row],[Pcode]]="","",IF(OFFSET(CampList[Opening Date],MATCH(Table_NFI[[#This Row],[Pcode]],CampList[CP_Pcode],0)-1,0,1,1)&gt;=NFI_Monitor_Date,1,0))</f>
        <v>0</v>
      </c>
      <c r="AS1099" s="473" t="str">
        <f>IFERROR(VLOOKUP(Table_NFI[[#This Row],[Camp Name]],CL,3,0),"")</f>
        <v>Open</v>
      </c>
      <c r="AT1099" s="294" t="str">
        <f ca="1">IF(Table_NFI[[#This Row],[Pcode]]="","",OFFSET(CampList[Priority],MATCH(Table_NFI[[#This Row],[Pcode]],CampList[CP_Pcode],0)-1,0,1,1))</f>
        <v>P4</v>
      </c>
      <c r="AU1099" s="293">
        <f>IFERROR(Table_NFI[[#This Row],[Kitchen Set]]/VLOOKUP(Table_NFI[[#This Row],[Camp Name]],CL,4,0),"")</f>
        <v>0.73913043478260865</v>
      </c>
      <c r="AV1099" s="466" t="s">
        <v>1092</v>
      </c>
      <c r="AW1099" s="469"/>
    </row>
    <row r="1100" spans="1:49" s="479" customFormat="1" ht="15.75" customHeight="1" x14ac:dyDescent="0.25">
      <c r="A1100" s="297">
        <f t="shared" si="17"/>
        <v>60.866666666666667</v>
      </c>
      <c r="B1100" s="465">
        <v>40849</v>
      </c>
      <c r="C1100" s="466" t="s">
        <v>452</v>
      </c>
      <c r="D1100" s="466" t="s">
        <v>460</v>
      </c>
      <c r="E1100" s="466" t="s">
        <v>380</v>
      </c>
      <c r="F1100" s="290" t="s">
        <v>237</v>
      </c>
      <c r="G1100" s="290" t="s">
        <v>277</v>
      </c>
      <c r="H1100" s="291"/>
      <c r="I1100" s="291"/>
      <c r="J1100" s="291"/>
      <c r="K1100" s="291">
        <v>219</v>
      </c>
      <c r="L1100" s="292">
        <v>117</v>
      </c>
      <c r="M1100" s="292">
        <v>219</v>
      </c>
      <c r="N1100" s="292">
        <v>117</v>
      </c>
      <c r="O1100" s="292">
        <v>117</v>
      </c>
      <c r="P1100" s="294">
        <v>117</v>
      </c>
      <c r="Q1100" s="294">
        <v>117</v>
      </c>
      <c r="R1100" s="294"/>
      <c r="S1100" s="294"/>
      <c r="T1100" s="294"/>
      <c r="U1100" s="294"/>
      <c r="V1100" s="431"/>
      <c r="W1100" s="331"/>
      <c r="X1100" s="331"/>
      <c r="Y1100" s="294">
        <f>IF(NFI_Expiration=1,IF($A1100&lt;VLOOKUP(H$5,NFI,5,0),1,0)*Table_NFI[[#This Row],[Hygiene Kit]],Table_NFI[Hygiene Kit])</f>
        <v>0</v>
      </c>
      <c r="Z1100" s="294">
        <f>IF(NFI_Expiration=1,IF($A1100&lt;VLOOKUP(I$5,NFI,5,0),1,0)*Table_NFI[[#This Row],[NFI Core Kit]],Table_NFI[NFI Core Kit])</f>
        <v>0</v>
      </c>
      <c r="AA1100" s="294">
        <f>IF(NFI_Expiration=1,IF($A1100&lt;VLOOKUP(J$5,NFI,5,0),1,0)*Table_NFI[[#This Row],[Sanitary Kit]],Table_NFI[Sanitary Kit])</f>
        <v>0</v>
      </c>
      <c r="AB1100" s="294">
        <f>IF(NFI_Expiration=1,IF($A1100&lt;VLOOKUP(K$5,NFI,5,0),1,0)*Table_NFI[[#This Row],[Mosquito net]],Table_NFI[Mosquito net])</f>
        <v>0</v>
      </c>
      <c r="AC1100" s="294">
        <f>IF(NFI_Expiration=1,IF($A1100&lt;VLOOKUP(L$5,NFI,5,0),1,0)*Table_NFI[[#This Row],[Tarpaulin]],Table_NFI[[#This Row],[Tarpaulin]])</f>
        <v>0</v>
      </c>
      <c r="AD1100" s="294">
        <f>IF(NFI_Expiration=1,IF($A1100&lt;VLOOKUP(M$5,NFI,5,0),1,0)*Table_NFI[[#This Row],[Blanket]],Table_NFI[[#This Row],[Blanket]])</f>
        <v>0</v>
      </c>
      <c r="AE1100" s="294">
        <f>IF(NFI_Expiration=1,IF($A1100&lt;VLOOKUP(N$5,NFI,5,0),1,0)*Table_NFI[[#This Row],[Kitchen Set]],Table_NFI[Kitchen Set])</f>
        <v>0</v>
      </c>
      <c r="AF1100" s="294">
        <f>IF(NFI_Expiration=1,IF($A1100&lt;VLOOKUP(O$5,NFI,5,0),1,0)*Table_NFI[[#This Row],[Clothes Kit]],Table_NFI[Clothes Kit])</f>
        <v>0</v>
      </c>
      <c r="AG1100" s="294">
        <f>IF(NFI_Expiration=1,IF($A1100&lt;VLOOKUP(P$5,NFI,5,0),1,0)*Table_NFI[[#This Row],[Plastic Bucket]],Table_NFI[Plastic Bucket])</f>
        <v>0</v>
      </c>
      <c r="AH1100" s="294">
        <f>IF(NFI_Expiration=1,IF($A1100&lt;VLOOKUP(Q$5,NFI,5,0),1,0)*Table_NFI[[#This Row],[Plastic Mat]],Table_NFI[Plastic Mat])*IF(Table_NFI[[#This Row],[Distribution Date]]&gt;"2014-04-01",1,2.5)</f>
        <v>0</v>
      </c>
      <c r="AI1100" s="294">
        <f>IF(NFI_Expiration=1,IF($A1100&lt;VLOOKUP(R$5,NFI,5,0),1,0)*Table_NFI[[#This Row],[Winter Clothes Adult]],Table_NFI[Winter Clothes Adult])</f>
        <v>0</v>
      </c>
      <c r="AJ1100" s="294">
        <f>IF(NFI_Expiration=1,IF($A1100&lt;VLOOKUP(S$5,NFI,5,0),1,0)*Table_NFI[[#This Row],[Winter Clothes Children]],Table_NFI[Winter Clothes Children])</f>
        <v>0</v>
      </c>
      <c r="AK1100" s="294">
        <f>IF(NFI_Expiration=1,IF($A1100&lt;VLOOKUP(T$5,NFI,5,0),1,0)*Table_NFI[[#This Row],[Winter Items Other]],Table_NFI[Winter Items Other])</f>
        <v>0</v>
      </c>
      <c r="AL1100" s="294">
        <f>IF(NFI_Expiration=1,IF($A1100&lt;VLOOKUP(M$5,NFI,5,0),1,0)*Table_NFI[[#This Row],[Winter Blanket]],Table_NFI[[#This Row],[Winter Blanket]])</f>
        <v>0</v>
      </c>
      <c r="AM1100" s="294">
        <f>IF(Table_NFI[[#This Row],[Winter Clothes Adult]]+Table_NFI[[#This Row],[Winter Clothes Children]]+Table_NFI[[#This Row],[Winter Items Other]]+Table_NFI[[#This Row],[Winter Blanket]]&gt;0,1,0)</f>
        <v>0</v>
      </c>
      <c r="AN1100" s="331">
        <f>IF(NFI_Expiration=1,IF($A1100&lt;VLOOKUP(V$5,NFI,5,0),1,0)*Table_NFI[[#This Row],[Jerry Can]],Table_NFI[Jerry Can])</f>
        <v>0</v>
      </c>
      <c r="AO1100" s="331">
        <f>IF(NFI_Expiration=1,IF($A1100&lt;VLOOKUP(V$5,NFI,5,0),1,0)*Table_NFI[[#This Row],[Shelter Tool kit]],Table_NFI[Shelter Tool kit])</f>
        <v>0</v>
      </c>
      <c r="AP1100" s="331">
        <f>IF(NFI_Expiration=1,IF($A1100&lt;VLOOKUP(V$5,NFI,5,0),1,0)*Table_NFI[[#This Row],[Tent]],Table_NFI[Tent])</f>
        <v>0</v>
      </c>
      <c r="AQ1100" s="473" t="str">
        <f>IFERROR(VLOOKUP(Table_NFI[[#This Row],[Camp Name]],CL,2,0),"")</f>
        <v>MMR001CMP006</v>
      </c>
      <c r="AR1100" s="468">
        <f ca="1">IF(Table_NFI[[#This Row],[Pcode]]="","",IF(OFFSET(CampList[Opening Date],MATCH(Table_NFI[[#This Row],[Pcode]],CampList[CP_Pcode],0)-1,0,1,1)&gt;=NFI_Monitor_Date,1,0))</f>
        <v>0</v>
      </c>
      <c r="AS1100" s="473" t="str">
        <f>IFERROR(VLOOKUP(Table_NFI[[#This Row],[Camp Name]],CL,3,0),"")</f>
        <v>Open</v>
      </c>
      <c r="AT1100" s="294" t="str">
        <f ca="1">IF(Table_NFI[[#This Row],[Pcode]]="","",OFFSET(CampList[Priority],MATCH(Table_NFI[[#This Row],[Pcode]],CampList[CP_Pcode],0)-1,0,1,1))</f>
        <v>P4</v>
      </c>
      <c r="AU1100" s="293">
        <f>IFERROR(Table_NFI[[#This Row],[Kitchen Set]]/VLOOKUP(Table_NFI[[#This Row],[Camp Name]],CL,4,0),"")</f>
        <v>1.3295454545454546</v>
      </c>
      <c r="AV1100" s="466" t="s">
        <v>1092</v>
      </c>
      <c r="AW1100" s="469"/>
    </row>
    <row r="1101" spans="1:49" s="479" customFormat="1" ht="15.75" customHeight="1" x14ac:dyDescent="0.25">
      <c r="A1101" s="297">
        <f t="shared" si="17"/>
        <v>60.866666666666667</v>
      </c>
      <c r="B1101" s="465">
        <v>40849</v>
      </c>
      <c r="C1101" s="466" t="s">
        <v>452</v>
      </c>
      <c r="D1101" s="467" t="s">
        <v>460</v>
      </c>
      <c r="E1101" s="466" t="s">
        <v>380</v>
      </c>
      <c r="F1101" s="290" t="s">
        <v>237</v>
      </c>
      <c r="G1101" s="290" t="s">
        <v>279</v>
      </c>
      <c r="H1101" s="291"/>
      <c r="I1101" s="291"/>
      <c r="J1101" s="291"/>
      <c r="K1101" s="291">
        <v>2</v>
      </c>
      <c r="L1101" s="292">
        <v>1</v>
      </c>
      <c r="M1101" s="292">
        <v>2</v>
      </c>
      <c r="N1101" s="292">
        <v>1</v>
      </c>
      <c r="O1101" s="292">
        <v>1</v>
      </c>
      <c r="P1101" s="294">
        <v>1</v>
      </c>
      <c r="Q1101" s="294">
        <v>1</v>
      </c>
      <c r="R1101" s="294"/>
      <c r="S1101" s="294"/>
      <c r="T1101" s="294"/>
      <c r="U1101" s="294"/>
      <c r="V1101" s="431"/>
      <c r="W1101" s="331"/>
      <c r="X1101" s="331"/>
      <c r="Y1101" s="294">
        <f>IF(NFI_Expiration=1,IF($A1101&lt;VLOOKUP(H$5,NFI,5,0),1,0)*Table_NFI[[#This Row],[Hygiene Kit]],Table_NFI[Hygiene Kit])</f>
        <v>0</v>
      </c>
      <c r="Z1101" s="294">
        <f>IF(NFI_Expiration=1,IF($A1101&lt;VLOOKUP(I$5,NFI,5,0),1,0)*Table_NFI[[#This Row],[NFI Core Kit]],Table_NFI[NFI Core Kit])</f>
        <v>0</v>
      </c>
      <c r="AA1101" s="294">
        <f>IF(NFI_Expiration=1,IF($A1101&lt;VLOOKUP(J$5,NFI,5,0),1,0)*Table_NFI[[#This Row],[Sanitary Kit]],Table_NFI[Sanitary Kit])</f>
        <v>0</v>
      </c>
      <c r="AB1101" s="294">
        <f>IF(NFI_Expiration=1,IF($A1101&lt;VLOOKUP(K$5,NFI,5,0),1,0)*Table_NFI[[#This Row],[Mosquito net]],Table_NFI[Mosquito net])</f>
        <v>0</v>
      </c>
      <c r="AC1101" s="294">
        <f>IF(NFI_Expiration=1,IF($A1101&lt;VLOOKUP(L$5,NFI,5,0),1,0)*Table_NFI[[#This Row],[Tarpaulin]],Table_NFI[[#This Row],[Tarpaulin]])</f>
        <v>0</v>
      </c>
      <c r="AD1101" s="294">
        <f>IF(NFI_Expiration=1,IF($A1101&lt;VLOOKUP(M$5,NFI,5,0),1,0)*Table_NFI[[#This Row],[Blanket]],Table_NFI[[#This Row],[Blanket]])</f>
        <v>0</v>
      </c>
      <c r="AE1101" s="294">
        <f>IF(NFI_Expiration=1,IF($A1101&lt;VLOOKUP(N$5,NFI,5,0),1,0)*Table_NFI[[#This Row],[Kitchen Set]],Table_NFI[Kitchen Set])</f>
        <v>0</v>
      </c>
      <c r="AF1101" s="294">
        <f>IF(NFI_Expiration=1,IF($A1101&lt;VLOOKUP(O$5,NFI,5,0),1,0)*Table_NFI[[#This Row],[Clothes Kit]],Table_NFI[Clothes Kit])</f>
        <v>0</v>
      </c>
      <c r="AG1101" s="294">
        <f>IF(NFI_Expiration=1,IF($A1101&lt;VLOOKUP(P$5,NFI,5,0),1,0)*Table_NFI[[#This Row],[Plastic Bucket]],Table_NFI[Plastic Bucket])</f>
        <v>0</v>
      </c>
      <c r="AH1101" s="294">
        <f>IF(NFI_Expiration=1,IF($A1101&lt;VLOOKUP(Q$5,NFI,5,0),1,0)*Table_NFI[[#This Row],[Plastic Mat]],Table_NFI[Plastic Mat])*IF(Table_NFI[[#This Row],[Distribution Date]]&gt;"2014-04-01",1,2.5)</f>
        <v>0</v>
      </c>
      <c r="AI1101" s="294">
        <f>IF(NFI_Expiration=1,IF($A1101&lt;VLOOKUP(R$5,NFI,5,0),1,0)*Table_NFI[[#This Row],[Winter Clothes Adult]],Table_NFI[Winter Clothes Adult])</f>
        <v>0</v>
      </c>
      <c r="AJ1101" s="294">
        <f>IF(NFI_Expiration=1,IF($A1101&lt;VLOOKUP(S$5,NFI,5,0),1,0)*Table_NFI[[#This Row],[Winter Clothes Children]],Table_NFI[Winter Clothes Children])</f>
        <v>0</v>
      </c>
      <c r="AK1101" s="294">
        <f>IF(NFI_Expiration=1,IF($A1101&lt;VLOOKUP(T$5,NFI,5,0),1,0)*Table_NFI[[#This Row],[Winter Items Other]],Table_NFI[Winter Items Other])</f>
        <v>0</v>
      </c>
      <c r="AL1101" s="294">
        <f>IF(NFI_Expiration=1,IF($A1101&lt;VLOOKUP(M$5,NFI,5,0),1,0)*Table_NFI[[#This Row],[Winter Blanket]],Table_NFI[[#This Row],[Winter Blanket]])</f>
        <v>0</v>
      </c>
      <c r="AM1101" s="294">
        <f>IF(Table_NFI[[#This Row],[Winter Clothes Adult]]+Table_NFI[[#This Row],[Winter Clothes Children]]+Table_NFI[[#This Row],[Winter Items Other]]+Table_NFI[[#This Row],[Winter Blanket]]&gt;0,1,0)</f>
        <v>0</v>
      </c>
      <c r="AN1101" s="331">
        <f>IF(NFI_Expiration=1,IF($A1101&lt;VLOOKUP(V$5,NFI,5,0),1,0)*Table_NFI[[#This Row],[Jerry Can]],Table_NFI[Jerry Can])</f>
        <v>0</v>
      </c>
      <c r="AO1101" s="331">
        <f>IF(NFI_Expiration=1,IF($A1101&lt;VLOOKUP(V$5,NFI,5,0),1,0)*Table_NFI[[#This Row],[Shelter Tool kit]],Table_NFI[Shelter Tool kit])</f>
        <v>0</v>
      </c>
      <c r="AP1101" s="331">
        <f>IF(NFI_Expiration=1,IF($A1101&lt;VLOOKUP(V$5,NFI,5,0),1,0)*Table_NFI[[#This Row],[Tent]],Table_NFI[Tent])</f>
        <v>0</v>
      </c>
      <c r="AQ1101" s="473" t="str">
        <f>IFERROR(VLOOKUP(Table_NFI[[#This Row],[Camp Name]],CL,2,0),"")</f>
        <v>MMR001CMP007</v>
      </c>
      <c r="AR1101" s="468">
        <f ca="1">IF(Table_NFI[[#This Row],[Pcode]]="","",IF(OFFSET(CampList[Opening Date],MATCH(Table_NFI[[#This Row],[Pcode]],CampList[CP_Pcode],0)-1,0,1,1)&gt;=NFI_Monitor_Date,1,0))</f>
        <v>0</v>
      </c>
      <c r="AS1101" s="473" t="str">
        <f>IFERROR(VLOOKUP(Table_NFI[[#This Row],[Camp Name]],CL,3,0),"")</f>
        <v>Open</v>
      </c>
      <c r="AT1101" s="294" t="str">
        <f ca="1">IF(Table_NFI[[#This Row],[Pcode]]="","",OFFSET(CampList[Priority],MATCH(Table_NFI[[#This Row],[Pcode]],CampList[CP_Pcode],0)-1,0,1,1))</f>
        <v>P4</v>
      </c>
      <c r="AU1101" s="293">
        <f>IFERROR(Table_NFI[[#This Row],[Kitchen Set]]/VLOOKUP(Table_NFI[[#This Row],[Camp Name]],CL,4,0),"")</f>
        <v>4.5454545454545456E-2</v>
      </c>
      <c r="AV1101" s="466" t="s">
        <v>1092</v>
      </c>
      <c r="AW1101" s="469"/>
    </row>
    <row r="1102" spans="1:49" s="479" customFormat="1" ht="15.75" customHeight="1" x14ac:dyDescent="0.25">
      <c r="A1102" s="297" t="str">
        <f t="shared" si="17"/>
        <v/>
      </c>
      <c r="B1102" s="465"/>
      <c r="C1102" s="471"/>
      <c r="D1102" s="471"/>
      <c r="E1102" s="471"/>
      <c r="F1102" s="471"/>
      <c r="G1102" s="471"/>
      <c r="H1102" s="292"/>
      <c r="I1102" s="292"/>
      <c r="J1102" s="292"/>
      <c r="K1102" s="292"/>
      <c r="L1102" s="292"/>
      <c r="M1102" s="292"/>
      <c r="N1102" s="292"/>
      <c r="O1102" s="292"/>
      <c r="P1102" s="294"/>
      <c r="Q1102" s="294"/>
      <c r="R1102" s="294"/>
      <c r="S1102" s="294"/>
      <c r="T1102" s="294"/>
      <c r="U1102" s="294"/>
      <c r="V1102" s="431"/>
      <c r="W1102" s="331"/>
      <c r="X1102" s="331"/>
      <c r="Y1102" s="294">
        <f>IF(NFI_Expiration=1,IF($A1102&lt;VLOOKUP(H$5,NFI,5,0),1,0)*Table_NFI[[#This Row],[Hygiene Kit]],Table_NFI[Hygiene Kit])</f>
        <v>0</v>
      </c>
      <c r="Z1102" s="294">
        <f>IF(NFI_Expiration=1,IF($A1102&lt;VLOOKUP(I$5,NFI,5,0),1,0)*Table_NFI[[#This Row],[NFI Core Kit]],Table_NFI[NFI Core Kit])</f>
        <v>0</v>
      </c>
      <c r="AA1102" s="294">
        <f>IF(NFI_Expiration=1,IF($A1102&lt;VLOOKUP(J$5,NFI,5,0),1,0)*Table_NFI[[#This Row],[Sanitary Kit]],Table_NFI[Sanitary Kit])</f>
        <v>0</v>
      </c>
      <c r="AB1102" s="294">
        <f>IF(NFI_Expiration=1,IF($A1102&lt;VLOOKUP(K$5,NFI,5,0),1,0)*Table_NFI[[#This Row],[Mosquito net]],Table_NFI[Mosquito net])</f>
        <v>0</v>
      </c>
      <c r="AC1102" s="294">
        <f>IF(NFI_Expiration=1,IF($A1102&lt;VLOOKUP(L$5,NFI,5,0),1,0)*Table_NFI[[#This Row],[Tarpaulin]],Table_NFI[[#This Row],[Tarpaulin]])</f>
        <v>0</v>
      </c>
      <c r="AD1102" s="294">
        <f>IF(NFI_Expiration=1,IF($A1102&lt;VLOOKUP(M$5,NFI,5,0),1,0)*Table_NFI[[#This Row],[Blanket]],Table_NFI[[#This Row],[Blanket]])</f>
        <v>0</v>
      </c>
      <c r="AE1102" s="294">
        <f>IF(NFI_Expiration=1,IF($A1102&lt;VLOOKUP(N$5,NFI,5,0),1,0)*Table_NFI[[#This Row],[Kitchen Set]],Table_NFI[Kitchen Set])</f>
        <v>0</v>
      </c>
      <c r="AF1102" s="294">
        <f>IF(NFI_Expiration=1,IF($A1102&lt;VLOOKUP(O$5,NFI,5,0),1,0)*Table_NFI[[#This Row],[Clothes Kit]],Table_NFI[Clothes Kit])</f>
        <v>0</v>
      </c>
      <c r="AG1102" s="294">
        <f>IF(NFI_Expiration=1,IF($A1102&lt;VLOOKUP(P$5,NFI,5,0),1,0)*Table_NFI[[#This Row],[Plastic Bucket]],Table_NFI[Plastic Bucket])</f>
        <v>0</v>
      </c>
      <c r="AH1102" s="294">
        <f>IF(NFI_Expiration=1,IF($A1102&lt;VLOOKUP(Q$5,NFI,5,0),1,0)*Table_NFI[[#This Row],[Plastic Mat]],Table_NFI[Plastic Mat])*IF(Table_NFI[[#This Row],[Distribution Date]]&gt;"2014-04-01",1,2.5)</f>
        <v>0</v>
      </c>
      <c r="AI1102" s="294">
        <f>IF(NFI_Expiration=1,IF($A1102&lt;VLOOKUP(R$5,NFI,5,0),1,0)*Table_NFI[[#This Row],[Winter Clothes Adult]],Table_NFI[Winter Clothes Adult])</f>
        <v>0</v>
      </c>
      <c r="AJ1102" s="294">
        <f>IF(NFI_Expiration=1,IF($A1102&lt;VLOOKUP(S$5,NFI,5,0),1,0)*Table_NFI[[#This Row],[Winter Clothes Children]],Table_NFI[Winter Clothes Children])</f>
        <v>0</v>
      </c>
      <c r="AK1102" s="294">
        <f>IF(NFI_Expiration=1,IF($A1102&lt;VLOOKUP(T$5,NFI,5,0),1,0)*Table_NFI[[#This Row],[Winter Items Other]],Table_NFI[Winter Items Other])</f>
        <v>0</v>
      </c>
      <c r="AL1102" s="294">
        <f>IF(NFI_Expiration=1,IF($A1102&lt;VLOOKUP(M$5,NFI,5,0),1,0)*Table_NFI[[#This Row],[Winter Blanket]],Table_NFI[[#This Row],[Winter Blanket]])</f>
        <v>0</v>
      </c>
      <c r="AM1102" s="294">
        <f>IF(Table_NFI[[#This Row],[Winter Clothes Adult]]+Table_NFI[[#This Row],[Winter Clothes Children]]+Table_NFI[[#This Row],[Winter Items Other]]+Table_NFI[[#This Row],[Winter Blanket]]&gt;0,1,0)</f>
        <v>0</v>
      </c>
      <c r="AN1102" s="331">
        <f>IF(NFI_Expiration=1,IF($A1102&lt;VLOOKUP(V$5,NFI,5,0),1,0)*Table_NFI[[#This Row],[Jerry Can]],Table_NFI[Jerry Can])</f>
        <v>0</v>
      </c>
      <c r="AO1102" s="331">
        <f>IF(NFI_Expiration=1,IF($A1102&lt;VLOOKUP(V$5,NFI,5,0),1,0)*Table_NFI[[#This Row],[Shelter Tool kit]],Table_NFI[Shelter Tool kit])</f>
        <v>0</v>
      </c>
      <c r="AP1102" s="331">
        <f>IF(NFI_Expiration=1,IF($A1102&lt;VLOOKUP(V$5,NFI,5,0),1,0)*Table_NFI[[#This Row],[Tent]],Table_NFI[Tent])</f>
        <v>0</v>
      </c>
      <c r="AQ1102" s="473" t="str">
        <f>IFERROR(VLOOKUP(Table_NFI[[#This Row],[Camp Name]],CL,2,0),"")</f>
        <v/>
      </c>
      <c r="AR1102" s="468" t="str">
        <f ca="1">IF(Table_NFI[[#This Row],[Pcode]]="","",IF(OFFSET(CampList[Opening Date],MATCH(Table_NFI[[#This Row],[Pcode]],CampList[CP_Pcode],0)-1,0,1,1)&gt;=NFI_Monitor_Date,1,0))</f>
        <v/>
      </c>
      <c r="AS1102" s="473" t="str">
        <f>IFERROR(VLOOKUP(Table_NFI[[#This Row],[Camp Name]],CL,3,0),"")</f>
        <v/>
      </c>
      <c r="AT1102" s="294" t="str">
        <f ca="1">IF(Table_NFI[[#This Row],[Pcode]]="","",OFFSET(CampList[Priority],MATCH(Table_NFI[[#This Row],[Pcode]],CampList[CP_Pcode],0)-1,0,1,1))</f>
        <v/>
      </c>
      <c r="AU1102" s="293" t="str">
        <f>IFERROR(Table_NFI[[#This Row],[Kitchen Set]]/VLOOKUP(Table_NFI[[#This Row],[Camp Name]],CL,4,0),"")</f>
        <v/>
      </c>
      <c r="AV1102" s="466"/>
      <c r="AW1102" s="474"/>
    </row>
    <row r="1103" spans="1:49" s="479" customFormat="1" ht="15.75" customHeight="1" x14ac:dyDescent="0.25">
      <c r="A1103" s="297" t="str">
        <f t="shared" si="17"/>
        <v/>
      </c>
      <c r="B1103" s="465"/>
      <c r="C1103" s="471"/>
      <c r="D1103" s="471"/>
      <c r="E1103" s="471"/>
      <c r="F1103" s="471"/>
      <c r="G1103" s="471"/>
      <c r="H1103" s="292"/>
      <c r="I1103" s="292"/>
      <c r="J1103" s="292"/>
      <c r="K1103" s="292"/>
      <c r="L1103" s="292"/>
      <c r="M1103" s="292"/>
      <c r="N1103" s="292"/>
      <c r="O1103" s="292"/>
      <c r="P1103" s="294"/>
      <c r="Q1103" s="294"/>
      <c r="R1103" s="294"/>
      <c r="S1103" s="294"/>
      <c r="T1103" s="294"/>
      <c r="U1103" s="294"/>
      <c r="V1103" s="431"/>
      <c r="W1103" s="331"/>
      <c r="X1103" s="331"/>
      <c r="Y1103" s="294">
        <f>IF(NFI_Expiration=1,IF($A1103&lt;VLOOKUP(H$5,NFI,5,0),1,0)*Table_NFI[[#This Row],[Hygiene Kit]],Table_NFI[Hygiene Kit])</f>
        <v>0</v>
      </c>
      <c r="Z1103" s="294">
        <f>IF(NFI_Expiration=1,IF($A1103&lt;VLOOKUP(I$5,NFI,5,0),1,0)*Table_NFI[[#This Row],[NFI Core Kit]],Table_NFI[NFI Core Kit])</f>
        <v>0</v>
      </c>
      <c r="AA1103" s="294">
        <f>IF(NFI_Expiration=1,IF($A1103&lt;VLOOKUP(J$5,NFI,5,0),1,0)*Table_NFI[[#This Row],[Sanitary Kit]],Table_NFI[Sanitary Kit])</f>
        <v>0</v>
      </c>
      <c r="AB1103" s="294">
        <f>IF(NFI_Expiration=1,IF($A1103&lt;VLOOKUP(K$5,NFI,5,0),1,0)*Table_NFI[[#This Row],[Mosquito net]],Table_NFI[Mosquito net])</f>
        <v>0</v>
      </c>
      <c r="AC1103" s="294">
        <f>IF(NFI_Expiration=1,IF($A1103&lt;VLOOKUP(L$5,NFI,5,0),1,0)*Table_NFI[[#This Row],[Tarpaulin]],Table_NFI[[#This Row],[Tarpaulin]])</f>
        <v>0</v>
      </c>
      <c r="AD1103" s="294">
        <f>IF(NFI_Expiration=1,IF($A1103&lt;VLOOKUP(M$5,NFI,5,0),1,0)*Table_NFI[[#This Row],[Blanket]],Table_NFI[[#This Row],[Blanket]])</f>
        <v>0</v>
      </c>
      <c r="AE1103" s="294">
        <f>IF(NFI_Expiration=1,IF($A1103&lt;VLOOKUP(N$5,NFI,5,0),1,0)*Table_NFI[[#This Row],[Kitchen Set]],Table_NFI[Kitchen Set])</f>
        <v>0</v>
      </c>
      <c r="AF1103" s="294">
        <f>IF(NFI_Expiration=1,IF($A1103&lt;VLOOKUP(O$5,NFI,5,0),1,0)*Table_NFI[[#This Row],[Clothes Kit]],Table_NFI[Clothes Kit])</f>
        <v>0</v>
      </c>
      <c r="AG1103" s="294">
        <f>IF(NFI_Expiration=1,IF($A1103&lt;VLOOKUP(P$5,NFI,5,0),1,0)*Table_NFI[[#This Row],[Plastic Bucket]],Table_NFI[Plastic Bucket])</f>
        <v>0</v>
      </c>
      <c r="AH1103" s="294">
        <f>IF(NFI_Expiration=1,IF($A1103&lt;VLOOKUP(Q$5,NFI,5,0),1,0)*Table_NFI[[#This Row],[Plastic Mat]],Table_NFI[Plastic Mat])*IF(Table_NFI[[#This Row],[Distribution Date]]&gt;"2014-04-01",1,2.5)</f>
        <v>0</v>
      </c>
      <c r="AI1103" s="294">
        <f>IF(NFI_Expiration=1,IF($A1103&lt;VLOOKUP(R$5,NFI,5,0),1,0)*Table_NFI[[#This Row],[Winter Clothes Adult]],Table_NFI[Winter Clothes Adult])</f>
        <v>0</v>
      </c>
      <c r="AJ1103" s="294">
        <f>IF(NFI_Expiration=1,IF($A1103&lt;VLOOKUP(S$5,NFI,5,0),1,0)*Table_NFI[[#This Row],[Winter Clothes Children]],Table_NFI[Winter Clothes Children])</f>
        <v>0</v>
      </c>
      <c r="AK1103" s="294">
        <f>IF(NFI_Expiration=1,IF($A1103&lt;VLOOKUP(T$5,NFI,5,0),1,0)*Table_NFI[[#This Row],[Winter Items Other]],Table_NFI[Winter Items Other])</f>
        <v>0</v>
      </c>
      <c r="AL1103" s="294">
        <f>IF(NFI_Expiration=1,IF($A1103&lt;VLOOKUP(M$5,NFI,5,0),1,0)*Table_NFI[[#This Row],[Winter Blanket]],Table_NFI[[#This Row],[Winter Blanket]])</f>
        <v>0</v>
      </c>
      <c r="AM1103" s="294">
        <f>IF(Table_NFI[[#This Row],[Winter Clothes Adult]]+Table_NFI[[#This Row],[Winter Clothes Children]]+Table_NFI[[#This Row],[Winter Items Other]]+Table_NFI[[#This Row],[Winter Blanket]]&gt;0,1,0)</f>
        <v>0</v>
      </c>
      <c r="AN1103" s="331">
        <f>IF(NFI_Expiration=1,IF($A1103&lt;VLOOKUP(V$5,NFI,5,0),1,0)*Table_NFI[[#This Row],[Jerry Can]],Table_NFI[Jerry Can])</f>
        <v>0</v>
      </c>
      <c r="AO1103" s="331">
        <f>IF(NFI_Expiration=1,IF($A1103&lt;VLOOKUP(V$5,NFI,5,0),1,0)*Table_NFI[[#This Row],[Shelter Tool kit]],Table_NFI[Shelter Tool kit])</f>
        <v>0</v>
      </c>
      <c r="AP1103" s="331">
        <f>IF(NFI_Expiration=1,IF($A1103&lt;VLOOKUP(V$5,NFI,5,0),1,0)*Table_NFI[[#This Row],[Tent]],Table_NFI[Tent])</f>
        <v>0</v>
      </c>
      <c r="AQ1103" s="473" t="str">
        <f>IFERROR(VLOOKUP(Table_NFI[[#This Row],[Camp Name]],CL,2,0),"")</f>
        <v/>
      </c>
      <c r="AR1103" s="468" t="str">
        <f ca="1">IF(Table_NFI[[#This Row],[Pcode]]="","",IF(OFFSET(CampList[Opening Date],MATCH(Table_NFI[[#This Row],[Pcode]],CampList[CP_Pcode],0)-1,0,1,1)&gt;=NFI_Monitor_Date,1,0))</f>
        <v/>
      </c>
      <c r="AS1103" s="473" t="str">
        <f>IFERROR(VLOOKUP(Table_NFI[[#This Row],[Camp Name]],CL,3,0),"")</f>
        <v/>
      </c>
      <c r="AT1103" s="294" t="str">
        <f ca="1">IF(Table_NFI[[#This Row],[Pcode]]="","",OFFSET(CampList[Priority],MATCH(Table_NFI[[#This Row],[Pcode]],CampList[CP_Pcode],0)-1,0,1,1))</f>
        <v/>
      </c>
      <c r="AU1103" s="293" t="str">
        <f>IFERROR(Table_NFI[[#This Row],[Kitchen Set]]/VLOOKUP(Table_NFI[[#This Row],[Camp Name]],CL,4,0),"")</f>
        <v/>
      </c>
      <c r="AV1103" s="466"/>
      <c r="AW1103" s="474"/>
    </row>
    <row r="1104" spans="1:49" s="479" customFormat="1" ht="15.75" customHeight="1" x14ac:dyDescent="0.25">
      <c r="A1104" s="297" t="str">
        <f t="shared" si="17"/>
        <v/>
      </c>
      <c r="B1104" s="465"/>
      <c r="C1104" s="471"/>
      <c r="D1104" s="471"/>
      <c r="E1104" s="471"/>
      <c r="F1104" s="471"/>
      <c r="G1104" s="471"/>
      <c r="H1104" s="292"/>
      <c r="I1104" s="292"/>
      <c r="J1104" s="292"/>
      <c r="K1104" s="292"/>
      <c r="L1104" s="292"/>
      <c r="M1104" s="292"/>
      <c r="N1104" s="292"/>
      <c r="O1104" s="292"/>
      <c r="P1104" s="294"/>
      <c r="Q1104" s="294"/>
      <c r="R1104" s="294"/>
      <c r="S1104" s="294"/>
      <c r="T1104" s="294"/>
      <c r="U1104" s="294"/>
      <c r="V1104" s="431"/>
      <c r="W1104" s="331"/>
      <c r="X1104" s="331"/>
      <c r="Y1104" s="294">
        <f>IF(NFI_Expiration=1,IF($A1104&lt;VLOOKUP(H$5,NFI,5,0),1,0)*Table_NFI[[#This Row],[Hygiene Kit]],Table_NFI[Hygiene Kit])</f>
        <v>0</v>
      </c>
      <c r="Z1104" s="294">
        <f>IF(NFI_Expiration=1,IF($A1104&lt;VLOOKUP(I$5,NFI,5,0),1,0)*Table_NFI[[#This Row],[NFI Core Kit]],Table_NFI[NFI Core Kit])</f>
        <v>0</v>
      </c>
      <c r="AA1104" s="294">
        <f>IF(NFI_Expiration=1,IF($A1104&lt;VLOOKUP(J$5,NFI,5,0),1,0)*Table_NFI[[#This Row],[Sanitary Kit]],Table_NFI[Sanitary Kit])</f>
        <v>0</v>
      </c>
      <c r="AB1104" s="294">
        <f>IF(NFI_Expiration=1,IF($A1104&lt;VLOOKUP(K$5,NFI,5,0),1,0)*Table_NFI[[#This Row],[Mosquito net]],Table_NFI[Mosquito net])</f>
        <v>0</v>
      </c>
      <c r="AC1104" s="294">
        <f>IF(NFI_Expiration=1,IF($A1104&lt;VLOOKUP(L$5,NFI,5,0),1,0)*Table_NFI[[#This Row],[Tarpaulin]],Table_NFI[[#This Row],[Tarpaulin]])</f>
        <v>0</v>
      </c>
      <c r="AD1104" s="294">
        <f>IF(NFI_Expiration=1,IF($A1104&lt;VLOOKUP(M$5,NFI,5,0),1,0)*Table_NFI[[#This Row],[Blanket]],Table_NFI[[#This Row],[Blanket]])</f>
        <v>0</v>
      </c>
      <c r="AE1104" s="294">
        <f>IF(NFI_Expiration=1,IF($A1104&lt;VLOOKUP(N$5,NFI,5,0),1,0)*Table_NFI[[#This Row],[Kitchen Set]],Table_NFI[Kitchen Set])</f>
        <v>0</v>
      </c>
      <c r="AF1104" s="294">
        <f>IF(NFI_Expiration=1,IF($A1104&lt;VLOOKUP(O$5,NFI,5,0),1,0)*Table_NFI[[#This Row],[Clothes Kit]],Table_NFI[Clothes Kit])</f>
        <v>0</v>
      </c>
      <c r="AG1104" s="294">
        <f>IF(NFI_Expiration=1,IF($A1104&lt;VLOOKUP(P$5,NFI,5,0),1,0)*Table_NFI[[#This Row],[Plastic Bucket]],Table_NFI[Plastic Bucket])</f>
        <v>0</v>
      </c>
      <c r="AH1104" s="294">
        <f>IF(NFI_Expiration=1,IF($A1104&lt;VLOOKUP(Q$5,NFI,5,0),1,0)*Table_NFI[[#This Row],[Plastic Mat]],Table_NFI[Plastic Mat])*IF(Table_NFI[[#This Row],[Distribution Date]]&gt;"2014-04-01",1,2.5)</f>
        <v>0</v>
      </c>
      <c r="AI1104" s="294">
        <f>IF(NFI_Expiration=1,IF($A1104&lt;VLOOKUP(R$5,NFI,5,0),1,0)*Table_NFI[[#This Row],[Winter Clothes Adult]],Table_NFI[Winter Clothes Adult])</f>
        <v>0</v>
      </c>
      <c r="AJ1104" s="294">
        <f>IF(NFI_Expiration=1,IF($A1104&lt;VLOOKUP(S$5,NFI,5,0),1,0)*Table_NFI[[#This Row],[Winter Clothes Children]],Table_NFI[Winter Clothes Children])</f>
        <v>0</v>
      </c>
      <c r="AK1104" s="294">
        <f>IF(NFI_Expiration=1,IF($A1104&lt;VLOOKUP(T$5,NFI,5,0),1,0)*Table_NFI[[#This Row],[Winter Items Other]],Table_NFI[Winter Items Other])</f>
        <v>0</v>
      </c>
      <c r="AL1104" s="294">
        <f>IF(NFI_Expiration=1,IF($A1104&lt;VLOOKUP(M$5,NFI,5,0),1,0)*Table_NFI[[#This Row],[Winter Blanket]],Table_NFI[[#This Row],[Winter Blanket]])</f>
        <v>0</v>
      </c>
      <c r="AM1104" s="294">
        <f>IF(Table_NFI[[#This Row],[Winter Clothes Adult]]+Table_NFI[[#This Row],[Winter Clothes Children]]+Table_NFI[[#This Row],[Winter Items Other]]+Table_NFI[[#This Row],[Winter Blanket]]&gt;0,1,0)</f>
        <v>0</v>
      </c>
      <c r="AN1104" s="331">
        <f>IF(NFI_Expiration=1,IF($A1104&lt;VLOOKUP(V$5,NFI,5,0),1,0)*Table_NFI[[#This Row],[Jerry Can]],Table_NFI[Jerry Can])</f>
        <v>0</v>
      </c>
      <c r="AO1104" s="331">
        <f>IF(NFI_Expiration=1,IF($A1104&lt;VLOOKUP(V$5,NFI,5,0),1,0)*Table_NFI[[#This Row],[Shelter Tool kit]],Table_NFI[Shelter Tool kit])</f>
        <v>0</v>
      </c>
      <c r="AP1104" s="331">
        <f>IF(NFI_Expiration=1,IF($A1104&lt;VLOOKUP(V$5,NFI,5,0),1,0)*Table_NFI[[#This Row],[Tent]],Table_NFI[Tent])</f>
        <v>0</v>
      </c>
      <c r="AQ1104" s="473" t="str">
        <f>IFERROR(VLOOKUP(Table_NFI[[#This Row],[Camp Name]],CL,2,0),"")</f>
        <v/>
      </c>
      <c r="AR1104" s="468" t="str">
        <f ca="1">IF(Table_NFI[[#This Row],[Pcode]]="","",IF(OFFSET(CampList[Opening Date],MATCH(Table_NFI[[#This Row],[Pcode]],CampList[CP_Pcode],0)-1,0,1,1)&gt;=NFI_Monitor_Date,1,0))</f>
        <v/>
      </c>
      <c r="AS1104" s="473" t="str">
        <f>IFERROR(VLOOKUP(Table_NFI[[#This Row],[Camp Name]],CL,3,0),"")</f>
        <v/>
      </c>
      <c r="AT1104" s="294" t="str">
        <f ca="1">IF(Table_NFI[[#This Row],[Pcode]]="","",OFFSET(CampList[Priority],MATCH(Table_NFI[[#This Row],[Pcode]],CampList[CP_Pcode],0)-1,0,1,1))</f>
        <v/>
      </c>
      <c r="AU1104" s="293" t="str">
        <f>IFERROR(Table_NFI[[#This Row],[Kitchen Set]]/VLOOKUP(Table_NFI[[#This Row],[Camp Name]],CL,4,0),"")</f>
        <v/>
      </c>
      <c r="AV1104" s="466"/>
      <c r="AW1104" s="474"/>
    </row>
    <row r="1105" spans="1:49" s="479" customFormat="1" ht="15.75" customHeight="1" x14ac:dyDescent="0.25">
      <c r="A1105" s="297" t="str">
        <f t="shared" si="17"/>
        <v/>
      </c>
      <c r="B1105" s="465"/>
      <c r="C1105" s="471"/>
      <c r="D1105" s="471"/>
      <c r="E1105" s="471"/>
      <c r="F1105" s="471"/>
      <c r="G1105" s="471"/>
      <c r="H1105" s="292"/>
      <c r="I1105" s="292"/>
      <c r="J1105" s="292"/>
      <c r="K1105" s="292"/>
      <c r="L1105" s="292"/>
      <c r="M1105" s="292"/>
      <c r="N1105" s="292"/>
      <c r="O1105" s="292"/>
      <c r="P1105" s="294"/>
      <c r="Q1105" s="294"/>
      <c r="R1105" s="294"/>
      <c r="S1105" s="294"/>
      <c r="T1105" s="294"/>
      <c r="U1105" s="294"/>
      <c r="V1105" s="431"/>
      <c r="W1105" s="331"/>
      <c r="X1105" s="331"/>
      <c r="Y1105" s="294">
        <f>IF(NFI_Expiration=1,IF($A1105&lt;VLOOKUP(H$5,NFI,5,0),1,0)*Table_NFI[[#This Row],[Hygiene Kit]],Table_NFI[Hygiene Kit])</f>
        <v>0</v>
      </c>
      <c r="Z1105" s="294">
        <f>IF(NFI_Expiration=1,IF($A1105&lt;VLOOKUP(I$5,NFI,5,0),1,0)*Table_NFI[[#This Row],[NFI Core Kit]],Table_NFI[NFI Core Kit])</f>
        <v>0</v>
      </c>
      <c r="AA1105" s="294">
        <f>IF(NFI_Expiration=1,IF($A1105&lt;VLOOKUP(J$5,NFI,5,0),1,0)*Table_NFI[[#This Row],[Sanitary Kit]],Table_NFI[Sanitary Kit])</f>
        <v>0</v>
      </c>
      <c r="AB1105" s="294">
        <f>IF(NFI_Expiration=1,IF($A1105&lt;VLOOKUP(K$5,NFI,5,0),1,0)*Table_NFI[[#This Row],[Mosquito net]],Table_NFI[Mosquito net])</f>
        <v>0</v>
      </c>
      <c r="AC1105" s="294">
        <f>IF(NFI_Expiration=1,IF($A1105&lt;VLOOKUP(L$5,NFI,5,0),1,0)*Table_NFI[[#This Row],[Tarpaulin]],Table_NFI[[#This Row],[Tarpaulin]])</f>
        <v>0</v>
      </c>
      <c r="AD1105" s="294">
        <f>IF(NFI_Expiration=1,IF($A1105&lt;VLOOKUP(M$5,NFI,5,0),1,0)*Table_NFI[[#This Row],[Blanket]],Table_NFI[[#This Row],[Blanket]])</f>
        <v>0</v>
      </c>
      <c r="AE1105" s="294">
        <f>IF(NFI_Expiration=1,IF($A1105&lt;VLOOKUP(N$5,NFI,5,0),1,0)*Table_NFI[[#This Row],[Kitchen Set]],Table_NFI[Kitchen Set])</f>
        <v>0</v>
      </c>
      <c r="AF1105" s="294">
        <f>IF(NFI_Expiration=1,IF($A1105&lt;VLOOKUP(O$5,NFI,5,0),1,0)*Table_NFI[[#This Row],[Clothes Kit]],Table_NFI[Clothes Kit])</f>
        <v>0</v>
      </c>
      <c r="AG1105" s="294">
        <f>IF(NFI_Expiration=1,IF($A1105&lt;VLOOKUP(P$5,NFI,5,0),1,0)*Table_NFI[[#This Row],[Plastic Bucket]],Table_NFI[Plastic Bucket])</f>
        <v>0</v>
      </c>
      <c r="AH1105" s="294">
        <f>IF(NFI_Expiration=1,IF($A1105&lt;VLOOKUP(Q$5,NFI,5,0),1,0)*Table_NFI[[#This Row],[Plastic Mat]],Table_NFI[Plastic Mat])*IF(Table_NFI[[#This Row],[Distribution Date]]&gt;"2014-04-01",1,2.5)</f>
        <v>0</v>
      </c>
      <c r="AI1105" s="294">
        <f>IF(NFI_Expiration=1,IF($A1105&lt;VLOOKUP(R$5,NFI,5,0),1,0)*Table_NFI[[#This Row],[Winter Clothes Adult]],Table_NFI[Winter Clothes Adult])</f>
        <v>0</v>
      </c>
      <c r="AJ1105" s="294">
        <f>IF(NFI_Expiration=1,IF($A1105&lt;VLOOKUP(S$5,NFI,5,0),1,0)*Table_NFI[[#This Row],[Winter Clothes Children]],Table_NFI[Winter Clothes Children])</f>
        <v>0</v>
      </c>
      <c r="AK1105" s="294">
        <f>IF(NFI_Expiration=1,IF($A1105&lt;VLOOKUP(T$5,NFI,5,0),1,0)*Table_NFI[[#This Row],[Winter Items Other]],Table_NFI[Winter Items Other])</f>
        <v>0</v>
      </c>
      <c r="AL1105" s="294">
        <f>IF(NFI_Expiration=1,IF($A1105&lt;VLOOKUP(M$5,NFI,5,0),1,0)*Table_NFI[[#This Row],[Winter Blanket]],Table_NFI[[#This Row],[Winter Blanket]])</f>
        <v>0</v>
      </c>
      <c r="AM1105" s="294">
        <f>IF(Table_NFI[[#This Row],[Winter Clothes Adult]]+Table_NFI[[#This Row],[Winter Clothes Children]]+Table_NFI[[#This Row],[Winter Items Other]]+Table_NFI[[#This Row],[Winter Blanket]]&gt;0,1,0)</f>
        <v>0</v>
      </c>
      <c r="AN1105" s="331">
        <f>IF(NFI_Expiration=1,IF($A1105&lt;VLOOKUP(V$5,NFI,5,0),1,0)*Table_NFI[[#This Row],[Jerry Can]],Table_NFI[Jerry Can])</f>
        <v>0</v>
      </c>
      <c r="AO1105" s="331">
        <f>IF(NFI_Expiration=1,IF($A1105&lt;VLOOKUP(V$5,NFI,5,0),1,0)*Table_NFI[[#This Row],[Shelter Tool kit]],Table_NFI[Shelter Tool kit])</f>
        <v>0</v>
      </c>
      <c r="AP1105" s="331">
        <f>IF(NFI_Expiration=1,IF($A1105&lt;VLOOKUP(V$5,NFI,5,0),1,0)*Table_NFI[[#This Row],[Tent]],Table_NFI[Tent])</f>
        <v>0</v>
      </c>
      <c r="AQ1105" s="473" t="str">
        <f>IFERROR(VLOOKUP(Table_NFI[[#This Row],[Camp Name]],CL,2,0),"")</f>
        <v/>
      </c>
      <c r="AR1105" s="468" t="str">
        <f ca="1">IF(Table_NFI[[#This Row],[Pcode]]="","",IF(OFFSET(CampList[Opening Date],MATCH(Table_NFI[[#This Row],[Pcode]],CampList[CP_Pcode],0)-1,0,1,1)&gt;=NFI_Monitor_Date,1,0))</f>
        <v/>
      </c>
      <c r="AS1105" s="473" t="str">
        <f>IFERROR(VLOOKUP(Table_NFI[[#This Row],[Camp Name]],CL,3,0),"")</f>
        <v/>
      </c>
      <c r="AT1105" s="294" t="str">
        <f ca="1">IF(Table_NFI[[#This Row],[Pcode]]="","",OFFSET(CampList[Priority],MATCH(Table_NFI[[#This Row],[Pcode]],CampList[CP_Pcode],0)-1,0,1,1))</f>
        <v/>
      </c>
      <c r="AU1105" s="293" t="str">
        <f>IFERROR(Table_NFI[[#This Row],[Kitchen Set]]/VLOOKUP(Table_NFI[[#This Row],[Camp Name]],CL,4,0),"")</f>
        <v/>
      </c>
      <c r="AV1105" s="466"/>
      <c r="AW1105" s="474"/>
    </row>
    <row r="1106" spans="1:49" s="479" customFormat="1" ht="14.45" customHeight="1" x14ac:dyDescent="0.25">
      <c r="A1106" s="297" t="str">
        <f t="shared" si="17"/>
        <v/>
      </c>
      <c r="B1106" s="465"/>
      <c r="C1106" s="471"/>
      <c r="D1106" s="471"/>
      <c r="E1106" s="471"/>
      <c r="F1106" s="471"/>
      <c r="G1106" s="471"/>
      <c r="H1106" s="292"/>
      <c r="I1106" s="292"/>
      <c r="J1106" s="292"/>
      <c r="K1106" s="292"/>
      <c r="L1106" s="292"/>
      <c r="M1106" s="292"/>
      <c r="N1106" s="292"/>
      <c r="O1106" s="292"/>
      <c r="P1106" s="294"/>
      <c r="Q1106" s="294"/>
      <c r="R1106" s="294"/>
      <c r="S1106" s="294"/>
      <c r="T1106" s="294"/>
      <c r="U1106" s="294"/>
      <c r="V1106" s="431"/>
      <c r="W1106" s="331"/>
      <c r="X1106" s="331"/>
      <c r="Y1106" s="294">
        <f>IF(NFI_Expiration=1,IF($A1106&lt;VLOOKUP(H$5,NFI,5,0),1,0)*Table_NFI[[#This Row],[Hygiene Kit]],Table_NFI[Hygiene Kit])</f>
        <v>0</v>
      </c>
      <c r="Z1106" s="294">
        <f>IF(NFI_Expiration=1,IF($A1106&lt;VLOOKUP(I$5,NFI,5,0),1,0)*Table_NFI[[#This Row],[NFI Core Kit]],Table_NFI[NFI Core Kit])</f>
        <v>0</v>
      </c>
      <c r="AA1106" s="294">
        <f>IF(NFI_Expiration=1,IF($A1106&lt;VLOOKUP(J$5,NFI,5,0),1,0)*Table_NFI[[#This Row],[Sanitary Kit]],Table_NFI[Sanitary Kit])</f>
        <v>0</v>
      </c>
      <c r="AB1106" s="294">
        <f>IF(NFI_Expiration=1,IF($A1106&lt;VLOOKUP(K$5,NFI,5,0),1,0)*Table_NFI[[#This Row],[Mosquito net]],Table_NFI[Mosquito net])</f>
        <v>0</v>
      </c>
      <c r="AC1106" s="294">
        <f>IF(NFI_Expiration=1,IF($A1106&lt;VLOOKUP(L$5,NFI,5,0),1,0)*Table_NFI[[#This Row],[Tarpaulin]],Table_NFI[[#This Row],[Tarpaulin]])</f>
        <v>0</v>
      </c>
      <c r="AD1106" s="294">
        <f>IF(NFI_Expiration=1,IF($A1106&lt;VLOOKUP(M$5,NFI,5,0),1,0)*Table_NFI[[#This Row],[Blanket]],Table_NFI[[#This Row],[Blanket]])</f>
        <v>0</v>
      </c>
      <c r="AE1106" s="294">
        <f>IF(NFI_Expiration=1,IF($A1106&lt;VLOOKUP(N$5,NFI,5,0),1,0)*Table_NFI[[#This Row],[Kitchen Set]],Table_NFI[Kitchen Set])</f>
        <v>0</v>
      </c>
      <c r="AF1106" s="294">
        <f>IF(NFI_Expiration=1,IF($A1106&lt;VLOOKUP(O$5,NFI,5,0),1,0)*Table_NFI[[#This Row],[Clothes Kit]],Table_NFI[Clothes Kit])</f>
        <v>0</v>
      </c>
      <c r="AG1106" s="294">
        <f>IF(NFI_Expiration=1,IF($A1106&lt;VLOOKUP(P$5,NFI,5,0),1,0)*Table_NFI[[#This Row],[Plastic Bucket]],Table_NFI[Plastic Bucket])</f>
        <v>0</v>
      </c>
      <c r="AH1106" s="294">
        <f>IF(NFI_Expiration=1,IF($A1106&lt;VLOOKUP(Q$5,NFI,5,0),1,0)*Table_NFI[[#This Row],[Plastic Mat]],Table_NFI[Plastic Mat])*IF(Table_NFI[[#This Row],[Distribution Date]]&gt;"2014-04-01",1,2.5)</f>
        <v>0</v>
      </c>
      <c r="AI1106" s="294">
        <f>IF(NFI_Expiration=1,IF($A1106&lt;VLOOKUP(R$5,NFI,5,0),1,0)*Table_NFI[[#This Row],[Winter Clothes Adult]],Table_NFI[Winter Clothes Adult])</f>
        <v>0</v>
      </c>
      <c r="AJ1106" s="294">
        <f>IF(NFI_Expiration=1,IF($A1106&lt;VLOOKUP(S$5,NFI,5,0),1,0)*Table_NFI[[#This Row],[Winter Clothes Children]],Table_NFI[Winter Clothes Children])</f>
        <v>0</v>
      </c>
      <c r="AK1106" s="294">
        <f>IF(NFI_Expiration=1,IF($A1106&lt;VLOOKUP(T$5,NFI,5,0),1,0)*Table_NFI[[#This Row],[Winter Items Other]],Table_NFI[Winter Items Other])</f>
        <v>0</v>
      </c>
      <c r="AL1106" s="294">
        <f>IF(NFI_Expiration=1,IF($A1106&lt;VLOOKUP(M$5,NFI,5,0),1,0)*Table_NFI[[#This Row],[Winter Blanket]],Table_NFI[[#This Row],[Winter Blanket]])</f>
        <v>0</v>
      </c>
      <c r="AM1106" s="294">
        <f>IF(Table_NFI[[#This Row],[Winter Clothes Adult]]+Table_NFI[[#This Row],[Winter Clothes Children]]+Table_NFI[[#This Row],[Winter Items Other]]+Table_NFI[[#This Row],[Winter Blanket]]&gt;0,1,0)</f>
        <v>0</v>
      </c>
      <c r="AN1106" s="331">
        <f>IF(NFI_Expiration=1,IF($A1106&lt;VLOOKUP(V$5,NFI,5,0),1,0)*Table_NFI[[#This Row],[Jerry Can]],Table_NFI[Jerry Can])</f>
        <v>0</v>
      </c>
      <c r="AO1106" s="331">
        <f>IF(NFI_Expiration=1,IF($A1106&lt;VLOOKUP(V$5,NFI,5,0),1,0)*Table_NFI[[#This Row],[Shelter Tool kit]],Table_NFI[Shelter Tool kit])</f>
        <v>0</v>
      </c>
      <c r="AP1106" s="331">
        <f>IF(NFI_Expiration=1,IF($A1106&lt;VLOOKUP(V$5,NFI,5,0),1,0)*Table_NFI[[#This Row],[Tent]],Table_NFI[Tent])</f>
        <v>0</v>
      </c>
      <c r="AQ1106" s="473" t="str">
        <f>IFERROR(VLOOKUP(Table_NFI[[#This Row],[Camp Name]],CL,2,0),"")</f>
        <v/>
      </c>
      <c r="AR1106" s="468" t="str">
        <f ca="1">IF(Table_NFI[[#This Row],[Pcode]]="","",IF(OFFSET(CampList[Opening Date],MATCH(Table_NFI[[#This Row],[Pcode]],CampList[CP_Pcode],0)-1,0,1,1)&gt;=NFI_Monitor_Date,1,0))</f>
        <v/>
      </c>
      <c r="AS1106" s="473" t="str">
        <f>IFERROR(VLOOKUP(Table_NFI[[#This Row],[Camp Name]],CL,3,0),"")</f>
        <v/>
      </c>
      <c r="AT1106" s="294" t="str">
        <f ca="1">IF(Table_NFI[[#This Row],[Pcode]]="","",OFFSET(CampList[Priority],MATCH(Table_NFI[[#This Row],[Pcode]],CampList[CP_Pcode],0)-1,0,1,1))</f>
        <v/>
      </c>
      <c r="AU1106" s="293" t="str">
        <f>IFERROR(Table_NFI[[#This Row],[Kitchen Set]]/VLOOKUP(Table_NFI[[#This Row],[Camp Name]],CL,4,0),"")</f>
        <v/>
      </c>
      <c r="AV1106" s="466"/>
      <c r="AW1106" s="474"/>
    </row>
    <row r="1107" spans="1:49" s="479" customFormat="1" ht="15.75" customHeight="1" x14ac:dyDescent="0.25">
      <c r="A1107" s="297" t="str">
        <f t="shared" si="17"/>
        <v/>
      </c>
      <c r="B1107" s="465"/>
      <c r="C1107" s="471"/>
      <c r="D1107" s="471"/>
      <c r="E1107" s="471"/>
      <c r="F1107" s="471"/>
      <c r="G1107" s="471"/>
      <c r="H1107" s="292"/>
      <c r="I1107" s="292"/>
      <c r="J1107" s="292"/>
      <c r="K1107" s="292"/>
      <c r="L1107" s="292"/>
      <c r="M1107" s="292"/>
      <c r="N1107" s="292"/>
      <c r="O1107" s="292"/>
      <c r="P1107" s="294"/>
      <c r="Q1107" s="294"/>
      <c r="R1107" s="294"/>
      <c r="S1107" s="294"/>
      <c r="T1107" s="294"/>
      <c r="U1107" s="294"/>
      <c r="V1107" s="431"/>
      <c r="W1107" s="331"/>
      <c r="X1107" s="331"/>
      <c r="Y1107" s="294">
        <f>IF(NFI_Expiration=1,IF($A1107&lt;VLOOKUP(H$5,NFI,5,0),1,0)*Table_NFI[[#This Row],[Hygiene Kit]],Table_NFI[Hygiene Kit])</f>
        <v>0</v>
      </c>
      <c r="Z1107" s="294">
        <f>IF(NFI_Expiration=1,IF($A1107&lt;VLOOKUP(I$5,NFI,5,0),1,0)*Table_NFI[[#This Row],[NFI Core Kit]],Table_NFI[NFI Core Kit])</f>
        <v>0</v>
      </c>
      <c r="AA1107" s="294">
        <f>IF(NFI_Expiration=1,IF($A1107&lt;VLOOKUP(J$5,NFI,5,0),1,0)*Table_NFI[[#This Row],[Sanitary Kit]],Table_NFI[Sanitary Kit])</f>
        <v>0</v>
      </c>
      <c r="AB1107" s="294">
        <f>IF(NFI_Expiration=1,IF($A1107&lt;VLOOKUP(K$5,NFI,5,0),1,0)*Table_NFI[[#This Row],[Mosquito net]],Table_NFI[Mosquito net])</f>
        <v>0</v>
      </c>
      <c r="AC1107" s="294">
        <f>IF(NFI_Expiration=1,IF($A1107&lt;VLOOKUP(L$5,NFI,5,0),1,0)*Table_NFI[[#This Row],[Tarpaulin]],Table_NFI[[#This Row],[Tarpaulin]])</f>
        <v>0</v>
      </c>
      <c r="AD1107" s="294">
        <f>IF(NFI_Expiration=1,IF($A1107&lt;VLOOKUP(M$5,NFI,5,0),1,0)*Table_NFI[[#This Row],[Blanket]],Table_NFI[[#This Row],[Blanket]])</f>
        <v>0</v>
      </c>
      <c r="AE1107" s="294">
        <f>IF(NFI_Expiration=1,IF($A1107&lt;VLOOKUP(N$5,NFI,5,0),1,0)*Table_NFI[[#This Row],[Kitchen Set]],Table_NFI[Kitchen Set])</f>
        <v>0</v>
      </c>
      <c r="AF1107" s="294">
        <f>IF(NFI_Expiration=1,IF($A1107&lt;VLOOKUP(O$5,NFI,5,0),1,0)*Table_NFI[[#This Row],[Clothes Kit]],Table_NFI[Clothes Kit])</f>
        <v>0</v>
      </c>
      <c r="AG1107" s="294">
        <f>IF(NFI_Expiration=1,IF($A1107&lt;VLOOKUP(P$5,NFI,5,0),1,0)*Table_NFI[[#This Row],[Plastic Bucket]],Table_NFI[Plastic Bucket])</f>
        <v>0</v>
      </c>
      <c r="AH1107" s="294">
        <f>IF(NFI_Expiration=1,IF($A1107&lt;VLOOKUP(Q$5,NFI,5,0),1,0)*Table_NFI[[#This Row],[Plastic Mat]],Table_NFI[Plastic Mat])*IF(Table_NFI[[#This Row],[Distribution Date]]&gt;"2014-04-01",1,2.5)</f>
        <v>0</v>
      </c>
      <c r="AI1107" s="294">
        <f>IF(NFI_Expiration=1,IF($A1107&lt;VLOOKUP(R$5,NFI,5,0),1,0)*Table_NFI[[#This Row],[Winter Clothes Adult]],Table_NFI[Winter Clothes Adult])</f>
        <v>0</v>
      </c>
      <c r="AJ1107" s="294">
        <f>IF(NFI_Expiration=1,IF($A1107&lt;VLOOKUP(S$5,NFI,5,0),1,0)*Table_NFI[[#This Row],[Winter Clothes Children]],Table_NFI[Winter Clothes Children])</f>
        <v>0</v>
      </c>
      <c r="AK1107" s="294">
        <f>IF(NFI_Expiration=1,IF($A1107&lt;VLOOKUP(T$5,NFI,5,0),1,0)*Table_NFI[[#This Row],[Winter Items Other]],Table_NFI[Winter Items Other])</f>
        <v>0</v>
      </c>
      <c r="AL1107" s="294">
        <f>IF(NFI_Expiration=1,IF($A1107&lt;VLOOKUP(M$5,NFI,5,0),1,0)*Table_NFI[[#This Row],[Winter Blanket]],Table_NFI[[#This Row],[Winter Blanket]])</f>
        <v>0</v>
      </c>
      <c r="AM1107" s="294">
        <f>IF(Table_NFI[[#This Row],[Winter Clothes Adult]]+Table_NFI[[#This Row],[Winter Clothes Children]]+Table_NFI[[#This Row],[Winter Items Other]]+Table_NFI[[#This Row],[Winter Blanket]]&gt;0,1,0)</f>
        <v>0</v>
      </c>
      <c r="AN1107" s="331">
        <f>IF(NFI_Expiration=1,IF($A1107&lt;VLOOKUP(V$5,NFI,5,0),1,0)*Table_NFI[[#This Row],[Jerry Can]],Table_NFI[Jerry Can])</f>
        <v>0</v>
      </c>
      <c r="AO1107" s="331">
        <f>IF(NFI_Expiration=1,IF($A1107&lt;VLOOKUP(V$5,NFI,5,0),1,0)*Table_NFI[[#This Row],[Shelter Tool kit]],Table_NFI[Shelter Tool kit])</f>
        <v>0</v>
      </c>
      <c r="AP1107" s="331">
        <f>IF(NFI_Expiration=1,IF($A1107&lt;VLOOKUP(V$5,NFI,5,0),1,0)*Table_NFI[[#This Row],[Tent]],Table_NFI[Tent])</f>
        <v>0</v>
      </c>
      <c r="AQ1107" s="473" t="str">
        <f>IFERROR(VLOOKUP(Table_NFI[[#This Row],[Camp Name]],CL,2,0),"")</f>
        <v/>
      </c>
      <c r="AR1107" s="468" t="str">
        <f ca="1">IF(Table_NFI[[#This Row],[Pcode]]="","",IF(OFFSET(CampList[Opening Date],MATCH(Table_NFI[[#This Row],[Pcode]],CampList[CP_Pcode],0)-1,0,1,1)&gt;=NFI_Monitor_Date,1,0))</f>
        <v/>
      </c>
      <c r="AS1107" s="473" t="str">
        <f>IFERROR(VLOOKUP(Table_NFI[[#This Row],[Camp Name]],CL,3,0),"")</f>
        <v/>
      </c>
      <c r="AT1107" s="294" t="str">
        <f ca="1">IF(Table_NFI[[#This Row],[Pcode]]="","",OFFSET(CampList[Priority],MATCH(Table_NFI[[#This Row],[Pcode]],CampList[CP_Pcode],0)-1,0,1,1))</f>
        <v/>
      </c>
      <c r="AU1107" s="293" t="str">
        <f>IFERROR(Table_NFI[[#This Row],[Kitchen Set]]/VLOOKUP(Table_NFI[[#This Row],[Camp Name]],CL,4,0),"")</f>
        <v/>
      </c>
      <c r="AV1107" s="466"/>
      <c r="AW1107" s="474"/>
    </row>
    <row r="1108" spans="1:49" s="479" customFormat="1" ht="15.75" customHeight="1" x14ac:dyDescent="0.25">
      <c r="A1108" s="297" t="str">
        <f t="shared" si="17"/>
        <v/>
      </c>
      <c r="B1108" s="465"/>
      <c r="C1108" s="471"/>
      <c r="D1108" s="471"/>
      <c r="E1108" s="471"/>
      <c r="F1108" s="471"/>
      <c r="G1108" s="471"/>
      <c r="H1108" s="292"/>
      <c r="I1108" s="292"/>
      <c r="J1108" s="292"/>
      <c r="K1108" s="292"/>
      <c r="L1108" s="292"/>
      <c r="M1108" s="292"/>
      <c r="N1108" s="292"/>
      <c r="O1108" s="292"/>
      <c r="P1108" s="294"/>
      <c r="Q1108" s="294"/>
      <c r="R1108" s="294"/>
      <c r="S1108" s="294"/>
      <c r="T1108" s="294"/>
      <c r="U1108" s="294"/>
      <c r="V1108" s="431"/>
      <c r="W1108" s="331"/>
      <c r="X1108" s="331"/>
      <c r="Y1108" s="294">
        <f>IF(NFI_Expiration=1,IF($A1108&lt;VLOOKUP(H$5,NFI,5,0),1,0)*Table_NFI[[#This Row],[Hygiene Kit]],Table_NFI[Hygiene Kit])</f>
        <v>0</v>
      </c>
      <c r="Z1108" s="294">
        <f>IF(NFI_Expiration=1,IF($A1108&lt;VLOOKUP(I$5,NFI,5,0),1,0)*Table_NFI[[#This Row],[NFI Core Kit]],Table_NFI[NFI Core Kit])</f>
        <v>0</v>
      </c>
      <c r="AA1108" s="294">
        <f>IF(NFI_Expiration=1,IF($A1108&lt;VLOOKUP(J$5,NFI,5,0),1,0)*Table_NFI[[#This Row],[Sanitary Kit]],Table_NFI[Sanitary Kit])</f>
        <v>0</v>
      </c>
      <c r="AB1108" s="294">
        <f>IF(NFI_Expiration=1,IF($A1108&lt;VLOOKUP(K$5,NFI,5,0),1,0)*Table_NFI[[#This Row],[Mosquito net]],Table_NFI[Mosquito net])</f>
        <v>0</v>
      </c>
      <c r="AC1108" s="294">
        <f>IF(NFI_Expiration=1,IF($A1108&lt;VLOOKUP(L$5,NFI,5,0),1,0)*Table_NFI[[#This Row],[Tarpaulin]],Table_NFI[[#This Row],[Tarpaulin]])</f>
        <v>0</v>
      </c>
      <c r="AD1108" s="294">
        <f>IF(NFI_Expiration=1,IF($A1108&lt;VLOOKUP(M$5,NFI,5,0),1,0)*Table_NFI[[#This Row],[Blanket]],Table_NFI[[#This Row],[Blanket]])</f>
        <v>0</v>
      </c>
      <c r="AE1108" s="294">
        <f>IF(NFI_Expiration=1,IF($A1108&lt;VLOOKUP(N$5,NFI,5,0),1,0)*Table_NFI[[#This Row],[Kitchen Set]],Table_NFI[Kitchen Set])</f>
        <v>0</v>
      </c>
      <c r="AF1108" s="294">
        <f>IF(NFI_Expiration=1,IF($A1108&lt;VLOOKUP(O$5,NFI,5,0),1,0)*Table_NFI[[#This Row],[Clothes Kit]],Table_NFI[Clothes Kit])</f>
        <v>0</v>
      </c>
      <c r="AG1108" s="294">
        <f>IF(NFI_Expiration=1,IF($A1108&lt;VLOOKUP(P$5,NFI,5,0),1,0)*Table_NFI[[#This Row],[Plastic Bucket]],Table_NFI[Plastic Bucket])</f>
        <v>0</v>
      </c>
      <c r="AH1108" s="294">
        <f>IF(NFI_Expiration=1,IF($A1108&lt;VLOOKUP(Q$5,NFI,5,0),1,0)*Table_NFI[[#This Row],[Plastic Mat]],Table_NFI[Plastic Mat])*IF(Table_NFI[[#This Row],[Distribution Date]]&gt;"2014-04-01",1,2.5)</f>
        <v>0</v>
      </c>
      <c r="AI1108" s="294">
        <f>IF(NFI_Expiration=1,IF($A1108&lt;VLOOKUP(R$5,NFI,5,0),1,0)*Table_NFI[[#This Row],[Winter Clothes Adult]],Table_NFI[Winter Clothes Adult])</f>
        <v>0</v>
      </c>
      <c r="AJ1108" s="294">
        <f>IF(NFI_Expiration=1,IF($A1108&lt;VLOOKUP(S$5,NFI,5,0),1,0)*Table_NFI[[#This Row],[Winter Clothes Children]],Table_NFI[Winter Clothes Children])</f>
        <v>0</v>
      </c>
      <c r="AK1108" s="294">
        <f>IF(NFI_Expiration=1,IF($A1108&lt;VLOOKUP(T$5,NFI,5,0),1,0)*Table_NFI[[#This Row],[Winter Items Other]],Table_NFI[Winter Items Other])</f>
        <v>0</v>
      </c>
      <c r="AL1108" s="294">
        <f>IF(NFI_Expiration=1,IF($A1108&lt;VLOOKUP(M$5,NFI,5,0),1,0)*Table_NFI[[#This Row],[Winter Blanket]],Table_NFI[[#This Row],[Winter Blanket]])</f>
        <v>0</v>
      </c>
      <c r="AM1108" s="294">
        <f>IF(Table_NFI[[#This Row],[Winter Clothes Adult]]+Table_NFI[[#This Row],[Winter Clothes Children]]+Table_NFI[[#This Row],[Winter Items Other]]+Table_NFI[[#This Row],[Winter Blanket]]&gt;0,1,0)</f>
        <v>0</v>
      </c>
      <c r="AN1108" s="331">
        <f>IF(NFI_Expiration=1,IF($A1108&lt;VLOOKUP(V$5,NFI,5,0),1,0)*Table_NFI[[#This Row],[Jerry Can]],Table_NFI[Jerry Can])</f>
        <v>0</v>
      </c>
      <c r="AO1108" s="331">
        <f>IF(NFI_Expiration=1,IF($A1108&lt;VLOOKUP(V$5,NFI,5,0),1,0)*Table_NFI[[#This Row],[Shelter Tool kit]],Table_NFI[Shelter Tool kit])</f>
        <v>0</v>
      </c>
      <c r="AP1108" s="331">
        <f>IF(NFI_Expiration=1,IF($A1108&lt;VLOOKUP(V$5,NFI,5,0),1,0)*Table_NFI[[#This Row],[Tent]],Table_NFI[Tent])</f>
        <v>0</v>
      </c>
      <c r="AQ1108" s="473" t="str">
        <f>IFERROR(VLOOKUP(Table_NFI[[#This Row],[Camp Name]],CL,2,0),"")</f>
        <v/>
      </c>
      <c r="AR1108" s="468" t="str">
        <f ca="1">IF(Table_NFI[[#This Row],[Pcode]]="","",IF(OFFSET(CampList[Opening Date],MATCH(Table_NFI[[#This Row],[Pcode]],CampList[CP_Pcode],0)-1,0,1,1)&gt;=NFI_Monitor_Date,1,0))</f>
        <v/>
      </c>
      <c r="AS1108" s="473" t="str">
        <f>IFERROR(VLOOKUP(Table_NFI[[#This Row],[Camp Name]],CL,3,0),"")</f>
        <v/>
      </c>
      <c r="AT1108" s="294" t="str">
        <f ca="1">IF(Table_NFI[[#This Row],[Pcode]]="","",OFFSET(CampList[Priority],MATCH(Table_NFI[[#This Row],[Pcode]],CampList[CP_Pcode],0)-1,0,1,1))</f>
        <v/>
      </c>
      <c r="AU1108" s="293" t="str">
        <f>IFERROR(Table_NFI[[#This Row],[Kitchen Set]]/VLOOKUP(Table_NFI[[#This Row],[Camp Name]],CL,4,0),"")</f>
        <v/>
      </c>
      <c r="AV1108" s="466"/>
      <c r="AW1108" s="474"/>
    </row>
    <row r="1109" spans="1:49" s="479" customFormat="1" ht="15.75" customHeight="1" x14ac:dyDescent="0.25">
      <c r="A1109" s="297" t="str">
        <f t="shared" si="17"/>
        <v/>
      </c>
      <c r="B1109" s="465"/>
      <c r="C1109" s="471"/>
      <c r="D1109" s="471"/>
      <c r="E1109" s="471"/>
      <c r="F1109" s="471"/>
      <c r="G1109" s="471"/>
      <c r="H1109" s="292"/>
      <c r="I1109" s="292"/>
      <c r="J1109" s="292"/>
      <c r="K1109" s="292"/>
      <c r="L1109" s="292"/>
      <c r="M1109" s="292"/>
      <c r="N1109" s="292"/>
      <c r="O1109" s="292"/>
      <c r="P1109" s="294"/>
      <c r="Q1109" s="294"/>
      <c r="R1109" s="294"/>
      <c r="S1109" s="294"/>
      <c r="T1109" s="294"/>
      <c r="U1109" s="294"/>
      <c r="V1109" s="431"/>
      <c r="W1109" s="331"/>
      <c r="X1109" s="331"/>
      <c r="Y1109" s="294">
        <f>IF(NFI_Expiration=1,IF($A1109&lt;VLOOKUP(H$5,NFI,5,0),1,0)*Table_NFI[[#This Row],[Hygiene Kit]],Table_NFI[Hygiene Kit])</f>
        <v>0</v>
      </c>
      <c r="Z1109" s="294">
        <f>IF(NFI_Expiration=1,IF($A1109&lt;VLOOKUP(I$5,NFI,5,0),1,0)*Table_NFI[[#This Row],[NFI Core Kit]],Table_NFI[NFI Core Kit])</f>
        <v>0</v>
      </c>
      <c r="AA1109" s="294">
        <f>IF(NFI_Expiration=1,IF($A1109&lt;VLOOKUP(J$5,NFI,5,0),1,0)*Table_NFI[[#This Row],[Sanitary Kit]],Table_NFI[Sanitary Kit])</f>
        <v>0</v>
      </c>
      <c r="AB1109" s="294">
        <f>IF(NFI_Expiration=1,IF($A1109&lt;VLOOKUP(K$5,NFI,5,0),1,0)*Table_NFI[[#This Row],[Mosquito net]],Table_NFI[Mosquito net])</f>
        <v>0</v>
      </c>
      <c r="AC1109" s="294">
        <f>IF(NFI_Expiration=1,IF($A1109&lt;VLOOKUP(L$5,NFI,5,0),1,0)*Table_NFI[[#This Row],[Tarpaulin]],Table_NFI[[#This Row],[Tarpaulin]])</f>
        <v>0</v>
      </c>
      <c r="AD1109" s="294">
        <f>IF(NFI_Expiration=1,IF($A1109&lt;VLOOKUP(M$5,NFI,5,0),1,0)*Table_NFI[[#This Row],[Blanket]],Table_NFI[[#This Row],[Blanket]])</f>
        <v>0</v>
      </c>
      <c r="AE1109" s="294">
        <f>IF(NFI_Expiration=1,IF($A1109&lt;VLOOKUP(N$5,NFI,5,0),1,0)*Table_NFI[[#This Row],[Kitchen Set]],Table_NFI[Kitchen Set])</f>
        <v>0</v>
      </c>
      <c r="AF1109" s="294">
        <f>IF(NFI_Expiration=1,IF($A1109&lt;VLOOKUP(O$5,NFI,5,0),1,0)*Table_NFI[[#This Row],[Clothes Kit]],Table_NFI[Clothes Kit])</f>
        <v>0</v>
      </c>
      <c r="AG1109" s="294">
        <f>IF(NFI_Expiration=1,IF($A1109&lt;VLOOKUP(P$5,NFI,5,0),1,0)*Table_NFI[[#This Row],[Plastic Bucket]],Table_NFI[Plastic Bucket])</f>
        <v>0</v>
      </c>
      <c r="AH1109" s="294">
        <f>IF(NFI_Expiration=1,IF($A1109&lt;VLOOKUP(Q$5,NFI,5,0),1,0)*Table_NFI[[#This Row],[Plastic Mat]],Table_NFI[Plastic Mat])*IF(Table_NFI[[#This Row],[Distribution Date]]&gt;"2014-04-01",1,2.5)</f>
        <v>0</v>
      </c>
      <c r="AI1109" s="294">
        <f>IF(NFI_Expiration=1,IF($A1109&lt;VLOOKUP(R$5,NFI,5,0),1,0)*Table_NFI[[#This Row],[Winter Clothes Adult]],Table_NFI[Winter Clothes Adult])</f>
        <v>0</v>
      </c>
      <c r="AJ1109" s="294">
        <f>IF(NFI_Expiration=1,IF($A1109&lt;VLOOKUP(S$5,NFI,5,0),1,0)*Table_NFI[[#This Row],[Winter Clothes Children]],Table_NFI[Winter Clothes Children])</f>
        <v>0</v>
      </c>
      <c r="AK1109" s="294">
        <f>IF(NFI_Expiration=1,IF($A1109&lt;VLOOKUP(T$5,NFI,5,0),1,0)*Table_NFI[[#This Row],[Winter Items Other]],Table_NFI[Winter Items Other])</f>
        <v>0</v>
      </c>
      <c r="AL1109" s="294">
        <f>IF(NFI_Expiration=1,IF($A1109&lt;VLOOKUP(M$5,NFI,5,0),1,0)*Table_NFI[[#This Row],[Winter Blanket]],Table_NFI[[#This Row],[Winter Blanket]])</f>
        <v>0</v>
      </c>
      <c r="AM1109" s="294">
        <f>IF(Table_NFI[[#This Row],[Winter Clothes Adult]]+Table_NFI[[#This Row],[Winter Clothes Children]]+Table_NFI[[#This Row],[Winter Items Other]]+Table_NFI[[#This Row],[Winter Blanket]]&gt;0,1,0)</f>
        <v>0</v>
      </c>
      <c r="AN1109" s="331">
        <f>IF(NFI_Expiration=1,IF($A1109&lt;VLOOKUP(V$5,NFI,5,0),1,0)*Table_NFI[[#This Row],[Jerry Can]],Table_NFI[Jerry Can])</f>
        <v>0</v>
      </c>
      <c r="AO1109" s="331">
        <f>IF(NFI_Expiration=1,IF($A1109&lt;VLOOKUP(V$5,NFI,5,0),1,0)*Table_NFI[[#This Row],[Shelter Tool kit]],Table_NFI[Shelter Tool kit])</f>
        <v>0</v>
      </c>
      <c r="AP1109" s="331">
        <f>IF(NFI_Expiration=1,IF($A1109&lt;VLOOKUP(V$5,NFI,5,0),1,0)*Table_NFI[[#This Row],[Tent]],Table_NFI[Tent])</f>
        <v>0</v>
      </c>
      <c r="AQ1109" s="473" t="str">
        <f>IFERROR(VLOOKUP(Table_NFI[[#This Row],[Camp Name]],CL,2,0),"")</f>
        <v/>
      </c>
      <c r="AR1109" s="468" t="str">
        <f ca="1">IF(Table_NFI[[#This Row],[Pcode]]="","",IF(OFFSET(CampList[Opening Date],MATCH(Table_NFI[[#This Row],[Pcode]],CampList[CP_Pcode],0)-1,0,1,1)&gt;=NFI_Monitor_Date,1,0))</f>
        <v/>
      </c>
      <c r="AS1109" s="473" t="str">
        <f>IFERROR(VLOOKUP(Table_NFI[[#This Row],[Camp Name]],CL,3,0),"")</f>
        <v/>
      </c>
      <c r="AT1109" s="294" t="str">
        <f ca="1">IF(Table_NFI[[#This Row],[Pcode]]="","",OFFSET(CampList[Priority],MATCH(Table_NFI[[#This Row],[Pcode]],CampList[CP_Pcode],0)-1,0,1,1))</f>
        <v/>
      </c>
      <c r="AU1109" s="293" t="str">
        <f>IFERROR(Table_NFI[[#This Row],[Kitchen Set]]/VLOOKUP(Table_NFI[[#This Row],[Camp Name]],CL,4,0),"")</f>
        <v/>
      </c>
      <c r="AV1109" s="466"/>
      <c r="AW1109" s="474"/>
    </row>
    <row r="1110" spans="1:49" s="479" customFormat="1" ht="14.45" customHeight="1" x14ac:dyDescent="0.25">
      <c r="A1110" s="297" t="str">
        <f t="shared" si="17"/>
        <v/>
      </c>
      <c r="B1110" s="465"/>
      <c r="C1110" s="471"/>
      <c r="D1110" s="471"/>
      <c r="E1110" s="471"/>
      <c r="F1110" s="471"/>
      <c r="G1110" s="471"/>
      <c r="H1110" s="292"/>
      <c r="I1110" s="292"/>
      <c r="J1110" s="292"/>
      <c r="K1110" s="292"/>
      <c r="L1110" s="292"/>
      <c r="M1110" s="292"/>
      <c r="N1110" s="292"/>
      <c r="O1110" s="292"/>
      <c r="P1110" s="294"/>
      <c r="Q1110" s="294"/>
      <c r="R1110" s="294"/>
      <c r="S1110" s="294"/>
      <c r="T1110" s="294"/>
      <c r="U1110" s="294"/>
      <c r="V1110" s="431"/>
      <c r="W1110" s="331"/>
      <c r="X1110" s="331"/>
      <c r="Y1110" s="294">
        <f>IF(NFI_Expiration=1,IF($A1110&lt;VLOOKUP(H$5,NFI,5,0),1,0)*Table_NFI[[#This Row],[Hygiene Kit]],Table_NFI[Hygiene Kit])</f>
        <v>0</v>
      </c>
      <c r="Z1110" s="294">
        <f>IF(NFI_Expiration=1,IF($A1110&lt;VLOOKUP(I$5,NFI,5,0),1,0)*Table_NFI[[#This Row],[NFI Core Kit]],Table_NFI[NFI Core Kit])</f>
        <v>0</v>
      </c>
      <c r="AA1110" s="294">
        <f>IF(NFI_Expiration=1,IF($A1110&lt;VLOOKUP(J$5,NFI,5,0),1,0)*Table_NFI[[#This Row],[Sanitary Kit]],Table_NFI[Sanitary Kit])</f>
        <v>0</v>
      </c>
      <c r="AB1110" s="294">
        <f>IF(NFI_Expiration=1,IF($A1110&lt;VLOOKUP(K$5,NFI,5,0),1,0)*Table_NFI[[#This Row],[Mosquito net]],Table_NFI[Mosquito net])</f>
        <v>0</v>
      </c>
      <c r="AC1110" s="294">
        <f>IF(NFI_Expiration=1,IF($A1110&lt;VLOOKUP(L$5,NFI,5,0),1,0)*Table_NFI[[#This Row],[Tarpaulin]],Table_NFI[[#This Row],[Tarpaulin]])</f>
        <v>0</v>
      </c>
      <c r="AD1110" s="294">
        <f>IF(NFI_Expiration=1,IF($A1110&lt;VLOOKUP(M$5,NFI,5,0),1,0)*Table_NFI[[#This Row],[Blanket]],Table_NFI[[#This Row],[Blanket]])</f>
        <v>0</v>
      </c>
      <c r="AE1110" s="294">
        <f>IF(NFI_Expiration=1,IF($A1110&lt;VLOOKUP(N$5,NFI,5,0),1,0)*Table_NFI[[#This Row],[Kitchen Set]],Table_NFI[Kitchen Set])</f>
        <v>0</v>
      </c>
      <c r="AF1110" s="294">
        <f>IF(NFI_Expiration=1,IF($A1110&lt;VLOOKUP(O$5,NFI,5,0),1,0)*Table_NFI[[#This Row],[Clothes Kit]],Table_NFI[Clothes Kit])</f>
        <v>0</v>
      </c>
      <c r="AG1110" s="294">
        <f>IF(NFI_Expiration=1,IF($A1110&lt;VLOOKUP(P$5,NFI,5,0),1,0)*Table_NFI[[#This Row],[Plastic Bucket]],Table_NFI[Plastic Bucket])</f>
        <v>0</v>
      </c>
      <c r="AH1110" s="294">
        <f>IF(NFI_Expiration=1,IF($A1110&lt;VLOOKUP(Q$5,NFI,5,0),1,0)*Table_NFI[[#This Row],[Plastic Mat]],Table_NFI[Plastic Mat])*IF(Table_NFI[[#This Row],[Distribution Date]]&gt;"2014-04-01",1,2.5)</f>
        <v>0</v>
      </c>
      <c r="AI1110" s="294">
        <f>IF(NFI_Expiration=1,IF($A1110&lt;VLOOKUP(R$5,NFI,5,0),1,0)*Table_NFI[[#This Row],[Winter Clothes Adult]],Table_NFI[Winter Clothes Adult])</f>
        <v>0</v>
      </c>
      <c r="AJ1110" s="294">
        <f>IF(NFI_Expiration=1,IF($A1110&lt;VLOOKUP(S$5,NFI,5,0),1,0)*Table_NFI[[#This Row],[Winter Clothes Children]],Table_NFI[Winter Clothes Children])</f>
        <v>0</v>
      </c>
      <c r="AK1110" s="294">
        <f>IF(NFI_Expiration=1,IF($A1110&lt;VLOOKUP(T$5,NFI,5,0),1,0)*Table_NFI[[#This Row],[Winter Items Other]],Table_NFI[Winter Items Other])</f>
        <v>0</v>
      </c>
      <c r="AL1110" s="294">
        <f>IF(NFI_Expiration=1,IF($A1110&lt;VLOOKUP(M$5,NFI,5,0),1,0)*Table_NFI[[#This Row],[Winter Blanket]],Table_NFI[[#This Row],[Winter Blanket]])</f>
        <v>0</v>
      </c>
      <c r="AM1110" s="294">
        <f>IF(Table_NFI[[#This Row],[Winter Clothes Adult]]+Table_NFI[[#This Row],[Winter Clothes Children]]+Table_NFI[[#This Row],[Winter Items Other]]+Table_NFI[[#This Row],[Winter Blanket]]&gt;0,1,0)</f>
        <v>0</v>
      </c>
      <c r="AN1110" s="331">
        <f>IF(NFI_Expiration=1,IF($A1110&lt;VLOOKUP(V$5,NFI,5,0),1,0)*Table_NFI[[#This Row],[Jerry Can]],Table_NFI[Jerry Can])</f>
        <v>0</v>
      </c>
      <c r="AO1110" s="331">
        <f>IF(NFI_Expiration=1,IF($A1110&lt;VLOOKUP(V$5,NFI,5,0),1,0)*Table_NFI[[#This Row],[Shelter Tool kit]],Table_NFI[Shelter Tool kit])</f>
        <v>0</v>
      </c>
      <c r="AP1110" s="331">
        <f>IF(NFI_Expiration=1,IF($A1110&lt;VLOOKUP(V$5,NFI,5,0),1,0)*Table_NFI[[#This Row],[Tent]],Table_NFI[Tent])</f>
        <v>0</v>
      </c>
      <c r="AQ1110" s="473" t="str">
        <f>IFERROR(VLOOKUP(Table_NFI[[#This Row],[Camp Name]],CL,2,0),"")</f>
        <v/>
      </c>
      <c r="AR1110" s="468" t="str">
        <f ca="1">IF(Table_NFI[[#This Row],[Pcode]]="","",IF(OFFSET(CampList[Opening Date],MATCH(Table_NFI[[#This Row],[Pcode]],CampList[CP_Pcode],0)-1,0,1,1)&gt;=NFI_Monitor_Date,1,0))</f>
        <v/>
      </c>
      <c r="AS1110" s="473" t="str">
        <f>IFERROR(VLOOKUP(Table_NFI[[#This Row],[Camp Name]],CL,3,0),"")</f>
        <v/>
      </c>
      <c r="AT1110" s="294" t="str">
        <f ca="1">IF(Table_NFI[[#This Row],[Pcode]]="","",OFFSET(CampList[Priority],MATCH(Table_NFI[[#This Row],[Pcode]],CampList[CP_Pcode],0)-1,0,1,1))</f>
        <v/>
      </c>
      <c r="AU1110" s="293" t="str">
        <f>IFERROR(Table_NFI[[#This Row],[Kitchen Set]]/VLOOKUP(Table_NFI[[#This Row],[Camp Name]],CL,4,0),"")</f>
        <v/>
      </c>
      <c r="AV1110" s="466"/>
      <c r="AW1110" s="474"/>
    </row>
    <row r="1111" spans="1:49" ht="14.45" customHeight="1" x14ac:dyDescent="0.25">
      <c r="A1111" s="297" t="str">
        <f t="shared" si="17"/>
        <v/>
      </c>
      <c r="B1111" s="465"/>
      <c r="C1111" s="471"/>
      <c r="D1111" s="471"/>
      <c r="E1111" s="471"/>
      <c r="F1111" s="471"/>
      <c r="G1111" s="471"/>
      <c r="H1111" s="292"/>
      <c r="I1111" s="292"/>
      <c r="J1111" s="292"/>
      <c r="K1111" s="292"/>
      <c r="L1111" s="292"/>
      <c r="M1111" s="292"/>
      <c r="N1111" s="292"/>
      <c r="O1111" s="292"/>
      <c r="P1111" s="294"/>
      <c r="Q1111" s="294"/>
      <c r="R1111" s="294"/>
      <c r="S1111" s="294"/>
      <c r="T1111" s="294"/>
      <c r="U1111" s="294"/>
      <c r="V1111" s="431"/>
      <c r="W1111" s="331"/>
      <c r="X1111" s="331"/>
      <c r="Y1111" s="294">
        <f>IF(NFI_Expiration=1,IF($A1111&lt;VLOOKUP(H$5,NFI,5,0),1,0)*Table_NFI[[#This Row],[Hygiene Kit]],Table_NFI[Hygiene Kit])</f>
        <v>0</v>
      </c>
      <c r="Z1111" s="294">
        <f>IF(NFI_Expiration=1,IF($A1111&lt;VLOOKUP(I$5,NFI,5,0),1,0)*Table_NFI[[#This Row],[NFI Core Kit]],Table_NFI[NFI Core Kit])</f>
        <v>0</v>
      </c>
      <c r="AA1111" s="294">
        <f>IF(NFI_Expiration=1,IF($A1111&lt;VLOOKUP(J$5,NFI,5,0),1,0)*Table_NFI[[#This Row],[Sanitary Kit]],Table_NFI[Sanitary Kit])</f>
        <v>0</v>
      </c>
      <c r="AB1111" s="294">
        <f>IF(NFI_Expiration=1,IF($A1111&lt;VLOOKUP(K$5,NFI,5,0),1,0)*Table_NFI[[#This Row],[Mosquito net]],Table_NFI[Mosquito net])</f>
        <v>0</v>
      </c>
      <c r="AC1111" s="294">
        <f>IF(NFI_Expiration=1,IF($A1111&lt;VLOOKUP(L$5,NFI,5,0),1,0)*Table_NFI[[#This Row],[Tarpaulin]],Table_NFI[[#This Row],[Tarpaulin]])</f>
        <v>0</v>
      </c>
      <c r="AD1111" s="294">
        <f>IF(NFI_Expiration=1,IF($A1111&lt;VLOOKUP(M$5,NFI,5,0),1,0)*Table_NFI[[#This Row],[Blanket]],Table_NFI[[#This Row],[Blanket]])</f>
        <v>0</v>
      </c>
      <c r="AE1111" s="294">
        <f>IF(NFI_Expiration=1,IF($A1111&lt;VLOOKUP(N$5,NFI,5,0),1,0)*Table_NFI[[#This Row],[Kitchen Set]],Table_NFI[Kitchen Set])</f>
        <v>0</v>
      </c>
      <c r="AF1111" s="294">
        <f>IF(NFI_Expiration=1,IF($A1111&lt;VLOOKUP(O$5,NFI,5,0),1,0)*Table_NFI[[#This Row],[Clothes Kit]],Table_NFI[Clothes Kit])</f>
        <v>0</v>
      </c>
      <c r="AG1111" s="294">
        <f>IF(NFI_Expiration=1,IF($A1111&lt;VLOOKUP(P$5,NFI,5,0),1,0)*Table_NFI[[#This Row],[Plastic Bucket]],Table_NFI[Plastic Bucket])</f>
        <v>0</v>
      </c>
      <c r="AH1111" s="294">
        <f>IF(NFI_Expiration=1,IF($A1111&lt;VLOOKUP(Q$5,NFI,5,0),1,0)*Table_NFI[[#This Row],[Plastic Mat]],Table_NFI[Plastic Mat])*IF(Table_NFI[[#This Row],[Distribution Date]]&gt;"2014-04-01",1,2.5)</f>
        <v>0</v>
      </c>
      <c r="AI1111" s="294">
        <f>IF(NFI_Expiration=1,IF($A1111&lt;VLOOKUP(R$5,NFI,5,0),1,0)*Table_NFI[[#This Row],[Winter Clothes Adult]],Table_NFI[Winter Clothes Adult])</f>
        <v>0</v>
      </c>
      <c r="AJ1111" s="294">
        <f>IF(NFI_Expiration=1,IF($A1111&lt;VLOOKUP(S$5,NFI,5,0),1,0)*Table_NFI[[#This Row],[Winter Clothes Children]],Table_NFI[Winter Clothes Children])</f>
        <v>0</v>
      </c>
      <c r="AK1111" s="294">
        <f>IF(NFI_Expiration=1,IF($A1111&lt;VLOOKUP(T$5,NFI,5,0),1,0)*Table_NFI[[#This Row],[Winter Items Other]],Table_NFI[Winter Items Other])</f>
        <v>0</v>
      </c>
      <c r="AL1111" s="294">
        <f>IF(NFI_Expiration=1,IF($A1111&lt;VLOOKUP(M$5,NFI,5,0),1,0)*Table_NFI[[#This Row],[Winter Blanket]],Table_NFI[[#This Row],[Winter Blanket]])</f>
        <v>0</v>
      </c>
      <c r="AM1111" s="294">
        <f>IF(Table_NFI[[#This Row],[Winter Clothes Adult]]+Table_NFI[[#This Row],[Winter Clothes Children]]+Table_NFI[[#This Row],[Winter Items Other]]+Table_NFI[[#This Row],[Winter Blanket]]&gt;0,1,0)</f>
        <v>0</v>
      </c>
      <c r="AN1111" s="331">
        <f>IF(NFI_Expiration=1,IF($A1111&lt;VLOOKUP(V$5,NFI,5,0),1,0)*Table_NFI[[#This Row],[Jerry Can]],Table_NFI[Jerry Can])</f>
        <v>0</v>
      </c>
      <c r="AO1111" s="331">
        <f>IF(NFI_Expiration=1,IF($A1111&lt;VLOOKUP(V$5,NFI,5,0),1,0)*Table_NFI[[#This Row],[Shelter Tool kit]],Table_NFI[Shelter Tool kit])</f>
        <v>0</v>
      </c>
      <c r="AP1111" s="331">
        <f>IF(NFI_Expiration=1,IF($A1111&lt;VLOOKUP(V$5,NFI,5,0),1,0)*Table_NFI[[#This Row],[Tent]],Table_NFI[Tent])</f>
        <v>0</v>
      </c>
      <c r="AQ1111" s="473" t="str">
        <f>IFERROR(VLOOKUP(Table_NFI[[#This Row],[Camp Name]],CL,2,0),"")</f>
        <v/>
      </c>
      <c r="AR1111" s="468" t="str">
        <f ca="1">IF(Table_NFI[[#This Row],[Pcode]]="","",IF(OFFSET(CampList[Opening Date],MATCH(Table_NFI[[#This Row],[Pcode]],CampList[CP_Pcode],0)-1,0,1,1)&gt;=NFI_Monitor_Date,1,0))</f>
        <v/>
      </c>
      <c r="AS1111" s="473" t="str">
        <f>IFERROR(VLOOKUP(Table_NFI[[#This Row],[Camp Name]],CL,3,0),"")</f>
        <v/>
      </c>
      <c r="AT1111" s="294" t="str">
        <f ca="1">IF(Table_NFI[[#This Row],[Pcode]]="","",OFFSET(CampList[Priority],MATCH(Table_NFI[[#This Row],[Pcode]],CampList[CP_Pcode],0)-1,0,1,1))</f>
        <v/>
      </c>
      <c r="AU1111" s="293" t="str">
        <f>IFERROR(Table_NFI[[#This Row],[Kitchen Set]]/VLOOKUP(Table_NFI[[#This Row],[Camp Name]],CL,4,0),"")</f>
        <v/>
      </c>
      <c r="AV1111" s="466"/>
      <c r="AW1111" s="474"/>
    </row>
    <row r="1112" spans="1:49" ht="14.45" customHeight="1" x14ac:dyDescent="0.25">
      <c r="A1112" s="297" t="str">
        <f t="shared" si="17"/>
        <v/>
      </c>
      <c r="B1112" s="465"/>
      <c r="C1112" s="471"/>
      <c r="D1112" s="471"/>
      <c r="E1112" s="471"/>
      <c r="F1112" s="471"/>
      <c r="G1112" s="471"/>
      <c r="H1112" s="292"/>
      <c r="I1112" s="292"/>
      <c r="J1112" s="292"/>
      <c r="K1112" s="292"/>
      <c r="L1112" s="292"/>
      <c r="M1112" s="292"/>
      <c r="N1112" s="292"/>
      <c r="O1112" s="292"/>
      <c r="P1112" s="294"/>
      <c r="Q1112" s="294"/>
      <c r="R1112" s="294"/>
      <c r="S1112" s="294"/>
      <c r="T1112" s="294"/>
      <c r="U1112" s="294"/>
      <c r="V1112" s="431"/>
      <c r="W1112" s="331"/>
      <c r="X1112" s="331"/>
      <c r="Y1112" s="294">
        <f>IF(NFI_Expiration=1,IF($A1112&lt;VLOOKUP(H$5,NFI,5,0),1,0)*Table_NFI[[#This Row],[Hygiene Kit]],Table_NFI[Hygiene Kit])</f>
        <v>0</v>
      </c>
      <c r="Z1112" s="294">
        <f>IF(NFI_Expiration=1,IF($A1112&lt;VLOOKUP(I$5,NFI,5,0),1,0)*Table_NFI[[#This Row],[NFI Core Kit]],Table_NFI[NFI Core Kit])</f>
        <v>0</v>
      </c>
      <c r="AA1112" s="294">
        <f>IF(NFI_Expiration=1,IF($A1112&lt;VLOOKUP(J$5,NFI,5,0),1,0)*Table_NFI[[#This Row],[Sanitary Kit]],Table_NFI[Sanitary Kit])</f>
        <v>0</v>
      </c>
      <c r="AB1112" s="294">
        <f>IF(NFI_Expiration=1,IF($A1112&lt;VLOOKUP(K$5,NFI,5,0),1,0)*Table_NFI[[#This Row],[Mosquito net]],Table_NFI[Mosquito net])</f>
        <v>0</v>
      </c>
      <c r="AC1112" s="294">
        <f>IF(NFI_Expiration=1,IF($A1112&lt;VLOOKUP(L$5,NFI,5,0),1,0)*Table_NFI[[#This Row],[Tarpaulin]],Table_NFI[[#This Row],[Tarpaulin]])</f>
        <v>0</v>
      </c>
      <c r="AD1112" s="294">
        <f>IF(NFI_Expiration=1,IF($A1112&lt;VLOOKUP(M$5,NFI,5,0),1,0)*Table_NFI[[#This Row],[Blanket]],Table_NFI[[#This Row],[Blanket]])</f>
        <v>0</v>
      </c>
      <c r="AE1112" s="294">
        <f>IF(NFI_Expiration=1,IF($A1112&lt;VLOOKUP(N$5,NFI,5,0),1,0)*Table_NFI[[#This Row],[Kitchen Set]],Table_NFI[Kitchen Set])</f>
        <v>0</v>
      </c>
      <c r="AF1112" s="294">
        <f>IF(NFI_Expiration=1,IF($A1112&lt;VLOOKUP(O$5,NFI,5,0),1,0)*Table_NFI[[#This Row],[Clothes Kit]],Table_NFI[Clothes Kit])</f>
        <v>0</v>
      </c>
      <c r="AG1112" s="294">
        <f>IF(NFI_Expiration=1,IF($A1112&lt;VLOOKUP(P$5,NFI,5,0),1,0)*Table_NFI[[#This Row],[Plastic Bucket]],Table_NFI[Plastic Bucket])</f>
        <v>0</v>
      </c>
      <c r="AH1112" s="294">
        <f>IF(NFI_Expiration=1,IF($A1112&lt;VLOOKUP(Q$5,NFI,5,0),1,0)*Table_NFI[[#This Row],[Plastic Mat]],Table_NFI[Plastic Mat])*IF(Table_NFI[[#This Row],[Distribution Date]]&gt;"2014-04-01",1,2.5)</f>
        <v>0</v>
      </c>
      <c r="AI1112" s="294">
        <f>IF(NFI_Expiration=1,IF($A1112&lt;VLOOKUP(R$5,NFI,5,0),1,0)*Table_NFI[[#This Row],[Winter Clothes Adult]],Table_NFI[Winter Clothes Adult])</f>
        <v>0</v>
      </c>
      <c r="AJ1112" s="294">
        <f>IF(NFI_Expiration=1,IF($A1112&lt;VLOOKUP(S$5,NFI,5,0),1,0)*Table_NFI[[#This Row],[Winter Clothes Children]],Table_NFI[Winter Clothes Children])</f>
        <v>0</v>
      </c>
      <c r="AK1112" s="294">
        <f>IF(NFI_Expiration=1,IF($A1112&lt;VLOOKUP(T$5,NFI,5,0),1,0)*Table_NFI[[#This Row],[Winter Items Other]],Table_NFI[Winter Items Other])</f>
        <v>0</v>
      </c>
      <c r="AL1112" s="294">
        <f>IF(NFI_Expiration=1,IF($A1112&lt;VLOOKUP(M$5,NFI,5,0),1,0)*Table_NFI[[#This Row],[Winter Blanket]],Table_NFI[[#This Row],[Winter Blanket]])</f>
        <v>0</v>
      </c>
      <c r="AM1112" s="294">
        <f>IF(Table_NFI[[#This Row],[Winter Clothes Adult]]+Table_NFI[[#This Row],[Winter Clothes Children]]+Table_NFI[[#This Row],[Winter Items Other]]+Table_NFI[[#This Row],[Winter Blanket]]&gt;0,1,0)</f>
        <v>0</v>
      </c>
      <c r="AN1112" s="331">
        <f>IF(NFI_Expiration=1,IF($A1112&lt;VLOOKUP(V$5,NFI,5,0),1,0)*Table_NFI[[#This Row],[Jerry Can]],Table_NFI[Jerry Can])</f>
        <v>0</v>
      </c>
      <c r="AO1112" s="331">
        <f>IF(NFI_Expiration=1,IF($A1112&lt;VLOOKUP(V$5,NFI,5,0),1,0)*Table_NFI[[#This Row],[Shelter Tool kit]],Table_NFI[Shelter Tool kit])</f>
        <v>0</v>
      </c>
      <c r="AP1112" s="331">
        <f>IF(NFI_Expiration=1,IF($A1112&lt;VLOOKUP(V$5,NFI,5,0),1,0)*Table_NFI[[#This Row],[Tent]],Table_NFI[Tent])</f>
        <v>0</v>
      </c>
      <c r="AQ1112" s="473" t="str">
        <f>IFERROR(VLOOKUP(Table_NFI[[#This Row],[Camp Name]],CL,2,0),"")</f>
        <v/>
      </c>
      <c r="AR1112" s="468" t="str">
        <f ca="1">IF(Table_NFI[[#This Row],[Pcode]]="","",IF(OFFSET(CampList[Opening Date],MATCH(Table_NFI[[#This Row],[Pcode]],CampList[CP_Pcode],0)-1,0,1,1)&gt;=NFI_Monitor_Date,1,0))</f>
        <v/>
      </c>
      <c r="AS1112" s="473" t="str">
        <f>IFERROR(VLOOKUP(Table_NFI[[#This Row],[Camp Name]],CL,3,0),"")</f>
        <v/>
      </c>
      <c r="AT1112" s="294" t="str">
        <f ca="1">IF(Table_NFI[[#This Row],[Pcode]]="","",OFFSET(CampList[Priority],MATCH(Table_NFI[[#This Row],[Pcode]],CampList[CP_Pcode],0)-1,0,1,1))</f>
        <v/>
      </c>
      <c r="AU1112" s="293" t="str">
        <f>IFERROR(Table_NFI[[#This Row],[Kitchen Set]]/VLOOKUP(Table_NFI[[#This Row],[Camp Name]],CL,4,0),"")</f>
        <v/>
      </c>
      <c r="AV1112" s="466"/>
      <c r="AW1112" s="474"/>
    </row>
    <row r="1113" spans="1:49" ht="14.45" customHeight="1" x14ac:dyDescent="0.25">
      <c r="A1113" s="297" t="str">
        <f t="shared" si="17"/>
        <v/>
      </c>
      <c r="B1113" s="465"/>
      <c r="C1113" s="471"/>
      <c r="D1113" s="471"/>
      <c r="E1113" s="471"/>
      <c r="F1113" s="471"/>
      <c r="G1113" s="471"/>
      <c r="H1113" s="292"/>
      <c r="I1113" s="292"/>
      <c r="J1113" s="292"/>
      <c r="K1113" s="292"/>
      <c r="L1113" s="292"/>
      <c r="M1113" s="292"/>
      <c r="N1113" s="292"/>
      <c r="O1113" s="292"/>
      <c r="P1113" s="294"/>
      <c r="Q1113" s="294"/>
      <c r="R1113" s="294"/>
      <c r="S1113" s="294"/>
      <c r="T1113" s="294"/>
      <c r="U1113" s="294"/>
      <c r="V1113" s="431"/>
      <c r="W1113" s="331"/>
      <c r="X1113" s="331"/>
      <c r="Y1113" s="294">
        <f>IF(NFI_Expiration=1,IF($A1113&lt;VLOOKUP(H$5,NFI,5,0),1,0)*Table_NFI[[#This Row],[Hygiene Kit]],Table_NFI[Hygiene Kit])</f>
        <v>0</v>
      </c>
      <c r="Z1113" s="294">
        <f>IF(NFI_Expiration=1,IF($A1113&lt;VLOOKUP(I$5,NFI,5,0),1,0)*Table_NFI[[#This Row],[NFI Core Kit]],Table_NFI[NFI Core Kit])</f>
        <v>0</v>
      </c>
      <c r="AA1113" s="294">
        <f>IF(NFI_Expiration=1,IF($A1113&lt;VLOOKUP(J$5,NFI,5,0),1,0)*Table_NFI[[#This Row],[Sanitary Kit]],Table_NFI[Sanitary Kit])</f>
        <v>0</v>
      </c>
      <c r="AB1113" s="294">
        <f>IF(NFI_Expiration=1,IF($A1113&lt;VLOOKUP(K$5,NFI,5,0),1,0)*Table_NFI[[#This Row],[Mosquito net]],Table_NFI[Mosquito net])</f>
        <v>0</v>
      </c>
      <c r="AC1113" s="294">
        <f>IF(NFI_Expiration=1,IF($A1113&lt;VLOOKUP(L$5,NFI,5,0),1,0)*Table_NFI[[#This Row],[Tarpaulin]],Table_NFI[[#This Row],[Tarpaulin]])</f>
        <v>0</v>
      </c>
      <c r="AD1113" s="294">
        <f>IF(NFI_Expiration=1,IF($A1113&lt;VLOOKUP(M$5,NFI,5,0),1,0)*Table_NFI[[#This Row],[Blanket]],Table_NFI[[#This Row],[Blanket]])</f>
        <v>0</v>
      </c>
      <c r="AE1113" s="294">
        <f>IF(NFI_Expiration=1,IF($A1113&lt;VLOOKUP(N$5,NFI,5,0),1,0)*Table_NFI[[#This Row],[Kitchen Set]],Table_NFI[Kitchen Set])</f>
        <v>0</v>
      </c>
      <c r="AF1113" s="294">
        <f>IF(NFI_Expiration=1,IF($A1113&lt;VLOOKUP(O$5,NFI,5,0),1,0)*Table_NFI[[#This Row],[Clothes Kit]],Table_NFI[Clothes Kit])</f>
        <v>0</v>
      </c>
      <c r="AG1113" s="294">
        <f>IF(NFI_Expiration=1,IF($A1113&lt;VLOOKUP(P$5,NFI,5,0),1,0)*Table_NFI[[#This Row],[Plastic Bucket]],Table_NFI[Plastic Bucket])</f>
        <v>0</v>
      </c>
      <c r="AH1113" s="294">
        <f>IF(NFI_Expiration=1,IF($A1113&lt;VLOOKUP(Q$5,NFI,5,0),1,0)*Table_NFI[[#This Row],[Plastic Mat]],Table_NFI[Plastic Mat])*IF(Table_NFI[[#This Row],[Distribution Date]]&gt;"2014-04-01",1,2.5)</f>
        <v>0</v>
      </c>
      <c r="AI1113" s="294">
        <f>IF(NFI_Expiration=1,IF($A1113&lt;VLOOKUP(R$5,NFI,5,0),1,0)*Table_NFI[[#This Row],[Winter Clothes Adult]],Table_NFI[Winter Clothes Adult])</f>
        <v>0</v>
      </c>
      <c r="AJ1113" s="294">
        <f>IF(NFI_Expiration=1,IF($A1113&lt;VLOOKUP(S$5,NFI,5,0),1,0)*Table_NFI[[#This Row],[Winter Clothes Children]],Table_NFI[Winter Clothes Children])</f>
        <v>0</v>
      </c>
      <c r="AK1113" s="294">
        <f>IF(NFI_Expiration=1,IF($A1113&lt;VLOOKUP(T$5,NFI,5,0),1,0)*Table_NFI[[#This Row],[Winter Items Other]],Table_NFI[Winter Items Other])</f>
        <v>0</v>
      </c>
      <c r="AL1113" s="294">
        <f>IF(NFI_Expiration=1,IF($A1113&lt;VLOOKUP(M$5,NFI,5,0),1,0)*Table_NFI[[#This Row],[Winter Blanket]],Table_NFI[[#This Row],[Winter Blanket]])</f>
        <v>0</v>
      </c>
      <c r="AM1113" s="294">
        <f>IF(Table_NFI[[#This Row],[Winter Clothes Adult]]+Table_NFI[[#This Row],[Winter Clothes Children]]+Table_NFI[[#This Row],[Winter Items Other]]+Table_NFI[[#This Row],[Winter Blanket]]&gt;0,1,0)</f>
        <v>0</v>
      </c>
      <c r="AN1113" s="331">
        <f>IF(NFI_Expiration=1,IF($A1113&lt;VLOOKUP(V$5,NFI,5,0),1,0)*Table_NFI[[#This Row],[Jerry Can]],Table_NFI[Jerry Can])</f>
        <v>0</v>
      </c>
      <c r="AO1113" s="331">
        <f>IF(NFI_Expiration=1,IF($A1113&lt;VLOOKUP(V$5,NFI,5,0),1,0)*Table_NFI[[#This Row],[Shelter Tool kit]],Table_NFI[Shelter Tool kit])</f>
        <v>0</v>
      </c>
      <c r="AP1113" s="331">
        <f>IF(NFI_Expiration=1,IF($A1113&lt;VLOOKUP(V$5,NFI,5,0),1,0)*Table_NFI[[#This Row],[Tent]],Table_NFI[Tent])</f>
        <v>0</v>
      </c>
      <c r="AQ1113" s="473" t="str">
        <f>IFERROR(VLOOKUP(Table_NFI[[#This Row],[Camp Name]],CL,2,0),"")</f>
        <v/>
      </c>
      <c r="AR1113" s="468" t="str">
        <f ca="1">IF(Table_NFI[[#This Row],[Pcode]]="","",IF(OFFSET(CampList[Opening Date],MATCH(Table_NFI[[#This Row],[Pcode]],CampList[CP_Pcode],0)-1,0,1,1)&gt;=NFI_Monitor_Date,1,0))</f>
        <v/>
      </c>
      <c r="AS1113" s="473" t="str">
        <f>IFERROR(VLOOKUP(Table_NFI[[#This Row],[Camp Name]],CL,3,0),"")</f>
        <v/>
      </c>
      <c r="AT1113" s="294" t="str">
        <f ca="1">IF(Table_NFI[[#This Row],[Pcode]]="","",OFFSET(CampList[Priority],MATCH(Table_NFI[[#This Row],[Pcode]],CampList[CP_Pcode],0)-1,0,1,1))</f>
        <v/>
      </c>
      <c r="AU1113" s="293" t="str">
        <f>IFERROR(Table_NFI[[#This Row],[Kitchen Set]]/VLOOKUP(Table_NFI[[#This Row],[Camp Name]],CL,4,0),"")</f>
        <v/>
      </c>
      <c r="AV1113" s="466"/>
      <c r="AW1113" s="474"/>
    </row>
    <row r="1114" spans="1:49" ht="14.45" customHeight="1" x14ac:dyDescent="0.25">
      <c r="A1114" s="297" t="str">
        <f t="shared" si="17"/>
        <v/>
      </c>
      <c r="B1114" s="465"/>
      <c r="C1114" s="471"/>
      <c r="D1114" s="471"/>
      <c r="E1114" s="471"/>
      <c r="F1114" s="471"/>
      <c r="G1114" s="471"/>
      <c r="H1114" s="292"/>
      <c r="I1114" s="292"/>
      <c r="J1114" s="292"/>
      <c r="K1114" s="292"/>
      <c r="L1114" s="292"/>
      <c r="M1114" s="292"/>
      <c r="N1114" s="292"/>
      <c r="O1114" s="292"/>
      <c r="P1114" s="294"/>
      <c r="Q1114" s="294"/>
      <c r="R1114" s="294"/>
      <c r="S1114" s="294"/>
      <c r="T1114" s="294"/>
      <c r="U1114" s="294"/>
      <c r="V1114" s="431"/>
      <c r="W1114" s="331"/>
      <c r="X1114" s="331"/>
      <c r="Y1114" s="294">
        <f>IF(NFI_Expiration=1,IF($A1114&lt;VLOOKUP(H$5,NFI,5,0),1,0)*Table_NFI[[#This Row],[Hygiene Kit]],Table_NFI[Hygiene Kit])</f>
        <v>0</v>
      </c>
      <c r="Z1114" s="294">
        <f>IF(NFI_Expiration=1,IF($A1114&lt;VLOOKUP(I$5,NFI,5,0),1,0)*Table_NFI[[#This Row],[NFI Core Kit]],Table_NFI[NFI Core Kit])</f>
        <v>0</v>
      </c>
      <c r="AA1114" s="294">
        <f>IF(NFI_Expiration=1,IF($A1114&lt;VLOOKUP(J$5,NFI,5,0),1,0)*Table_NFI[[#This Row],[Sanitary Kit]],Table_NFI[Sanitary Kit])</f>
        <v>0</v>
      </c>
      <c r="AB1114" s="294">
        <f>IF(NFI_Expiration=1,IF($A1114&lt;VLOOKUP(K$5,NFI,5,0),1,0)*Table_NFI[[#This Row],[Mosquito net]],Table_NFI[Mosquito net])</f>
        <v>0</v>
      </c>
      <c r="AC1114" s="294">
        <f>IF(NFI_Expiration=1,IF($A1114&lt;VLOOKUP(L$5,NFI,5,0),1,0)*Table_NFI[[#This Row],[Tarpaulin]],Table_NFI[[#This Row],[Tarpaulin]])</f>
        <v>0</v>
      </c>
      <c r="AD1114" s="294">
        <f>IF(NFI_Expiration=1,IF($A1114&lt;VLOOKUP(M$5,NFI,5,0),1,0)*Table_NFI[[#This Row],[Blanket]],Table_NFI[[#This Row],[Blanket]])</f>
        <v>0</v>
      </c>
      <c r="AE1114" s="294">
        <f>IF(NFI_Expiration=1,IF($A1114&lt;VLOOKUP(N$5,NFI,5,0),1,0)*Table_NFI[[#This Row],[Kitchen Set]],Table_NFI[Kitchen Set])</f>
        <v>0</v>
      </c>
      <c r="AF1114" s="294">
        <f>IF(NFI_Expiration=1,IF($A1114&lt;VLOOKUP(O$5,NFI,5,0),1,0)*Table_NFI[[#This Row],[Clothes Kit]],Table_NFI[Clothes Kit])</f>
        <v>0</v>
      </c>
      <c r="AG1114" s="294">
        <f>IF(NFI_Expiration=1,IF($A1114&lt;VLOOKUP(P$5,NFI,5,0),1,0)*Table_NFI[[#This Row],[Plastic Bucket]],Table_NFI[Plastic Bucket])</f>
        <v>0</v>
      </c>
      <c r="AH1114" s="294">
        <f>IF(NFI_Expiration=1,IF($A1114&lt;VLOOKUP(Q$5,NFI,5,0),1,0)*Table_NFI[[#This Row],[Plastic Mat]],Table_NFI[Plastic Mat])*IF(Table_NFI[[#This Row],[Distribution Date]]&gt;"2014-04-01",1,2.5)</f>
        <v>0</v>
      </c>
      <c r="AI1114" s="294">
        <f>IF(NFI_Expiration=1,IF($A1114&lt;VLOOKUP(R$5,NFI,5,0),1,0)*Table_NFI[[#This Row],[Winter Clothes Adult]],Table_NFI[Winter Clothes Adult])</f>
        <v>0</v>
      </c>
      <c r="AJ1114" s="294">
        <f>IF(NFI_Expiration=1,IF($A1114&lt;VLOOKUP(S$5,NFI,5,0),1,0)*Table_NFI[[#This Row],[Winter Clothes Children]],Table_NFI[Winter Clothes Children])</f>
        <v>0</v>
      </c>
      <c r="AK1114" s="294">
        <f>IF(NFI_Expiration=1,IF($A1114&lt;VLOOKUP(T$5,NFI,5,0),1,0)*Table_NFI[[#This Row],[Winter Items Other]],Table_NFI[Winter Items Other])</f>
        <v>0</v>
      </c>
      <c r="AL1114" s="294">
        <f>IF(NFI_Expiration=1,IF($A1114&lt;VLOOKUP(M$5,NFI,5,0),1,0)*Table_NFI[[#This Row],[Winter Blanket]],Table_NFI[[#This Row],[Winter Blanket]])</f>
        <v>0</v>
      </c>
      <c r="AM1114" s="294">
        <f>IF(Table_NFI[[#This Row],[Winter Clothes Adult]]+Table_NFI[[#This Row],[Winter Clothes Children]]+Table_NFI[[#This Row],[Winter Items Other]]+Table_NFI[[#This Row],[Winter Blanket]]&gt;0,1,0)</f>
        <v>0</v>
      </c>
      <c r="AN1114" s="331">
        <f>IF(NFI_Expiration=1,IF($A1114&lt;VLOOKUP(V$5,NFI,5,0),1,0)*Table_NFI[[#This Row],[Jerry Can]],Table_NFI[Jerry Can])</f>
        <v>0</v>
      </c>
      <c r="AO1114" s="331">
        <f>IF(NFI_Expiration=1,IF($A1114&lt;VLOOKUP(V$5,NFI,5,0),1,0)*Table_NFI[[#This Row],[Shelter Tool kit]],Table_NFI[Shelter Tool kit])</f>
        <v>0</v>
      </c>
      <c r="AP1114" s="331">
        <f>IF(NFI_Expiration=1,IF($A1114&lt;VLOOKUP(V$5,NFI,5,0),1,0)*Table_NFI[[#This Row],[Tent]],Table_NFI[Tent])</f>
        <v>0</v>
      </c>
      <c r="AQ1114" s="473" t="str">
        <f>IFERROR(VLOOKUP(Table_NFI[[#This Row],[Camp Name]],CL,2,0),"")</f>
        <v/>
      </c>
      <c r="AR1114" s="468" t="str">
        <f ca="1">IF(Table_NFI[[#This Row],[Pcode]]="","",IF(OFFSET(CampList[Opening Date],MATCH(Table_NFI[[#This Row],[Pcode]],CampList[CP_Pcode],0)-1,0,1,1)&gt;=NFI_Monitor_Date,1,0))</f>
        <v/>
      </c>
      <c r="AS1114" s="473" t="str">
        <f>IFERROR(VLOOKUP(Table_NFI[[#This Row],[Camp Name]],CL,3,0),"")</f>
        <v/>
      </c>
      <c r="AT1114" s="294" t="str">
        <f ca="1">IF(Table_NFI[[#This Row],[Pcode]]="","",OFFSET(CampList[Priority],MATCH(Table_NFI[[#This Row],[Pcode]],CampList[CP_Pcode],0)-1,0,1,1))</f>
        <v/>
      </c>
      <c r="AU1114" s="293" t="str">
        <f>IFERROR(Table_NFI[[#This Row],[Kitchen Set]]/VLOOKUP(Table_NFI[[#This Row],[Camp Name]],CL,4,0),"")</f>
        <v/>
      </c>
      <c r="AV1114" s="466"/>
      <c r="AW1114" s="474"/>
    </row>
    <row r="1115" spans="1:49" ht="14.45" customHeight="1" x14ac:dyDescent="0.25">
      <c r="A1115" s="297" t="str">
        <f t="shared" si="17"/>
        <v/>
      </c>
      <c r="B1115" s="465"/>
      <c r="C1115" s="471"/>
      <c r="D1115" s="471"/>
      <c r="E1115" s="471"/>
      <c r="F1115" s="471"/>
      <c r="G1115" s="471"/>
      <c r="H1115" s="292"/>
      <c r="I1115" s="292"/>
      <c r="J1115" s="292"/>
      <c r="K1115" s="292"/>
      <c r="L1115" s="292"/>
      <c r="M1115" s="292"/>
      <c r="N1115" s="292"/>
      <c r="O1115" s="292"/>
      <c r="P1115" s="294"/>
      <c r="Q1115" s="294"/>
      <c r="R1115" s="294"/>
      <c r="S1115" s="294"/>
      <c r="T1115" s="294"/>
      <c r="U1115" s="294"/>
      <c r="V1115" s="431"/>
      <c r="W1115" s="331"/>
      <c r="X1115" s="331"/>
      <c r="Y1115" s="294">
        <f>IF(NFI_Expiration=1,IF($A1115&lt;VLOOKUP(H$5,NFI,5,0),1,0)*Table_NFI[[#This Row],[Hygiene Kit]],Table_NFI[Hygiene Kit])</f>
        <v>0</v>
      </c>
      <c r="Z1115" s="294">
        <f>IF(NFI_Expiration=1,IF($A1115&lt;VLOOKUP(I$5,NFI,5,0),1,0)*Table_NFI[[#This Row],[NFI Core Kit]],Table_NFI[NFI Core Kit])</f>
        <v>0</v>
      </c>
      <c r="AA1115" s="294">
        <f>IF(NFI_Expiration=1,IF($A1115&lt;VLOOKUP(J$5,NFI,5,0),1,0)*Table_NFI[[#This Row],[Sanitary Kit]],Table_NFI[Sanitary Kit])</f>
        <v>0</v>
      </c>
      <c r="AB1115" s="294">
        <f>IF(NFI_Expiration=1,IF($A1115&lt;VLOOKUP(K$5,NFI,5,0),1,0)*Table_NFI[[#This Row],[Mosquito net]],Table_NFI[Mosquito net])</f>
        <v>0</v>
      </c>
      <c r="AC1115" s="294">
        <f>IF(NFI_Expiration=1,IF($A1115&lt;VLOOKUP(L$5,NFI,5,0),1,0)*Table_NFI[[#This Row],[Tarpaulin]],Table_NFI[[#This Row],[Tarpaulin]])</f>
        <v>0</v>
      </c>
      <c r="AD1115" s="294">
        <f>IF(NFI_Expiration=1,IF($A1115&lt;VLOOKUP(M$5,NFI,5,0),1,0)*Table_NFI[[#This Row],[Blanket]],Table_NFI[[#This Row],[Blanket]])</f>
        <v>0</v>
      </c>
      <c r="AE1115" s="294">
        <f>IF(NFI_Expiration=1,IF($A1115&lt;VLOOKUP(N$5,NFI,5,0),1,0)*Table_NFI[[#This Row],[Kitchen Set]],Table_NFI[Kitchen Set])</f>
        <v>0</v>
      </c>
      <c r="AF1115" s="294">
        <f>IF(NFI_Expiration=1,IF($A1115&lt;VLOOKUP(O$5,NFI,5,0),1,0)*Table_NFI[[#This Row],[Clothes Kit]],Table_NFI[Clothes Kit])</f>
        <v>0</v>
      </c>
      <c r="AG1115" s="294">
        <f>IF(NFI_Expiration=1,IF($A1115&lt;VLOOKUP(P$5,NFI,5,0),1,0)*Table_NFI[[#This Row],[Plastic Bucket]],Table_NFI[Plastic Bucket])</f>
        <v>0</v>
      </c>
      <c r="AH1115" s="294">
        <f>IF(NFI_Expiration=1,IF($A1115&lt;VLOOKUP(Q$5,NFI,5,0),1,0)*Table_NFI[[#This Row],[Plastic Mat]],Table_NFI[Plastic Mat])*IF(Table_NFI[[#This Row],[Distribution Date]]&gt;"2014-04-01",1,2.5)</f>
        <v>0</v>
      </c>
      <c r="AI1115" s="294">
        <f>IF(NFI_Expiration=1,IF($A1115&lt;VLOOKUP(R$5,NFI,5,0),1,0)*Table_NFI[[#This Row],[Winter Clothes Adult]],Table_NFI[Winter Clothes Adult])</f>
        <v>0</v>
      </c>
      <c r="AJ1115" s="294">
        <f>IF(NFI_Expiration=1,IF($A1115&lt;VLOOKUP(S$5,NFI,5,0),1,0)*Table_NFI[[#This Row],[Winter Clothes Children]],Table_NFI[Winter Clothes Children])</f>
        <v>0</v>
      </c>
      <c r="AK1115" s="294">
        <f>IF(NFI_Expiration=1,IF($A1115&lt;VLOOKUP(T$5,NFI,5,0),1,0)*Table_NFI[[#This Row],[Winter Items Other]],Table_NFI[Winter Items Other])</f>
        <v>0</v>
      </c>
      <c r="AL1115" s="294">
        <f>IF(NFI_Expiration=1,IF($A1115&lt;VLOOKUP(M$5,NFI,5,0),1,0)*Table_NFI[[#This Row],[Winter Blanket]],Table_NFI[[#This Row],[Winter Blanket]])</f>
        <v>0</v>
      </c>
      <c r="AM1115" s="294">
        <f>IF(Table_NFI[[#This Row],[Winter Clothes Adult]]+Table_NFI[[#This Row],[Winter Clothes Children]]+Table_NFI[[#This Row],[Winter Items Other]]+Table_NFI[[#This Row],[Winter Blanket]]&gt;0,1,0)</f>
        <v>0</v>
      </c>
      <c r="AN1115" s="331">
        <f>IF(NFI_Expiration=1,IF($A1115&lt;VLOOKUP(V$5,NFI,5,0),1,0)*Table_NFI[[#This Row],[Jerry Can]],Table_NFI[Jerry Can])</f>
        <v>0</v>
      </c>
      <c r="AO1115" s="331">
        <f>IF(NFI_Expiration=1,IF($A1115&lt;VLOOKUP(V$5,NFI,5,0),1,0)*Table_NFI[[#This Row],[Shelter Tool kit]],Table_NFI[Shelter Tool kit])</f>
        <v>0</v>
      </c>
      <c r="AP1115" s="331">
        <f>IF(NFI_Expiration=1,IF($A1115&lt;VLOOKUP(V$5,NFI,5,0),1,0)*Table_NFI[[#This Row],[Tent]],Table_NFI[Tent])</f>
        <v>0</v>
      </c>
      <c r="AQ1115" s="473" t="str">
        <f>IFERROR(VLOOKUP(Table_NFI[[#This Row],[Camp Name]],CL,2,0),"")</f>
        <v/>
      </c>
      <c r="AR1115" s="468" t="str">
        <f ca="1">IF(Table_NFI[[#This Row],[Pcode]]="","",IF(OFFSET(CampList[Opening Date],MATCH(Table_NFI[[#This Row],[Pcode]],CampList[CP_Pcode],0)-1,0,1,1)&gt;=NFI_Monitor_Date,1,0))</f>
        <v/>
      </c>
      <c r="AS1115" s="473" t="str">
        <f>IFERROR(VLOOKUP(Table_NFI[[#This Row],[Camp Name]],CL,3,0),"")</f>
        <v/>
      </c>
      <c r="AT1115" s="294" t="str">
        <f ca="1">IF(Table_NFI[[#This Row],[Pcode]]="","",OFFSET(CampList[Priority],MATCH(Table_NFI[[#This Row],[Pcode]],CampList[CP_Pcode],0)-1,0,1,1))</f>
        <v/>
      </c>
      <c r="AU1115" s="293" t="str">
        <f>IFERROR(Table_NFI[[#This Row],[Kitchen Set]]/VLOOKUP(Table_NFI[[#This Row],[Camp Name]],CL,4,0),"")</f>
        <v/>
      </c>
      <c r="AV1115" s="466"/>
      <c r="AW1115" s="474"/>
    </row>
    <row r="1116" spans="1:49" ht="14.45" customHeight="1" x14ac:dyDescent="0.25">
      <c r="A1116" s="297" t="str">
        <f t="shared" si="17"/>
        <v/>
      </c>
      <c r="B1116" s="465"/>
      <c r="C1116" s="471"/>
      <c r="D1116" s="471"/>
      <c r="E1116" s="471"/>
      <c r="F1116" s="471"/>
      <c r="G1116" s="471"/>
      <c r="H1116" s="292"/>
      <c r="I1116" s="292"/>
      <c r="J1116" s="292"/>
      <c r="K1116" s="292"/>
      <c r="L1116" s="292"/>
      <c r="M1116" s="292"/>
      <c r="N1116" s="292"/>
      <c r="O1116" s="292"/>
      <c r="P1116" s="294"/>
      <c r="Q1116" s="294"/>
      <c r="R1116" s="294"/>
      <c r="S1116" s="294"/>
      <c r="T1116" s="294"/>
      <c r="U1116" s="294"/>
      <c r="V1116" s="431"/>
      <c r="W1116" s="331"/>
      <c r="X1116" s="331"/>
      <c r="Y1116" s="294">
        <f>IF(NFI_Expiration=1,IF($A1116&lt;VLOOKUP(H$5,NFI,5,0),1,0)*Table_NFI[[#This Row],[Hygiene Kit]],Table_NFI[Hygiene Kit])</f>
        <v>0</v>
      </c>
      <c r="Z1116" s="294">
        <f>IF(NFI_Expiration=1,IF($A1116&lt;VLOOKUP(I$5,NFI,5,0),1,0)*Table_NFI[[#This Row],[NFI Core Kit]],Table_NFI[NFI Core Kit])</f>
        <v>0</v>
      </c>
      <c r="AA1116" s="294">
        <f>IF(NFI_Expiration=1,IF($A1116&lt;VLOOKUP(J$5,NFI,5,0),1,0)*Table_NFI[[#This Row],[Sanitary Kit]],Table_NFI[Sanitary Kit])</f>
        <v>0</v>
      </c>
      <c r="AB1116" s="294">
        <f>IF(NFI_Expiration=1,IF($A1116&lt;VLOOKUP(K$5,NFI,5,0),1,0)*Table_NFI[[#This Row],[Mosquito net]],Table_NFI[Mosquito net])</f>
        <v>0</v>
      </c>
      <c r="AC1116" s="294">
        <f>IF(NFI_Expiration=1,IF($A1116&lt;VLOOKUP(L$5,NFI,5,0),1,0)*Table_NFI[[#This Row],[Tarpaulin]],Table_NFI[[#This Row],[Tarpaulin]])</f>
        <v>0</v>
      </c>
      <c r="AD1116" s="294">
        <f>IF(NFI_Expiration=1,IF($A1116&lt;VLOOKUP(M$5,NFI,5,0),1,0)*Table_NFI[[#This Row],[Blanket]],Table_NFI[[#This Row],[Blanket]])</f>
        <v>0</v>
      </c>
      <c r="AE1116" s="294">
        <f>IF(NFI_Expiration=1,IF($A1116&lt;VLOOKUP(N$5,NFI,5,0),1,0)*Table_NFI[[#This Row],[Kitchen Set]],Table_NFI[Kitchen Set])</f>
        <v>0</v>
      </c>
      <c r="AF1116" s="294">
        <f>IF(NFI_Expiration=1,IF($A1116&lt;VLOOKUP(O$5,NFI,5,0),1,0)*Table_NFI[[#This Row],[Clothes Kit]],Table_NFI[Clothes Kit])</f>
        <v>0</v>
      </c>
      <c r="AG1116" s="294">
        <f>IF(NFI_Expiration=1,IF($A1116&lt;VLOOKUP(P$5,NFI,5,0),1,0)*Table_NFI[[#This Row],[Plastic Bucket]],Table_NFI[Plastic Bucket])</f>
        <v>0</v>
      </c>
      <c r="AH1116" s="294">
        <f>IF(NFI_Expiration=1,IF($A1116&lt;VLOOKUP(Q$5,NFI,5,0),1,0)*Table_NFI[[#This Row],[Plastic Mat]],Table_NFI[Plastic Mat])*IF(Table_NFI[[#This Row],[Distribution Date]]&gt;"2014-04-01",1,2.5)</f>
        <v>0</v>
      </c>
      <c r="AI1116" s="294">
        <f>IF(NFI_Expiration=1,IF($A1116&lt;VLOOKUP(R$5,NFI,5,0),1,0)*Table_NFI[[#This Row],[Winter Clothes Adult]],Table_NFI[Winter Clothes Adult])</f>
        <v>0</v>
      </c>
      <c r="AJ1116" s="294">
        <f>IF(NFI_Expiration=1,IF($A1116&lt;VLOOKUP(S$5,NFI,5,0),1,0)*Table_NFI[[#This Row],[Winter Clothes Children]],Table_NFI[Winter Clothes Children])</f>
        <v>0</v>
      </c>
      <c r="AK1116" s="294">
        <f>IF(NFI_Expiration=1,IF($A1116&lt;VLOOKUP(T$5,NFI,5,0),1,0)*Table_NFI[[#This Row],[Winter Items Other]],Table_NFI[Winter Items Other])</f>
        <v>0</v>
      </c>
      <c r="AL1116" s="294">
        <f>IF(NFI_Expiration=1,IF($A1116&lt;VLOOKUP(M$5,NFI,5,0),1,0)*Table_NFI[[#This Row],[Winter Blanket]],Table_NFI[[#This Row],[Winter Blanket]])</f>
        <v>0</v>
      </c>
      <c r="AM1116" s="294">
        <f>IF(Table_NFI[[#This Row],[Winter Clothes Adult]]+Table_NFI[[#This Row],[Winter Clothes Children]]+Table_NFI[[#This Row],[Winter Items Other]]+Table_NFI[[#This Row],[Winter Blanket]]&gt;0,1,0)</f>
        <v>0</v>
      </c>
      <c r="AN1116" s="331">
        <f>IF(NFI_Expiration=1,IF($A1116&lt;VLOOKUP(V$5,NFI,5,0),1,0)*Table_NFI[[#This Row],[Jerry Can]],Table_NFI[Jerry Can])</f>
        <v>0</v>
      </c>
      <c r="AO1116" s="331">
        <f>IF(NFI_Expiration=1,IF($A1116&lt;VLOOKUP(V$5,NFI,5,0),1,0)*Table_NFI[[#This Row],[Shelter Tool kit]],Table_NFI[Shelter Tool kit])</f>
        <v>0</v>
      </c>
      <c r="AP1116" s="331">
        <f>IF(NFI_Expiration=1,IF($A1116&lt;VLOOKUP(V$5,NFI,5,0),1,0)*Table_NFI[[#This Row],[Tent]],Table_NFI[Tent])</f>
        <v>0</v>
      </c>
      <c r="AQ1116" s="473" t="str">
        <f>IFERROR(VLOOKUP(Table_NFI[[#This Row],[Camp Name]],CL,2,0),"")</f>
        <v/>
      </c>
      <c r="AR1116" s="468" t="str">
        <f ca="1">IF(Table_NFI[[#This Row],[Pcode]]="","",IF(OFFSET(CampList[Opening Date],MATCH(Table_NFI[[#This Row],[Pcode]],CampList[CP_Pcode],0)-1,0,1,1)&gt;=NFI_Monitor_Date,1,0))</f>
        <v/>
      </c>
      <c r="AS1116" s="473" t="str">
        <f>IFERROR(VLOOKUP(Table_NFI[[#This Row],[Camp Name]],CL,3,0),"")</f>
        <v/>
      </c>
      <c r="AT1116" s="294" t="str">
        <f ca="1">IF(Table_NFI[[#This Row],[Pcode]]="","",OFFSET(CampList[Priority],MATCH(Table_NFI[[#This Row],[Pcode]],CampList[CP_Pcode],0)-1,0,1,1))</f>
        <v/>
      </c>
      <c r="AU1116" s="293" t="str">
        <f>IFERROR(Table_NFI[[#This Row],[Kitchen Set]]/VLOOKUP(Table_NFI[[#This Row],[Camp Name]],CL,4,0),"")</f>
        <v/>
      </c>
      <c r="AV1116" s="466"/>
      <c r="AW1116" s="474"/>
    </row>
    <row r="1117" spans="1:49" ht="14.45" customHeight="1" x14ac:dyDescent="0.25">
      <c r="A1117" s="297" t="str">
        <f t="shared" si="17"/>
        <v/>
      </c>
      <c r="B1117" s="465"/>
      <c r="C1117" s="471"/>
      <c r="D1117" s="471"/>
      <c r="E1117" s="471"/>
      <c r="F1117" s="471"/>
      <c r="G1117" s="471"/>
      <c r="H1117" s="292"/>
      <c r="I1117" s="292"/>
      <c r="J1117" s="292"/>
      <c r="K1117" s="292"/>
      <c r="L1117" s="292"/>
      <c r="M1117" s="292"/>
      <c r="N1117" s="292"/>
      <c r="O1117" s="292"/>
      <c r="P1117" s="294"/>
      <c r="Q1117" s="294"/>
      <c r="R1117" s="294"/>
      <c r="S1117" s="294"/>
      <c r="T1117" s="294"/>
      <c r="U1117" s="294"/>
      <c r="V1117" s="431"/>
      <c r="W1117" s="331"/>
      <c r="X1117" s="331"/>
      <c r="Y1117" s="294">
        <f>IF(NFI_Expiration=1,IF($A1117&lt;VLOOKUP(H$5,NFI,5,0),1,0)*Table_NFI[[#This Row],[Hygiene Kit]],Table_NFI[Hygiene Kit])</f>
        <v>0</v>
      </c>
      <c r="Z1117" s="294">
        <f>IF(NFI_Expiration=1,IF($A1117&lt;VLOOKUP(I$5,NFI,5,0),1,0)*Table_NFI[[#This Row],[NFI Core Kit]],Table_NFI[NFI Core Kit])</f>
        <v>0</v>
      </c>
      <c r="AA1117" s="294">
        <f>IF(NFI_Expiration=1,IF($A1117&lt;VLOOKUP(J$5,NFI,5,0),1,0)*Table_NFI[[#This Row],[Sanitary Kit]],Table_NFI[Sanitary Kit])</f>
        <v>0</v>
      </c>
      <c r="AB1117" s="294">
        <f>IF(NFI_Expiration=1,IF($A1117&lt;VLOOKUP(K$5,NFI,5,0),1,0)*Table_NFI[[#This Row],[Mosquito net]],Table_NFI[Mosquito net])</f>
        <v>0</v>
      </c>
      <c r="AC1117" s="294">
        <f>IF(NFI_Expiration=1,IF($A1117&lt;VLOOKUP(L$5,NFI,5,0),1,0)*Table_NFI[[#This Row],[Tarpaulin]],Table_NFI[[#This Row],[Tarpaulin]])</f>
        <v>0</v>
      </c>
      <c r="AD1117" s="294">
        <f>IF(NFI_Expiration=1,IF($A1117&lt;VLOOKUP(M$5,NFI,5,0),1,0)*Table_NFI[[#This Row],[Blanket]],Table_NFI[[#This Row],[Blanket]])</f>
        <v>0</v>
      </c>
      <c r="AE1117" s="294">
        <f>IF(NFI_Expiration=1,IF($A1117&lt;VLOOKUP(N$5,NFI,5,0),1,0)*Table_NFI[[#This Row],[Kitchen Set]],Table_NFI[Kitchen Set])</f>
        <v>0</v>
      </c>
      <c r="AF1117" s="294">
        <f>IF(NFI_Expiration=1,IF($A1117&lt;VLOOKUP(O$5,NFI,5,0),1,0)*Table_NFI[[#This Row],[Clothes Kit]],Table_NFI[Clothes Kit])</f>
        <v>0</v>
      </c>
      <c r="AG1117" s="294">
        <f>IF(NFI_Expiration=1,IF($A1117&lt;VLOOKUP(P$5,NFI,5,0),1,0)*Table_NFI[[#This Row],[Plastic Bucket]],Table_NFI[Plastic Bucket])</f>
        <v>0</v>
      </c>
      <c r="AH1117" s="294">
        <f>IF(NFI_Expiration=1,IF($A1117&lt;VLOOKUP(Q$5,NFI,5,0),1,0)*Table_NFI[[#This Row],[Plastic Mat]],Table_NFI[Plastic Mat])*IF(Table_NFI[[#This Row],[Distribution Date]]&gt;"2014-04-01",1,2.5)</f>
        <v>0</v>
      </c>
      <c r="AI1117" s="294">
        <f>IF(NFI_Expiration=1,IF($A1117&lt;VLOOKUP(R$5,NFI,5,0),1,0)*Table_NFI[[#This Row],[Winter Clothes Adult]],Table_NFI[Winter Clothes Adult])</f>
        <v>0</v>
      </c>
      <c r="AJ1117" s="294">
        <f>IF(NFI_Expiration=1,IF($A1117&lt;VLOOKUP(S$5,NFI,5,0),1,0)*Table_NFI[[#This Row],[Winter Clothes Children]],Table_NFI[Winter Clothes Children])</f>
        <v>0</v>
      </c>
      <c r="AK1117" s="294">
        <f>IF(NFI_Expiration=1,IF($A1117&lt;VLOOKUP(T$5,NFI,5,0),1,0)*Table_NFI[[#This Row],[Winter Items Other]],Table_NFI[Winter Items Other])</f>
        <v>0</v>
      </c>
      <c r="AL1117" s="294">
        <f>IF(NFI_Expiration=1,IF($A1117&lt;VLOOKUP(M$5,NFI,5,0),1,0)*Table_NFI[[#This Row],[Winter Blanket]],Table_NFI[[#This Row],[Winter Blanket]])</f>
        <v>0</v>
      </c>
      <c r="AM1117" s="294">
        <f>IF(Table_NFI[[#This Row],[Winter Clothes Adult]]+Table_NFI[[#This Row],[Winter Clothes Children]]+Table_NFI[[#This Row],[Winter Items Other]]+Table_NFI[[#This Row],[Winter Blanket]]&gt;0,1,0)</f>
        <v>0</v>
      </c>
      <c r="AN1117" s="331">
        <f>IF(NFI_Expiration=1,IF($A1117&lt;VLOOKUP(V$5,NFI,5,0),1,0)*Table_NFI[[#This Row],[Jerry Can]],Table_NFI[Jerry Can])</f>
        <v>0</v>
      </c>
      <c r="AO1117" s="331">
        <f>IF(NFI_Expiration=1,IF($A1117&lt;VLOOKUP(V$5,NFI,5,0),1,0)*Table_NFI[[#This Row],[Shelter Tool kit]],Table_NFI[Shelter Tool kit])</f>
        <v>0</v>
      </c>
      <c r="AP1117" s="331">
        <f>IF(NFI_Expiration=1,IF($A1117&lt;VLOOKUP(V$5,NFI,5,0),1,0)*Table_NFI[[#This Row],[Tent]],Table_NFI[Tent])</f>
        <v>0</v>
      </c>
      <c r="AQ1117" s="473" t="str">
        <f>IFERROR(VLOOKUP(Table_NFI[[#This Row],[Camp Name]],CL,2,0),"")</f>
        <v/>
      </c>
      <c r="AR1117" s="468" t="str">
        <f ca="1">IF(Table_NFI[[#This Row],[Pcode]]="","",IF(OFFSET(CampList[Opening Date],MATCH(Table_NFI[[#This Row],[Pcode]],CampList[CP_Pcode],0)-1,0,1,1)&gt;=NFI_Monitor_Date,1,0))</f>
        <v/>
      </c>
      <c r="AS1117" s="473" t="str">
        <f>IFERROR(VLOOKUP(Table_NFI[[#This Row],[Camp Name]],CL,3,0),"")</f>
        <v/>
      </c>
      <c r="AT1117" s="294" t="str">
        <f ca="1">IF(Table_NFI[[#This Row],[Pcode]]="","",OFFSET(CampList[Priority],MATCH(Table_NFI[[#This Row],[Pcode]],CampList[CP_Pcode],0)-1,0,1,1))</f>
        <v/>
      </c>
      <c r="AU1117" s="293" t="str">
        <f>IFERROR(Table_NFI[[#This Row],[Kitchen Set]]/VLOOKUP(Table_NFI[[#This Row],[Camp Name]],CL,4,0),"")</f>
        <v/>
      </c>
      <c r="AV1117" s="466"/>
      <c r="AW1117" s="474"/>
    </row>
    <row r="1118" spans="1:49" ht="14.45" customHeight="1" x14ac:dyDescent="0.25">
      <c r="A1118" s="297" t="str">
        <f t="shared" si="17"/>
        <v/>
      </c>
      <c r="B1118" s="465"/>
      <c r="C1118" s="471"/>
      <c r="D1118" s="471"/>
      <c r="E1118" s="471"/>
      <c r="F1118" s="471"/>
      <c r="G1118" s="471"/>
      <c r="H1118" s="292"/>
      <c r="I1118" s="292"/>
      <c r="J1118" s="292"/>
      <c r="K1118" s="292"/>
      <c r="L1118" s="292"/>
      <c r="M1118" s="292"/>
      <c r="N1118" s="292"/>
      <c r="O1118" s="292"/>
      <c r="P1118" s="294"/>
      <c r="Q1118" s="294"/>
      <c r="R1118" s="294"/>
      <c r="S1118" s="294"/>
      <c r="T1118" s="294"/>
      <c r="U1118" s="294"/>
      <c r="V1118" s="431"/>
      <c r="W1118" s="331"/>
      <c r="X1118" s="331"/>
      <c r="Y1118" s="294">
        <f>IF(NFI_Expiration=1,IF($A1118&lt;VLOOKUP(H$5,NFI,5,0),1,0)*Table_NFI[[#This Row],[Hygiene Kit]],Table_NFI[Hygiene Kit])</f>
        <v>0</v>
      </c>
      <c r="Z1118" s="294">
        <f>IF(NFI_Expiration=1,IF($A1118&lt;VLOOKUP(I$5,NFI,5,0),1,0)*Table_NFI[[#This Row],[NFI Core Kit]],Table_NFI[NFI Core Kit])</f>
        <v>0</v>
      </c>
      <c r="AA1118" s="294">
        <f>IF(NFI_Expiration=1,IF($A1118&lt;VLOOKUP(J$5,NFI,5,0),1,0)*Table_NFI[[#This Row],[Sanitary Kit]],Table_NFI[Sanitary Kit])</f>
        <v>0</v>
      </c>
      <c r="AB1118" s="294">
        <f>IF(NFI_Expiration=1,IF($A1118&lt;VLOOKUP(K$5,NFI,5,0),1,0)*Table_NFI[[#This Row],[Mosquito net]],Table_NFI[Mosquito net])</f>
        <v>0</v>
      </c>
      <c r="AC1118" s="294">
        <f>IF(NFI_Expiration=1,IF($A1118&lt;VLOOKUP(L$5,NFI,5,0),1,0)*Table_NFI[[#This Row],[Tarpaulin]],Table_NFI[[#This Row],[Tarpaulin]])</f>
        <v>0</v>
      </c>
      <c r="AD1118" s="294">
        <f>IF(NFI_Expiration=1,IF($A1118&lt;VLOOKUP(M$5,NFI,5,0),1,0)*Table_NFI[[#This Row],[Blanket]],Table_NFI[[#This Row],[Blanket]])</f>
        <v>0</v>
      </c>
      <c r="AE1118" s="294">
        <f>IF(NFI_Expiration=1,IF($A1118&lt;VLOOKUP(N$5,NFI,5,0),1,0)*Table_NFI[[#This Row],[Kitchen Set]],Table_NFI[Kitchen Set])</f>
        <v>0</v>
      </c>
      <c r="AF1118" s="294">
        <f>IF(NFI_Expiration=1,IF($A1118&lt;VLOOKUP(O$5,NFI,5,0),1,0)*Table_NFI[[#This Row],[Clothes Kit]],Table_NFI[Clothes Kit])</f>
        <v>0</v>
      </c>
      <c r="AG1118" s="294">
        <f>IF(NFI_Expiration=1,IF($A1118&lt;VLOOKUP(P$5,NFI,5,0),1,0)*Table_NFI[[#This Row],[Plastic Bucket]],Table_NFI[Plastic Bucket])</f>
        <v>0</v>
      </c>
      <c r="AH1118" s="294">
        <f>IF(NFI_Expiration=1,IF($A1118&lt;VLOOKUP(Q$5,NFI,5,0),1,0)*Table_NFI[[#This Row],[Plastic Mat]],Table_NFI[Plastic Mat])*IF(Table_NFI[[#This Row],[Distribution Date]]&gt;"2014-04-01",1,2.5)</f>
        <v>0</v>
      </c>
      <c r="AI1118" s="294">
        <f>IF(NFI_Expiration=1,IF($A1118&lt;VLOOKUP(R$5,NFI,5,0),1,0)*Table_NFI[[#This Row],[Winter Clothes Adult]],Table_NFI[Winter Clothes Adult])</f>
        <v>0</v>
      </c>
      <c r="AJ1118" s="294">
        <f>IF(NFI_Expiration=1,IF($A1118&lt;VLOOKUP(S$5,NFI,5,0),1,0)*Table_NFI[[#This Row],[Winter Clothes Children]],Table_NFI[Winter Clothes Children])</f>
        <v>0</v>
      </c>
      <c r="AK1118" s="294">
        <f>IF(NFI_Expiration=1,IF($A1118&lt;VLOOKUP(T$5,NFI,5,0),1,0)*Table_NFI[[#This Row],[Winter Items Other]],Table_NFI[Winter Items Other])</f>
        <v>0</v>
      </c>
      <c r="AL1118" s="294">
        <f>IF(NFI_Expiration=1,IF($A1118&lt;VLOOKUP(M$5,NFI,5,0),1,0)*Table_NFI[[#This Row],[Winter Blanket]],Table_NFI[[#This Row],[Winter Blanket]])</f>
        <v>0</v>
      </c>
      <c r="AM1118" s="294">
        <f>IF(Table_NFI[[#This Row],[Winter Clothes Adult]]+Table_NFI[[#This Row],[Winter Clothes Children]]+Table_NFI[[#This Row],[Winter Items Other]]+Table_NFI[[#This Row],[Winter Blanket]]&gt;0,1,0)</f>
        <v>0</v>
      </c>
      <c r="AN1118" s="331">
        <f>IF(NFI_Expiration=1,IF($A1118&lt;VLOOKUP(V$5,NFI,5,0),1,0)*Table_NFI[[#This Row],[Jerry Can]],Table_NFI[Jerry Can])</f>
        <v>0</v>
      </c>
      <c r="AO1118" s="331">
        <f>IF(NFI_Expiration=1,IF($A1118&lt;VLOOKUP(V$5,NFI,5,0),1,0)*Table_NFI[[#This Row],[Shelter Tool kit]],Table_NFI[Shelter Tool kit])</f>
        <v>0</v>
      </c>
      <c r="AP1118" s="331">
        <f>IF(NFI_Expiration=1,IF($A1118&lt;VLOOKUP(V$5,NFI,5,0),1,0)*Table_NFI[[#This Row],[Tent]],Table_NFI[Tent])</f>
        <v>0</v>
      </c>
      <c r="AQ1118" s="473" t="str">
        <f>IFERROR(VLOOKUP(Table_NFI[[#This Row],[Camp Name]],CL,2,0),"")</f>
        <v/>
      </c>
      <c r="AR1118" s="468" t="str">
        <f ca="1">IF(Table_NFI[[#This Row],[Pcode]]="","",IF(OFFSET(CampList[Opening Date],MATCH(Table_NFI[[#This Row],[Pcode]],CampList[CP_Pcode],0)-1,0,1,1)&gt;=NFI_Monitor_Date,1,0))</f>
        <v/>
      </c>
      <c r="AS1118" s="473" t="str">
        <f>IFERROR(VLOOKUP(Table_NFI[[#This Row],[Camp Name]],CL,3,0),"")</f>
        <v/>
      </c>
      <c r="AT1118" s="294" t="str">
        <f ca="1">IF(Table_NFI[[#This Row],[Pcode]]="","",OFFSET(CampList[Priority],MATCH(Table_NFI[[#This Row],[Pcode]],CampList[CP_Pcode],0)-1,0,1,1))</f>
        <v/>
      </c>
      <c r="AU1118" s="293" t="str">
        <f>IFERROR(Table_NFI[[#This Row],[Kitchen Set]]/VLOOKUP(Table_NFI[[#This Row],[Camp Name]],CL,4,0),"")</f>
        <v/>
      </c>
      <c r="AV1118" s="466"/>
      <c r="AW1118" s="474"/>
    </row>
    <row r="1119" spans="1:49" ht="14.45" customHeight="1" x14ac:dyDescent="0.25">
      <c r="A1119" s="297" t="str">
        <f t="shared" si="17"/>
        <v/>
      </c>
      <c r="B1119" s="465"/>
      <c r="C1119" s="471"/>
      <c r="D1119" s="471"/>
      <c r="E1119" s="471"/>
      <c r="F1119" s="471"/>
      <c r="G1119" s="471"/>
      <c r="H1119" s="292"/>
      <c r="I1119" s="292"/>
      <c r="J1119" s="292"/>
      <c r="K1119" s="292"/>
      <c r="L1119" s="292"/>
      <c r="M1119" s="292"/>
      <c r="N1119" s="292"/>
      <c r="O1119" s="292"/>
      <c r="P1119" s="294"/>
      <c r="Q1119" s="294"/>
      <c r="R1119" s="294"/>
      <c r="S1119" s="294"/>
      <c r="T1119" s="294"/>
      <c r="U1119" s="294"/>
      <c r="V1119" s="431"/>
      <c r="W1119" s="331"/>
      <c r="X1119" s="331"/>
      <c r="Y1119" s="294">
        <f>IF(NFI_Expiration=1,IF($A1119&lt;VLOOKUP(H$5,NFI,5,0),1,0)*Table_NFI[[#This Row],[Hygiene Kit]],Table_NFI[Hygiene Kit])</f>
        <v>0</v>
      </c>
      <c r="Z1119" s="294">
        <f>IF(NFI_Expiration=1,IF($A1119&lt;VLOOKUP(I$5,NFI,5,0),1,0)*Table_NFI[[#This Row],[NFI Core Kit]],Table_NFI[NFI Core Kit])</f>
        <v>0</v>
      </c>
      <c r="AA1119" s="294">
        <f>IF(NFI_Expiration=1,IF($A1119&lt;VLOOKUP(J$5,NFI,5,0),1,0)*Table_NFI[[#This Row],[Sanitary Kit]],Table_NFI[Sanitary Kit])</f>
        <v>0</v>
      </c>
      <c r="AB1119" s="294">
        <f>IF(NFI_Expiration=1,IF($A1119&lt;VLOOKUP(K$5,NFI,5,0),1,0)*Table_NFI[[#This Row],[Mosquito net]],Table_NFI[Mosquito net])</f>
        <v>0</v>
      </c>
      <c r="AC1119" s="294">
        <f>IF(NFI_Expiration=1,IF($A1119&lt;VLOOKUP(L$5,NFI,5,0),1,0)*Table_NFI[[#This Row],[Tarpaulin]],Table_NFI[[#This Row],[Tarpaulin]])</f>
        <v>0</v>
      </c>
      <c r="AD1119" s="294">
        <f>IF(NFI_Expiration=1,IF($A1119&lt;VLOOKUP(M$5,NFI,5,0),1,0)*Table_NFI[[#This Row],[Blanket]],Table_NFI[[#This Row],[Blanket]])</f>
        <v>0</v>
      </c>
      <c r="AE1119" s="294">
        <f>IF(NFI_Expiration=1,IF($A1119&lt;VLOOKUP(N$5,NFI,5,0),1,0)*Table_NFI[[#This Row],[Kitchen Set]],Table_NFI[Kitchen Set])</f>
        <v>0</v>
      </c>
      <c r="AF1119" s="294">
        <f>IF(NFI_Expiration=1,IF($A1119&lt;VLOOKUP(O$5,NFI,5,0),1,0)*Table_NFI[[#This Row],[Clothes Kit]],Table_NFI[Clothes Kit])</f>
        <v>0</v>
      </c>
      <c r="AG1119" s="294">
        <f>IF(NFI_Expiration=1,IF($A1119&lt;VLOOKUP(P$5,NFI,5,0),1,0)*Table_NFI[[#This Row],[Plastic Bucket]],Table_NFI[Plastic Bucket])</f>
        <v>0</v>
      </c>
      <c r="AH1119" s="294">
        <f>IF(NFI_Expiration=1,IF($A1119&lt;VLOOKUP(Q$5,NFI,5,0),1,0)*Table_NFI[[#This Row],[Plastic Mat]],Table_NFI[Plastic Mat])*IF(Table_NFI[[#This Row],[Distribution Date]]&gt;"2014-04-01",1,2.5)</f>
        <v>0</v>
      </c>
      <c r="AI1119" s="294">
        <f>IF(NFI_Expiration=1,IF($A1119&lt;VLOOKUP(R$5,NFI,5,0),1,0)*Table_NFI[[#This Row],[Winter Clothes Adult]],Table_NFI[Winter Clothes Adult])</f>
        <v>0</v>
      </c>
      <c r="AJ1119" s="294">
        <f>IF(NFI_Expiration=1,IF($A1119&lt;VLOOKUP(S$5,NFI,5,0),1,0)*Table_NFI[[#This Row],[Winter Clothes Children]],Table_NFI[Winter Clothes Children])</f>
        <v>0</v>
      </c>
      <c r="AK1119" s="294">
        <f>IF(NFI_Expiration=1,IF($A1119&lt;VLOOKUP(T$5,NFI,5,0),1,0)*Table_NFI[[#This Row],[Winter Items Other]],Table_NFI[Winter Items Other])</f>
        <v>0</v>
      </c>
      <c r="AL1119" s="294">
        <f>IF(NFI_Expiration=1,IF($A1119&lt;VLOOKUP(M$5,NFI,5,0),1,0)*Table_NFI[[#This Row],[Winter Blanket]],Table_NFI[[#This Row],[Winter Blanket]])</f>
        <v>0</v>
      </c>
      <c r="AM1119" s="294">
        <f>IF(Table_NFI[[#This Row],[Winter Clothes Adult]]+Table_NFI[[#This Row],[Winter Clothes Children]]+Table_NFI[[#This Row],[Winter Items Other]]+Table_NFI[[#This Row],[Winter Blanket]]&gt;0,1,0)</f>
        <v>0</v>
      </c>
      <c r="AN1119" s="331">
        <f>IF(NFI_Expiration=1,IF($A1119&lt;VLOOKUP(V$5,NFI,5,0),1,0)*Table_NFI[[#This Row],[Jerry Can]],Table_NFI[Jerry Can])</f>
        <v>0</v>
      </c>
      <c r="AO1119" s="331">
        <f>IF(NFI_Expiration=1,IF($A1119&lt;VLOOKUP(V$5,NFI,5,0),1,0)*Table_NFI[[#This Row],[Shelter Tool kit]],Table_NFI[Shelter Tool kit])</f>
        <v>0</v>
      </c>
      <c r="AP1119" s="331">
        <f>IF(NFI_Expiration=1,IF($A1119&lt;VLOOKUP(V$5,NFI,5,0),1,0)*Table_NFI[[#This Row],[Tent]],Table_NFI[Tent])</f>
        <v>0</v>
      </c>
      <c r="AQ1119" s="473" t="str">
        <f>IFERROR(VLOOKUP(Table_NFI[[#This Row],[Camp Name]],CL,2,0),"")</f>
        <v/>
      </c>
      <c r="AR1119" s="468" t="str">
        <f ca="1">IF(Table_NFI[[#This Row],[Pcode]]="","",IF(OFFSET(CampList[Opening Date],MATCH(Table_NFI[[#This Row],[Pcode]],CampList[CP_Pcode],0)-1,0,1,1)&gt;=NFI_Monitor_Date,1,0))</f>
        <v/>
      </c>
      <c r="AS1119" s="473" t="str">
        <f>IFERROR(VLOOKUP(Table_NFI[[#This Row],[Camp Name]],CL,3,0),"")</f>
        <v/>
      </c>
      <c r="AT1119" s="294" t="str">
        <f ca="1">IF(Table_NFI[[#This Row],[Pcode]]="","",OFFSET(CampList[Priority],MATCH(Table_NFI[[#This Row],[Pcode]],CampList[CP_Pcode],0)-1,0,1,1))</f>
        <v/>
      </c>
      <c r="AU1119" s="293" t="str">
        <f>IFERROR(Table_NFI[[#This Row],[Kitchen Set]]/VLOOKUP(Table_NFI[[#This Row],[Camp Name]],CL,4,0),"")</f>
        <v/>
      </c>
      <c r="AV1119" s="466"/>
      <c r="AW1119" s="474"/>
    </row>
    <row r="1120" spans="1:49" ht="14.45" customHeight="1" x14ac:dyDescent="0.25">
      <c r="A1120" s="297" t="str">
        <f t="shared" si="17"/>
        <v/>
      </c>
      <c r="B1120" s="465"/>
      <c r="C1120" s="471"/>
      <c r="D1120" s="471"/>
      <c r="E1120" s="471"/>
      <c r="F1120" s="471"/>
      <c r="G1120" s="471"/>
      <c r="H1120" s="292"/>
      <c r="I1120" s="292"/>
      <c r="J1120" s="292"/>
      <c r="K1120" s="292"/>
      <c r="L1120" s="292"/>
      <c r="M1120" s="292"/>
      <c r="N1120" s="292"/>
      <c r="O1120" s="292"/>
      <c r="P1120" s="294"/>
      <c r="Q1120" s="294"/>
      <c r="R1120" s="294"/>
      <c r="S1120" s="294"/>
      <c r="T1120" s="294"/>
      <c r="U1120" s="294"/>
      <c r="V1120" s="431"/>
      <c r="W1120" s="331"/>
      <c r="X1120" s="331"/>
      <c r="Y1120" s="294">
        <f>IF(NFI_Expiration=1,IF($A1120&lt;VLOOKUP(H$5,NFI,5,0),1,0)*Table_NFI[[#This Row],[Hygiene Kit]],Table_NFI[Hygiene Kit])</f>
        <v>0</v>
      </c>
      <c r="Z1120" s="294">
        <f>IF(NFI_Expiration=1,IF($A1120&lt;VLOOKUP(I$5,NFI,5,0),1,0)*Table_NFI[[#This Row],[NFI Core Kit]],Table_NFI[NFI Core Kit])</f>
        <v>0</v>
      </c>
      <c r="AA1120" s="294">
        <f>IF(NFI_Expiration=1,IF($A1120&lt;VLOOKUP(J$5,NFI,5,0),1,0)*Table_NFI[[#This Row],[Sanitary Kit]],Table_NFI[Sanitary Kit])</f>
        <v>0</v>
      </c>
      <c r="AB1120" s="294">
        <f>IF(NFI_Expiration=1,IF($A1120&lt;VLOOKUP(K$5,NFI,5,0),1,0)*Table_NFI[[#This Row],[Mosquito net]],Table_NFI[Mosquito net])</f>
        <v>0</v>
      </c>
      <c r="AC1120" s="294">
        <f>IF(NFI_Expiration=1,IF($A1120&lt;VLOOKUP(L$5,NFI,5,0),1,0)*Table_NFI[[#This Row],[Tarpaulin]],Table_NFI[[#This Row],[Tarpaulin]])</f>
        <v>0</v>
      </c>
      <c r="AD1120" s="294">
        <f>IF(NFI_Expiration=1,IF($A1120&lt;VLOOKUP(M$5,NFI,5,0),1,0)*Table_NFI[[#This Row],[Blanket]],Table_NFI[[#This Row],[Blanket]])</f>
        <v>0</v>
      </c>
      <c r="AE1120" s="294">
        <f>IF(NFI_Expiration=1,IF($A1120&lt;VLOOKUP(N$5,NFI,5,0),1,0)*Table_NFI[[#This Row],[Kitchen Set]],Table_NFI[Kitchen Set])</f>
        <v>0</v>
      </c>
      <c r="AF1120" s="294">
        <f>IF(NFI_Expiration=1,IF($A1120&lt;VLOOKUP(O$5,NFI,5,0),1,0)*Table_NFI[[#This Row],[Clothes Kit]],Table_NFI[Clothes Kit])</f>
        <v>0</v>
      </c>
      <c r="AG1120" s="294">
        <f>IF(NFI_Expiration=1,IF($A1120&lt;VLOOKUP(P$5,NFI,5,0),1,0)*Table_NFI[[#This Row],[Plastic Bucket]],Table_NFI[Plastic Bucket])</f>
        <v>0</v>
      </c>
      <c r="AH1120" s="294">
        <f>IF(NFI_Expiration=1,IF($A1120&lt;VLOOKUP(Q$5,NFI,5,0),1,0)*Table_NFI[[#This Row],[Plastic Mat]],Table_NFI[Plastic Mat])*IF(Table_NFI[[#This Row],[Distribution Date]]&gt;"2014-04-01",1,2.5)</f>
        <v>0</v>
      </c>
      <c r="AI1120" s="294">
        <f>IF(NFI_Expiration=1,IF($A1120&lt;VLOOKUP(R$5,NFI,5,0),1,0)*Table_NFI[[#This Row],[Winter Clothes Adult]],Table_NFI[Winter Clothes Adult])</f>
        <v>0</v>
      </c>
      <c r="AJ1120" s="294">
        <f>IF(NFI_Expiration=1,IF($A1120&lt;VLOOKUP(S$5,NFI,5,0),1,0)*Table_NFI[[#This Row],[Winter Clothes Children]],Table_NFI[Winter Clothes Children])</f>
        <v>0</v>
      </c>
      <c r="AK1120" s="294">
        <f>IF(NFI_Expiration=1,IF($A1120&lt;VLOOKUP(T$5,NFI,5,0),1,0)*Table_NFI[[#This Row],[Winter Items Other]],Table_NFI[Winter Items Other])</f>
        <v>0</v>
      </c>
      <c r="AL1120" s="294">
        <f>IF(NFI_Expiration=1,IF($A1120&lt;VLOOKUP(M$5,NFI,5,0),1,0)*Table_NFI[[#This Row],[Winter Blanket]],Table_NFI[[#This Row],[Winter Blanket]])</f>
        <v>0</v>
      </c>
      <c r="AM1120" s="294">
        <f>IF(Table_NFI[[#This Row],[Winter Clothes Adult]]+Table_NFI[[#This Row],[Winter Clothes Children]]+Table_NFI[[#This Row],[Winter Items Other]]+Table_NFI[[#This Row],[Winter Blanket]]&gt;0,1,0)</f>
        <v>0</v>
      </c>
      <c r="AN1120" s="331">
        <f>IF(NFI_Expiration=1,IF($A1120&lt;VLOOKUP(V$5,NFI,5,0),1,0)*Table_NFI[[#This Row],[Jerry Can]],Table_NFI[Jerry Can])</f>
        <v>0</v>
      </c>
      <c r="AO1120" s="331">
        <f>IF(NFI_Expiration=1,IF($A1120&lt;VLOOKUP(V$5,NFI,5,0),1,0)*Table_NFI[[#This Row],[Shelter Tool kit]],Table_NFI[Shelter Tool kit])</f>
        <v>0</v>
      </c>
      <c r="AP1120" s="331">
        <f>IF(NFI_Expiration=1,IF($A1120&lt;VLOOKUP(V$5,NFI,5,0),1,0)*Table_NFI[[#This Row],[Tent]],Table_NFI[Tent])</f>
        <v>0</v>
      </c>
      <c r="AQ1120" s="473" t="str">
        <f>IFERROR(VLOOKUP(Table_NFI[[#This Row],[Camp Name]],CL,2,0),"")</f>
        <v/>
      </c>
      <c r="AR1120" s="468" t="str">
        <f ca="1">IF(Table_NFI[[#This Row],[Pcode]]="","",IF(OFFSET(CampList[Opening Date],MATCH(Table_NFI[[#This Row],[Pcode]],CampList[CP_Pcode],0)-1,0,1,1)&gt;=NFI_Monitor_Date,1,0))</f>
        <v/>
      </c>
      <c r="AS1120" s="473" t="str">
        <f>IFERROR(VLOOKUP(Table_NFI[[#This Row],[Camp Name]],CL,3,0),"")</f>
        <v/>
      </c>
      <c r="AT1120" s="294" t="str">
        <f ca="1">IF(Table_NFI[[#This Row],[Pcode]]="","",OFFSET(CampList[Priority],MATCH(Table_NFI[[#This Row],[Pcode]],CampList[CP_Pcode],0)-1,0,1,1))</f>
        <v/>
      </c>
      <c r="AU1120" s="293" t="str">
        <f>IFERROR(Table_NFI[[#This Row],[Kitchen Set]]/VLOOKUP(Table_NFI[[#This Row],[Camp Name]],CL,4,0),"")</f>
        <v/>
      </c>
      <c r="AV1120" s="466"/>
      <c r="AW1120" s="474"/>
    </row>
    <row r="1121" spans="1:49" ht="14.45" customHeight="1" x14ac:dyDescent="0.25">
      <c r="A1121" s="297" t="str">
        <f t="shared" si="17"/>
        <v/>
      </c>
      <c r="B1121" s="465"/>
      <c r="C1121" s="471"/>
      <c r="D1121" s="471"/>
      <c r="E1121" s="471"/>
      <c r="F1121" s="471"/>
      <c r="G1121" s="471"/>
      <c r="H1121" s="292"/>
      <c r="I1121" s="292"/>
      <c r="J1121" s="292"/>
      <c r="K1121" s="292"/>
      <c r="L1121" s="292"/>
      <c r="M1121" s="292"/>
      <c r="N1121" s="292"/>
      <c r="O1121" s="292"/>
      <c r="P1121" s="294"/>
      <c r="Q1121" s="294"/>
      <c r="R1121" s="294"/>
      <c r="S1121" s="294"/>
      <c r="T1121" s="294"/>
      <c r="U1121" s="294"/>
      <c r="V1121" s="431"/>
      <c r="W1121" s="331"/>
      <c r="X1121" s="331"/>
      <c r="Y1121" s="294">
        <f>IF(NFI_Expiration=1,IF($A1121&lt;VLOOKUP(H$5,NFI,5,0),1,0)*Table_NFI[[#This Row],[Hygiene Kit]],Table_NFI[Hygiene Kit])</f>
        <v>0</v>
      </c>
      <c r="Z1121" s="294">
        <f>IF(NFI_Expiration=1,IF($A1121&lt;VLOOKUP(I$5,NFI,5,0),1,0)*Table_NFI[[#This Row],[NFI Core Kit]],Table_NFI[NFI Core Kit])</f>
        <v>0</v>
      </c>
      <c r="AA1121" s="294">
        <f>IF(NFI_Expiration=1,IF($A1121&lt;VLOOKUP(J$5,NFI,5,0),1,0)*Table_NFI[[#This Row],[Sanitary Kit]],Table_NFI[Sanitary Kit])</f>
        <v>0</v>
      </c>
      <c r="AB1121" s="294">
        <f>IF(NFI_Expiration=1,IF($A1121&lt;VLOOKUP(K$5,NFI,5,0),1,0)*Table_NFI[[#This Row],[Mosquito net]],Table_NFI[Mosquito net])</f>
        <v>0</v>
      </c>
      <c r="AC1121" s="294">
        <f>IF(NFI_Expiration=1,IF($A1121&lt;VLOOKUP(L$5,NFI,5,0),1,0)*Table_NFI[[#This Row],[Tarpaulin]],Table_NFI[[#This Row],[Tarpaulin]])</f>
        <v>0</v>
      </c>
      <c r="AD1121" s="294">
        <f>IF(NFI_Expiration=1,IF($A1121&lt;VLOOKUP(M$5,NFI,5,0),1,0)*Table_NFI[[#This Row],[Blanket]],Table_NFI[[#This Row],[Blanket]])</f>
        <v>0</v>
      </c>
      <c r="AE1121" s="294">
        <f>IF(NFI_Expiration=1,IF($A1121&lt;VLOOKUP(N$5,NFI,5,0),1,0)*Table_NFI[[#This Row],[Kitchen Set]],Table_NFI[Kitchen Set])</f>
        <v>0</v>
      </c>
      <c r="AF1121" s="294">
        <f>IF(NFI_Expiration=1,IF($A1121&lt;VLOOKUP(O$5,NFI,5,0),1,0)*Table_NFI[[#This Row],[Clothes Kit]],Table_NFI[Clothes Kit])</f>
        <v>0</v>
      </c>
      <c r="AG1121" s="294">
        <f>IF(NFI_Expiration=1,IF($A1121&lt;VLOOKUP(P$5,NFI,5,0),1,0)*Table_NFI[[#This Row],[Plastic Bucket]],Table_NFI[Plastic Bucket])</f>
        <v>0</v>
      </c>
      <c r="AH1121" s="294">
        <f>IF(NFI_Expiration=1,IF($A1121&lt;VLOOKUP(Q$5,NFI,5,0),1,0)*Table_NFI[[#This Row],[Plastic Mat]],Table_NFI[Plastic Mat])*IF(Table_NFI[[#This Row],[Distribution Date]]&gt;"2014-04-01",1,2.5)</f>
        <v>0</v>
      </c>
      <c r="AI1121" s="294">
        <f>IF(NFI_Expiration=1,IF($A1121&lt;VLOOKUP(R$5,NFI,5,0),1,0)*Table_NFI[[#This Row],[Winter Clothes Adult]],Table_NFI[Winter Clothes Adult])</f>
        <v>0</v>
      </c>
      <c r="AJ1121" s="294">
        <f>IF(NFI_Expiration=1,IF($A1121&lt;VLOOKUP(S$5,NFI,5,0),1,0)*Table_NFI[[#This Row],[Winter Clothes Children]],Table_NFI[Winter Clothes Children])</f>
        <v>0</v>
      </c>
      <c r="AK1121" s="294">
        <f>IF(NFI_Expiration=1,IF($A1121&lt;VLOOKUP(T$5,NFI,5,0),1,0)*Table_NFI[[#This Row],[Winter Items Other]],Table_NFI[Winter Items Other])</f>
        <v>0</v>
      </c>
      <c r="AL1121" s="294">
        <f>IF(NFI_Expiration=1,IF($A1121&lt;VLOOKUP(M$5,NFI,5,0),1,0)*Table_NFI[[#This Row],[Winter Blanket]],Table_NFI[[#This Row],[Winter Blanket]])</f>
        <v>0</v>
      </c>
      <c r="AM1121" s="294">
        <f>IF(Table_NFI[[#This Row],[Winter Clothes Adult]]+Table_NFI[[#This Row],[Winter Clothes Children]]+Table_NFI[[#This Row],[Winter Items Other]]+Table_NFI[[#This Row],[Winter Blanket]]&gt;0,1,0)</f>
        <v>0</v>
      </c>
      <c r="AN1121" s="331">
        <f>IF(NFI_Expiration=1,IF($A1121&lt;VLOOKUP(V$5,NFI,5,0),1,0)*Table_NFI[[#This Row],[Jerry Can]],Table_NFI[Jerry Can])</f>
        <v>0</v>
      </c>
      <c r="AO1121" s="331">
        <f>IF(NFI_Expiration=1,IF($A1121&lt;VLOOKUP(V$5,NFI,5,0),1,0)*Table_NFI[[#This Row],[Shelter Tool kit]],Table_NFI[Shelter Tool kit])</f>
        <v>0</v>
      </c>
      <c r="AP1121" s="331">
        <f>IF(NFI_Expiration=1,IF($A1121&lt;VLOOKUP(V$5,NFI,5,0),1,0)*Table_NFI[[#This Row],[Tent]],Table_NFI[Tent])</f>
        <v>0</v>
      </c>
      <c r="AQ1121" s="473" t="str">
        <f>IFERROR(VLOOKUP(Table_NFI[[#This Row],[Camp Name]],CL,2,0),"")</f>
        <v/>
      </c>
      <c r="AR1121" s="468" t="str">
        <f ca="1">IF(Table_NFI[[#This Row],[Pcode]]="","",IF(OFFSET(CampList[Opening Date],MATCH(Table_NFI[[#This Row],[Pcode]],CampList[CP_Pcode],0)-1,0,1,1)&gt;=NFI_Monitor_Date,1,0))</f>
        <v/>
      </c>
      <c r="AS1121" s="473" t="str">
        <f>IFERROR(VLOOKUP(Table_NFI[[#This Row],[Camp Name]],CL,3,0),"")</f>
        <v/>
      </c>
      <c r="AT1121" s="294" t="str">
        <f ca="1">IF(Table_NFI[[#This Row],[Pcode]]="","",OFFSET(CampList[Priority],MATCH(Table_NFI[[#This Row],[Pcode]],CampList[CP_Pcode],0)-1,0,1,1))</f>
        <v/>
      </c>
      <c r="AU1121" s="293" t="str">
        <f>IFERROR(Table_NFI[[#This Row],[Kitchen Set]]/VLOOKUP(Table_NFI[[#This Row],[Camp Name]],CL,4,0),"")</f>
        <v/>
      </c>
      <c r="AV1121" s="466"/>
      <c r="AW1121" s="474"/>
    </row>
    <row r="1122" spans="1:49" ht="14.45" customHeight="1" x14ac:dyDescent="0.25">
      <c r="A1122" s="297" t="str">
        <f t="shared" si="17"/>
        <v/>
      </c>
      <c r="B1122" s="465"/>
      <c r="C1122" s="471"/>
      <c r="D1122" s="471"/>
      <c r="E1122" s="471"/>
      <c r="F1122" s="471"/>
      <c r="G1122" s="471"/>
      <c r="H1122" s="292"/>
      <c r="I1122" s="292"/>
      <c r="J1122" s="292"/>
      <c r="K1122" s="292"/>
      <c r="L1122" s="292"/>
      <c r="M1122" s="292"/>
      <c r="N1122" s="292"/>
      <c r="O1122" s="292"/>
      <c r="P1122" s="294"/>
      <c r="Q1122" s="294"/>
      <c r="R1122" s="294"/>
      <c r="S1122" s="294"/>
      <c r="T1122" s="294"/>
      <c r="U1122" s="294"/>
      <c r="V1122" s="431"/>
      <c r="W1122" s="331"/>
      <c r="X1122" s="331"/>
      <c r="Y1122" s="294">
        <f>IF(NFI_Expiration=1,IF($A1122&lt;VLOOKUP(H$5,NFI,5,0),1,0)*Table_NFI[[#This Row],[Hygiene Kit]],Table_NFI[Hygiene Kit])</f>
        <v>0</v>
      </c>
      <c r="Z1122" s="294">
        <f>IF(NFI_Expiration=1,IF($A1122&lt;VLOOKUP(I$5,NFI,5,0),1,0)*Table_NFI[[#This Row],[NFI Core Kit]],Table_NFI[NFI Core Kit])</f>
        <v>0</v>
      </c>
      <c r="AA1122" s="294">
        <f>IF(NFI_Expiration=1,IF($A1122&lt;VLOOKUP(J$5,NFI,5,0),1,0)*Table_NFI[[#This Row],[Sanitary Kit]],Table_NFI[Sanitary Kit])</f>
        <v>0</v>
      </c>
      <c r="AB1122" s="294">
        <f>IF(NFI_Expiration=1,IF($A1122&lt;VLOOKUP(K$5,NFI,5,0),1,0)*Table_NFI[[#This Row],[Mosquito net]],Table_NFI[Mosquito net])</f>
        <v>0</v>
      </c>
      <c r="AC1122" s="294">
        <f>IF(NFI_Expiration=1,IF($A1122&lt;VLOOKUP(L$5,NFI,5,0),1,0)*Table_NFI[[#This Row],[Tarpaulin]],Table_NFI[[#This Row],[Tarpaulin]])</f>
        <v>0</v>
      </c>
      <c r="AD1122" s="294">
        <f>IF(NFI_Expiration=1,IF($A1122&lt;VLOOKUP(M$5,NFI,5,0),1,0)*Table_NFI[[#This Row],[Blanket]],Table_NFI[[#This Row],[Blanket]])</f>
        <v>0</v>
      </c>
      <c r="AE1122" s="294">
        <f>IF(NFI_Expiration=1,IF($A1122&lt;VLOOKUP(N$5,NFI,5,0),1,0)*Table_NFI[[#This Row],[Kitchen Set]],Table_NFI[Kitchen Set])</f>
        <v>0</v>
      </c>
      <c r="AF1122" s="294">
        <f>IF(NFI_Expiration=1,IF($A1122&lt;VLOOKUP(O$5,NFI,5,0),1,0)*Table_NFI[[#This Row],[Clothes Kit]],Table_NFI[Clothes Kit])</f>
        <v>0</v>
      </c>
      <c r="AG1122" s="294">
        <f>IF(NFI_Expiration=1,IF($A1122&lt;VLOOKUP(P$5,NFI,5,0),1,0)*Table_NFI[[#This Row],[Plastic Bucket]],Table_NFI[Plastic Bucket])</f>
        <v>0</v>
      </c>
      <c r="AH1122" s="294">
        <f>IF(NFI_Expiration=1,IF($A1122&lt;VLOOKUP(Q$5,NFI,5,0),1,0)*Table_NFI[[#This Row],[Plastic Mat]],Table_NFI[Plastic Mat])*IF(Table_NFI[[#This Row],[Distribution Date]]&gt;"2014-04-01",1,2.5)</f>
        <v>0</v>
      </c>
      <c r="AI1122" s="294">
        <f>IF(NFI_Expiration=1,IF($A1122&lt;VLOOKUP(R$5,NFI,5,0),1,0)*Table_NFI[[#This Row],[Winter Clothes Adult]],Table_NFI[Winter Clothes Adult])</f>
        <v>0</v>
      </c>
      <c r="AJ1122" s="294">
        <f>IF(NFI_Expiration=1,IF($A1122&lt;VLOOKUP(S$5,NFI,5,0),1,0)*Table_NFI[[#This Row],[Winter Clothes Children]],Table_NFI[Winter Clothes Children])</f>
        <v>0</v>
      </c>
      <c r="AK1122" s="294">
        <f>IF(NFI_Expiration=1,IF($A1122&lt;VLOOKUP(T$5,NFI,5,0),1,0)*Table_NFI[[#This Row],[Winter Items Other]],Table_NFI[Winter Items Other])</f>
        <v>0</v>
      </c>
      <c r="AL1122" s="294">
        <f>IF(NFI_Expiration=1,IF($A1122&lt;VLOOKUP(M$5,NFI,5,0),1,0)*Table_NFI[[#This Row],[Winter Blanket]],Table_NFI[[#This Row],[Winter Blanket]])</f>
        <v>0</v>
      </c>
      <c r="AM1122" s="294">
        <f>IF(Table_NFI[[#This Row],[Winter Clothes Adult]]+Table_NFI[[#This Row],[Winter Clothes Children]]+Table_NFI[[#This Row],[Winter Items Other]]+Table_NFI[[#This Row],[Winter Blanket]]&gt;0,1,0)</f>
        <v>0</v>
      </c>
      <c r="AN1122" s="331">
        <f>IF(NFI_Expiration=1,IF($A1122&lt;VLOOKUP(V$5,NFI,5,0),1,0)*Table_NFI[[#This Row],[Jerry Can]],Table_NFI[Jerry Can])</f>
        <v>0</v>
      </c>
      <c r="AO1122" s="331">
        <f>IF(NFI_Expiration=1,IF($A1122&lt;VLOOKUP(V$5,NFI,5,0),1,0)*Table_NFI[[#This Row],[Shelter Tool kit]],Table_NFI[Shelter Tool kit])</f>
        <v>0</v>
      </c>
      <c r="AP1122" s="331">
        <f>IF(NFI_Expiration=1,IF($A1122&lt;VLOOKUP(V$5,NFI,5,0),1,0)*Table_NFI[[#This Row],[Tent]],Table_NFI[Tent])</f>
        <v>0</v>
      </c>
      <c r="AQ1122" s="473" t="str">
        <f>IFERROR(VLOOKUP(Table_NFI[[#This Row],[Camp Name]],CL,2,0),"")</f>
        <v/>
      </c>
      <c r="AR1122" s="468" t="str">
        <f ca="1">IF(Table_NFI[[#This Row],[Pcode]]="","",IF(OFFSET(CampList[Opening Date],MATCH(Table_NFI[[#This Row],[Pcode]],CampList[CP_Pcode],0)-1,0,1,1)&gt;=NFI_Monitor_Date,1,0))</f>
        <v/>
      </c>
      <c r="AS1122" s="473" t="str">
        <f>IFERROR(VLOOKUP(Table_NFI[[#This Row],[Camp Name]],CL,3,0),"")</f>
        <v/>
      </c>
      <c r="AT1122" s="294" t="str">
        <f ca="1">IF(Table_NFI[[#This Row],[Pcode]]="","",OFFSET(CampList[Priority],MATCH(Table_NFI[[#This Row],[Pcode]],CampList[CP_Pcode],0)-1,0,1,1))</f>
        <v/>
      </c>
      <c r="AU1122" s="293" t="str">
        <f>IFERROR(Table_NFI[[#This Row],[Kitchen Set]]/VLOOKUP(Table_NFI[[#This Row],[Camp Name]],CL,4,0),"")</f>
        <v/>
      </c>
      <c r="AV1122" s="466"/>
      <c r="AW1122" s="474"/>
    </row>
    <row r="1123" spans="1:49" ht="14.45" customHeight="1" x14ac:dyDescent="0.25">
      <c r="A1123" s="297" t="str">
        <f t="shared" si="17"/>
        <v/>
      </c>
      <c r="B1123" s="465"/>
      <c r="C1123" s="471"/>
      <c r="D1123" s="471"/>
      <c r="E1123" s="471"/>
      <c r="F1123" s="471"/>
      <c r="G1123" s="471"/>
      <c r="H1123" s="292"/>
      <c r="I1123" s="292"/>
      <c r="J1123" s="292"/>
      <c r="K1123" s="292"/>
      <c r="L1123" s="292"/>
      <c r="M1123" s="292"/>
      <c r="N1123" s="292"/>
      <c r="O1123" s="292"/>
      <c r="P1123" s="294"/>
      <c r="Q1123" s="294"/>
      <c r="R1123" s="294"/>
      <c r="S1123" s="294"/>
      <c r="T1123" s="294"/>
      <c r="U1123" s="294"/>
      <c r="V1123" s="431"/>
      <c r="W1123" s="331"/>
      <c r="X1123" s="331"/>
      <c r="Y1123" s="294">
        <f>IF(NFI_Expiration=1,IF($A1123&lt;VLOOKUP(H$5,NFI,5,0),1,0)*Table_NFI[[#This Row],[Hygiene Kit]],Table_NFI[Hygiene Kit])</f>
        <v>0</v>
      </c>
      <c r="Z1123" s="294">
        <f>IF(NFI_Expiration=1,IF($A1123&lt;VLOOKUP(I$5,NFI,5,0),1,0)*Table_NFI[[#This Row],[NFI Core Kit]],Table_NFI[NFI Core Kit])</f>
        <v>0</v>
      </c>
      <c r="AA1123" s="294">
        <f>IF(NFI_Expiration=1,IF($A1123&lt;VLOOKUP(J$5,NFI,5,0),1,0)*Table_NFI[[#This Row],[Sanitary Kit]],Table_NFI[Sanitary Kit])</f>
        <v>0</v>
      </c>
      <c r="AB1123" s="294">
        <f>IF(NFI_Expiration=1,IF($A1123&lt;VLOOKUP(K$5,NFI,5,0),1,0)*Table_NFI[[#This Row],[Mosquito net]],Table_NFI[Mosquito net])</f>
        <v>0</v>
      </c>
      <c r="AC1123" s="294">
        <f>IF(NFI_Expiration=1,IF($A1123&lt;VLOOKUP(L$5,NFI,5,0),1,0)*Table_NFI[[#This Row],[Tarpaulin]],Table_NFI[[#This Row],[Tarpaulin]])</f>
        <v>0</v>
      </c>
      <c r="AD1123" s="294">
        <f>IF(NFI_Expiration=1,IF($A1123&lt;VLOOKUP(M$5,NFI,5,0),1,0)*Table_NFI[[#This Row],[Blanket]],Table_NFI[[#This Row],[Blanket]])</f>
        <v>0</v>
      </c>
      <c r="AE1123" s="294">
        <f>IF(NFI_Expiration=1,IF($A1123&lt;VLOOKUP(N$5,NFI,5,0),1,0)*Table_NFI[[#This Row],[Kitchen Set]],Table_NFI[Kitchen Set])</f>
        <v>0</v>
      </c>
      <c r="AF1123" s="294">
        <f>IF(NFI_Expiration=1,IF($A1123&lt;VLOOKUP(O$5,NFI,5,0),1,0)*Table_NFI[[#This Row],[Clothes Kit]],Table_NFI[Clothes Kit])</f>
        <v>0</v>
      </c>
      <c r="AG1123" s="294">
        <f>IF(NFI_Expiration=1,IF($A1123&lt;VLOOKUP(P$5,NFI,5,0),1,0)*Table_NFI[[#This Row],[Plastic Bucket]],Table_NFI[Plastic Bucket])</f>
        <v>0</v>
      </c>
      <c r="AH1123" s="294">
        <f>IF(NFI_Expiration=1,IF($A1123&lt;VLOOKUP(Q$5,NFI,5,0),1,0)*Table_NFI[[#This Row],[Plastic Mat]],Table_NFI[Plastic Mat])*IF(Table_NFI[[#This Row],[Distribution Date]]&gt;"2014-04-01",1,2.5)</f>
        <v>0</v>
      </c>
      <c r="AI1123" s="294">
        <f>IF(NFI_Expiration=1,IF($A1123&lt;VLOOKUP(R$5,NFI,5,0),1,0)*Table_NFI[[#This Row],[Winter Clothes Adult]],Table_NFI[Winter Clothes Adult])</f>
        <v>0</v>
      </c>
      <c r="AJ1123" s="294">
        <f>IF(NFI_Expiration=1,IF($A1123&lt;VLOOKUP(S$5,NFI,5,0),1,0)*Table_NFI[[#This Row],[Winter Clothes Children]],Table_NFI[Winter Clothes Children])</f>
        <v>0</v>
      </c>
      <c r="AK1123" s="294">
        <f>IF(NFI_Expiration=1,IF($A1123&lt;VLOOKUP(T$5,NFI,5,0),1,0)*Table_NFI[[#This Row],[Winter Items Other]],Table_NFI[Winter Items Other])</f>
        <v>0</v>
      </c>
      <c r="AL1123" s="294">
        <f>IF(NFI_Expiration=1,IF($A1123&lt;VLOOKUP(M$5,NFI,5,0),1,0)*Table_NFI[[#This Row],[Winter Blanket]],Table_NFI[[#This Row],[Winter Blanket]])</f>
        <v>0</v>
      </c>
      <c r="AM1123" s="294">
        <f>IF(Table_NFI[[#This Row],[Winter Clothes Adult]]+Table_NFI[[#This Row],[Winter Clothes Children]]+Table_NFI[[#This Row],[Winter Items Other]]+Table_NFI[[#This Row],[Winter Blanket]]&gt;0,1,0)</f>
        <v>0</v>
      </c>
      <c r="AN1123" s="331">
        <f>IF(NFI_Expiration=1,IF($A1123&lt;VLOOKUP(V$5,NFI,5,0),1,0)*Table_NFI[[#This Row],[Jerry Can]],Table_NFI[Jerry Can])</f>
        <v>0</v>
      </c>
      <c r="AO1123" s="331">
        <f>IF(NFI_Expiration=1,IF($A1123&lt;VLOOKUP(V$5,NFI,5,0),1,0)*Table_NFI[[#This Row],[Shelter Tool kit]],Table_NFI[Shelter Tool kit])</f>
        <v>0</v>
      </c>
      <c r="AP1123" s="331">
        <f>IF(NFI_Expiration=1,IF($A1123&lt;VLOOKUP(V$5,NFI,5,0),1,0)*Table_NFI[[#This Row],[Tent]],Table_NFI[Tent])</f>
        <v>0</v>
      </c>
      <c r="AQ1123" s="473" t="str">
        <f>IFERROR(VLOOKUP(Table_NFI[[#This Row],[Camp Name]],CL,2,0),"")</f>
        <v/>
      </c>
      <c r="AR1123" s="468" t="str">
        <f ca="1">IF(Table_NFI[[#This Row],[Pcode]]="","",IF(OFFSET(CampList[Opening Date],MATCH(Table_NFI[[#This Row],[Pcode]],CampList[CP_Pcode],0)-1,0,1,1)&gt;=NFI_Monitor_Date,1,0))</f>
        <v/>
      </c>
      <c r="AS1123" s="473" t="str">
        <f>IFERROR(VLOOKUP(Table_NFI[[#This Row],[Camp Name]],CL,3,0),"")</f>
        <v/>
      </c>
      <c r="AT1123" s="294" t="str">
        <f ca="1">IF(Table_NFI[[#This Row],[Pcode]]="","",OFFSET(CampList[Priority],MATCH(Table_NFI[[#This Row],[Pcode]],CampList[CP_Pcode],0)-1,0,1,1))</f>
        <v/>
      </c>
      <c r="AU1123" s="293" t="str">
        <f>IFERROR(Table_NFI[[#This Row],[Kitchen Set]]/VLOOKUP(Table_NFI[[#This Row],[Camp Name]],CL,4,0),"")</f>
        <v/>
      </c>
      <c r="AV1123" s="466"/>
      <c r="AW1123" s="474"/>
    </row>
    <row r="1124" spans="1:49" ht="14.45" customHeight="1" x14ac:dyDescent="0.25">
      <c r="A1124" s="297" t="str">
        <f t="shared" si="17"/>
        <v/>
      </c>
      <c r="B1124" s="465"/>
      <c r="C1124" s="471"/>
      <c r="D1124" s="471"/>
      <c r="E1124" s="471"/>
      <c r="F1124" s="471"/>
      <c r="G1124" s="471"/>
      <c r="H1124" s="292"/>
      <c r="I1124" s="292"/>
      <c r="J1124" s="292"/>
      <c r="K1124" s="292"/>
      <c r="L1124" s="292"/>
      <c r="M1124" s="292"/>
      <c r="N1124" s="292"/>
      <c r="O1124" s="292"/>
      <c r="P1124" s="294"/>
      <c r="Q1124" s="294"/>
      <c r="R1124" s="294"/>
      <c r="S1124" s="294"/>
      <c r="T1124" s="294"/>
      <c r="U1124" s="294"/>
      <c r="V1124" s="431"/>
      <c r="W1124" s="331"/>
      <c r="X1124" s="331"/>
      <c r="Y1124" s="294">
        <f>IF(NFI_Expiration=1,IF($A1124&lt;VLOOKUP(H$5,NFI,5,0),1,0)*Table_NFI[[#This Row],[Hygiene Kit]],Table_NFI[Hygiene Kit])</f>
        <v>0</v>
      </c>
      <c r="Z1124" s="294">
        <f>IF(NFI_Expiration=1,IF($A1124&lt;VLOOKUP(I$5,NFI,5,0),1,0)*Table_NFI[[#This Row],[NFI Core Kit]],Table_NFI[NFI Core Kit])</f>
        <v>0</v>
      </c>
      <c r="AA1124" s="294">
        <f>IF(NFI_Expiration=1,IF($A1124&lt;VLOOKUP(J$5,NFI,5,0),1,0)*Table_NFI[[#This Row],[Sanitary Kit]],Table_NFI[Sanitary Kit])</f>
        <v>0</v>
      </c>
      <c r="AB1124" s="294">
        <f>IF(NFI_Expiration=1,IF($A1124&lt;VLOOKUP(K$5,NFI,5,0),1,0)*Table_NFI[[#This Row],[Mosquito net]],Table_NFI[Mosquito net])</f>
        <v>0</v>
      </c>
      <c r="AC1124" s="294">
        <f>IF(NFI_Expiration=1,IF($A1124&lt;VLOOKUP(L$5,NFI,5,0),1,0)*Table_NFI[[#This Row],[Tarpaulin]],Table_NFI[[#This Row],[Tarpaulin]])</f>
        <v>0</v>
      </c>
      <c r="AD1124" s="294">
        <f>IF(NFI_Expiration=1,IF($A1124&lt;VLOOKUP(M$5,NFI,5,0),1,0)*Table_NFI[[#This Row],[Blanket]],Table_NFI[[#This Row],[Blanket]])</f>
        <v>0</v>
      </c>
      <c r="AE1124" s="294">
        <f>IF(NFI_Expiration=1,IF($A1124&lt;VLOOKUP(N$5,NFI,5,0),1,0)*Table_NFI[[#This Row],[Kitchen Set]],Table_NFI[Kitchen Set])</f>
        <v>0</v>
      </c>
      <c r="AF1124" s="294">
        <f>IF(NFI_Expiration=1,IF($A1124&lt;VLOOKUP(O$5,NFI,5,0),1,0)*Table_NFI[[#This Row],[Clothes Kit]],Table_NFI[Clothes Kit])</f>
        <v>0</v>
      </c>
      <c r="AG1124" s="294">
        <f>IF(NFI_Expiration=1,IF($A1124&lt;VLOOKUP(P$5,NFI,5,0),1,0)*Table_NFI[[#This Row],[Plastic Bucket]],Table_NFI[Plastic Bucket])</f>
        <v>0</v>
      </c>
      <c r="AH1124" s="294">
        <f>IF(NFI_Expiration=1,IF($A1124&lt;VLOOKUP(Q$5,NFI,5,0),1,0)*Table_NFI[[#This Row],[Plastic Mat]],Table_NFI[Plastic Mat])*IF(Table_NFI[[#This Row],[Distribution Date]]&gt;"2014-04-01",1,2.5)</f>
        <v>0</v>
      </c>
      <c r="AI1124" s="294">
        <f>IF(NFI_Expiration=1,IF($A1124&lt;VLOOKUP(R$5,NFI,5,0),1,0)*Table_NFI[[#This Row],[Winter Clothes Adult]],Table_NFI[Winter Clothes Adult])</f>
        <v>0</v>
      </c>
      <c r="AJ1124" s="294">
        <f>IF(NFI_Expiration=1,IF($A1124&lt;VLOOKUP(S$5,NFI,5,0),1,0)*Table_NFI[[#This Row],[Winter Clothes Children]],Table_NFI[Winter Clothes Children])</f>
        <v>0</v>
      </c>
      <c r="AK1124" s="294">
        <f>IF(NFI_Expiration=1,IF($A1124&lt;VLOOKUP(T$5,NFI,5,0),1,0)*Table_NFI[[#This Row],[Winter Items Other]],Table_NFI[Winter Items Other])</f>
        <v>0</v>
      </c>
      <c r="AL1124" s="294">
        <f>IF(NFI_Expiration=1,IF($A1124&lt;VLOOKUP(M$5,NFI,5,0),1,0)*Table_NFI[[#This Row],[Winter Blanket]],Table_NFI[[#This Row],[Winter Blanket]])</f>
        <v>0</v>
      </c>
      <c r="AM1124" s="294">
        <f>IF(Table_NFI[[#This Row],[Winter Clothes Adult]]+Table_NFI[[#This Row],[Winter Clothes Children]]+Table_NFI[[#This Row],[Winter Items Other]]+Table_NFI[[#This Row],[Winter Blanket]]&gt;0,1,0)</f>
        <v>0</v>
      </c>
      <c r="AN1124" s="331">
        <f>IF(NFI_Expiration=1,IF($A1124&lt;VLOOKUP(V$5,NFI,5,0),1,0)*Table_NFI[[#This Row],[Jerry Can]],Table_NFI[Jerry Can])</f>
        <v>0</v>
      </c>
      <c r="AO1124" s="331">
        <f>IF(NFI_Expiration=1,IF($A1124&lt;VLOOKUP(V$5,NFI,5,0),1,0)*Table_NFI[[#This Row],[Shelter Tool kit]],Table_NFI[Shelter Tool kit])</f>
        <v>0</v>
      </c>
      <c r="AP1124" s="331">
        <f>IF(NFI_Expiration=1,IF($A1124&lt;VLOOKUP(V$5,NFI,5,0),1,0)*Table_NFI[[#This Row],[Tent]],Table_NFI[Tent])</f>
        <v>0</v>
      </c>
      <c r="AQ1124" s="473" t="str">
        <f>IFERROR(VLOOKUP(Table_NFI[[#This Row],[Camp Name]],CL,2,0),"")</f>
        <v/>
      </c>
      <c r="AR1124" s="468" t="str">
        <f ca="1">IF(Table_NFI[[#This Row],[Pcode]]="","",IF(OFFSET(CampList[Opening Date],MATCH(Table_NFI[[#This Row],[Pcode]],CampList[CP_Pcode],0)-1,0,1,1)&gt;=NFI_Monitor_Date,1,0))</f>
        <v/>
      </c>
      <c r="AS1124" s="473" t="str">
        <f>IFERROR(VLOOKUP(Table_NFI[[#This Row],[Camp Name]],CL,3,0),"")</f>
        <v/>
      </c>
      <c r="AT1124" s="294" t="str">
        <f ca="1">IF(Table_NFI[[#This Row],[Pcode]]="","",OFFSET(CampList[Priority],MATCH(Table_NFI[[#This Row],[Pcode]],CampList[CP_Pcode],0)-1,0,1,1))</f>
        <v/>
      </c>
      <c r="AU1124" s="293" t="str">
        <f>IFERROR(Table_NFI[[#This Row],[Kitchen Set]]/VLOOKUP(Table_NFI[[#This Row],[Camp Name]],CL,4,0),"")</f>
        <v/>
      </c>
      <c r="AV1124" s="466"/>
      <c r="AW1124" s="474"/>
    </row>
    <row r="1125" spans="1:49" ht="14.45" customHeight="1" x14ac:dyDescent="0.25">
      <c r="A1125" s="297" t="str">
        <f t="shared" si="17"/>
        <v/>
      </c>
      <c r="B1125" s="465"/>
      <c r="C1125" s="471"/>
      <c r="D1125" s="471"/>
      <c r="E1125" s="471"/>
      <c r="F1125" s="471"/>
      <c r="G1125" s="471"/>
      <c r="H1125" s="292"/>
      <c r="I1125" s="292"/>
      <c r="J1125" s="292"/>
      <c r="K1125" s="292"/>
      <c r="L1125" s="292"/>
      <c r="M1125" s="292"/>
      <c r="N1125" s="292"/>
      <c r="O1125" s="292"/>
      <c r="P1125" s="294"/>
      <c r="Q1125" s="294"/>
      <c r="R1125" s="294"/>
      <c r="S1125" s="294"/>
      <c r="T1125" s="294"/>
      <c r="U1125" s="294"/>
      <c r="V1125" s="431"/>
      <c r="W1125" s="331"/>
      <c r="X1125" s="331"/>
      <c r="Y1125" s="294">
        <f>IF(NFI_Expiration=1,IF($A1125&lt;VLOOKUP(H$5,NFI,5,0),1,0)*Table_NFI[[#This Row],[Hygiene Kit]],Table_NFI[Hygiene Kit])</f>
        <v>0</v>
      </c>
      <c r="Z1125" s="294">
        <f>IF(NFI_Expiration=1,IF($A1125&lt;VLOOKUP(I$5,NFI,5,0),1,0)*Table_NFI[[#This Row],[NFI Core Kit]],Table_NFI[NFI Core Kit])</f>
        <v>0</v>
      </c>
      <c r="AA1125" s="294">
        <f>IF(NFI_Expiration=1,IF($A1125&lt;VLOOKUP(J$5,NFI,5,0),1,0)*Table_NFI[[#This Row],[Sanitary Kit]],Table_NFI[Sanitary Kit])</f>
        <v>0</v>
      </c>
      <c r="AB1125" s="294">
        <f>IF(NFI_Expiration=1,IF($A1125&lt;VLOOKUP(K$5,NFI,5,0),1,0)*Table_NFI[[#This Row],[Mosquito net]],Table_NFI[Mosquito net])</f>
        <v>0</v>
      </c>
      <c r="AC1125" s="294">
        <f>IF(NFI_Expiration=1,IF($A1125&lt;VLOOKUP(L$5,NFI,5,0),1,0)*Table_NFI[[#This Row],[Tarpaulin]],Table_NFI[[#This Row],[Tarpaulin]])</f>
        <v>0</v>
      </c>
      <c r="AD1125" s="294">
        <f>IF(NFI_Expiration=1,IF($A1125&lt;VLOOKUP(M$5,NFI,5,0),1,0)*Table_NFI[[#This Row],[Blanket]],Table_NFI[[#This Row],[Blanket]])</f>
        <v>0</v>
      </c>
      <c r="AE1125" s="294">
        <f>IF(NFI_Expiration=1,IF($A1125&lt;VLOOKUP(N$5,NFI,5,0),1,0)*Table_NFI[[#This Row],[Kitchen Set]],Table_NFI[Kitchen Set])</f>
        <v>0</v>
      </c>
      <c r="AF1125" s="294">
        <f>IF(NFI_Expiration=1,IF($A1125&lt;VLOOKUP(O$5,NFI,5,0),1,0)*Table_NFI[[#This Row],[Clothes Kit]],Table_NFI[Clothes Kit])</f>
        <v>0</v>
      </c>
      <c r="AG1125" s="294">
        <f>IF(NFI_Expiration=1,IF($A1125&lt;VLOOKUP(P$5,NFI,5,0),1,0)*Table_NFI[[#This Row],[Plastic Bucket]],Table_NFI[Plastic Bucket])</f>
        <v>0</v>
      </c>
      <c r="AH1125" s="294">
        <f>IF(NFI_Expiration=1,IF($A1125&lt;VLOOKUP(Q$5,NFI,5,0),1,0)*Table_NFI[[#This Row],[Plastic Mat]],Table_NFI[Plastic Mat])*IF(Table_NFI[[#This Row],[Distribution Date]]&gt;"2014-04-01",1,2.5)</f>
        <v>0</v>
      </c>
      <c r="AI1125" s="294">
        <f>IF(NFI_Expiration=1,IF($A1125&lt;VLOOKUP(R$5,NFI,5,0),1,0)*Table_NFI[[#This Row],[Winter Clothes Adult]],Table_NFI[Winter Clothes Adult])</f>
        <v>0</v>
      </c>
      <c r="AJ1125" s="294">
        <f>IF(NFI_Expiration=1,IF($A1125&lt;VLOOKUP(S$5,NFI,5,0),1,0)*Table_NFI[[#This Row],[Winter Clothes Children]],Table_NFI[Winter Clothes Children])</f>
        <v>0</v>
      </c>
      <c r="AK1125" s="294">
        <f>IF(NFI_Expiration=1,IF($A1125&lt;VLOOKUP(T$5,NFI,5,0),1,0)*Table_NFI[[#This Row],[Winter Items Other]],Table_NFI[Winter Items Other])</f>
        <v>0</v>
      </c>
      <c r="AL1125" s="294">
        <f>IF(NFI_Expiration=1,IF($A1125&lt;VLOOKUP(M$5,NFI,5,0),1,0)*Table_NFI[[#This Row],[Winter Blanket]],Table_NFI[[#This Row],[Winter Blanket]])</f>
        <v>0</v>
      </c>
      <c r="AM1125" s="294">
        <f>IF(Table_NFI[[#This Row],[Winter Clothes Adult]]+Table_NFI[[#This Row],[Winter Clothes Children]]+Table_NFI[[#This Row],[Winter Items Other]]+Table_NFI[[#This Row],[Winter Blanket]]&gt;0,1,0)</f>
        <v>0</v>
      </c>
      <c r="AN1125" s="331">
        <f>IF(NFI_Expiration=1,IF($A1125&lt;VLOOKUP(V$5,NFI,5,0),1,0)*Table_NFI[[#This Row],[Jerry Can]],Table_NFI[Jerry Can])</f>
        <v>0</v>
      </c>
      <c r="AO1125" s="331">
        <f>IF(NFI_Expiration=1,IF($A1125&lt;VLOOKUP(V$5,NFI,5,0),1,0)*Table_NFI[[#This Row],[Shelter Tool kit]],Table_NFI[Shelter Tool kit])</f>
        <v>0</v>
      </c>
      <c r="AP1125" s="331">
        <f>IF(NFI_Expiration=1,IF($A1125&lt;VLOOKUP(V$5,NFI,5,0),1,0)*Table_NFI[[#This Row],[Tent]],Table_NFI[Tent])</f>
        <v>0</v>
      </c>
      <c r="AQ1125" s="473" t="str">
        <f>IFERROR(VLOOKUP(Table_NFI[[#This Row],[Camp Name]],CL,2,0),"")</f>
        <v/>
      </c>
      <c r="AR1125" s="468" t="str">
        <f ca="1">IF(Table_NFI[[#This Row],[Pcode]]="","",IF(OFFSET(CampList[Opening Date],MATCH(Table_NFI[[#This Row],[Pcode]],CampList[CP_Pcode],0)-1,0,1,1)&gt;=NFI_Monitor_Date,1,0))</f>
        <v/>
      </c>
      <c r="AS1125" s="473" t="str">
        <f>IFERROR(VLOOKUP(Table_NFI[[#This Row],[Camp Name]],CL,3,0),"")</f>
        <v/>
      </c>
      <c r="AT1125" s="294" t="str">
        <f ca="1">IF(Table_NFI[[#This Row],[Pcode]]="","",OFFSET(CampList[Priority],MATCH(Table_NFI[[#This Row],[Pcode]],CampList[CP_Pcode],0)-1,0,1,1))</f>
        <v/>
      </c>
      <c r="AU1125" s="293" t="str">
        <f>IFERROR(Table_NFI[[#This Row],[Kitchen Set]]/VLOOKUP(Table_NFI[[#This Row],[Camp Name]],CL,4,0),"")</f>
        <v/>
      </c>
      <c r="AV1125" s="466"/>
      <c r="AW1125" s="474"/>
    </row>
    <row r="1126" spans="1:49" ht="14.45" customHeight="1" x14ac:dyDescent="0.25">
      <c r="A1126" s="297" t="str">
        <f t="shared" si="17"/>
        <v/>
      </c>
      <c r="B1126" s="465"/>
      <c r="C1126" s="471"/>
      <c r="D1126" s="471"/>
      <c r="E1126" s="471"/>
      <c r="F1126" s="471"/>
      <c r="G1126" s="471"/>
      <c r="H1126" s="292"/>
      <c r="I1126" s="292"/>
      <c r="J1126" s="292"/>
      <c r="K1126" s="292"/>
      <c r="L1126" s="292"/>
      <c r="M1126" s="292"/>
      <c r="N1126" s="292"/>
      <c r="O1126" s="292"/>
      <c r="P1126" s="294"/>
      <c r="Q1126" s="294"/>
      <c r="R1126" s="294"/>
      <c r="S1126" s="294"/>
      <c r="T1126" s="294"/>
      <c r="U1126" s="294"/>
      <c r="V1126" s="431"/>
      <c r="W1126" s="331"/>
      <c r="X1126" s="331"/>
      <c r="Y1126" s="294">
        <f>IF(NFI_Expiration=1,IF($A1126&lt;VLOOKUP(H$5,NFI,5,0),1,0)*Table_NFI[[#This Row],[Hygiene Kit]],Table_NFI[Hygiene Kit])</f>
        <v>0</v>
      </c>
      <c r="Z1126" s="294">
        <f>IF(NFI_Expiration=1,IF($A1126&lt;VLOOKUP(I$5,NFI,5,0),1,0)*Table_NFI[[#This Row],[NFI Core Kit]],Table_NFI[NFI Core Kit])</f>
        <v>0</v>
      </c>
      <c r="AA1126" s="294">
        <f>IF(NFI_Expiration=1,IF($A1126&lt;VLOOKUP(J$5,NFI,5,0),1,0)*Table_NFI[[#This Row],[Sanitary Kit]],Table_NFI[Sanitary Kit])</f>
        <v>0</v>
      </c>
      <c r="AB1126" s="294">
        <f>IF(NFI_Expiration=1,IF($A1126&lt;VLOOKUP(K$5,NFI,5,0),1,0)*Table_NFI[[#This Row],[Mosquito net]],Table_NFI[Mosquito net])</f>
        <v>0</v>
      </c>
      <c r="AC1126" s="294">
        <f>IF(NFI_Expiration=1,IF($A1126&lt;VLOOKUP(L$5,NFI,5,0),1,0)*Table_NFI[[#This Row],[Tarpaulin]],Table_NFI[[#This Row],[Tarpaulin]])</f>
        <v>0</v>
      </c>
      <c r="AD1126" s="294">
        <f>IF(NFI_Expiration=1,IF($A1126&lt;VLOOKUP(M$5,NFI,5,0),1,0)*Table_NFI[[#This Row],[Blanket]],Table_NFI[[#This Row],[Blanket]])</f>
        <v>0</v>
      </c>
      <c r="AE1126" s="294">
        <f>IF(NFI_Expiration=1,IF($A1126&lt;VLOOKUP(N$5,NFI,5,0),1,0)*Table_NFI[[#This Row],[Kitchen Set]],Table_NFI[Kitchen Set])</f>
        <v>0</v>
      </c>
      <c r="AF1126" s="294">
        <f>IF(NFI_Expiration=1,IF($A1126&lt;VLOOKUP(O$5,NFI,5,0),1,0)*Table_NFI[[#This Row],[Clothes Kit]],Table_NFI[Clothes Kit])</f>
        <v>0</v>
      </c>
      <c r="AG1126" s="294">
        <f>IF(NFI_Expiration=1,IF($A1126&lt;VLOOKUP(P$5,NFI,5,0),1,0)*Table_NFI[[#This Row],[Plastic Bucket]],Table_NFI[Plastic Bucket])</f>
        <v>0</v>
      </c>
      <c r="AH1126" s="294">
        <f>IF(NFI_Expiration=1,IF($A1126&lt;VLOOKUP(Q$5,NFI,5,0),1,0)*Table_NFI[[#This Row],[Plastic Mat]],Table_NFI[Plastic Mat])*IF(Table_NFI[[#This Row],[Distribution Date]]&gt;"2014-04-01",1,2.5)</f>
        <v>0</v>
      </c>
      <c r="AI1126" s="294">
        <f>IF(NFI_Expiration=1,IF($A1126&lt;VLOOKUP(R$5,NFI,5,0),1,0)*Table_NFI[[#This Row],[Winter Clothes Adult]],Table_NFI[Winter Clothes Adult])</f>
        <v>0</v>
      </c>
      <c r="AJ1126" s="294">
        <f>IF(NFI_Expiration=1,IF($A1126&lt;VLOOKUP(S$5,NFI,5,0),1,0)*Table_NFI[[#This Row],[Winter Clothes Children]],Table_NFI[Winter Clothes Children])</f>
        <v>0</v>
      </c>
      <c r="AK1126" s="294">
        <f>IF(NFI_Expiration=1,IF($A1126&lt;VLOOKUP(T$5,NFI,5,0),1,0)*Table_NFI[[#This Row],[Winter Items Other]],Table_NFI[Winter Items Other])</f>
        <v>0</v>
      </c>
      <c r="AL1126" s="294">
        <f>IF(NFI_Expiration=1,IF($A1126&lt;VLOOKUP(M$5,NFI,5,0),1,0)*Table_NFI[[#This Row],[Winter Blanket]],Table_NFI[[#This Row],[Winter Blanket]])</f>
        <v>0</v>
      </c>
      <c r="AM1126" s="294">
        <f>IF(Table_NFI[[#This Row],[Winter Clothes Adult]]+Table_NFI[[#This Row],[Winter Clothes Children]]+Table_NFI[[#This Row],[Winter Items Other]]+Table_NFI[[#This Row],[Winter Blanket]]&gt;0,1,0)</f>
        <v>0</v>
      </c>
      <c r="AN1126" s="331">
        <f>IF(NFI_Expiration=1,IF($A1126&lt;VLOOKUP(V$5,NFI,5,0),1,0)*Table_NFI[[#This Row],[Jerry Can]],Table_NFI[Jerry Can])</f>
        <v>0</v>
      </c>
      <c r="AO1126" s="331">
        <f>IF(NFI_Expiration=1,IF($A1126&lt;VLOOKUP(V$5,NFI,5,0),1,0)*Table_NFI[[#This Row],[Shelter Tool kit]],Table_NFI[Shelter Tool kit])</f>
        <v>0</v>
      </c>
      <c r="AP1126" s="331">
        <f>IF(NFI_Expiration=1,IF($A1126&lt;VLOOKUP(V$5,NFI,5,0),1,0)*Table_NFI[[#This Row],[Tent]],Table_NFI[Tent])</f>
        <v>0</v>
      </c>
      <c r="AQ1126" s="473" t="str">
        <f>IFERROR(VLOOKUP(Table_NFI[[#This Row],[Camp Name]],CL,2,0),"")</f>
        <v/>
      </c>
      <c r="AR1126" s="468" t="str">
        <f ca="1">IF(Table_NFI[[#This Row],[Pcode]]="","",IF(OFFSET(CampList[Opening Date],MATCH(Table_NFI[[#This Row],[Pcode]],CampList[CP_Pcode],0)-1,0,1,1)&gt;=NFI_Monitor_Date,1,0))</f>
        <v/>
      </c>
      <c r="AS1126" s="473" t="str">
        <f>IFERROR(VLOOKUP(Table_NFI[[#This Row],[Camp Name]],CL,3,0),"")</f>
        <v/>
      </c>
      <c r="AT1126" s="294" t="str">
        <f ca="1">IF(Table_NFI[[#This Row],[Pcode]]="","",OFFSET(CampList[Priority],MATCH(Table_NFI[[#This Row],[Pcode]],CampList[CP_Pcode],0)-1,0,1,1))</f>
        <v/>
      </c>
      <c r="AU1126" s="293" t="str">
        <f>IFERROR(Table_NFI[[#This Row],[Kitchen Set]]/VLOOKUP(Table_NFI[[#This Row],[Camp Name]],CL,4,0),"")</f>
        <v/>
      </c>
      <c r="AV1126" s="466"/>
      <c r="AW1126" s="474"/>
    </row>
    <row r="1127" spans="1:49" ht="14.45" customHeight="1" x14ac:dyDescent="0.25">
      <c r="A1127" s="297" t="str">
        <f t="shared" si="17"/>
        <v/>
      </c>
      <c r="B1127" s="465"/>
      <c r="C1127" s="471"/>
      <c r="D1127" s="471"/>
      <c r="E1127" s="471"/>
      <c r="F1127" s="471"/>
      <c r="G1127" s="471"/>
      <c r="H1127" s="292"/>
      <c r="I1127" s="292"/>
      <c r="J1127" s="292"/>
      <c r="K1127" s="292"/>
      <c r="L1127" s="292"/>
      <c r="M1127" s="292"/>
      <c r="N1127" s="292"/>
      <c r="O1127" s="292"/>
      <c r="P1127" s="294"/>
      <c r="Q1127" s="294"/>
      <c r="R1127" s="294"/>
      <c r="S1127" s="294"/>
      <c r="T1127" s="294"/>
      <c r="U1127" s="294"/>
      <c r="V1127" s="431"/>
      <c r="W1127" s="331"/>
      <c r="X1127" s="331"/>
      <c r="Y1127" s="294">
        <f>IF(NFI_Expiration=1,IF($A1127&lt;VLOOKUP(H$5,NFI,5,0),1,0)*Table_NFI[[#This Row],[Hygiene Kit]],Table_NFI[Hygiene Kit])</f>
        <v>0</v>
      </c>
      <c r="Z1127" s="294">
        <f>IF(NFI_Expiration=1,IF($A1127&lt;VLOOKUP(I$5,NFI,5,0),1,0)*Table_NFI[[#This Row],[NFI Core Kit]],Table_NFI[NFI Core Kit])</f>
        <v>0</v>
      </c>
      <c r="AA1127" s="294">
        <f>IF(NFI_Expiration=1,IF($A1127&lt;VLOOKUP(J$5,NFI,5,0),1,0)*Table_NFI[[#This Row],[Sanitary Kit]],Table_NFI[Sanitary Kit])</f>
        <v>0</v>
      </c>
      <c r="AB1127" s="294">
        <f>IF(NFI_Expiration=1,IF($A1127&lt;VLOOKUP(K$5,NFI,5,0),1,0)*Table_NFI[[#This Row],[Mosquito net]],Table_NFI[Mosquito net])</f>
        <v>0</v>
      </c>
      <c r="AC1127" s="294">
        <f>IF(NFI_Expiration=1,IF($A1127&lt;VLOOKUP(L$5,NFI,5,0),1,0)*Table_NFI[[#This Row],[Tarpaulin]],Table_NFI[[#This Row],[Tarpaulin]])</f>
        <v>0</v>
      </c>
      <c r="AD1127" s="294">
        <f>IF(NFI_Expiration=1,IF($A1127&lt;VLOOKUP(M$5,NFI,5,0),1,0)*Table_NFI[[#This Row],[Blanket]],Table_NFI[[#This Row],[Blanket]])</f>
        <v>0</v>
      </c>
      <c r="AE1127" s="294">
        <f>IF(NFI_Expiration=1,IF($A1127&lt;VLOOKUP(N$5,NFI,5,0),1,0)*Table_NFI[[#This Row],[Kitchen Set]],Table_NFI[Kitchen Set])</f>
        <v>0</v>
      </c>
      <c r="AF1127" s="294">
        <f>IF(NFI_Expiration=1,IF($A1127&lt;VLOOKUP(O$5,NFI,5,0),1,0)*Table_NFI[[#This Row],[Clothes Kit]],Table_NFI[Clothes Kit])</f>
        <v>0</v>
      </c>
      <c r="AG1127" s="294">
        <f>IF(NFI_Expiration=1,IF($A1127&lt;VLOOKUP(P$5,NFI,5,0),1,0)*Table_NFI[[#This Row],[Plastic Bucket]],Table_NFI[Plastic Bucket])</f>
        <v>0</v>
      </c>
      <c r="AH1127" s="294">
        <f>IF(NFI_Expiration=1,IF($A1127&lt;VLOOKUP(Q$5,NFI,5,0),1,0)*Table_NFI[[#This Row],[Plastic Mat]],Table_NFI[Plastic Mat])*IF(Table_NFI[[#This Row],[Distribution Date]]&gt;"2014-04-01",1,2.5)</f>
        <v>0</v>
      </c>
      <c r="AI1127" s="294">
        <f>IF(NFI_Expiration=1,IF($A1127&lt;VLOOKUP(R$5,NFI,5,0),1,0)*Table_NFI[[#This Row],[Winter Clothes Adult]],Table_NFI[Winter Clothes Adult])</f>
        <v>0</v>
      </c>
      <c r="AJ1127" s="294">
        <f>IF(NFI_Expiration=1,IF($A1127&lt;VLOOKUP(S$5,NFI,5,0),1,0)*Table_NFI[[#This Row],[Winter Clothes Children]],Table_NFI[Winter Clothes Children])</f>
        <v>0</v>
      </c>
      <c r="AK1127" s="294">
        <f>IF(NFI_Expiration=1,IF($A1127&lt;VLOOKUP(T$5,NFI,5,0),1,0)*Table_NFI[[#This Row],[Winter Items Other]],Table_NFI[Winter Items Other])</f>
        <v>0</v>
      </c>
      <c r="AL1127" s="294">
        <f>IF(NFI_Expiration=1,IF($A1127&lt;VLOOKUP(M$5,NFI,5,0),1,0)*Table_NFI[[#This Row],[Winter Blanket]],Table_NFI[[#This Row],[Winter Blanket]])</f>
        <v>0</v>
      </c>
      <c r="AM1127" s="294">
        <f>IF(Table_NFI[[#This Row],[Winter Clothes Adult]]+Table_NFI[[#This Row],[Winter Clothes Children]]+Table_NFI[[#This Row],[Winter Items Other]]+Table_NFI[[#This Row],[Winter Blanket]]&gt;0,1,0)</f>
        <v>0</v>
      </c>
      <c r="AN1127" s="331">
        <f>IF(NFI_Expiration=1,IF($A1127&lt;VLOOKUP(V$5,NFI,5,0),1,0)*Table_NFI[[#This Row],[Jerry Can]],Table_NFI[Jerry Can])</f>
        <v>0</v>
      </c>
      <c r="AO1127" s="331">
        <f>IF(NFI_Expiration=1,IF($A1127&lt;VLOOKUP(V$5,NFI,5,0),1,0)*Table_NFI[[#This Row],[Shelter Tool kit]],Table_NFI[Shelter Tool kit])</f>
        <v>0</v>
      </c>
      <c r="AP1127" s="331">
        <f>IF(NFI_Expiration=1,IF($A1127&lt;VLOOKUP(V$5,NFI,5,0),1,0)*Table_NFI[[#This Row],[Tent]],Table_NFI[Tent])</f>
        <v>0</v>
      </c>
      <c r="AQ1127" s="473" t="str">
        <f>IFERROR(VLOOKUP(Table_NFI[[#This Row],[Camp Name]],CL,2,0),"")</f>
        <v/>
      </c>
      <c r="AR1127" s="468" t="str">
        <f ca="1">IF(Table_NFI[[#This Row],[Pcode]]="","",IF(OFFSET(CampList[Opening Date],MATCH(Table_NFI[[#This Row],[Pcode]],CampList[CP_Pcode],0)-1,0,1,1)&gt;=NFI_Monitor_Date,1,0))</f>
        <v/>
      </c>
      <c r="AS1127" s="473" t="str">
        <f>IFERROR(VLOOKUP(Table_NFI[[#This Row],[Camp Name]],CL,3,0),"")</f>
        <v/>
      </c>
      <c r="AT1127" s="294" t="str">
        <f ca="1">IF(Table_NFI[[#This Row],[Pcode]]="","",OFFSET(CampList[Priority],MATCH(Table_NFI[[#This Row],[Pcode]],CampList[CP_Pcode],0)-1,0,1,1))</f>
        <v/>
      </c>
      <c r="AU1127" s="293" t="str">
        <f>IFERROR(Table_NFI[[#This Row],[Kitchen Set]]/VLOOKUP(Table_NFI[[#This Row],[Camp Name]],CL,4,0),"")</f>
        <v/>
      </c>
      <c r="AV1127" s="466"/>
      <c r="AW1127" s="474"/>
    </row>
    <row r="1128" spans="1:49" ht="14.45" customHeight="1" x14ac:dyDescent="0.25">
      <c r="A1128" s="297" t="str">
        <f t="shared" si="17"/>
        <v/>
      </c>
      <c r="B1128" s="465"/>
      <c r="C1128" s="471"/>
      <c r="D1128" s="471"/>
      <c r="E1128" s="471"/>
      <c r="F1128" s="471"/>
      <c r="G1128" s="471"/>
      <c r="H1128" s="292"/>
      <c r="I1128" s="292"/>
      <c r="J1128" s="292"/>
      <c r="K1128" s="292"/>
      <c r="L1128" s="292"/>
      <c r="M1128" s="292"/>
      <c r="N1128" s="292"/>
      <c r="O1128" s="292"/>
      <c r="P1128" s="294"/>
      <c r="Q1128" s="294"/>
      <c r="R1128" s="294"/>
      <c r="S1128" s="294"/>
      <c r="T1128" s="294"/>
      <c r="U1128" s="294"/>
      <c r="V1128" s="431"/>
      <c r="W1128" s="331"/>
      <c r="X1128" s="331"/>
      <c r="Y1128" s="294">
        <f>IF(NFI_Expiration=1,IF($A1128&lt;VLOOKUP(H$5,NFI,5,0),1,0)*Table_NFI[[#This Row],[Hygiene Kit]],Table_NFI[Hygiene Kit])</f>
        <v>0</v>
      </c>
      <c r="Z1128" s="294">
        <f>IF(NFI_Expiration=1,IF($A1128&lt;VLOOKUP(I$5,NFI,5,0),1,0)*Table_NFI[[#This Row],[NFI Core Kit]],Table_NFI[NFI Core Kit])</f>
        <v>0</v>
      </c>
      <c r="AA1128" s="294">
        <f>IF(NFI_Expiration=1,IF($A1128&lt;VLOOKUP(J$5,NFI,5,0),1,0)*Table_NFI[[#This Row],[Sanitary Kit]],Table_NFI[Sanitary Kit])</f>
        <v>0</v>
      </c>
      <c r="AB1128" s="294">
        <f>IF(NFI_Expiration=1,IF($A1128&lt;VLOOKUP(K$5,NFI,5,0),1,0)*Table_NFI[[#This Row],[Mosquito net]],Table_NFI[Mosquito net])</f>
        <v>0</v>
      </c>
      <c r="AC1128" s="294">
        <f>IF(NFI_Expiration=1,IF($A1128&lt;VLOOKUP(L$5,NFI,5,0),1,0)*Table_NFI[[#This Row],[Tarpaulin]],Table_NFI[[#This Row],[Tarpaulin]])</f>
        <v>0</v>
      </c>
      <c r="AD1128" s="294">
        <f>IF(NFI_Expiration=1,IF($A1128&lt;VLOOKUP(M$5,NFI,5,0),1,0)*Table_NFI[[#This Row],[Blanket]],Table_NFI[[#This Row],[Blanket]])</f>
        <v>0</v>
      </c>
      <c r="AE1128" s="294">
        <f>IF(NFI_Expiration=1,IF($A1128&lt;VLOOKUP(N$5,NFI,5,0),1,0)*Table_NFI[[#This Row],[Kitchen Set]],Table_NFI[Kitchen Set])</f>
        <v>0</v>
      </c>
      <c r="AF1128" s="294">
        <f>IF(NFI_Expiration=1,IF($A1128&lt;VLOOKUP(O$5,NFI,5,0),1,0)*Table_NFI[[#This Row],[Clothes Kit]],Table_NFI[Clothes Kit])</f>
        <v>0</v>
      </c>
      <c r="AG1128" s="294">
        <f>IF(NFI_Expiration=1,IF($A1128&lt;VLOOKUP(P$5,NFI,5,0),1,0)*Table_NFI[[#This Row],[Plastic Bucket]],Table_NFI[Plastic Bucket])</f>
        <v>0</v>
      </c>
      <c r="AH1128" s="294">
        <f>IF(NFI_Expiration=1,IF($A1128&lt;VLOOKUP(Q$5,NFI,5,0),1,0)*Table_NFI[[#This Row],[Plastic Mat]],Table_NFI[Plastic Mat])*IF(Table_NFI[[#This Row],[Distribution Date]]&gt;"2014-04-01",1,2.5)</f>
        <v>0</v>
      </c>
      <c r="AI1128" s="294">
        <f>IF(NFI_Expiration=1,IF($A1128&lt;VLOOKUP(R$5,NFI,5,0),1,0)*Table_NFI[[#This Row],[Winter Clothes Adult]],Table_NFI[Winter Clothes Adult])</f>
        <v>0</v>
      </c>
      <c r="AJ1128" s="294">
        <f>IF(NFI_Expiration=1,IF($A1128&lt;VLOOKUP(S$5,NFI,5,0),1,0)*Table_NFI[[#This Row],[Winter Clothes Children]],Table_NFI[Winter Clothes Children])</f>
        <v>0</v>
      </c>
      <c r="AK1128" s="294">
        <f>IF(NFI_Expiration=1,IF($A1128&lt;VLOOKUP(T$5,NFI,5,0),1,0)*Table_NFI[[#This Row],[Winter Items Other]],Table_NFI[Winter Items Other])</f>
        <v>0</v>
      </c>
      <c r="AL1128" s="294">
        <f>IF(NFI_Expiration=1,IF($A1128&lt;VLOOKUP(M$5,NFI,5,0),1,0)*Table_NFI[[#This Row],[Winter Blanket]],Table_NFI[[#This Row],[Winter Blanket]])</f>
        <v>0</v>
      </c>
      <c r="AM1128" s="294">
        <f>IF(Table_NFI[[#This Row],[Winter Clothes Adult]]+Table_NFI[[#This Row],[Winter Clothes Children]]+Table_NFI[[#This Row],[Winter Items Other]]+Table_NFI[[#This Row],[Winter Blanket]]&gt;0,1,0)</f>
        <v>0</v>
      </c>
      <c r="AN1128" s="331">
        <f>IF(NFI_Expiration=1,IF($A1128&lt;VLOOKUP(V$5,NFI,5,0),1,0)*Table_NFI[[#This Row],[Jerry Can]],Table_NFI[Jerry Can])</f>
        <v>0</v>
      </c>
      <c r="AO1128" s="331">
        <f>IF(NFI_Expiration=1,IF($A1128&lt;VLOOKUP(V$5,NFI,5,0),1,0)*Table_NFI[[#This Row],[Shelter Tool kit]],Table_NFI[Shelter Tool kit])</f>
        <v>0</v>
      </c>
      <c r="AP1128" s="331">
        <f>IF(NFI_Expiration=1,IF($A1128&lt;VLOOKUP(V$5,NFI,5,0),1,0)*Table_NFI[[#This Row],[Tent]],Table_NFI[Tent])</f>
        <v>0</v>
      </c>
      <c r="AQ1128" s="473" t="str">
        <f>IFERROR(VLOOKUP(Table_NFI[[#This Row],[Camp Name]],CL,2,0),"")</f>
        <v/>
      </c>
      <c r="AR1128" s="468" t="str">
        <f ca="1">IF(Table_NFI[[#This Row],[Pcode]]="","",IF(OFFSET(CampList[Opening Date],MATCH(Table_NFI[[#This Row],[Pcode]],CampList[CP_Pcode],0)-1,0,1,1)&gt;=NFI_Monitor_Date,1,0))</f>
        <v/>
      </c>
      <c r="AS1128" s="473" t="str">
        <f>IFERROR(VLOOKUP(Table_NFI[[#This Row],[Camp Name]],CL,3,0),"")</f>
        <v/>
      </c>
      <c r="AT1128" s="294" t="str">
        <f ca="1">IF(Table_NFI[[#This Row],[Pcode]]="","",OFFSET(CampList[Priority],MATCH(Table_NFI[[#This Row],[Pcode]],CampList[CP_Pcode],0)-1,0,1,1))</f>
        <v/>
      </c>
      <c r="AU1128" s="293" t="str">
        <f>IFERROR(Table_NFI[[#This Row],[Kitchen Set]]/VLOOKUP(Table_NFI[[#This Row],[Camp Name]],CL,4,0),"")</f>
        <v/>
      </c>
      <c r="AV1128" s="466"/>
      <c r="AW1128" s="474"/>
    </row>
    <row r="1129" spans="1:49" ht="14.45" customHeight="1" x14ac:dyDescent="0.25">
      <c r="A1129" s="297" t="str">
        <f t="shared" si="17"/>
        <v/>
      </c>
      <c r="B1129" s="465"/>
      <c r="C1129" s="471"/>
      <c r="D1129" s="471"/>
      <c r="E1129" s="471"/>
      <c r="F1129" s="471"/>
      <c r="G1129" s="471"/>
      <c r="H1129" s="292"/>
      <c r="I1129" s="292"/>
      <c r="J1129" s="292"/>
      <c r="K1129" s="292"/>
      <c r="L1129" s="292"/>
      <c r="M1129" s="292"/>
      <c r="N1129" s="292"/>
      <c r="O1129" s="292"/>
      <c r="P1129" s="294"/>
      <c r="Q1129" s="294"/>
      <c r="R1129" s="294"/>
      <c r="S1129" s="294"/>
      <c r="T1129" s="294"/>
      <c r="U1129" s="294"/>
      <c r="V1129" s="431"/>
      <c r="W1129" s="331"/>
      <c r="X1129" s="331"/>
      <c r="Y1129" s="294">
        <f>IF(NFI_Expiration=1,IF($A1129&lt;VLOOKUP(H$5,NFI,5,0),1,0)*Table_NFI[[#This Row],[Hygiene Kit]],Table_NFI[Hygiene Kit])</f>
        <v>0</v>
      </c>
      <c r="Z1129" s="294">
        <f>IF(NFI_Expiration=1,IF($A1129&lt;VLOOKUP(I$5,NFI,5,0),1,0)*Table_NFI[[#This Row],[NFI Core Kit]],Table_NFI[NFI Core Kit])</f>
        <v>0</v>
      </c>
      <c r="AA1129" s="294">
        <f>IF(NFI_Expiration=1,IF($A1129&lt;VLOOKUP(J$5,NFI,5,0),1,0)*Table_NFI[[#This Row],[Sanitary Kit]],Table_NFI[Sanitary Kit])</f>
        <v>0</v>
      </c>
      <c r="AB1129" s="294">
        <f>IF(NFI_Expiration=1,IF($A1129&lt;VLOOKUP(K$5,NFI,5,0),1,0)*Table_NFI[[#This Row],[Mosquito net]],Table_NFI[Mosquito net])</f>
        <v>0</v>
      </c>
      <c r="AC1129" s="294">
        <f>IF(NFI_Expiration=1,IF($A1129&lt;VLOOKUP(L$5,NFI,5,0),1,0)*Table_NFI[[#This Row],[Tarpaulin]],Table_NFI[[#This Row],[Tarpaulin]])</f>
        <v>0</v>
      </c>
      <c r="AD1129" s="294">
        <f>IF(NFI_Expiration=1,IF($A1129&lt;VLOOKUP(M$5,NFI,5,0),1,0)*Table_NFI[[#This Row],[Blanket]],Table_NFI[[#This Row],[Blanket]])</f>
        <v>0</v>
      </c>
      <c r="AE1129" s="294">
        <f>IF(NFI_Expiration=1,IF($A1129&lt;VLOOKUP(N$5,NFI,5,0),1,0)*Table_NFI[[#This Row],[Kitchen Set]],Table_NFI[Kitchen Set])</f>
        <v>0</v>
      </c>
      <c r="AF1129" s="294">
        <f>IF(NFI_Expiration=1,IF($A1129&lt;VLOOKUP(O$5,NFI,5,0),1,0)*Table_NFI[[#This Row],[Clothes Kit]],Table_NFI[Clothes Kit])</f>
        <v>0</v>
      </c>
      <c r="AG1129" s="294">
        <f>IF(NFI_Expiration=1,IF($A1129&lt;VLOOKUP(P$5,NFI,5,0),1,0)*Table_NFI[[#This Row],[Plastic Bucket]],Table_NFI[Plastic Bucket])</f>
        <v>0</v>
      </c>
      <c r="AH1129" s="294">
        <f>IF(NFI_Expiration=1,IF($A1129&lt;VLOOKUP(Q$5,NFI,5,0),1,0)*Table_NFI[[#This Row],[Plastic Mat]],Table_NFI[Plastic Mat])*IF(Table_NFI[[#This Row],[Distribution Date]]&gt;"2014-04-01",1,2.5)</f>
        <v>0</v>
      </c>
      <c r="AI1129" s="294">
        <f>IF(NFI_Expiration=1,IF($A1129&lt;VLOOKUP(R$5,NFI,5,0),1,0)*Table_NFI[[#This Row],[Winter Clothes Adult]],Table_NFI[Winter Clothes Adult])</f>
        <v>0</v>
      </c>
      <c r="AJ1129" s="294">
        <f>IF(NFI_Expiration=1,IF($A1129&lt;VLOOKUP(S$5,NFI,5,0),1,0)*Table_NFI[[#This Row],[Winter Clothes Children]],Table_NFI[Winter Clothes Children])</f>
        <v>0</v>
      </c>
      <c r="AK1129" s="294">
        <f>IF(NFI_Expiration=1,IF($A1129&lt;VLOOKUP(T$5,NFI,5,0),1,0)*Table_NFI[[#This Row],[Winter Items Other]],Table_NFI[Winter Items Other])</f>
        <v>0</v>
      </c>
      <c r="AL1129" s="294">
        <f>IF(NFI_Expiration=1,IF($A1129&lt;VLOOKUP(M$5,NFI,5,0),1,0)*Table_NFI[[#This Row],[Winter Blanket]],Table_NFI[[#This Row],[Winter Blanket]])</f>
        <v>0</v>
      </c>
      <c r="AM1129" s="294">
        <f>IF(Table_NFI[[#This Row],[Winter Clothes Adult]]+Table_NFI[[#This Row],[Winter Clothes Children]]+Table_NFI[[#This Row],[Winter Items Other]]+Table_NFI[[#This Row],[Winter Blanket]]&gt;0,1,0)</f>
        <v>0</v>
      </c>
      <c r="AN1129" s="331">
        <f>IF(NFI_Expiration=1,IF($A1129&lt;VLOOKUP(V$5,NFI,5,0),1,0)*Table_NFI[[#This Row],[Jerry Can]],Table_NFI[Jerry Can])</f>
        <v>0</v>
      </c>
      <c r="AO1129" s="331">
        <f>IF(NFI_Expiration=1,IF($A1129&lt;VLOOKUP(V$5,NFI,5,0),1,0)*Table_NFI[[#This Row],[Shelter Tool kit]],Table_NFI[Shelter Tool kit])</f>
        <v>0</v>
      </c>
      <c r="AP1129" s="331">
        <f>IF(NFI_Expiration=1,IF($A1129&lt;VLOOKUP(V$5,NFI,5,0),1,0)*Table_NFI[[#This Row],[Tent]],Table_NFI[Tent])</f>
        <v>0</v>
      </c>
      <c r="AQ1129" s="473" t="str">
        <f>IFERROR(VLOOKUP(Table_NFI[[#This Row],[Camp Name]],CL,2,0),"")</f>
        <v/>
      </c>
      <c r="AR1129" s="468" t="str">
        <f ca="1">IF(Table_NFI[[#This Row],[Pcode]]="","",IF(OFFSET(CampList[Opening Date],MATCH(Table_NFI[[#This Row],[Pcode]],CampList[CP_Pcode],0)-1,0,1,1)&gt;=NFI_Monitor_Date,1,0))</f>
        <v/>
      </c>
      <c r="AS1129" s="473" t="str">
        <f>IFERROR(VLOOKUP(Table_NFI[[#This Row],[Camp Name]],CL,3,0),"")</f>
        <v/>
      </c>
      <c r="AT1129" s="294" t="str">
        <f ca="1">IF(Table_NFI[[#This Row],[Pcode]]="","",OFFSET(CampList[Priority],MATCH(Table_NFI[[#This Row],[Pcode]],CampList[CP_Pcode],0)-1,0,1,1))</f>
        <v/>
      </c>
      <c r="AU1129" s="293" t="str">
        <f>IFERROR(Table_NFI[[#This Row],[Kitchen Set]]/VLOOKUP(Table_NFI[[#This Row],[Camp Name]],CL,4,0),"")</f>
        <v/>
      </c>
      <c r="AV1129" s="466"/>
      <c r="AW1129" s="474"/>
    </row>
    <row r="1130" spans="1:49" ht="14.45" customHeight="1" x14ac:dyDescent="0.25">
      <c r="A1130" s="297" t="str">
        <f t="shared" si="17"/>
        <v/>
      </c>
      <c r="B1130" s="465"/>
      <c r="C1130" s="471"/>
      <c r="D1130" s="471"/>
      <c r="E1130" s="471"/>
      <c r="F1130" s="471"/>
      <c r="G1130" s="471"/>
      <c r="H1130" s="292"/>
      <c r="I1130" s="292"/>
      <c r="J1130" s="292"/>
      <c r="K1130" s="292"/>
      <c r="L1130" s="292"/>
      <c r="M1130" s="292"/>
      <c r="N1130" s="292"/>
      <c r="O1130" s="292"/>
      <c r="P1130" s="294"/>
      <c r="Q1130" s="294"/>
      <c r="R1130" s="294"/>
      <c r="S1130" s="294"/>
      <c r="T1130" s="294"/>
      <c r="U1130" s="294"/>
      <c r="V1130" s="431"/>
      <c r="W1130" s="331"/>
      <c r="X1130" s="331"/>
      <c r="Y1130" s="294">
        <f>IF(NFI_Expiration=1,IF($A1130&lt;VLOOKUP(H$5,NFI,5,0),1,0)*Table_NFI[[#This Row],[Hygiene Kit]],Table_NFI[Hygiene Kit])</f>
        <v>0</v>
      </c>
      <c r="Z1130" s="294">
        <f>IF(NFI_Expiration=1,IF($A1130&lt;VLOOKUP(I$5,NFI,5,0),1,0)*Table_NFI[[#This Row],[NFI Core Kit]],Table_NFI[NFI Core Kit])</f>
        <v>0</v>
      </c>
      <c r="AA1130" s="294">
        <f>IF(NFI_Expiration=1,IF($A1130&lt;VLOOKUP(J$5,NFI,5,0),1,0)*Table_NFI[[#This Row],[Sanitary Kit]],Table_NFI[Sanitary Kit])</f>
        <v>0</v>
      </c>
      <c r="AB1130" s="294">
        <f>IF(NFI_Expiration=1,IF($A1130&lt;VLOOKUP(K$5,NFI,5,0),1,0)*Table_NFI[[#This Row],[Mosquito net]],Table_NFI[Mosquito net])</f>
        <v>0</v>
      </c>
      <c r="AC1130" s="294">
        <f>IF(NFI_Expiration=1,IF($A1130&lt;VLOOKUP(L$5,NFI,5,0),1,0)*Table_NFI[[#This Row],[Tarpaulin]],Table_NFI[[#This Row],[Tarpaulin]])</f>
        <v>0</v>
      </c>
      <c r="AD1130" s="294">
        <f>IF(NFI_Expiration=1,IF($A1130&lt;VLOOKUP(M$5,NFI,5,0),1,0)*Table_NFI[[#This Row],[Blanket]],Table_NFI[[#This Row],[Blanket]])</f>
        <v>0</v>
      </c>
      <c r="AE1130" s="294">
        <f>IF(NFI_Expiration=1,IF($A1130&lt;VLOOKUP(N$5,NFI,5,0),1,0)*Table_NFI[[#This Row],[Kitchen Set]],Table_NFI[Kitchen Set])</f>
        <v>0</v>
      </c>
      <c r="AF1130" s="294">
        <f>IF(NFI_Expiration=1,IF($A1130&lt;VLOOKUP(O$5,NFI,5,0),1,0)*Table_NFI[[#This Row],[Clothes Kit]],Table_NFI[Clothes Kit])</f>
        <v>0</v>
      </c>
      <c r="AG1130" s="294">
        <f>IF(NFI_Expiration=1,IF($A1130&lt;VLOOKUP(P$5,NFI,5,0),1,0)*Table_NFI[[#This Row],[Plastic Bucket]],Table_NFI[Plastic Bucket])</f>
        <v>0</v>
      </c>
      <c r="AH1130" s="294">
        <f>IF(NFI_Expiration=1,IF($A1130&lt;VLOOKUP(Q$5,NFI,5,0),1,0)*Table_NFI[[#This Row],[Plastic Mat]],Table_NFI[Plastic Mat])*IF(Table_NFI[[#This Row],[Distribution Date]]&gt;"2014-04-01",1,2.5)</f>
        <v>0</v>
      </c>
      <c r="AI1130" s="294">
        <f>IF(NFI_Expiration=1,IF($A1130&lt;VLOOKUP(R$5,NFI,5,0),1,0)*Table_NFI[[#This Row],[Winter Clothes Adult]],Table_NFI[Winter Clothes Adult])</f>
        <v>0</v>
      </c>
      <c r="AJ1130" s="294">
        <f>IF(NFI_Expiration=1,IF($A1130&lt;VLOOKUP(S$5,NFI,5,0),1,0)*Table_NFI[[#This Row],[Winter Clothes Children]],Table_NFI[Winter Clothes Children])</f>
        <v>0</v>
      </c>
      <c r="AK1130" s="294">
        <f>IF(NFI_Expiration=1,IF($A1130&lt;VLOOKUP(T$5,NFI,5,0),1,0)*Table_NFI[[#This Row],[Winter Items Other]],Table_NFI[Winter Items Other])</f>
        <v>0</v>
      </c>
      <c r="AL1130" s="294">
        <f>IF(NFI_Expiration=1,IF($A1130&lt;VLOOKUP(M$5,NFI,5,0),1,0)*Table_NFI[[#This Row],[Winter Blanket]],Table_NFI[[#This Row],[Winter Blanket]])</f>
        <v>0</v>
      </c>
      <c r="AM1130" s="294">
        <f>IF(Table_NFI[[#This Row],[Winter Clothes Adult]]+Table_NFI[[#This Row],[Winter Clothes Children]]+Table_NFI[[#This Row],[Winter Items Other]]+Table_NFI[[#This Row],[Winter Blanket]]&gt;0,1,0)</f>
        <v>0</v>
      </c>
      <c r="AN1130" s="331">
        <f>IF(NFI_Expiration=1,IF($A1130&lt;VLOOKUP(V$5,NFI,5,0),1,0)*Table_NFI[[#This Row],[Jerry Can]],Table_NFI[Jerry Can])</f>
        <v>0</v>
      </c>
      <c r="AO1130" s="331">
        <f>IF(NFI_Expiration=1,IF($A1130&lt;VLOOKUP(V$5,NFI,5,0),1,0)*Table_NFI[[#This Row],[Shelter Tool kit]],Table_NFI[Shelter Tool kit])</f>
        <v>0</v>
      </c>
      <c r="AP1130" s="331">
        <f>IF(NFI_Expiration=1,IF($A1130&lt;VLOOKUP(V$5,NFI,5,0),1,0)*Table_NFI[[#This Row],[Tent]],Table_NFI[Tent])</f>
        <v>0</v>
      </c>
      <c r="AQ1130" s="473" t="str">
        <f>IFERROR(VLOOKUP(Table_NFI[[#This Row],[Camp Name]],CL,2,0),"")</f>
        <v/>
      </c>
      <c r="AR1130" s="468" t="str">
        <f ca="1">IF(Table_NFI[[#This Row],[Pcode]]="","",IF(OFFSET(CampList[Opening Date],MATCH(Table_NFI[[#This Row],[Pcode]],CampList[CP_Pcode],0)-1,0,1,1)&gt;=NFI_Monitor_Date,1,0))</f>
        <v/>
      </c>
      <c r="AS1130" s="473" t="str">
        <f>IFERROR(VLOOKUP(Table_NFI[[#This Row],[Camp Name]],CL,3,0),"")</f>
        <v/>
      </c>
      <c r="AT1130" s="294" t="str">
        <f ca="1">IF(Table_NFI[[#This Row],[Pcode]]="","",OFFSET(CampList[Priority],MATCH(Table_NFI[[#This Row],[Pcode]],CampList[CP_Pcode],0)-1,0,1,1))</f>
        <v/>
      </c>
      <c r="AU1130" s="293" t="str">
        <f>IFERROR(Table_NFI[[#This Row],[Kitchen Set]]/VLOOKUP(Table_NFI[[#This Row],[Camp Name]],CL,4,0),"")</f>
        <v/>
      </c>
      <c r="AV1130" s="466"/>
      <c r="AW1130" s="474"/>
    </row>
    <row r="1131" spans="1:49" ht="14.45" customHeight="1" x14ac:dyDescent="0.25">
      <c r="A1131" s="297" t="str">
        <f t="shared" si="17"/>
        <v/>
      </c>
      <c r="B1131" s="465"/>
      <c r="C1131" s="471"/>
      <c r="D1131" s="471"/>
      <c r="E1131" s="471"/>
      <c r="F1131" s="471"/>
      <c r="G1131" s="471"/>
      <c r="H1131" s="292"/>
      <c r="I1131" s="292"/>
      <c r="J1131" s="292"/>
      <c r="K1131" s="292"/>
      <c r="L1131" s="292"/>
      <c r="M1131" s="292"/>
      <c r="N1131" s="292"/>
      <c r="O1131" s="292"/>
      <c r="P1131" s="294"/>
      <c r="Q1131" s="294"/>
      <c r="R1131" s="294"/>
      <c r="S1131" s="294"/>
      <c r="T1131" s="294"/>
      <c r="U1131" s="294"/>
      <c r="V1131" s="431"/>
      <c r="W1131" s="331"/>
      <c r="X1131" s="331"/>
      <c r="Y1131" s="294">
        <f>IF(NFI_Expiration=1,IF($A1131&lt;VLOOKUP(H$5,NFI,5,0),1,0)*Table_NFI[[#This Row],[Hygiene Kit]],Table_NFI[Hygiene Kit])</f>
        <v>0</v>
      </c>
      <c r="Z1131" s="294">
        <f>IF(NFI_Expiration=1,IF($A1131&lt;VLOOKUP(I$5,NFI,5,0),1,0)*Table_NFI[[#This Row],[NFI Core Kit]],Table_NFI[NFI Core Kit])</f>
        <v>0</v>
      </c>
      <c r="AA1131" s="294">
        <f>IF(NFI_Expiration=1,IF($A1131&lt;VLOOKUP(J$5,NFI,5,0),1,0)*Table_NFI[[#This Row],[Sanitary Kit]],Table_NFI[Sanitary Kit])</f>
        <v>0</v>
      </c>
      <c r="AB1131" s="294">
        <f>IF(NFI_Expiration=1,IF($A1131&lt;VLOOKUP(K$5,NFI,5,0),1,0)*Table_NFI[[#This Row],[Mosquito net]],Table_NFI[Mosquito net])</f>
        <v>0</v>
      </c>
      <c r="AC1131" s="294">
        <f>IF(NFI_Expiration=1,IF($A1131&lt;VLOOKUP(L$5,NFI,5,0),1,0)*Table_NFI[[#This Row],[Tarpaulin]],Table_NFI[[#This Row],[Tarpaulin]])</f>
        <v>0</v>
      </c>
      <c r="AD1131" s="294">
        <f>IF(NFI_Expiration=1,IF($A1131&lt;VLOOKUP(M$5,NFI,5,0),1,0)*Table_NFI[[#This Row],[Blanket]],Table_NFI[[#This Row],[Blanket]])</f>
        <v>0</v>
      </c>
      <c r="AE1131" s="294">
        <f>IF(NFI_Expiration=1,IF($A1131&lt;VLOOKUP(N$5,NFI,5,0),1,0)*Table_NFI[[#This Row],[Kitchen Set]],Table_NFI[Kitchen Set])</f>
        <v>0</v>
      </c>
      <c r="AF1131" s="294">
        <f>IF(NFI_Expiration=1,IF($A1131&lt;VLOOKUP(O$5,NFI,5,0),1,0)*Table_NFI[[#This Row],[Clothes Kit]],Table_NFI[Clothes Kit])</f>
        <v>0</v>
      </c>
      <c r="AG1131" s="294">
        <f>IF(NFI_Expiration=1,IF($A1131&lt;VLOOKUP(P$5,NFI,5,0),1,0)*Table_NFI[[#This Row],[Plastic Bucket]],Table_NFI[Plastic Bucket])</f>
        <v>0</v>
      </c>
      <c r="AH1131" s="294">
        <f>IF(NFI_Expiration=1,IF($A1131&lt;VLOOKUP(Q$5,NFI,5,0),1,0)*Table_NFI[[#This Row],[Plastic Mat]],Table_NFI[Plastic Mat])*IF(Table_NFI[[#This Row],[Distribution Date]]&gt;"2014-04-01",1,2.5)</f>
        <v>0</v>
      </c>
      <c r="AI1131" s="294">
        <f>IF(NFI_Expiration=1,IF($A1131&lt;VLOOKUP(R$5,NFI,5,0),1,0)*Table_NFI[[#This Row],[Winter Clothes Adult]],Table_NFI[Winter Clothes Adult])</f>
        <v>0</v>
      </c>
      <c r="AJ1131" s="294">
        <f>IF(NFI_Expiration=1,IF($A1131&lt;VLOOKUP(S$5,NFI,5,0),1,0)*Table_NFI[[#This Row],[Winter Clothes Children]],Table_NFI[Winter Clothes Children])</f>
        <v>0</v>
      </c>
      <c r="AK1131" s="294">
        <f>IF(NFI_Expiration=1,IF($A1131&lt;VLOOKUP(T$5,NFI,5,0),1,0)*Table_NFI[[#This Row],[Winter Items Other]],Table_NFI[Winter Items Other])</f>
        <v>0</v>
      </c>
      <c r="AL1131" s="294">
        <f>IF(NFI_Expiration=1,IF($A1131&lt;VLOOKUP(M$5,NFI,5,0),1,0)*Table_NFI[[#This Row],[Winter Blanket]],Table_NFI[[#This Row],[Winter Blanket]])</f>
        <v>0</v>
      </c>
      <c r="AM1131" s="294">
        <f>IF(Table_NFI[[#This Row],[Winter Clothes Adult]]+Table_NFI[[#This Row],[Winter Clothes Children]]+Table_NFI[[#This Row],[Winter Items Other]]+Table_NFI[[#This Row],[Winter Blanket]]&gt;0,1,0)</f>
        <v>0</v>
      </c>
      <c r="AN1131" s="331">
        <f>IF(NFI_Expiration=1,IF($A1131&lt;VLOOKUP(V$5,NFI,5,0),1,0)*Table_NFI[[#This Row],[Jerry Can]],Table_NFI[Jerry Can])</f>
        <v>0</v>
      </c>
      <c r="AO1131" s="331">
        <f>IF(NFI_Expiration=1,IF($A1131&lt;VLOOKUP(V$5,NFI,5,0),1,0)*Table_NFI[[#This Row],[Shelter Tool kit]],Table_NFI[Shelter Tool kit])</f>
        <v>0</v>
      </c>
      <c r="AP1131" s="331">
        <f>IF(NFI_Expiration=1,IF($A1131&lt;VLOOKUP(V$5,NFI,5,0),1,0)*Table_NFI[[#This Row],[Tent]],Table_NFI[Tent])</f>
        <v>0</v>
      </c>
      <c r="AQ1131" s="473" t="str">
        <f>IFERROR(VLOOKUP(Table_NFI[[#This Row],[Camp Name]],CL,2,0),"")</f>
        <v/>
      </c>
      <c r="AR1131" s="468" t="str">
        <f ca="1">IF(Table_NFI[[#This Row],[Pcode]]="","",IF(OFFSET(CampList[Opening Date],MATCH(Table_NFI[[#This Row],[Pcode]],CampList[CP_Pcode],0)-1,0,1,1)&gt;=NFI_Monitor_Date,1,0))</f>
        <v/>
      </c>
      <c r="AS1131" s="473" t="str">
        <f>IFERROR(VLOOKUP(Table_NFI[[#This Row],[Camp Name]],CL,3,0),"")</f>
        <v/>
      </c>
      <c r="AT1131" s="294" t="str">
        <f ca="1">IF(Table_NFI[[#This Row],[Pcode]]="","",OFFSET(CampList[Priority],MATCH(Table_NFI[[#This Row],[Pcode]],CampList[CP_Pcode],0)-1,0,1,1))</f>
        <v/>
      </c>
      <c r="AU1131" s="293" t="str">
        <f>IFERROR(Table_NFI[[#This Row],[Kitchen Set]]/VLOOKUP(Table_NFI[[#This Row],[Camp Name]],CL,4,0),"")</f>
        <v/>
      </c>
      <c r="AV1131" s="466"/>
      <c r="AW1131" s="474"/>
    </row>
    <row r="1132" spans="1:49" ht="14.45" customHeight="1" x14ac:dyDescent="0.25">
      <c r="A1132" s="297" t="str">
        <f t="shared" si="17"/>
        <v/>
      </c>
      <c r="B1132" s="465"/>
      <c r="C1132" s="471"/>
      <c r="D1132" s="471"/>
      <c r="E1132" s="471"/>
      <c r="F1132" s="471"/>
      <c r="G1132" s="471"/>
      <c r="H1132" s="292"/>
      <c r="I1132" s="292"/>
      <c r="J1132" s="292"/>
      <c r="K1132" s="292"/>
      <c r="L1132" s="292"/>
      <c r="M1132" s="292"/>
      <c r="N1132" s="292"/>
      <c r="O1132" s="292"/>
      <c r="P1132" s="294"/>
      <c r="Q1132" s="294"/>
      <c r="R1132" s="294"/>
      <c r="S1132" s="294"/>
      <c r="T1132" s="294"/>
      <c r="U1132" s="294"/>
      <c r="V1132" s="431"/>
      <c r="W1132" s="331"/>
      <c r="X1132" s="331"/>
      <c r="Y1132" s="294">
        <f>IF(NFI_Expiration=1,IF($A1132&lt;VLOOKUP(H$5,NFI,5,0),1,0)*Table_NFI[[#This Row],[Hygiene Kit]],Table_NFI[Hygiene Kit])</f>
        <v>0</v>
      </c>
      <c r="Z1132" s="294">
        <f>IF(NFI_Expiration=1,IF($A1132&lt;VLOOKUP(I$5,NFI,5,0),1,0)*Table_NFI[[#This Row],[NFI Core Kit]],Table_NFI[NFI Core Kit])</f>
        <v>0</v>
      </c>
      <c r="AA1132" s="294">
        <f>IF(NFI_Expiration=1,IF($A1132&lt;VLOOKUP(J$5,NFI,5,0),1,0)*Table_NFI[[#This Row],[Sanitary Kit]],Table_NFI[Sanitary Kit])</f>
        <v>0</v>
      </c>
      <c r="AB1132" s="294">
        <f>IF(NFI_Expiration=1,IF($A1132&lt;VLOOKUP(K$5,NFI,5,0),1,0)*Table_NFI[[#This Row],[Mosquito net]],Table_NFI[Mosquito net])</f>
        <v>0</v>
      </c>
      <c r="AC1132" s="294">
        <f>IF(NFI_Expiration=1,IF($A1132&lt;VLOOKUP(L$5,NFI,5,0),1,0)*Table_NFI[[#This Row],[Tarpaulin]],Table_NFI[[#This Row],[Tarpaulin]])</f>
        <v>0</v>
      </c>
      <c r="AD1132" s="294">
        <f>IF(NFI_Expiration=1,IF($A1132&lt;VLOOKUP(M$5,NFI,5,0),1,0)*Table_NFI[[#This Row],[Blanket]],Table_NFI[[#This Row],[Blanket]])</f>
        <v>0</v>
      </c>
      <c r="AE1132" s="294">
        <f>IF(NFI_Expiration=1,IF($A1132&lt;VLOOKUP(N$5,NFI,5,0),1,0)*Table_NFI[[#This Row],[Kitchen Set]],Table_NFI[Kitchen Set])</f>
        <v>0</v>
      </c>
      <c r="AF1132" s="294">
        <f>IF(NFI_Expiration=1,IF($A1132&lt;VLOOKUP(O$5,NFI,5,0),1,0)*Table_NFI[[#This Row],[Clothes Kit]],Table_NFI[Clothes Kit])</f>
        <v>0</v>
      </c>
      <c r="AG1132" s="294">
        <f>IF(NFI_Expiration=1,IF($A1132&lt;VLOOKUP(P$5,NFI,5,0),1,0)*Table_NFI[[#This Row],[Plastic Bucket]],Table_NFI[Plastic Bucket])</f>
        <v>0</v>
      </c>
      <c r="AH1132" s="294">
        <f>IF(NFI_Expiration=1,IF($A1132&lt;VLOOKUP(Q$5,NFI,5,0),1,0)*Table_NFI[[#This Row],[Plastic Mat]],Table_NFI[Plastic Mat])*IF(Table_NFI[[#This Row],[Distribution Date]]&gt;"2014-04-01",1,2.5)</f>
        <v>0</v>
      </c>
      <c r="AI1132" s="294">
        <f>IF(NFI_Expiration=1,IF($A1132&lt;VLOOKUP(R$5,NFI,5,0),1,0)*Table_NFI[[#This Row],[Winter Clothes Adult]],Table_NFI[Winter Clothes Adult])</f>
        <v>0</v>
      </c>
      <c r="AJ1132" s="294">
        <f>IF(NFI_Expiration=1,IF($A1132&lt;VLOOKUP(S$5,NFI,5,0),1,0)*Table_NFI[[#This Row],[Winter Clothes Children]],Table_NFI[Winter Clothes Children])</f>
        <v>0</v>
      </c>
      <c r="AK1132" s="294">
        <f>IF(NFI_Expiration=1,IF($A1132&lt;VLOOKUP(T$5,NFI,5,0),1,0)*Table_NFI[[#This Row],[Winter Items Other]],Table_NFI[Winter Items Other])</f>
        <v>0</v>
      </c>
      <c r="AL1132" s="294">
        <f>IF(NFI_Expiration=1,IF($A1132&lt;VLOOKUP(M$5,NFI,5,0),1,0)*Table_NFI[[#This Row],[Winter Blanket]],Table_NFI[[#This Row],[Winter Blanket]])</f>
        <v>0</v>
      </c>
      <c r="AM1132" s="294">
        <f>IF(Table_NFI[[#This Row],[Winter Clothes Adult]]+Table_NFI[[#This Row],[Winter Clothes Children]]+Table_NFI[[#This Row],[Winter Items Other]]+Table_NFI[[#This Row],[Winter Blanket]]&gt;0,1,0)</f>
        <v>0</v>
      </c>
      <c r="AN1132" s="331">
        <f>IF(NFI_Expiration=1,IF($A1132&lt;VLOOKUP(V$5,NFI,5,0),1,0)*Table_NFI[[#This Row],[Jerry Can]],Table_NFI[Jerry Can])</f>
        <v>0</v>
      </c>
      <c r="AO1132" s="331">
        <f>IF(NFI_Expiration=1,IF($A1132&lt;VLOOKUP(V$5,NFI,5,0),1,0)*Table_NFI[[#This Row],[Shelter Tool kit]],Table_NFI[Shelter Tool kit])</f>
        <v>0</v>
      </c>
      <c r="AP1132" s="331">
        <f>IF(NFI_Expiration=1,IF($A1132&lt;VLOOKUP(V$5,NFI,5,0),1,0)*Table_NFI[[#This Row],[Tent]],Table_NFI[Tent])</f>
        <v>0</v>
      </c>
      <c r="AQ1132" s="473" t="str">
        <f>IFERROR(VLOOKUP(Table_NFI[[#This Row],[Camp Name]],CL,2,0),"")</f>
        <v/>
      </c>
      <c r="AR1132" s="468" t="str">
        <f ca="1">IF(Table_NFI[[#This Row],[Pcode]]="","",IF(OFFSET(CampList[Opening Date],MATCH(Table_NFI[[#This Row],[Pcode]],CampList[CP_Pcode],0)-1,0,1,1)&gt;=NFI_Monitor_Date,1,0))</f>
        <v/>
      </c>
      <c r="AS1132" s="473" t="str">
        <f>IFERROR(VLOOKUP(Table_NFI[[#This Row],[Camp Name]],CL,3,0),"")</f>
        <v/>
      </c>
      <c r="AT1132" s="294" t="str">
        <f ca="1">IF(Table_NFI[[#This Row],[Pcode]]="","",OFFSET(CampList[Priority],MATCH(Table_NFI[[#This Row],[Pcode]],CampList[CP_Pcode],0)-1,0,1,1))</f>
        <v/>
      </c>
      <c r="AU1132" s="293" t="str">
        <f>IFERROR(Table_NFI[[#This Row],[Kitchen Set]]/VLOOKUP(Table_NFI[[#This Row],[Camp Name]],CL,4,0),"")</f>
        <v/>
      </c>
      <c r="AV1132" s="466"/>
      <c r="AW1132" s="474"/>
    </row>
    <row r="1133" spans="1:49" ht="14.45" customHeight="1" x14ac:dyDescent="0.25">
      <c r="A1133" s="297" t="str">
        <f t="shared" si="17"/>
        <v/>
      </c>
      <c r="B1133" s="465"/>
      <c r="C1133" s="471"/>
      <c r="D1133" s="471"/>
      <c r="E1133" s="471"/>
      <c r="F1133" s="471"/>
      <c r="G1133" s="471"/>
      <c r="H1133" s="292"/>
      <c r="I1133" s="292"/>
      <c r="J1133" s="292"/>
      <c r="K1133" s="292"/>
      <c r="L1133" s="292"/>
      <c r="M1133" s="292"/>
      <c r="N1133" s="292"/>
      <c r="O1133" s="292"/>
      <c r="P1133" s="294"/>
      <c r="Q1133" s="294"/>
      <c r="R1133" s="294"/>
      <c r="S1133" s="294"/>
      <c r="T1133" s="294"/>
      <c r="U1133" s="294"/>
      <c r="V1133" s="431"/>
      <c r="W1133" s="331"/>
      <c r="X1133" s="331"/>
      <c r="Y1133" s="294">
        <f>IF(NFI_Expiration=1,IF($A1133&lt;VLOOKUP(H$5,NFI,5,0),1,0)*Table_NFI[[#This Row],[Hygiene Kit]],Table_NFI[Hygiene Kit])</f>
        <v>0</v>
      </c>
      <c r="Z1133" s="294">
        <f>IF(NFI_Expiration=1,IF($A1133&lt;VLOOKUP(I$5,NFI,5,0),1,0)*Table_NFI[[#This Row],[NFI Core Kit]],Table_NFI[NFI Core Kit])</f>
        <v>0</v>
      </c>
      <c r="AA1133" s="294">
        <f>IF(NFI_Expiration=1,IF($A1133&lt;VLOOKUP(J$5,NFI,5,0),1,0)*Table_NFI[[#This Row],[Sanitary Kit]],Table_NFI[Sanitary Kit])</f>
        <v>0</v>
      </c>
      <c r="AB1133" s="294">
        <f>IF(NFI_Expiration=1,IF($A1133&lt;VLOOKUP(K$5,NFI,5,0),1,0)*Table_NFI[[#This Row],[Mosquito net]],Table_NFI[Mosquito net])</f>
        <v>0</v>
      </c>
      <c r="AC1133" s="294">
        <f>IF(NFI_Expiration=1,IF($A1133&lt;VLOOKUP(L$5,NFI,5,0),1,0)*Table_NFI[[#This Row],[Tarpaulin]],Table_NFI[[#This Row],[Tarpaulin]])</f>
        <v>0</v>
      </c>
      <c r="AD1133" s="294">
        <f>IF(NFI_Expiration=1,IF($A1133&lt;VLOOKUP(M$5,NFI,5,0),1,0)*Table_NFI[[#This Row],[Blanket]],Table_NFI[[#This Row],[Blanket]])</f>
        <v>0</v>
      </c>
      <c r="AE1133" s="294">
        <f>IF(NFI_Expiration=1,IF($A1133&lt;VLOOKUP(N$5,NFI,5,0),1,0)*Table_NFI[[#This Row],[Kitchen Set]],Table_NFI[Kitchen Set])</f>
        <v>0</v>
      </c>
      <c r="AF1133" s="294">
        <f>IF(NFI_Expiration=1,IF($A1133&lt;VLOOKUP(O$5,NFI,5,0),1,0)*Table_NFI[[#This Row],[Clothes Kit]],Table_NFI[Clothes Kit])</f>
        <v>0</v>
      </c>
      <c r="AG1133" s="294">
        <f>IF(NFI_Expiration=1,IF($A1133&lt;VLOOKUP(P$5,NFI,5,0),1,0)*Table_NFI[[#This Row],[Plastic Bucket]],Table_NFI[Plastic Bucket])</f>
        <v>0</v>
      </c>
      <c r="AH1133" s="294">
        <f>IF(NFI_Expiration=1,IF($A1133&lt;VLOOKUP(Q$5,NFI,5,0),1,0)*Table_NFI[[#This Row],[Plastic Mat]],Table_NFI[Plastic Mat])*IF(Table_NFI[[#This Row],[Distribution Date]]&gt;"2014-04-01",1,2.5)</f>
        <v>0</v>
      </c>
      <c r="AI1133" s="294">
        <f>IF(NFI_Expiration=1,IF($A1133&lt;VLOOKUP(R$5,NFI,5,0),1,0)*Table_NFI[[#This Row],[Winter Clothes Adult]],Table_NFI[Winter Clothes Adult])</f>
        <v>0</v>
      </c>
      <c r="AJ1133" s="294">
        <f>IF(NFI_Expiration=1,IF($A1133&lt;VLOOKUP(S$5,NFI,5,0),1,0)*Table_NFI[[#This Row],[Winter Clothes Children]],Table_NFI[Winter Clothes Children])</f>
        <v>0</v>
      </c>
      <c r="AK1133" s="294">
        <f>IF(NFI_Expiration=1,IF($A1133&lt;VLOOKUP(T$5,NFI,5,0),1,0)*Table_NFI[[#This Row],[Winter Items Other]],Table_NFI[Winter Items Other])</f>
        <v>0</v>
      </c>
      <c r="AL1133" s="294">
        <f>IF(NFI_Expiration=1,IF($A1133&lt;VLOOKUP(M$5,NFI,5,0),1,0)*Table_NFI[[#This Row],[Winter Blanket]],Table_NFI[[#This Row],[Winter Blanket]])</f>
        <v>0</v>
      </c>
      <c r="AM1133" s="294">
        <f>IF(Table_NFI[[#This Row],[Winter Clothes Adult]]+Table_NFI[[#This Row],[Winter Clothes Children]]+Table_NFI[[#This Row],[Winter Items Other]]+Table_NFI[[#This Row],[Winter Blanket]]&gt;0,1,0)</f>
        <v>0</v>
      </c>
      <c r="AN1133" s="331">
        <f>IF(NFI_Expiration=1,IF($A1133&lt;VLOOKUP(V$5,NFI,5,0),1,0)*Table_NFI[[#This Row],[Jerry Can]],Table_NFI[Jerry Can])</f>
        <v>0</v>
      </c>
      <c r="AO1133" s="331">
        <f>IF(NFI_Expiration=1,IF($A1133&lt;VLOOKUP(V$5,NFI,5,0),1,0)*Table_NFI[[#This Row],[Shelter Tool kit]],Table_NFI[Shelter Tool kit])</f>
        <v>0</v>
      </c>
      <c r="AP1133" s="331">
        <f>IF(NFI_Expiration=1,IF($A1133&lt;VLOOKUP(V$5,NFI,5,0),1,0)*Table_NFI[[#This Row],[Tent]],Table_NFI[Tent])</f>
        <v>0</v>
      </c>
      <c r="AQ1133" s="473" t="str">
        <f>IFERROR(VLOOKUP(Table_NFI[[#This Row],[Camp Name]],CL,2,0),"")</f>
        <v/>
      </c>
      <c r="AR1133" s="468" t="str">
        <f ca="1">IF(Table_NFI[[#This Row],[Pcode]]="","",IF(OFFSET(CampList[Opening Date],MATCH(Table_NFI[[#This Row],[Pcode]],CampList[CP_Pcode],0)-1,0,1,1)&gt;=NFI_Monitor_Date,1,0))</f>
        <v/>
      </c>
      <c r="AS1133" s="473" t="str">
        <f>IFERROR(VLOOKUP(Table_NFI[[#This Row],[Camp Name]],CL,3,0),"")</f>
        <v/>
      </c>
      <c r="AT1133" s="294" t="str">
        <f ca="1">IF(Table_NFI[[#This Row],[Pcode]]="","",OFFSET(CampList[Priority],MATCH(Table_NFI[[#This Row],[Pcode]],CampList[CP_Pcode],0)-1,0,1,1))</f>
        <v/>
      </c>
      <c r="AU1133" s="293" t="str">
        <f>IFERROR(Table_NFI[[#This Row],[Kitchen Set]]/VLOOKUP(Table_NFI[[#This Row],[Camp Name]],CL,4,0),"")</f>
        <v/>
      </c>
      <c r="AV1133" s="466"/>
      <c r="AW1133" s="474"/>
    </row>
    <row r="1134" spans="1:49" ht="14.45" customHeight="1" x14ac:dyDescent="0.25">
      <c r="A1134" s="297" t="str">
        <f t="shared" si="17"/>
        <v/>
      </c>
      <c r="B1134" s="465"/>
      <c r="C1134" s="471"/>
      <c r="D1134" s="471"/>
      <c r="E1134" s="471"/>
      <c r="F1134" s="471"/>
      <c r="G1134" s="471"/>
      <c r="H1134" s="292"/>
      <c r="I1134" s="292"/>
      <c r="J1134" s="292"/>
      <c r="K1134" s="292"/>
      <c r="L1134" s="292"/>
      <c r="M1134" s="292"/>
      <c r="N1134" s="292"/>
      <c r="O1134" s="292"/>
      <c r="P1134" s="294"/>
      <c r="Q1134" s="294"/>
      <c r="R1134" s="294"/>
      <c r="S1134" s="294"/>
      <c r="T1134" s="294"/>
      <c r="U1134" s="294"/>
      <c r="V1134" s="431"/>
      <c r="W1134" s="331"/>
      <c r="X1134" s="331"/>
      <c r="Y1134" s="294">
        <f>IF(NFI_Expiration=1,IF($A1134&lt;VLOOKUP(H$5,NFI,5,0),1,0)*Table_NFI[[#This Row],[Hygiene Kit]],Table_NFI[Hygiene Kit])</f>
        <v>0</v>
      </c>
      <c r="Z1134" s="294">
        <f>IF(NFI_Expiration=1,IF($A1134&lt;VLOOKUP(I$5,NFI,5,0),1,0)*Table_NFI[[#This Row],[NFI Core Kit]],Table_NFI[NFI Core Kit])</f>
        <v>0</v>
      </c>
      <c r="AA1134" s="294">
        <f>IF(NFI_Expiration=1,IF($A1134&lt;VLOOKUP(J$5,NFI,5,0),1,0)*Table_NFI[[#This Row],[Sanitary Kit]],Table_NFI[Sanitary Kit])</f>
        <v>0</v>
      </c>
      <c r="AB1134" s="294">
        <f>IF(NFI_Expiration=1,IF($A1134&lt;VLOOKUP(K$5,NFI,5,0),1,0)*Table_NFI[[#This Row],[Mosquito net]],Table_NFI[Mosquito net])</f>
        <v>0</v>
      </c>
      <c r="AC1134" s="294">
        <f>IF(NFI_Expiration=1,IF($A1134&lt;VLOOKUP(L$5,NFI,5,0),1,0)*Table_NFI[[#This Row],[Tarpaulin]],Table_NFI[[#This Row],[Tarpaulin]])</f>
        <v>0</v>
      </c>
      <c r="AD1134" s="294">
        <f>IF(NFI_Expiration=1,IF($A1134&lt;VLOOKUP(M$5,NFI,5,0),1,0)*Table_NFI[[#This Row],[Blanket]],Table_NFI[[#This Row],[Blanket]])</f>
        <v>0</v>
      </c>
      <c r="AE1134" s="294">
        <f>IF(NFI_Expiration=1,IF($A1134&lt;VLOOKUP(N$5,NFI,5,0),1,0)*Table_NFI[[#This Row],[Kitchen Set]],Table_NFI[Kitchen Set])</f>
        <v>0</v>
      </c>
      <c r="AF1134" s="294">
        <f>IF(NFI_Expiration=1,IF($A1134&lt;VLOOKUP(O$5,NFI,5,0),1,0)*Table_NFI[[#This Row],[Clothes Kit]],Table_NFI[Clothes Kit])</f>
        <v>0</v>
      </c>
      <c r="AG1134" s="294">
        <f>IF(NFI_Expiration=1,IF($A1134&lt;VLOOKUP(P$5,NFI,5,0),1,0)*Table_NFI[[#This Row],[Plastic Bucket]],Table_NFI[Plastic Bucket])</f>
        <v>0</v>
      </c>
      <c r="AH1134" s="294">
        <f>IF(NFI_Expiration=1,IF($A1134&lt;VLOOKUP(Q$5,NFI,5,0),1,0)*Table_NFI[[#This Row],[Plastic Mat]],Table_NFI[Plastic Mat])*IF(Table_NFI[[#This Row],[Distribution Date]]&gt;"2014-04-01",1,2.5)</f>
        <v>0</v>
      </c>
      <c r="AI1134" s="294">
        <f>IF(NFI_Expiration=1,IF($A1134&lt;VLOOKUP(R$5,NFI,5,0),1,0)*Table_NFI[[#This Row],[Winter Clothes Adult]],Table_NFI[Winter Clothes Adult])</f>
        <v>0</v>
      </c>
      <c r="AJ1134" s="294">
        <f>IF(NFI_Expiration=1,IF($A1134&lt;VLOOKUP(S$5,NFI,5,0),1,0)*Table_NFI[[#This Row],[Winter Clothes Children]],Table_NFI[Winter Clothes Children])</f>
        <v>0</v>
      </c>
      <c r="AK1134" s="294">
        <f>IF(NFI_Expiration=1,IF($A1134&lt;VLOOKUP(T$5,NFI,5,0),1,0)*Table_NFI[[#This Row],[Winter Items Other]],Table_NFI[Winter Items Other])</f>
        <v>0</v>
      </c>
      <c r="AL1134" s="294">
        <f>IF(NFI_Expiration=1,IF($A1134&lt;VLOOKUP(M$5,NFI,5,0),1,0)*Table_NFI[[#This Row],[Winter Blanket]],Table_NFI[[#This Row],[Winter Blanket]])</f>
        <v>0</v>
      </c>
      <c r="AM1134" s="294">
        <f>IF(Table_NFI[[#This Row],[Winter Clothes Adult]]+Table_NFI[[#This Row],[Winter Clothes Children]]+Table_NFI[[#This Row],[Winter Items Other]]+Table_NFI[[#This Row],[Winter Blanket]]&gt;0,1,0)</f>
        <v>0</v>
      </c>
      <c r="AN1134" s="331">
        <f>IF(NFI_Expiration=1,IF($A1134&lt;VLOOKUP(V$5,NFI,5,0),1,0)*Table_NFI[[#This Row],[Jerry Can]],Table_NFI[Jerry Can])</f>
        <v>0</v>
      </c>
      <c r="AO1134" s="331">
        <f>IF(NFI_Expiration=1,IF($A1134&lt;VLOOKUP(V$5,NFI,5,0),1,0)*Table_NFI[[#This Row],[Shelter Tool kit]],Table_NFI[Shelter Tool kit])</f>
        <v>0</v>
      </c>
      <c r="AP1134" s="331">
        <f>IF(NFI_Expiration=1,IF($A1134&lt;VLOOKUP(V$5,NFI,5,0),1,0)*Table_NFI[[#This Row],[Tent]],Table_NFI[Tent])</f>
        <v>0</v>
      </c>
      <c r="AQ1134" s="473" t="str">
        <f>IFERROR(VLOOKUP(Table_NFI[[#This Row],[Camp Name]],CL,2,0),"")</f>
        <v/>
      </c>
      <c r="AR1134" s="468" t="str">
        <f ca="1">IF(Table_NFI[[#This Row],[Pcode]]="","",IF(OFFSET(CampList[Opening Date],MATCH(Table_NFI[[#This Row],[Pcode]],CampList[CP_Pcode],0)-1,0,1,1)&gt;=NFI_Monitor_Date,1,0))</f>
        <v/>
      </c>
      <c r="AS1134" s="473" t="str">
        <f>IFERROR(VLOOKUP(Table_NFI[[#This Row],[Camp Name]],CL,3,0),"")</f>
        <v/>
      </c>
      <c r="AT1134" s="294" t="str">
        <f ca="1">IF(Table_NFI[[#This Row],[Pcode]]="","",OFFSET(CampList[Priority],MATCH(Table_NFI[[#This Row],[Pcode]],CampList[CP_Pcode],0)-1,0,1,1))</f>
        <v/>
      </c>
      <c r="AU1134" s="293" t="str">
        <f>IFERROR(Table_NFI[[#This Row],[Kitchen Set]]/VLOOKUP(Table_NFI[[#This Row],[Camp Name]],CL,4,0),"")</f>
        <v/>
      </c>
      <c r="AV1134" s="466"/>
      <c r="AW1134" s="474"/>
    </row>
    <row r="1135" spans="1:49" ht="14.45" customHeight="1" x14ac:dyDescent="0.25">
      <c r="A1135" s="297" t="str">
        <f t="shared" si="17"/>
        <v/>
      </c>
      <c r="B1135" s="465"/>
      <c r="C1135" s="471"/>
      <c r="D1135" s="471"/>
      <c r="E1135" s="471"/>
      <c r="F1135" s="471"/>
      <c r="G1135" s="471"/>
      <c r="H1135" s="292"/>
      <c r="I1135" s="292"/>
      <c r="J1135" s="292"/>
      <c r="K1135" s="292"/>
      <c r="L1135" s="292"/>
      <c r="M1135" s="292"/>
      <c r="N1135" s="292"/>
      <c r="O1135" s="292"/>
      <c r="P1135" s="294"/>
      <c r="Q1135" s="294"/>
      <c r="R1135" s="294"/>
      <c r="S1135" s="294"/>
      <c r="T1135" s="294"/>
      <c r="U1135" s="294"/>
      <c r="V1135" s="431"/>
      <c r="W1135" s="331"/>
      <c r="X1135" s="331"/>
      <c r="Y1135" s="294">
        <f>IF(NFI_Expiration=1,IF($A1135&lt;VLOOKUP(H$5,NFI,5,0),1,0)*Table_NFI[[#This Row],[Hygiene Kit]],Table_NFI[Hygiene Kit])</f>
        <v>0</v>
      </c>
      <c r="Z1135" s="294">
        <f>IF(NFI_Expiration=1,IF($A1135&lt;VLOOKUP(I$5,NFI,5,0),1,0)*Table_NFI[[#This Row],[NFI Core Kit]],Table_NFI[NFI Core Kit])</f>
        <v>0</v>
      </c>
      <c r="AA1135" s="294">
        <f>IF(NFI_Expiration=1,IF($A1135&lt;VLOOKUP(J$5,NFI,5,0),1,0)*Table_NFI[[#This Row],[Sanitary Kit]],Table_NFI[Sanitary Kit])</f>
        <v>0</v>
      </c>
      <c r="AB1135" s="294">
        <f>IF(NFI_Expiration=1,IF($A1135&lt;VLOOKUP(K$5,NFI,5,0),1,0)*Table_NFI[[#This Row],[Mosquito net]],Table_NFI[Mosquito net])</f>
        <v>0</v>
      </c>
      <c r="AC1135" s="294">
        <f>IF(NFI_Expiration=1,IF($A1135&lt;VLOOKUP(L$5,NFI,5,0),1,0)*Table_NFI[[#This Row],[Tarpaulin]],Table_NFI[[#This Row],[Tarpaulin]])</f>
        <v>0</v>
      </c>
      <c r="AD1135" s="294">
        <f>IF(NFI_Expiration=1,IF($A1135&lt;VLOOKUP(M$5,NFI,5,0),1,0)*Table_NFI[[#This Row],[Blanket]],Table_NFI[[#This Row],[Blanket]])</f>
        <v>0</v>
      </c>
      <c r="AE1135" s="294">
        <f>IF(NFI_Expiration=1,IF($A1135&lt;VLOOKUP(N$5,NFI,5,0),1,0)*Table_NFI[[#This Row],[Kitchen Set]],Table_NFI[Kitchen Set])</f>
        <v>0</v>
      </c>
      <c r="AF1135" s="294">
        <f>IF(NFI_Expiration=1,IF($A1135&lt;VLOOKUP(O$5,NFI,5,0),1,0)*Table_NFI[[#This Row],[Clothes Kit]],Table_NFI[Clothes Kit])</f>
        <v>0</v>
      </c>
      <c r="AG1135" s="294">
        <f>IF(NFI_Expiration=1,IF($A1135&lt;VLOOKUP(P$5,NFI,5,0),1,0)*Table_NFI[[#This Row],[Plastic Bucket]],Table_NFI[Plastic Bucket])</f>
        <v>0</v>
      </c>
      <c r="AH1135" s="294">
        <f>IF(NFI_Expiration=1,IF($A1135&lt;VLOOKUP(Q$5,NFI,5,0),1,0)*Table_NFI[[#This Row],[Plastic Mat]],Table_NFI[Plastic Mat])*IF(Table_NFI[[#This Row],[Distribution Date]]&gt;"2014-04-01",1,2.5)</f>
        <v>0</v>
      </c>
      <c r="AI1135" s="294">
        <f>IF(NFI_Expiration=1,IF($A1135&lt;VLOOKUP(R$5,NFI,5,0),1,0)*Table_NFI[[#This Row],[Winter Clothes Adult]],Table_NFI[Winter Clothes Adult])</f>
        <v>0</v>
      </c>
      <c r="AJ1135" s="294">
        <f>IF(NFI_Expiration=1,IF($A1135&lt;VLOOKUP(S$5,NFI,5,0),1,0)*Table_NFI[[#This Row],[Winter Clothes Children]],Table_NFI[Winter Clothes Children])</f>
        <v>0</v>
      </c>
      <c r="AK1135" s="294">
        <f>IF(NFI_Expiration=1,IF($A1135&lt;VLOOKUP(T$5,NFI,5,0),1,0)*Table_NFI[[#This Row],[Winter Items Other]],Table_NFI[Winter Items Other])</f>
        <v>0</v>
      </c>
      <c r="AL1135" s="294">
        <f>IF(NFI_Expiration=1,IF($A1135&lt;VLOOKUP(M$5,NFI,5,0),1,0)*Table_NFI[[#This Row],[Winter Blanket]],Table_NFI[[#This Row],[Winter Blanket]])</f>
        <v>0</v>
      </c>
      <c r="AM1135" s="294">
        <f>IF(Table_NFI[[#This Row],[Winter Clothes Adult]]+Table_NFI[[#This Row],[Winter Clothes Children]]+Table_NFI[[#This Row],[Winter Items Other]]+Table_NFI[[#This Row],[Winter Blanket]]&gt;0,1,0)</f>
        <v>0</v>
      </c>
      <c r="AN1135" s="331">
        <f>IF(NFI_Expiration=1,IF($A1135&lt;VLOOKUP(V$5,NFI,5,0),1,0)*Table_NFI[[#This Row],[Jerry Can]],Table_NFI[Jerry Can])</f>
        <v>0</v>
      </c>
      <c r="AO1135" s="331">
        <f>IF(NFI_Expiration=1,IF($A1135&lt;VLOOKUP(V$5,NFI,5,0),1,0)*Table_NFI[[#This Row],[Shelter Tool kit]],Table_NFI[Shelter Tool kit])</f>
        <v>0</v>
      </c>
      <c r="AP1135" s="331">
        <f>IF(NFI_Expiration=1,IF($A1135&lt;VLOOKUP(V$5,NFI,5,0),1,0)*Table_NFI[[#This Row],[Tent]],Table_NFI[Tent])</f>
        <v>0</v>
      </c>
      <c r="AQ1135" s="473" t="str">
        <f>IFERROR(VLOOKUP(Table_NFI[[#This Row],[Camp Name]],CL,2,0),"")</f>
        <v/>
      </c>
      <c r="AR1135" s="468" t="str">
        <f ca="1">IF(Table_NFI[[#This Row],[Pcode]]="","",IF(OFFSET(CampList[Opening Date],MATCH(Table_NFI[[#This Row],[Pcode]],CampList[CP_Pcode],0)-1,0,1,1)&gt;=NFI_Monitor_Date,1,0))</f>
        <v/>
      </c>
      <c r="AS1135" s="473" t="str">
        <f>IFERROR(VLOOKUP(Table_NFI[[#This Row],[Camp Name]],CL,3,0),"")</f>
        <v/>
      </c>
      <c r="AT1135" s="294" t="str">
        <f ca="1">IF(Table_NFI[[#This Row],[Pcode]]="","",OFFSET(CampList[Priority],MATCH(Table_NFI[[#This Row],[Pcode]],CampList[CP_Pcode],0)-1,0,1,1))</f>
        <v/>
      </c>
      <c r="AU1135" s="293" t="str">
        <f>IFERROR(Table_NFI[[#This Row],[Kitchen Set]]/VLOOKUP(Table_NFI[[#This Row],[Camp Name]],CL,4,0),"")</f>
        <v/>
      </c>
      <c r="AV1135" s="466"/>
      <c r="AW1135" s="474"/>
    </row>
    <row r="1136" spans="1:49" ht="14.45" customHeight="1" x14ac:dyDescent="0.25">
      <c r="A1136" s="297" t="str">
        <f t="shared" si="17"/>
        <v/>
      </c>
      <c r="B1136" s="465"/>
      <c r="C1136" s="471"/>
      <c r="D1136" s="471"/>
      <c r="E1136" s="471"/>
      <c r="F1136" s="471"/>
      <c r="G1136" s="471"/>
      <c r="H1136" s="292"/>
      <c r="I1136" s="292"/>
      <c r="J1136" s="292"/>
      <c r="K1136" s="292"/>
      <c r="L1136" s="292"/>
      <c r="M1136" s="292"/>
      <c r="N1136" s="292"/>
      <c r="O1136" s="292"/>
      <c r="P1136" s="294"/>
      <c r="Q1136" s="294"/>
      <c r="R1136" s="294"/>
      <c r="S1136" s="294"/>
      <c r="T1136" s="294"/>
      <c r="U1136" s="294"/>
      <c r="V1136" s="431"/>
      <c r="W1136" s="331"/>
      <c r="X1136" s="331"/>
      <c r="Y1136" s="294">
        <f>IF(NFI_Expiration=1,IF($A1136&lt;VLOOKUP(H$5,NFI,5,0),1,0)*Table_NFI[[#This Row],[Hygiene Kit]],Table_NFI[Hygiene Kit])</f>
        <v>0</v>
      </c>
      <c r="Z1136" s="294">
        <f>IF(NFI_Expiration=1,IF($A1136&lt;VLOOKUP(I$5,NFI,5,0),1,0)*Table_NFI[[#This Row],[NFI Core Kit]],Table_NFI[NFI Core Kit])</f>
        <v>0</v>
      </c>
      <c r="AA1136" s="294">
        <f>IF(NFI_Expiration=1,IF($A1136&lt;VLOOKUP(J$5,NFI,5,0),1,0)*Table_NFI[[#This Row],[Sanitary Kit]],Table_NFI[Sanitary Kit])</f>
        <v>0</v>
      </c>
      <c r="AB1136" s="294">
        <f>IF(NFI_Expiration=1,IF($A1136&lt;VLOOKUP(K$5,NFI,5,0),1,0)*Table_NFI[[#This Row],[Mosquito net]],Table_NFI[Mosquito net])</f>
        <v>0</v>
      </c>
      <c r="AC1136" s="294">
        <f>IF(NFI_Expiration=1,IF($A1136&lt;VLOOKUP(L$5,NFI,5,0),1,0)*Table_NFI[[#This Row],[Tarpaulin]],Table_NFI[[#This Row],[Tarpaulin]])</f>
        <v>0</v>
      </c>
      <c r="AD1136" s="294">
        <f>IF(NFI_Expiration=1,IF($A1136&lt;VLOOKUP(M$5,NFI,5,0),1,0)*Table_NFI[[#This Row],[Blanket]],Table_NFI[[#This Row],[Blanket]])</f>
        <v>0</v>
      </c>
      <c r="AE1136" s="294">
        <f>IF(NFI_Expiration=1,IF($A1136&lt;VLOOKUP(N$5,NFI,5,0),1,0)*Table_NFI[[#This Row],[Kitchen Set]],Table_NFI[Kitchen Set])</f>
        <v>0</v>
      </c>
      <c r="AF1136" s="294">
        <f>IF(NFI_Expiration=1,IF($A1136&lt;VLOOKUP(O$5,NFI,5,0),1,0)*Table_NFI[[#This Row],[Clothes Kit]],Table_NFI[Clothes Kit])</f>
        <v>0</v>
      </c>
      <c r="AG1136" s="294">
        <f>IF(NFI_Expiration=1,IF($A1136&lt;VLOOKUP(P$5,NFI,5,0),1,0)*Table_NFI[[#This Row],[Plastic Bucket]],Table_NFI[Plastic Bucket])</f>
        <v>0</v>
      </c>
      <c r="AH1136" s="294">
        <f>IF(NFI_Expiration=1,IF($A1136&lt;VLOOKUP(Q$5,NFI,5,0),1,0)*Table_NFI[[#This Row],[Plastic Mat]],Table_NFI[Plastic Mat])*IF(Table_NFI[[#This Row],[Distribution Date]]&gt;"2014-04-01",1,2.5)</f>
        <v>0</v>
      </c>
      <c r="AI1136" s="294">
        <f>IF(NFI_Expiration=1,IF($A1136&lt;VLOOKUP(R$5,NFI,5,0),1,0)*Table_NFI[[#This Row],[Winter Clothes Adult]],Table_NFI[Winter Clothes Adult])</f>
        <v>0</v>
      </c>
      <c r="AJ1136" s="294">
        <f>IF(NFI_Expiration=1,IF($A1136&lt;VLOOKUP(S$5,NFI,5,0),1,0)*Table_NFI[[#This Row],[Winter Clothes Children]],Table_NFI[Winter Clothes Children])</f>
        <v>0</v>
      </c>
      <c r="AK1136" s="294">
        <f>IF(NFI_Expiration=1,IF($A1136&lt;VLOOKUP(T$5,NFI,5,0),1,0)*Table_NFI[[#This Row],[Winter Items Other]],Table_NFI[Winter Items Other])</f>
        <v>0</v>
      </c>
      <c r="AL1136" s="294">
        <f>IF(NFI_Expiration=1,IF($A1136&lt;VLOOKUP(M$5,NFI,5,0),1,0)*Table_NFI[[#This Row],[Winter Blanket]],Table_NFI[[#This Row],[Winter Blanket]])</f>
        <v>0</v>
      </c>
      <c r="AM1136" s="294">
        <f>IF(Table_NFI[[#This Row],[Winter Clothes Adult]]+Table_NFI[[#This Row],[Winter Clothes Children]]+Table_NFI[[#This Row],[Winter Items Other]]+Table_NFI[[#This Row],[Winter Blanket]]&gt;0,1,0)</f>
        <v>0</v>
      </c>
      <c r="AN1136" s="331">
        <f>IF(NFI_Expiration=1,IF($A1136&lt;VLOOKUP(V$5,NFI,5,0),1,0)*Table_NFI[[#This Row],[Jerry Can]],Table_NFI[Jerry Can])</f>
        <v>0</v>
      </c>
      <c r="AO1136" s="331">
        <f>IF(NFI_Expiration=1,IF($A1136&lt;VLOOKUP(V$5,NFI,5,0),1,0)*Table_NFI[[#This Row],[Shelter Tool kit]],Table_NFI[Shelter Tool kit])</f>
        <v>0</v>
      </c>
      <c r="AP1136" s="331">
        <f>IF(NFI_Expiration=1,IF($A1136&lt;VLOOKUP(V$5,NFI,5,0),1,0)*Table_NFI[[#This Row],[Tent]],Table_NFI[Tent])</f>
        <v>0</v>
      </c>
      <c r="AQ1136" s="473" t="str">
        <f>IFERROR(VLOOKUP(Table_NFI[[#This Row],[Camp Name]],CL,2,0),"")</f>
        <v/>
      </c>
      <c r="AR1136" s="468" t="str">
        <f ca="1">IF(Table_NFI[[#This Row],[Pcode]]="","",IF(OFFSET(CampList[Opening Date],MATCH(Table_NFI[[#This Row],[Pcode]],CampList[CP_Pcode],0)-1,0,1,1)&gt;=NFI_Monitor_Date,1,0))</f>
        <v/>
      </c>
      <c r="AS1136" s="473" t="str">
        <f>IFERROR(VLOOKUP(Table_NFI[[#This Row],[Camp Name]],CL,3,0),"")</f>
        <v/>
      </c>
      <c r="AT1136" s="294" t="str">
        <f ca="1">IF(Table_NFI[[#This Row],[Pcode]]="","",OFFSET(CampList[Priority],MATCH(Table_NFI[[#This Row],[Pcode]],CampList[CP_Pcode],0)-1,0,1,1))</f>
        <v/>
      </c>
      <c r="AU1136" s="293" t="str">
        <f>IFERROR(Table_NFI[[#This Row],[Kitchen Set]]/VLOOKUP(Table_NFI[[#This Row],[Camp Name]],CL,4,0),"")</f>
        <v/>
      </c>
      <c r="AV1136" s="466"/>
      <c r="AW1136" s="474"/>
    </row>
    <row r="1137" spans="1:49" ht="14.45" customHeight="1" x14ac:dyDescent="0.25">
      <c r="A1137" s="297" t="str">
        <f t="shared" si="17"/>
        <v/>
      </c>
      <c r="B1137" s="465"/>
      <c r="C1137" s="471"/>
      <c r="D1137" s="471"/>
      <c r="E1137" s="471"/>
      <c r="F1137" s="471"/>
      <c r="G1137" s="471"/>
      <c r="H1137" s="292"/>
      <c r="I1137" s="292"/>
      <c r="J1137" s="292"/>
      <c r="K1137" s="292"/>
      <c r="L1137" s="292"/>
      <c r="M1137" s="292"/>
      <c r="N1137" s="292"/>
      <c r="O1137" s="292"/>
      <c r="P1137" s="294"/>
      <c r="Q1137" s="294"/>
      <c r="R1137" s="294"/>
      <c r="S1137" s="294"/>
      <c r="T1137" s="294"/>
      <c r="U1137" s="294"/>
      <c r="V1137" s="431"/>
      <c r="W1137" s="331"/>
      <c r="X1137" s="331"/>
      <c r="Y1137" s="294">
        <f>IF(NFI_Expiration=1,IF($A1137&lt;VLOOKUP(H$5,NFI,5,0),1,0)*Table_NFI[[#This Row],[Hygiene Kit]],Table_NFI[Hygiene Kit])</f>
        <v>0</v>
      </c>
      <c r="Z1137" s="294">
        <f>IF(NFI_Expiration=1,IF($A1137&lt;VLOOKUP(I$5,NFI,5,0),1,0)*Table_NFI[[#This Row],[NFI Core Kit]],Table_NFI[NFI Core Kit])</f>
        <v>0</v>
      </c>
      <c r="AA1137" s="294">
        <f>IF(NFI_Expiration=1,IF($A1137&lt;VLOOKUP(J$5,NFI,5,0),1,0)*Table_NFI[[#This Row],[Sanitary Kit]],Table_NFI[Sanitary Kit])</f>
        <v>0</v>
      </c>
      <c r="AB1137" s="294">
        <f>IF(NFI_Expiration=1,IF($A1137&lt;VLOOKUP(K$5,NFI,5,0),1,0)*Table_NFI[[#This Row],[Mosquito net]],Table_NFI[Mosquito net])</f>
        <v>0</v>
      </c>
      <c r="AC1137" s="294">
        <f>IF(NFI_Expiration=1,IF($A1137&lt;VLOOKUP(L$5,NFI,5,0),1,0)*Table_NFI[[#This Row],[Tarpaulin]],Table_NFI[[#This Row],[Tarpaulin]])</f>
        <v>0</v>
      </c>
      <c r="AD1137" s="294">
        <f>IF(NFI_Expiration=1,IF($A1137&lt;VLOOKUP(M$5,NFI,5,0),1,0)*Table_NFI[[#This Row],[Blanket]],Table_NFI[[#This Row],[Blanket]])</f>
        <v>0</v>
      </c>
      <c r="AE1137" s="294">
        <f>IF(NFI_Expiration=1,IF($A1137&lt;VLOOKUP(N$5,NFI,5,0),1,0)*Table_NFI[[#This Row],[Kitchen Set]],Table_NFI[Kitchen Set])</f>
        <v>0</v>
      </c>
      <c r="AF1137" s="294">
        <f>IF(NFI_Expiration=1,IF($A1137&lt;VLOOKUP(O$5,NFI,5,0),1,0)*Table_NFI[[#This Row],[Clothes Kit]],Table_NFI[Clothes Kit])</f>
        <v>0</v>
      </c>
      <c r="AG1137" s="294">
        <f>IF(NFI_Expiration=1,IF($A1137&lt;VLOOKUP(P$5,NFI,5,0),1,0)*Table_NFI[[#This Row],[Plastic Bucket]],Table_NFI[Plastic Bucket])</f>
        <v>0</v>
      </c>
      <c r="AH1137" s="294">
        <f>IF(NFI_Expiration=1,IF($A1137&lt;VLOOKUP(Q$5,NFI,5,0),1,0)*Table_NFI[[#This Row],[Plastic Mat]],Table_NFI[Plastic Mat])*IF(Table_NFI[[#This Row],[Distribution Date]]&gt;"2014-04-01",1,2.5)</f>
        <v>0</v>
      </c>
      <c r="AI1137" s="294">
        <f>IF(NFI_Expiration=1,IF($A1137&lt;VLOOKUP(R$5,NFI,5,0),1,0)*Table_NFI[[#This Row],[Winter Clothes Adult]],Table_NFI[Winter Clothes Adult])</f>
        <v>0</v>
      </c>
      <c r="AJ1137" s="294">
        <f>IF(NFI_Expiration=1,IF($A1137&lt;VLOOKUP(S$5,NFI,5,0),1,0)*Table_NFI[[#This Row],[Winter Clothes Children]],Table_NFI[Winter Clothes Children])</f>
        <v>0</v>
      </c>
      <c r="AK1137" s="294">
        <f>IF(NFI_Expiration=1,IF($A1137&lt;VLOOKUP(T$5,NFI,5,0),1,0)*Table_NFI[[#This Row],[Winter Items Other]],Table_NFI[Winter Items Other])</f>
        <v>0</v>
      </c>
      <c r="AL1137" s="294">
        <f>IF(NFI_Expiration=1,IF($A1137&lt;VLOOKUP(M$5,NFI,5,0),1,0)*Table_NFI[[#This Row],[Winter Blanket]],Table_NFI[[#This Row],[Winter Blanket]])</f>
        <v>0</v>
      </c>
      <c r="AM1137" s="294">
        <f>IF(Table_NFI[[#This Row],[Winter Clothes Adult]]+Table_NFI[[#This Row],[Winter Clothes Children]]+Table_NFI[[#This Row],[Winter Items Other]]+Table_NFI[[#This Row],[Winter Blanket]]&gt;0,1,0)</f>
        <v>0</v>
      </c>
      <c r="AN1137" s="331">
        <f>IF(NFI_Expiration=1,IF($A1137&lt;VLOOKUP(V$5,NFI,5,0),1,0)*Table_NFI[[#This Row],[Jerry Can]],Table_NFI[Jerry Can])</f>
        <v>0</v>
      </c>
      <c r="AO1137" s="331">
        <f>IF(NFI_Expiration=1,IF($A1137&lt;VLOOKUP(V$5,NFI,5,0),1,0)*Table_NFI[[#This Row],[Shelter Tool kit]],Table_NFI[Shelter Tool kit])</f>
        <v>0</v>
      </c>
      <c r="AP1137" s="331">
        <f>IF(NFI_Expiration=1,IF($A1137&lt;VLOOKUP(V$5,NFI,5,0),1,0)*Table_NFI[[#This Row],[Tent]],Table_NFI[Tent])</f>
        <v>0</v>
      </c>
      <c r="AQ1137" s="473" t="str">
        <f>IFERROR(VLOOKUP(Table_NFI[[#This Row],[Camp Name]],CL,2,0),"")</f>
        <v/>
      </c>
      <c r="AR1137" s="468" t="str">
        <f ca="1">IF(Table_NFI[[#This Row],[Pcode]]="","",IF(OFFSET(CampList[Opening Date],MATCH(Table_NFI[[#This Row],[Pcode]],CampList[CP_Pcode],0)-1,0,1,1)&gt;=NFI_Monitor_Date,1,0))</f>
        <v/>
      </c>
      <c r="AS1137" s="473" t="str">
        <f>IFERROR(VLOOKUP(Table_NFI[[#This Row],[Camp Name]],CL,3,0),"")</f>
        <v/>
      </c>
      <c r="AT1137" s="294" t="str">
        <f ca="1">IF(Table_NFI[[#This Row],[Pcode]]="","",OFFSET(CampList[Priority],MATCH(Table_NFI[[#This Row],[Pcode]],CampList[CP_Pcode],0)-1,0,1,1))</f>
        <v/>
      </c>
      <c r="AU1137" s="293" t="str">
        <f>IFERROR(Table_NFI[[#This Row],[Kitchen Set]]/VLOOKUP(Table_NFI[[#This Row],[Camp Name]],CL,4,0),"")</f>
        <v/>
      </c>
      <c r="AV1137" s="466"/>
      <c r="AW1137" s="474"/>
    </row>
    <row r="1138" spans="1:49" ht="14.45" customHeight="1" x14ac:dyDescent="0.25">
      <c r="A1138" s="297" t="str">
        <f t="shared" si="17"/>
        <v/>
      </c>
      <c r="B1138" s="465"/>
      <c r="C1138" s="471"/>
      <c r="D1138" s="471"/>
      <c r="E1138" s="471"/>
      <c r="F1138" s="471"/>
      <c r="G1138" s="471"/>
      <c r="H1138" s="292"/>
      <c r="I1138" s="292"/>
      <c r="J1138" s="292"/>
      <c r="K1138" s="292"/>
      <c r="L1138" s="292"/>
      <c r="M1138" s="292"/>
      <c r="N1138" s="292"/>
      <c r="O1138" s="292"/>
      <c r="P1138" s="294"/>
      <c r="Q1138" s="294"/>
      <c r="R1138" s="294"/>
      <c r="S1138" s="294"/>
      <c r="T1138" s="294"/>
      <c r="U1138" s="294"/>
      <c r="V1138" s="431"/>
      <c r="W1138" s="331"/>
      <c r="X1138" s="331"/>
      <c r="Y1138" s="294">
        <f>IF(NFI_Expiration=1,IF($A1138&lt;VLOOKUP(H$5,NFI,5,0),1,0)*Table_NFI[[#This Row],[Hygiene Kit]],Table_NFI[Hygiene Kit])</f>
        <v>0</v>
      </c>
      <c r="Z1138" s="294">
        <f>IF(NFI_Expiration=1,IF($A1138&lt;VLOOKUP(I$5,NFI,5,0),1,0)*Table_NFI[[#This Row],[NFI Core Kit]],Table_NFI[NFI Core Kit])</f>
        <v>0</v>
      </c>
      <c r="AA1138" s="294">
        <f>IF(NFI_Expiration=1,IF($A1138&lt;VLOOKUP(J$5,NFI,5,0),1,0)*Table_NFI[[#This Row],[Sanitary Kit]],Table_NFI[Sanitary Kit])</f>
        <v>0</v>
      </c>
      <c r="AB1138" s="294">
        <f>IF(NFI_Expiration=1,IF($A1138&lt;VLOOKUP(K$5,NFI,5,0),1,0)*Table_NFI[[#This Row],[Mosquito net]],Table_NFI[Mosquito net])</f>
        <v>0</v>
      </c>
      <c r="AC1138" s="294">
        <f>IF(NFI_Expiration=1,IF($A1138&lt;VLOOKUP(L$5,NFI,5,0),1,0)*Table_NFI[[#This Row],[Tarpaulin]],Table_NFI[[#This Row],[Tarpaulin]])</f>
        <v>0</v>
      </c>
      <c r="AD1138" s="294">
        <f>IF(NFI_Expiration=1,IF($A1138&lt;VLOOKUP(M$5,NFI,5,0),1,0)*Table_NFI[[#This Row],[Blanket]],Table_NFI[[#This Row],[Blanket]])</f>
        <v>0</v>
      </c>
      <c r="AE1138" s="294">
        <f>IF(NFI_Expiration=1,IF($A1138&lt;VLOOKUP(N$5,NFI,5,0),1,0)*Table_NFI[[#This Row],[Kitchen Set]],Table_NFI[Kitchen Set])</f>
        <v>0</v>
      </c>
      <c r="AF1138" s="294">
        <f>IF(NFI_Expiration=1,IF($A1138&lt;VLOOKUP(O$5,NFI,5,0),1,0)*Table_NFI[[#This Row],[Clothes Kit]],Table_NFI[Clothes Kit])</f>
        <v>0</v>
      </c>
      <c r="AG1138" s="294">
        <f>IF(NFI_Expiration=1,IF($A1138&lt;VLOOKUP(P$5,NFI,5,0),1,0)*Table_NFI[[#This Row],[Plastic Bucket]],Table_NFI[Plastic Bucket])</f>
        <v>0</v>
      </c>
      <c r="AH1138" s="294">
        <f>IF(NFI_Expiration=1,IF($A1138&lt;VLOOKUP(Q$5,NFI,5,0),1,0)*Table_NFI[[#This Row],[Plastic Mat]],Table_NFI[Plastic Mat])*IF(Table_NFI[[#This Row],[Distribution Date]]&gt;"2014-04-01",1,2.5)</f>
        <v>0</v>
      </c>
      <c r="AI1138" s="294">
        <f>IF(NFI_Expiration=1,IF($A1138&lt;VLOOKUP(R$5,NFI,5,0),1,0)*Table_NFI[[#This Row],[Winter Clothes Adult]],Table_NFI[Winter Clothes Adult])</f>
        <v>0</v>
      </c>
      <c r="AJ1138" s="294">
        <f>IF(NFI_Expiration=1,IF($A1138&lt;VLOOKUP(S$5,NFI,5,0),1,0)*Table_NFI[[#This Row],[Winter Clothes Children]],Table_NFI[Winter Clothes Children])</f>
        <v>0</v>
      </c>
      <c r="AK1138" s="294">
        <f>IF(NFI_Expiration=1,IF($A1138&lt;VLOOKUP(T$5,NFI,5,0),1,0)*Table_NFI[[#This Row],[Winter Items Other]],Table_NFI[Winter Items Other])</f>
        <v>0</v>
      </c>
      <c r="AL1138" s="294">
        <f>IF(NFI_Expiration=1,IF($A1138&lt;VLOOKUP(M$5,NFI,5,0),1,0)*Table_NFI[[#This Row],[Winter Blanket]],Table_NFI[[#This Row],[Winter Blanket]])</f>
        <v>0</v>
      </c>
      <c r="AM1138" s="294">
        <f>IF(Table_NFI[[#This Row],[Winter Clothes Adult]]+Table_NFI[[#This Row],[Winter Clothes Children]]+Table_NFI[[#This Row],[Winter Items Other]]+Table_NFI[[#This Row],[Winter Blanket]]&gt;0,1,0)</f>
        <v>0</v>
      </c>
      <c r="AN1138" s="331">
        <f>IF(NFI_Expiration=1,IF($A1138&lt;VLOOKUP(V$5,NFI,5,0),1,0)*Table_NFI[[#This Row],[Jerry Can]],Table_NFI[Jerry Can])</f>
        <v>0</v>
      </c>
      <c r="AO1138" s="331">
        <f>IF(NFI_Expiration=1,IF($A1138&lt;VLOOKUP(V$5,NFI,5,0),1,0)*Table_NFI[[#This Row],[Shelter Tool kit]],Table_NFI[Shelter Tool kit])</f>
        <v>0</v>
      </c>
      <c r="AP1138" s="331">
        <f>IF(NFI_Expiration=1,IF($A1138&lt;VLOOKUP(V$5,NFI,5,0),1,0)*Table_NFI[[#This Row],[Tent]],Table_NFI[Tent])</f>
        <v>0</v>
      </c>
      <c r="AQ1138" s="473" t="str">
        <f>IFERROR(VLOOKUP(Table_NFI[[#This Row],[Camp Name]],CL,2,0),"")</f>
        <v/>
      </c>
      <c r="AR1138" s="468" t="str">
        <f ca="1">IF(Table_NFI[[#This Row],[Pcode]]="","",IF(OFFSET(CampList[Opening Date],MATCH(Table_NFI[[#This Row],[Pcode]],CampList[CP_Pcode],0)-1,0,1,1)&gt;=NFI_Monitor_Date,1,0))</f>
        <v/>
      </c>
      <c r="AS1138" s="473" t="str">
        <f>IFERROR(VLOOKUP(Table_NFI[[#This Row],[Camp Name]],CL,3,0),"")</f>
        <v/>
      </c>
      <c r="AT1138" s="294" t="str">
        <f ca="1">IF(Table_NFI[[#This Row],[Pcode]]="","",OFFSET(CampList[Priority],MATCH(Table_NFI[[#This Row],[Pcode]],CampList[CP_Pcode],0)-1,0,1,1))</f>
        <v/>
      </c>
      <c r="AU1138" s="293" t="str">
        <f>IFERROR(Table_NFI[[#This Row],[Kitchen Set]]/VLOOKUP(Table_NFI[[#This Row],[Camp Name]],CL,4,0),"")</f>
        <v/>
      </c>
      <c r="AV1138" s="466"/>
      <c r="AW1138" s="474"/>
    </row>
    <row r="1139" spans="1:49" ht="14.45" customHeight="1" x14ac:dyDescent="0.25">
      <c r="A1139" s="297" t="str">
        <f t="shared" si="17"/>
        <v/>
      </c>
      <c r="B1139" s="465"/>
      <c r="C1139" s="471"/>
      <c r="D1139" s="471"/>
      <c r="E1139" s="471"/>
      <c r="F1139" s="471"/>
      <c r="G1139" s="471"/>
      <c r="H1139" s="292"/>
      <c r="I1139" s="292"/>
      <c r="J1139" s="292"/>
      <c r="K1139" s="292"/>
      <c r="L1139" s="292"/>
      <c r="M1139" s="292"/>
      <c r="N1139" s="292"/>
      <c r="O1139" s="292"/>
      <c r="P1139" s="294"/>
      <c r="Q1139" s="294"/>
      <c r="R1139" s="294"/>
      <c r="S1139" s="294"/>
      <c r="T1139" s="294"/>
      <c r="U1139" s="294"/>
      <c r="V1139" s="431"/>
      <c r="W1139" s="331"/>
      <c r="X1139" s="331"/>
      <c r="Y1139" s="294">
        <f>IF(NFI_Expiration=1,IF($A1139&lt;VLOOKUP(H$5,NFI,5,0),1,0)*Table_NFI[[#This Row],[Hygiene Kit]],Table_NFI[Hygiene Kit])</f>
        <v>0</v>
      </c>
      <c r="Z1139" s="294">
        <f>IF(NFI_Expiration=1,IF($A1139&lt;VLOOKUP(I$5,NFI,5,0),1,0)*Table_NFI[[#This Row],[NFI Core Kit]],Table_NFI[NFI Core Kit])</f>
        <v>0</v>
      </c>
      <c r="AA1139" s="294">
        <f>IF(NFI_Expiration=1,IF($A1139&lt;VLOOKUP(J$5,NFI,5,0),1,0)*Table_NFI[[#This Row],[Sanitary Kit]],Table_NFI[Sanitary Kit])</f>
        <v>0</v>
      </c>
      <c r="AB1139" s="294">
        <f>IF(NFI_Expiration=1,IF($A1139&lt;VLOOKUP(K$5,NFI,5,0),1,0)*Table_NFI[[#This Row],[Mosquito net]],Table_NFI[Mosquito net])</f>
        <v>0</v>
      </c>
      <c r="AC1139" s="294">
        <f>IF(NFI_Expiration=1,IF($A1139&lt;VLOOKUP(L$5,NFI,5,0),1,0)*Table_NFI[[#This Row],[Tarpaulin]],Table_NFI[[#This Row],[Tarpaulin]])</f>
        <v>0</v>
      </c>
      <c r="AD1139" s="294">
        <f>IF(NFI_Expiration=1,IF($A1139&lt;VLOOKUP(M$5,NFI,5,0),1,0)*Table_NFI[[#This Row],[Blanket]],Table_NFI[[#This Row],[Blanket]])</f>
        <v>0</v>
      </c>
      <c r="AE1139" s="294">
        <f>IF(NFI_Expiration=1,IF($A1139&lt;VLOOKUP(N$5,NFI,5,0),1,0)*Table_NFI[[#This Row],[Kitchen Set]],Table_NFI[Kitchen Set])</f>
        <v>0</v>
      </c>
      <c r="AF1139" s="294">
        <f>IF(NFI_Expiration=1,IF($A1139&lt;VLOOKUP(O$5,NFI,5,0),1,0)*Table_NFI[[#This Row],[Clothes Kit]],Table_NFI[Clothes Kit])</f>
        <v>0</v>
      </c>
      <c r="AG1139" s="294">
        <f>IF(NFI_Expiration=1,IF($A1139&lt;VLOOKUP(P$5,NFI,5,0),1,0)*Table_NFI[[#This Row],[Plastic Bucket]],Table_NFI[Plastic Bucket])</f>
        <v>0</v>
      </c>
      <c r="AH1139" s="294">
        <f>IF(NFI_Expiration=1,IF($A1139&lt;VLOOKUP(Q$5,NFI,5,0),1,0)*Table_NFI[[#This Row],[Plastic Mat]],Table_NFI[Plastic Mat])*IF(Table_NFI[[#This Row],[Distribution Date]]&gt;"2014-04-01",1,2.5)</f>
        <v>0</v>
      </c>
      <c r="AI1139" s="294">
        <f>IF(NFI_Expiration=1,IF($A1139&lt;VLOOKUP(R$5,NFI,5,0),1,0)*Table_NFI[[#This Row],[Winter Clothes Adult]],Table_NFI[Winter Clothes Adult])</f>
        <v>0</v>
      </c>
      <c r="AJ1139" s="294">
        <f>IF(NFI_Expiration=1,IF($A1139&lt;VLOOKUP(S$5,NFI,5,0),1,0)*Table_NFI[[#This Row],[Winter Clothes Children]],Table_NFI[Winter Clothes Children])</f>
        <v>0</v>
      </c>
      <c r="AK1139" s="294">
        <f>IF(NFI_Expiration=1,IF($A1139&lt;VLOOKUP(T$5,NFI,5,0),1,0)*Table_NFI[[#This Row],[Winter Items Other]],Table_NFI[Winter Items Other])</f>
        <v>0</v>
      </c>
      <c r="AL1139" s="294">
        <f>IF(NFI_Expiration=1,IF($A1139&lt;VLOOKUP(M$5,NFI,5,0),1,0)*Table_NFI[[#This Row],[Winter Blanket]],Table_NFI[[#This Row],[Winter Blanket]])</f>
        <v>0</v>
      </c>
      <c r="AM1139" s="294">
        <f>IF(Table_NFI[[#This Row],[Winter Clothes Adult]]+Table_NFI[[#This Row],[Winter Clothes Children]]+Table_NFI[[#This Row],[Winter Items Other]]+Table_NFI[[#This Row],[Winter Blanket]]&gt;0,1,0)</f>
        <v>0</v>
      </c>
      <c r="AN1139" s="331">
        <f>IF(NFI_Expiration=1,IF($A1139&lt;VLOOKUP(V$5,NFI,5,0),1,0)*Table_NFI[[#This Row],[Jerry Can]],Table_NFI[Jerry Can])</f>
        <v>0</v>
      </c>
      <c r="AO1139" s="331">
        <f>IF(NFI_Expiration=1,IF($A1139&lt;VLOOKUP(V$5,NFI,5,0),1,0)*Table_NFI[[#This Row],[Shelter Tool kit]],Table_NFI[Shelter Tool kit])</f>
        <v>0</v>
      </c>
      <c r="AP1139" s="331">
        <f>IF(NFI_Expiration=1,IF($A1139&lt;VLOOKUP(V$5,NFI,5,0),1,0)*Table_NFI[[#This Row],[Tent]],Table_NFI[Tent])</f>
        <v>0</v>
      </c>
      <c r="AQ1139" s="473" t="str">
        <f>IFERROR(VLOOKUP(Table_NFI[[#This Row],[Camp Name]],CL,2,0),"")</f>
        <v/>
      </c>
      <c r="AR1139" s="468" t="str">
        <f ca="1">IF(Table_NFI[[#This Row],[Pcode]]="","",IF(OFFSET(CampList[Opening Date],MATCH(Table_NFI[[#This Row],[Pcode]],CampList[CP_Pcode],0)-1,0,1,1)&gt;=NFI_Monitor_Date,1,0))</f>
        <v/>
      </c>
      <c r="AS1139" s="473" t="str">
        <f>IFERROR(VLOOKUP(Table_NFI[[#This Row],[Camp Name]],CL,3,0),"")</f>
        <v/>
      </c>
      <c r="AT1139" s="294" t="str">
        <f ca="1">IF(Table_NFI[[#This Row],[Pcode]]="","",OFFSET(CampList[Priority],MATCH(Table_NFI[[#This Row],[Pcode]],CampList[CP_Pcode],0)-1,0,1,1))</f>
        <v/>
      </c>
      <c r="AU1139" s="293" t="str">
        <f>IFERROR(Table_NFI[[#This Row],[Kitchen Set]]/VLOOKUP(Table_NFI[[#This Row],[Camp Name]],CL,4,0),"")</f>
        <v/>
      </c>
      <c r="AV1139" s="466"/>
      <c r="AW1139" s="474"/>
    </row>
    <row r="1140" spans="1:49" ht="14.45" customHeight="1" x14ac:dyDescent="0.25">
      <c r="A1140" s="297" t="str">
        <f t="shared" si="17"/>
        <v/>
      </c>
      <c r="B1140" s="465"/>
      <c r="C1140" s="471"/>
      <c r="D1140" s="471"/>
      <c r="E1140" s="471"/>
      <c r="F1140" s="471"/>
      <c r="G1140" s="471"/>
      <c r="H1140" s="292"/>
      <c r="I1140" s="292"/>
      <c r="J1140" s="292"/>
      <c r="K1140" s="292"/>
      <c r="L1140" s="292"/>
      <c r="M1140" s="292"/>
      <c r="N1140" s="292"/>
      <c r="O1140" s="292"/>
      <c r="P1140" s="294"/>
      <c r="Q1140" s="294"/>
      <c r="R1140" s="294"/>
      <c r="S1140" s="294"/>
      <c r="T1140" s="294"/>
      <c r="U1140" s="294"/>
      <c r="V1140" s="431"/>
      <c r="W1140" s="331"/>
      <c r="X1140" s="331"/>
      <c r="Y1140" s="294">
        <f>IF(NFI_Expiration=1,IF($A1140&lt;VLOOKUP(H$5,NFI,5,0),1,0)*Table_NFI[[#This Row],[Hygiene Kit]],Table_NFI[Hygiene Kit])</f>
        <v>0</v>
      </c>
      <c r="Z1140" s="294">
        <f>IF(NFI_Expiration=1,IF($A1140&lt;VLOOKUP(I$5,NFI,5,0),1,0)*Table_NFI[[#This Row],[NFI Core Kit]],Table_NFI[NFI Core Kit])</f>
        <v>0</v>
      </c>
      <c r="AA1140" s="294">
        <f>IF(NFI_Expiration=1,IF($A1140&lt;VLOOKUP(J$5,NFI,5,0),1,0)*Table_NFI[[#This Row],[Sanitary Kit]],Table_NFI[Sanitary Kit])</f>
        <v>0</v>
      </c>
      <c r="AB1140" s="294">
        <f>IF(NFI_Expiration=1,IF($A1140&lt;VLOOKUP(K$5,NFI,5,0),1,0)*Table_NFI[[#This Row],[Mosquito net]],Table_NFI[Mosquito net])</f>
        <v>0</v>
      </c>
      <c r="AC1140" s="294">
        <f>IF(NFI_Expiration=1,IF($A1140&lt;VLOOKUP(L$5,NFI,5,0),1,0)*Table_NFI[[#This Row],[Tarpaulin]],Table_NFI[[#This Row],[Tarpaulin]])</f>
        <v>0</v>
      </c>
      <c r="AD1140" s="294">
        <f>IF(NFI_Expiration=1,IF($A1140&lt;VLOOKUP(M$5,NFI,5,0),1,0)*Table_NFI[[#This Row],[Blanket]],Table_NFI[[#This Row],[Blanket]])</f>
        <v>0</v>
      </c>
      <c r="AE1140" s="294">
        <f>IF(NFI_Expiration=1,IF($A1140&lt;VLOOKUP(N$5,NFI,5,0),1,0)*Table_NFI[[#This Row],[Kitchen Set]],Table_NFI[Kitchen Set])</f>
        <v>0</v>
      </c>
      <c r="AF1140" s="294">
        <f>IF(NFI_Expiration=1,IF($A1140&lt;VLOOKUP(O$5,NFI,5,0),1,0)*Table_NFI[[#This Row],[Clothes Kit]],Table_NFI[Clothes Kit])</f>
        <v>0</v>
      </c>
      <c r="AG1140" s="294">
        <f>IF(NFI_Expiration=1,IF($A1140&lt;VLOOKUP(P$5,NFI,5,0),1,0)*Table_NFI[[#This Row],[Plastic Bucket]],Table_NFI[Plastic Bucket])</f>
        <v>0</v>
      </c>
      <c r="AH1140" s="294">
        <f>IF(NFI_Expiration=1,IF($A1140&lt;VLOOKUP(Q$5,NFI,5,0),1,0)*Table_NFI[[#This Row],[Plastic Mat]],Table_NFI[Plastic Mat])*IF(Table_NFI[[#This Row],[Distribution Date]]&gt;"2014-04-01",1,2.5)</f>
        <v>0</v>
      </c>
      <c r="AI1140" s="294">
        <f>IF(NFI_Expiration=1,IF($A1140&lt;VLOOKUP(R$5,NFI,5,0),1,0)*Table_NFI[[#This Row],[Winter Clothes Adult]],Table_NFI[Winter Clothes Adult])</f>
        <v>0</v>
      </c>
      <c r="AJ1140" s="294">
        <f>IF(NFI_Expiration=1,IF($A1140&lt;VLOOKUP(S$5,NFI,5,0),1,0)*Table_NFI[[#This Row],[Winter Clothes Children]],Table_NFI[Winter Clothes Children])</f>
        <v>0</v>
      </c>
      <c r="AK1140" s="294">
        <f>IF(NFI_Expiration=1,IF($A1140&lt;VLOOKUP(T$5,NFI,5,0),1,0)*Table_NFI[[#This Row],[Winter Items Other]],Table_NFI[Winter Items Other])</f>
        <v>0</v>
      </c>
      <c r="AL1140" s="294">
        <f>IF(NFI_Expiration=1,IF($A1140&lt;VLOOKUP(M$5,NFI,5,0),1,0)*Table_NFI[[#This Row],[Winter Blanket]],Table_NFI[[#This Row],[Winter Blanket]])</f>
        <v>0</v>
      </c>
      <c r="AM1140" s="294">
        <f>IF(Table_NFI[[#This Row],[Winter Clothes Adult]]+Table_NFI[[#This Row],[Winter Clothes Children]]+Table_NFI[[#This Row],[Winter Items Other]]+Table_NFI[[#This Row],[Winter Blanket]]&gt;0,1,0)</f>
        <v>0</v>
      </c>
      <c r="AN1140" s="331">
        <f>IF(NFI_Expiration=1,IF($A1140&lt;VLOOKUP(V$5,NFI,5,0),1,0)*Table_NFI[[#This Row],[Jerry Can]],Table_NFI[Jerry Can])</f>
        <v>0</v>
      </c>
      <c r="AO1140" s="331">
        <f>IF(NFI_Expiration=1,IF($A1140&lt;VLOOKUP(V$5,NFI,5,0),1,0)*Table_NFI[[#This Row],[Shelter Tool kit]],Table_NFI[Shelter Tool kit])</f>
        <v>0</v>
      </c>
      <c r="AP1140" s="331">
        <f>IF(NFI_Expiration=1,IF($A1140&lt;VLOOKUP(V$5,NFI,5,0),1,0)*Table_NFI[[#This Row],[Tent]],Table_NFI[Tent])</f>
        <v>0</v>
      </c>
      <c r="AQ1140" s="473" t="str">
        <f>IFERROR(VLOOKUP(Table_NFI[[#This Row],[Camp Name]],CL,2,0),"")</f>
        <v/>
      </c>
      <c r="AR1140" s="468" t="str">
        <f ca="1">IF(Table_NFI[[#This Row],[Pcode]]="","",IF(OFFSET(CampList[Opening Date],MATCH(Table_NFI[[#This Row],[Pcode]],CampList[CP_Pcode],0)-1,0,1,1)&gt;=NFI_Monitor_Date,1,0))</f>
        <v/>
      </c>
      <c r="AS1140" s="473" t="str">
        <f>IFERROR(VLOOKUP(Table_NFI[[#This Row],[Camp Name]],CL,3,0),"")</f>
        <v/>
      </c>
      <c r="AT1140" s="294" t="str">
        <f ca="1">IF(Table_NFI[[#This Row],[Pcode]]="","",OFFSET(CampList[Priority],MATCH(Table_NFI[[#This Row],[Pcode]],CampList[CP_Pcode],0)-1,0,1,1))</f>
        <v/>
      </c>
      <c r="AU1140" s="293" t="str">
        <f>IFERROR(Table_NFI[[#This Row],[Kitchen Set]]/VLOOKUP(Table_NFI[[#This Row],[Camp Name]],CL,4,0),"")</f>
        <v/>
      </c>
      <c r="AV1140" s="466"/>
      <c r="AW1140" s="474"/>
    </row>
    <row r="1141" spans="1:49" ht="14.45" customHeight="1" x14ac:dyDescent="0.25">
      <c r="A1141" s="297" t="str">
        <f t="shared" si="17"/>
        <v/>
      </c>
      <c r="B1141" s="465"/>
      <c r="C1141" s="471"/>
      <c r="D1141" s="471"/>
      <c r="E1141" s="471"/>
      <c r="F1141" s="471"/>
      <c r="G1141" s="471"/>
      <c r="H1141" s="292"/>
      <c r="I1141" s="292"/>
      <c r="J1141" s="292"/>
      <c r="K1141" s="292"/>
      <c r="L1141" s="292"/>
      <c r="M1141" s="292"/>
      <c r="N1141" s="292"/>
      <c r="O1141" s="292"/>
      <c r="P1141" s="294"/>
      <c r="Q1141" s="294"/>
      <c r="R1141" s="294"/>
      <c r="S1141" s="294"/>
      <c r="T1141" s="294"/>
      <c r="U1141" s="294"/>
      <c r="V1141" s="431"/>
      <c r="W1141" s="331"/>
      <c r="X1141" s="331"/>
      <c r="Y1141" s="294">
        <f>IF(NFI_Expiration=1,IF($A1141&lt;VLOOKUP(H$5,NFI,5,0),1,0)*Table_NFI[[#This Row],[Hygiene Kit]],Table_NFI[Hygiene Kit])</f>
        <v>0</v>
      </c>
      <c r="Z1141" s="294">
        <f>IF(NFI_Expiration=1,IF($A1141&lt;VLOOKUP(I$5,NFI,5,0),1,0)*Table_NFI[[#This Row],[NFI Core Kit]],Table_NFI[NFI Core Kit])</f>
        <v>0</v>
      </c>
      <c r="AA1141" s="294">
        <f>IF(NFI_Expiration=1,IF($A1141&lt;VLOOKUP(J$5,NFI,5,0),1,0)*Table_NFI[[#This Row],[Sanitary Kit]],Table_NFI[Sanitary Kit])</f>
        <v>0</v>
      </c>
      <c r="AB1141" s="294">
        <f>IF(NFI_Expiration=1,IF($A1141&lt;VLOOKUP(K$5,NFI,5,0),1,0)*Table_NFI[[#This Row],[Mosquito net]],Table_NFI[Mosquito net])</f>
        <v>0</v>
      </c>
      <c r="AC1141" s="294">
        <f>IF(NFI_Expiration=1,IF($A1141&lt;VLOOKUP(L$5,NFI,5,0),1,0)*Table_NFI[[#This Row],[Tarpaulin]],Table_NFI[[#This Row],[Tarpaulin]])</f>
        <v>0</v>
      </c>
      <c r="AD1141" s="294">
        <f>IF(NFI_Expiration=1,IF($A1141&lt;VLOOKUP(M$5,NFI,5,0),1,0)*Table_NFI[[#This Row],[Blanket]],Table_NFI[[#This Row],[Blanket]])</f>
        <v>0</v>
      </c>
      <c r="AE1141" s="294">
        <f>IF(NFI_Expiration=1,IF($A1141&lt;VLOOKUP(N$5,NFI,5,0),1,0)*Table_NFI[[#This Row],[Kitchen Set]],Table_NFI[Kitchen Set])</f>
        <v>0</v>
      </c>
      <c r="AF1141" s="294">
        <f>IF(NFI_Expiration=1,IF($A1141&lt;VLOOKUP(O$5,NFI,5,0),1,0)*Table_NFI[[#This Row],[Clothes Kit]],Table_NFI[Clothes Kit])</f>
        <v>0</v>
      </c>
      <c r="AG1141" s="294">
        <f>IF(NFI_Expiration=1,IF($A1141&lt;VLOOKUP(P$5,NFI,5,0),1,0)*Table_NFI[[#This Row],[Plastic Bucket]],Table_NFI[Plastic Bucket])</f>
        <v>0</v>
      </c>
      <c r="AH1141" s="294">
        <f>IF(NFI_Expiration=1,IF($A1141&lt;VLOOKUP(Q$5,NFI,5,0),1,0)*Table_NFI[[#This Row],[Plastic Mat]],Table_NFI[Plastic Mat])*IF(Table_NFI[[#This Row],[Distribution Date]]&gt;"2014-04-01",1,2.5)</f>
        <v>0</v>
      </c>
      <c r="AI1141" s="294">
        <f>IF(NFI_Expiration=1,IF($A1141&lt;VLOOKUP(R$5,NFI,5,0),1,0)*Table_NFI[[#This Row],[Winter Clothes Adult]],Table_NFI[Winter Clothes Adult])</f>
        <v>0</v>
      </c>
      <c r="AJ1141" s="294">
        <f>IF(NFI_Expiration=1,IF($A1141&lt;VLOOKUP(S$5,NFI,5,0),1,0)*Table_NFI[[#This Row],[Winter Clothes Children]],Table_NFI[Winter Clothes Children])</f>
        <v>0</v>
      </c>
      <c r="AK1141" s="294">
        <f>IF(NFI_Expiration=1,IF($A1141&lt;VLOOKUP(T$5,NFI,5,0),1,0)*Table_NFI[[#This Row],[Winter Items Other]],Table_NFI[Winter Items Other])</f>
        <v>0</v>
      </c>
      <c r="AL1141" s="294">
        <f>IF(NFI_Expiration=1,IF($A1141&lt;VLOOKUP(M$5,NFI,5,0),1,0)*Table_NFI[[#This Row],[Winter Blanket]],Table_NFI[[#This Row],[Winter Blanket]])</f>
        <v>0</v>
      </c>
      <c r="AM1141" s="294">
        <f>IF(Table_NFI[[#This Row],[Winter Clothes Adult]]+Table_NFI[[#This Row],[Winter Clothes Children]]+Table_NFI[[#This Row],[Winter Items Other]]+Table_NFI[[#This Row],[Winter Blanket]]&gt;0,1,0)</f>
        <v>0</v>
      </c>
      <c r="AN1141" s="331">
        <f>IF(NFI_Expiration=1,IF($A1141&lt;VLOOKUP(V$5,NFI,5,0),1,0)*Table_NFI[[#This Row],[Jerry Can]],Table_NFI[Jerry Can])</f>
        <v>0</v>
      </c>
      <c r="AO1141" s="331">
        <f>IF(NFI_Expiration=1,IF($A1141&lt;VLOOKUP(V$5,NFI,5,0),1,0)*Table_NFI[[#This Row],[Shelter Tool kit]],Table_NFI[Shelter Tool kit])</f>
        <v>0</v>
      </c>
      <c r="AP1141" s="331">
        <f>IF(NFI_Expiration=1,IF($A1141&lt;VLOOKUP(V$5,NFI,5,0),1,0)*Table_NFI[[#This Row],[Tent]],Table_NFI[Tent])</f>
        <v>0</v>
      </c>
      <c r="AQ1141" s="473" t="str">
        <f>IFERROR(VLOOKUP(Table_NFI[[#This Row],[Camp Name]],CL,2,0),"")</f>
        <v/>
      </c>
      <c r="AR1141" s="468" t="str">
        <f ca="1">IF(Table_NFI[[#This Row],[Pcode]]="","",IF(OFFSET(CampList[Opening Date],MATCH(Table_NFI[[#This Row],[Pcode]],CampList[CP_Pcode],0)-1,0,1,1)&gt;=NFI_Monitor_Date,1,0))</f>
        <v/>
      </c>
      <c r="AS1141" s="473" t="str">
        <f>IFERROR(VLOOKUP(Table_NFI[[#This Row],[Camp Name]],CL,3,0),"")</f>
        <v/>
      </c>
      <c r="AT1141" s="294" t="str">
        <f ca="1">IF(Table_NFI[[#This Row],[Pcode]]="","",OFFSET(CampList[Priority],MATCH(Table_NFI[[#This Row],[Pcode]],CampList[CP_Pcode],0)-1,0,1,1))</f>
        <v/>
      </c>
      <c r="AU1141" s="293" t="str">
        <f>IFERROR(Table_NFI[[#This Row],[Kitchen Set]]/VLOOKUP(Table_NFI[[#This Row],[Camp Name]],CL,4,0),"")</f>
        <v/>
      </c>
      <c r="AV1141" s="466"/>
      <c r="AW1141" s="474"/>
    </row>
    <row r="1142" spans="1:49" ht="14.45" customHeight="1" x14ac:dyDescent="0.25">
      <c r="A1142" s="297" t="str">
        <f t="shared" si="17"/>
        <v/>
      </c>
      <c r="B1142" s="465"/>
      <c r="C1142" s="471"/>
      <c r="D1142" s="471"/>
      <c r="E1142" s="471"/>
      <c r="F1142" s="471"/>
      <c r="G1142" s="471"/>
      <c r="H1142" s="292"/>
      <c r="I1142" s="292"/>
      <c r="J1142" s="292"/>
      <c r="K1142" s="292"/>
      <c r="L1142" s="292"/>
      <c r="M1142" s="292"/>
      <c r="N1142" s="292"/>
      <c r="O1142" s="292"/>
      <c r="P1142" s="294"/>
      <c r="Q1142" s="294"/>
      <c r="R1142" s="294"/>
      <c r="S1142" s="294"/>
      <c r="T1142" s="294"/>
      <c r="U1142" s="294"/>
      <c r="V1142" s="431"/>
      <c r="W1142" s="331"/>
      <c r="X1142" s="331"/>
      <c r="Y1142" s="294">
        <f>IF(NFI_Expiration=1,IF($A1142&lt;VLOOKUP(H$5,NFI,5,0),1,0)*Table_NFI[[#This Row],[Hygiene Kit]],Table_NFI[Hygiene Kit])</f>
        <v>0</v>
      </c>
      <c r="Z1142" s="294">
        <f>IF(NFI_Expiration=1,IF($A1142&lt;VLOOKUP(I$5,NFI,5,0),1,0)*Table_NFI[[#This Row],[NFI Core Kit]],Table_NFI[NFI Core Kit])</f>
        <v>0</v>
      </c>
      <c r="AA1142" s="294">
        <f>IF(NFI_Expiration=1,IF($A1142&lt;VLOOKUP(J$5,NFI,5,0),1,0)*Table_NFI[[#This Row],[Sanitary Kit]],Table_NFI[Sanitary Kit])</f>
        <v>0</v>
      </c>
      <c r="AB1142" s="294">
        <f>IF(NFI_Expiration=1,IF($A1142&lt;VLOOKUP(K$5,NFI,5,0),1,0)*Table_NFI[[#This Row],[Mosquito net]],Table_NFI[Mosquito net])</f>
        <v>0</v>
      </c>
      <c r="AC1142" s="294">
        <f>IF(NFI_Expiration=1,IF($A1142&lt;VLOOKUP(L$5,NFI,5,0),1,0)*Table_NFI[[#This Row],[Tarpaulin]],Table_NFI[[#This Row],[Tarpaulin]])</f>
        <v>0</v>
      </c>
      <c r="AD1142" s="294">
        <f>IF(NFI_Expiration=1,IF($A1142&lt;VLOOKUP(M$5,NFI,5,0),1,0)*Table_NFI[[#This Row],[Blanket]],Table_NFI[[#This Row],[Blanket]])</f>
        <v>0</v>
      </c>
      <c r="AE1142" s="294">
        <f>IF(NFI_Expiration=1,IF($A1142&lt;VLOOKUP(N$5,NFI,5,0),1,0)*Table_NFI[[#This Row],[Kitchen Set]],Table_NFI[Kitchen Set])</f>
        <v>0</v>
      </c>
      <c r="AF1142" s="294">
        <f>IF(NFI_Expiration=1,IF($A1142&lt;VLOOKUP(O$5,NFI,5,0),1,0)*Table_NFI[[#This Row],[Clothes Kit]],Table_NFI[Clothes Kit])</f>
        <v>0</v>
      </c>
      <c r="AG1142" s="294">
        <f>IF(NFI_Expiration=1,IF($A1142&lt;VLOOKUP(P$5,NFI,5,0),1,0)*Table_NFI[[#This Row],[Plastic Bucket]],Table_NFI[Plastic Bucket])</f>
        <v>0</v>
      </c>
      <c r="AH1142" s="294">
        <f>IF(NFI_Expiration=1,IF($A1142&lt;VLOOKUP(Q$5,NFI,5,0),1,0)*Table_NFI[[#This Row],[Plastic Mat]],Table_NFI[Plastic Mat])*IF(Table_NFI[[#This Row],[Distribution Date]]&gt;"2014-04-01",1,2.5)</f>
        <v>0</v>
      </c>
      <c r="AI1142" s="294">
        <f>IF(NFI_Expiration=1,IF($A1142&lt;VLOOKUP(R$5,NFI,5,0),1,0)*Table_NFI[[#This Row],[Winter Clothes Adult]],Table_NFI[Winter Clothes Adult])</f>
        <v>0</v>
      </c>
      <c r="AJ1142" s="294">
        <f>IF(NFI_Expiration=1,IF($A1142&lt;VLOOKUP(S$5,NFI,5,0),1,0)*Table_NFI[[#This Row],[Winter Clothes Children]],Table_NFI[Winter Clothes Children])</f>
        <v>0</v>
      </c>
      <c r="AK1142" s="294">
        <f>IF(NFI_Expiration=1,IF($A1142&lt;VLOOKUP(T$5,NFI,5,0),1,0)*Table_NFI[[#This Row],[Winter Items Other]],Table_NFI[Winter Items Other])</f>
        <v>0</v>
      </c>
      <c r="AL1142" s="294">
        <f>IF(NFI_Expiration=1,IF($A1142&lt;VLOOKUP(M$5,NFI,5,0),1,0)*Table_NFI[[#This Row],[Winter Blanket]],Table_NFI[[#This Row],[Winter Blanket]])</f>
        <v>0</v>
      </c>
      <c r="AM1142" s="294">
        <f>IF(Table_NFI[[#This Row],[Winter Clothes Adult]]+Table_NFI[[#This Row],[Winter Clothes Children]]+Table_NFI[[#This Row],[Winter Items Other]]+Table_NFI[[#This Row],[Winter Blanket]]&gt;0,1,0)</f>
        <v>0</v>
      </c>
      <c r="AN1142" s="331">
        <f>IF(NFI_Expiration=1,IF($A1142&lt;VLOOKUP(V$5,NFI,5,0),1,0)*Table_NFI[[#This Row],[Jerry Can]],Table_NFI[Jerry Can])</f>
        <v>0</v>
      </c>
      <c r="AO1142" s="331">
        <f>IF(NFI_Expiration=1,IF($A1142&lt;VLOOKUP(V$5,NFI,5,0),1,0)*Table_NFI[[#This Row],[Shelter Tool kit]],Table_NFI[Shelter Tool kit])</f>
        <v>0</v>
      </c>
      <c r="AP1142" s="331">
        <f>IF(NFI_Expiration=1,IF($A1142&lt;VLOOKUP(V$5,NFI,5,0),1,0)*Table_NFI[[#This Row],[Tent]],Table_NFI[Tent])</f>
        <v>0</v>
      </c>
      <c r="AQ1142" s="473" t="str">
        <f>IFERROR(VLOOKUP(Table_NFI[[#This Row],[Camp Name]],CL,2,0),"")</f>
        <v/>
      </c>
      <c r="AR1142" s="468" t="str">
        <f ca="1">IF(Table_NFI[[#This Row],[Pcode]]="","",IF(OFFSET(CampList[Opening Date],MATCH(Table_NFI[[#This Row],[Pcode]],CampList[CP_Pcode],0)-1,0,1,1)&gt;=NFI_Monitor_Date,1,0))</f>
        <v/>
      </c>
      <c r="AS1142" s="473" t="str">
        <f>IFERROR(VLOOKUP(Table_NFI[[#This Row],[Camp Name]],CL,3,0),"")</f>
        <v/>
      </c>
      <c r="AT1142" s="294" t="str">
        <f ca="1">IF(Table_NFI[[#This Row],[Pcode]]="","",OFFSET(CampList[Priority],MATCH(Table_NFI[[#This Row],[Pcode]],CampList[CP_Pcode],0)-1,0,1,1))</f>
        <v/>
      </c>
      <c r="AU1142" s="293" t="str">
        <f>IFERROR(Table_NFI[[#This Row],[Kitchen Set]]/VLOOKUP(Table_NFI[[#This Row],[Camp Name]],CL,4,0),"")</f>
        <v/>
      </c>
      <c r="AV1142" s="466"/>
      <c r="AW1142" s="474"/>
    </row>
    <row r="1143" spans="1:49" ht="14.45" customHeight="1" x14ac:dyDescent="0.25">
      <c r="A1143" s="297" t="str">
        <f t="shared" si="17"/>
        <v/>
      </c>
      <c r="B1143" s="465"/>
      <c r="C1143" s="471"/>
      <c r="D1143" s="471"/>
      <c r="E1143" s="471"/>
      <c r="F1143" s="471"/>
      <c r="G1143" s="471"/>
      <c r="H1143" s="292"/>
      <c r="I1143" s="292"/>
      <c r="J1143" s="292"/>
      <c r="K1143" s="292"/>
      <c r="L1143" s="292"/>
      <c r="M1143" s="292"/>
      <c r="N1143" s="292"/>
      <c r="O1143" s="292"/>
      <c r="P1143" s="294"/>
      <c r="Q1143" s="294"/>
      <c r="R1143" s="294"/>
      <c r="S1143" s="294"/>
      <c r="T1143" s="294"/>
      <c r="U1143" s="294"/>
      <c r="V1143" s="431"/>
      <c r="W1143" s="331"/>
      <c r="X1143" s="331"/>
      <c r="Y1143" s="294">
        <f>IF(NFI_Expiration=1,IF($A1143&lt;VLOOKUP(H$5,NFI,5,0),1,0)*Table_NFI[[#This Row],[Hygiene Kit]],Table_NFI[Hygiene Kit])</f>
        <v>0</v>
      </c>
      <c r="Z1143" s="294">
        <f>IF(NFI_Expiration=1,IF($A1143&lt;VLOOKUP(I$5,NFI,5,0),1,0)*Table_NFI[[#This Row],[NFI Core Kit]],Table_NFI[NFI Core Kit])</f>
        <v>0</v>
      </c>
      <c r="AA1143" s="294">
        <f>IF(NFI_Expiration=1,IF($A1143&lt;VLOOKUP(J$5,NFI,5,0),1,0)*Table_NFI[[#This Row],[Sanitary Kit]],Table_NFI[Sanitary Kit])</f>
        <v>0</v>
      </c>
      <c r="AB1143" s="294">
        <f>IF(NFI_Expiration=1,IF($A1143&lt;VLOOKUP(K$5,NFI,5,0),1,0)*Table_NFI[[#This Row],[Mosquito net]],Table_NFI[Mosquito net])</f>
        <v>0</v>
      </c>
      <c r="AC1143" s="294">
        <f>IF(NFI_Expiration=1,IF($A1143&lt;VLOOKUP(L$5,NFI,5,0),1,0)*Table_NFI[[#This Row],[Tarpaulin]],Table_NFI[[#This Row],[Tarpaulin]])</f>
        <v>0</v>
      </c>
      <c r="AD1143" s="294">
        <f>IF(NFI_Expiration=1,IF($A1143&lt;VLOOKUP(M$5,NFI,5,0),1,0)*Table_NFI[[#This Row],[Blanket]],Table_NFI[[#This Row],[Blanket]])</f>
        <v>0</v>
      </c>
      <c r="AE1143" s="294">
        <f>IF(NFI_Expiration=1,IF($A1143&lt;VLOOKUP(N$5,NFI,5,0),1,0)*Table_NFI[[#This Row],[Kitchen Set]],Table_NFI[Kitchen Set])</f>
        <v>0</v>
      </c>
      <c r="AF1143" s="294">
        <f>IF(NFI_Expiration=1,IF($A1143&lt;VLOOKUP(O$5,NFI,5,0),1,0)*Table_NFI[[#This Row],[Clothes Kit]],Table_NFI[Clothes Kit])</f>
        <v>0</v>
      </c>
      <c r="AG1143" s="294">
        <f>IF(NFI_Expiration=1,IF($A1143&lt;VLOOKUP(P$5,NFI,5,0),1,0)*Table_NFI[[#This Row],[Plastic Bucket]],Table_NFI[Plastic Bucket])</f>
        <v>0</v>
      </c>
      <c r="AH1143" s="294">
        <f>IF(NFI_Expiration=1,IF($A1143&lt;VLOOKUP(Q$5,NFI,5,0),1,0)*Table_NFI[[#This Row],[Plastic Mat]],Table_NFI[Plastic Mat])*IF(Table_NFI[[#This Row],[Distribution Date]]&gt;"2014-04-01",1,2.5)</f>
        <v>0</v>
      </c>
      <c r="AI1143" s="294">
        <f>IF(NFI_Expiration=1,IF($A1143&lt;VLOOKUP(R$5,NFI,5,0),1,0)*Table_NFI[[#This Row],[Winter Clothes Adult]],Table_NFI[Winter Clothes Adult])</f>
        <v>0</v>
      </c>
      <c r="AJ1143" s="294">
        <f>IF(NFI_Expiration=1,IF($A1143&lt;VLOOKUP(S$5,NFI,5,0),1,0)*Table_NFI[[#This Row],[Winter Clothes Children]],Table_NFI[Winter Clothes Children])</f>
        <v>0</v>
      </c>
      <c r="AK1143" s="294">
        <f>IF(NFI_Expiration=1,IF($A1143&lt;VLOOKUP(T$5,NFI,5,0),1,0)*Table_NFI[[#This Row],[Winter Items Other]],Table_NFI[Winter Items Other])</f>
        <v>0</v>
      </c>
      <c r="AL1143" s="294">
        <f>IF(NFI_Expiration=1,IF($A1143&lt;VLOOKUP(M$5,NFI,5,0),1,0)*Table_NFI[[#This Row],[Winter Blanket]],Table_NFI[[#This Row],[Winter Blanket]])</f>
        <v>0</v>
      </c>
      <c r="AM1143" s="294">
        <f>IF(Table_NFI[[#This Row],[Winter Clothes Adult]]+Table_NFI[[#This Row],[Winter Clothes Children]]+Table_NFI[[#This Row],[Winter Items Other]]+Table_NFI[[#This Row],[Winter Blanket]]&gt;0,1,0)</f>
        <v>0</v>
      </c>
      <c r="AN1143" s="331">
        <f>IF(NFI_Expiration=1,IF($A1143&lt;VLOOKUP(V$5,NFI,5,0),1,0)*Table_NFI[[#This Row],[Jerry Can]],Table_NFI[Jerry Can])</f>
        <v>0</v>
      </c>
      <c r="AO1143" s="331">
        <f>IF(NFI_Expiration=1,IF($A1143&lt;VLOOKUP(V$5,NFI,5,0),1,0)*Table_NFI[[#This Row],[Shelter Tool kit]],Table_NFI[Shelter Tool kit])</f>
        <v>0</v>
      </c>
      <c r="AP1143" s="331">
        <f>IF(NFI_Expiration=1,IF($A1143&lt;VLOOKUP(V$5,NFI,5,0),1,0)*Table_NFI[[#This Row],[Tent]],Table_NFI[Tent])</f>
        <v>0</v>
      </c>
      <c r="AQ1143" s="473" t="str">
        <f>IFERROR(VLOOKUP(Table_NFI[[#This Row],[Camp Name]],CL,2,0),"")</f>
        <v/>
      </c>
      <c r="AR1143" s="468" t="str">
        <f ca="1">IF(Table_NFI[[#This Row],[Pcode]]="","",IF(OFFSET(CampList[Opening Date],MATCH(Table_NFI[[#This Row],[Pcode]],CampList[CP_Pcode],0)-1,0,1,1)&gt;=NFI_Monitor_Date,1,0))</f>
        <v/>
      </c>
      <c r="AS1143" s="473" t="str">
        <f>IFERROR(VLOOKUP(Table_NFI[[#This Row],[Camp Name]],CL,3,0),"")</f>
        <v/>
      </c>
      <c r="AT1143" s="294" t="str">
        <f ca="1">IF(Table_NFI[[#This Row],[Pcode]]="","",OFFSET(CampList[Priority],MATCH(Table_NFI[[#This Row],[Pcode]],CampList[CP_Pcode],0)-1,0,1,1))</f>
        <v/>
      </c>
      <c r="AU1143" s="293" t="str">
        <f>IFERROR(Table_NFI[[#This Row],[Kitchen Set]]/VLOOKUP(Table_NFI[[#This Row],[Camp Name]],CL,4,0),"")</f>
        <v/>
      </c>
      <c r="AV1143" s="466"/>
      <c r="AW1143" s="474"/>
    </row>
    <row r="1144" spans="1:49" ht="14.45" customHeight="1" x14ac:dyDescent="0.25">
      <c r="A1144" s="297" t="str">
        <f t="shared" si="17"/>
        <v/>
      </c>
      <c r="B1144" s="465"/>
      <c r="C1144" s="471"/>
      <c r="D1144" s="471"/>
      <c r="E1144" s="471"/>
      <c r="F1144" s="471"/>
      <c r="G1144" s="471"/>
      <c r="H1144" s="292"/>
      <c r="I1144" s="292"/>
      <c r="J1144" s="292"/>
      <c r="K1144" s="292"/>
      <c r="L1144" s="292"/>
      <c r="M1144" s="292"/>
      <c r="N1144" s="292"/>
      <c r="O1144" s="292"/>
      <c r="P1144" s="294"/>
      <c r="Q1144" s="294"/>
      <c r="R1144" s="294"/>
      <c r="S1144" s="294"/>
      <c r="T1144" s="294"/>
      <c r="U1144" s="294"/>
      <c r="V1144" s="431"/>
      <c r="W1144" s="331"/>
      <c r="X1144" s="331"/>
      <c r="Y1144" s="294">
        <f>IF(NFI_Expiration=1,IF($A1144&lt;VLOOKUP(H$5,NFI,5,0),1,0)*Table_NFI[[#This Row],[Hygiene Kit]],Table_NFI[Hygiene Kit])</f>
        <v>0</v>
      </c>
      <c r="Z1144" s="294">
        <f>IF(NFI_Expiration=1,IF($A1144&lt;VLOOKUP(I$5,NFI,5,0),1,0)*Table_NFI[[#This Row],[NFI Core Kit]],Table_NFI[NFI Core Kit])</f>
        <v>0</v>
      </c>
      <c r="AA1144" s="294">
        <f>IF(NFI_Expiration=1,IF($A1144&lt;VLOOKUP(J$5,NFI,5,0),1,0)*Table_NFI[[#This Row],[Sanitary Kit]],Table_NFI[Sanitary Kit])</f>
        <v>0</v>
      </c>
      <c r="AB1144" s="294">
        <f>IF(NFI_Expiration=1,IF($A1144&lt;VLOOKUP(K$5,NFI,5,0),1,0)*Table_NFI[[#This Row],[Mosquito net]],Table_NFI[Mosquito net])</f>
        <v>0</v>
      </c>
      <c r="AC1144" s="294">
        <f>IF(NFI_Expiration=1,IF($A1144&lt;VLOOKUP(L$5,NFI,5,0),1,0)*Table_NFI[[#This Row],[Tarpaulin]],Table_NFI[[#This Row],[Tarpaulin]])</f>
        <v>0</v>
      </c>
      <c r="AD1144" s="294">
        <f>IF(NFI_Expiration=1,IF($A1144&lt;VLOOKUP(M$5,NFI,5,0),1,0)*Table_NFI[[#This Row],[Blanket]],Table_NFI[[#This Row],[Blanket]])</f>
        <v>0</v>
      </c>
      <c r="AE1144" s="294">
        <f>IF(NFI_Expiration=1,IF($A1144&lt;VLOOKUP(N$5,NFI,5,0),1,0)*Table_NFI[[#This Row],[Kitchen Set]],Table_NFI[Kitchen Set])</f>
        <v>0</v>
      </c>
      <c r="AF1144" s="294">
        <f>IF(NFI_Expiration=1,IF($A1144&lt;VLOOKUP(O$5,NFI,5,0),1,0)*Table_NFI[[#This Row],[Clothes Kit]],Table_NFI[Clothes Kit])</f>
        <v>0</v>
      </c>
      <c r="AG1144" s="294">
        <f>IF(NFI_Expiration=1,IF($A1144&lt;VLOOKUP(P$5,NFI,5,0),1,0)*Table_NFI[[#This Row],[Plastic Bucket]],Table_NFI[Plastic Bucket])</f>
        <v>0</v>
      </c>
      <c r="AH1144" s="294">
        <f>IF(NFI_Expiration=1,IF($A1144&lt;VLOOKUP(Q$5,NFI,5,0),1,0)*Table_NFI[[#This Row],[Plastic Mat]],Table_NFI[Plastic Mat])*IF(Table_NFI[[#This Row],[Distribution Date]]&gt;"2014-04-01",1,2.5)</f>
        <v>0</v>
      </c>
      <c r="AI1144" s="294">
        <f>IF(NFI_Expiration=1,IF($A1144&lt;VLOOKUP(R$5,NFI,5,0),1,0)*Table_NFI[[#This Row],[Winter Clothes Adult]],Table_NFI[Winter Clothes Adult])</f>
        <v>0</v>
      </c>
      <c r="AJ1144" s="294">
        <f>IF(NFI_Expiration=1,IF($A1144&lt;VLOOKUP(S$5,NFI,5,0),1,0)*Table_NFI[[#This Row],[Winter Clothes Children]],Table_NFI[Winter Clothes Children])</f>
        <v>0</v>
      </c>
      <c r="AK1144" s="294">
        <f>IF(NFI_Expiration=1,IF($A1144&lt;VLOOKUP(T$5,NFI,5,0),1,0)*Table_NFI[[#This Row],[Winter Items Other]],Table_NFI[Winter Items Other])</f>
        <v>0</v>
      </c>
      <c r="AL1144" s="294">
        <f>IF(NFI_Expiration=1,IF($A1144&lt;VLOOKUP(M$5,NFI,5,0),1,0)*Table_NFI[[#This Row],[Winter Blanket]],Table_NFI[[#This Row],[Winter Blanket]])</f>
        <v>0</v>
      </c>
      <c r="AM1144" s="294">
        <f>IF(Table_NFI[[#This Row],[Winter Clothes Adult]]+Table_NFI[[#This Row],[Winter Clothes Children]]+Table_NFI[[#This Row],[Winter Items Other]]+Table_NFI[[#This Row],[Winter Blanket]]&gt;0,1,0)</f>
        <v>0</v>
      </c>
      <c r="AN1144" s="331">
        <f>IF(NFI_Expiration=1,IF($A1144&lt;VLOOKUP(V$5,NFI,5,0),1,0)*Table_NFI[[#This Row],[Jerry Can]],Table_NFI[Jerry Can])</f>
        <v>0</v>
      </c>
      <c r="AO1144" s="331">
        <f>IF(NFI_Expiration=1,IF($A1144&lt;VLOOKUP(V$5,NFI,5,0),1,0)*Table_NFI[[#This Row],[Shelter Tool kit]],Table_NFI[Shelter Tool kit])</f>
        <v>0</v>
      </c>
      <c r="AP1144" s="331">
        <f>IF(NFI_Expiration=1,IF($A1144&lt;VLOOKUP(V$5,NFI,5,0),1,0)*Table_NFI[[#This Row],[Tent]],Table_NFI[Tent])</f>
        <v>0</v>
      </c>
      <c r="AQ1144" s="473" t="str">
        <f>IFERROR(VLOOKUP(Table_NFI[[#This Row],[Camp Name]],CL,2,0),"")</f>
        <v/>
      </c>
      <c r="AR1144" s="468" t="str">
        <f ca="1">IF(Table_NFI[[#This Row],[Pcode]]="","",IF(OFFSET(CampList[Opening Date],MATCH(Table_NFI[[#This Row],[Pcode]],CampList[CP_Pcode],0)-1,0,1,1)&gt;=NFI_Monitor_Date,1,0))</f>
        <v/>
      </c>
      <c r="AS1144" s="473" t="str">
        <f>IFERROR(VLOOKUP(Table_NFI[[#This Row],[Camp Name]],CL,3,0),"")</f>
        <v/>
      </c>
      <c r="AT1144" s="294" t="str">
        <f ca="1">IF(Table_NFI[[#This Row],[Pcode]]="","",OFFSET(CampList[Priority],MATCH(Table_NFI[[#This Row],[Pcode]],CampList[CP_Pcode],0)-1,0,1,1))</f>
        <v/>
      </c>
      <c r="AU1144" s="293" t="str">
        <f>IFERROR(Table_NFI[[#This Row],[Kitchen Set]]/VLOOKUP(Table_NFI[[#This Row],[Camp Name]],CL,4,0),"")</f>
        <v/>
      </c>
      <c r="AV1144" s="466"/>
      <c r="AW1144" s="474"/>
    </row>
    <row r="1145" spans="1:49" ht="14.45" customHeight="1" x14ac:dyDescent="0.25">
      <c r="A1145" s="297" t="str">
        <f t="shared" si="17"/>
        <v/>
      </c>
      <c r="B1145" s="465"/>
      <c r="C1145" s="471"/>
      <c r="D1145" s="471"/>
      <c r="E1145" s="471"/>
      <c r="F1145" s="471"/>
      <c r="G1145" s="471"/>
      <c r="H1145" s="292"/>
      <c r="I1145" s="292"/>
      <c r="J1145" s="292"/>
      <c r="K1145" s="292"/>
      <c r="L1145" s="292"/>
      <c r="M1145" s="292"/>
      <c r="N1145" s="292"/>
      <c r="O1145" s="292"/>
      <c r="P1145" s="294"/>
      <c r="Q1145" s="294"/>
      <c r="R1145" s="294"/>
      <c r="S1145" s="294"/>
      <c r="T1145" s="294"/>
      <c r="U1145" s="294"/>
      <c r="V1145" s="431"/>
      <c r="W1145" s="331"/>
      <c r="X1145" s="331"/>
      <c r="Y1145" s="294">
        <f>IF(NFI_Expiration=1,IF($A1145&lt;VLOOKUP(H$5,NFI,5,0),1,0)*Table_NFI[[#This Row],[Hygiene Kit]],Table_NFI[Hygiene Kit])</f>
        <v>0</v>
      </c>
      <c r="Z1145" s="294">
        <f>IF(NFI_Expiration=1,IF($A1145&lt;VLOOKUP(I$5,NFI,5,0),1,0)*Table_NFI[[#This Row],[NFI Core Kit]],Table_NFI[NFI Core Kit])</f>
        <v>0</v>
      </c>
      <c r="AA1145" s="294">
        <f>IF(NFI_Expiration=1,IF($A1145&lt;VLOOKUP(J$5,NFI,5,0),1,0)*Table_NFI[[#This Row],[Sanitary Kit]],Table_NFI[Sanitary Kit])</f>
        <v>0</v>
      </c>
      <c r="AB1145" s="294">
        <f>IF(NFI_Expiration=1,IF($A1145&lt;VLOOKUP(K$5,NFI,5,0),1,0)*Table_NFI[[#This Row],[Mosquito net]],Table_NFI[Mosquito net])</f>
        <v>0</v>
      </c>
      <c r="AC1145" s="294">
        <f>IF(NFI_Expiration=1,IF($A1145&lt;VLOOKUP(L$5,NFI,5,0),1,0)*Table_NFI[[#This Row],[Tarpaulin]],Table_NFI[[#This Row],[Tarpaulin]])</f>
        <v>0</v>
      </c>
      <c r="AD1145" s="294">
        <f>IF(NFI_Expiration=1,IF($A1145&lt;VLOOKUP(M$5,NFI,5,0),1,0)*Table_NFI[[#This Row],[Blanket]],Table_NFI[[#This Row],[Blanket]])</f>
        <v>0</v>
      </c>
      <c r="AE1145" s="294">
        <f>IF(NFI_Expiration=1,IF($A1145&lt;VLOOKUP(N$5,NFI,5,0),1,0)*Table_NFI[[#This Row],[Kitchen Set]],Table_NFI[Kitchen Set])</f>
        <v>0</v>
      </c>
      <c r="AF1145" s="294">
        <f>IF(NFI_Expiration=1,IF($A1145&lt;VLOOKUP(O$5,NFI,5,0),1,0)*Table_NFI[[#This Row],[Clothes Kit]],Table_NFI[Clothes Kit])</f>
        <v>0</v>
      </c>
      <c r="AG1145" s="294">
        <f>IF(NFI_Expiration=1,IF($A1145&lt;VLOOKUP(P$5,NFI,5,0),1,0)*Table_NFI[[#This Row],[Plastic Bucket]],Table_NFI[Plastic Bucket])</f>
        <v>0</v>
      </c>
      <c r="AH1145" s="294">
        <f>IF(NFI_Expiration=1,IF($A1145&lt;VLOOKUP(Q$5,NFI,5,0),1,0)*Table_NFI[[#This Row],[Plastic Mat]],Table_NFI[Plastic Mat])*IF(Table_NFI[[#This Row],[Distribution Date]]&gt;"2014-04-01",1,2.5)</f>
        <v>0</v>
      </c>
      <c r="AI1145" s="294">
        <f>IF(NFI_Expiration=1,IF($A1145&lt;VLOOKUP(R$5,NFI,5,0),1,0)*Table_NFI[[#This Row],[Winter Clothes Adult]],Table_NFI[Winter Clothes Adult])</f>
        <v>0</v>
      </c>
      <c r="AJ1145" s="294">
        <f>IF(NFI_Expiration=1,IF($A1145&lt;VLOOKUP(S$5,NFI,5,0),1,0)*Table_NFI[[#This Row],[Winter Clothes Children]],Table_NFI[Winter Clothes Children])</f>
        <v>0</v>
      </c>
      <c r="AK1145" s="294">
        <f>IF(NFI_Expiration=1,IF($A1145&lt;VLOOKUP(T$5,NFI,5,0),1,0)*Table_NFI[[#This Row],[Winter Items Other]],Table_NFI[Winter Items Other])</f>
        <v>0</v>
      </c>
      <c r="AL1145" s="294">
        <f>IF(NFI_Expiration=1,IF($A1145&lt;VLOOKUP(M$5,NFI,5,0),1,0)*Table_NFI[[#This Row],[Winter Blanket]],Table_NFI[[#This Row],[Winter Blanket]])</f>
        <v>0</v>
      </c>
      <c r="AM1145" s="294">
        <f>IF(Table_NFI[[#This Row],[Winter Clothes Adult]]+Table_NFI[[#This Row],[Winter Clothes Children]]+Table_NFI[[#This Row],[Winter Items Other]]+Table_NFI[[#This Row],[Winter Blanket]]&gt;0,1,0)</f>
        <v>0</v>
      </c>
      <c r="AN1145" s="331">
        <f>IF(NFI_Expiration=1,IF($A1145&lt;VLOOKUP(V$5,NFI,5,0),1,0)*Table_NFI[[#This Row],[Jerry Can]],Table_NFI[Jerry Can])</f>
        <v>0</v>
      </c>
      <c r="AO1145" s="331">
        <f>IF(NFI_Expiration=1,IF($A1145&lt;VLOOKUP(V$5,NFI,5,0),1,0)*Table_NFI[[#This Row],[Shelter Tool kit]],Table_NFI[Shelter Tool kit])</f>
        <v>0</v>
      </c>
      <c r="AP1145" s="331">
        <f>IF(NFI_Expiration=1,IF($A1145&lt;VLOOKUP(V$5,NFI,5,0),1,0)*Table_NFI[[#This Row],[Tent]],Table_NFI[Tent])</f>
        <v>0</v>
      </c>
      <c r="AQ1145" s="473" t="str">
        <f>IFERROR(VLOOKUP(Table_NFI[[#This Row],[Camp Name]],CL,2,0),"")</f>
        <v/>
      </c>
      <c r="AR1145" s="468" t="str">
        <f ca="1">IF(Table_NFI[[#This Row],[Pcode]]="","",IF(OFFSET(CampList[Opening Date],MATCH(Table_NFI[[#This Row],[Pcode]],CampList[CP_Pcode],0)-1,0,1,1)&gt;=NFI_Monitor_Date,1,0))</f>
        <v/>
      </c>
      <c r="AS1145" s="473" t="str">
        <f>IFERROR(VLOOKUP(Table_NFI[[#This Row],[Camp Name]],CL,3,0),"")</f>
        <v/>
      </c>
      <c r="AT1145" s="294" t="str">
        <f ca="1">IF(Table_NFI[[#This Row],[Pcode]]="","",OFFSET(CampList[Priority],MATCH(Table_NFI[[#This Row],[Pcode]],CampList[CP_Pcode],0)-1,0,1,1))</f>
        <v/>
      </c>
      <c r="AU1145" s="293" t="str">
        <f>IFERROR(Table_NFI[[#This Row],[Kitchen Set]]/VLOOKUP(Table_NFI[[#This Row],[Camp Name]],CL,4,0),"")</f>
        <v/>
      </c>
      <c r="AV1145" s="466"/>
      <c r="AW1145" s="474"/>
    </row>
    <row r="1146" spans="1:49" ht="14.45" customHeight="1" x14ac:dyDescent="0.25">
      <c r="A1146" s="297" t="str">
        <f t="shared" si="17"/>
        <v/>
      </c>
      <c r="B1146" s="465"/>
      <c r="C1146" s="466"/>
      <c r="D1146" s="466"/>
      <c r="E1146" s="466"/>
      <c r="F1146" s="466"/>
      <c r="G1146" s="466"/>
      <c r="H1146" s="291"/>
      <c r="I1146" s="291"/>
      <c r="J1146" s="291"/>
      <c r="K1146" s="291"/>
      <c r="L1146" s="292"/>
      <c r="M1146" s="292"/>
      <c r="N1146" s="292"/>
      <c r="O1146" s="292"/>
      <c r="P1146" s="294"/>
      <c r="Q1146" s="294"/>
      <c r="R1146" s="294"/>
      <c r="S1146" s="294"/>
      <c r="T1146" s="294"/>
      <c r="U1146" s="294"/>
      <c r="V1146" s="431"/>
      <c r="W1146" s="331"/>
      <c r="X1146" s="331"/>
      <c r="Y1146" s="294">
        <f>IF(NFI_Expiration=1,IF($A1146&lt;VLOOKUP(H$5,NFI,5,0),1,0)*Table_NFI[[#This Row],[Hygiene Kit]],Table_NFI[Hygiene Kit])</f>
        <v>0</v>
      </c>
      <c r="Z1146" s="294">
        <f>IF(NFI_Expiration=1,IF($A1146&lt;VLOOKUP(I$5,NFI,5,0),1,0)*Table_NFI[[#This Row],[NFI Core Kit]],Table_NFI[NFI Core Kit])</f>
        <v>0</v>
      </c>
      <c r="AA1146" s="294">
        <f>IF(NFI_Expiration=1,IF($A1146&lt;VLOOKUP(J$5,NFI,5,0),1,0)*Table_NFI[[#This Row],[Sanitary Kit]],Table_NFI[Sanitary Kit])</f>
        <v>0</v>
      </c>
      <c r="AB1146" s="294">
        <f>IF(NFI_Expiration=1,IF($A1146&lt;VLOOKUP(K$5,NFI,5,0),1,0)*Table_NFI[[#This Row],[Mosquito net]],Table_NFI[Mosquito net])</f>
        <v>0</v>
      </c>
      <c r="AC1146" s="294">
        <f>IF(NFI_Expiration=1,IF($A1146&lt;VLOOKUP(L$5,NFI,5,0),1,0)*Table_NFI[[#This Row],[Tarpaulin]],Table_NFI[[#This Row],[Tarpaulin]])</f>
        <v>0</v>
      </c>
      <c r="AD1146" s="294">
        <f>IF(NFI_Expiration=1,IF($A1146&lt;VLOOKUP(M$5,NFI,5,0),1,0)*Table_NFI[[#This Row],[Blanket]],Table_NFI[[#This Row],[Blanket]])</f>
        <v>0</v>
      </c>
      <c r="AE1146" s="294">
        <f>IF(NFI_Expiration=1,IF($A1146&lt;VLOOKUP(N$5,NFI,5,0),1,0)*Table_NFI[[#This Row],[Kitchen Set]],Table_NFI[Kitchen Set])</f>
        <v>0</v>
      </c>
      <c r="AF1146" s="294">
        <f>IF(NFI_Expiration=1,IF($A1146&lt;VLOOKUP(O$5,NFI,5,0),1,0)*Table_NFI[[#This Row],[Clothes Kit]],Table_NFI[Clothes Kit])</f>
        <v>0</v>
      </c>
      <c r="AG1146" s="294">
        <f>IF(NFI_Expiration=1,IF($A1146&lt;VLOOKUP(P$5,NFI,5,0),1,0)*Table_NFI[[#This Row],[Plastic Bucket]],Table_NFI[Plastic Bucket])</f>
        <v>0</v>
      </c>
      <c r="AH1146" s="294">
        <f>IF(NFI_Expiration=1,IF($A1146&lt;VLOOKUP(Q$5,NFI,5,0),1,0)*Table_NFI[[#This Row],[Plastic Mat]],Table_NFI[Plastic Mat])*IF(Table_NFI[[#This Row],[Distribution Date]]&gt;"2014-04-01",1,2.5)</f>
        <v>0</v>
      </c>
      <c r="AI1146" s="294">
        <f>IF(NFI_Expiration=1,IF($A1146&lt;VLOOKUP(R$5,NFI,5,0),1,0)*Table_NFI[[#This Row],[Winter Clothes Adult]],Table_NFI[Winter Clothes Adult])</f>
        <v>0</v>
      </c>
      <c r="AJ1146" s="294">
        <f>IF(NFI_Expiration=1,IF($A1146&lt;VLOOKUP(S$5,NFI,5,0),1,0)*Table_NFI[[#This Row],[Winter Clothes Children]],Table_NFI[Winter Clothes Children])</f>
        <v>0</v>
      </c>
      <c r="AK1146" s="294">
        <f>IF(NFI_Expiration=1,IF($A1146&lt;VLOOKUP(T$5,NFI,5,0),1,0)*Table_NFI[[#This Row],[Winter Items Other]],Table_NFI[Winter Items Other])</f>
        <v>0</v>
      </c>
      <c r="AL1146" s="294">
        <f>IF(NFI_Expiration=1,IF($A1146&lt;VLOOKUP(M$5,NFI,5,0),1,0)*Table_NFI[[#This Row],[Winter Blanket]],Table_NFI[[#This Row],[Winter Blanket]])</f>
        <v>0</v>
      </c>
      <c r="AM1146" s="294">
        <f>IF(Table_NFI[[#This Row],[Winter Clothes Adult]]+Table_NFI[[#This Row],[Winter Clothes Children]]+Table_NFI[[#This Row],[Winter Items Other]]+Table_NFI[[#This Row],[Winter Blanket]]&gt;0,1,0)</f>
        <v>0</v>
      </c>
      <c r="AN1146" s="331">
        <f>IF(NFI_Expiration=1,IF($A1146&lt;VLOOKUP(V$5,NFI,5,0),1,0)*Table_NFI[[#This Row],[Jerry Can]],Table_NFI[Jerry Can])</f>
        <v>0</v>
      </c>
      <c r="AO1146" s="331">
        <f>IF(NFI_Expiration=1,IF($A1146&lt;VLOOKUP(V$5,NFI,5,0),1,0)*Table_NFI[[#This Row],[Shelter Tool kit]],Table_NFI[Shelter Tool kit])</f>
        <v>0</v>
      </c>
      <c r="AP1146" s="331">
        <f>IF(NFI_Expiration=1,IF($A1146&lt;VLOOKUP(V$5,NFI,5,0),1,0)*Table_NFI[[#This Row],[Tent]],Table_NFI[Tent])</f>
        <v>0</v>
      </c>
      <c r="AQ1146" s="473" t="str">
        <f>IFERROR(VLOOKUP(Table_NFI[[#This Row],[Camp Name]],CL,2,0),"")</f>
        <v/>
      </c>
      <c r="AR1146" s="468" t="str">
        <f ca="1">IF(Table_NFI[[#This Row],[Pcode]]="","",IF(OFFSET(CampList[Opening Date],MATCH(Table_NFI[[#This Row],[Pcode]],CampList[CP_Pcode],0)-1,0,1,1)&gt;=NFI_Monitor_Date,1,0))</f>
        <v/>
      </c>
      <c r="AS1146" s="473" t="str">
        <f>IFERROR(VLOOKUP(Table_NFI[[#This Row],[Camp Name]],CL,3,0),"")</f>
        <v/>
      </c>
      <c r="AT1146" s="294" t="str">
        <f ca="1">IF(Table_NFI[[#This Row],[Pcode]]="","",OFFSET(CampList[Priority],MATCH(Table_NFI[[#This Row],[Pcode]],CampList[CP_Pcode],0)-1,0,1,1))</f>
        <v/>
      </c>
      <c r="AU1146" s="293" t="str">
        <f>IFERROR(Table_NFI[[#This Row],[Kitchen Set]]/VLOOKUP(Table_NFI[[#This Row],[Camp Name]],CL,4,0),"")</f>
        <v/>
      </c>
      <c r="AV1146" s="466"/>
      <c r="AW1146" s="469"/>
    </row>
    <row r="1147" spans="1:49" ht="14.45" customHeight="1" x14ac:dyDescent="0.25">
      <c r="A1147" s="297" t="str">
        <f t="shared" si="17"/>
        <v/>
      </c>
      <c r="B1147" s="465"/>
      <c r="C1147" s="466"/>
      <c r="D1147" s="466"/>
      <c r="E1147" s="466"/>
      <c r="F1147" s="466"/>
      <c r="G1147" s="466"/>
      <c r="H1147" s="291"/>
      <c r="I1147" s="291"/>
      <c r="J1147" s="291"/>
      <c r="K1147" s="291"/>
      <c r="L1147" s="292"/>
      <c r="M1147" s="292"/>
      <c r="N1147" s="292"/>
      <c r="O1147" s="292"/>
      <c r="P1147" s="294"/>
      <c r="Q1147" s="294"/>
      <c r="R1147" s="294"/>
      <c r="S1147" s="294"/>
      <c r="T1147" s="294"/>
      <c r="U1147" s="294"/>
      <c r="V1147" s="431"/>
      <c r="W1147" s="331"/>
      <c r="X1147" s="331"/>
      <c r="Y1147" s="294">
        <f>IF(NFI_Expiration=1,IF($A1147&lt;VLOOKUP(H$5,NFI,5,0),1,0)*Table_NFI[[#This Row],[Hygiene Kit]],Table_NFI[Hygiene Kit])</f>
        <v>0</v>
      </c>
      <c r="Z1147" s="294">
        <f>IF(NFI_Expiration=1,IF($A1147&lt;VLOOKUP(I$5,NFI,5,0),1,0)*Table_NFI[[#This Row],[NFI Core Kit]],Table_NFI[NFI Core Kit])</f>
        <v>0</v>
      </c>
      <c r="AA1147" s="294">
        <f>IF(NFI_Expiration=1,IF($A1147&lt;VLOOKUP(J$5,NFI,5,0),1,0)*Table_NFI[[#This Row],[Sanitary Kit]],Table_NFI[Sanitary Kit])</f>
        <v>0</v>
      </c>
      <c r="AB1147" s="294">
        <f>IF(NFI_Expiration=1,IF($A1147&lt;VLOOKUP(K$5,NFI,5,0),1,0)*Table_NFI[[#This Row],[Mosquito net]],Table_NFI[Mosquito net])</f>
        <v>0</v>
      </c>
      <c r="AC1147" s="294">
        <f>IF(NFI_Expiration=1,IF($A1147&lt;VLOOKUP(L$5,NFI,5,0),1,0)*Table_NFI[[#This Row],[Tarpaulin]],Table_NFI[[#This Row],[Tarpaulin]])</f>
        <v>0</v>
      </c>
      <c r="AD1147" s="294">
        <f>IF(NFI_Expiration=1,IF($A1147&lt;VLOOKUP(M$5,NFI,5,0),1,0)*Table_NFI[[#This Row],[Blanket]],Table_NFI[[#This Row],[Blanket]])</f>
        <v>0</v>
      </c>
      <c r="AE1147" s="294">
        <f>IF(NFI_Expiration=1,IF($A1147&lt;VLOOKUP(N$5,NFI,5,0),1,0)*Table_NFI[[#This Row],[Kitchen Set]],Table_NFI[Kitchen Set])</f>
        <v>0</v>
      </c>
      <c r="AF1147" s="294">
        <f>IF(NFI_Expiration=1,IF($A1147&lt;VLOOKUP(O$5,NFI,5,0),1,0)*Table_NFI[[#This Row],[Clothes Kit]],Table_NFI[Clothes Kit])</f>
        <v>0</v>
      </c>
      <c r="AG1147" s="294">
        <f>IF(NFI_Expiration=1,IF($A1147&lt;VLOOKUP(P$5,NFI,5,0),1,0)*Table_NFI[[#This Row],[Plastic Bucket]],Table_NFI[Plastic Bucket])</f>
        <v>0</v>
      </c>
      <c r="AH1147" s="294">
        <f>IF(NFI_Expiration=1,IF($A1147&lt;VLOOKUP(Q$5,NFI,5,0),1,0)*Table_NFI[[#This Row],[Plastic Mat]],Table_NFI[Plastic Mat])*IF(Table_NFI[[#This Row],[Distribution Date]]&gt;"2014-04-01",1,2.5)</f>
        <v>0</v>
      </c>
      <c r="AI1147" s="294">
        <f>IF(NFI_Expiration=1,IF($A1147&lt;VLOOKUP(R$5,NFI,5,0),1,0)*Table_NFI[[#This Row],[Winter Clothes Adult]],Table_NFI[Winter Clothes Adult])</f>
        <v>0</v>
      </c>
      <c r="AJ1147" s="294">
        <f>IF(NFI_Expiration=1,IF($A1147&lt;VLOOKUP(S$5,NFI,5,0),1,0)*Table_NFI[[#This Row],[Winter Clothes Children]],Table_NFI[Winter Clothes Children])</f>
        <v>0</v>
      </c>
      <c r="AK1147" s="294">
        <f>IF(NFI_Expiration=1,IF($A1147&lt;VLOOKUP(T$5,NFI,5,0),1,0)*Table_NFI[[#This Row],[Winter Items Other]],Table_NFI[Winter Items Other])</f>
        <v>0</v>
      </c>
      <c r="AL1147" s="294">
        <f>IF(NFI_Expiration=1,IF($A1147&lt;VLOOKUP(M$5,NFI,5,0),1,0)*Table_NFI[[#This Row],[Winter Blanket]],Table_NFI[[#This Row],[Winter Blanket]])</f>
        <v>0</v>
      </c>
      <c r="AM1147" s="294">
        <f>IF(Table_NFI[[#This Row],[Winter Clothes Adult]]+Table_NFI[[#This Row],[Winter Clothes Children]]+Table_NFI[[#This Row],[Winter Items Other]]+Table_NFI[[#This Row],[Winter Blanket]]&gt;0,1,0)</f>
        <v>0</v>
      </c>
      <c r="AN1147" s="331">
        <f>IF(NFI_Expiration=1,IF($A1147&lt;VLOOKUP(V$5,NFI,5,0),1,0)*Table_NFI[[#This Row],[Jerry Can]],Table_NFI[Jerry Can])</f>
        <v>0</v>
      </c>
      <c r="AO1147" s="331">
        <f>IF(NFI_Expiration=1,IF($A1147&lt;VLOOKUP(V$5,NFI,5,0),1,0)*Table_NFI[[#This Row],[Shelter Tool kit]],Table_NFI[Shelter Tool kit])</f>
        <v>0</v>
      </c>
      <c r="AP1147" s="331">
        <f>IF(NFI_Expiration=1,IF($A1147&lt;VLOOKUP(V$5,NFI,5,0),1,0)*Table_NFI[[#This Row],[Tent]],Table_NFI[Tent])</f>
        <v>0</v>
      </c>
      <c r="AQ1147" s="473" t="str">
        <f>IFERROR(VLOOKUP(Table_NFI[[#This Row],[Camp Name]],CL,2,0),"")</f>
        <v/>
      </c>
      <c r="AR1147" s="468" t="str">
        <f ca="1">IF(Table_NFI[[#This Row],[Pcode]]="","",IF(OFFSET(CampList[Opening Date],MATCH(Table_NFI[[#This Row],[Pcode]],CampList[CP_Pcode],0)-1,0,1,1)&gt;=NFI_Monitor_Date,1,0))</f>
        <v/>
      </c>
      <c r="AS1147" s="473" t="str">
        <f>IFERROR(VLOOKUP(Table_NFI[[#This Row],[Camp Name]],CL,3,0),"")</f>
        <v/>
      </c>
      <c r="AT1147" s="294" t="str">
        <f ca="1">IF(Table_NFI[[#This Row],[Pcode]]="","",OFFSET(CampList[Priority],MATCH(Table_NFI[[#This Row],[Pcode]],CampList[CP_Pcode],0)-1,0,1,1))</f>
        <v/>
      </c>
      <c r="AU1147" s="293" t="str">
        <f>IFERROR(Table_NFI[[#This Row],[Kitchen Set]]/VLOOKUP(Table_NFI[[#This Row],[Camp Name]],CL,4,0),"")</f>
        <v/>
      </c>
      <c r="AV1147" s="466"/>
      <c r="AW1147" s="469"/>
    </row>
    <row r="1148" spans="1:49" ht="14.45" customHeight="1" x14ac:dyDescent="0.25">
      <c r="A1148" s="297" t="str">
        <f t="shared" si="17"/>
        <v/>
      </c>
      <c r="B1148" s="465"/>
      <c r="C1148" s="466"/>
      <c r="D1148" s="466"/>
      <c r="E1148" s="466"/>
      <c r="F1148" s="466"/>
      <c r="G1148" s="466"/>
      <c r="H1148" s="291"/>
      <c r="I1148" s="291"/>
      <c r="J1148" s="291"/>
      <c r="K1148" s="291"/>
      <c r="L1148" s="292"/>
      <c r="M1148" s="292"/>
      <c r="N1148" s="292"/>
      <c r="O1148" s="292"/>
      <c r="P1148" s="294"/>
      <c r="Q1148" s="294"/>
      <c r="R1148" s="294"/>
      <c r="S1148" s="294"/>
      <c r="T1148" s="294"/>
      <c r="U1148" s="294"/>
      <c r="V1148" s="431"/>
      <c r="W1148" s="331"/>
      <c r="X1148" s="331"/>
      <c r="Y1148" s="294">
        <f>IF(NFI_Expiration=1,IF($A1148&lt;VLOOKUP(H$5,NFI,5,0),1,0)*Table_NFI[[#This Row],[Hygiene Kit]],Table_NFI[Hygiene Kit])</f>
        <v>0</v>
      </c>
      <c r="Z1148" s="294">
        <f>IF(NFI_Expiration=1,IF($A1148&lt;VLOOKUP(I$5,NFI,5,0),1,0)*Table_NFI[[#This Row],[NFI Core Kit]],Table_NFI[NFI Core Kit])</f>
        <v>0</v>
      </c>
      <c r="AA1148" s="294">
        <f>IF(NFI_Expiration=1,IF($A1148&lt;VLOOKUP(J$5,NFI,5,0),1,0)*Table_NFI[[#This Row],[Sanitary Kit]],Table_NFI[Sanitary Kit])</f>
        <v>0</v>
      </c>
      <c r="AB1148" s="294">
        <f>IF(NFI_Expiration=1,IF($A1148&lt;VLOOKUP(K$5,NFI,5,0),1,0)*Table_NFI[[#This Row],[Mosquito net]],Table_NFI[Mosquito net])</f>
        <v>0</v>
      </c>
      <c r="AC1148" s="294">
        <f>IF(NFI_Expiration=1,IF($A1148&lt;VLOOKUP(L$5,NFI,5,0),1,0)*Table_NFI[[#This Row],[Tarpaulin]],Table_NFI[[#This Row],[Tarpaulin]])</f>
        <v>0</v>
      </c>
      <c r="AD1148" s="294">
        <f>IF(NFI_Expiration=1,IF($A1148&lt;VLOOKUP(M$5,NFI,5,0),1,0)*Table_NFI[[#This Row],[Blanket]],Table_NFI[[#This Row],[Blanket]])</f>
        <v>0</v>
      </c>
      <c r="AE1148" s="294">
        <f>IF(NFI_Expiration=1,IF($A1148&lt;VLOOKUP(N$5,NFI,5,0),1,0)*Table_NFI[[#This Row],[Kitchen Set]],Table_NFI[Kitchen Set])</f>
        <v>0</v>
      </c>
      <c r="AF1148" s="294">
        <f>IF(NFI_Expiration=1,IF($A1148&lt;VLOOKUP(O$5,NFI,5,0),1,0)*Table_NFI[[#This Row],[Clothes Kit]],Table_NFI[Clothes Kit])</f>
        <v>0</v>
      </c>
      <c r="AG1148" s="294">
        <f>IF(NFI_Expiration=1,IF($A1148&lt;VLOOKUP(P$5,NFI,5,0),1,0)*Table_NFI[[#This Row],[Plastic Bucket]],Table_NFI[Plastic Bucket])</f>
        <v>0</v>
      </c>
      <c r="AH1148" s="294">
        <f>IF(NFI_Expiration=1,IF($A1148&lt;VLOOKUP(Q$5,NFI,5,0),1,0)*Table_NFI[[#This Row],[Plastic Mat]],Table_NFI[Plastic Mat])*IF(Table_NFI[[#This Row],[Distribution Date]]&gt;"2014-04-01",1,2.5)</f>
        <v>0</v>
      </c>
      <c r="AI1148" s="294">
        <f>IF(NFI_Expiration=1,IF($A1148&lt;VLOOKUP(R$5,NFI,5,0),1,0)*Table_NFI[[#This Row],[Winter Clothes Adult]],Table_NFI[Winter Clothes Adult])</f>
        <v>0</v>
      </c>
      <c r="AJ1148" s="294">
        <f>IF(NFI_Expiration=1,IF($A1148&lt;VLOOKUP(S$5,NFI,5,0),1,0)*Table_NFI[[#This Row],[Winter Clothes Children]],Table_NFI[Winter Clothes Children])</f>
        <v>0</v>
      </c>
      <c r="AK1148" s="294">
        <f>IF(NFI_Expiration=1,IF($A1148&lt;VLOOKUP(T$5,NFI,5,0),1,0)*Table_NFI[[#This Row],[Winter Items Other]],Table_NFI[Winter Items Other])</f>
        <v>0</v>
      </c>
      <c r="AL1148" s="294">
        <f>IF(NFI_Expiration=1,IF($A1148&lt;VLOOKUP(M$5,NFI,5,0),1,0)*Table_NFI[[#This Row],[Winter Blanket]],Table_NFI[[#This Row],[Winter Blanket]])</f>
        <v>0</v>
      </c>
      <c r="AM1148" s="294">
        <f>IF(Table_NFI[[#This Row],[Winter Clothes Adult]]+Table_NFI[[#This Row],[Winter Clothes Children]]+Table_NFI[[#This Row],[Winter Items Other]]+Table_NFI[[#This Row],[Winter Blanket]]&gt;0,1,0)</f>
        <v>0</v>
      </c>
      <c r="AN1148" s="331">
        <f>IF(NFI_Expiration=1,IF($A1148&lt;VLOOKUP(V$5,NFI,5,0),1,0)*Table_NFI[[#This Row],[Jerry Can]],Table_NFI[Jerry Can])</f>
        <v>0</v>
      </c>
      <c r="AO1148" s="331">
        <f>IF(NFI_Expiration=1,IF($A1148&lt;VLOOKUP(V$5,NFI,5,0),1,0)*Table_NFI[[#This Row],[Shelter Tool kit]],Table_NFI[Shelter Tool kit])</f>
        <v>0</v>
      </c>
      <c r="AP1148" s="331">
        <f>IF(NFI_Expiration=1,IF($A1148&lt;VLOOKUP(V$5,NFI,5,0),1,0)*Table_NFI[[#This Row],[Tent]],Table_NFI[Tent])</f>
        <v>0</v>
      </c>
      <c r="AQ1148" s="473" t="str">
        <f>IFERROR(VLOOKUP(Table_NFI[[#This Row],[Camp Name]],CL,2,0),"")</f>
        <v/>
      </c>
      <c r="AR1148" s="468" t="str">
        <f ca="1">IF(Table_NFI[[#This Row],[Pcode]]="","",IF(OFFSET(CampList[Opening Date],MATCH(Table_NFI[[#This Row],[Pcode]],CampList[CP_Pcode],0)-1,0,1,1)&gt;=NFI_Monitor_Date,1,0))</f>
        <v/>
      </c>
      <c r="AS1148" s="473" t="str">
        <f>IFERROR(VLOOKUP(Table_NFI[[#This Row],[Camp Name]],CL,3,0),"")</f>
        <v/>
      </c>
      <c r="AT1148" s="294" t="str">
        <f ca="1">IF(Table_NFI[[#This Row],[Pcode]]="","",OFFSET(CampList[Priority],MATCH(Table_NFI[[#This Row],[Pcode]],CampList[CP_Pcode],0)-1,0,1,1))</f>
        <v/>
      </c>
      <c r="AU1148" s="293" t="str">
        <f>IFERROR(Table_NFI[[#This Row],[Kitchen Set]]/VLOOKUP(Table_NFI[[#This Row],[Camp Name]],CL,4,0),"")</f>
        <v/>
      </c>
      <c r="AV1148" s="466"/>
      <c r="AW1148" s="469"/>
    </row>
    <row r="1149" spans="1:49" ht="14.45" customHeight="1" x14ac:dyDescent="0.25">
      <c r="A1149" s="297" t="str">
        <f t="shared" si="17"/>
        <v/>
      </c>
      <c r="B1149" s="465"/>
      <c r="C1149" s="466"/>
      <c r="D1149" s="466"/>
      <c r="E1149" s="466"/>
      <c r="F1149" s="466"/>
      <c r="G1149" s="466"/>
      <c r="H1149" s="291"/>
      <c r="I1149" s="291"/>
      <c r="J1149" s="291"/>
      <c r="K1149" s="291"/>
      <c r="L1149" s="292"/>
      <c r="M1149" s="292"/>
      <c r="N1149" s="292"/>
      <c r="O1149" s="292"/>
      <c r="P1149" s="294"/>
      <c r="Q1149" s="294"/>
      <c r="R1149" s="294"/>
      <c r="S1149" s="294"/>
      <c r="T1149" s="294"/>
      <c r="U1149" s="294"/>
      <c r="V1149" s="431"/>
      <c r="W1149" s="331"/>
      <c r="X1149" s="331"/>
      <c r="Y1149" s="294">
        <f>IF(NFI_Expiration=1,IF($A1149&lt;VLOOKUP(H$5,NFI,5,0),1,0)*Table_NFI[[#This Row],[Hygiene Kit]],Table_NFI[Hygiene Kit])</f>
        <v>0</v>
      </c>
      <c r="Z1149" s="294">
        <f>IF(NFI_Expiration=1,IF($A1149&lt;VLOOKUP(I$5,NFI,5,0),1,0)*Table_NFI[[#This Row],[NFI Core Kit]],Table_NFI[NFI Core Kit])</f>
        <v>0</v>
      </c>
      <c r="AA1149" s="294">
        <f>IF(NFI_Expiration=1,IF($A1149&lt;VLOOKUP(J$5,NFI,5,0),1,0)*Table_NFI[[#This Row],[Sanitary Kit]],Table_NFI[Sanitary Kit])</f>
        <v>0</v>
      </c>
      <c r="AB1149" s="294">
        <f>IF(NFI_Expiration=1,IF($A1149&lt;VLOOKUP(K$5,NFI,5,0),1,0)*Table_NFI[[#This Row],[Mosquito net]],Table_NFI[Mosquito net])</f>
        <v>0</v>
      </c>
      <c r="AC1149" s="294">
        <f>IF(NFI_Expiration=1,IF($A1149&lt;VLOOKUP(L$5,NFI,5,0),1,0)*Table_NFI[[#This Row],[Tarpaulin]],Table_NFI[[#This Row],[Tarpaulin]])</f>
        <v>0</v>
      </c>
      <c r="AD1149" s="294">
        <f>IF(NFI_Expiration=1,IF($A1149&lt;VLOOKUP(M$5,NFI,5,0),1,0)*Table_NFI[[#This Row],[Blanket]],Table_NFI[[#This Row],[Blanket]])</f>
        <v>0</v>
      </c>
      <c r="AE1149" s="294">
        <f>IF(NFI_Expiration=1,IF($A1149&lt;VLOOKUP(N$5,NFI,5,0),1,0)*Table_NFI[[#This Row],[Kitchen Set]],Table_NFI[Kitchen Set])</f>
        <v>0</v>
      </c>
      <c r="AF1149" s="294">
        <f>IF(NFI_Expiration=1,IF($A1149&lt;VLOOKUP(O$5,NFI,5,0),1,0)*Table_NFI[[#This Row],[Clothes Kit]],Table_NFI[Clothes Kit])</f>
        <v>0</v>
      </c>
      <c r="AG1149" s="294">
        <f>IF(NFI_Expiration=1,IF($A1149&lt;VLOOKUP(P$5,NFI,5,0),1,0)*Table_NFI[[#This Row],[Plastic Bucket]],Table_NFI[Plastic Bucket])</f>
        <v>0</v>
      </c>
      <c r="AH1149" s="294">
        <f>IF(NFI_Expiration=1,IF($A1149&lt;VLOOKUP(Q$5,NFI,5,0),1,0)*Table_NFI[[#This Row],[Plastic Mat]],Table_NFI[Plastic Mat])*IF(Table_NFI[[#This Row],[Distribution Date]]&gt;"2014-04-01",1,2.5)</f>
        <v>0</v>
      </c>
      <c r="AI1149" s="294">
        <f>IF(NFI_Expiration=1,IF($A1149&lt;VLOOKUP(R$5,NFI,5,0),1,0)*Table_NFI[[#This Row],[Winter Clothes Adult]],Table_NFI[Winter Clothes Adult])</f>
        <v>0</v>
      </c>
      <c r="AJ1149" s="294">
        <f>IF(NFI_Expiration=1,IF($A1149&lt;VLOOKUP(S$5,NFI,5,0),1,0)*Table_NFI[[#This Row],[Winter Clothes Children]],Table_NFI[Winter Clothes Children])</f>
        <v>0</v>
      </c>
      <c r="AK1149" s="294">
        <f>IF(NFI_Expiration=1,IF($A1149&lt;VLOOKUP(T$5,NFI,5,0),1,0)*Table_NFI[[#This Row],[Winter Items Other]],Table_NFI[Winter Items Other])</f>
        <v>0</v>
      </c>
      <c r="AL1149" s="294">
        <f>IF(NFI_Expiration=1,IF($A1149&lt;VLOOKUP(M$5,NFI,5,0),1,0)*Table_NFI[[#This Row],[Winter Blanket]],Table_NFI[[#This Row],[Winter Blanket]])</f>
        <v>0</v>
      </c>
      <c r="AM1149" s="294">
        <f>IF(Table_NFI[[#This Row],[Winter Clothes Adult]]+Table_NFI[[#This Row],[Winter Clothes Children]]+Table_NFI[[#This Row],[Winter Items Other]]+Table_NFI[[#This Row],[Winter Blanket]]&gt;0,1,0)</f>
        <v>0</v>
      </c>
      <c r="AN1149" s="331">
        <f>IF(NFI_Expiration=1,IF($A1149&lt;VLOOKUP(V$5,NFI,5,0),1,0)*Table_NFI[[#This Row],[Jerry Can]],Table_NFI[Jerry Can])</f>
        <v>0</v>
      </c>
      <c r="AO1149" s="331">
        <f>IF(NFI_Expiration=1,IF($A1149&lt;VLOOKUP(V$5,NFI,5,0),1,0)*Table_NFI[[#This Row],[Shelter Tool kit]],Table_NFI[Shelter Tool kit])</f>
        <v>0</v>
      </c>
      <c r="AP1149" s="331">
        <f>IF(NFI_Expiration=1,IF($A1149&lt;VLOOKUP(V$5,NFI,5,0),1,0)*Table_NFI[[#This Row],[Tent]],Table_NFI[Tent])</f>
        <v>0</v>
      </c>
      <c r="AQ1149" s="473" t="str">
        <f>IFERROR(VLOOKUP(Table_NFI[[#This Row],[Camp Name]],CL,2,0),"")</f>
        <v/>
      </c>
      <c r="AR1149" s="468" t="str">
        <f ca="1">IF(Table_NFI[[#This Row],[Pcode]]="","",IF(OFFSET(CampList[Opening Date],MATCH(Table_NFI[[#This Row],[Pcode]],CampList[CP_Pcode],0)-1,0,1,1)&gt;=NFI_Monitor_Date,1,0))</f>
        <v/>
      </c>
      <c r="AS1149" s="473" t="str">
        <f>IFERROR(VLOOKUP(Table_NFI[[#This Row],[Camp Name]],CL,3,0),"")</f>
        <v/>
      </c>
      <c r="AT1149" s="294" t="str">
        <f ca="1">IF(Table_NFI[[#This Row],[Pcode]]="","",OFFSET(CampList[Priority],MATCH(Table_NFI[[#This Row],[Pcode]],CampList[CP_Pcode],0)-1,0,1,1))</f>
        <v/>
      </c>
      <c r="AU1149" s="293" t="str">
        <f>IFERROR(Table_NFI[[#This Row],[Kitchen Set]]/VLOOKUP(Table_NFI[[#This Row],[Camp Name]],CL,4,0),"")</f>
        <v/>
      </c>
      <c r="AV1149" s="466"/>
      <c r="AW1149" s="469"/>
    </row>
    <row r="1150" spans="1:49" ht="14.45" customHeight="1" x14ac:dyDescent="0.25">
      <c r="A1150" s="297" t="str">
        <f t="shared" si="17"/>
        <v/>
      </c>
      <c r="B1150" s="465"/>
      <c r="C1150" s="466"/>
      <c r="D1150" s="466"/>
      <c r="E1150" s="466"/>
      <c r="F1150" s="466"/>
      <c r="G1150" s="466"/>
      <c r="H1150" s="291"/>
      <c r="I1150" s="291"/>
      <c r="J1150" s="291"/>
      <c r="K1150" s="291"/>
      <c r="L1150" s="292"/>
      <c r="M1150" s="292"/>
      <c r="N1150" s="292"/>
      <c r="O1150" s="292"/>
      <c r="P1150" s="294"/>
      <c r="Q1150" s="294"/>
      <c r="R1150" s="294"/>
      <c r="S1150" s="294"/>
      <c r="T1150" s="294"/>
      <c r="U1150" s="294"/>
      <c r="V1150" s="431"/>
      <c r="W1150" s="331"/>
      <c r="X1150" s="331"/>
      <c r="Y1150" s="294">
        <f>IF(NFI_Expiration=1,IF($A1150&lt;VLOOKUP(H$5,NFI,5,0),1,0)*Table_NFI[[#This Row],[Hygiene Kit]],Table_NFI[Hygiene Kit])</f>
        <v>0</v>
      </c>
      <c r="Z1150" s="294">
        <f>IF(NFI_Expiration=1,IF($A1150&lt;VLOOKUP(I$5,NFI,5,0),1,0)*Table_NFI[[#This Row],[NFI Core Kit]],Table_NFI[NFI Core Kit])</f>
        <v>0</v>
      </c>
      <c r="AA1150" s="294">
        <f>IF(NFI_Expiration=1,IF($A1150&lt;VLOOKUP(J$5,NFI,5,0),1,0)*Table_NFI[[#This Row],[Sanitary Kit]],Table_NFI[Sanitary Kit])</f>
        <v>0</v>
      </c>
      <c r="AB1150" s="294">
        <f>IF(NFI_Expiration=1,IF($A1150&lt;VLOOKUP(K$5,NFI,5,0),1,0)*Table_NFI[[#This Row],[Mosquito net]],Table_NFI[Mosquito net])</f>
        <v>0</v>
      </c>
      <c r="AC1150" s="294">
        <f>IF(NFI_Expiration=1,IF($A1150&lt;VLOOKUP(L$5,NFI,5,0),1,0)*Table_NFI[[#This Row],[Tarpaulin]],Table_NFI[[#This Row],[Tarpaulin]])</f>
        <v>0</v>
      </c>
      <c r="AD1150" s="294">
        <f>IF(NFI_Expiration=1,IF($A1150&lt;VLOOKUP(M$5,NFI,5,0),1,0)*Table_NFI[[#This Row],[Blanket]],Table_NFI[[#This Row],[Blanket]])</f>
        <v>0</v>
      </c>
      <c r="AE1150" s="294">
        <f>IF(NFI_Expiration=1,IF($A1150&lt;VLOOKUP(N$5,NFI,5,0),1,0)*Table_NFI[[#This Row],[Kitchen Set]],Table_NFI[Kitchen Set])</f>
        <v>0</v>
      </c>
      <c r="AF1150" s="294">
        <f>IF(NFI_Expiration=1,IF($A1150&lt;VLOOKUP(O$5,NFI,5,0),1,0)*Table_NFI[[#This Row],[Clothes Kit]],Table_NFI[Clothes Kit])</f>
        <v>0</v>
      </c>
      <c r="AG1150" s="294">
        <f>IF(NFI_Expiration=1,IF($A1150&lt;VLOOKUP(P$5,NFI,5,0),1,0)*Table_NFI[[#This Row],[Plastic Bucket]],Table_NFI[Plastic Bucket])</f>
        <v>0</v>
      </c>
      <c r="AH1150" s="294">
        <f>IF(NFI_Expiration=1,IF($A1150&lt;VLOOKUP(Q$5,NFI,5,0),1,0)*Table_NFI[[#This Row],[Plastic Mat]],Table_NFI[Plastic Mat])*IF(Table_NFI[[#This Row],[Distribution Date]]&gt;"2014-04-01",1,2.5)</f>
        <v>0</v>
      </c>
      <c r="AI1150" s="294">
        <f>IF(NFI_Expiration=1,IF($A1150&lt;VLOOKUP(R$5,NFI,5,0),1,0)*Table_NFI[[#This Row],[Winter Clothes Adult]],Table_NFI[Winter Clothes Adult])</f>
        <v>0</v>
      </c>
      <c r="AJ1150" s="294">
        <f>IF(NFI_Expiration=1,IF($A1150&lt;VLOOKUP(S$5,NFI,5,0),1,0)*Table_NFI[[#This Row],[Winter Clothes Children]],Table_NFI[Winter Clothes Children])</f>
        <v>0</v>
      </c>
      <c r="AK1150" s="294">
        <f>IF(NFI_Expiration=1,IF($A1150&lt;VLOOKUP(T$5,NFI,5,0),1,0)*Table_NFI[[#This Row],[Winter Items Other]],Table_NFI[Winter Items Other])</f>
        <v>0</v>
      </c>
      <c r="AL1150" s="294">
        <f>IF(NFI_Expiration=1,IF($A1150&lt;VLOOKUP(M$5,NFI,5,0),1,0)*Table_NFI[[#This Row],[Winter Blanket]],Table_NFI[[#This Row],[Winter Blanket]])</f>
        <v>0</v>
      </c>
      <c r="AM1150" s="294">
        <f>IF(Table_NFI[[#This Row],[Winter Clothes Adult]]+Table_NFI[[#This Row],[Winter Clothes Children]]+Table_NFI[[#This Row],[Winter Items Other]]+Table_NFI[[#This Row],[Winter Blanket]]&gt;0,1,0)</f>
        <v>0</v>
      </c>
      <c r="AN1150" s="331">
        <f>IF(NFI_Expiration=1,IF($A1150&lt;VLOOKUP(V$5,NFI,5,0),1,0)*Table_NFI[[#This Row],[Jerry Can]],Table_NFI[Jerry Can])</f>
        <v>0</v>
      </c>
      <c r="AO1150" s="331">
        <f>IF(NFI_Expiration=1,IF($A1150&lt;VLOOKUP(V$5,NFI,5,0),1,0)*Table_NFI[[#This Row],[Shelter Tool kit]],Table_NFI[Shelter Tool kit])</f>
        <v>0</v>
      </c>
      <c r="AP1150" s="331">
        <f>IF(NFI_Expiration=1,IF($A1150&lt;VLOOKUP(V$5,NFI,5,0),1,0)*Table_NFI[[#This Row],[Tent]],Table_NFI[Tent])</f>
        <v>0</v>
      </c>
      <c r="AQ1150" s="473" t="str">
        <f>IFERROR(VLOOKUP(Table_NFI[[#This Row],[Camp Name]],CL,2,0),"")</f>
        <v/>
      </c>
      <c r="AR1150" s="468" t="str">
        <f ca="1">IF(Table_NFI[[#This Row],[Pcode]]="","",IF(OFFSET(CampList[Opening Date],MATCH(Table_NFI[[#This Row],[Pcode]],CampList[CP_Pcode],0)-1,0,1,1)&gt;=NFI_Monitor_Date,1,0))</f>
        <v/>
      </c>
      <c r="AS1150" s="473" t="str">
        <f>IFERROR(VLOOKUP(Table_NFI[[#This Row],[Camp Name]],CL,3,0),"")</f>
        <v/>
      </c>
      <c r="AT1150" s="294" t="str">
        <f ca="1">IF(Table_NFI[[#This Row],[Pcode]]="","",OFFSET(CampList[Priority],MATCH(Table_NFI[[#This Row],[Pcode]],CampList[CP_Pcode],0)-1,0,1,1))</f>
        <v/>
      </c>
      <c r="AU1150" s="293" t="str">
        <f>IFERROR(Table_NFI[[#This Row],[Kitchen Set]]/VLOOKUP(Table_NFI[[#This Row],[Camp Name]],CL,4,0),"")</f>
        <v/>
      </c>
      <c r="AV1150" s="466"/>
      <c r="AW1150" s="469"/>
    </row>
    <row r="1151" spans="1:49" ht="14.45" customHeight="1" x14ac:dyDescent="0.25">
      <c r="A1151" s="297" t="str">
        <f t="shared" si="17"/>
        <v/>
      </c>
      <c r="B1151" s="465"/>
      <c r="C1151" s="466"/>
      <c r="D1151" s="466"/>
      <c r="E1151" s="466"/>
      <c r="F1151" s="466"/>
      <c r="G1151" s="466"/>
      <c r="H1151" s="291"/>
      <c r="I1151" s="291"/>
      <c r="J1151" s="291"/>
      <c r="K1151" s="291"/>
      <c r="L1151" s="292"/>
      <c r="M1151" s="292"/>
      <c r="N1151" s="292"/>
      <c r="O1151" s="292"/>
      <c r="P1151" s="294"/>
      <c r="Q1151" s="294"/>
      <c r="R1151" s="294"/>
      <c r="S1151" s="294"/>
      <c r="T1151" s="294"/>
      <c r="U1151" s="294"/>
      <c r="V1151" s="431"/>
      <c r="W1151" s="331"/>
      <c r="X1151" s="331"/>
      <c r="Y1151" s="294">
        <f>IF(NFI_Expiration=1,IF($A1151&lt;VLOOKUP(H$5,NFI,5,0),1,0)*Table_NFI[[#This Row],[Hygiene Kit]],Table_NFI[Hygiene Kit])</f>
        <v>0</v>
      </c>
      <c r="Z1151" s="294">
        <f>IF(NFI_Expiration=1,IF($A1151&lt;VLOOKUP(I$5,NFI,5,0),1,0)*Table_NFI[[#This Row],[NFI Core Kit]],Table_NFI[NFI Core Kit])</f>
        <v>0</v>
      </c>
      <c r="AA1151" s="294">
        <f>IF(NFI_Expiration=1,IF($A1151&lt;VLOOKUP(J$5,NFI,5,0),1,0)*Table_NFI[[#This Row],[Sanitary Kit]],Table_NFI[Sanitary Kit])</f>
        <v>0</v>
      </c>
      <c r="AB1151" s="294">
        <f>IF(NFI_Expiration=1,IF($A1151&lt;VLOOKUP(K$5,NFI,5,0),1,0)*Table_NFI[[#This Row],[Mosquito net]],Table_NFI[Mosquito net])</f>
        <v>0</v>
      </c>
      <c r="AC1151" s="294">
        <f>IF(NFI_Expiration=1,IF($A1151&lt;VLOOKUP(L$5,NFI,5,0),1,0)*Table_NFI[[#This Row],[Tarpaulin]],Table_NFI[[#This Row],[Tarpaulin]])</f>
        <v>0</v>
      </c>
      <c r="AD1151" s="294">
        <f>IF(NFI_Expiration=1,IF($A1151&lt;VLOOKUP(M$5,NFI,5,0),1,0)*Table_NFI[[#This Row],[Blanket]],Table_NFI[[#This Row],[Blanket]])</f>
        <v>0</v>
      </c>
      <c r="AE1151" s="294">
        <f>IF(NFI_Expiration=1,IF($A1151&lt;VLOOKUP(N$5,NFI,5,0),1,0)*Table_NFI[[#This Row],[Kitchen Set]],Table_NFI[Kitchen Set])</f>
        <v>0</v>
      </c>
      <c r="AF1151" s="294">
        <f>IF(NFI_Expiration=1,IF($A1151&lt;VLOOKUP(O$5,NFI,5,0),1,0)*Table_NFI[[#This Row],[Clothes Kit]],Table_NFI[Clothes Kit])</f>
        <v>0</v>
      </c>
      <c r="AG1151" s="294">
        <f>IF(NFI_Expiration=1,IF($A1151&lt;VLOOKUP(P$5,NFI,5,0),1,0)*Table_NFI[[#This Row],[Plastic Bucket]],Table_NFI[Plastic Bucket])</f>
        <v>0</v>
      </c>
      <c r="AH1151" s="294">
        <f>IF(NFI_Expiration=1,IF($A1151&lt;VLOOKUP(Q$5,NFI,5,0),1,0)*Table_NFI[[#This Row],[Plastic Mat]],Table_NFI[Plastic Mat])*IF(Table_NFI[[#This Row],[Distribution Date]]&gt;"2014-04-01",1,2.5)</f>
        <v>0</v>
      </c>
      <c r="AI1151" s="294">
        <f>IF(NFI_Expiration=1,IF($A1151&lt;VLOOKUP(R$5,NFI,5,0),1,0)*Table_NFI[[#This Row],[Winter Clothes Adult]],Table_NFI[Winter Clothes Adult])</f>
        <v>0</v>
      </c>
      <c r="AJ1151" s="294">
        <f>IF(NFI_Expiration=1,IF($A1151&lt;VLOOKUP(S$5,NFI,5,0),1,0)*Table_NFI[[#This Row],[Winter Clothes Children]],Table_NFI[Winter Clothes Children])</f>
        <v>0</v>
      </c>
      <c r="AK1151" s="294">
        <f>IF(NFI_Expiration=1,IF($A1151&lt;VLOOKUP(T$5,NFI,5,0),1,0)*Table_NFI[[#This Row],[Winter Items Other]],Table_NFI[Winter Items Other])</f>
        <v>0</v>
      </c>
      <c r="AL1151" s="294">
        <f>IF(NFI_Expiration=1,IF($A1151&lt;VLOOKUP(M$5,NFI,5,0),1,0)*Table_NFI[[#This Row],[Winter Blanket]],Table_NFI[[#This Row],[Winter Blanket]])</f>
        <v>0</v>
      </c>
      <c r="AM1151" s="294">
        <f>IF(Table_NFI[[#This Row],[Winter Clothes Adult]]+Table_NFI[[#This Row],[Winter Clothes Children]]+Table_NFI[[#This Row],[Winter Items Other]]+Table_NFI[[#This Row],[Winter Blanket]]&gt;0,1,0)</f>
        <v>0</v>
      </c>
      <c r="AN1151" s="331">
        <f>IF(NFI_Expiration=1,IF($A1151&lt;VLOOKUP(V$5,NFI,5,0),1,0)*Table_NFI[[#This Row],[Jerry Can]],Table_NFI[Jerry Can])</f>
        <v>0</v>
      </c>
      <c r="AO1151" s="331">
        <f>IF(NFI_Expiration=1,IF($A1151&lt;VLOOKUP(V$5,NFI,5,0),1,0)*Table_NFI[[#This Row],[Shelter Tool kit]],Table_NFI[Shelter Tool kit])</f>
        <v>0</v>
      </c>
      <c r="AP1151" s="331">
        <f>IF(NFI_Expiration=1,IF($A1151&lt;VLOOKUP(V$5,NFI,5,0),1,0)*Table_NFI[[#This Row],[Tent]],Table_NFI[Tent])</f>
        <v>0</v>
      </c>
      <c r="AQ1151" s="473" t="str">
        <f>IFERROR(VLOOKUP(Table_NFI[[#This Row],[Camp Name]],CL,2,0),"")</f>
        <v/>
      </c>
      <c r="AR1151" s="468" t="str">
        <f ca="1">IF(Table_NFI[[#This Row],[Pcode]]="","",IF(OFFSET(CampList[Opening Date],MATCH(Table_NFI[[#This Row],[Pcode]],CampList[CP_Pcode],0)-1,0,1,1)&gt;=NFI_Monitor_Date,1,0))</f>
        <v/>
      </c>
      <c r="AS1151" s="473" t="str">
        <f>IFERROR(VLOOKUP(Table_NFI[[#This Row],[Camp Name]],CL,3,0),"")</f>
        <v/>
      </c>
      <c r="AT1151" s="294" t="str">
        <f ca="1">IF(Table_NFI[[#This Row],[Pcode]]="","",OFFSET(CampList[Priority],MATCH(Table_NFI[[#This Row],[Pcode]],CampList[CP_Pcode],0)-1,0,1,1))</f>
        <v/>
      </c>
      <c r="AU1151" s="293" t="str">
        <f>IFERROR(Table_NFI[[#This Row],[Kitchen Set]]/VLOOKUP(Table_NFI[[#This Row],[Camp Name]],CL,4,0),"")</f>
        <v/>
      </c>
      <c r="AV1151" s="466"/>
      <c r="AW1151" s="469"/>
    </row>
    <row r="1152" spans="1:49" ht="14.45" customHeight="1" x14ac:dyDescent="0.25">
      <c r="A1152" s="297" t="str">
        <f t="shared" si="17"/>
        <v/>
      </c>
      <c r="B1152" s="465"/>
      <c r="C1152" s="466"/>
      <c r="D1152" s="466"/>
      <c r="E1152" s="466"/>
      <c r="F1152" s="466"/>
      <c r="G1152" s="466"/>
      <c r="H1152" s="291"/>
      <c r="I1152" s="291"/>
      <c r="J1152" s="291"/>
      <c r="K1152" s="291"/>
      <c r="L1152" s="292"/>
      <c r="M1152" s="292"/>
      <c r="N1152" s="292"/>
      <c r="O1152" s="292"/>
      <c r="P1152" s="294"/>
      <c r="Q1152" s="294"/>
      <c r="R1152" s="294"/>
      <c r="S1152" s="294"/>
      <c r="T1152" s="294"/>
      <c r="U1152" s="294"/>
      <c r="V1152" s="431"/>
      <c r="W1152" s="331"/>
      <c r="X1152" s="331"/>
      <c r="Y1152" s="294">
        <f>IF(NFI_Expiration=1,IF($A1152&lt;VLOOKUP(H$5,NFI,5,0),1,0)*Table_NFI[[#This Row],[Hygiene Kit]],Table_NFI[Hygiene Kit])</f>
        <v>0</v>
      </c>
      <c r="Z1152" s="294">
        <f>IF(NFI_Expiration=1,IF($A1152&lt;VLOOKUP(I$5,NFI,5,0),1,0)*Table_NFI[[#This Row],[NFI Core Kit]],Table_NFI[NFI Core Kit])</f>
        <v>0</v>
      </c>
      <c r="AA1152" s="294">
        <f>IF(NFI_Expiration=1,IF($A1152&lt;VLOOKUP(J$5,NFI,5,0),1,0)*Table_NFI[[#This Row],[Sanitary Kit]],Table_NFI[Sanitary Kit])</f>
        <v>0</v>
      </c>
      <c r="AB1152" s="294">
        <f>IF(NFI_Expiration=1,IF($A1152&lt;VLOOKUP(K$5,NFI,5,0),1,0)*Table_NFI[[#This Row],[Mosquito net]],Table_NFI[Mosquito net])</f>
        <v>0</v>
      </c>
      <c r="AC1152" s="294">
        <f>IF(NFI_Expiration=1,IF($A1152&lt;VLOOKUP(L$5,NFI,5,0),1,0)*Table_NFI[[#This Row],[Tarpaulin]],Table_NFI[[#This Row],[Tarpaulin]])</f>
        <v>0</v>
      </c>
      <c r="AD1152" s="294">
        <f>IF(NFI_Expiration=1,IF($A1152&lt;VLOOKUP(M$5,NFI,5,0),1,0)*Table_NFI[[#This Row],[Blanket]],Table_NFI[[#This Row],[Blanket]])</f>
        <v>0</v>
      </c>
      <c r="AE1152" s="294">
        <f>IF(NFI_Expiration=1,IF($A1152&lt;VLOOKUP(N$5,NFI,5,0),1,0)*Table_NFI[[#This Row],[Kitchen Set]],Table_NFI[Kitchen Set])</f>
        <v>0</v>
      </c>
      <c r="AF1152" s="294">
        <f>IF(NFI_Expiration=1,IF($A1152&lt;VLOOKUP(O$5,NFI,5,0),1,0)*Table_NFI[[#This Row],[Clothes Kit]],Table_NFI[Clothes Kit])</f>
        <v>0</v>
      </c>
      <c r="AG1152" s="294">
        <f>IF(NFI_Expiration=1,IF($A1152&lt;VLOOKUP(P$5,NFI,5,0),1,0)*Table_NFI[[#This Row],[Plastic Bucket]],Table_NFI[Plastic Bucket])</f>
        <v>0</v>
      </c>
      <c r="AH1152" s="294">
        <f>IF(NFI_Expiration=1,IF($A1152&lt;VLOOKUP(Q$5,NFI,5,0),1,0)*Table_NFI[[#This Row],[Plastic Mat]],Table_NFI[Plastic Mat])*IF(Table_NFI[[#This Row],[Distribution Date]]&gt;"2014-04-01",1,2.5)</f>
        <v>0</v>
      </c>
      <c r="AI1152" s="294">
        <f>IF(NFI_Expiration=1,IF($A1152&lt;VLOOKUP(R$5,NFI,5,0),1,0)*Table_NFI[[#This Row],[Winter Clothes Adult]],Table_NFI[Winter Clothes Adult])</f>
        <v>0</v>
      </c>
      <c r="AJ1152" s="294">
        <f>IF(NFI_Expiration=1,IF($A1152&lt;VLOOKUP(S$5,NFI,5,0),1,0)*Table_NFI[[#This Row],[Winter Clothes Children]],Table_NFI[Winter Clothes Children])</f>
        <v>0</v>
      </c>
      <c r="AK1152" s="294">
        <f>IF(NFI_Expiration=1,IF($A1152&lt;VLOOKUP(T$5,NFI,5,0),1,0)*Table_NFI[[#This Row],[Winter Items Other]],Table_NFI[Winter Items Other])</f>
        <v>0</v>
      </c>
      <c r="AL1152" s="294">
        <f>IF(NFI_Expiration=1,IF($A1152&lt;VLOOKUP(M$5,NFI,5,0),1,0)*Table_NFI[[#This Row],[Winter Blanket]],Table_NFI[[#This Row],[Winter Blanket]])</f>
        <v>0</v>
      </c>
      <c r="AM1152" s="294">
        <f>IF(Table_NFI[[#This Row],[Winter Clothes Adult]]+Table_NFI[[#This Row],[Winter Clothes Children]]+Table_NFI[[#This Row],[Winter Items Other]]+Table_NFI[[#This Row],[Winter Blanket]]&gt;0,1,0)</f>
        <v>0</v>
      </c>
      <c r="AN1152" s="331">
        <f>IF(NFI_Expiration=1,IF($A1152&lt;VLOOKUP(V$5,NFI,5,0),1,0)*Table_NFI[[#This Row],[Jerry Can]],Table_NFI[Jerry Can])</f>
        <v>0</v>
      </c>
      <c r="AO1152" s="331">
        <f>IF(NFI_Expiration=1,IF($A1152&lt;VLOOKUP(V$5,NFI,5,0),1,0)*Table_NFI[[#This Row],[Shelter Tool kit]],Table_NFI[Shelter Tool kit])</f>
        <v>0</v>
      </c>
      <c r="AP1152" s="331">
        <f>IF(NFI_Expiration=1,IF($A1152&lt;VLOOKUP(V$5,NFI,5,0),1,0)*Table_NFI[[#This Row],[Tent]],Table_NFI[Tent])</f>
        <v>0</v>
      </c>
      <c r="AQ1152" s="473" t="str">
        <f>IFERROR(VLOOKUP(Table_NFI[[#This Row],[Camp Name]],CL,2,0),"")</f>
        <v/>
      </c>
      <c r="AR1152" s="468" t="str">
        <f ca="1">IF(Table_NFI[[#This Row],[Pcode]]="","",IF(OFFSET(CampList[Opening Date],MATCH(Table_NFI[[#This Row],[Pcode]],CampList[CP_Pcode],0)-1,0,1,1)&gt;=NFI_Monitor_Date,1,0))</f>
        <v/>
      </c>
      <c r="AS1152" s="473" t="str">
        <f>IFERROR(VLOOKUP(Table_NFI[[#This Row],[Camp Name]],CL,3,0),"")</f>
        <v/>
      </c>
      <c r="AT1152" s="294" t="str">
        <f ca="1">IF(Table_NFI[[#This Row],[Pcode]]="","",OFFSET(CampList[Priority],MATCH(Table_NFI[[#This Row],[Pcode]],CampList[CP_Pcode],0)-1,0,1,1))</f>
        <v/>
      </c>
      <c r="AU1152" s="293" t="str">
        <f>IFERROR(Table_NFI[[#This Row],[Kitchen Set]]/VLOOKUP(Table_NFI[[#This Row],[Camp Name]],CL,4,0),"")</f>
        <v/>
      </c>
      <c r="AV1152" s="471"/>
      <c r="AW1152" s="474"/>
    </row>
    <row r="1153" spans="1:49" ht="14.45" customHeight="1" x14ac:dyDescent="0.25">
      <c r="A1153" s="297" t="str">
        <f t="shared" si="17"/>
        <v/>
      </c>
      <c r="B1153" s="465"/>
      <c r="C1153" s="471"/>
      <c r="D1153" s="471"/>
      <c r="E1153" s="471"/>
      <c r="F1153" s="466"/>
      <c r="G1153" s="471"/>
      <c r="H1153" s="292"/>
      <c r="I1153" s="292"/>
      <c r="J1153" s="292"/>
      <c r="K1153" s="292"/>
      <c r="L1153" s="292"/>
      <c r="M1153" s="292"/>
      <c r="N1153" s="292"/>
      <c r="O1153" s="292"/>
      <c r="P1153" s="294"/>
      <c r="Q1153" s="294"/>
      <c r="R1153" s="294"/>
      <c r="S1153" s="294"/>
      <c r="T1153" s="294"/>
      <c r="U1153" s="294"/>
      <c r="V1153" s="431"/>
      <c r="W1153" s="331"/>
      <c r="X1153" s="331"/>
      <c r="Y1153" s="294">
        <f>IF(NFI_Expiration=1,IF($A1153&lt;VLOOKUP(H$5,NFI,5,0),1,0)*Table_NFI[[#This Row],[Hygiene Kit]],Table_NFI[Hygiene Kit])</f>
        <v>0</v>
      </c>
      <c r="Z1153" s="294">
        <f>IF(NFI_Expiration=1,IF($A1153&lt;VLOOKUP(I$5,NFI,5,0),1,0)*Table_NFI[[#This Row],[NFI Core Kit]],Table_NFI[NFI Core Kit])</f>
        <v>0</v>
      </c>
      <c r="AA1153" s="294">
        <f>IF(NFI_Expiration=1,IF($A1153&lt;VLOOKUP(J$5,NFI,5,0),1,0)*Table_NFI[[#This Row],[Sanitary Kit]],Table_NFI[Sanitary Kit])</f>
        <v>0</v>
      </c>
      <c r="AB1153" s="294">
        <f>IF(NFI_Expiration=1,IF($A1153&lt;VLOOKUP(K$5,NFI,5,0),1,0)*Table_NFI[[#This Row],[Mosquito net]],Table_NFI[Mosquito net])</f>
        <v>0</v>
      </c>
      <c r="AC1153" s="294">
        <f>IF(NFI_Expiration=1,IF($A1153&lt;VLOOKUP(L$5,NFI,5,0),1,0)*Table_NFI[[#This Row],[Tarpaulin]],Table_NFI[[#This Row],[Tarpaulin]])</f>
        <v>0</v>
      </c>
      <c r="AD1153" s="294">
        <f>IF(NFI_Expiration=1,IF($A1153&lt;VLOOKUP(M$5,NFI,5,0),1,0)*Table_NFI[[#This Row],[Blanket]],Table_NFI[[#This Row],[Blanket]])</f>
        <v>0</v>
      </c>
      <c r="AE1153" s="294">
        <f>IF(NFI_Expiration=1,IF($A1153&lt;VLOOKUP(N$5,NFI,5,0),1,0)*Table_NFI[[#This Row],[Kitchen Set]],Table_NFI[Kitchen Set])</f>
        <v>0</v>
      </c>
      <c r="AF1153" s="294">
        <f>IF(NFI_Expiration=1,IF($A1153&lt;VLOOKUP(O$5,NFI,5,0),1,0)*Table_NFI[[#This Row],[Clothes Kit]],Table_NFI[Clothes Kit])</f>
        <v>0</v>
      </c>
      <c r="AG1153" s="294">
        <f>IF(NFI_Expiration=1,IF($A1153&lt;VLOOKUP(P$5,NFI,5,0),1,0)*Table_NFI[[#This Row],[Plastic Bucket]],Table_NFI[Plastic Bucket])</f>
        <v>0</v>
      </c>
      <c r="AH1153" s="294">
        <f>IF(NFI_Expiration=1,IF($A1153&lt;VLOOKUP(Q$5,NFI,5,0),1,0)*Table_NFI[[#This Row],[Plastic Mat]],Table_NFI[Plastic Mat])*IF(Table_NFI[[#This Row],[Distribution Date]]&gt;"2014-04-01",1,2.5)</f>
        <v>0</v>
      </c>
      <c r="AI1153" s="294">
        <f>IF(NFI_Expiration=1,IF($A1153&lt;VLOOKUP(R$5,NFI,5,0),1,0)*Table_NFI[[#This Row],[Winter Clothes Adult]],Table_NFI[Winter Clothes Adult])</f>
        <v>0</v>
      </c>
      <c r="AJ1153" s="294">
        <f>IF(NFI_Expiration=1,IF($A1153&lt;VLOOKUP(S$5,NFI,5,0),1,0)*Table_NFI[[#This Row],[Winter Clothes Children]],Table_NFI[Winter Clothes Children])</f>
        <v>0</v>
      </c>
      <c r="AK1153" s="294">
        <f>IF(NFI_Expiration=1,IF($A1153&lt;VLOOKUP(T$5,NFI,5,0),1,0)*Table_NFI[[#This Row],[Winter Items Other]],Table_NFI[Winter Items Other])</f>
        <v>0</v>
      </c>
      <c r="AL1153" s="294">
        <f>IF(NFI_Expiration=1,IF($A1153&lt;VLOOKUP(M$5,NFI,5,0),1,0)*Table_NFI[[#This Row],[Winter Blanket]],Table_NFI[[#This Row],[Winter Blanket]])</f>
        <v>0</v>
      </c>
      <c r="AM1153" s="294">
        <f>IF(Table_NFI[[#This Row],[Winter Clothes Adult]]+Table_NFI[[#This Row],[Winter Clothes Children]]+Table_NFI[[#This Row],[Winter Items Other]]+Table_NFI[[#This Row],[Winter Blanket]]&gt;0,1,0)</f>
        <v>0</v>
      </c>
      <c r="AN1153" s="331">
        <f>IF(NFI_Expiration=1,IF($A1153&lt;VLOOKUP(V$5,NFI,5,0),1,0)*Table_NFI[[#This Row],[Jerry Can]],Table_NFI[Jerry Can])</f>
        <v>0</v>
      </c>
      <c r="AO1153" s="331">
        <f>IF(NFI_Expiration=1,IF($A1153&lt;VLOOKUP(V$5,NFI,5,0),1,0)*Table_NFI[[#This Row],[Shelter Tool kit]],Table_NFI[Shelter Tool kit])</f>
        <v>0</v>
      </c>
      <c r="AP1153" s="331">
        <f>IF(NFI_Expiration=1,IF($A1153&lt;VLOOKUP(V$5,NFI,5,0),1,0)*Table_NFI[[#This Row],[Tent]],Table_NFI[Tent])</f>
        <v>0</v>
      </c>
      <c r="AQ1153" s="473" t="str">
        <f>IFERROR(VLOOKUP(Table_NFI[[#This Row],[Camp Name]],CL,2,0),"")</f>
        <v/>
      </c>
      <c r="AR1153" s="468" t="str">
        <f ca="1">IF(Table_NFI[[#This Row],[Pcode]]="","",IF(OFFSET(CampList[Opening Date],MATCH(Table_NFI[[#This Row],[Pcode]],CampList[CP_Pcode],0)-1,0,1,1)&gt;=NFI_Monitor_Date,1,0))</f>
        <v/>
      </c>
      <c r="AS1153" s="473" t="str">
        <f>IFERROR(VLOOKUP(Table_NFI[[#This Row],[Camp Name]],CL,3,0),"")</f>
        <v/>
      </c>
      <c r="AT1153" s="294" t="str">
        <f ca="1">IF(Table_NFI[[#This Row],[Pcode]]="","",OFFSET(CampList[Priority],MATCH(Table_NFI[[#This Row],[Pcode]],CampList[CP_Pcode],0)-1,0,1,1))</f>
        <v/>
      </c>
      <c r="AU1153" s="293" t="str">
        <f>IFERROR(Table_NFI[[#This Row],[Kitchen Set]]/VLOOKUP(Table_NFI[[#This Row],[Camp Name]],CL,4,0),"")</f>
        <v/>
      </c>
      <c r="AV1153" s="466"/>
      <c r="AW1153" s="490"/>
    </row>
    <row r="1154" spans="1:49" ht="14.45" customHeight="1" x14ac:dyDescent="0.25">
      <c r="A1154" s="297" t="str">
        <f t="shared" si="17"/>
        <v/>
      </c>
      <c r="B1154" s="465"/>
      <c r="C1154" s="466"/>
      <c r="D1154" s="466"/>
      <c r="E1154" s="466"/>
      <c r="F1154" s="466"/>
      <c r="G1154" s="466"/>
      <c r="H1154" s="291"/>
      <c r="I1154" s="291"/>
      <c r="J1154" s="291"/>
      <c r="K1154" s="291"/>
      <c r="L1154" s="292"/>
      <c r="M1154" s="292"/>
      <c r="N1154" s="292"/>
      <c r="O1154" s="292"/>
      <c r="P1154" s="294"/>
      <c r="Q1154" s="294"/>
      <c r="R1154" s="294"/>
      <c r="S1154" s="294"/>
      <c r="T1154" s="294"/>
      <c r="U1154" s="294"/>
      <c r="V1154" s="431"/>
      <c r="W1154" s="331"/>
      <c r="X1154" s="331"/>
      <c r="Y1154" s="294">
        <f>IF(NFI_Expiration=1,IF($A1154&lt;VLOOKUP(H$5,NFI,5,0),1,0)*Table_NFI[[#This Row],[Hygiene Kit]],Table_NFI[Hygiene Kit])</f>
        <v>0</v>
      </c>
      <c r="Z1154" s="294">
        <f>IF(NFI_Expiration=1,IF($A1154&lt;VLOOKUP(I$5,NFI,5,0),1,0)*Table_NFI[[#This Row],[NFI Core Kit]],Table_NFI[NFI Core Kit])</f>
        <v>0</v>
      </c>
      <c r="AA1154" s="294">
        <f>IF(NFI_Expiration=1,IF($A1154&lt;VLOOKUP(J$5,NFI,5,0),1,0)*Table_NFI[[#This Row],[Sanitary Kit]],Table_NFI[Sanitary Kit])</f>
        <v>0</v>
      </c>
      <c r="AB1154" s="294">
        <f>IF(NFI_Expiration=1,IF($A1154&lt;VLOOKUP(K$5,NFI,5,0),1,0)*Table_NFI[[#This Row],[Mosquito net]],Table_NFI[Mosquito net])</f>
        <v>0</v>
      </c>
      <c r="AC1154" s="294">
        <f>IF(NFI_Expiration=1,IF($A1154&lt;VLOOKUP(L$5,NFI,5,0),1,0)*Table_NFI[[#This Row],[Tarpaulin]],Table_NFI[[#This Row],[Tarpaulin]])</f>
        <v>0</v>
      </c>
      <c r="AD1154" s="294">
        <f>IF(NFI_Expiration=1,IF($A1154&lt;VLOOKUP(M$5,NFI,5,0),1,0)*Table_NFI[[#This Row],[Blanket]],Table_NFI[[#This Row],[Blanket]])</f>
        <v>0</v>
      </c>
      <c r="AE1154" s="294">
        <f>IF(NFI_Expiration=1,IF($A1154&lt;VLOOKUP(N$5,NFI,5,0),1,0)*Table_NFI[[#This Row],[Kitchen Set]],Table_NFI[Kitchen Set])</f>
        <v>0</v>
      </c>
      <c r="AF1154" s="294">
        <f>IF(NFI_Expiration=1,IF($A1154&lt;VLOOKUP(O$5,NFI,5,0),1,0)*Table_NFI[[#This Row],[Clothes Kit]],Table_NFI[Clothes Kit])</f>
        <v>0</v>
      </c>
      <c r="AG1154" s="294">
        <f>IF(NFI_Expiration=1,IF($A1154&lt;VLOOKUP(P$5,NFI,5,0),1,0)*Table_NFI[[#This Row],[Plastic Bucket]],Table_NFI[Plastic Bucket])</f>
        <v>0</v>
      </c>
      <c r="AH1154" s="294">
        <f>IF(NFI_Expiration=1,IF($A1154&lt;VLOOKUP(Q$5,NFI,5,0),1,0)*Table_NFI[[#This Row],[Plastic Mat]],Table_NFI[Plastic Mat])*IF(Table_NFI[[#This Row],[Distribution Date]]&gt;"2014-04-01",1,2.5)</f>
        <v>0</v>
      </c>
      <c r="AI1154" s="294">
        <f>IF(NFI_Expiration=1,IF($A1154&lt;VLOOKUP(R$5,NFI,5,0),1,0)*Table_NFI[[#This Row],[Winter Clothes Adult]],Table_NFI[Winter Clothes Adult])</f>
        <v>0</v>
      </c>
      <c r="AJ1154" s="294">
        <f>IF(NFI_Expiration=1,IF($A1154&lt;VLOOKUP(S$5,NFI,5,0),1,0)*Table_NFI[[#This Row],[Winter Clothes Children]],Table_NFI[Winter Clothes Children])</f>
        <v>0</v>
      </c>
      <c r="AK1154" s="294">
        <f>IF(NFI_Expiration=1,IF($A1154&lt;VLOOKUP(T$5,NFI,5,0),1,0)*Table_NFI[[#This Row],[Winter Items Other]],Table_NFI[Winter Items Other])</f>
        <v>0</v>
      </c>
      <c r="AL1154" s="294">
        <f>IF(NFI_Expiration=1,IF($A1154&lt;VLOOKUP(M$5,NFI,5,0),1,0)*Table_NFI[[#This Row],[Winter Blanket]],Table_NFI[[#This Row],[Winter Blanket]])</f>
        <v>0</v>
      </c>
      <c r="AM1154" s="294">
        <f>IF(Table_NFI[[#This Row],[Winter Clothes Adult]]+Table_NFI[[#This Row],[Winter Clothes Children]]+Table_NFI[[#This Row],[Winter Items Other]]+Table_NFI[[#This Row],[Winter Blanket]]&gt;0,1,0)</f>
        <v>0</v>
      </c>
      <c r="AN1154" s="331">
        <f>IF(NFI_Expiration=1,IF($A1154&lt;VLOOKUP(V$5,NFI,5,0),1,0)*Table_NFI[[#This Row],[Jerry Can]],Table_NFI[Jerry Can])</f>
        <v>0</v>
      </c>
      <c r="AO1154" s="331">
        <f>IF(NFI_Expiration=1,IF($A1154&lt;VLOOKUP(V$5,NFI,5,0),1,0)*Table_NFI[[#This Row],[Shelter Tool kit]],Table_NFI[Shelter Tool kit])</f>
        <v>0</v>
      </c>
      <c r="AP1154" s="331">
        <f>IF(NFI_Expiration=1,IF($A1154&lt;VLOOKUP(V$5,NFI,5,0),1,0)*Table_NFI[[#This Row],[Tent]],Table_NFI[Tent])</f>
        <v>0</v>
      </c>
      <c r="AQ1154" s="473" t="str">
        <f>IFERROR(VLOOKUP(Table_NFI[[#This Row],[Camp Name]],CL,2,0),"")</f>
        <v/>
      </c>
      <c r="AR1154" s="468" t="str">
        <f ca="1">IF(Table_NFI[[#This Row],[Pcode]]="","",IF(OFFSET(CampList[Opening Date],MATCH(Table_NFI[[#This Row],[Pcode]],CampList[CP_Pcode],0)-1,0,1,1)&gt;=NFI_Monitor_Date,1,0))</f>
        <v/>
      </c>
      <c r="AS1154" s="473" t="str">
        <f>IFERROR(VLOOKUP(Table_NFI[[#This Row],[Camp Name]],CL,3,0),"")</f>
        <v/>
      </c>
      <c r="AT1154" s="294" t="str">
        <f ca="1">IF(Table_NFI[[#This Row],[Pcode]]="","",OFFSET(CampList[Priority],MATCH(Table_NFI[[#This Row],[Pcode]],CampList[CP_Pcode],0)-1,0,1,1))</f>
        <v/>
      </c>
      <c r="AU1154" s="293" t="str">
        <f>IFERROR(Table_NFI[[#This Row],[Kitchen Set]]/VLOOKUP(Table_NFI[[#This Row],[Camp Name]],CL,4,0),"")</f>
        <v/>
      </c>
      <c r="AV1154" s="466"/>
      <c r="AW1154" s="469"/>
    </row>
    <row r="1155" spans="1:49" ht="14.45" customHeight="1" x14ac:dyDescent="0.25">
      <c r="A1155" s="297" t="str">
        <f t="shared" si="17"/>
        <v/>
      </c>
      <c r="B1155" s="465"/>
      <c r="C1155" s="471"/>
      <c r="D1155" s="471"/>
      <c r="E1155" s="466"/>
      <c r="F1155" s="466"/>
      <c r="G1155" s="466"/>
      <c r="H1155" s="292"/>
      <c r="I1155" s="292"/>
      <c r="J1155" s="292"/>
      <c r="K1155" s="292"/>
      <c r="L1155" s="292"/>
      <c r="M1155" s="292"/>
      <c r="N1155" s="292"/>
      <c r="O1155" s="292"/>
      <c r="P1155" s="294"/>
      <c r="Q1155" s="294"/>
      <c r="R1155" s="294"/>
      <c r="S1155" s="294"/>
      <c r="T1155" s="294"/>
      <c r="U1155" s="294"/>
      <c r="V1155" s="431"/>
      <c r="W1155" s="331"/>
      <c r="X1155" s="331"/>
      <c r="Y1155" s="294">
        <f>IF(NFI_Expiration=1,IF($A1155&lt;VLOOKUP(H$5,NFI,5,0),1,0)*Table_NFI[[#This Row],[Hygiene Kit]],Table_NFI[Hygiene Kit])</f>
        <v>0</v>
      </c>
      <c r="Z1155" s="294">
        <f>IF(NFI_Expiration=1,IF($A1155&lt;VLOOKUP(I$5,NFI,5,0),1,0)*Table_NFI[[#This Row],[NFI Core Kit]],Table_NFI[NFI Core Kit])</f>
        <v>0</v>
      </c>
      <c r="AA1155" s="294">
        <f>IF(NFI_Expiration=1,IF($A1155&lt;VLOOKUP(J$5,NFI,5,0),1,0)*Table_NFI[[#This Row],[Sanitary Kit]],Table_NFI[Sanitary Kit])</f>
        <v>0</v>
      </c>
      <c r="AB1155" s="294">
        <f>IF(NFI_Expiration=1,IF($A1155&lt;VLOOKUP(K$5,NFI,5,0),1,0)*Table_NFI[[#This Row],[Mosquito net]],Table_NFI[Mosquito net])</f>
        <v>0</v>
      </c>
      <c r="AC1155" s="294">
        <f>IF(NFI_Expiration=1,IF($A1155&lt;VLOOKUP(L$5,NFI,5,0),1,0)*Table_NFI[[#This Row],[Tarpaulin]],Table_NFI[[#This Row],[Tarpaulin]])</f>
        <v>0</v>
      </c>
      <c r="AD1155" s="294">
        <f>IF(NFI_Expiration=1,IF($A1155&lt;VLOOKUP(M$5,NFI,5,0),1,0)*Table_NFI[[#This Row],[Blanket]],Table_NFI[[#This Row],[Blanket]])</f>
        <v>0</v>
      </c>
      <c r="AE1155" s="294">
        <f>IF(NFI_Expiration=1,IF($A1155&lt;VLOOKUP(N$5,NFI,5,0),1,0)*Table_NFI[[#This Row],[Kitchen Set]],Table_NFI[Kitchen Set])</f>
        <v>0</v>
      </c>
      <c r="AF1155" s="294">
        <f>IF(NFI_Expiration=1,IF($A1155&lt;VLOOKUP(O$5,NFI,5,0),1,0)*Table_NFI[[#This Row],[Clothes Kit]],Table_NFI[Clothes Kit])</f>
        <v>0</v>
      </c>
      <c r="AG1155" s="294">
        <f>IF(NFI_Expiration=1,IF($A1155&lt;VLOOKUP(P$5,NFI,5,0),1,0)*Table_NFI[[#This Row],[Plastic Bucket]],Table_NFI[Plastic Bucket])</f>
        <v>0</v>
      </c>
      <c r="AH1155" s="294">
        <f>IF(NFI_Expiration=1,IF($A1155&lt;VLOOKUP(Q$5,NFI,5,0),1,0)*Table_NFI[[#This Row],[Plastic Mat]],Table_NFI[Plastic Mat])*IF(Table_NFI[[#This Row],[Distribution Date]]&gt;"2014-04-01",1,2.5)</f>
        <v>0</v>
      </c>
      <c r="AI1155" s="294">
        <f>IF(NFI_Expiration=1,IF($A1155&lt;VLOOKUP(R$5,NFI,5,0),1,0)*Table_NFI[[#This Row],[Winter Clothes Adult]],Table_NFI[Winter Clothes Adult])</f>
        <v>0</v>
      </c>
      <c r="AJ1155" s="294">
        <f>IF(NFI_Expiration=1,IF($A1155&lt;VLOOKUP(S$5,NFI,5,0),1,0)*Table_NFI[[#This Row],[Winter Clothes Children]],Table_NFI[Winter Clothes Children])</f>
        <v>0</v>
      </c>
      <c r="AK1155" s="294">
        <f>IF(NFI_Expiration=1,IF($A1155&lt;VLOOKUP(T$5,NFI,5,0),1,0)*Table_NFI[[#This Row],[Winter Items Other]],Table_NFI[Winter Items Other])</f>
        <v>0</v>
      </c>
      <c r="AL1155" s="294">
        <f>IF(NFI_Expiration=1,IF($A1155&lt;VLOOKUP(M$5,NFI,5,0),1,0)*Table_NFI[[#This Row],[Winter Blanket]],Table_NFI[[#This Row],[Winter Blanket]])</f>
        <v>0</v>
      </c>
      <c r="AM1155" s="294">
        <f>IF(Table_NFI[[#This Row],[Winter Clothes Adult]]+Table_NFI[[#This Row],[Winter Clothes Children]]+Table_NFI[[#This Row],[Winter Items Other]]+Table_NFI[[#This Row],[Winter Blanket]]&gt;0,1,0)</f>
        <v>0</v>
      </c>
      <c r="AN1155" s="331">
        <f>IF(NFI_Expiration=1,IF($A1155&lt;VLOOKUP(V$5,NFI,5,0),1,0)*Table_NFI[[#This Row],[Jerry Can]],Table_NFI[Jerry Can])</f>
        <v>0</v>
      </c>
      <c r="AO1155" s="331">
        <f>IF(NFI_Expiration=1,IF($A1155&lt;VLOOKUP(V$5,NFI,5,0),1,0)*Table_NFI[[#This Row],[Shelter Tool kit]],Table_NFI[Shelter Tool kit])</f>
        <v>0</v>
      </c>
      <c r="AP1155" s="331">
        <f>IF(NFI_Expiration=1,IF($A1155&lt;VLOOKUP(V$5,NFI,5,0),1,0)*Table_NFI[[#This Row],[Tent]],Table_NFI[Tent])</f>
        <v>0</v>
      </c>
      <c r="AQ1155" s="473" t="str">
        <f>IFERROR(VLOOKUP(Table_NFI[[#This Row],[Camp Name]],CL,2,0),"")</f>
        <v/>
      </c>
      <c r="AR1155" s="468" t="str">
        <f ca="1">IF(Table_NFI[[#This Row],[Pcode]]="","",IF(OFFSET(CampList[Opening Date],MATCH(Table_NFI[[#This Row],[Pcode]],CampList[CP_Pcode],0)-1,0,1,1)&gt;=NFI_Monitor_Date,1,0))</f>
        <v/>
      </c>
      <c r="AS1155" s="473" t="str">
        <f>IFERROR(VLOOKUP(Table_NFI[[#This Row],[Camp Name]],CL,3,0),"")</f>
        <v/>
      </c>
      <c r="AT1155" s="294" t="str">
        <f ca="1">IF(Table_NFI[[#This Row],[Pcode]]="","",OFFSET(CampList[Priority],MATCH(Table_NFI[[#This Row],[Pcode]],CampList[CP_Pcode],0)-1,0,1,1))</f>
        <v/>
      </c>
      <c r="AU1155" s="293" t="str">
        <f>IFERROR(Table_NFI[[#This Row],[Kitchen Set]]/VLOOKUP(Table_NFI[[#This Row],[Camp Name]],CL,4,0),"")</f>
        <v/>
      </c>
      <c r="AV1155" s="466"/>
      <c r="AW1155" s="469"/>
    </row>
    <row r="1156" spans="1:49" ht="14.45" customHeight="1" x14ac:dyDescent="0.25">
      <c r="A1156" s="297" t="str">
        <f t="shared" si="17"/>
        <v/>
      </c>
      <c r="B1156" s="465"/>
      <c r="C1156" s="466"/>
      <c r="D1156" s="466"/>
      <c r="E1156" s="466"/>
      <c r="F1156" s="466"/>
      <c r="G1156" s="466"/>
      <c r="H1156" s="291"/>
      <c r="I1156" s="291"/>
      <c r="J1156" s="291"/>
      <c r="K1156" s="291"/>
      <c r="L1156" s="292"/>
      <c r="M1156" s="292"/>
      <c r="N1156" s="292"/>
      <c r="O1156" s="292"/>
      <c r="P1156" s="294"/>
      <c r="Q1156" s="294"/>
      <c r="R1156" s="294"/>
      <c r="S1156" s="294"/>
      <c r="T1156" s="294"/>
      <c r="U1156" s="294"/>
      <c r="V1156" s="431"/>
      <c r="W1156" s="331"/>
      <c r="X1156" s="331"/>
      <c r="Y1156" s="294">
        <f>IF(NFI_Expiration=1,IF($A1156&lt;VLOOKUP(H$5,NFI,5,0),1,0)*Table_NFI[[#This Row],[Hygiene Kit]],Table_NFI[Hygiene Kit])</f>
        <v>0</v>
      </c>
      <c r="Z1156" s="294">
        <f>IF(NFI_Expiration=1,IF($A1156&lt;VLOOKUP(I$5,NFI,5,0),1,0)*Table_NFI[[#This Row],[NFI Core Kit]],Table_NFI[NFI Core Kit])</f>
        <v>0</v>
      </c>
      <c r="AA1156" s="294">
        <f>IF(NFI_Expiration=1,IF($A1156&lt;VLOOKUP(J$5,NFI,5,0),1,0)*Table_NFI[[#This Row],[Sanitary Kit]],Table_NFI[Sanitary Kit])</f>
        <v>0</v>
      </c>
      <c r="AB1156" s="294">
        <f>IF(NFI_Expiration=1,IF($A1156&lt;VLOOKUP(K$5,NFI,5,0),1,0)*Table_NFI[[#This Row],[Mosquito net]],Table_NFI[Mosquito net])</f>
        <v>0</v>
      </c>
      <c r="AC1156" s="294">
        <f>IF(NFI_Expiration=1,IF($A1156&lt;VLOOKUP(L$5,NFI,5,0),1,0)*Table_NFI[[#This Row],[Tarpaulin]],Table_NFI[[#This Row],[Tarpaulin]])</f>
        <v>0</v>
      </c>
      <c r="AD1156" s="294">
        <f>IF(NFI_Expiration=1,IF($A1156&lt;VLOOKUP(M$5,NFI,5,0),1,0)*Table_NFI[[#This Row],[Blanket]],Table_NFI[[#This Row],[Blanket]])</f>
        <v>0</v>
      </c>
      <c r="AE1156" s="294">
        <f>IF(NFI_Expiration=1,IF($A1156&lt;VLOOKUP(N$5,NFI,5,0),1,0)*Table_NFI[[#This Row],[Kitchen Set]],Table_NFI[Kitchen Set])</f>
        <v>0</v>
      </c>
      <c r="AF1156" s="294">
        <f>IF(NFI_Expiration=1,IF($A1156&lt;VLOOKUP(O$5,NFI,5,0),1,0)*Table_NFI[[#This Row],[Clothes Kit]],Table_NFI[Clothes Kit])</f>
        <v>0</v>
      </c>
      <c r="AG1156" s="294">
        <f>IF(NFI_Expiration=1,IF($A1156&lt;VLOOKUP(P$5,NFI,5,0),1,0)*Table_NFI[[#This Row],[Plastic Bucket]],Table_NFI[Plastic Bucket])</f>
        <v>0</v>
      </c>
      <c r="AH1156" s="294">
        <f>IF(NFI_Expiration=1,IF($A1156&lt;VLOOKUP(Q$5,NFI,5,0),1,0)*Table_NFI[[#This Row],[Plastic Mat]],Table_NFI[Plastic Mat])*IF(Table_NFI[[#This Row],[Distribution Date]]&gt;"2014-04-01",1,2.5)</f>
        <v>0</v>
      </c>
      <c r="AI1156" s="294">
        <f>IF(NFI_Expiration=1,IF($A1156&lt;VLOOKUP(R$5,NFI,5,0),1,0)*Table_NFI[[#This Row],[Winter Clothes Adult]],Table_NFI[Winter Clothes Adult])</f>
        <v>0</v>
      </c>
      <c r="AJ1156" s="294">
        <f>IF(NFI_Expiration=1,IF($A1156&lt;VLOOKUP(S$5,NFI,5,0),1,0)*Table_NFI[[#This Row],[Winter Clothes Children]],Table_NFI[Winter Clothes Children])</f>
        <v>0</v>
      </c>
      <c r="AK1156" s="294">
        <f>IF(NFI_Expiration=1,IF($A1156&lt;VLOOKUP(T$5,NFI,5,0),1,0)*Table_NFI[[#This Row],[Winter Items Other]],Table_NFI[Winter Items Other])</f>
        <v>0</v>
      </c>
      <c r="AL1156" s="294">
        <f>IF(NFI_Expiration=1,IF($A1156&lt;VLOOKUP(M$5,NFI,5,0),1,0)*Table_NFI[[#This Row],[Winter Blanket]],Table_NFI[[#This Row],[Winter Blanket]])</f>
        <v>0</v>
      </c>
      <c r="AM1156" s="294">
        <f>IF(Table_NFI[[#This Row],[Winter Clothes Adult]]+Table_NFI[[#This Row],[Winter Clothes Children]]+Table_NFI[[#This Row],[Winter Items Other]]+Table_NFI[[#This Row],[Winter Blanket]]&gt;0,1,0)</f>
        <v>0</v>
      </c>
      <c r="AN1156" s="331">
        <f>IF(NFI_Expiration=1,IF($A1156&lt;VLOOKUP(V$5,NFI,5,0),1,0)*Table_NFI[[#This Row],[Jerry Can]],Table_NFI[Jerry Can])</f>
        <v>0</v>
      </c>
      <c r="AO1156" s="331">
        <f>IF(NFI_Expiration=1,IF($A1156&lt;VLOOKUP(V$5,NFI,5,0),1,0)*Table_NFI[[#This Row],[Shelter Tool kit]],Table_NFI[Shelter Tool kit])</f>
        <v>0</v>
      </c>
      <c r="AP1156" s="331">
        <f>IF(NFI_Expiration=1,IF($A1156&lt;VLOOKUP(V$5,NFI,5,0),1,0)*Table_NFI[[#This Row],[Tent]],Table_NFI[Tent])</f>
        <v>0</v>
      </c>
      <c r="AQ1156" s="473" t="str">
        <f>IFERROR(VLOOKUP(Table_NFI[[#This Row],[Camp Name]],CL,2,0),"")</f>
        <v/>
      </c>
      <c r="AR1156" s="468" t="str">
        <f ca="1">IF(Table_NFI[[#This Row],[Pcode]]="","",IF(OFFSET(CampList[Opening Date],MATCH(Table_NFI[[#This Row],[Pcode]],CampList[CP_Pcode],0)-1,0,1,1)&gt;=NFI_Monitor_Date,1,0))</f>
        <v/>
      </c>
      <c r="AS1156" s="473" t="str">
        <f>IFERROR(VLOOKUP(Table_NFI[[#This Row],[Camp Name]],CL,3,0),"")</f>
        <v/>
      </c>
      <c r="AT1156" s="294" t="str">
        <f ca="1">IF(Table_NFI[[#This Row],[Pcode]]="","",OFFSET(CampList[Priority],MATCH(Table_NFI[[#This Row],[Pcode]],CampList[CP_Pcode],0)-1,0,1,1))</f>
        <v/>
      </c>
      <c r="AU1156" s="293" t="str">
        <f>IFERROR(Table_NFI[[#This Row],[Kitchen Set]]/VLOOKUP(Table_NFI[[#This Row],[Camp Name]],CL,4,0),"")</f>
        <v/>
      </c>
      <c r="AV1156" s="471"/>
      <c r="AW1156" s="474"/>
    </row>
    <row r="1157" spans="1:49" ht="14.45" customHeight="1" x14ac:dyDescent="0.25">
      <c r="A1157" s="297" t="str">
        <f t="shared" si="17"/>
        <v/>
      </c>
      <c r="B1157" s="465"/>
      <c r="C1157" s="466"/>
      <c r="D1157" s="466"/>
      <c r="E1157" s="466"/>
      <c r="F1157" s="466"/>
      <c r="G1157" s="466"/>
      <c r="H1157" s="291"/>
      <c r="I1157" s="291"/>
      <c r="J1157" s="291"/>
      <c r="K1157" s="291"/>
      <c r="L1157" s="292"/>
      <c r="M1157" s="292"/>
      <c r="N1157" s="292"/>
      <c r="O1157" s="292"/>
      <c r="P1157" s="294"/>
      <c r="Q1157" s="294"/>
      <c r="R1157" s="294"/>
      <c r="S1157" s="294"/>
      <c r="T1157" s="294"/>
      <c r="U1157" s="294"/>
      <c r="V1157" s="431"/>
      <c r="W1157" s="331"/>
      <c r="X1157" s="331"/>
      <c r="Y1157" s="294">
        <f>IF(NFI_Expiration=1,IF($A1157&lt;VLOOKUP(H$5,NFI,5,0),1,0)*Table_NFI[[#This Row],[Hygiene Kit]],Table_NFI[Hygiene Kit])</f>
        <v>0</v>
      </c>
      <c r="Z1157" s="294">
        <f>IF(NFI_Expiration=1,IF($A1157&lt;VLOOKUP(I$5,NFI,5,0),1,0)*Table_NFI[[#This Row],[NFI Core Kit]],Table_NFI[NFI Core Kit])</f>
        <v>0</v>
      </c>
      <c r="AA1157" s="294">
        <f>IF(NFI_Expiration=1,IF($A1157&lt;VLOOKUP(J$5,NFI,5,0),1,0)*Table_NFI[[#This Row],[Sanitary Kit]],Table_NFI[Sanitary Kit])</f>
        <v>0</v>
      </c>
      <c r="AB1157" s="294">
        <f>IF(NFI_Expiration=1,IF($A1157&lt;VLOOKUP(K$5,NFI,5,0),1,0)*Table_NFI[[#This Row],[Mosquito net]],Table_NFI[Mosquito net])</f>
        <v>0</v>
      </c>
      <c r="AC1157" s="294">
        <f>IF(NFI_Expiration=1,IF($A1157&lt;VLOOKUP(L$5,NFI,5,0),1,0)*Table_NFI[[#This Row],[Tarpaulin]],Table_NFI[[#This Row],[Tarpaulin]])</f>
        <v>0</v>
      </c>
      <c r="AD1157" s="294">
        <f>IF(NFI_Expiration=1,IF($A1157&lt;VLOOKUP(M$5,NFI,5,0),1,0)*Table_NFI[[#This Row],[Blanket]],Table_NFI[[#This Row],[Blanket]])</f>
        <v>0</v>
      </c>
      <c r="AE1157" s="294">
        <f>IF(NFI_Expiration=1,IF($A1157&lt;VLOOKUP(N$5,NFI,5,0),1,0)*Table_NFI[[#This Row],[Kitchen Set]],Table_NFI[Kitchen Set])</f>
        <v>0</v>
      </c>
      <c r="AF1157" s="294">
        <f>IF(NFI_Expiration=1,IF($A1157&lt;VLOOKUP(O$5,NFI,5,0),1,0)*Table_NFI[[#This Row],[Clothes Kit]],Table_NFI[Clothes Kit])</f>
        <v>0</v>
      </c>
      <c r="AG1157" s="294">
        <f>IF(NFI_Expiration=1,IF($A1157&lt;VLOOKUP(P$5,NFI,5,0),1,0)*Table_NFI[[#This Row],[Plastic Bucket]],Table_NFI[Plastic Bucket])</f>
        <v>0</v>
      </c>
      <c r="AH1157" s="294">
        <f>IF(NFI_Expiration=1,IF($A1157&lt;VLOOKUP(Q$5,NFI,5,0),1,0)*Table_NFI[[#This Row],[Plastic Mat]],Table_NFI[Plastic Mat])*IF(Table_NFI[[#This Row],[Distribution Date]]&gt;"2014-04-01",1,2.5)</f>
        <v>0</v>
      </c>
      <c r="AI1157" s="294">
        <f>IF(NFI_Expiration=1,IF($A1157&lt;VLOOKUP(R$5,NFI,5,0),1,0)*Table_NFI[[#This Row],[Winter Clothes Adult]],Table_NFI[Winter Clothes Adult])</f>
        <v>0</v>
      </c>
      <c r="AJ1157" s="294">
        <f>IF(NFI_Expiration=1,IF($A1157&lt;VLOOKUP(S$5,NFI,5,0),1,0)*Table_NFI[[#This Row],[Winter Clothes Children]],Table_NFI[Winter Clothes Children])</f>
        <v>0</v>
      </c>
      <c r="AK1157" s="294">
        <f>IF(NFI_Expiration=1,IF($A1157&lt;VLOOKUP(T$5,NFI,5,0),1,0)*Table_NFI[[#This Row],[Winter Items Other]],Table_NFI[Winter Items Other])</f>
        <v>0</v>
      </c>
      <c r="AL1157" s="294">
        <f>IF(NFI_Expiration=1,IF($A1157&lt;VLOOKUP(M$5,NFI,5,0),1,0)*Table_NFI[[#This Row],[Winter Blanket]],Table_NFI[[#This Row],[Winter Blanket]])</f>
        <v>0</v>
      </c>
      <c r="AM1157" s="294">
        <f>IF(Table_NFI[[#This Row],[Winter Clothes Adult]]+Table_NFI[[#This Row],[Winter Clothes Children]]+Table_NFI[[#This Row],[Winter Items Other]]+Table_NFI[[#This Row],[Winter Blanket]]&gt;0,1,0)</f>
        <v>0</v>
      </c>
      <c r="AN1157" s="331">
        <f>IF(NFI_Expiration=1,IF($A1157&lt;VLOOKUP(V$5,NFI,5,0),1,0)*Table_NFI[[#This Row],[Jerry Can]],Table_NFI[Jerry Can])</f>
        <v>0</v>
      </c>
      <c r="AO1157" s="331">
        <f>IF(NFI_Expiration=1,IF($A1157&lt;VLOOKUP(V$5,NFI,5,0),1,0)*Table_NFI[[#This Row],[Shelter Tool kit]],Table_NFI[Shelter Tool kit])</f>
        <v>0</v>
      </c>
      <c r="AP1157" s="331">
        <f>IF(NFI_Expiration=1,IF($A1157&lt;VLOOKUP(V$5,NFI,5,0),1,0)*Table_NFI[[#This Row],[Tent]],Table_NFI[Tent])</f>
        <v>0</v>
      </c>
      <c r="AQ1157" s="473" t="str">
        <f>IFERROR(VLOOKUP(Table_NFI[[#This Row],[Camp Name]],CL,2,0),"")</f>
        <v/>
      </c>
      <c r="AR1157" s="468" t="str">
        <f ca="1">IF(Table_NFI[[#This Row],[Pcode]]="","",IF(OFFSET(CampList[Opening Date],MATCH(Table_NFI[[#This Row],[Pcode]],CampList[CP_Pcode],0)-1,0,1,1)&gt;=NFI_Monitor_Date,1,0))</f>
        <v/>
      </c>
      <c r="AS1157" s="473" t="str">
        <f>IFERROR(VLOOKUP(Table_NFI[[#This Row],[Camp Name]],CL,3,0),"")</f>
        <v/>
      </c>
      <c r="AT1157" s="294" t="str">
        <f ca="1">IF(Table_NFI[[#This Row],[Pcode]]="","",OFFSET(CampList[Priority],MATCH(Table_NFI[[#This Row],[Pcode]],CampList[CP_Pcode],0)-1,0,1,1))</f>
        <v/>
      </c>
      <c r="AU1157" s="293" t="str">
        <f>IFERROR(Table_NFI[[#This Row],[Kitchen Set]]/VLOOKUP(Table_NFI[[#This Row],[Camp Name]],CL,4,0),"")</f>
        <v/>
      </c>
      <c r="AV1157" s="466"/>
      <c r="AW1157" s="469"/>
    </row>
    <row r="1158" spans="1:49" ht="14.45" customHeight="1" x14ac:dyDescent="0.25">
      <c r="A1158" s="297" t="str">
        <f t="shared" ref="A1158:A1221" si="18">IF(ISBLANK(B1158),"",(Report_Date-B1158)/30)</f>
        <v/>
      </c>
      <c r="B1158" s="465"/>
      <c r="C1158" s="466"/>
      <c r="D1158" s="466"/>
      <c r="E1158" s="466"/>
      <c r="F1158" s="466"/>
      <c r="G1158" s="466"/>
      <c r="H1158" s="291"/>
      <c r="I1158" s="291"/>
      <c r="J1158" s="291"/>
      <c r="K1158" s="291"/>
      <c r="L1158" s="292"/>
      <c r="M1158" s="292"/>
      <c r="N1158" s="292"/>
      <c r="O1158" s="292"/>
      <c r="P1158" s="294"/>
      <c r="Q1158" s="294"/>
      <c r="R1158" s="294"/>
      <c r="S1158" s="294"/>
      <c r="T1158" s="294"/>
      <c r="U1158" s="294"/>
      <c r="V1158" s="431"/>
      <c r="W1158" s="331"/>
      <c r="X1158" s="331"/>
      <c r="Y1158" s="294">
        <f>IF(NFI_Expiration=1,IF($A1158&lt;VLOOKUP(H$5,NFI,5,0),1,0)*Table_NFI[[#This Row],[Hygiene Kit]],Table_NFI[Hygiene Kit])</f>
        <v>0</v>
      </c>
      <c r="Z1158" s="294">
        <f>IF(NFI_Expiration=1,IF($A1158&lt;VLOOKUP(I$5,NFI,5,0),1,0)*Table_NFI[[#This Row],[NFI Core Kit]],Table_NFI[NFI Core Kit])</f>
        <v>0</v>
      </c>
      <c r="AA1158" s="294">
        <f>IF(NFI_Expiration=1,IF($A1158&lt;VLOOKUP(J$5,NFI,5,0),1,0)*Table_NFI[[#This Row],[Sanitary Kit]],Table_NFI[Sanitary Kit])</f>
        <v>0</v>
      </c>
      <c r="AB1158" s="294">
        <f>IF(NFI_Expiration=1,IF($A1158&lt;VLOOKUP(K$5,NFI,5,0),1,0)*Table_NFI[[#This Row],[Mosquito net]],Table_NFI[Mosquito net])</f>
        <v>0</v>
      </c>
      <c r="AC1158" s="294">
        <f>IF(NFI_Expiration=1,IF($A1158&lt;VLOOKUP(L$5,NFI,5,0),1,0)*Table_NFI[[#This Row],[Tarpaulin]],Table_NFI[[#This Row],[Tarpaulin]])</f>
        <v>0</v>
      </c>
      <c r="AD1158" s="294">
        <f>IF(NFI_Expiration=1,IF($A1158&lt;VLOOKUP(M$5,NFI,5,0),1,0)*Table_NFI[[#This Row],[Blanket]],Table_NFI[[#This Row],[Blanket]])</f>
        <v>0</v>
      </c>
      <c r="AE1158" s="294">
        <f>IF(NFI_Expiration=1,IF($A1158&lt;VLOOKUP(N$5,NFI,5,0),1,0)*Table_NFI[[#This Row],[Kitchen Set]],Table_NFI[Kitchen Set])</f>
        <v>0</v>
      </c>
      <c r="AF1158" s="294">
        <f>IF(NFI_Expiration=1,IF($A1158&lt;VLOOKUP(O$5,NFI,5,0),1,0)*Table_NFI[[#This Row],[Clothes Kit]],Table_NFI[Clothes Kit])</f>
        <v>0</v>
      </c>
      <c r="AG1158" s="294">
        <f>IF(NFI_Expiration=1,IF($A1158&lt;VLOOKUP(P$5,NFI,5,0),1,0)*Table_NFI[[#This Row],[Plastic Bucket]],Table_NFI[Plastic Bucket])</f>
        <v>0</v>
      </c>
      <c r="AH1158" s="294">
        <f>IF(NFI_Expiration=1,IF($A1158&lt;VLOOKUP(Q$5,NFI,5,0),1,0)*Table_NFI[[#This Row],[Plastic Mat]],Table_NFI[Plastic Mat])*IF(Table_NFI[[#This Row],[Distribution Date]]&gt;"2014-04-01",1,2.5)</f>
        <v>0</v>
      </c>
      <c r="AI1158" s="294">
        <f>IF(NFI_Expiration=1,IF($A1158&lt;VLOOKUP(R$5,NFI,5,0),1,0)*Table_NFI[[#This Row],[Winter Clothes Adult]],Table_NFI[Winter Clothes Adult])</f>
        <v>0</v>
      </c>
      <c r="AJ1158" s="294">
        <f>IF(NFI_Expiration=1,IF($A1158&lt;VLOOKUP(S$5,NFI,5,0),1,0)*Table_NFI[[#This Row],[Winter Clothes Children]],Table_NFI[Winter Clothes Children])</f>
        <v>0</v>
      </c>
      <c r="AK1158" s="294">
        <f>IF(NFI_Expiration=1,IF($A1158&lt;VLOOKUP(T$5,NFI,5,0),1,0)*Table_NFI[[#This Row],[Winter Items Other]],Table_NFI[Winter Items Other])</f>
        <v>0</v>
      </c>
      <c r="AL1158" s="294">
        <f>IF(NFI_Expiration=1,IF($A1158&lt;VLOOKUP(M$5,NFI,5,0),1,0)*Table_NFI[[#This Row],[Winter Blanket]],Table_NFI[[#This Row],[Winter Blanket]])</f>
        <v>0</v>
      </c>
      <c r="AM1158" s="294">
        <f>IF(Table_NFI[[#This Row],[Winter Clothes Adult]]+Table_NFI[[#This Row],[Winter Clothes Children]]+Table_NFI[[#This Row],[Winter Items Other]]+Table_NFI[[#This Row],[Winter Blanket]]&gt;0,1,0)</f>
        <v>0</v>
      </c>
      <c r="AN1158" s="331">
        <f>IF(NFI_Expiration=1,IF($A1158&lt;VLOOKUP(V$5,NFI,5,0),1,0)*Table_NFI[[#This Row],[Jerry Can]],Table_NFI[Jerry Can])</f>
        <v>0</v>
      </c>
      <c r="AO1158" s="331">
        <f>IF(NFI_Expiration=1,IF($A1158&lt;VLOOKUP(V$5,NFI,5,0),1,0)*Table_NFI[[#This Row],[Shelter Tool kit]],Table_NFI[Shelter Tool kit])</f>
        <v>0</v>
      </c>
      <c r="AP1158" s="331">
        <f>IF(NFI_Expiration=1,IF($A1158&lt;VLOOKUP(V$5,NFI,5,0),1,0)*Table_NFI[[#This Row],[Tent]],Table_NFI[Tent])</f>
        <v>0</v>
      </c>
      <c r="AQ1158" s="473" t="str">
        <f>IFERROR(VLOOKUP(Table_NFI[[#This Row],[Camp Name]],CL,2,0),"")</f>
        <v/>
      </c>
      <c r="AR1158" s="468" t="str">
        <f ca="1">IF(Table_NFI[[#This Row],[Pcode]]="","",IF(OFFSET(CampList[Opening Date],MATCH(Table_NFI[[#This Row],[Pcode]],CampList[CP_Pcode],0)-1,0,1,1)&gt;=NFI_Monitor_Date,1,0))</f>
        <v/>
      </c>
      <c r="AS1158" s="473" t="str">
        <f>IFERROR(VLOOKUP(Table_NFI[[#This Row],[Camp Name]],CL,3,0),"")</f>
        <v/>
      </c>
      <c r="AT1158" s="294" t="str">
        <f ca="1">IF(Table_NFI[[#This Row],[Pcode]]="","",OFFSET(CampList[Priority],MATCH(Table_NFI[[#This Row],[Pcode]],CampList[CP_Pcode],0)-1,0,1,1))</f>
        <v/>
      </c>
      <c r="AU1158" s="293" t="str">
        <f>IFERROR(Table_NFI[[#This Row],[Kitchen Set]]/VLOOKUP(Table_NFI[[#This Row],[Camp Name]],CL,4,0),"")</f>
        <v/>
      </c>
      <c r="AV1158" s="471"/>
      <c r="AW1158" s="474"/>
    </row>
    <row r="1159" spans="1:49" ht="14.45" customHeight="1" x14ac:dyDescent="0.25">
      <c r="A1159" s="297" t="str">
        <f t="shared" si="18"/>
        <v/>
      </c>
      <c r="B1159" s="465"/>
      <c r="C1159" s="466"/>
      <c r="D1159" s="471"/>
      <c r="E1159" s="471"/>
      <c r="F1159" s="471"/>
      <c r="G1159" s="471"/>
      <c r="H1159" s="292"/>
      <c r="I1159" s="292"/>
      <c r="J1159" s="292"/>
      <c r="K1159" s="292"/>
      <c r="L1159" s="292"/>
      <c r="M1159" s="292"/>
      <c r="N1159" s="292"/>
      <c r="O1159" s="292"/>
      <c r="P1159" s="294"/>
      <c r="Q1159" s="294"/>
      <c r="R1159" s="294"/>
      <c r="S1159" s="294"/>
      <c r="T1159" s="294"/>
      <c r="U1159" s="294"/>
      <c r="V1159" s="431"/>
      <c r="W1159" s="331"/>
      <c r="X1159" s="331"/>
      <c r="Y1159" s="294">
        <f>IF(NFI_Expiration=1,IF($A1159&lt;VLOOKUP(H$5,NFI,5,0),1,0)*Table_NFI[[#This Row],[Hygiene Kit]],Table_NFI[Hygiene Kit])</f>
        <v>0</v>
      </c>
      <c r="Z1159" s="294">
        <f>IF(NFI_Expiration=1,IF($A1159&lt;VLOOKUP(I$5,NFI,5,0),1,0)*Table_NFI[[#This Row],[NFI Core Kit]],Table_NFI[NFI Core Kit])</f>
        <v>0</v>
      </c>
      <c r="AA1159" s="294">
        <f>IF(NFI_Expiration=1,IF($A1159&lt;VLOOKUP(J$5,NFI,5,0),1,0)*Table_NFI[[#This Row],[Sanitary Kit]],Table_NFI[Sanitary Kit])</f>
        <v>0</v>
      </c>
      <c r="AB1159" s="294">
        <f>IF(NFI_Expiration=1,IF($A1159&lt;VLOOKUP(K$5,NFI,5,0),1,0)*Table_NFI[[#This Row],[Mosquito net]],Table_NFI[Mosquito net])</f>
        <v>0</v>
      </c>
      <c r="AC1159" s="294">
        <f>IF(NFI_Expiration=1,IF($A1159&lt;VLOOKUP(L$5,NFI,5,0),1,0)*Table_NFI[[#This Row],[Tarpaulin]],Table_NFI[[#This Row],[Tarpaulin]])</f>
        <v>0</v>
      </c>
      <c r="AD1159" s="294">
        <f>IF(NFI_Expiration=1,IF($A1159&lt;VLOOKUP(M$5,NFI,5,0),1,0)*Table_NFI[[#This Row],[Blanket]],Table_NFI[[#This Row],[Blanket]])</f>
        <v>0</v>
      </c>
      <c r="AE1159" s="294">
        <f>IF(NFI_Expiration=1,IF($A1159&lt;VLOOKUP(N$5,NFI,5,0),1,0)*Table_NFI[[#This Row],[Kitchen Set]],Table_NFI[Kitchen Set])</f>
        <v>0</v>
      </c>
      <c r="AF1159" s="294">
        <f>IF(NFI_Expiration=1,IF($A1159&lt;VLOOKUP(O$5,NFI,5,0),1,0)*Table_NFI[[#This Row],[Clothes Kit]],Table_NFI[Clothes Kit])</f>
        <v>0</v>
      </c>
      <c r="AG1159" s="294">
        <f>IF(NFI_Expiration=1,IF($A1159&lt;VLOOKUP(P$5,NFI,5,0),1,0)*Table_NFI[[#This Row],[Plastic Bucket]],Table_NFI[Plastic Bucket])</f>
        <v>0</v>
      </c>
      <c r="AH1159" s="294">
        <f>IF(NFI_Expiration=1,IF($A1159&lt;VLOOKUP(Q$5,NFI,5,0),1,0)*Table_NFI[[#This Row],[Plastic Mat]],Table_NFI[Plastic Mat])*IF(Table_NFI[[#This Row],[Distribution Date]]&gt;"2014-04-01",1,2.5)</f>
        <v>0</v>
      </c>
      <c r="AI1159" s="294">
        <f>IF(NFI_Expiration=1,IF($A1159&lt;VLOOKUP(R$5,NFI,5,0),1,0)*Table_NFI[[#This Row],[Winter Clothes Adult]],Table_NFI[Winter Clothes Adult])</f>
        <v>0</v>
      </c>
      <c r="AJ1159" s="294">
        <f>IF(NFI_Expiration=1,IF($A1159&lt;VLOOKUP(S$5,NFI,5,0),1,0)*Table_NFI[[#This Row],[Winter Clothes Children]],Table_NFI[Winter Clothes Children])</f>
        <v>0</v>
      </c>
      <c r="AK1159" s="294">
        <f>IF(NFI_Expiration=1,IF($A1159&lt;VLOOKUP(T$5,NFI,5,0),1,0)*Table_NFI[[#This Row],[Winter Items Other]],Table_NFI[Winter Items Other])</f>
        <v>0</v>
      </c>
      <c r="AL1159" s="294">
        <f>IF(NFI_Expiration=1,IF($A1159&lt;VLOOKUP(M$5,NFI,5,0),1,0)*Table_NFI[[#This Row],[Winter Blanket]],Table_NFI[[#This Row],[Winter Blanket]])</f>
        <v>0</v>
      </c>
      <c r="AM1159" s="294">
        <f>IF(Table_NFI[[#This Row],[Winter Clothes Adult]]+Table_NFI[[#This Row],[Winter Clothes Children]]+Table_NFI[[#This Row],[Winter Items Other]]+Table_NFI[[#This Row],[Winter Blanket]]&gt;0,1,0)</f>
        <v>0</v>
      </c>
      <c r="AN1159" s="331">
        <f>IF(NFI_Expiration=1,IF($A1159&lt;VLOOKUP(V$5,NFI,5,0),1,0)*Table_NFI[[#This Row],[Jerry Can]],Table_NFI[Jerry Can])</f>
        <v>0</v>
      </c>
      <c r="AO1159" s="331">
        <f>IF(NFI_Expiration=1,IF($A1159&lt;VLOOKUP(V$5,NFI,5,0),1,0)*Table_NFI[[#This Row],[Shelter Tool kit]],Table_NFI[Shelter Tool kit])</f>
        <v>0</v>
      </c>
      <c r="AP1159" s="331">
        <f>IF(NFI_Expiration=1,IF($A1159&lt;VLOOKUP(V$5,NFI,5,0),1,0)*Table_NFI[[#This Row],[Tent]],Table_NFI[Tent])</f>
        <v>0</v>
      </c>
      <c r="AQ1159" s="473" t="str">
        <f>IFERROR(VLOOKUP(Table_NFI[[#This Row],[Camp Name]],CL,2,0),"")</f>
        <v/>
      </c>
      <c r="AR1159" s="468" t="str">
        <f ca="1">IF(Table_NFI[[#This Row],[Pcode]]="","",IF(OFFSET(CampList[Opening Date],MATCH(Table_NFI[[#This Row],[Pcode]],CampList[CP_Pcode],0)-1,0,1,1)&gt;=NFI_Monitor_Date,1,0))</f>
        <v/>
      </c>
      <c r="AS1159" s="473" t="str">
        <f>IFERROR(VLOOKUP(Table_NFI[[#This Row],[Camp Name]],CL,3,0),"")</f>
        <v/>
      </c>
      <c r="AT1159" s="294" t="str">
        <f ca="1">IF(Table_NFI[[#This Row],[Pcode]]="","",OFFSET(CampList[Priority],MATCH(Table_NFI[[#This Row],[Pcode]],CampList[CP_Pcode],0)-1,0,1,1))</f>
        <v/>
      </c>
      <c r="AU1159" s="293" t="str">
        <f>IFERROR(Table_NFI[[#This Row],[Kitchen Set]]/VLOOKUP(Table_NFI[[#This Row],[Camp Name]],CL,4,0),"")</f>
        <v/>
      </c>
      <c r="AV1159" s="466"/>
      <c r="AW1159" s="486"/>
    </row>
    <row r="1160" spans="1:49" ht="14.45" customHeight="1" x14ac:dyDescent="0.25">
      <c r="A1160" s="297" t="str">
        <f t="shared" si="18"/>
        <v/>
      </c>
      <c r="B1160" s="465"/>
      <c r="C1160" s="466"/>
      <c r="D1160" s="471"/>
      <c r="E1160" s="471"/>
      <c r="F1160" s="471"/>
      <c r="G1160" s="471"/>
      <c r="H1160" s="292"/>
      <c r="I1160" s="292"/>
      <c r="J1160" s="292"/>
      <c r="K1160" s="292"/>
      <c r="L1160" s="292"/>
      <c r="M1160" s="292"/>
      <c r="N1160" s="292"/>
      <c r="O1160" s="292"/>
      <c r="P1160" s="294"/>
      <c r="Q1160" s="294"/>
      <c r="R1160" s="294"/>
      <c r="S1160" s="294"/>
      <c r="T1160" s="294"/>
      <c r="U1160" s="294"/>
      <c r="V1160" s="431"/>
      <c r="W1160" s="331"/>
      <c r="X1160" s="331"/>
      <c r="Y1160" s="294">
        <f>IF(NFI_Expiration=1,IF($A1160&lt;VLOOKUP(H$5,NFI,5,0),1,0)*Table_NFI[[#This Row],[Hygiene Kit]],Table_NFI[Hygiene Kit])</f>
        <v>0</v>
      </c>
      <c r="Z1160" s="294">
        <f>IF(NFI_Expiration=1,IF($A1160&lt;VLOOKUP(I$5,NFI,5,0),1,0)*Table_NFI[[#This Row],[NFI Core Kit]],Table_NFI[NFI Core Kit])</f>
        <v>0</v>
      </c>
      <c r="AA1160" s="294">
        <f>IF(NFI_Expiration=1,IF($A1160&lt;VLOOKUP(J$5,NFI,5,0),1,0)*Table_NFI[[#This Row],[Sanitary Kit]],Table_NFI[Sanitary Kit])</f>
        <v>0</v>
      </c>
      <c r="AB1160" s="294">
        <f>IF(NFI_Expiration=1,IF($A1160&lt;VLOOKUP(K$5,NFI,5,0),1,0)*Table_NFI[[#This Row],[Mosquito net]],Table_NFI[Mosquito net])</f>
        <v>0</v>
      </c>
      <c r="AC1160" s="294">
        <f>IF(NFI_Expiration=1,IF($A1160&lt;VLOOKUP(L$5,NFI,5,0),1,0)*Table_NFI[[#This Row],[Tarpaulin]],Table_NFI[[#This Row],[Tarpaulin]])</f>
        <v>0</v>
      </c>
      <c r="AD1160" s="294">
        <f>IF(NFI_Expiration=1,IF($A1160&lt;VLOOKUP(M$5,NFI,5,0),1,0)*Table_NFI[[#This Row],[Blanket]],Table_NFI[[#This Row],[Blanket]])</f>
        <v>0</v>
      </c>
      <c r="AE1160" s="294">
        <f>IF(NFI_Expiration=1,IF($A1160&lt;VLOOKUP(N$5,NFI,5,0),1,0)*Table_NFI[[#This Row],[Kitchen Set]],Table_NFI[Kitchen Set])</f>
        <v>0</v>
      </c>
      <c r="AF1160" s="294">
        <f>IF(NFI_Expiration=1,IF($A1160&lt;VLOOKUP(O$5,NFI,5,0),1,0)*Table_NFI[[#This Row],[Clothes Kit]],Table_NFI[Clothes Kit])</f>
        <v>0</v>
      </c>
      <c r="AG1160" s="294">
        <f>IF(NFI_Expiration=1,IF($A1160&lt;VLOOKUP(P$5,NFI,5,0),1,0)*Table_NFI[[#This Row],[Plastic Bucket]],Table_NFI[Plastic Bucket])</f>
        <v>0</v>
      </c>
      <c r="AH1160" s="294">
        <f>IF(NFI_Expiration=1,IF($A1160&lt;VLOOKUP(Q$5,NFI,5,0),1,0)*Table_NFI[[#This Row],[Plastic Mat]],Table_NFI[Plastic Mat])*IF(Table_NFI[[#This Row],[Distribution Date]]&gt;"2014-04-01",1,2.5)</f>
        <v>0</v>
      </c>
      <c r="AI1160" s="294">
        <f>IF(NFI_Expiration=1,IF($A1160&lt;VLOOKUP(R$5,NFI,5,0),1,0)*Table_NFI[[#This Row],[Winter Clothes Adult]],Table_NFI[Winter Clothes Adult])</f>
        <v>0</v>
      </c>
      <c r="AJ1160" s="294">
        <f>IF(NFI_Expiration=1,IF($A1160&lt;VLOOKUP(S$5,NFI,5,0),1,0)*Table_NFI[[#This Row],[Winter Clothes Children]],Table_NFI[Winter Clothes Children])</f>
        <v>0</v>
      </c>
      <c r="AK1160" s="294">
        <f>IF(NFI_Expiration=1,IF($A1160&lt;VLOOKUP(T$5,NFI,5,0),1,0)*Table_NFI[[#This Row],[Winter Items Other]],Table_NFI[Winter Items Other])</f>
        <v>0</v>
      </c>
      <c r="AL1160" s="294">
        <f>IF(NFI_Expiration=1,IF($A1160&lt;VLOOKUP(M$5,NFI,5,0),1,0)*Table_NFI[[#This Row],[Winter Blanket]],Table_NFI[[#This Row],[Winter Blanket]])</f>
        <v>0</v>
      </c>
      <c r="AM1160" s="294">
        <f>IF(Table_NFI[[#This Row],[Winter Clothes Adult]]+Table_NFI[[#This Row],[Winter Clothes Children]]+Table_NFI[[#This Row],[Winter Items Other]]+Table_NFI[[#This Row],[Winter Blanket]]&gt;0,1,0)</f>
        <v>0</v>
      </c>
      <c r="AN1160" s="331">
        <f>IF(NFI_Expiration=1,IF($A1160&lt;VLOOKUP(V$5,NFI,5,0),1,0)*Table_NFI[[#This Row],[Jerry Can]],Table_NFI[Jerry Can])</f>
        <v>0</v>
      </c>
      <c r="AO1160" s="331">
        <f>IF(NFI_Expiration=1,IF($A1160&lt;VLOOKUP(V$5,NFI,5,0),1,0)*Table_NFI[[#This Row],[Shelter Tool kit]],Table_NFI[Shelter Tool kit])</f>
        <v>0</v>
      </c>
      <c r="AP1160" s="331">
        <f>IF(NFI_Expiration=1,IF($A1160&lt;VLOOKUP(V$5,NFI,5,0),1,0)*Table_NFI[[#This Row],[Tent]],Table_NFI[Tent])</f>
        <v>0</v>
      </c>
      <c r="AQ1160" s="473" t="str">
        <f>IFERROR(VLOOKUP(Table_NFI[[#This Row],[Camp Name]],CL,2,0),"")</f>
        <v/>
      </c>
      <c r="AR1160" s="468" t="str">
        <f ca="1">IF(Table_NFI[[#This Row],[Pcode]]="","",IF(OFFSET(CampList[Opening Date],MATCH(Table_NFI[[#This Row],[Pcode]],CampList[CP_Pcode],0)-1,0,1,1)&gt;=NFI_Monitor_Date,1,0))</f>
        <v/>
      </c>
      <c r="AS1160" s="473" t="str">
        <f>IFERROR(VLOOKUP(Table_NFI[[#This Row],[Camp Name]],CL,3,0),"")</f>
        <v/>
      </c>
      <c r="AT1160" s="294" t="str">
        <f ca="1">IF(Table_NFI[[#This Row],[Pcode]]="","",OFFSET(CampList[Priority],MATCH(Table_NFI[[#This Row],[Pcode]],CampList[CP_Pcode],0)-1,0,1,1))</f>
        <v/>
      </c>
      <c r="AU1160" s="293" t="str">
        <f>IFERROR(Table_NFI[[#This Row],[Kitchen Set]]/VLOOKUP(Table_NFI[[#This Row],[Camp Name]],CL,4,0),"")</f>
        <v/>
      </c>
      <c r="AV1160" s="471"/>
      <c r="AW1160" s="490"/>
    </row>
    <row r="1161" spans="1:49" ht="14.45" customHeight="1" x14ac:dyDescent="0.25">
      <c r="A1161" s="297" t="str">
        <f t="shared" si="18"/>
        <v/>
      </c>
      <c r="B1161" s="465"/>
      <c r="C1161" s="466"/>
      <c r="D1161" s="471"/>
      <c r="E1161" s="471"/>
      <c r="F1161" s="471"/>
      <c r="G1161" s="471"/>
      <c r="H1161" s="292"/>
      <c r="I1161" s="292"/>
      <c r="J1161" s="292"/>
      <c r="K1161" s="292"/>
      <c r="L1161" s="292"/>
      <c r="M1161" s="292"/>
      <c r="N1161" s="292"/>
      <c r="O1161" s="292"/>
      <c r="P1161" s="294"/>
      <c r="Q1161" s="294"/>
      <c r="R1161" s="294"/>
      <c r="S1161" s="294"/>
      <c r="T1161" s="294"/>
      <c r="U1161" s="294"/>
      <c r="V1161" s="431"/>
      <c r="W1161" s="331"/>
      <c r="X1161" s="331"/>
      <c r="Y1161" s="294">
        <f>IF(NFI_Expiration=1,IF($A1161&lt;VLOOKUP(H$5,NFI,5,0),1,0)*Table_NFI[[#This Row],[Hygiene Kit]],Table_NFI[Hygiene Kit])</f>
        <v>0</v>
      </c>
      <c r="Z1161" s="294">
        <f>IF(NFI_Expiration=1,IF($A1161&lt;VLOOKUP(I$5,NFI,5,0),1,0)*Table_NFI[[#This Row],[NFI Core Kit]],Table_NFI[NFI Core Kit])</f>
        <v>0</v>
      </c>
      <c r="AA1161" s="294">
        <f>IF(NFI_Expiration=1,IF($A1161&lt;VLOOKUP(J$5,NFI,5,0),1,0)*Table_NFI[[#This Row],[Sanitary Kit]],Table_NFI[Sanitary Kit])</f>
        <v>0</v>
      </c>
      <c r="AB1161" s="294">
        <f>IF(NFI_Expiration=1,IF($A1161&lt;VLOOKUP(K$5,NFI,5,0),1,0)*Table_NFI[[#This Row],[Mosquito net]],Table_NFI[Mosquito net])</f>
        <v>0</v>
      </c>
      <c r="AC1161" s="294">
        <f>IF(NFI_Expiration=1,IF($A1161&lt;VLOOKUP(L$5,NFI,5,0),1,0)*Table_NFI[[#This Row],[Tarpaulin]],Table_NFI[[#This Row],[Tarpaulin]])</f>
        <v>0</v>
      </c>
      <c r="AD1161" s="294">
        <f>IF(NFI_Expiration=1,IF($A1161&lt;VLOOKUP(M$5,NFI,5,0),1,0)*Table_NFI[[#This Row],[Blanket]],Table_NFI[[#This Row],[Blanket]])</f>
        <v>0</v>
      </c>
      <c r="AE1161" s="294">
        <f>IF(NFI_Expiration=1,IF($A1161&lt;VLOOKUP(N$5,NFI,5,0),1,0)*Table_NFI[[#This Row],[Kitchen Set]],Table_NFI[Kitchen Set])</f>
        <v>0</v>
      </c>
      <c r="AF1161" s="294">
        <f>IF(NFI_Expiration=1,IF($A1161&lt;VLOOKUP(O$5,NFI,5,0),1,0)*Table_NFI[[#This Row],[Clothes Kit]],Table_NFI[Clothes Kit])</f>
        <v>0</v>
      </c>
      <c r="AG1161" s="294">
        <f>IF(NFI_Expiration=1,IF($A1161&lt;VLOOKUP(P$5,NFI,5,0),1,0)*Table_NFI[[#This Row],[Plastic Bucket]],Table_NFI[Plastic Bucket])</f>
        <v>0</v>
      </c>
      <c r="AH1161" s="294">
        <f>IF(NFI_Expiration=1,IF($A1161&lt;VLOOKUP(Q$5,NFI,5,0),1,0)*Table_NFI[[#This Row],[Plastic Mat]],Table_NFI[Plastic Mat])*IF(Table_NFI[[#This Row],[Distribution Date]]&gt;"2014-04-01",1,2.5)</f>
        <v>0</v>
      </c>
      <c r="AI1161" s="294">
        <f>IF(NFI_Expiration=1,IF($A1161&lt;VLOOKUP(R$5,NFI,5,0),1,0)*Table_NFI[[#This Row],[Winter Clothes Adult]],Table_NFI[Winter Clothes Adult])</f>
        <v>0</v>
      </c>
      <c r="AJ1161" s="294">
        <f>IF(NFI_Expiration=1,IF($A1161&lt;VLOOKUP(S$5,NFI,5,0),1,0)*Table_NFI[[#This Row],[Winter Clothes Children]],Table_NFI[Winter Clothes Children])</f>
        <v>0</v>
      </c>
      <c r="AK1161" s="294">
        <f>IF(NFI_Expiration=1,IF($A1161&lt;VLOOKUP(T$5,NFI,5,0),1,0)*Table_NFI[[#This Row],[Winter Items Other]],Table_NFI[Winter Items Other])</f>
        <v>0</v>
      </c>
      <c r="AL1161" s="294">
        <f>IF(NFI_Expiration=1,IF($A1161&lt;VLOOKUP(M$5,NFI,5,0),1,0)*Table_NFI[[#This Row],[Winter Blanket]],Table_NFI[[#This Row],[Winter Blanket]])</f>
        <v>0</v>
      </c>
      <c r="AM1161" s="294">
        <f>IF(Table_NFI[[#This Row],[Winter Clothes Adult]]+Table_NFI[[#This Row],[Winter Clothes Children]]+Table_NFI[[#This Row],[Winter Items Other]]+Table_NFI[[#This Row],[Winter Blanket]]&gt;0,1,0)</f>
        <v>0</v>
      </c>
      <c r="AN1161" s="331">
        <f>IF(NFI_Expiration=1,IF($A1161&lt;VLOOKUP(V$5,NFI,5,0),1,0)*Table_NFI[[#This Row],[Jerry Can]],Table_NFI[Jerry Can])</f>
        <v>0</v>
      </c>
      <c r="AO1161" s="331">
        <f>IF(NFI_Expiration=1,IF($A1161&lt;VLOOKUP(V$5,NFI,5,0),1,0)*Table_NFI[[#This Row],[Shelter Tool kit]],Table_NFI[Shelter Tool kit])</f>
        <v>0</v>
      </c>
      <c r="AP1161" s="331">
        <f>IF(NFI_Expiration=1,IF($A1161&lt;VLOOKUP(V$5,NFI,5,0),1,0)*Table_NFI[[#This Row],[Tent]],Table_NFI[Tent])</f>
        <v>0</v>
      </c>
      <c r="AQ1161" s="473" t="str">
        <f>IFERROR(VLOOKUP(Table_NFI[[#This Row],[Camp Name]],CL,2,0),"")</f>
        <v/>
      </c>
      <c r="AR1161" s="468" t="str">
        <f ca="1">IF(Table_NFI[[#This Row],[Pcode]]="","",IF(OFFSET(CampList[Opening Date],MATCH(Table_NFI[[#This Row],[Pcode]],CampList[CP_Pcode],0)-1,0,1,1)&gt;=NFI_Monitor_Date,1,0))</f>
        <v/>
      </c>
      <c r="AS1161" s="473" t="str">
        <f>IFERROR(VLOOKUP(Table_NFI[[#This Row],[Camp Name]],CL,3,0),"")</f>
        <v/>
      </c>
      <c r="AT1161" s="294" t="str">
        <f ca="1">IF(Table_NFI[[#This Row],[Pcode]]="","",OFFSET(CampList[Priority],MATCH(Table_NFI[[#This Row],[Pcode]],CampList[CP_Pcode],0)-1,0,1,1))</f>
        <v/>
      </c>
      <c r="AU1161" s="293" t="str">
        <f>IFERROR(Table_NFI[[#This Row],[Kitchen Set]]/VLOOKUP(Table_NFI[[#This Row],[Camp Name]],CL,4,0),"")</f>
        <v/>
      </c>
      <c r="AV1161" s="466"/>
      <c r="AW1161" s="469"/>
    </row>
    <row r="1162" spans="1:49" ht="14.45" customHeight="1" x14ac:dyDescent="0.25">
      <c r="A1162" s="297" t="str">
        <f t="shared" si="18"/>
        <v/>
      </c>
      <c r="B1162" s="465"/>
      <c r="C1162" s="466"/>
      <c r="D1162" s="471"/>
      <c r="E1162" s="471"/>
      <c r="F1162" s="471"/>
      <c r="G1162" s="471"/>
      <c r="H1162" s="292"/>
      <c r="I1162" s="292"/>
      <c r="J1162" s="292"/>
      <c r="K1162" s="292"/>
      <c r="L1162" s="292"/>
      <c r="M1162" s="292"/>
      <c r="N1162" s="292"/>
      <c r="O1162" s="292"/>
      <c r="P1162" s="294"/>
      <c r="Q1162" s="294"/>
      <c r="R1162" s="294"/>
      <c r="S1162" s="294"/>
      <c r="T1162" s="294"/>
      <c r="U1162" s="294"/>
      <c r="V1162" s="431"/>
      <c r="W1162" s="331"/>
      <c r="X1162" s="331"/>
      <c r="Y1162" s="294">
        <f>IF(NFI_Expiration=1,IF($A1162&lt;VLOOKUP(H$5,NFI,5,0),1,0)*Table_NFI[[#This Row],[Hygiene Kit]],Table_NFI[Hygiene Kit])</f>
        <v>0</v>
      </c>
      <c r="Z1162" s="294">
        <f>IF(NFI_Expiration=1,IF($A1162&lt;VLOOKUP(I$5,NFI,5,0),1,0)*Table_NFI[[#This Row],[NFI Core Kit]],Table_NFI[NFI Core Kit])</f>
        <v>0</v>
      </c>
      <c r="AA1162" s="294">
        <f>IF(NFI_Expiration=1,IF($A1162&lt;VLOOKUP(J$5,NFI,5,0),1,0)*Table_NFI[[#This Row],[Sanitary Kit]],Table_NFI[Sanitary Kit])</f>
        <v>0</v>
      </c>
      <c r="AB1162" s="294">
        <f>IF(NFI_Expiration=1,IF($A1162&lt;VLOOKUP(K$5,NFI,5,0),1,0)*Table_NFI[[#This Row],[Mosquito net]],Table_NFI[Mosquito net])</f>
        <v>0</v>
      </c>
      <c r="AC1162" s="294">
        <f>IF(NFI_Expiration=1,IF($A1162&lt;VLOOKUP(L$5,NFI,5,0),1,0)*Table_NFI[[#This Row],[Tarpaulin]],Table_NFI[[#This Row],[Tarpaulin]])</f>
        <v>0</v>
      </c>
      <c r="AD1162" s="294">
        <f>IF(NFI_Expiration=1,IF($A1162&lt;VLOOKUP(M$5,NFI,5,0),1,0)*Table_NFI[[#This Row],[Blanket]],Table_NFI[[#This Row],[Blanket]])</f>
        <v>0</v>
      </c>
      <c r="AE1162" s="294">
        <f>IF(NFI_Expiration=1,IF($A1162&lt;VLOOKUP(N$5,NFI,5,0),1,0)*Table_NFI[[#This Row],[Kitchen Set]],Table_NFI[Kitchen Set])</f>
        <v>0</v>
      </c>
      <c r="AF1162" s="294">
        <f>IF(NFI_Expiration=1,IF($A1162&lt;VLOOKUP(O$5,NFI,5,0),1,0)*Table_NFI[[#This Row],[Clothes Kit]],Table_NFI[Clothes Kit])</f>
        <v>0</v>
      </c>
      <c r="AG1162" s="294">
        <f>IF(NFI_Expiration=1,IF($A1162&lt;VLOOKUP(P$5,NFI,5,0),1,0)*Table_NFI[[#This Row],[Plastic Bucket]],Table_NFI[Plastic Bucket])</f>
        <v>0</v>
      </c>
      <c r="AH1162" s="294">
        <f>IF(NFI_Expiration=1,IF($A1162&lt;VLOOKUP(Q$5,NFI,5,0),1,0)*Table_NFI[[#This Row],[Plastic Mat]],Table_NFI[Plastic Mat])*IF(Table_NFI[[#This Row],[Distribution Date]]&gt;"2014-04-01",1,2.5)</f>
        <v>0</v>
      </c>
      <c r="AI1162" s="294">
        <f>IF(NFI_Expiration=1,IF($A1162&lt;VLOOKUP(R$5,NFI,5,0),1,0)*Table_NFI[[#This Row],[Winter Clothes Adult]],Table_NFI[Winter Clothes Adult])</f>
        <v>0</v>
      </c>
      <c r="AJ1162" s="294">
        <f>IF(NFI_Expiration=1,IF($A1162&lt;VLOOKUP(S$5,NFI,5,0),1,0)*Table_NFI[[#This Row],[Winter Clothes Children]],Table_NFI[Winter Clothes Children])</f>
        <v>0</v>
      </c>
      <c r="AK1162" s="294">
        <f>IF(NFI_Expiration=1,IF($A1162&lt;VLOOKUP(T$5,NFI,5,0),1,0)*Table_NFI[[#This Row],[Winter Items Other]],Table_NFI[Winter Items Other])</f>
        <v>0</v>
      </c>
      <c r="AL1162" s="294">
        <f>IF(NFI_Expiration=1,IF($A1162&lt;VLOOKUP(M$5,NFI,5,0),1,0)*Table_NFI[[#This Row],[Winter Blanket]],Table_NFI[[#This Row],[Winter Blanket]])</f>
        <v>0</v>
      </c>
      <c r="AM1162" s="294">
        <f>IF(Table_NFI[[#This Row],[Winter Clothes Adult]]+Table_NFI[[#This Row],[Winter Clothes Children]]+Table_NFI[[#This Row],[Winter Items Other]]+Table_NFI[[#This Row],[Winter Blanket]]&gt;0,1,0)</f>
        <v>0</v>
      </c>
      <c r="AN1162" s="331">
        <f>IF(NFI_Expiration=1,IF($A1162&lt;VLOOKUP(V$5,NFI,5,0),1,0)*Table_NFI[[#This Row],[Jerry Can]],Table_NFI[Jerry Can])</f>
        <v>0</v>
      </c>
      <c r="AO1162" s="331">
        <f>IF(NFI_Expiration=1,IF($A1162&lt;VLOOKUP(V$5,NFI,5,0),1,0)*Table_NFI[[#This Row],[Shelter Tool kit]],Table_NFI[Shelter Tool kit])</f>
        <v>0</v>
      </c>
      <c r="AP1162" s="331">
        <f>IF(NFI_Expiration=1,IF($A1162&lt;VLOOKUP(V$5,NFI,5,0),1,0)*Table_NFI[[#This Row],[Tent]],Table_NFI[Tent])</f>
        <v>0</v>
      </c>
      <c r="AQ1162" s="473" t="str">
        <f>IFERROR(VLOOKUP(Table_NFI[[#This Row],[Camp Name]],CL,2,0),"")</f>
        <v/>
      </c>
      <c r="AR1162" s="468" t="str">
        <f ca="1">IF(Table_NFI[[#This Row],[Pcode]]="","",IF(OFFSET(CampList[Opening Date],MATCH(Table_NFI[[#This Row],[Pcode]],CampList[CP_Pcode],0)-1,0,1,1)&gt;=NFI_Monitor_Date,1,0))</f>
        <v/>
      </c>
      <c r="AS1162" s="473" t="str">
        <f>IFERROR(VLOOKUP(Table_NFI[[#This Row],[Camp Name]],CL,3,0),"")</f>
        <v/>
      </c>
      <c r="AT1162" s="294" t="str">
        <f ca="1">IF(Table_NFI[[#This Row],[Pcode]]="","",OFFSET(CampList[Priority],MATCH(Table_NFI[[#This Row],[Pcode]],CampList[CP_Pcode],0)-1,0,1,1))</f>
        <v/>
      </c>
      <c r="AU1162" s="293" t="str">
        <f>IFERROR(Table_NFI[[#This Row],[Kitchen Set]]/VLOOKUP(Table_NFI[[#This Row],[Camp Name]],CL,4,0),"")</f>
        <v/>
      </c>
      <c r="AV1162" s="466"/>
      <c r="AW1162" s="469"/>
    </row>
    <row r="1163" spans="1:49" ht="14.45" customHeight="1" x14ac:dyDescent="0.25">
      <c r="A1163" s="297" t="str">
        <f t="shared" si="18"/>
        <v/>
      </c>
      <c r="B1163" s="465"/>
      <c r="C1163" s="466"/>
      <c r="D1163" s="471"/>
      <c r="E1163" s="471"/>
      <c r="F1163" s="471"/>
      <c r="G1163" s="471"/>
      <c r="H1163" s="292"/>
      <c r="I1163" s="292"/>
      <c r="J1163" s="292"/>
      <c r="K1163" s="292"/>
      <c r="L1163" s="292"/>
      <c r="M1163" s="292"/>
      <c r="N1163" s="292"/>
      <c r="O1163" s="292"/>
      <c r="P1163" s="294"/>
      <c r="Q1163" s="294"/>
      <c r="R1163" s="294"/>
      <c r="S1163" s="294"/>
      <c r="T1163" s="294"/>
      <c r="U1163" s="294"/>
      <c r="V1163" s="431"/>
      <c r="W1163" s="331"/>
      <c r="X1163" s="331"/>
      <c r="Y1163" s="294">
        <f>IF(NFI_Expiration=1,IF($A1163&lt;VLOOKUP(H$5,NFI,5,0),1,0)*Table_NFI[[#This Row],[Hygiene Kit]],Table_NFI[Hygiene Kit])</f>
        <v>0</v>
      </c>
      <c r="Z1163" s="294">
        <f>IF(NFI_Expiration=1,IF($A1163&lt;VLOOKUP(I$5,NFI,5,0),1,0)*Table_NFI[[#This Row],[NFI Core Kit]],Table_NFI[NFI Core Kit])</f>
        <v>0</v>
      </c>
      <c r="AA1163" s="294">
        <f>IF(NFI_Expiration=1,IF($A1163&lt;VLOOKUP(J$5,NFI,5,0),1,0)*Table_NFI[[#This Row],[Sanitary Kit]],Table_NFI[Sanitary Kit])</f>
        <v>0</v>
      </c>
      <c r="AB1163" s="294">
        <f>IF(NFI_Expiration=1,IF($A1163&lt;VLOOKUP(K$5,NFI,5,0),1,0)*Table_NFI[[#This Row],[Mosquito net]],Table_NFI[Mosquito net])</f>
        <v>0</v>
      </c>
      <c r="AC1163" s="294">
        <f>IF(NFI_Expiration=1,IF($A1163&lt;VLOOKUP(L$5,NFI,5,0),1,0)*Table_NFI[[#This Row],[Tarpaulin]],Table_NFI[[#This Row],[Tarpaulin]])</f>
        <v>0</v>
      </c>
      <c r="AD1163" s="294">
        <f>IF(NFI_Expiration=1,IF($A1163&lt;VLOOKUP(M$5,NFI,5,0),1,0)*Table_NFI[[#This Row],[Blanket]],Table_NFI[[#This Row],[Blanket]])</f>
        <v>0</v>
      </c>
      <c r="AE1163" s="294">
        <f>IF(NFI_Expiration=1,IF($A1163&lt;VLOOKUP(N$5,NFI,5,0),1,0)*Table_NFI[[#This Row],[Kitchen Set]],Table_NFI[Kitchen Set])</f>
        <v>0</v>
      </c>
      <c r="AF1163" s="294">
        <f>IF(NFI_Expiration=1,IF($A1163&lt;VLOOKUP(O$5,NFI,5,0),1,0)*Table_NFI[[#This Row],[Clothes Kit]],Table_NFI[Clothes Kit])</f>
        <v>0</v>
      </c>
      <c r="AG1163" s="294">
        <f>IF(NFI_Expiration=1,IF($A1163&lt;VLOOKUP(P$5,NFI,5,0),1,0)*Table_NFI[[#This Row],[Plastic Bucket]],Table_NFI[Plastic Bucket])</f>
        <v>0</v>
      </c>
      <c r="AH1163" s="294">
        <f>IF(NFI_Expiration=1,IF($A1163&lt;VLOOKUP(Q$5,NFI,5,0),1,0)*Table_NFI[[#This Row],[Plastic Mat]],Table_NFI[Plastic Mat])*IF(Table_NFI[[#This Row],[Distribution Date]]&gt;"2014-04-01",1,2.5)</f>
        <v>0</v>
      </c>
      <c r="AI1163" s="294">
        <f>IF(NFI_Expiration=1,IF($A1163&lt;VLOOKUP(R$5,NFI,5,0),1,0)*Table_NFI[[#This Row],[Winter Clothes Adult]],Table_NFI[Winter Clothes Adult])</f>
        <v>0</v>
      </c>
      <c r="AJ1163" s="294">
        <f>IF(NFI_Expiration=1,IF($A1163&lt;VLOOKUP(S$5,NFI,5,0),1,0)*Table_NFI[[#This Row],[Winter Clothes Children]],Table_NFI[Winter Clothes Children])</f>
        <v>0</v>
      </c>
      <c r="AK1163" s="294">
        <f>IF(NFI_Expiration=1,IF($A1163&lt;VLOOKUP(T$5,NFI,5,0),1,0)*Table_NFI[[#This Row],[Winter Items Other]],Table_NFI[Winter Items Other])</f>
        <v>0</v>
      </c>
      <c r="AL1163" s="294">
        <f>IF(NFI_Expiration=1,IF($A1163&lt;VLOOKUP(M$5,NFI,5,0),1,0)*Table_NFI[[#This Row],[Winter Blanket]],Table_NFI[[#This Row],[Winter Blanket]])</f>
        <v>0</v>
      </c>
      <c r="AM1163" s="294">
        <f>IF(Table_NFI[[#This Row],[Winter Clothes Adult]]+Table_NFI[[#This Row],[Winter Clothes Children]]+Table_NFI[[#This Row],[Winter Items Other]]+Table_NFI[[#This Row],[Winter Blanket]]&gt;0,1,0)</f>
        <v>0</v>
      </c>
      <c r="AN1163" s="331">
        <f>IF(NFI_Expiration=1,IF($A1163&lt;VLOOKUP(V$5,NFI,5,0),1,0)*Table_NFI[[#This Row],[Jerry Can]],Table_NFI[Jerry Can])</f>
        <v>0</v>
      </c>
      <c r="AO1163" s="331">
        <f>IF(NFI_Expiration=1,IF($A1163&lt;VLOOKUP(V$5,NFI,5,0),1,0)*Table_NFI[[#This Row],[Shelter Tool kit]],Table_NFI[Shelter Tool kit])</f>
        <v>0</v>
      </c>
      <c r="AP1163" s="331">
        <f>IF(NFI_Expiration=1,IF($A1163&lt;VLOOKUP(V$5,NFI,5,0),1,0)*Table_NFI[[#This Row],[Tent]],Table_NFI[Tent])</f>
        <v>0</v>
      </c>
      <c r="AQ1163" s="473" t="str">
        <f>IFERROR(VLOOKUP(Table_NFI[[#This Row],[Camp Name]],CL,2,0),"")</f>
        <v/>
      </c>
      <c r="AR1163" s="468" t="str">
        <f ca="1">IF(Table_NFI[[#This Row],[Pcode]]="","",IF(OFFSET(CampList[Opening Date],MATCH(Table_NFI[[#This Row],[Pcode]],CampList[CP_Pcode],0)-1,0,1,1)&gt;=NFI_Monitor_Date,1,0))</f>
        <v/>
      </c>
      <c r="AS1163" s="473" t="str">
        <f>IFERROR(VLOOKUP(Table_NFI[[#This Row],[Camp Name]],CL,3,0),"")</f>
        <v/>
      </c>
      <c r="AT1163" s="294" t="str">
        <f ca="1">IF(Table_NFI[[#This Row],[Pcode]]="","",OFFSET(CampList[Priority],MATCH(Table_NFI[[#This Row],[Pcode]],CampList[CP_Pcode],0)-1,0,1,1))</f>
        <v/>
      </c>
      <c r="AU1163" s="293" t="str">
        <f>IFERROR(Table_NFI[[#This Row],[Kitchen Set]]/VLOOKUP(Table_NFI[[#This Row],[Camp Name]],CL,4,0),"")</f>
        <v/>
      </c>
      <c r="AV1163" s="466"/>
      <c r="AW1163" s="490"/>
    </row>
    <row r="1164" spans="1:49" ht="14.45" customHeight="1" x14ac:dyDescent="0.25">
      <c r="A1164" s="297" t="str">
        <f t="shared" si="18"/>
        <v/>
      </c>
      <c r="B1164" s="465"/>
      <c r="C1164" s="466"/>
      <c r="D1164" s="471"/>
      <c r="E1164" s="471"/>
      <c r="F1164" s="471"/>
      <c r="G1164" s="471"/>
      <c r="H1164" s="292"/>
      <c r="I1164" s="292"/>
      <c r="J1164" s="292"/>
      <c r="K1164" s="292"/>
      <c r="L1164" s="292"/>
      <c r="M1164" s="292"/>
      <c r="N1164" s="292"/>
      <c r="O1164" s="292"/>
      <c r="P1164" s="294"/>
      <c r="Q1164" s="294"/>
      <c r="R1164" s="294"/>
      <c r="S1164" s="294"/>
      <c r="T1164" s="294"/>
      <c r="U1164" s="294"/>
      <c r="V1164" s="431"/>
      <c r="W1164" s="331"/>
      <c r="X1164" s="331"/>
      <c r="Y1164" s="294">
        <f>IF(NFI_Expiration=1,IF($A1164&lt;VLOOKUP(H$5,NFI,5,0),1,0)*Table_NFI[[#This Row],[Hygiene Kit]],Table_NFI[Hygiene Kit])</f>
        <v>0</v>
      </c>
      <c r="Z1164" s="294">
        <f>IF(NFI_Expiration=1,IF($A1164&lt;VLOOKUP(I$5,NFI,5,0),1,0)*Table_NFI[[#This Row],[NFI Core Kit]],Table_NFI[NFI Core Kit])</f>
        <v>0</v>
      </c>
      <c r="AA1164" s="294">
        <f>IF(NFI_Expiration=1,IF($A1164&lt;VLOOKUP(J$5,NFI,5,0),1,0)*Table_NFI[[#This Row],[Sanitary Kit]],Table_NFI[Sanitary Kit])</f>
        <v>0</v>
      </c>
      <c r="AB1164" s="294">
        <f>IF(NFI_Expiration=1,IF($A1164&lt;VLOOKUP(K$5,NFI,5,0),1,0)*Table_NFI[[#This Row],[Mosquito net]],Table_NFI[Mosquito net])</f>
        <v>0</v>
      </c>
      <c r="AC1164" s="294">
        <f>IF(NFI_Expiration=1,IF($A1164&lt;VLOOKUP(L$5,NFI,5,0),1,0)*Table_NFI[[#This Row],[Tarpaulin]],Table_NFI[[#This Row],[Tarpaulin]])</f>
        <v>0</v>
      </c>
      <c r="AD1164" s="294">
        <f>IF(NFI_Expiration=1,IF($A1164&lt;VLOOKUP(M$5,NFI,5,0),1,0)*Table_NFI[[#This Row],[Blanket]],Table_NFI[[#This Row],[Blanket]])</f>
        <v>0</v>
      </c>
      <c r="AE1164" s="294">
        <f>IF(NFI_Expiration=1,IF($A1164&lt;VLOOKUP(N$5,NFI,5,0),1,0)*Table_NFI[[#This Row],[Kitchen Set]],Table_NFI[Kitchen Set])</f>
        <v>0</v>
      </c>
      <c r="AF1164" s="294">
        <f>IF(NFI_Expiration=1,IF($A1164&lt;VLOOKUP(O$5,NFI,5,0),1,0)*Table_NFI[[#This Row],[Clothes Kit]],Table_NFI[Clothes Kit])</f>
        <v>0</v>
      </c>
      <c r="AG1164" s="294">
        <f>IF(NFI_Expiration=1,IF($A1164&lt;VLOOKUP(P$5,NFI,5,0),1,0)*Table_NFI[[#This Row],[Plastic Bucket]],Table_NFI[Plastic Bucket])</f>
        <v>0</v>
      </c>
      <c r="AH1164" s="294">
        <f>IF(NFI_Expiration=1,IF($A1164&lt;VLOOKUP(Q$5,NFI,5,0),1,0)*Table_NFI[[#This Row],[Plastic Mat]],Table_NFI[Plastic Mat])*IF(Table_NFI[[#This Row],[Distribution Date]]&gt;"2014-04-01",1,2.5)</f>
        <v>0</v>
      </c>
      <c r="AI1164" s="294">
        <f>IF(NFI_Expiration=1,IF($A1164&lt;VLOOKUP(R$5,NFI,5,0),1,0)*Table_NFI[[#This Row],[Winter Clothes Adult]],Table_NFI[Winter Clothes Adult])</f>
        <v>0</v>
      </c>
      <c r="AJ1164" s="294">
        <f>IF(NFI_Expiration=1,IF($A1164&lt;VLOOKUP(S$5,NFI,5,0),1,0)*Table_NFI[[#This Row],[Winter Clothes Children]],Table_NFI[Winter Clothes Children])</f>
        <v>0</v>
      </c>
      <c r="AK1164" s="294">
        <f>IF(NFI_Expiration=1,IF($A1164&lt;VLOOKUP(T$5,NFI,5,0),1,0)*Table_NFI[[#This Row],[Winter Items Other]],Table_NFI[Winter Items Other])</f>
        <v>0</v>
      </c>
      <c r="AL1164" s="294">
        <f>IF(NFI_Expiration=1,IF($A1164&lt;VLOOKUP(M$5,NFI,5,0),1,0)*Table_NFI[[#This Row],[Winter Blanket]],Table_NFI[[#This Row],[Winter Blanket]])</f>
        <v>0</v>
      </c>
      <c r="AM1164" s="294">
        <f>IF(Table_NFI[[#This Row],[Winter Clothes Adult]]+Table_NFI[[#This Row],[Winter Clothes Children]]+Table_NFI[[#This Row],[Winter Items Other]]+Table_NFI[[#This Row],[Winter Blanket]]&gt;0,1,0)</f>
        <v>0</v>
      </c>
      <c r="AN1164" s="331">
        <f>IF(NFI_Expiration=1,IF($A1164&lt;VLOOKUP(V$5,NFI,5,0),1,0)*Table_NFI[[#This Row],[Jerry Can]],Table_NFI[Jerry Can])</f>
        <v>0</v>
      </c>
      <c r="AO1164" s="331">
        <f>IF(NFI_Expiration=1,IF($A1164&lt;VLOOKUP(V$5,NFI,5,0),1,0)*Table_NFI[[#This Row],[Shelter Tool kit]],Table_NFI[Shelter Tool kit])</f>
        <v>0</v>
      </c>
      <c r="AP1164" s="331">
        <f>IF(NFI_Expiration=1,IF($A1164&lt;VLOOKUP(V$5,NFI,5,0),1,0)*Table_NFI[[#This Row],[Tent]],Table_NFI[Tent])</f>
        <v>0</v>
      </c>
      <c r="AQ1164" s="473" t="str">
        <f>IFERROR(VLOOKUP(Table_NFI[[#This Row],[Camp Name]],CL,2,0),"")</f>
        <v/>
      </c>
      <c r="AR1164" s="468" t="str">
        <f ca="1">IF(Table_NFI[[#This Row],[Pcode]]="","",IF(OFFSET(CampList[Opening Date],MATCH(Table_NFI[[#This Row],[Pcode]],CampList[CP_Pcode],0)-1,0,1,1)&gt;=NFI_Monitor_Date,1,0))</f>
        <v/>
      </c>
      <c r="AS1164" s="473" t="str">
        <f>IFERROR(VLOOKUP(Table_NFI[[#This Row],[Camp Name]],CL,3,0),"")</f>
        <v/>
      </c>
      <c r="AT1164" s="294" t="str">
        <f ca="1">IF(Table_NFI[[#This Row],[Pcode]]="","",OFFSET(CampList[Priority],MATCH(Table_NFI[[#This Row],[Pcode]],CampList[CP_Pcode],0)-1,0,1,1))</f>
        <v/>
      </c>
      <c r="AU1164" s="293" t="str">
        <f>IFERROR(Table_NFI[[#This Row],[Kitchen Set]]/VLOOKUP(Table_NFI[[#This Row],[Camp Name]],CL,4,0),"")</f>
        <v/>
      </c>
      <c r="AV1164" s="471"/>
      <c r="AW1164" s="474"/>
    </row>
    <row r="1165" spans="1:49" ht="14.45" customHeight="1" x14ac:dyDescent="0.25">
      <c r="A1165" s="297" t="str">
        <f t="shared" si="18"/>
        <v/>
      </c>
      <c r="B1165" s="465"/>
      <c r="C1165" s="466"/>
      <c r="D1165" s="471"/>
      <c r="E1165" s="471"/>
      <c r="F1165" s="471"/>
      <c r="G1165" s="471"/>
      <c r="H1165" s="292"/>
      <c r="I1165" s="292"/>
      <c r="J1165" s="292"/>
      <c r="K1165" s="292"/>
      <c r="L1165" s="292"/>
      <c r="M1165" s="292"/>
      <c r="N1165" s="292"/>
      <c r="O1165" s="292"/>
      <c r="P1165" s="294"/>
      <c r="Q1165" s="294"/>
      <c r="R1165" s="294"/>
      <c r="S1165" s="294"/>
      <c r="T1165" s="294"/>
      <c r="U1165" s="294"/>
      <c r="V1165" s="431"/>
      <c r="W1165" s="331"/>
      <c r="X1165" s="331"/>
      <c r="Y1165" s="294">
        <f>IF(NFI_Expiration=1,IF($A1165&lt;VLOOKUP(H$5,NFI,5,0),1,0)*Table_NFI[[#This Row],[Hygiene Kit]],Table_NFI[Hygiene Kit])</f>
        <v>0</v>
      </c>
      <c r="Z1165" s="294">
        <f>IF(NFI_Expiration=1,IF($A1165&lt;VLOOKUP(I$5,NFI,5,0),1,0)*Table_NFI[[#This Row],[NFI Core Kit]],Table_NFI[NFI Core Kit])</f>
        <v>0</v>
      </c>
      <c r="AA1165" s="294">
        <f>IF(NFI_Expiration=1,IF($A1165&lt;VLOOKUP(J$5,NFI,5,0),1,0)*Table_NFI[[#This Row],[Sanitary Kit]],Table_NFI[Sanitary Kit])</f>
        <v>0</v>
      </c>
      <c r="AB1165" s="294">
        <f>IF(NFI_Expiration=1,IF($A1165&lt;VLOOKUP(K$5,NFI,5,0),1,0)*Table_NFI[[#This Row],[Mosquito net]],Table_NFI[Mosquito net])</f>
        <v>0</v>
      </c>
      <c r="AC1165" s="294">
        <f>IF(NFI_Expiration=1,IF($A1165&lt;VLOOKUP(L$5,NFI,5,0),1,0)*Table_NFI[[#This Row],[Tarpaulin]],Table_NFI[[#This Row],[Tarpaulin]])</f>
        <v>0</v>
      </c>
      <c r="AD1165" s="294">
        <f>IF(NFI_Expiration=1,IF($A1165&lt;VLOOKUP(M$5,NFI,5,0),1,0)*Table_NFI[[#This Row],[Blanket]],Table_NFI[[#This Row],[Blanket]])</f>
        <v>0</v>
      </c>
      <c r="AE1165" s="294">
        <f>IF(NFI_Expiration=1,IF($A1165&lt;VLOOKUP(N$5,NFI,5,0),1,0)*Table_NFI[[#This Row],[Kitchen Set]],Table_NFI[Kitchen Set])</f>
        <v>0</v>
      </c>
      <c r="AF1165" s="294">
        <f>IF(NFI_Expiration=1,IF($A1165&lt;VLOOKUP(O$5,NFI,5,0),1,0)*Table_NFI[[#This Row],[Clothes Kit]],Table_NFI[Clothes Kit])</f>
        <v>0</v>
      </c>
      <c r="AG1165" s="294">
        <f>IF(NFI_Expiration=1,IF($A1165&lt;VLOOKUP(P$5,NFI,5,0),1,0)*Table_NFI[[#This Row],[Plastic Bucket]],Table_NFI[Plastic Bucket])</f>
        <v>0</v>
      </c>
      <c r="AH1165" s="294">
        <f>IF(NFI_Expiration=1,IF($A1165&lt;VLOOKUP(Q$5,NFI,5,0),1,0)*Table_NFI[[#This Row],[Plastic Mat]],Table_NFI[Plastic Mat])*IF(Table_NFI[[#This Row],[Distribution Date]]&gt;"2014-04-01",1,2.5)</f>
        <v>0</v>
      </c>
      <c r="AI1165" s="294">
        <f>IF(NFI_Expiration=1,IF($A1165&lt;VLOOKUP(R$5,NFI,5,0),1,0)*Table_NFI[[#This Row],[Winter Clothes Adult]],Table_NFI[Winter Clothes Adult])</f>
        <v>0</v>
      </c>
      <c r="AJ1165" s="294">
        <f>IF(NFI_Expiration=1,IF($A1165&lt;VLOOKUP(S$5,NFI,5,0),1,0)*Table_NFI[[#This Row],[Winter Clothes Children]],Table_NFI[Winter Clothes Children])</f>
        <v>0</v>
      </c>
      <c r="AK1165" s="294">
        <f>IF(NFI_Expiration=1,IF($A1165&lt;VLOOKUP(T$5,NFI,5,0),1,0)*Table_NFI[[#This Row],[Winter Items Other]],Table_NFI[Winter Items Other])</f>
        <v>0</v>
      </c>
      <c r="AL1165" s="294">
        <f>IF(NFI_Expiration=1,IF($A1165&lt;VLOOKUP(M$5,NFI,5,0),1,0)*Table_NFI[[#This Row],[Winter Blanket]],Table_NFI[[#This Row],[Winter Blanket]])</f>
        <v>0</v>
      </c>
      <c r="AM1165" s="294">
        <f>IF(Table_NFI[[#This Row],[Winter Clothes Adult]]+Table_NFI[[#This Row],[Winter Clothes Children]]+Table_NFI[[#This Row],[Winter Items Other]]+Table_NFI[[#This Row],[Winter Blanket]]&gt;0,1,0)</f>
        <v>0</v>
      </c>
      <c r="AN1165" s="331">
        <f>IF(NFI_Expiration=1,IF($A1165&lt;VLOOKUP(V$5,NFI,5,0),1,0)*Table_NFI[[#This Row],[Jerry Can]],Table_NFI[Jerry Can])</f>
        <v>0</v>
      </c>
      <c r="AO1165" s="331">
        <f>IF(NFI_Expiration=1,IF($A1165&lt;VLOOKUP(V$5,NFI,5,0),1,0)*Table_NFI[[#This Row],[Shelter Tool kit]],Table_NFI[Shelter Tool kit])</f>
        <v>0</v>
      </c>
      <c r="AP1165" s="331">
        <f>IF(NFI_Expiration=1,IF($A1165&lt;VLOOKUP(V$5,NFI,5,0),1,0)*Table_NFI[[#This Row],[Tent]],Table_NFI[Tent])</f>
        <v>0</v>
      </c>
      <c r="AQ1165" s="473" t="str">
        <f>IFERROR(VLOOKUP(Table_NFI[[#This Row],[Camp Name]],CL,2,0),"")</f>
        <v/>
      </c>
      <c r="AR1165" s="468" t="str">
        <f ca="1">IF(Table_NFI[[#This Row],[Pcode]]="","",IF(OFFSET(CampList[Opening Date],MATCH(Table_NFI[[#This Row],[Pcode]],CampList[CP_Pcode],0)-1,0,1,1)&gt;=NFI_Monitor_Date,1,0))</f>
        <v/>
      </c>
      <c r="AS1165" s="473" t="str">
        <f>IFERROR(VLOOKUP(Table_NFI[[#This Row],[Camp Name]],CL,3,0),"")</f>
        <v/>
      </c>
      <c r="AT1165" s="294" t="str">
        <f ca="1">IF(Table_NFI[[#This Row],[Pcode]]="","",OFFSET(CampList[Priority],MATCH(Table_NFI[[#This Row],[Pcode]],CampList[CP_Pcode],0)-1,0,1,1))</f>
        <v/>
      </c>
      <c r="AU1165" s="293" t="str">
        <f>IFERROR(Table_NFI[[#This Row],[Kitchen Set]]/VLOOKUP(Table_NFI[[#This Row],[Camp Name]],CL,4,0),"")</f>
        <v/>
      </c>
      <c r="AV1165" s="471"/>
      <c r="AW1165" s="474"/>
    </row>
    <row r="1166" spans="1:49" ht="14.45" customHeight="1" x14ac:dyDescent="0.25">
      <c r="A1166" s="297" t="str">
        <f t="shared" si="18"/>
        <v/>
      </c>
      <c r="B1166" s="465"/>
      <c r="C1166" s="466"/>
      <c r="D1166" s="471"/>
      <c r="E1166" s="471"/>
      <c r="F1166" s="471"/>
      <c r="G1166" s="471"/>
      <c r="H1166" s="292"/>
      <c r="I1166" s="292"/>
      <c r="J1166" s="292"/>
      <c r="K1166" s="292"/>
      <c r="L1166" s="292"/>
      <c r="M1166" s="292"/>
      <c r="N1166" s="292"/>
      <c r="O1166" s="292"/>
      <c r="P1166" s="294"/>
      <c r="Q1166" s="294"/>
      <c r="R1166" s="294"/>
      <c r="S1166" s="294"/>
      <c r="T1166" s="294"/>
      <c r="U1166" s="294"/>
      <c r="V1166" s="431"/>
      <c r="W1166" s="331"/>
      <c r="X1166" s="331"/>
      <c r="Y1166" s="294">
        <f>IF(NFI_Expiration=1,IF($A1166&lt;VLOOKUP(H$5,NFI,5,0),1,0)*Table_NFI[[#This Row],[Hygiene Kit]],Table_NFI[Hygiene Kit])</f>
        <v>0</v>
      </c>
      <c r="Z1166" s="294">
        <f>IF(NFI_Expiration=1,IF($A1166&lt;VLOOKUP(I$5,NFI,5,0),1,0)*Table_NFI[[#This Row],[NFI Core Kit]],Table_NFI[NFI Core Kit])</f>
        <v>0</v>
      </c>
      <c r="AA1166" s="294">
        <f>IF(NFI_Expiration=1,IF($A1166&lt;VLOOKUP(J$5,NFI,5,0),1,0)*Table_NFI[[#This Row],[Sanitary Kit]],Table_NFI[Sanitary Kit])</f>
        <v>0</v>
      </c>
      <c r="AB1166" s="294">
        <f>IF(NFI_Expiration=1,IF($A1166&lt;VLOOKUP(K$5,NFI,5,0),1,0)*Table_NFI[[#This Row],[Mosquito net]],Table_NFI[Mosquito net])</f>
        <v>0</v>
      </c>
      <c r="AC1166" s="294">
        <f>IF(NFI_Expiration=1,IF($A1166&lt;VLOOKUP(L$5,NFI,5,0),1,0)*Table_NFI[[#This Row],[Tarpaulin]],Table_NFI[[#This Row],[Tarpaulin]])</f>
        <v>0</v>
      </c>
      <c r="AD1166" s="294">
        <f>IF(NFI_Expiration=1,IF($A1166&lt;VLOOKUP(M$5,NFI,5,0),1,0)*Table_NFI[[#This Row],[Blanket]],Table_NFI[[#This Row],[Blanket]])</f>
        <v>0</v>
      </c>
      <c r="AE1166" s="294">
        <f>IF(NFI_Expiration=1,IF($A1166&lt;VLOOKUP(N$5,NFI,5,0),1,0)*Table_NFI[[#This Row],[Kitchen Set]],Table_NFI[Kitchen Set])</f>
        <v>0</v>
      </c>
      <c r="AF1166" s="294">
        <f>IF(NFI_Expiration=1,IF($A1166&lt;VLOOKUP(O$5,NFI,5,0),1,0)*Table_NFI[[#This Row],[Clothes Kit]],Table_NFI[Clothes Kit])</f>
        <v>0</v>
      </c>
      <c r="AG1166" s="294">
        <f>IF(NFI_Expiration=1,IF($A1166&lt;VLOOKUP(P$5,NFI,5,0),1,0)*Table_NFI[[#This Row],[Plastic Bucket]],Table_NFI[Plastic Bucket])</f>
        <v>0</v>
      </c>
      <c r="AH1166" s="294">
        <f>IF(NFI_Expiration=1,IF($A1166&lt;VLOOKUP(Q$5,NFI,5,0),1,0)*Table_NFI[[#This Row],[Plastic Mat]],Table_NFI[Plastic Mat])*IF(Table_NFI[[#This Row],[Distribution Date]]&gt;"2014-04-01",1,2.5)</f>
        <v>0</v>
      </c>
      <c r="AI1166" s="294">
        <f>IF(NFI_Expiration=1,IF($A1166&lt;VLOOKUP(R$5,NFI,5,0),1,0)*Table_NFI[[#This Row],[Winter Clothes Adult]],Table_NFI[Winter Clothes Adult])</f>
        <v>0</v>
      </c>
      <c r="AJ1166" s="294">
        <f>IF(NFI_Expiration=1,IF($A1166&lt;VLOOKUP(S$5,NFI,5,0),1,0)*Table_NFI[[#This Row],[Winter Clothes Children]],Table_NFI[Winter Clothes Children])</f>
        <v>0</v>
      </c>
      <c r="AK1166" s="294">
        <f>IF(NFI_Expiration=1,IF($A1166&lt;VLOOKUP(T$5,NFI,5,0),1,0)*Table_NFI[[#This Row],[Winter Items Other]],Table_NFI[Winter Items Other])</f>
        <v>0</v>
      </c>
      <c r="AL1166" s="294">
        <f>IF(NFI_Expiration=1,IF($A1166&lt;VLOOKUP(M$5,NFI,5,0),1,0)*Table_NFI[[#This Row],[Winter Blanket]],Table_NFI[[#This Row],[Winter Blanket]])</f>
        <v>0</v>
      </c>
      <c r="AM1166" s="294">
        <f>IF(Table_NFI[[#This Row],[Winter Clothes Adult]]+Table_NFI[[#This Row],[Winter Clothes Children]]+Table_NFI[[#This Row],[Winter Items Other]]+Table_NFI[[#This Row],[Winter Blanket]]&gt;0,1,0)</f>
        <v>0</v>
      </c>
      <c r="AN1166" s="331">
        <f>IF(NFI_Expiration=1,IF($A1166&lt;VLOOKUP(V$5,NFI,5,0),1,0)*Table_NFI[[#This Row],[Jerry Can]],Table_NFI[Jerry Can])</f>
        <v>0</v>
      </c>
      <c r="AO1166" s="331">
        <f>IF(NFI_Expiration=1,IF($A1166&lt;VLOOKUP(V$5,NFI,5,0),1,0)*Table_NFI[[#This Row],[Shelter Tool kit]],Table_NFI[Shelter Tool kit])</f>
        <v>0</v>
      </c>
      <c r="AP1166" s="331">
        <f>IF(NFI_Expiration=1,IF($A1166&lt;VLOOKUP(V$5,NFI,5,0),1,0)*Table_NFI[[#This Row],[Tent]],Table_NFI[Tent])</f>
        <v>0</v>
      </c>
      <c r="AQ1166" s="473" t="str">
        <f>IFERROR(VLOOKUP(Table_NFI[[#This Row],[Camp Name]],CL,2,0),"")</f>
        <v/>
      </c>
      <c r="AR1166" s="468" t="str">
        <f ca="1">IF(Table_NFI[[#This Row],[Pcode]]="","",IF(OFFSET(CampList[Opening Date],MATCH(Table_NFI[[#This Row],[Pcode]],CampList[CP_Pcode],0)-1,0,1,1)&gt;=NFI_Monitor_Date,1,0))</f>
        <v/>
      </c>
      <c r="AS1166" s="473" t="str">
        <f>IFERROR(VLOOKUP(Table_NFI[[#This Row],[Camp Name]],CL,3,0),"")</f>
        <v/>
      </c>
      <c r="AT1166" s="294" t="str">
        <f ca="1">IF(Table_NFI[[#This Row],[Pcode]]="","",OFFSET(CampList[Priority],MATCH(Table_NFI[[#This Row],[Pcode]],CampList[CP_Pcode],0)-1,0,1,1))</f>
        <v/>
      </c>
      <c r="AU1166" s="293" t="str">
        <f>IFERROR(Table_NFI[[#This Row],[Kitchen Set]]/VLOOKUP(Table_NFI[[#This Row],[Camp Name]],CL,4,0),"")</f>
        <v/>
      </c>
      <c r="AV1166" s="471"/>
      <c r="AW1166" s="474"/>
    </row>
    <row r="1167" spans="1:49" ht="14.45" customHeight="1" x14ac:dyDescent="0.25">
      <c r="A1167" s="297" t="str">
        <f t="shared" si="18"/>
        <v/>
      </c>
      <c r="B1167" s="465"/>
      <c r="C1167" s="466"/>
      <c r="D1167" s="471"/>
      <c r="E1167" s="471"/>
      <c r="F1167" s="471"/>
      <c r="G1167" s="471"/>
      <c r="H1167" s="292"/>
      <c r="I1167" s="292"/>
      <c r="J1167" s="292"/>
      <c r="K1167" s="292"/>
      <c r="L1167" s="292"/>
      <c r="M1167" s="292"/>
      <c r="N1167" s="292"/>
      <c r="O1167" s="292"/>
      <c r="P1167" s="294"/>
      <c r="Q1167" s="294"/>
      <c r="R1167" s="294"/>
      <c r="S1167" s="294"/>
      <c r="T1167" s="294"/>
      <c r="U1167" s="294"/>
      <c r="V1167" s="431"/>
      <c r="W1167" s="331"/>
      <c r="X1167" s="331"/>
      <c r="Y1167" s="294">
        <f>IF(NFI_Expiration=1,IF($A1167&lt;VLOOKUP(H$5,NFI,5,0),1,0)*Table_NFI[[#This Row],[Hygiene Kit]],Table_NFI[Hygiene Kit])</f>
        <v>0</v>
      </c>
      <c r="Z1167" s="294">
        <f>IF(NFI_Expiration=1,IF($A1167&lt;VLOOKUP(I$5,NFI,5,0),1,0)*Table_NFI[[#This Row],[NFI Core Kit]],Table_NFI[NFI Core Kit])</f>
        <v>0</v>
      </c>
      <c r="AA1167" s="294">
        <f>IF(NFI_Expiration=1,IF($A1167&lt;VLOOKUP(J$5,NFI,5,0),1,0)*Table_NFI[[#This Row],[Sanitary Kit]],Table_NFI[Sanitary Kit])</f>
        <v>0</v>
      </c>
      <c r="AB1167" s="294">
        <f>IF(NFI_Expiration=1,IF($A1167&lt;VLOOKUP(K$5,NFI,5,0),1,0)*Table_NFI[[#This Row],[Mosquito net]],Table_NFI[Mosquito net])</f>
        <v>0</v>
      </c>
      <c r="AC1167" s="294">
        <f>IF(NFI_Expiration=1,IF($A1167&lt;VLOOKUP(L$5,NFI,5,0),1,0)*Table_NFI[[#This Row],[Tarpaulin]],Table_NFI[[#This Row],[Tarpaulin]])</f>
        <v>0</v>
      </c>
      <c r="AD1167" s="294">
        <f>IF(NFI_Expiration=1,IF($A1167&lt;VLOOKUP(M$5,NFI,5,0),1,0)*Table_NFI[[#This Row],[Blanket]],Table_NFI[[#This Row],[Blanket]])</f>
        <v>0</v>
      </c>
      <c r="AE1167" s="294">
        <f>IF(NFI_Expiration=1,IF($A1167&lt;VLOOKUP(N$5,NFI,5,0),1,0)*Table_NFI[[#This Row],[Kitchen Set]],Table_NFI[Kitchen Set])</f>
        <v>0</v>
      </c>
      <c r="AF1167" s="294">
        <f>IF(NFI_Expiration=1,IF($A1167&lt;VLOOKUP(O$5,NFI,5,0),1,0)*Table_NFI[[#This Row],[Clothes Kit]],Table_NFI[Clothes Kit])</f>
        <v>0</v>
      </c>
      <c r="AG1167" s="294">
        <f>IF(NFI_Expiration=1,IF($A1167&lt;VLOOKUP(P$5,NFI,5,0),1,0)*Table_NFI[[#This Row],[Plastic Bucket]],Table_NFI[Plastic Bucket])</f>
        <v>0</v>
      </c>
      <c r="AH1167" s="294">
        <f>IF(NFI_Expiration=1,IF($A1167&lt;VLOOKUP(Q$5,NFI,5,0),1,0)*Table_NFI[[#This Row],[Plastic Mat]],Table_NFI[Plastic Mat])*IF(Table_NFI[[#This Row],[Distribution Date]]&gt;"2014-04-01",1,2.5)</f>
        <v>0</v>
      </c>
      <c r="AI1167" s="294">
        <f>IF(NFI_Expiration=1,IF($A1167&lt;VLOOKUP(R$5,NFI,5,0),1,0)*Table_NFI[[#This Row],[Winter Clothes Adult]],Table_NFI[Winter Clothes Adult])</f>
        <v>0</v>
      </c>
      <c r="AJ1167" s="294">
        <f>IF(NFI_Expiration=1,IF($A1167&lt;VLOOKUP(S$5,NFI,5,0),1,0)*Table_NFI[[#This Row],[Winter Clothes Children]],Table_NFI[Winter Clothes Children])</f>
        <v>0</v>
      </c>
      <c r="AK1167" s="294">
        <f>IF(NFI_Expiration=1,IF($A1167&lt;VLOOKUP(T$5,NFI,5,0),1,0)*Table_NFI[[#This Row],[Winter Items Other]],Table_NFI[Winter Items Other])</f>
        <v>0</v>
      </c>
      <c r="AL1167" s="294">
        <f>IF(NFI_Expiration=1,IF($A1167&lt;VLOOKUP(M$5,NFI,5,0),1,0)*Table_NFI[[#This Row],[Winter Blanket]],Table_NFI[[#This Row],[Winter Blanket]])</f>
        <v>0</v>
      </c>
      <c r="AM1167" s="294">
        <f>IF(Table_NFI[[#This Row],[Winter Clothes Adult]]+Table_NFI[[#This Row],[Winter Clothes Children]]+Table_NFI[[#This Row],[Winter Items Other]]+Table_NFI[[#This Row],[Winter Blanket]]&gt;0,1,0)</f>
        <v>0</v>
      </c>
      <c r="AN1167" s="331">
        <f>IF(NFI_Expiration=1,IF($A1167&lt;VLOOKUP(V$5,NFI,5,0),1,0)*Table_NFI[[#This Row],[Jerry Can]],Table_NFI[Jerry Can])</f>
        <v>0</v>
      </c>
      <c r="AO1167" s="331">
        <f>IF(NFI_Expiration=1,IF($A1167&lt;VLOOKUP(V$5,NFI,5,0),1,0)*Table_NFI[[#This Row],[Shelter Tool kit]],Table_NFI[Shelter Tool kit])</f>
        <v>0</v>
      </c>
      <c r="AP1167" s="331">
        <f>IF(NFI_Expiration=1,IF($A1167&lt;VLOOKUP(V$5,NFI,5,0),1,0)*Table_NFI[[#This Row],[Tent]],Table_NFI[Tent])</f>
        <v>0</v>
      </c>
      <c r="AQ1167" s="473" t="str">
        <f>IFERROR(VLOOKUP(Table_NFI[[#This Row],[Camp Name]],CL,2,0),"")</f>
        <v/>
      </c>
      <c r="AR1167" s="468" t="str">
        <f ca="1">IF(Table_NFI[[#This Row],[Pcode]]="","",IF(OFFSET(CampList[Opening Date],MATCH(Table_NFI[[#This Row],[Pcode]],CampList[CP_Pcode],0)-1,0,1,1)&gt;=NFI_Monitor_Date,1,0))</f>
        <v/>
      </c>
      <c r="AS1167" s="473" t="str">
        <f>IFERROR(VLOOKUP(Table_NFI[[#This Row],[Camp Name]],CL,3,0),"")</f>
        <v/>
      </c>
      <c r="AT1167" s="294" t="str">
        <f ca="1">IF(Table_NFI[[#This Row],[Pcode]]="","",OFFSET(CampList[Priority],MATCH(Table_NFI[[#This Row],[Pcode]],CampList[CP_Pcode],0)-1,0,1,1))</f>
        <v/>
      </c>
      <c r="AU1167" s="293" t="str">
        <f>IFERROR(Table_NFI[[#This Row],[Kitchen Set]]/VLOOKUP(Table_NFI[[#This Row],[Camp Name]],CL,4,0),"")</f>
        <v/>
      </c>
      <c r="AV1167" s="471"/>
      <c r="AW1167" s="474"/>
    </row>
    <row r="1168" spans="1:49" ht="14.45" customHeight="1" x14ac:dyDescent="0.25">
      <c r="A1168" s="297" t="str">
        <f t="shared" si="18"/>
        <v/>
      </c>
      <c r="B1168" s="465"/>
      <c r="C1168" s="466"/>
      <c r="D1168" s="471"/>
      <c r="E1168" s="471"/>
      <c r="F1168" s="471"/>
      <c r="G1168" s="471"/>
      <c r="H1168" s="292"/>
      <c r="I1168" s="292"/>
      <c r="J1168" s="292"/>
      <c r="K1168" s="292"/>
      <c r="L1168" s="292"/>
      <c r="M1168" s="292"/>
      <c r="N1168" s="292"/>
      <c r="O1168" s="292"/>
      <c r="P1168" s="294"/>
      <c r="Q1168" s="294"/>
      <c r="R1168" s="294"/>
      <c r="S1168" s="294"/>
      <c r="T1168" s="294"/>
      <c r="U1168" s="294"/>
      <c r="V1168" s="431"/>
      <c r="W1168" s="331"/>
      <c r="X1168" s="331"/>
      <c r="Y1168" s="294">
        <f>IF(NFI_Expiration=1,IF($A1168&lt;VLOOKUP(H$5,NFI,5,0),1,0)*Table_NFI[[#This Row],[Hygiene Kit]],Table_NFI[Hygiene Kit])</f>
        <v>0</v>
      </c>
      <c r="Z1168" s="294">
        <f>IF(NFI_Expiration=1,IF($A1168&lt;VLOOKUP(I$5,NFI,5,0),1,0)*Table_NFI[[#This Row],[NFI Core Kit]],Table_NFI[NFI Core Kit])</f>
        <v>0</v>
      </c>
      <c r="AA1168" s="294">
        <f>IF(NFI_Expiration=1,IF($A1168&lt;VLOOKUP(J$5,NFI,5,0),1,0)*Table_NFI[[#This Row],[Sanitary Kit]],Table_NFI[Sanitary Kit])</f>
        <v>0</v>
      </c>
      <c r="AB1168" s="294">
        <f>IF(NFI_Expiration=1,IF($A1168&lt;VLOOKUP(K$5,NFI,5,0),1,0)*Table_NFI[[#This Row],[Mosquito net]],Table_NFI[Mosquito net])</f>
        <v>0</v>
      </c>
      <c r="AC1168" s="294">
        <f>IF(NFI_Expiration=1,IF($A1168&lt;VLOOKUP(L$5,NFI,5,0),1,0)*Table_NFI[[#This Row],[Tarpaulin]],Table_NFI[[#This Row],[Tarpaulin]])</f>
        <v>0</v>
      </c>
      <c r="AD1168" s="294">
        <f>IF(NFI_Expiration=1,IF($A1168&lt;VLOOKUP(M$5,NFI,5,0),1,0)*Table_NFI[[#This Row],[Blanket]],Table_NFI[[#This Row],[Blanket]])</f>
        <v>0</v>
      </c>
      <c r="AE1168" s="294">
        <f>IF(NFI_Expiration=1,IF($A1168&lt;VLOOKUP(N$5,NFI,5,0),1,0)*Table_NFI[[#This Row],[Kitchen Set]],Table_NFI[Kitchen Set])</f>
        <v>0</v>
      </c>
      <c r="AF1168" s="294">
        <f>IF(NFI_Expiration=1,IF($A1168&lt;VLOOKUP(O$5,NFI,5,0),1,0)*Table_NFI[[#This Row],[Clothes Kit]],Table_NFI[Clothes Kit])</f>
        <v>0</v>
      </c>
      <c r="AG1168" s="294">
        <f>IF(NFI_Expiration=1,IF($A1168&lt;VLOOKUP(P$5,NFI,5,0),1,0)*Table_NFI[[#This Row],[Plastic Bucket]],Table_NFI[Plastic Bucket])</f>
        <v>0</v>
      </c>
      <c r="AH1168" s="294">
        <f>IF(NFI_Expiration=1,IF($A1168&lt;VLOOKUP(Q$5,NFI,5,0),1,0)*Table_NFI[[#This Row],[Plastic Mat]],Table_NFI[Plastic Mat])*IF(Table_NFI[[#This Row],[Distribution Date]]&gt;"2014-04-01",1,2.5)</f>
        <v>0</v>
      </c>
      <c r="AI1168" s="294">
        <f>IF(NFI_Expiration=1,IF($A1168&lt;VLOOKUP(R$5,NFI,5,0),1,0)*Table_NFI[[#This Row],[Winter Clothes Adult]],Table_NFI[Winter Clothes Adult])</f>
        <v>0</v>
      </c>
      <c r="AJ1168" s="294">
        <f>IF(NFI_Expiration=1,IF($A1168&lt;VLOOKUP(S$5,NFI,5,0),1,0)*Table_NFI[[#This Row],[Winter Clothes Children]],Table_NFI[Winter Clothes Children])</f>
        <v>0</v>
      </c>
      <c r="AK1168" s="294">
        <f>IF(NFI_Expiration=1,IF($A1168&lt;VLOOKUP(T$5,NFI,5,0),1,0)*Table_NFI[[#This Row],[Winter Items Other]],Table_NFI[Winter Items Other])</f>
        <v>0</v>
      </c>
      <c r="AL1168" s="294">
        <f>IF(NFI_Expiration=1,IF($A1168&lt;VLOOKUP(M$5,NFI,5,0),1,0)*Table_NFI[[#This Row],[Winter Blanket]],Table_NFI[[#This Row],[Winter Blanket]])</f>
        <v>0</v>
      </c>
      <c r="AM1168" s="294">
        <f>IF(Table_NFI[[#This Row],[Winter Clothes Adult]]+Table_NFI[[#This Row],[Winter Clothes Children]]+Table_NFI[[#This Row],[Winter Items Other]]+Table_NFI[[#This Row],[Winter Blanket]]&gt;0,1,0)</f>
        <v>0</v>
      </c>
      <c r="AN1168" s="331">
        <f>IF(NFI_Expiration=1,IF($A1168&lt;VLOOKUP(V$5,NFI,5,0),1,0)*Table_NFI[[#This Row],[Jerry Can]],Table_NFI[Jerry Can])</f>
        <v>0</v>
      </c>
      <c r="AO1168" s="331">
        <f>IF(NFI_Expiration=1,IF($A1168&lt;VLOOKUP(V$5,NFI,5,0),1,0)*Table_NFI[[#This Row],[Shelter Tool kit]],Table_NFI[Shelter Tool kit])</f>
        <v>0</v>
      </c>
      <c r="AP1168" s="331">
        <f>IF(NFI_Expiration=1,IF($A1168&lt;VLOOKUP(V$5,NFI,5,0),1,0)*Table_NFI[[#This Row],[Tent]],Table_NFI[Tent])</f>
        <v>0</v>
      </c>
      <c r="AQ1168" s="473" t="str">
        <f>IFERROR(VLOOKUP(Table_NFI[[#This Row],[Camp Name]],CL,2,0),"")</f>
        <v/>
      </c>
      <c r="AR1168" s="468" t="str">
        <f ca="1">IF(Table_NFI[[#This Row],[Pcode]]="","",IF(OFFSET(CampList[Opening Date],MATCH(Table_NFI[[#This Row],[Pcode]],CampList[CP_Pcode],0)-1,0,1,1)&gt;=NFI_Monitor_Date,1,0))</f>
        <v/>
      </c>
      <c r="AS1168" s="473" t="str">
        <f>IFERROR(VLOOKUP(Table_NFI[[#This Row],[Camp Name]],CL,3,0),"")</f>
        <v/>
      </c>
      <c r="AT1168" s="294" t="str">
        <f ca="1">IF(Table_NFI[[#This Row],[Pcode]]="","",OFFSET(CampList[Priority],MATCH(Table_NFI[[#This Row],[Pcode]],CampList[CP_Pcode],0)-1,0,1,1))</f>
        <v/>
      </c>
      <c r="AU1168" s="293" t="str">
        <f>IFERROR(Table_NFI[[#This Row],[Kitchen Set]]/VLOOKUP(Table_NFI[[#This Row],[Camp Name]],CL,4,0),"")</f>
        <v/>
      </c>
      <c r="AV1168" s="471"/>
      <c r="AW1168" s="474"/>
    </row>
    <row r="1169" spans="1:49" ht="14.45" customHeight="1" x14ac:dyDescent="0.25">
      <c r="A1169" s="297" t="str">
        <f t="shared" si="18"/>
        <v/>
      </c>
      <c r="B1169" s="465"/>
      <c r="C1169" s="466"/>
      <c r="D1169" s="471"/>
      <c r="E1169" s="471"/>
      <c r="F1169" s="471"/>
      <c r="G1169" s="471"/>
      <c r="H1169" s="292"/>
      <c r="I1169" s="292"/>
      <c r="J1169" s="292"/>
      <c r="K1169" s="292"/>
      <c r="L1169" s="292"/>
      <c r="M1169" s="292"/>
      <c r="N1169" s="292"/>
      <c r="O1169" s="292"/>
      <c r="P1169" s="294"/>
      <c r="Q1169" s="294"/>
      <c r="R1169" s="294"/>
      <c r="S1169" s="294"/>
      <c r="T1169" s="294"/>
      <c r="U1169" s="294"/>
      <c r="V1169" s="431"/>
      <c r="W1169" s="331"/>
      <c r="X1169" s="331"/>
      <c r="Y1169" s="294">
        <f>IF(NFI_Expiration=1,IF($A1169&lt;VLOOKUP(H$5,NFI,5,0),1,0)*Table_NFI[[#This Row],[Hygiene Kit]],Table_NFI[Hygiene Kit])</f>
        <v>0</v>
      </c>
      <c r="Z1169" s="294">
        <f>IF(NFI_Expiration=1,IF($A1169&lt;VLOOKUP(I$5,NFI,5,0),1,0)*Table_NFI[[#This Row],[NFI Core Kit]],Table_NFI[NFI Core Kit])</f>
        <v>0</v>
      </c>
      <c r="AA1169" s="294">
        <f>IF(NFI_Expiration=1,IF($A1169&lt;VLOOKUP(J$5,NFI,5,0),1,0)*Table_NFI[[#This Row],[Sanitary Kit]],Table_NFI[Sanitary Kit])</f>
        <v>0</v>
      </c>
      <c r="AB1169" s="294">
        <f>IF(NFI_Expiration=1,IF($A1169&lt;VLOOKUP(K$5,NFI,5,0),1,0)*Table_NFI[[#This Row],[Mosquito net]],Table_NFI[Mosquito net])</f>
        <v>0</v>
      </c>
      <c r="AC1169" s="294">
        <f>IF(NFI_Expiration=1,IF($A1169&lt;VLOOKUP(L$5,NFI,5,0),1,0)*Table_NFI[[#This Row],[Tarpaulin]],Table_NFI[[#This Row],[Tarpaulin]])</f>
        <v>0</v>
      </c>
      <c r="AD1169" s="294">
        <f>IF(NFI_Expiration=1,IF($A1169&lt;VLOOKUP(M$5,NFI,5,0),1,0)*Table_NFI[[#This Row],[Blanket]],Table_NFI[[#This Row],[Blanket]])</f>
        <v>0</v>
      </c>
      <c r="AE1169" s="294">
        <f>IF(NFI_Expiration=1,IF($A1169&lt;VLOOKUP(N$5,NFI,5,0),1,0)*Table_NFI[[#This Row],[Kitchen Set]],Table_NFI[Kitchen Set])</f>
        <v>0</v>
      </c>
      <c r="AF1169" s="294">
        <f>IF(NFI_Expiration=1,IF($A1169&lt;VLOOKUP(O$5,NFI,5,0),1,0)*Table_NFI[[#This Row],[Clothes Kit]],Table_NFI[Clothes Kit])</f>
        <v>0</v>
      </c>
      <c r="AG1169" s="294">
        <f>IF(NFI_Expiration=1,IF($A1169&lt;VLOOKUP(P$5,NFI,5,0),1,0)*Table_NFI[[#This Row],[Plastic Bucket]],Table_NFI[Plastic Bucket])</f>
        <v>0</v>
      </c>
      <c r="AH1169" s="294">
        <f>IF(NFI_Expiration=1,IF($A1169&lt;VLOOKUP(Q$5,NFI,5,0),1,0)*Table_NFI[[#This Row],[Plastic Mat]],Table_NFI[Plastic Mat])*IF(Table_NFI[[#This Row],[Distribution Date]]&gt;"2014-04-01",1,2.5)</f>
        <v>0</v>
      </c>
      <c r="AI1169" s="294">
        <f>IF(NFI_Expiration=1,IF($A1169&lt;VLOOKUP(R$5,NFI,5,0),1,0)*Table_NFI[[#This Row],[Winter Clothes Adult]],Table_NFI[Winter Clothes Adult])</f>
        <v>0</v>
      </c>
      <c r="AJ1169" s="294">
        <f>IF(NFI_Expiration=1,IF($A1169&lt;VLOOKUP(S$5,NFI,5,0),1,0)*Table_NFI[[#This Row],[Winter Clothes Children]],Table_NFI[Winter Clothes Children])</f>
        <v>0</v>
      </c>
      <c r="AK1169" s="294">
        <f>IF(NFI_Expiration=1,IF($A1169&lt;VLOOKUP(T$5,NFI,5,0),1,0)*Table_NFI[[#This Row],[Winter Items Other]],Table_NFI[Winter Items Other])</f>
        <v>0</v>
      </c>
      <c r="AL1169" s="294">
        <f>IF(NFI_Expiration=1,IF($A1169&lt;VLOOKUP(M$5,NFI,5,0),1,0)*Table_NFI[[#This Row],[Winter Blanket]],Table_NFI[[#This Row],[Winter Blanket]])</f>
        <v>0</v>
      </c>
      <c r="AM1169" s="294">
        <f>IF(Table_NFI[[#This Row],[Winter Clothes Adult]]+Table_NFI[[#This Row],[Winter Clothes Children]]+Table_NFI[[#This Row],[Winter Items Other]]+Table_NFI[[#This Row],[Winter Blanket]]&gt;0,1,0)</f>
        <v>0</v>
      </c>
      <c r="AN1169" s="331">
        <f>IF(NFI_Expiration=1,IF($A1169&lt;VLOOKUP(V$5,NFI,5,0),1,0)*Table_NFI[[#This Row],[Jerry Can]],Table_NFI[Jerry Can])</f>
        <v>0</v>
      </c>
      <c r="AO1169" s="331">
        <f>IF(NFI_Expiration=1,IF($A1169&lt;VLOOKUP(V$5,NFI,5,0),1,0)*Table_NFI[[#This Row],[Shelter Tool kit]],Table_NFI[Shelter Tool kit])</f>
        <v>0</v>
      </c>
      <c r="AP1169" s="331">
        <f>IF(NFI_Expiration=1,IF($A1169&lt;VLOOKUP(V$5,NFI,5,0),1,0)*Table_NFI[[#This Row],[Tent]],Table_NFI[Tent])</f>
        <v>0</v>
      </c>
      <c r="AQ1169" s="473" t="str">
        <f>IFERROR(VLOOKUP(Table_NFI[[#This Row],[Camp Name]],CL,2,0),"")</f>
        <v/>
      </c>
      <c r="AR1169" s="468" t="str">
        <f ca="1">IF(Table_NFI[[#This Row],[Pcode]]="","",IF(OFFSET(CampList[Opening Date],MATCH(Table_NFI[[#This Row],[Pcode]],CampList[CP_Pcode],0)-1,0,1,1)&gt;=NFI_Monitor_Date,1,0))</f>
        <v/>
      </c>
      <c r="AS1169" s="473" t="str">
        <f>IFERROR(VLOOKUP(Table_NFI[[#This Row],[Camp Name]],CL,3,0),"")</f>
        <v/>
      </c>
      <c r="AT1169" s="294" t="str">
        <f ca="1">IF(Table_NFI[[#This Row],[Pcode]]="","",OFFSET(CampList[Priority],MATCH(Table_NFI[[#This Row],[Pcode]],CampList[CP_Pcode],0)-1,0,1,1))</f>
        <v/>
      </c>
      <c r="AU1169" s="293" t="str">
        <f>IFERROR(Table_NFI[[#This Row],[Kitchen Set]]/VLOOKUP(Table_NFI[[#This Row],[Camp Name]],CL,4,0),"")</f>
        <v/>
      </c>
      <c r="AV1169" s="471"/>
      <c r="AW1169" s="474"/>
    </row>
    <row r="1170" spans="1:49" ht="14.45" customHeight="1" x14ac:dyDescent="0.25">
      <c r="A1170" s="297" t="str">
        <f t="shared" si="18"/>
        <v/>
      </c>
      <c r="B1170" s="465"/>
      <c r="C1170" s="466"/>
      <c r="D1170" s="471"/>
      <c r="E1170" s="471"/>
      <c r="F1170" s="471"/>
      <c r="G1170" s="471"/>
      <c r="H1170" s="292"/>
      <c r="I1170" s="292"/>
      <c r="J1170" s="292"/>
      <c r="K1170" s="292"/>
      <c r="L1170" s="292"/>
      <c r="M1170" s="292"/>
      <c r="N1170" s="292"/>
      <c r="O1170" s="292"/>
      <c r="P1170" s="294"/>
      <c r="Q1170" s="294"/>
      <c r="R1170" s="294"/>
      <c r="S1170" s="294"/>
      <c r="T1170" s="294"/>
      <c r="U1170" s="294"/>
      <c r="V1170" s="431"/>
      <c r="W1170" s="331"/>
      <c r="X1170" s="331"/>
      <c r="Y1170" s="294">
        <f>IF(NFI_Expiration=1,IF($A1170&lt;VLOOKUP(H$5,NFI,5,0),1,0)*Table_NFI[[#This Row],[Hygiene Kit]],Table_NFI[Hygiene Kit])</f>
        <v>0</v>
      </c>
      <c r="Z1170" s="294">
        <f>IF(NFI_Expiration=1,IF($A1170&lt;VLOOKUP(I$5,NFI,5,0),1,0)*Table_NFI[[#This Row],[NFI Core Kit]],Table_NFI[NFI Core Kit])</f>
        <v>0</v>
      </c>
      <c r="AA1170" s="294">
        <f>IF(NFI_Expiration=1,IF($A1170&lt;VLOOKUP(J$5,NFI,5,0),1,0)*Table_NFI[[#This Row],[Sanitary Kit]],Table_NFI[Sanitary Kit])</f>
        <v>0</v>
      </c>
      <c r="AB1170" s="294">
        <f>IF(NFI_Expiration=1,IF($A1170&lt;VLOOKUP(K$5,NFI,5,0),1,0)*Table_NFI[[#This Row],[Mosquito net]],Table_NFI[Mosquito net])</f>
        <v>0</v>
      </c>
      <c r="AC1170" s="294">
        <f>IF(NFI_Expiration=1,IF($A1170&lt;VLOOKUP(L$5,NFI,5,0),1,0)*Table_NFI[[#This Row],[Tarpaulin]],Table_NFI[[#This Row],[Tarpaulin]])</f>
        <v>0</v>
      </c>
      <c r="AD1170" s="294">
        <f>IF(NFI_Expiration=1,IF($A1170&lt;VLOOKUP(M$5,NFI,5,0),1,0)*Table_NFI[[#This Row],[Blanket]],Table_NFI[[#This Row],[Blanket]])</f>
        <v>0</v>
      </c>
      <c r="AE1170" s="294">
        <f>IF(NFI_Expiration=1,IF($A1170&lt;VLOOKUP(N$5,NFI,5,0),1,0)*Table_NFI[[#This Row],[Kitchen Set]],Table_NFI[Kitchen Set])</f>
        <v>0</v>
      </c>
      <c r="AF1170" s="294">
        <f>IF(NFI_Expiration=1,IF($A1170&lt;VLOOKUP(O$5,NFI,5,0),1,0)*Table_NFI[[#This Row],[Clothes Kit]],Table_NFI[Clothes Kit])</f>
        <v>0</v>
      </c>
      <c r="AG1170" s="294">
        <f>IF(NFI_Expiration=1,IF($A1170&lt;VLOOKUP(P$5,NFI,5,0),1,0)*Table_NFI[[#This Row],[Plastic Bucket]],Table_NFI[Plastic Bucket])</f>
        <v>0</v>
      </c>
      <c r="AH1170" s="294">
        <f>IF(NFI_Expiration=1,IF($A1170&lt;VLOOKUP(Q$5,NFI,5,0),1,0)*Table_NFI[[#This Row],[Plastic Mat]],Table_NFI[Plastic Mat])*IF(Table_NFI[[#This Row],[Distribution Date]]&gt;"2014-04-01",1,2.5)</f>
        <v>0</v>
      </c>
      <c r="AI1170" s="294">
        <f>IF(NFI_Expiration=1,IF($A1170&lt;VLOOKUP(R$5,NFI,5,0),1,0)*Table_NFI[[#This Row],[Winter Clothes Adult]],Table_NFI[Winter Clothes Adult])</f>
        <v>0</v>
      </c>
      <c r="AJ1170" s="294">
        <f>IF(NFI_Expiration=1,IF($A1170&lt;VLOOKUP(S$5,NFI,5,0),1,0)*Table_NFI[[#This Row],[Winter Clothes Children]],Table_NFI[Winter Clothes Children])</f>
        <v>0</v>
      </c>
      <c r="AK1170" s="294">
        <f>IF(NFI_Expiration=1,IF($A1170&lt;VLOOKUP(T$5,NFI,5,0),1,0)*Table_NFI[[#This Row],[Winter Items Other]],Table_NFI[Winter Items Other])</f>
        <v>0</v>
      </c>
      <c r="AL1170" s="294">
        <f>IF(NFI_Expiration=1,IF($A1170&lt;VLOOKUP(M$5,NFI,5,0),1,0)*Table_NFI[[#This Row],[Winter Blanket]],Table_NFI[[#This Row],[Winter Blanket]])</f>
        <v>0</v>
      </c>
      <c r="AM1170" s="294">
        <f>IF(Table_NFI[[#This Row],[Winter Clothes Adult]]+Table_NFI[[#This Row],[Winter Clothes Children]]+Table_NFI[[#This Row],[Winter Items Other]]+Table_NFI[[#This Row],[Winter Blanket]]&gt;0,1,0)</f>
        <v>0</v>
      </c>
      <c r="AN1170" s="331">
        <f>IF(NFI_Expiration=1,IF($A1170&lt;VLOOKUP(V$5,NFI,5,0),1,0)*Table_NFI[[#This Row],[Jerry Can]],Table_NFI[Jerry Can])</f>
        <v>0</v>
      </c>
      <c r="AO1170" s="331">
        <f>IF(NFI_Expiration=1,IF($A1170&lt;VLOOKUP(V$5,NFI,5,0),1,0)*Table_NFI[[#This Row],[Shelter Tool kit]],Table_NFI[Shelter Tool kit])</f>
        <v>0</v>
      </c>
      <c r="AP1170" s="331">
        <f>IF(NFI_Expiration=1,IF($A1170&lt;VLOOKUP(V$5,NFI,5,0),1,0)*Table_NFI[[#This Row],[Tent]],Table_NFI[Tent])</f>
        <v>0</v>
      </c>
      <c r="AQ1170" s="473" t="str">
        <f>IFERROR(VLOOKUP(Table_NFI[[#This Row],[Camp Name]],CL,2,0),"")</f>
        <v/>
      </c>
      <c r="AR1170" s="468" t="str">
        <f ca="1">IF(Table_NFI[[#This Row],[Pcode]]="","",IF(OFFSET(CampList[Opening Date],MATCH(Table_NFI[[#This Row],[Pcode]],CampList[CP_Pcode],0)-1,0,1,1)&gt;=NFI_Monitor_Date,1,0))</f>
        <v/>
      </c>
      <c r="AS1170" s="473" t="str">
        <f>IFERROR(VLOOKUP(Table_NFI[[#This Row],[Camp Name]],CL,3,0),"")</f>
        <v/>
      </c>
      <c r="AT1170" s="294" t="str">
        <f ca="1">IF(Table_NFI[[#This Row],[Pcode]]="","",OFFSET(CampList[Priority],MATCH(Table_NFI[[#This Row],[Pcode]],CampList[CP_Pcode],0)-1,0,1,1))</f>
        <v/>
      </c>
      <c r="AU1170" s="293" t="str">
        <f>IFERROR(Table_NFI[[#This Row],[Kitchen Set]]/VLOOKUP(Table_NFI[[#This Row],[Camp Name]],CL,4,0),"")</f>
        <v/>
      </c>
      <c r="AV1170" s="471"/>
      <c r="AW1170" s="474"/>
    </row>
    <row r="1171" spans="1:49" ht="14.45" customHeight="1" x14ac:dyDescent="0.25">
      <c r="A1171" s="297" t="str">
        <f t="shared" si="18"/>
        <v/>
      </c>
      <c r="B1171" s="465"/>
      <c r="C1171" s="466"/>
      <c r="D1171" s="471"/>
      <c r="E1171" s="471"/>
      <c r="F1171" s="471"/>
      <c r="G1171" s="471"/>
      <c r="H1171" s="292"/>
      <c r="I1171" s="292"/>
      <c r="J1171" s="292"/>
      <c r="K1171" s="292"/>
      <c r="L1171" s="292"/>
      <c r="M1171" s="292"/>
      <c r="N1171" s="292"/>
      <c r="O1171" s="292"/>
      <c r="P1171" s="294"/>
      <c r="Q1171" s="294"/>
      <c r="R1171" s="294"/>
      <c r="S1171" s="294"/>
      <c r="T1171" s="294"/>
      <c r="U1171" s="294"/>
      <c r="V1171" s="431"/>
      <c r="W1171" s="331"/>
      <c r="X1171" s="331"/>
      <c r="Y1171" s="294">
        <f>IF(NFI_Expiration=1,IF($A1171&lt;VLOOKUP(H$5,NFI,5,0),1,0)*Table_NFI[[#This Row],[Hygiene Kit]],Table_NFI[Hygiene Kit])</f>
        <v>0</v>
      </c>
      <c r="Z1171" s="294">
        <f>IF(NFI_Expiration=1,IF($A1171&lt;VLOOKUP(I$5,NFI,5,0),1,0)*Table_NFI[[#This Row],[NFI Core Kit]],Table_NFI[NFI Core Kit])</f>
        <v>0</v>
      </c>
      <c r="AA1171" s="294">
        <f>IF(NFI_Expiration=1,IF($A1171&lt;VLOOKUP(J$5,NFI,5,0),1,0)*Table_NFI[[#This Row],[Sanitary Kit]],Table_NFI[Sanitary Kit])</f>
        <v>0</v>
      </c>
      <c r="AB1171" s="294">
        <f>IF(NFI_Expiration=1,IF($A1171&lt;VLOOKUP(K$5,NFI,5,0),1,0)*Table_NFI[[#This Row],[Mosquito net]],Table_NFI[Mosquito net])</f>
        <v>0</v>
      </c>
      <c r="AC1171" s="294">
        <f>IF(NFI_Expiration=1,IF($A1171&lt;VLOOKUP(L$5,NFI,5,0),1,0)*Table_NFI[[#This Row],[Tarpaulin]],Table_NFI[[#This Row],[Tarpaulin]])</f>
        <v>0</v>
      </c>
      <c r="AD1171" s="294">
        <f>IF(NFI_Expiration=1,IF($A1171&lt;VLOOKUP(M$5,NFI,5,0),1,0)*Table_NFI[[#This Row],[Blanket]],Table_NFI[[#This Row],[Blanket]])</f>
        <v>0</v>
      </c>
      <c r="AE1171" s="294">
        <f>IF(NFI_Expiration=1,IF($A1171&lt;VLOOKUP(N$5,NFI,5,0),1,0)*Table_NFI[[#This Row],[Kitchen Set]],Table_NFI[Kitchen Set])</f>
        <v>0</v>
      </c>
      <c r="AF1171" s="294">
        <f>IF(NFI_Expiration=1,IF($A1171&lt;VLOOKUP(O$5,NFI,5,0),1,0)*Table_NFI[[#This Row],[Clothes Kit]],Table_NFI[Clothes Kit])</f>
        <v>0</v>
      </c>
      <c r="AG1171" s="294">
        <f>IF(NFI_Expiration=1,IF($A1171&lt;VLOOKUP(P$5,NFI,5,0),1,0)*Table_NFI[[#This Row],[Plastic Bucket]],Table_NFI[Plastic Bucket])</f>
        <v>0</v>
      </c>
      <c r="AH1171" s="294">
        <f>IF(NFI_Expiration=1,IF($A1171&lt;VLOOKUP(Q$5,NFI,5,0),1,0)*Table_NFI[[#This Row],[Plastic Mat]],Table_NFI[Plastic Mat])*IF(Table_NFI[[#This Row],[Distribution Date]]&gt;"2014-04-01",1,2.5)</f>
        <v>0</v>
      </c>
      <c r="AI1171" s="294">
        <f>IF(NFI_Expiration=1,IF($A1171&lt;VLOOKUP(R$5,NFI,5,0),1,0)*Table_NFI[[#This Row],[Winter Clothes Adult]],Table_NFI[Winter Clothes Adult])</f>
        <v>0</v>
      </c>
      <c r="AJ1171" s="294">
        <f>IF(NFI_Expiration=1,IF($A1171&lt;VLOOKUP(S$5,NFI,5,0),1,0)*Table_NFI[[#This Row],[Winter Clothes Children]],Table_NFI[Winter Clothes Children])</f>
        <v>0</v>
      </c>
      <c r="AK1171" s="294">
        <f>IF(NFI_Expiration=1,IF($A1171&lt;VLOOKUP(T$5,NFI,5,0),1,0)*Table_NFI[[#This Row],[Winter Items Other]],Table_NFI[Winter Items Other])</f>
        <v>0</v>
      </c>
      <c r="AL1171" s="294">
        <f>IF(NFI_Expiration=1,IF($A1171&lt;VLOOKUP(M$5,NFI,5,0),1,0)*Table_NFI[[#This Row],[Winter Blanket]],Table_NFI[[#This Row],[Winter Blanket]])</f>
        <v>0</v>
      </c>
      <c r="AM1171" s="294">
        <f>IF(Table_NFI[[#This Row],[Winter Clothes Adult]]+Table_NFI[[#This Row],[Winter Clothes Children]]+Table_NFI[[#This Row],[Winter Items Other]]+Table_NFI[[#This Row],[Winter Blanket]]&gt;0,1,0)</f>
        <v>0</v>
      </c>
      <c r="AN1171" s="331">
        <f>IF(NFI_Expiration=1,IF($A1171&lt;VLOOKUP(V$5,NFI,5,0),1,0)*Table_NFI[[#This Row],[Jerry Can]],Table_NFI[Jerry Can])</f>
        <v>0</v>
      </c>
      <c r="AO1171" s="331">
        <f>IF(NFI_Expiration=1,IF($A1171&lt;VLOOKUP(V$5,NFI,5,0),1,0)*Table_NFI[[#This Row],[Shelter Tool kit]],Table_NFI[Shelter Tool kit])</f>
        <v>0</v>
      </c>
      <c r="AP1171" s="331">
        <f>IF(NFI_Expiration=1,IF($A1171&lt;VLOOKUP(V$5,NFI,5,0),1,0)*Table_NFI[[#This Row],[Tent]],Table_NFI[Tent])</f>
        <v>0</v>
      </c>
      <c r="AQ1171" s="473" t="str">
        <f>IFERROR(VLOOKUP(Table_NFI[[#This Row],[Camp Name]],CL,2,0),"")</f>
        <v/>
      </c>
      <c r="AR1171" s="468" t="str">
        <f ca="1">IF(Table_NFI[[#This Row],[Pcode]]="","",IF(OFFSET(CampList[Opening Date],MATCH(Table_NFI[[#This Row],[Pcode]],CampList[CP_Pcode],0)-1,0,1,1)&gt;=NFI_Monitor_Date,1,0))</f>
        <v/>
      </c>
      <c r="AS1171" s="473" t="str">
        <f>IFERROR(VLOOKUP(Table_NFI[[#This Row],[Camp Name]],CL,3,0),"")</f>
        <v/>
      </c>
      <c r="AT1171" s="294" t="str">
        <f ca="1">IF(Table_NFI[[#This Row],[Pcode]]="","",OFFSET(CampList[Priority],MATCH(Table_NFI[[#This Row],[Pcode]],CampList[CP_Pcode],0)-1,0,1,1))</f>
        <v/>
      </c>
      <c r="AU1171" s="293" t="str">
        <f>IFERROR(Table_NFI[[#This Row],[Kitchen Set]]/VLOOKUP(Table_NFI[[#This Row],[Camp Name]],CL,4,0),"")</f>
        <v/>
      </c>
      <c r="AV1171" s="471"/>
      <c r="AW1171" s="474"/>
    </row>
    <row r="1172" spans="1:49" ht="14.45" customHeight="1" x14ac:dyDescent="0.25">
      <c r="A1172" s="297" t="str">
        <f t="shared" si="18"/>
        <v/>
      </c>
      <c r="B1172" s="465"/>
      <c r="C1172" s="466"/>
      <c r="D1172" s="471"/>
      <c r="E1172" s="471"/>
      <c r="F1172" s="471"/>
      <c r="G1172" s="471"/>
      <c r="H1172" s="292"/>
      <c r="I1172" s="292"/>
      <c r="J1172" s="292"/>
      <c r="K1172" s="292"/>
      <c r="L1172" s="292"/>
      <c r="M1172" s="292"/>
      <c r="N1172" s="292"/>
      <c r="O1172" s="292"/>
      <c r="P1172" s="294"/>
      <c r="Q1172" s="294"/>
      <c r="R1172" s="294"/>
      <c r="S1172" s="294"/>
      <c r="T1172" s="294"/>
      <c r="U1172" s="294"/>
      <c r="V1172" s="431"/>
      <c r="W1172" s="331"/>
      <c r="X1172" s="331"/>
      <c r="Y1172" s="294">
        <f>IF(NFI_Expiration=1,IF($A1172&lt;VLOOKUP(H$5,NFI,5,0),1,0)*Table_NFI[[#This Row],[Hygiene Kit]],Table_NFI[Hygiene Kit])</f>
        <v>0</v>
      </c>
      <c r="Z1172" s="294">
        <f>IF(NFI_Expiration=1,IF($A1172&lt;VLOOKUP(I$5,NFI,5,0),1,0)*Table_NFI[[#This Row],[NFI Core Kit]],Table_NFI[NFI Core Kit])</f>
        <v>0</v>
      </c>
      <c r="AA1172" s="294">
        <f>IF(NFI_Expiration=1,IF($A1172&lt;VLOOKUP(J$5,NFI,5,0),1,0)*Table_NFI[[#This Row],[Sanitary Kit]],Table_NFI[Sanitary Kit])</f>
        <v>0</v>
      </c>
      <c r="AB1172" s="294">
        <f>IF(NFI_Expiration=1,IF($A1172&lt;VLOOKUP(K$5,NFI,5,0),1,0)*Table_NFI[[#This Row],[Mosquito net]],Table_NFI[Mosquito net])</f>
        <v>0</v>
      </c>
      <c r="AC1172" s="294">
        <f>IF(NFI_Expiration=1,IF($A1172&lt;VLOOKUP(L$5,NFI,5,0),1,0)*Table_NFI[[#This Row],[Tarpaulin]],Table_NFI[[#This Row],[Tarpaulin]])</f>
        <v>0</v>
      </c>
      <c r="AD1172" s="294">
        <f>IF(NFI_Expiration=1,IF($A1172&lt;VLOOKUP(M$5,NFI,5,0),1,0)*Table_NFI[[#This Row],[Blanket]],Table_NFI[[#This Row],[Blanket]])</f>
        <v>0</v>
      </c>
      <c r="AE1172" s="294">
        <f>IF(NFI_Expiration=1,IF($A1172&lt;VLOOKUP(N$5,NFI,5,0),1,0)*Table_NFI[[#This Row],[Kitchen Set]],Table_NFI[Kitchen Set])</f>
        <v>0</v>
      </c>
      <c r="AF1172" s="294">
        <f>IF(NFI_Expiration=1,IF($A1172&lt;VLOOKUP(O$5,NFI,5,0),1,0)*Table_NFI[[#This Row],[Clothes Kit]],Table_NFI[Clothes Kit])</f>
        <v>0</v>
      </c>
      <c r="AG1172" s="294">
        <f>IF(NFI_Expiration=1,IF($A1172&lt;VLOOKUP(P$5,NFI,5,0),1,0)*Table_NFI[[#This Row],[Plastic Bucket]],Table_NFI[Plastic Bucket])</f>
        <v>0</v>
      </c>
      <c r="AH1172" s="294">
        <f>IF(NFI_Expiration=1,IF($A1172&lt;VLOOKUP(Q$5,NFI,5,0),1,0)*Table_NFI[[#This Row],[Plastic Mat]],Table_NFI[Plastic Mat])*IF(Table_NFI[[#This Row],[Distribution Date]]&gt;"2014-04-01",1,2.5)</f>
        <v>0</v>
      </c>
      <c r="AI1172" s="294">
        <f>IF(NFI_Expiration=1,IF($A1172&lt;VLOOKUP(R$5,NFI,5,0),1,0)*Table_NFI[[#This Row],[Winter Clothes Adult]],Table_NFI[Winter Clothes Adult])</f>
        <v>0</v>
      </c>
      <c r="AJ1172" s="294">
        <f>IF(NFI_Expiration=1,IF($A1172&lt;VLOOKUP(S$5,NFI,5,0),1,0)*Table_NFI[[#This Row],[Winter Clothes Children]],Table_NFI[Winter Clothes Children])</f>
        <v>0</v>
      </c>
      <c r="AK1172" s="294">
        <f>IF(NFI_Expiration=1,IF($A1172&lt;VLOOKUP(T$5,NFI,5,0),1,0)*Table_NFI[[#This Row],[Winter Items Other]],Table_NFI[Winter Items Other])</f>
        <v>0</v>
      </c>
      <c r="AL1172" s="294">
        <f>IF(NFI_Expiration=1,IF($A1172&lt;VLOOKUP(M$5,NFI,5,0),1,0)*Table_NFI[[#This Row],[Winter Blanket]],Table_NFI[[#This Row],[Winter Blanket]])</f>
        <v>0</v>
      </c>
      <c r="AM1172" s="294">
        <f>IF(Table_NFI[[#This Row],[Winter Clothes Adult]]+Table_NFI[[#This Row],[Winter Clothes Children]]+Table_NFI[[#This Row],[Winter Items Other]]+Table_NFI[[#This Row],[Winter Blanket]]&gt;0,1,0)</f>
        <v>0</v>
      </c>
      <c r="AN1172" s="331">
        <f>IF(NFI_Expiration=1,IF($A1172&lt;VLOOKUP(V$5,NFI,5,0),1,0)*Table_NFI[[#This Row],[Jerry Can]],Table_NFI[Jerry Can])</f>
        <v>0</v>
      </c>
      <c r="AO1172" s="331">
        <f>IF(NFI_Expiration=1,IF($A1172&lt;VLOOKUP(V$5,NFI,5,0),1,0)*Table_NFI[[#This Row],[Shelter Tool kit]],Table_NFI[Shelter Tool kit])</f>
        <v>0</v>
      </c>
      <c r="AP1172" s="331">
        <f>IF(NFI_Expiration=1,IF($A1172&lt;VLOOKUP(V$5,NFI,5,0),1,0)*Table_NFI[[#This Row],[Tent]],Table_NFI[Tent])</f>
        <v>0</v>
      </c>
      <c r="AQ1172" s="473" t="str">
        <f>IFERROR(VLOOKUP(Table_NFI[[#This Row],[Camp Name]],CL,2,0),"")</f>
        <v/>
      </c>
      <c r="AR1172" s="468" t="str">
        <f ca="1">IF(Table_NFI[[#This Row],[Pcode]]="","",IF(OFFSET(CampList[Opening Date],MATCH(Table_NFI[[#This Row],[Pcode]],CampList[CP_Pcode],0)-1,0,1,1)&gt;=NFI_Monitor_Date,1,0))</f>
        <v/>
      </c>
      <c r="AS1172" s="473" t="str">
        <f>IFERROR(VLOOKUP(Table_NFI[[#This Row],[Camp Name]],CL,3,0),"")</f>
        <v/>
      </c>
      <c r="AT1172" s="294" t="str">
        <f ca="1">IF(Table_NFI[[#This Row],[Pcode]]="","",OFFSET(CampList[Priority],MATCH(Table_NFI[[#This Row],[Pcode]],CampList[CP_Pcode],0)-1,0,1,1))</f>
        <v/>
      </c>
      <c r="AU1172" s="293" t="str">
        <f>IFERROR(Table_NFI[[#This Row],[Kitchen Set]]/VLOOKUP(Table_NFI[[#This Row],[Camp Name]],CL,4,0),"")</f>
        <v/>
      </c>
      <c r="AV1172" s="466"/>
      <c r="AW1172" s="469"/>
    </row>
    <row r="1173" spans="1:49" ht="14.45" customHeight="1" x14ac:dyDescent="0.25">
      <c r="A1173" s="297" t="str">
        <f t="shared" si="18"/>
        <v/>
      </c>
      <c r="B1173" s="465"/>
      <c r="C1173" s="466"/>
      <c r="D1173" s="471"/>
      <c r="E1173" s="471"/>
      <c r="F1173" s="471"/>
      <c r="G1173" s="471"/>
      <c r="H1173" s="292"/>
      <c r="I1173" s="292"/>
      <c r="J1173" s="292"/>
      <c r="K1173" s="292"/>
      <c r="L1173" s="292"/>
      <c r="M1173" s="292"/>
      <c r="N1173" s="292"/>
      <c r="O1173" s="292"/>
      <c r="P1173" s="294"/>
      <c r="Q1173" s="294"/>
      <c r="R1173" s="294"/>
      <c r="S1173" s="294"/>
      <c r="T1173" s="294"/>
      <c r="U1173" s="294"/>
      <c r="V1173" s="431"/>
      <c r="W1173" s="331"/>
      <c r="X1173" s="331"/>
      <c r="Y1173" s="294">
        <f>IF(NFI_Expiration=1,IF($A1173&lt;VLOOKUP(H$5,NFI,5,0),1,0)*Table_NFI[[#This Row],[Hygiene Kit]],Table_NFI[Hygiene Kit])</f>
        <v>0</v>
      </c>
      <c r="Z1173" s="294">
        <f>IF(NFI_Expiration=1,IF($A1173&lt;VLOOKUP(I$5,NFI,5,0),1,0)*Table_NFI[[#This Row],[NFI Core Kit]],Table_NFI[NFI Core Kit])</f>
        <v>0</v>
      </c>
      <c r="AA1173" s="294">
        <f>IF(NFI_Expiration=1,IF($A1173&lt;VLOOKUP(J$5,NFI,5,0),1,0)*Table_NFI[[#This Row],[Sanitary Kit]],Table_NFI[Sanitary Kit])</f>
        <v>0</v>
      </c>
      <c r="AB1173" s="294">
        <f>IF(NFI_Expiration=1,IF($A1173&lt;VLOOKUP(K$5,NFI,5,0),1,0)*Table_NFI[[#This Row],[Mosquito net]],Table_NFI[Mosquito net])</f>
        <v>0</v>
      </c>
      <c r="AC1173" s="294">
        <f>IF(NFI_Expiration=1,IF($A1173&lt;VLOOKUP(L$5,NFI,5,0),1,0)*Table_NFI[[#This Row],[Tarpaulin]],Table_NFI[[#This Row],[Tarpaulin]])</f>
        <v>0</v>
      </c>
      <c r="AD1173" s="294">
        <f>IF(NFI_Expiration=1,IF($A1173&lt;VLOOKUP(M$5,NFI,5,0),1,0)*Table_NFI[[#This Row],[Blanket]],Table_NFI[[#This Row],[Blanket]])</f>
        <v>0</v>
      </c>
      <c r="AE1173" s="294">
        <f>IF(NFI_Expiration=1,IF($A1173&lt;VLOOKUP(N$5,NFI,5,0),1,0)*Table_NFI[[#This Row],[Kitchen Set]],Table_NFI[Kitchen Set])</f>
        <v>0</v>
      </c>
      <c r="AF1173" s="294">
        <f>IF(NFI_Expiration=1,IF($A1173&lt;VLOOKUP(O$5,NFI,5,0),1,0)*Table_NFI[[#This Row],[Clothes Kit]],Table_NFI[Clothes Kit])</f>
        <v>0</v>
      </c>
      <c r="AG1173" s="294">
        <f>IF(NFI_Expiration=1,IF($A1173&lt;VLOOKUP(P$5,NFI,5,0),1,0)*Table_NFI[[#This Row],[Plastic Bucket]],Table_NFI[Plastic Bucket])</f>
        <v>0</v>
      </c>
      <c r="AH1173" s="294">
        <f>IF(NFI_Expiration=1,IF($A1173&lt;VLOOKUP(Q$5,NFI,5,0),1,0)*Table_NFI[[#This Row],[Plastic Mat]],Table_NFI[Plastic Mat])*IF(Table_NFI[[#This Row],[Distribution Date]]&gt;"2014-04-01",1,2.5)</f>
        <v>0</v>
      </c>
      <c r="AI1173" s="294">
        <f>IF(NFI_Expiration=1,IF($A1173&lt;VLOOKUP(R$5,NFI,5,0),1,0)*Table_NFI[[#This Row],[Winter Clothes Adult]],Table_NFI[Winter Clothes Adult])</f>
        <v>0</v>
      </c>
      <c r="AJ1173" s="294">
        <f>IF(NFI_Expiration=1,IF($A1173&lt;VLOOKUP(S$5,NFI,5,0),1,0)*Table_NFI[[#This Row],[Winter Clothes Children]],Table_NFI[Winter Clothes Children])</f>
        <v>0</v>
      </c>
      <c r="AK1173" s="294">
        <f>IF(NFI_Expiration=1,IF($A1173&lt;VLOOKUP(T$5,NFI,5,0),1,0)*Table_NFI[[#This Row],[Winter Items Other]],Table_NFI[Winter Items Other])</f>
        <v>0</v>
      </c>
      <c r="AL1173" s="294">
        <f>IF(NFI_Expiration=1,IF($A1173&lt;VLOOKUP(M$5,NFI,5,0),1,0)*Table_NFI[[#This Row],[Winter Blanket]],Table_NFI[[#This Row],[Winter Blanket]])</f>
        <v>0</v>
      </c>
      <c r="AM1173" s="294">
        <f>IF(Table_NFI[[#This Row],[Winter Clothes Adult]]+Table_NFI[[#This Row],[Winter Clothes Children]]+Table_NFI[[#This Row],[Winter Items Other]]+Table_NFI[[#This Row],[Winter Blanket]]&gt;0,1,0)</f>
        <v>0</v>
      </c>
      <c r="AN1173" s="331">
        <f>IF(NFI_Expiration=1,IF($A1173&lt;VLOOKUP(V$5,NFI,5,0),1,0)*Table_NFI[[#This Row],[Jerry Can]],Table_NFI[Jerry Can])</f>
        <v>0</v>
      </c>
      <c r="AO1173" s="331">
        <f>IF(NFI_Expiration=1,IF($A1173&lt;VLOOKUP(V$5,NFI,5,0),1,0)*Table_NFI[[#This Row],[Shelter Tool kit]],Table_NFI[Shelter Tool kit])</f>
        <v>0</v>
      </c>
      <c r="AP1173" s="331">
        <f>IF(NFI_Expiration=1,IF($A1173&lt;VLOOKUP(V$5,NFI,5,0),1,0)*Table_NFI[[#This Row],[Tent]],Table_NFI[Tent])</f>
        <v>0</v>
      </c>
      <c r="AQ1173" s="473" t="str">
        <f>IFERROR(VLOOKUP(Table_NFI[[#This Row],[Camp Name]],CL,2,0),"")</f>
        <v/>
      </c>
      <c r="AR1173" s="468" t="str">
        <f ca="1">IF(Table_NFI[[#This Row],[Pcode]]="","",IF(OFFSET(CampList[Opening Date],MATCH(Table_NFI[[#This Row],[Pcode]],CampList[CP_Pcode],0)-1,0,1,1)&gt;=NFI_Monitor_Date,1,0))</f>
        <v/>
      </c>
      <c r="AS1173" s="473" t="str">
        <f>IFERROR(VLOOKUP(Table_NFI[[#This Row],[Camp Name]],CL,3,0),"")</f>
        <v/>
      </c>
      <c r="AT1173" s="294" t="str">
        <f ca="1">IF(Table_NFI[[#This Row],[Pcode]]="","",OFFSET(CampList[Priority],MATCH(Table_NFI[[#This Row],[Pcode]],CampList[CP_Pcode],0)-1,0,1,1))</f>
        <v/>
      </c>
      <c r="AU1173" s="293" t="str">
        <f>IFERROR(Table_NFI[[#This Row],[Kitchen Set]]/VLOOKUP(Table_NFI[[#This Row],[Camp Name]],CL,4,0),"")</f>
        <v/>
      </c>
      <c r="AV1173" s="471"/>
      <c r="AW1173" s="474"/>
    </row>
    <row r="1174" spans="1:49" ht="14.45" customHeight="1" x14ac:dyDescent="0.25">
      <c r="A1174" s="297" t="str">
        <f t="shared" si="18"/>
        <v/>
      </c>
      <c r="B1174" s="465"/>
      <c r="C1174" s="466"/>
      <c r="D1174" s="471"/>
      <c r="E1174" s="471"/>
      <c r="F1174" s="471"/>
      <c r="G1174" s="471"/>
      <c r="H1174" s="292"/>
      <c r="I1174" s="292"/>
      <c r="J1174" s="292"/>
      <c r="K1174" s="292"/>
      <c r="L1174" s="292"/>
      <c r="M1174" s="292"/>
      <c r="N1174" s="292"/>
      <c r="O1174" s="292"/>
      <c r="P1174" s="294"/>
      <c r="Q1174" s="294"/>
      <c r="R1174" s="294"/>
      <c r="S1174" s="294"/>
      <c r="T1174" s="294"/>
      <c r="U1174" s="294"/>
      <c r="V1174" s="431"/>
      <c r="W1174" s="331"/>
      <c r="X1174" s="331"/>
      <c r="Y1174" s="294">
        <f>IF(NFI_Expiration=1,IF($A1174&lt;VLOOKUP(H$5,NFI,5,0),1,0)*Table_NFI[[#This Row],[Hygiene Kit]],Table_NFI[Hygiene Kit])</f>
        <v>0</v>
      </c>
      <c r="Z1174" s="294">
        <f>IF(NFI_Expiration=1,IF($A1174&lt;VLOOKUP(I$5,NFI,5,0),1,0)*Table_NFI[[#This Row],[NFI Core Kit]],Table_NFI[NFI Core Kit])</f>
        <v>0</v>
      </c>
      <c r="AA1174" s="294">
        <f>IF(NFI_Expiration=1,IF($A1174&lt;VLOOKUP(J$5,NFI,5,0),1,0)*Table_NFI[[#This Row],[Sanitary Kit]],Table_NFI[Sanitary Kit])</f>
        <v>0</v>
      </c>
      <c r="AB1174" s="294">
        <f>IF(NFI_Expiration=1,IF($A1174&lt;VLOOKUP(K$5,NFI,5,0),1,0)*Table_NFI[[#This Row],[Mosquito net]],Table_NFI[Mosquito net])</f>
        <v>0</v>
      </c>
      <c r="AC1174" s="294">
        <f>IF(NFI_Expiration=1,IF($A1174&lt;VLOOKUP(L$5,NFI,5,0),1,0)*Table_NFI[[#This Row],[Tarpaulin]],Table_NFI[[#This Row],[Tarpaulin]])</f>
        <v>0</v>
      </c>
      <c r="AD1174" s="294">
        <f>IF(NFI_Expiration=1,IF($A1174&lt;VLOOKUP(M$5,NFI,5,0),1,0)*Table_NFI[[#This Row],[Blanket]],Table_NFI[[#This Row],[Blanket]])</f>
        <v>0</v>
      </c>
      <c r="AE1174" s="294">
        <f>IF(NFI_Expiration=1,IF($A1174&lt;VLOOKUP(N$5,NFI,5,0),1,0)*Table_NFI[[#This Row],[Kitchen Set]],Table_NFI[Kitchen Set])</f>
        <v>0</v>
      </c>
      <c r="AF1174" s="294">
        <f>IF(NFI_Expiration=1,IF($A1174&lt;VLOOKUP(O$5,NFI,5,0),1,0)*Table_NFI[[#This Row],[Clothes Kit]],Table_NFI[Clothes Kit])</f>
        <v>0</v>
      </c>
      <c r="AG1174" s="294">
        <f>IF(NFI_Expiration=1,IF($A1174&lt;VLOOKUP(P$5,NFI,5,0),1,0)*Table_NFI[[#This Row],[Plastic Bucket]],Table_NFI[Plastic Bucket])</f>
        <v>0</v>
      </c>
      <c r="AH1174" s="294">
        <f>IF(NFI_Expiration=1,IF($A1174&lt;VLOOKUP(Q$5,NFI,5,0),1,0)*Table_NFI[[#This Row],[Plastic Mat]],Table_NFI[Plastic Mat])*IF(Table_NFI[[#This Row],[Distribution Date]]&gt;"2014-04-01",1,2.5)</f>
        <v>0</v>
      </c>
      <c r="AI1174" s="294">
        <f>IF(NFI_Expiration=1,IF($A1174&lt;VLOOKUP(R$5,NFI,5,0),1,0)*Table_NFI[[#This Row],[Winter Clothes Adult]],Table_NFI[Winter Clothes Adult])</f>
        <v>0</v>
      </c>
      <c r="AJ1174" s="294">
        <f>IF(NFI_Expiration=1,IF($A1174&lt;VLOOKUP(S$5,NFI,5,0),1,0)*Table_NFI[[#This Row],[Winter Clothes Children]],Table_NFI[Winter Clothes Children])</f>
        <v>0</v>
      </c>
      <c r="AK1174" s="294">
        <f>IF(NFI_Expiration=1,IF($A1174&lt;VLOOKUP(T$5,NFI,5,0),1,0)*Table_NFI[[#This Row],[Winter Items Other]],Table_NFI[Winter Items Other])</f>
        <v>0</v>
      </c>
      <c r="AL1174" s="294">
        <f>IF(NFI_Expiration=1,IF($A1174&lt;VLOOKUP(M$5,NFI,5,0),1,0)*Table_NFI[[#This Row],[Winter Blanket]],Table_NFI[[#This Row],[Winter Blanket]])</f>
        <v>0</v>
      </c>
      <c r="AM1174" s="294">
        <f>IF(Table_NFI[[#This Row],[Winter Clothes Adult]]+Table_NFI[[#This Row],[Winter Clothes Children]]+Table_NFI[[#This Row],[Winter Items Other]]+Table_NFI[[#This Row],[Winter Blanket]]&gt;0,1,0)</f>
        <v>0</v>
      </c>
      <c r="AN1174" s="331">
        <f>IF(NFI_Expiration=1,IF($A1174&lt;VLOOKUP(V$5,NFI,5,0),1,0)*Table_NFI[[#This Row],[Jerry Can]],Table_NFI[Jerry Can])</f>
        <v>0</v>
      </c>
      <c r="AO1174" s="331">
        <f>IF(NFI_Expiration=1,IF($A1174&lt;VLOOKUP(V$5,NFI,5,0),1,0)*Table_NFI[[#This Row],[Shelter Tool kit]],Table_NFI[Shelter Tool kit])</f>
        <v>0</v>
      </c>
      <c r="AP1174" s="331">
        <f>IF(NFI_Expiration=1,IF($A1174&lt;VLOOKUP(V$5,NFI,5,0),1,0)*Table_NFI[[#This Row],[Tent]],Table_NFI[Tent])</f>
        <v>0</v>
      </c>
      <c r="AQ1174" s="473" t="str">
        <f>IFERROR(VLOOKUP(Table_NFI[[#This Row],[Camp Name]],CL,2,0),"")</f>
        <v/>
      </c>
      <c r="AR1174" s="468" t="str">
        <f ca="1">IF(Table_NFI[[#This Row],[Pcode]]="","",IF(OFFSET(CampList[Opening Date],MATCH(Table_NFI[[#This Row],[Pcode]],CampList[CP_Pcode],0)-1,0,1,1)&gt;=NFI_Monitor_Date,1,0))</f>
        <v/>
      </c>
      <c r="AS1174" s="473" t="str">
        <f>IFERROR(VLOOKUP(Table_NFI[[#This Row],[Camp Name]],CL,3,0),"")</f>
        <v/>
      </c>
      <c r="AT1174" s="294" t="str">
        <f ca="1">IF(Table_NFI[[#This Row],[Pcode]]="","",OFFSET(CampList[Priority],MATCH(Table_NFI[[#This Row],[Pcode]],CampList[CP_Pcode],0)-1,0,1,1))</f>
        <v/>
      </c>
      <c r="AU1174" s="293" t="str">
        <f>IFERROR(Table_NFI[[#This Row],[Kitchen Set]]/VLOOKUP(Table_NFI[[#This Row],[Camp Name]],CL,4,0),"")</f>
        <v/>
      </c>
      <c r="AV1174" s="471"/>
      <c r="AW1174" s="474"/>
    </row>
    <row r="1175" spans="1:49" ht="14.45" customHeight="1" x14ac:dyDescent="0.25">
      <c r="A1175" s="297" t="str">
        <f t="shared" si="18"/>
        <v/>
      </c>
      <c r="B1175" s="465"/>
      <c r="C1175" s="466"/>
      <c r="D1175" s="471"/>
      <c r="E1175" s="471"/>
      <c r="F1175" s="471"/>
      <c r="G1175" s="471"/>
      <c r="H1175" s="292"/>
      <c r="I1175" s="292"/>
      <c r="J1175" s="292"/>
      <c r="K1175" s="292"/>
      <c r="L1175" s="292"/>
      <c r="M1175" s="292"/>
      <c r="N1175" s="292"/>
      <c r="O1175" s="292"/>
      <c r="P1175" s="294"/>
      <c r="Q1175" s="294"/>
      <c r="R1175" s="294"/>
      <c r="S1175" s="294"/>
      <c r="T1175" s="294"/>
      <c r="U1175" s="294"/>
      <c r="V1175" s="431"/>
      <c r="W1175" s="331"/>
      <c r="X1175" s="331"/>
      <c r="Y1175" s="294">
        <f>IF(NFI_Expiration=1,IF($A1175&lt;VLOOKUP(H$5,NFI,5,0),1,0)*Table_NFI[[#This Row],[Hygiene Kit]],Table_NFI[Hygiene Kit])</f>
        <v>0</v>
      </c>
      <c r="Z1175" s="294">
        <f>IF(NFI_Expiration=1,IF($A1175&lt;VLOOKUP(I$5,NFI,5,0),1,0)*Table_NFI[[#This Row],[NFI Core Kit]],Table_NFI[NFI Core Kit])</f>
        <v>0</v>
      </c>
      <c r="AA1175" s="294">
        <f>IF(NFI_Expiration=1,IF($A1175&lt;VLOOKUP(J$5,NFI,5,0),1,0)*Table_NFI[[#This Row],[Sanitary Kit]],Table_NFI[Sanitary Kit])</f>
        <v>0</v>
      </c>
      <c r="AB1175" s="294">
        <f>IF(NFI_Expiration=1,IF($A1175&lt;VLOOKUP(K$5,NFI,5,0),1,0)*Table_NFI[[#This Row],[Mosquito net]],Table_NFI[Mosquito net])</f>
        <v>0</v>
      </c>
      <c r="AC1175" s="294">
        <f>IF(NFI_Expiration=1,IF($A1175&lt;VLOOKUP(L$5,NFI,5,0),1,0)*Table_NFI[[#This Row],[Tarpaulin]],Table_NFI[[#This Row],[Tarpaulin]])</f>
        <v>0</v>
      </c>
      <c r="AD1175" s="294">
        <f>IF(NFI_Expiration=1,IF($A1175&lt;VLOOKUP(M$5,NFI,5,0),1,0)*Table_NFI[[#This Row],[Blanket]],Table_NFI[[#This Row],[Blanket]])</f>
        <v>0</v>
      </c>
      <c r="AE1175" s="294">
        <f>IF(NFI_Expiration=1,IF($A1175&lt;VLOOKUP(N$5,NFI,5,0),1,0)*Table_NFI[[#This Row],[Kitchen Set]],Table_NFI[Kitchen Set])</f>
        <v>0</v>
      </c>
      <c r="AF1175" s="294">
        <f>IF(NFI_Expiration=1,IF($A1175&lt;VLOOKUP(O$5,NFI,5,0),1,0)*Table_NFI[[#This Row],[Clothes Kit]],Table_NFI[Clothes Kit])</f>
        <v>0</v>
      </c>
      <c r="AG1175" s="294">
        <f>IF(NFI_Expiration=1,IF($A1175&lt;VLOOKUP(P$5,NFI,5,0),1,0)*Table_NFI[[#This Row],[Plastic Bucket]],Table_NFI[Plastic Bucket])</f>
        <v>0</v>
      </c>
      <c r="AH1175" s="294">
        <f>IF(NFI_Expiration=1,IF($A1175&lt;VLOOKUP(Q$5,NFI,5,0),1,0)*Table_NFI[[#This Row],[Plastic Mat]],Table_NFI[Plastic Mat])*IF(Table_NFI[[#This Row],[Distribution Date]]&gt;"2014-04-01",1,2.5)</f>
        <v>0</v>
      </c>
      <c r="AI1175" s="294">
        <f>IF(NFI_Expiration=1,IF($A1175&lt;VLOOKUP(R$5,NFI,5,0),1,0)*Table_NFI[[#This Row],[Winter Clothes Adult]],Table_NFI[Winter Clothes Adult])</f>
        <v>0</v>
      </c>
      <c r="AJ1175" s="294">
        <f>IF(NFI_Expiration=1,IF($A1175&lt;VLOOKUP(S$5,NFI,5,0),1,0)*Table_NFI[[#This Row],[Winter Clothes Children]],Table_NFI[Winter Clothes Children])</f>
        <v>0</v>
      </c>
      <c r="AK1175" s="294">
        <f>IF(NFI_Expiration=1,IF($A1175&lt;VLOOKUP(T$5,NFI,5,0),1,0)*Table_NFI[[#This Row],[Winter Items Other]],Table_NFI[Winter Items Other])</f>
        <v>0</v>
      </c>
      <c r="AL1175" s="294">
        <f>IF(NFI_Expiration=1,IF($A1175&lt;VLOOKUP(M$5,NFI,5,0),1,0)*Table_NFI[[#This Row],[Winter Blanket]],Table_NFI[[#This Row],[Winter Blanket]])</f>
        <v>0</v>
      </c>
      <c r="AM1175" s="294">
        <f>IF(Table_NFI[[#This Row],[Winter Clothes Adult]]+Table_NFI[[#This Row],[Winter Clothes Children]]+Table_NFI[[#This Row],[Winter Items Other]]+Table_NFI[[#This Row],[Winter Blanket]]&gt;0,1,0)</f>
        <v>0</v>
      </c>
      <c r="AN1175" s="331">
        <f>IF(NFI_Expiration=1,IF($A1175&lt;VLOOKUP(V$5,NFI,5,0),1,0)*Table_NFI[[#This Row],[Jerry Can]],Table_NFI[Jerry Can])</f>
        <v>0</v>
      </c>
      <c r="AO1175" s="331">
        <f>IF(NFI_Expiration=1,IF($A1175&lt;VLOOKUP(V$5,NFI,5,0),1,0)*Table_NFI[[#This Row],[Shelter Tool kit]],Table_NFI[Shelter Tool kit])</f>
        <v>0</v>
      </c>
      <c r="AP1175" s="331">
        <f>IF(NFI_Expiration=1,IF($A1175&lt;VLOOKUP(V$5,NFI,5,0),1,0)*Table_NFI[[#This Row],[Tent]],Table_NFI[Tent])</f>
        <v>0</v>
      </c>
      <c r="AQ1175" s="473" t="str">
        <f>IFERROR(VLOOKUP(Table_NFI[[#This Row],[Camp Name]],CL,2,0),"")</f>
        <v/>
      </c>
      <c r="AR1175" s="468" t="str">
        <f ca="1">IF(Table_NFI[[#This Row],[Pcode]]="","",IF(OFFSET(CampList[Opening Date],MATCH(Table_NFI[[#This Row],[Pcode]],CampList[CP_Pcode],0)-1,0,1,1)&gt;=NFI_Monitor_Date,1,0))</f>
        <v/>
      </c>
      <c r="AS1175" s="473" t="str">
        <f>IFERROR(VLOOKUP(Table_NFI[[#This Row],[Camp Name]],CL,3,0),"")</f>
        <v/>
      </c>
      <c r="AT1175" s="294" t="str">
        <f ca="1">IF(Table_NFI[[#This Row],[Pcode]]="","",OFFSET(CampList[Priority],MATCH(Table_NFI[[#This Row],[Pcode]],CampList[CP_Pcode],0)-1,0,1,1))</f>
        <v/>
      </c>
      <c r="AU1175" s="293" t="str">
        <f>IFERROR(Table_NFI[[#This Row],[Kitchen Set]]/VLOOKUP(Table_NFI[[#This Row],[Camp Name]],CL,4,0),"")</f>
        <v/>
      </c>
      <c r="AV1175" s="471"/>
      <c r="AW1175" s="474"/>
    </row>
    <row r="1176" spans="1:49" ht="14.45" customHeight="1" x14ac:dyDescent="0.25">
      <c r="A1176" s="297" t="str">
        <f t="shared" si="18"/>
        <v/>
      </c>
      <c r="B1176" s="465"/>
      <c r="C1176" s="466"/>
      <c r="D1176" s="471"/>
      <c r="E1176" s="471"/>
      <c r="F1176" s="471"/>
      <c r="G1176" s="471"/>
      <c r="H1176" s="292"/>
      <c r="I1176" s="292"/>
      <c r="J1176" s="292"/>
      <c r="K1176" s="292"/>
      <c r="L1176" s="292"/>
      <c r="M1176" s="292"/>
      <c r="N1176" s="292"/>
      <c r="O1176" s="292"/>
      <c r="P1176" s="294"/>
      <c r="Q1176" s="294"/>
      <c r="R1176" s="294"/>
      <c r="S1176" s="294"/>
      <c r="T1176" s="294"/>
      <c r="U1176" s="294"/>
      <c r="V1176" s="431"/>
      <c r="W1176" s="331"/>
      <c r="X1176" s="331"/>
      <c r="Y1176" s="294">
        <f>IF(NFI_Expiration=1,IF($A1176&lt;VLOOKUP(H$5,NFI,5,0),1,0)*Table_NFI[[#This Row],[Hygiene Kit]],Table_NFI[Hygiene Kit])</f>
        <v>0</v>
      </c>
      <c r="Z1176" s="294">
        <f>IF(NFI_Expiration=1,IF($A1176&lt;VLOOKUP(I$5,NFI,5,0),1,0)*Table_NFI[[#This Row],[NFI Core Kit]],Table_NFI[NFI Core Kit])</f>
        <v>0</v>
      </c>
      <c r="AA1176" s="294">
        <f>IF(NFI_Expiration=1,IF($A1176&lt;VLOOKUP(J$5,NFI,5,0),1,0)*Table_NFI[[#This Row],[Sanitary Kit]],Table_NFI[Sanitary Kit])</f>
        <v>0</v>
      </c>
      <c r="AB1176" s="294">
        <f>IF(NFI_Expiration=1,IF($A1176&lt;VLOOKUP(K$5,NFI,5,0),1,0)*Table_NFI[[#This Row],[Mosquito net]],Table_NFI[Mosquito net])</f>
        <v>0</v>
      </c>
      <c r="AC1176" s="294">
        <f>IF(NFI_Expiration=1,IF($A1176&lt;VLOOKUP(L$5,NFI,5,0),1,0)*Table_NFI[[#This Row],[Tarpaulin]],Table_NFI[[#This Row],[Tarpaulin]])</f>
        <v>0</v>
      </c>
      <c r="AD1176" s="294">
        <f>IF(NFI_Expiration=1,IF($A1176&lt;VLOOKUP(M$5,NFI,5,0),1,0)*Table_NFI[[#This Row],[Blanket]],Table_NFI[[#This Row],[Blanket]])</f>
        <v>0</v>
      </c>
      <c r="AE1176" s="294">
        <f>IF(NFI_Expiration=1,IF($A1176&lt;VLOOKUP(N$5,NFI,5,0),1,0)*Table_NFI[[#This Row],[Kitchen Set]],Table_NFI[Kitchen Set])</f>
        <v>0</v>
      </c>
      <c r="AF1176" s="294">
        <f>IF(NFI_Expiration=1,IF($A1176&lt;VLOOKUP(O$5,NFI,5,0),1,0)*Table_NFI[[#This Row],[Clothes Kit]],Table_NFI[Clothes Kit])</f>
        <v>0</v>
      </c>
      <c r="AG1176" s="294">
        <f>IF(NFI_Expiration=1,IF($A1176&lt;VLOOKUP(P$5,NFI,5,0),1,0)*Table_NFI[[#This Row],[Plastic Bucket]],Table_NFI[Plastic Bucket])</f>
        <v>0</v>
      </c>
      <c r="AH1176" s="294">
        <f>IF(NFI_Expiration=1,IF($A1176&lt;VLOOKUP(Q$5,NFI,5,0),1,0)*Table_NFI[[#This Row],[Plastic Mat]],Table_NFI[Plastic Mat])*IF(Table_NFI[[#This Row],[Distribution Date]]&gt;"2014-04-01",1,2.5)</f>
        <v>0</v>
      </c>
      <c r="AI1176" s="294">
        <f>IF(NFI_Expiration=1,IF($A1176&lt;VLOOKUP(R$5,NFI,5,0),1,0)*Table_NFI[[#This Row],[Winter Clothes Adult]],Table_NFI[Winter Clothes Adult])</f>
        <v>0</v>
      </c>
      <c r="AJ1176" s="294">
        <f>IF(NFI_Expiration=1,IF($A1176&lt;VLOOKUP(S$5,NFI,5,0),1,0)*Table_NFI[[#This Row],[Winter Clothes Children]],Table_NFI[Winter Clothes Children])</f>
        <v>0</v>
      </c>
      <c r="AK1176" s="294">
        <f>IF(NFI_Expiration=1,IF($A1176&lt;VLOOKUP(T$5,NFI,5,0),1,0)*Table_NFI[[#This Row],[Winter Items Other]],Table_NFI[Winter Items Other])</f>
        <v>0</v>
      </c>
      <c r="AL1176" s="294">
        <f>IF(NFI_Expiration=1,IF($A1176&lt;VLOOKUP(M$5,NFI,5,0),1,0)*Table_NFI[[#This Row],[Winter Blanket]],Table_NFI[[#This Row],[Winter Blanket]])</f>
        <v>0</v>
      </c>
      <c r="AM1176" s="294">
        <f>IF(Table_NFI[[#This Row],[Winter Clothes Adult]]+Table_NFI[[#This Row],[Winter Clothes Children]]+Table_NFI[[#This Row],[Winter Items Other]]+Table_NFI[[#This Row],[Winter Blanket]]&gt;0,1,0)</f>
        <v>0</v>
      </c>
      <c r="AN1176" s="331">
        <f>IF(NFI_Expiration=1,IF($A1176&lt;VLOOKUP(V$5,NFI,5,0),1,0)*Table_NFI[[#This Row],[Jerry Can]],Table_NFI[Jerry Can])</f>
        <v>0</v>
      </c>
      <c r="AO1176" s="331">
        <f>IF(NFI_Expiration=1,IF($A1176&lt;VLOOKUP(V$5,NFI,5,0),1,0)*Table_NFI[[#This Row],[Shelter Tool kit]],Table_NFI[Shelter Tool kit])</f>
        <v>0</v>
      </c>
      <c r="AP1176" s="331">
        <f>IF(NFI_Expiration=1,IF($A1176&lt;VLOOKUP(V$5,NFI,5,0),1,0)*Table_NFI[[#This Row],[Tent]],Table_NFI[Tent])</f>
        <v>0</v>
      </c>
      <c r="AQ1176" s="473" t="str">
        <f>IFERROR(VLOOKUP(Table_NFI[[#This Row],[Camp Name]],CL,2,0),"")</f>
        <v/>
      </c>
      <c r="AR1176" s="468" t="str">
        <f ca="1">IF(Table_NFI[[#This Row],[Pcode]]="","",IF(OFFSET(CampList[Opening Date],MATCH(Table_NFI[[#This Row],[Pcode]],CampList[CP_Pcode],0)-1,0,1,1)&gt;=NFI_Monitor_Date,1,0))</f>
        <v/>
      </c>
      <c r="AS1176" s="473" t="str">
        <f>IFERROR(VLOOKUP(Table_NFI[[#This Row],[Camp Name]],CL,3,0),"")</f>
        <v/>
      </c>
      <c r="AT1176" s="294" t="str">
        <f ca="1">IF(Table_NFI[[#This Row],[Pcode]]="","",OFFSET(CampList[Priority],MATCH(Table_NFI[[#This Row],[Pcode]],CampList[CP_Pcode],0)-1,0,1,1))</f>
        <v/>
      </c>
      <c r="AU1176" s="293" t="str">
        <f>IFERROR(Table_NFI[[#This Row],[Kitchen Set]]/VLOOKUP(Table_NFI[[#This Row],[Camp Name]],CL,4,0),"")</f>
        <v/>
      </c>
      <c r="AV1176" s="466"/>
      <c r="AW1176" s="490"/>
    </row>
    <row r="1177" spans="1:49" ht="14.45" customHeight="1" x14ac:dyDescent="0.25">
      <c r="A1177" s="297" t="str">
        <f t="shared" si="18"/>
        <v/>
      </c>
      <c r="B1177" s="465"/>
      <c r="C1177" s="471"/>
      <c r="D1177" s="471"/>
      <c r="E1177" s="471"/>
      <c r="F1177" s="471"/>
      <c r="G1177" s="471"/>
      <c r="H1177" s="292"/>
      <c r="I1177" s="292"/>
      <c r="J1177" s="292"/>
      <c r="K1177" s="292"/>
      <c r="L1177" s="292"/>
      <c r="M1177" s="292"/>
      <c r="N1177" s="292"/>
      <c r="O1177" s="292"/>
      <c r="P1177" s="294"/>
      <c r="Q1177" s="294"/>
      <c r="R1177" s="294"/>
      <c r="S1177" s="294"/>
      <c r="T1177" s="294"/>
      <c r="U1177" s="294"/>
      <c r="V1177" s="431"/>
      <c r="W1177" s="331"/>
      <c r="X1177" s="331"/>
      <c r="Y1177" s="294">
        <f>IF(NFI_Expiration=1,IF($A1177&lt;VLOOKUP(H$5,NFI,5,0),1,0)*Table_NFI[[#This Row],[Hygiene Kit]],Table_NFI[Hygiene Kit])</f>
        <v>0</v>
      </c>
      <c r="Z1177" s="294">
        <f>IF(NFI_Expiration=1,IF($A1177&lt;VLOOKUP(I$5,NFI,5,0),1,0)*Table_NFI[[#This Row],[NFI Core Kit]],Table_NFI[NFI Core Kit])</f>
        <v>0</v>
      </c>
      <c r="AA1177" s="294">
        <f>IF(NFI_Expiration=1,IF($A1177&lt;VLOOKUP(J$5,NFI,5,0),1,0)*Table_NFI[[#This Row],[Sanitary Kit]],Table_NFI[Sanitary Kit])</f>
        <v>0</v>
      </c>
      <c r="AB1177" s="294">
        <f>IF(NFI_Expiration=1,IF($A1177&lt;VLOOKUP(K$5,NFI,5,0),1,0)*Table_NFI[[#This Row],[Mosquito net]],Table_NFI[Mosquito net])</f>
        <v>0</v>
      </c>
      <c r="AC1177" s="294">
        <f>IF(NFI_Expiration=1,IF($A1177&lt;VLOOKUP(L$5,NFI,5,0),1,0)*Table_NFI[[#This Row],[Tarpaulin]],Table_NFI[[#This Row],[Tarpaulin]])</f>
        <v>0</v>
      </c>
      <c r="AD1177" s="294">
        <f>IF(NFI_Expiration=1,IF($A1177&lt;VLOOKUP(M$5,NFI,5,0),1,0)*Table_NFI[[#This Row],[Blanket]],Table_NFI[[#This Row],[Blanket]])</f>
        <v>0</v>
      </c>
      <c r="AE1177" s="294">
        <f>IF(NFI_Expiration=1,IF($A1177&lt;VLOOKUP(N$5,NFI,5,0),1,0)*Table_NFI[[#This Row],[Kitchen Set]],Table_NFI[Kitchen Set])</f>
        <v>0</v>
      </c>
      <c r="AF1177" s="294">
        <f>IF(NFI_Expiration=1,IF($A1177&lt;VLOOKUP(O$5,NFI,5,0),1,0)*Table_NFI[[#This Row],[Clothes Kit]],Table_NFI[Clothes Kit])</f>
        <v>0</v>
      </c>
      <c r="AG1177" s="294">
        <f>IF(NFI_Expiration=1,IF($A1177&lt;VLOOKUP(P$5,NFI,5,0),1,0)*Table_NFI[[#This Row],[Plastic Bucket]],Table_NFI[Plastic Bucket])</f>
        <v>0</v>
      </c>
      <c r="AH1177" s="294">
        <f>IF(NFI_Expiration=1,IF($A1177&lt;VLOOKUP(Q$5,NFI,5,0),1,0)*Table_NFI[[#This Row],[Plastic Mat]],Table_NFI[Plastic Mat])*IF(Table_NFI[[#This Row],[Distribution Date]]&gt;"2014-04-01",1,2.5)</f>
        <v>0</v>
      </c>
      <c r="AI1177" s="294">
        <f>IF(NFI_Expiration=1,IF($A1177&lt;VLOOKUP(R$5,NFI,5,0),1,0)*Table_NFI[[#This Row],[Winter Clothes Adult]],Table_NFI[Winter Clothes Adult])</f>
        <v>0</v>
      </c>
      <c r="AJ1177" s="294">
        <f>IF(NFI_Expiration=1,IF($A1177&lt;VLOOKUP(S$5,NFI,5,0),1,0)*Table_NFI[[#This Row],[Winter Clothes Children]],Table_NFI[Winter Clothes Children])</f>
        <v>0</v>
      </c>
      <c r="AK1177" s="294">
        <f>IF(NFI_Expiration=1,IF($A1177&lt;VLOOKUP(T$5,NFI,5,0),1,0)*Table_NFI[[#This Row],[Winter Items Other]],Table_NFI[Winter Items Other])</f>
        <v>0</v>
      </c>
      <c r="AL1177" s="294">
        <f>IF(NFI_Expiration=1,IF($A1177&lt;VLOOKUP(M$5,NFI,5,0),1,0)*Table_NFI[[#This Row],[Winter Blanket]],Table_NFI[[#This Row],[Winter Blanket]])</f>
        <v>0</v>
      </c>
      <c r="AM1177" s="294">
        <f>IF(Table_NFI[[#This Row],[Winter Clothes Adult]]+Table_NFI[[#This Row],[Winter Clothes Children]]+Table_NFI[[#This Row],[Winter Items Other]]+Table_NFI[[#This Row],[Winter Blanket]]&gt;0,1,0)</f>
        <v>0</v>
      </c>
      <c r="AN1177" s="331">
        <f>IF(NFI_Expiration=1,IF($A1177&lt;VLOOKUP(V$5,NFI,5,0),1,0)*Table_NFI[[#This Row],[Jerry Can]],Table_NFI[Jerry Can])</f>
        <v>0</v>
      </c>
      <c r="AO1177" s="331">
        <f>IF(NFI_Expiration=1,IF($A1177&lt;VLOOKUP(V$5,NFI,5,0),1,0)*Table_NFI[[#This Row],[Shelter Tool kit]],Table_NFI[Shelter Tool kit])</f>
        <v>0</v>
      </c>
      <c r="AP1177" s="331">
        <f>IF(NFI_Expiration=1,IF($A1177&lt;VLOOKUP(V$5,NFI,5,0),1,0)*Table_NFI[[#This Row],[Tent]],Table_NFI[Tent])</f>
        <v>0</v>
      </c>
      <c r="AQ1177" s="473" t="str">
        <f>IFERROR(VLOOKUP(Table_NFI[[#This Row],[Camp Name]],CL,2,0),"")</f>
        <v/>
      </c>
      <c r="AR1177" s="468" t="str">
        <f ca="1">IF(Table_NFI[[#This Row],[Pcode]]="","",IF(OFFSET(CampList[Opening Date],MATCH(Table_NFI[[#This Row],[Pcode]],CampList[CP_Pcode],0)-1,0,1,1)&gt;=NFI_Monitor_Date,1,0))</f>
        <v/>
      </c>
      <c r="AS1177" s="473" t="str">
        <f>IFERROR(VLOOKUP(Table_NFI[[#This Row],[Camp Name]],CL,3,0),"")</f>
        <v/>
      </c>
      <c r="AT1177" s="294" t="str">
        <f ca="1">IF(Table_NFI[[#This Row],[Pcode]]="","",OFFSET(CampList[Priority],MATCH(Table_NFI[[#This Row],[Pcode]],CampList[CP_Pcode],0)-1,0,1,1))</f>
        <v/>
      </c>
      <c r="AU1177" s="293" t="str">
        <f>IFERROR(Table_NFI[[#This Row],[Kitchen Set]]/VLOOKUP(Table_NFI[[#This Row],[Camp Name]],CL,4,0),"")</f>
        <v/>
      </c>
      <c r="AV1177" s="471"/>
      <c r="AW1177" s="474"/>
    </row>
    <row r="1178" spans="1:49" ht="14.45" customHeight="1" x14ac:dyDescent="0.25">
      <c r="A1178" s="297" t="str">
        <f t="shared" si="18"/>
        <v/>
      </c>
      <c r="B1178" s="465"/>
      <c r="C1178" s="466"/>
      <c r="D1178" s="466"/>
      <c r="E1178" s="466"/>
      <c r="F1178" s="466"/>
      <c r="G1178" s="290"/>
      <c r="H1178" s="291"/>
      <c r="I1178" s="292"/>
      <c r="J1178" s="294"/>
      <c r="K1178" s="294"/>
      <c r="L1178" s="292"/>
      <c r="M1178" s="292"/>
      <c r="N1178" s="292"/>
      <c r="O1178" s="292"/>
      <c r="P1178" s="294"/>
      <c r="Q1178" s="294"/>
      <c r="R1178" s="294"/>
      <c r="S1178" s="294"/>
      <c r="T1178" s="294"/>
      <c r="U1178" s="294"/>
      <c r="V1178" s="431"/>
      <c r="W1178" s="331"/>
      <c r="X1178" s="331"/>
      <c r="Y1178" s="294">
        <f>IF(NFI_Expiration=1,IF($A1178&lt;VLOOKUP(H$5,NFI,5,0),1,0)*Table_NFI[[#This Row],[Hygiene Kit]],Table_NFI[Hygiene Kit])</f>
        <v>0</v>
      </c>
      <c r="Z1178" s="294">
        <f>IF(NFI_Expiration=1,IF($A1178&lt;VLOOKUP(I$5,NFI,5,0),1,0)*Table_NFI[[#This Row],[NFI Core Kit]],Table_NFI[NFI Core Kit])</f>
        <v>0</v>
      </c>
      <c r="AA1178" s="294">
        <f>IF(NFI_Expiration=1,IF($A1178&lt;VLOOKUP(J$5,NFI,5,0),1,0)*Table_NFI[[#This Row],[Sanitary Kit]],Table_NFI[Sanitary Kit])</f>
        <v>0</v>
      </c>
      <c r="AB1178" s="294">
        <f>IF(NFI_Expiration=1,IF($A1178&lt;VLOOKUP(K$5,NFI,5,0),1,0)*Table_NFI[[#This Row],[Mosquito net]],Table_NFI[Mosquito net])</f>
        <v>0</v>
      </c>
      <c r="AC1178" s="294">
        <f>IF(NFI_Expiration=1,IF($A1178&lt;VLOOKUP(L$5,NFI,5,0),1,0)*Table_NFI[[#This Row],[Tarpaulin]],Table_NFI[[#This Row],[Tarpaulin]])</f>
        <v>0</v>
      </c>
      <c r="AD1178" s="294">
        <f>IF(NFI_Expiration=1,IF($A1178&lt;VLOOKUP(M$5,NFI,5,0),1,0)*Table_NFI[[#This Row],[Blanket]],Table_NFI[[#This Row],[Blanket]])</f>
        <v>0</v>
      </c>
      <c r="AE1178" s="294">
        <f>IF(NFI_Expiration=1,IF($A1178&lt;VLOOKUP(N$5,NFI,5,0),1,0)*Table_NFI[[#This Row],[Kitchen Set]],Table_NFI[Kitchen Set])</f>
        <v>0</v>
      </c>
      <c r="AF1178" s="294">
        <f>IF(NFI_Expiration=1,IF($A1178&lt;VLOOKUP(O$5,NFI,5,0),1,0)*Table_NFI[[#This Row],[Clothes Kit]],Table_NFI[Clothes Kit])</f>
        <v>0</v>
      </c>
      <c r="AG1178" s="294">
        <f>IF(NFI_Expiration=1,IF($A1178&lt;VLOOKUP(P$5,NFI,5,0),1,0)*Table_NFI[[#This Row],[Plastic Bucket]],Table_NFI[Plastic Bucket])</f>
        <v>0</v>
      </c>
      <c r="AH1178" s="294">
        <f>IF(NFI_Expiration=1,IF($A1178&lt;VLOOKUP(Q$5,NFI,5,0),1,0)*Table_NFI[[#This Row],[Plastic Mat]],Table_NFI[Plastic Mat])*IF(Table_NFI[[#This Row],[Distribution Date]]&gt;"2014-04-01",1,2.5)</f>
        <v>0</v>
      </c>
      <c r="AI1178" s="294">
        <f>IF(NFI_Expiration=1,IF($A1178&lt;VLOOKUP(R$5,NFI,5,0),1,0)*Table_NFI[[#This Row],[Winter Clothes Adult]],Table_NFI[Winter Clothes Adult])</f>
        <v>0</v>
      </c>
      <c r="AJ1178" s="294">
        <f>IF(NFI_Expiration=1,IF($A1178&lt;VLOOKUP(S$5,NFI,5,0),1,0)*Table_NFI[[#This Row],[Winter Clothes Children]],Table_NFI[Winter Clothes Children])</f>
        <v>0</v>
      </c>
      <c r="AK1178" s="294">
        <f>IF(NFI_Expiration=1,IF($A1178&lt;VLOOKUP(T$5,NFI,5,0),1,0)*Table_NFI[[#This Row],[Winter Items Other]],Table_NFI[Winter Items Other])</f>
        <v>0</v>
      </c>
      <c r="AL1178" s="294">
        <f>IF(NFI_Expiration=1,IF($A1178&lt;VLOOKUP(M$5,NFI,5,0),1,0)*Table_NFI[[#This Row],[Winter Blanket]],Table_NFI[[#This Row],[Winter Blanket]])</f>
        <v>0</v>
      </c>
      <c r="AM1178" s="294">
        <f>IF(Table_NFI[[#This Row],[Winter Clothes Adult]]+Table_NFI[[#This Row],[Winter Clothes Children]]+Table_NFI[[#This Row],[Winter Items Other]]+Table_NFI[[#This Row],[Winter Blanket]]&gt;0,1,0)</f>
        <v>0</v>
      </c>
      <c r="AN1178" s="331">
        <f>IF(NFI_Expiration=1,IF($A1178&lt;VLOOKUP(V$5,NFI,5,0),1,0)*Table_NFI[[#This Row],[Jerry Can]],Table_NFI[Jerry Can])</f>
        <v>0</v>
      </c>
      <c r="AO1178" s="331">
        <f>IF(NFI_Expiration=1,IF($A1178&lt;VLOOKUP(V$5,NFI,5,0),1,0)*Table_NFI[[#This Row],[Shelter Tool kit]],Table_NFI[Shelter Tool kit])</f>
        <v>0</v>
      </c>
      <c r="AP1178" s="331">
        <f>IF(NFI_Expiration=1,IF($A1178&lt;VLOOKUP(V$5,NFI,5,0),1,0)*Table_NFI[[#This Row],[Tent]],Table_NFI[Tent])</f>
        <v>0</v>
      </c>
      <c r="AQ1178" s="473" t="str">
        <f>IFERROR(VLOOKUP(Table_NFI[[#This Row],[Camp Name]],CL,2,0),"")</f>
        <v/>
      </c>
      <c r="AR1178" s="468" t="str">
        <f ca="1">IF(Table_NFI[[#This Row],[Pcode]]="","",IF(OFFSET(CampList[Opening Date],MATCH(Table_NFI[[#This Row],[Pcode]],CampList[CP_Pcode],0)-1,0,1,1)&gt;=NFI_Monitor_Date,1,0))</f>
        <v/>
      </c>
      <c r="AS1178" s="473" t="str">
        <f>IFERROR(VLOOKUP(Table_NFI[[#This Row],[Camp Name]],CL,3,0),"")</f>
        <v/>
      </c>
      <c r="AT1178" s="294" t="str">
        <f ca="1">IF(Table_NFI[[#This Row],[Pcode]]="","",OFFSET(CampList[Priority],MATCH(Table_NFI[[#This Row],[Pcode]],CampList[CP_Pcode],0)-1,0,1,1))</f>
        <v/>
      </c>
      <c r="AU1178" s="293" t="str">
        <f>IFERROR(Table_NFI[[#This Row],[Kitchen Set]]/VLOOKUP(Table_NFI[[#This Row],[Camp Name]],CL,4,0),"")</f>
        <v/>
      </c>
      <c r="AV1178" s="471"/>
      <c r="AW1178" s="474"/>
    </row>
    <row r="1179" spans="1:49" ht="14.45" customHeight="1" x14ac:dyDescent="0.25">
      <c r="A1179" s="297" t="str">
        <f t="shared" si="18"/>
        <v/>
      </c>
      <c r="B1179" s="465"/>
      <c r="C1179" s="466"/>
      <c r="D1179" s="471"/>
      <c r="E1179" s="471"/>
      <c r="F1179" s="471"/>
      <c r="G1179" s="471"/>
      <c r="H1179" s="292"/>
      <c r="I1179" s="292"/>
      <c r="J1179" s="292"/>
      <c r="K1179" s="292"/>
      <c r="L1179" s="292"/>
      <c r="M1179" s="292"/>
      <c r="N1179" s="292"/>
      <c r="O1179" s="292"/>
      <c r="P1179" s="294"/>
      <c r="Q1179" s="294"/>
      <c r="R1179" s="294"/>
      <c r="S1179" s="294"/>
      <c r="T1179" s="294"/>
      <c r="U1179" s="294"/>
      <c r="V1179" s="431"/>
      <c r="W1179" s="331"/>
      <c r="X1179" s="331"/>
      <c r="Y1179" s="294">
        <f>IF(NFI_Expiration=1,IF($A1179&lt;VLOOKUP(H$5,NFI,5,0),1,0)*Table_NFI[[#This Row],[Hygiene Kit]],Table_NFI[Hygiene Kit])</f>
        <v>0</v>
      </c>
      <c r="Z1179" s="294">
        <f>IF(NFI_Expiration=1,IF($A1179&lt;VLOOKUP(I$5,NFI,5,0),1,0)*Table_NFI[[#This Row],[NFI Core Kit]],Table_NFI[NFI Core Kit])</f>
        <v>0</v>
      </c>
      <c r="AA1179" s="294">
        <f>IF(NFI_Expiration=1,IF($A1179&lt;VLOOKUP(J$5,NFI,5,0),1,0)*Table_NFI[[#This Row],[Sanitary Kit]],Table_NFI[Sanitary Kit])</f>
        <v>0</v>
      </c>
      <c r="AB1179" s="294">
        <f>IF(NFI_Expiration=1,IF($A1179&lt;VLOOKUP(K$5,NFI,5,0),1,0)*Table_NFI[[#This Row],[Mosquito net]],Table_NFI[Mosquito net])</f>
        <v>0</v>
      </c>
      <c r="AC1179" s="294">
        <f>IF(NFI_Expiration=1,IF($A1179&lt;VLOOKUP(L$5,NFI,5,0),1,0)*Table_NFI[[#This Row],[Tarpaulin]],Table_NFI[[#This Row],[Tarpaulin]])</f>
        <v>0</v>
      </c>
      <c r="AD1179" s="294">
        <f>IF(NFI_Expiration=1,IF($A1179&lt;VLOOKUP(M$5,NFI,5,0),1,0)*Table_NFI[[#This Row],[Blanket]],Table_NFI[[#This Row],[Blanket]])</f>
        <v>0</v>
      </c>
      <c r="AE1179" s="294">
        <f>IF(NFI_Expiration=1,IF($A1179&lt;VLOOKUP(N$5,NFI,5,0),1,0)*Table_NFI[[#This Row],[Kitchen Set]],Table_NFI[Kitchen Set])</f>
        <v>0</v>
      </c>
      <c r="AF1179" s="294">
        <f>IF(NFI_Expiration=1,IF($A1179&lt;VLOOKUP(O$5,NFI,5,0),1,0)*Table_NFI[[#This Row],[Clothes Kit]],Table_NFI[Clothes Kit])</f>
        <v>0</v>
      </c>
      <c r="AG1179" s="294">
        <f>IF(NFI_Expiration=1,IF($A1179&lt;VLOOKUP(P$5,NFI,5,0),1,0)*Table_NFI[[#This Row],[Plastic Bucket]],Table_NFI[Plastic Bucket])</f>
        <v>0</v>
      </c>
      <c r="AH1179" s="294">
        <f>IF(NFI_Expiration=1,IF($A1179&lt;VLOOKUP(Q$5,NFI,5,0),1,0)*Table_NFI[[#This Row],[Plastic Mat]],Table_NFI[Plastic Mat])*IF(Table_NFI[[#This Row],[Distribution Date]]&gt;"2014-04-01",1,2.5)</f>
        <v>0</v>
      </c>
      <c r="AI1179" s="294">
        <f>IF(NFI_Expiration=1,IF($A1179&lt;VLOOKUP(R$5,NFI,5,0),1,0)*Table_NFI[[#This Row],[Winter Clothes Adult]],Table_NFI[Winter Clothes Adult])</f>
        <v>0</v>
      </c>
      <c r="AJ1179" s="294">
        <f>IF(NFI_Expiration=1,IF($A1179&lt;VLOOKUP(S$5,NFI,5,0),1,0)*Table_NFI[[#This Row],[Winter Clothes Children]],Table_NFI[Winter Clothes Children])</f>
        <v>0</v>
      </c>
      <c r="AK1179" s="294">
        <f>IF(NFI_Expiration=1,IF($A1179&lt;VLOOKUP(T$5,NFI,5,0),1,0)*Table_NFI[[#This Row],[Winter Items Other]],Table_NFI[Winter Items Other])</f>
        <v>0</v>
      </c>
      <c r="AL1179" s="294">
        <f>IF(NFI_Expiration=1,IF($A1179&lt;VLOOKUP(M$5,NFI,5,0),1,0)*Table_NFI[[#This Row],[Winter Blanket]],Table_NFI[[#This Row],[Winter Blanket]])</f>
        <v>0</v>
      </c>
      <c r="AM1179" s="294">
        <f>IF(Table_NFI[[#This Row],[Winter Clothes Adult]]+Table_NFI[[#This Row],[Winter Clothes Children]]+Table_NFI[[#This Row],[Winter Items Other]]+Table_NFI[[#This Row],[Winter Blanket]]&gt;0,1,0)</f>
        <v>0</v>
      </c>
      <c r="AN1179" s="331">
        <f>IF(NFI_Expiration=1,IF($A1179&lt;VLOOKUP(V$5,NFI,5,0),1,0)*Table_NFI[[#This Row],[Jerry Can]],Table_NFI[Jerry Can])</f>
        <v>0</v>
      </c>
      <c r="AO1179" s="331">
        <f>IF(NFI_Expiration=1,IF($A1179&lt;VLOOKUP(V$5,NFI,5,0),1,0)*Table_NFI[[#This Row],[Shelter Tool kit]],Table_NFI[Shelter Tool kit])</f>
        <v>0</v>
      </c>
      <c r="AP1179" s="331">
        <f>IF(NFI_Expiration=1,IF($A1179&lt;VLOOKUP(V$5,NFI,5,0),1,0)*Table_NFI[[#This Row],[Tent]],Table_NFI[Tent])</f>
        <v>0</v>
      </c>
      <c r="AQ1179" s="473" t="str">
        <f>IFERROR(VLOOKUP(Table_NFI[[#This Row],[Camp Name]],CL,2,0),"")</f>
        <v/>
      </c>
      <c r="AR1179" s="468" t="str">
        <f ca="1">IF(Table_NFI[[#This Row],[Pcode]]="","",IF(OFFSET(CampList[Opening Date],MATCH(Table_NFI[[#This Row],[Pcode]],CampList[CP_Pcode],0)-1,0,1,1)&gt;=NFI_Monitor_Date,1,0))</f>
        <v/>
      </c>
      <c r="AS1179" s="473" t="str">
        <f>IFERROR(VLOOKUP(Table_NFI[[#This Row],[Camp Name]],CL,3,0),"")</f>
        <v/>
      </c>
      <c r="AT1179" s="294" t="str">
        <f ca="1">IF(Table_NFI[[#This Row],[Pcode]]="","",OFFSET(CampList[Priority],MATCH(Table_NFI[[#This Row],[Pcode]],CampList[CP_Pcode],0)-1,0,1,1))</f>
        <v/>
      </c>
      <c r="AU1179" s="293" t="str">
        <f>IFERROR(Table_NFI[[#This Row],[Kitchen Set]]/VLOOKUP(Table_NFI[[#This Row],[Camp Name]],CL,4,0),"")</f>
        <v/>
      </c>
      <c r="AV1179" s="471"/>
      <c r="AW1179" s="474"/>
    </row>
    <row r="1180" spans="1:49" ht="14.45" customHeight="1" x14ac:dyDescent="0.25">
      <c r="A1180" s="297" t="str">
        <f t="shared" si="18"/>
        <v/>
      </c>
      <c r="B1180" s="465"/>
      <c r="C1180" s="466"/>
      <c r="D1180" s="466"/>
      <c r="E1180" s="466"/>
      <c r="F1180" s="466"/>
      <c r="G1180" s="466"/>
      <c r="H1180" s="291"/>
      <c r="I1180" s="294"/>
      <c r="J1180" s="294"/>
      <c r="K1180" s="294"/>
      <c r="L1180" s="292"/>
      <c r="M1180" s="292"/>
      <c r="N1180" s="292"/>
      <c r="O1180" s="292"/>
      <c r="P1180" s="294"/>
      <c r="Q1180" s="294"/>
      <c r="R1180" s="294"/>
      <c r="S1180" s="294"/>
      <c r="T1180" s="294"/>
      <c r="U1180" s="294"/>
      <c r="V1180" s="431"/>
      <c r="W1180" s="331"/>
      <c r="X1180" s="331"/>
      <c r="Y1180" s="294">
        <f>IF(NFI_Expiration=1,IF($A1180&lt;VLOOKUP(H$5,NFI,5,0),1,0)*Table_NFI[[#This Row],[Hygiene Kit]],Table_NFI[Hygiene Kit])</f>
        <v>0</v>
      </c>
      <c r="Z1180" s="294">
        <f>IF(NFI_Expiration=1,IF($A1180&lt;VLOOKUP(I$5,NFI,5,0),1,0)*Table_NFI[[#This Row],[NFI Core Kit]],Table_NFI[NFI Core Kit])</f>
        <v>0</v>
      </c>
      <c r="AA1180" s="294">
        <f>IF(NFI_Expiration=1,IF($A1180&lt;VLOOKUP(J$5,NFI,5,0),1,0)*Table_NFI[[#This Row],[Sanitary Kit]],Table_NFI[Sanitary Kit])</f>
        <v>0</v>
      </c>
      <c r="AB1180" s="294">
        <f>IF(NFI_Expiration=1,IF($A1180&lt;VLOOKUP(K$5,NFI,5,0),1,0)*Table_NFI[[#This Row],[Mosquito net]],Table_NFI[Mosquito net])</f>
        <v>0</v>
      </c>
      <c r="AC1180" s="294">
        <f>IF(NFI_Expiration=1,IF($A1180&lt;VLOOKUP(L$5,NFI,5,0),1,0)*Table_NFI[[#This Row],[Tarpaulin]],Table_NFI[[#This Row],[Tarpaulin]])</f>
        <v>0</v>
      </c>
      <c r="AD1180" s="294">
        <f>IF(NFI_Expiration=1,IF($A1180&lt;VLOOKUP(M$5,NFI,5,0),1,0)*Table_NFI[[#This Row],[Blanket]],Table_NFI[[#This Row],[Blanket]])</f>
        <v>0</v>
      </c>
      <c r="AE1180" s="294">
        <f>IF(NFI_Expiration=1,IF($A1180&lt;VLOOKUP(N$5,NFI,5,0),1,0)*Table_NFI[[#This Row],[Kitchen Set]],Table_NFI[Kitchen Set])</f>
        <v>0</v>
      </c>
      <c r="AF1180" s="294">
        <f>IF(NFI_Expiration=1,IF($A1180&lt;VLOOKUP(O$5,NFI,5,0),1,0)*Table_NFI[[#This Row],[Clothes Kit]],Table_NFI[Clothes Kit])</f>
        <v>0</v>
      </c>
      <c r="AG1180" s="294">
        <f>IF(NFI_Expiration=1,IF($A1180&lt;VLOOKUP(P$5,NFI,5,0),1,0)*Table_NFI[[#This Row],[Plastic Bucket]],Table_NFI[Plastic Bucket])</f>
        <v>0</v>
      </c>
      <c r="AH1180" s="294">
        <f>IF(NFI_Expiration=1,IF($A1180&lt;VLOOKUP(Q$5,NFI,5,0),1,0)*Table_NFI[[#This Row],[Plastic Mat]],Table_NFI[Plastic Mat])*IF(Table_NFI[[#This Row],[Distribution Date]]&gt;"2014-04-01",1,2.5)</f>
        <v>0</v>
      </c>
      <c r="AI1180" s="294">
        <f>IF(NFI_Expiration=1,IF($A1180&lt;VLOOKUP(R$5,NFI,5,0),1,0)*Table_NFI[[#This Row],[Winter Clothes Adult]],Table_NFI[Winter Clothes Adult])</f>
        <v>0</v>
      </c>
      <c r="AJ1180" s="294">
        <f>IF(NFI_Expiration=1,IF($A1180&lt;VLOOKUP(S$5,NFI,5,0),1,0)*Table_NFI[[#This Row],[Winter Clothes Children]],Table_NFI[Winter Clothes Children])</f>
        <v>0</v>
      </c>
      <c r="AK1180" s="294">
        <f>IF(NFI_Expiration=1,IF($A1180&lt;VLOOKUP(T$5,NFI,5,0),1,0)*Table_NFI[[#This Row],[Winter Items Other]],Table_NFI[Winter Items Other])</f>
        <v>0</v>
      </c>
      <c r="AL1180" s="294">
        <f>IF(NFI_Expiration=1,IF($A1180&lt;VLOOKUP(M$5,NFI,5,0),1,0)*Table_NFI[[#This Row],[Winter Blanket]],Table_NFI[[#This Row],[Winter Blanket]])</f>
        <v>0</v>
      </c>
      <c r="AM1180" s="294">
        <f>IF(Table_NFI[[#This Row],[Winter Clothes Adult]]+Table_NFI[[#This Row],[Winter Clothes Children]]+Table_NFI[[#This Row],[Winter Items Other]]+Table_NFI[[#This Row],[Winter Blanket]]&gt;0,1,0)</f>
        <v>0</v>
      </c>
      <c r="AN1180" s="331">
        <f>IF(NFI_Expiration=1,IF($A1180&lt;VLOOKUP(V$5,NFI,5,0),1,0)*Table_NFI[[#This Row],[Jerry Can]],Table_NFI[Jerry Can])</f>
        <v>0</v>
      </c>
      <c r="AO1180" s="331">
        <f>IF(NFI_Expiration=1,IF($A1180&lt;VLOOKUP(V$5,NFI,5,0),1,0)*Table_NFI[[#This Row],[Shelter Tool kit]],Table_NFI[Shelter Tool kit])</f>
        <v>0</v>
      </c>
      <c r="AP1180" s="331">
        <f>IF(NFI_Expiration=1,IF($A1180&lt;VLOOKUP(V$5,NFI,5,0),1,0)*Table_NFI[[#This Row],[Tent]],Table_NFI[Tent])</f>
        <v>0</v>
      </c>
      <c r="AQ1180" s="473" t="str">
        <f>IFERROR(VLOOKUP(Table_NFI[[#This Row],[Camp Name]],CL,2,0),"")</f>
        <v/>
      </c>
      <c r="AR1180" s="468" t="str">
        <f ca="1">IF(Table_NFI[[#This Row],[Pcode]]="","",IF(OFFSET(CampList[Opening Date],MATCH(Table_NFI[[#This Row],[Pcode]],CampList[CP_Pcode],0)-1,0,1,1)&gt;=NFI_Monitor_Date,1,0))</f>
        <v/>
      </c>
      <c r="AS1180" s="473" t="str">
        <f>IFERROR(VLOOKUP(Table_NFI[[#This Row],[Camp Name]],CL,3,0),"")</f>
        <v/>
      </c>
      <c r="AT1180" s="294" t="str">
        <f ca="1">IF(Table_NFI[[#This Row],[Pcode]]="","",OFFSET(CampList[Priority],MATCH(Table_NFI[[#This Row],[Pcode]],CampList[CP_Pcode],0)-1,0,1,1))</f>
        <v/>
      </c>
      <c r="AU1180" s="293" t="str">
        <f>IFERROR(Table_NFI[[#This Row],[Kitchen Set]]/VLOOKUP(Table_NFI[[#This Row],[Camp Name]],CL,4,0),"")</f>
        <v/>
      </c>
      <c r="AV1180" s="471"/>
      <c r="AW1180" s="474"/>
    </row>
    <row r="1181" spans="1:49" ht="14.45" customHeight="1" x14ac:dyDescent="0.25">
      <c r="A1181" s="297" t="str">
        <f t="shared" si="18"/>
        <v/>
      </c>
      <c r="B1181" s="465"/>
      <c r="C1181" s="466"/>
      <c r="D1181" s="471"/>
      <c r="E1181" s="471"/>
      <c r="F1181" s="471"/>
      <c r="G1181" s="471"/>
      <c r="H1181" s="292"/>
      <c r="I1181" s="292"/>
      <c r="J1181" s="292"/>
      <c r="K1181" s="292"/>
      <c r="L1181" s="292"/>
      <c r="M1181" s="292"/>
      <c r="N1181" s="292"/>
      <c r="O1181" s="292"/>
      <c r="P1181" s="294"/>
      <c r="Q1181" s="294"/>
      <c r="R1181" s="294"/>
      <c r="S1181" s="294"/>
      <c r="T1181" s="294"/>
      <c r="U1181" s="294"/>
      <c r="V1181" s="431"/>
      <c r="W1181" s="331"/>
      <c r="X1181" s="331"/>
      <c r="Y1181" s="294">
        <f>IF(NFI_Expiration=1,IF($A1181&lt;VLOOKUP(H$5,NFI,5,0),1,0)*Table_NFI[[#This Row],[Hygiene Kit]],Table_NFI[Hygiene Kit])</f>
        <v>0</v>
      </c>
      <c r="Z1181" s="294">
        <f>IF(NFI_Expiration=1,IF($A1181&lt;VLOOKUP(I$5,NFI,5,0),1,0)*Table_NFI[[#This Row],[NFI Core Kit]],Table_NFI[NFI Core Kit])</f>
        <v>0</v>
      </c>
      <c r="AA1181" s="294">
        <f>IF(NFI_Expiration=1,IF($A1181&lt;VLOOKUP(J$5,NFI,5,0),1,0)*Table_NFI[[#This Row],[Sanitary Kit]],Table_NFI[Sanitary Kit])</f>
        <v>0</v>
      </c>
      <c r="AB1181" s="294">
        <f>IF(NFI_Expiration=1,IF($A1181&lt;VLOOKUP(K$5,NFI,5,0),1,0)*Table_NFI[[#This Row],[Mosquito net]],Table_NFI[Mosquito net])</f>
        <v>0</v>
      </c>
      <c r="AC1181" s="294">
        <f>IF(NFI_Expiration=1,IF($A1181&lt;VLOOKUP(L$5,NFI,5,0),1,0)*Table_NFI[[#This Row],[Tarpaulin]],Table_NFI[[#This Row],[Tarpaulin]])</f>
        <v>0</v>
      </c>
      <c r="AD1181" s="294">
        <f>IF(NFI_Expiration=1,IF($A1181&lt;VLOOKUP(M$5,NFI,5,0),1,0)*Table_NFI[[#This Row],[Blanket]],Table_NFI[[#This Row],[Blanket]])</f>
        <v>0</v>
      </c>
      <c r="AE1181" s="294">
        <f>IF(NFI_Expiration=1,IF($A1181&lt;VLOOKUP(N$5,NFI,5,0),1,0)*Table_NFI[[#This Row],[Kitchen Set]],Table_NFI[Kitchen Set])</f>
        <v>0</v>
      </c>
      <c r="AF1181" s="294">
        <f>IF(NFI_Expiration=1,IF($A1181&lt;VLOOKUP(O$5,NFI,5,0),1,0)*Table_NFI[[#This Row],[Clothes Kit]],Table_NFI[Clothes Kit])</f>
        <v>0</v>
      </c>
      <c r="AG1181" s="294">
        <f>IF(NFI_Expiration=1,IF($A1181&lt;VLOOKUP(P$5,NFI,5,0),1,0)*Table_NFI[[#This Row],[Plastic Bucket]],Table_NFI[Plastic Bucket])</f>
        <v>0</v>
      </c>
      <c r="AH1181" s="294">
        <f>IF(NFI_Expiration=1,IF($A1181&lt;VLOOKUP(Q$5,NFI,5,0),1,0)*Table_NFI[[#This Row],[Plastic Mat]],Table_NFI[Plastic Mat])*IF(Table_NFI[[#This Row],[Distribution Date]]&gt;"2014-04-01",1,2.5)</f>
        <v>0</v>
      </c>
      <c r="AI1181" s="294">
        <f>IF(NFI_Expiration=1,IF($A1181&lt;VLOOKUP(R$5,NFI,5,0),1,0)*Table_NFI[[#This Row],[Winter Clothes Adult]],Table_NFI[Winter Clothes Adult])</f>
        <v>0</v>
      </c>
      <c r="AJ1181" s="294">
        <f>IF(NFI_Expiration=1,IF($A1181&lt;VLOOKUP(S$5,NFI,5,0),1,0)*Table_NFI[[#This Row],[Winter Clothes Children]],Table_NFI[Winter Clothes Children])</f>
        <v>0</v>
      </c>
      <c r="AK1181" s="294">
        <f>IF(NFI_Expiration=1,IF($A1181&lt;VLOOKUP(T$5,NFI,5,0),1,0)*Table_NFI[[#This Row],[Winter Items Other]],Table_NFI[Winter Items Other])</f>
        <v>0</v>
      </c>
      <c r="AL1181" s="294">
        <f>IF(NFI_Expiration=1,IF($A1181&lt;VLOOKUP(M$5,NFI,5,0),1,0)*Table_NFI[[#This Row],[Winter Blanket]],Table_NFI[[#This Row],[Winter Blanket]])</f>
        <v>0</v>
      </c>
      <c r="AM1181" s="294">
        <f>IF(Table_NFI[[#This Row],[Winter Clothes Adult]]+Table_NFI[[#This Row],[Winter Clothes Children]]+Table_NFI[[#This Row],[Winter Items Other]]+Table_NFI[[#This Row],[Winter Blanket]]&gt;0,1,0)</f>
        <v>0</v>
      </c>
      <c r="AN1181" s="331">
        <f>IF(NFI_Expiration=1,IF($A1181&lt;VLOOKUP(V$5,NFI,5,0),1,0)*Table_NFI[[#This Row],[Jerry Can]],Table_NFI[Jerry Can])</f>
        <v>0</v>
      </c>
      <c r="AO1181" s="331">
        <f>IF(NFI_Expiration=1,IF($A1181&lt;VLOOKUP(V$5,NFI,5,0),1,0)*Table_NFI[[#This Row],[Shelter Tool kit]],Table_NFI[Shelter Tool kit])</f>
        <v>0</v>
      </c>
      <c r="AP1181" s="331">
        <f>IF(NFI_Expiration=1,IF($A1181&lt;VLOOKUP(V$5,NFI,5,0),1,0)*Table_NFI[[#This Row],[Tent]],Table_NFI[Tent])</f>
        <v>0</v>
      </c>
      <c r="AQ1181" s="473" t="str">
        <f>IFERROR(VLOOKUP(Table_NFI[[#This Row],[Camp Name]],CL,2,0),"")</f>
        <v/>
      </c>
      <c r="AR1181" s="468" t="str">
        <f ca="1">IF(Table_NFI[[#This Row],[Pcode]]="","",IF(OFFSET(CampList[Opening Date],MATCH(Table_NFI[[#This Row],[Pcode]],CampList[CP_Pcode],0)-1,0,1,1)&gt;=NFI_Monitor_Date,1,0))</f>
        <v/>
      </c>
      <c r="AS1181" s="473" t="str">
        <f>IFERROR(VLOOKUP(Table_NFI[[#This Row],[Camp Name]],CL,3,0),"")</f>
        <v/>
      </c>
      <c r="AT1181" s="294" t="str">
        <f ca="1">IF(Table_NFI[[#This Row],[Pcode]]="","",OFFSET(CampList[Priority],MATCH(Table_NFI[[#This Row],[Pcode]],CampList[CP_Pcode],0)-1,0,1,1))</f>
        <v/>
      </c>
      <c r="AU1181" s="293" t="str">
        <f>IFERROR(Table_NFI[[#This Row],[Kitchen Set]]/VLOOKUP(Table_NFI[[#This Row],[Camp Name]],CL,4,0),"")</f>
        <v/>
      </c>
      <c r="AV1181" s="471"/>
      <c r="AW1181" s="474"/>
    </row>
    <row r="1182" spans="1:49" ht="14.45" customHeight="1" x14ac:dyDescent="0.25">
      <c r="A1182" s="297" t="str">
        <f t="shared" si="18"/>
        <v/>
      </c>
      <c r="B1182" s="465"/>
      <c r="C1182" s="466"/>
      <c r="D1182" s="466"/>
      <c r="E1182" s="466"/>
      <c r="F1182" s="466"/>
      <c r="G1182" s="466"/>
      <c r="H1182" s="292"/>
      <c r="I1182" s="292"/>
      <c r="J1182" s="292"/>
      <c r="K1182" s="292"/>
      <c r="L1182" s="292"/>
      <c r="M1182" s="292"/>
      <c r="N1182" s="292"/>
      <c r="O1182" s="292"/>
      <c r="P1182" s="294"/>
      <c r="Q1182" s="294"/>
      <c r="R1182" s="294"/>
      <c r="S1182" s="294"/>
      <c r="T1182" s="294"/>
      <c r="U1182" s="294"/>
      <c r="V1182" s="431"/>
      <c r="W1182" s="331"/>
      <c r="X1182" s="331"/>
      <c r="Y1182" s="294">
        <f>IF(NFI_Expiration=1,IF($A1182&lt;VLOOKUP(H$5,NFI,5,0),1,0)*Table_NFI[[#This Row],[Hygiene Kit]],Table_NFI[Hygiene Kit])</f>
        <v>0</v>
      </c>
      <c r="Z1182" s="294">
        <f>IF(NFI_Expiration=1,IF($A1182&lt;VLOOKUP(I$5,NFI,5,0),1,0)*Table_NFI[[#This Row],[NFI Core Kit]],Table_NFI[NFI Core Kit])</f>
        <v>0</v>
      </c>
      <c r="AA1182" s="294">
        <f>IF(NFI_Expiration=1,IF($A1182&lt;VLOOKUP(J$5,NFI,5,0),1,0)*Table_NFI[[#This Row],[Sanitary Kit]],Table_NFI[Sanitary Kit])</f>
        <v>0</v>
      </c>
      <c r="AB1182" s="294">
        <f>IF(NFI_Expiration=1,IF($A1182&lt;VLOOKUP(K$5,NFI,5,0),1,0)*Table_NFI[[#This Row],[Mosquito net]],Table_NFI[Mosquito net])</f>
        <v>0</v>
      </c>
      <c r="AC1182" s="294">
        <f>IF(NFI_Expiration=1,IF($A1182&lt;VLOOKUP(L$5,NFI,5,0),1,0)*Table_NFI[[#This Row],[Tarpaulin]],Table_NFI[[#This Row],[Tarpaulin]])</f>
        <v>0</v>
      </c>
      <c r="AD1182" s="294">
        <f>IF(NFI_Expiration=1,IF($A1182&lt;VLOOKUP(M$5,NFI,5,0),1,0)*Table_NFI[[#This Row],[Blanket]],Table_NFI[[#This Row],[Blanket]])</f>
        <v>0</v>
      </c>
      <c r="AE1182" s="294">
        <f>IF(NFI_Expiration=1,IF($A1182&lt;VLOOKUP(N$5,NFI,5,0),1,0)*Table_NFI[[#This Row],[Kitchen Set]],Table_NFI[Kitchen Set])</f>
        <v>0</v>
      </c>
      <c r="AF1182" s="294">
        <f>IF(NFI_Expiration=1,IF($A1182&lt;VLOOKUP(O$5,NFI,5,0),1,0)*Table_NFI[[#This Row],[Clothes Kit]],Table_NFI[Clothes Kit])</f>
        <v>0</v>
      </c>
      <c r="AG1182" s="294">
        <f>IF(NFI_Expiration=1,IF($A1182&lt;VLOOKUP(P$5,NFI,5,0),1,0)*Table_NFI[[#This Row],[Plastic Bucket]],Table_NFI[Plastic Bucket])</f>
        <v>0</v>
      </c>
      <c r="AH1182" s="294">
        <f>IF(NFI_Expiration=1,IF($A1182&lt;VLOOKUP(Q$5,NFI,5,0),1,0)*Table_NFI[[#This Row],[Plastic Mat]],Table_NFI[Plastic Mat])*IF(Table_NFI[[#This Row],[Distribution Date]]&gt;"2014-04-01",1,2.5)</f>
        <v>0</v>
      </c>
      <c r="AI1182" s="294">
        <f>IF(NFI_Expiration=1,IF($A1182&lt;VLOOKUP(R$5,NFI,5,0),1,0)*Table_NFI[[#This Row],[Winter Clothes Adult]],Table_NFI[Winter Clothes Adult])</f>
        <v>0</v>
      </c>
      <c r="AJ1182" s="294">
        <f>IF(NFI_Expiration=1,IF($A1182&lt;VLOOKUP(S$5,NFI,5,0),1,0)*Table_NFI[[#This Row],[Winter Clothes Children]],Table_NFI[Winter Clothes Children])</f>
        <v>0</v>
      </c>
      <c r="AK1182" s="294">
        <f>IF(NFI_Expiration=1,IF($A1182&lt;VLOOKUP(T$5,NFI,5,0),1,0)*Table_NFI[[#This Row],[Winter Items Other]],Table_NFI[Winter Items Other])</f>
        <v>0</v>
      </c>
      <c r="AL1182" s="294">
        <f>IF(NFI_Expiration=1,IF($A1182&lt;VLOOKUP(M$5,NFI,5,0),1,0)*Table_NFI[[#This Row],[Winter Blanket]],Table_NFI[[#This Row],[Winter Blanket]])</f>
        <v>0</v>
      </c>
      <c r="AM1182" s="294">
        <f>IF(Table_NFI[[#This Row],[Winter Clothes Adult]]+Table_NFI[[#This Row],[Winter Clothes Children]]+Table_NFI[[#This Row],[Winter Items Other]]+Table_NFI[[#This Row],[Winter Blanket]]&gt;0,1,0)</f>
        <v>0</v>
      </c>
      <c r="AN1182" s="331">
        <f>IF(NFI_Expiration=1,IF($A1182&lt;VLOOKUP(V$5,NFI,5,0),1,0)*Table_NFI[[#This Row],[Jerry Can]],Table_NFI[Jerry Can])</f>
        <v>0</v>
      </c>
      <c r="AO1182" s="331">
        <f>IF(NFI_Expiration=1,IF($A1182&lt;VLOOKUP(V$5,NFI,5,0),1,0)*Table_NFI[[#This Row],[Shelter Tool kit]],Table_NFI[Shelter Tool kit])</f>
        <v>0</v>
      </c>
      <c r="AP1182" s="331">
        <f>IF(NFI_Expiration=1,IF($A1182&lt;VLOOKUP(V$5,NFI,5,0),1,0)*Table_NFI[[#This Row],[Tent]],Table_NFI[Tent])</f>
        <v>0</v>
      </c>
      <c r="AQ1182" s="473" t="str">
        <f>IFERROR(VLOOKUP(Table_NFI[[#This Row],[Camp Name]],CL,2,0),"")</f>
        <v/>
      </c>
      <c r="AR1182" s="468" t="str">
        <f ca="1">IF(Table_NFI[[#This Row],[Pcode]]="","",IF(OFFSET(CampList[Opening Date],MATCH(Table_NFI[[#This Row],[Pcode]],CampList[CP_Pcode],0)-1,0,1,1)&gt;=NFI_Monitor_Date,1,0))</f>
        <v/>
      </c>
      <c r="AS1182" s="473" t="str">
        <f>IFERROR(VLOOKUP(Table_NFI[[#This Row],[Camp Name]],CL,3,0),"")</f>
        <v/>
      </c>
      <c r="AT1182" s="294" t="str">
        <f ca="1">IF(Table_NFI[[#This Row],[Pcode]]="","",OFFSET(CampList[Priority],MATCH(Table_NFI[[#This Row],[Pcode]],CampList[CP_Pcode],0)-1,0,1,1))</f>
        <v/>
      </c>
      <c r="AU1182" s="293" t="str">
        <f>IFERROR(Table_NFI[[#This Row],[Kitchen Set]]/VLOOKUP(Table_NFI[[#This Row],[Camp Name]],CL,4,0),"")</f>
        <v/>
      </c>
      <c r="AV1182" s="471"/>
      <c r="AW1182" s="474"/>
    </row>
    <row r="1183" spans="1:49" ht="14.45" customHeight="1" x14ac:dyDescent="0.25">
      <c r="A1183" s="297" t="str">
        <f t="shared" si="18"/>
        <v/>
      </c>
      <c r="B1183" s="465"/>
      <c r="C1183" s="466"/>
      <c r="D1183" s="466"/>
      <c r="E1183" s="466"/>
      <c r="F1183" s="466"/>
      <c r="G1183" s="466"/>
      <c r="H1183" s="292"/>
      <c r="I1183" s="292"/>
      <c r="J1183" s="292"/>
      <c r="K1183" s="292"/>
      <c r="L1183" s="292"/>
      <c r="M1183" s="292"/>
      <c r="N1183" s="292"/>
      <c r="O1183" s="292"/>
      <c r="P1183" s="294"/>
      <c r="Q1183" s="294"/>
      <c r="R1183" s="294"/>
      <c r="S1183" s="294"/>
      <c r="T1183" s="294"/>
      <c r="U1183" s="294"/>
      <c r="V1183" s="431"/>
      <c r="W1183" s="331"/>
      <c r="X1183" s="331"/>
      <c r="Y1183" s="294">
        <f>IF(NFI_Expiration=1,IF($A1183&lt;VLOOKUP(H$5,NFI,5,0),1,0)*Table_NFI[[#This Row],[Hygiene Kit]],Table_NFI[Hygiene Kit])</f>
        <v>0</v>
      </c>
      <c r="Z1183" s="294">
        <f>IF(NFI_Expiration=1,IF($A1183&lt;VLOOKUP(I$5,NFI,5,0),1,0)*Table_NFI[[#This Row],[NFI Core Kit]],Table_NFI[NFI Core Kit])</f>
        <v>0</v>
      </c>
      <c r="AA1183" s="294">
        <f>IF(NFI_Expiration=1,IF($A1183&lt;VLOOKUP(J$5,NFI,5,0),1,0)*Table_NFI[[#This Row],[Sanitary Kit]],Table_NFI[Sanitary Kit])</f>
        <v>0</v>
      </c>
      <c r="AB1183" s="294">
        <f>IF(NFI_Expiration=1,IF($A1183&lt;VLOOKUP(K$5,NFI,5,0),1,0)*Table_NFI[[#This Row],[Mosquito net]],Table_NFI[Mosquito net])</f>
        <v>0</v>
      </c>
      <c r="AC1183" s="294">
        <f>IF(NFI_Expiration=1,IF($A1183&lt;VLOOKUP(L$5,NFI,5,0),1,0)*Table_NFI[[#This Row],[Tarpaulin]],Table_NFI[[#This Row],[Tarpaulin]])</f>
        <v>0</v>
      </c>
      <c r="AD1183" s="294">
        <f>IF(NFI_Expiration=1,IF($A1183&lt;VLOOKUP(M$5,NFI,5,0),1,0)*Table_NFI[[#This Row],[Blanket]],Table_NFI[[#This Row],[Blanket]])</f>
        <v>0</v>
      </c>
      <c r="AE1183" s="294">
        <f>IF(NFI_Expiration=1,IF($A1183&lt;VLOOKUP(N$5,NFI,5,0),1,0)*Table_NFI[[#This Row],[Kitchen Set]],Table_NFI[Kitchen Set])</f>
        <v>0</v>
      </c>
      <c r="AF1183" s="294">
        <f>IF(NFI_Expiration=1,IF($A1183&lt;VLOOKUP(O$5,NFI,5,0),1,0)*Table_NFI[[#This Row],[Clothes Kit]],Table_NFI[Clothes Kit])</f>
        <v>0</v>
      </c>
      <c r="AG1183" s="294">
        <f>IF(NFI_Expiration=1,IF($A1183&lt;VLOOKUP(P$5,NFI,5,0),1,0)*Table_NFI[[#This Row],[Plastic Bucket]],Table_NFI[Plastic Bucket])</f>
        <v>0</v>
      </c>
      <c r="AH1183" s="294">
        <f>IF(NFI_Expiration=1,IF($A1183&lt;VLOOKUP(Q$5,NFI,5,0),1,0)*Table_NFI[[#This Row],[Plastic Mat]],Table_NFI[Plastic Mat])*IF(Table_NFI[[#This Row],[Distribution Date]]&gt;"2014-04-01",1,2.5)</f>
        <v>0</v>
      </c>
      <c r="AI1183" s="294">
        <f>IF(NFI_Expiration=1,IF($A1183&lt;VLOOKUP(R$5,NFI,5,0),1,0)*Table_NFI[[#This Row],[Winter Clothes Adult]],Table_NFI[Winter Clothes Adult])</f>
        <v>0</v>
      </c>
      <c r="AJ1183" s="294">
        <f>IF(NFI_Expiration=1,IF($A1183&lt;VLOOKUP(S$5,NFI,5,0),1,0)*Table_NFI[[#This Row],[Winter Clothes Children]],Table_NFI[Winter Clothes Children])</f>
        <v>0</v>
      </c>
      <c r="AK1183" s="294">
        <f>IF(NFI_Expiration=1,IF($A1183&lt;VLOOKUP(T$5,NFI,5,0),1,0)*Table_NFI[[#This Row],[Winter Items Other]],Table_NFI[Winter Items Other])</f>
        <v>0</v>
      </c>
      <c r="AL1183" s="294">
        <f>IF(NFI_Expiration=1,IF($A1183&lt;VLOOKUP(M$5,NFI,5,0),1,0)*Table_NFI[[#This Row],[Winter Blanket]],Table_NFI[[#This Row],[Winter Blanket]])</f>
        <v>0</v>
      </c>
      <c r="AM1183" s="294">
        <f>IF(Table_NFI[[#This Row],[Winter Clothes Adult]]+Table_NFI[[#This Row],[Winter Clothes Children]]+Table_NFI[[#This Row],[Winter Items Other]]+Table_NFI[[#This Row],[Winter Blanket]]&gt;0,1,0)</f>
        <v>0</v>
      </c>
      <c r="AN1183" s="331">
        <f>IF(NFI_Expiration=1,IF($A1183&lt;VLOOKUP(V$5,NFI,5,0),1,0)*Table_NFI[[#This Row],[Jerry Can]],Table_NFI[Jerry Can])</f>
        <v>0</v>
      </c>
      <c r="AO1183" s="331">
        <f>IF(NFI_Expiration=1,IF($A1183&lt;VLOOKUP(V$5,NFI,5,0),1,0)*Table_NFI[[#This Row],[Shelter Tool kit]],Table_NFI[Shelter Tool kit])</f>
        <v>0</v>
      </c>
      <c r="AP1183" s="331">
        <f>IF(NFI_Expiration=1,IF($A1183&lt;VLOOKUP(V$5,NFI,5,0),1,0)*Table_NFI[[#This Row],[Tent]],Table_NFI[Tent])</f>
        <v>0</v>
      </c>
      <c r="AQ1183" s="473" t="str">
        <f>IFERROR(VLOOKUP(Table_NFI[[#This Row],[Camp Name]],CL,2,0),"")</f>
        <v/>
      </c>
      <c r="AR1183" s="468" t="str">
        <f ca="1">IF(Table_NFI[[#This Row],[Pcode]]="","",IF(OFFSET(CampList[Opening Date],MATCH(Table_NFI[[#This Row],[Pcode]],CampList[CP_Pcode],0)-1,0,1,1)&gt;=NFI_Monitor_Date,1,0))</f>
        <v/>
      </c>
      <c r="AS1183" s="473" t="str">
        <f>IFERROR(VLOOKUP(Table_NFI[[#This Row],[Camp Name]],CL,3,0),"")</f>
        <v/>
      </c>
      <c r="AT1183" s="294" t="str">
        <f ca="1">IF(Table_NFI[[#This Row],[Pcode]]="","",OFFSET(CampList[Priority],MATCH(Table_NFI[[#This Row],[Pcode]],CampList[CP_Pcode],0)-1,0,1,1))</f>
        <v/>
      </c>
      <c r="AU1183" s="293" t="str">
        <f>IFERROR(Table_NFI[[#This Row],[Kitchen Set]]/VLOOKUP(Table_NFI[[#This Row],[Camp Name]],CL,4,0),"")</f>
        <v/>
      </c>
      <c r="AV1183" s="471"/>
      <c r="AW1183" s="474"/>
    </row>
    <row r="1184" spans="1:49" ht="14.45" customHeight="1" x14ac:dyDescent="0.25">
      <c r="A1184" s="297" t="str">
        <f t="shared" si="18"/>
        <v/>
      </c>
      <c r="B1184" s="465"/>
      <c r="C1184" s="466"/>
      <c r="D1184" s="466"/>
      <c r="E1184" s="466"/>
      <c r="F1184" s="466"/>
      <c r="G1184" s="466"/>
      <c r="H1184" s="291"/>
      <c r="I1184" s="294"/>
      <c r="J1184" s="294"/>
      <c r="K1184" s="294"/>
      <c r="L1184" s="292"/>
      <c r="M1184" s="292"/>
      <c r="N1184" s="292"/>
      <c r="O1184" s="292"/>
      <c r="P1184" s="294"/>
      <c r="Q1184" s="294"/>
      <c r="R1184" s="294"/>
      <c r="S1184" s="294"/>
      <c r="T1184" s="294"/>
      <c r="U1184" s="294"/>
      <c r="V1184" s="431"/>
      <c r="W1184" s="331"/>
      <c r="X1184" s="331"/>
      <c r="Y1184" s="294">
        <f>IF(NFI_Expiration=1,IF($A1184&lt;VLOOKUP(H$5,NFI,5,0),1,0)*Table_NFI[[#This Row],[Hygiene Kit]],Table_NFI[Hygiene Kit])</f>
        <v>0</v>
      </c>
      <c r="Z1184" s="294">
        <f>IF(NFI_Expiration=1,IF($A1184&lt;VLOOKUP(I$5,NFI,5,0),1,0)*Table_NFI[[#This Row],[NFI Core Kit]],Table_NFI[NFI Core Kit])</f>
        <v>0</v>
      </c>
      <c r="AA1184" s="294">
        <f>IF(NFI_Expiration=1,IF($A1184&lt;VLOOKUP(J$5,NFI,5,0),1,0)*Table_NFI[[#This Row],[Sanitary Kit]],Table_NFI[Sanitary Kit])</f>
        <v>0</v>
      </c>
      <c r="AB1184" s="294">
        <f>IF(NFI_Expiration=1,IF($A1184&lt;VLOOKUP(K$5,NFI,5,0),1,0)*Table_NFI[[#This Row],[Mosquito net]],Table_NFI[Mosquito net])</f>
        <v>0</v>
      </c>
      <c r="AC1184" s="294">
        <f>IF(NFI_Expiration=1,IF($A1184&lt;VLOOKUP(L$5,NFI,5,0),1,0)*Table_NFI[[#This Row],[Tarpaulin]],Table_NFI[[#This Row],[Tarpaulin]])</f>
        <v>0</v>
      </c>
      <c r="AD1184" s="294">
        <f>IF(NFI_Expiration=1,IF($A1184&lt;VLOOKUP(M$5,NFI,5,0),1,0)*Table_NFI[[#This Row],[Blanket]],Table_NFI[[#This Row],[Blanket]])</f>
        <v>0</v>
      </c>
      <c r="AE1184" s="294">
        <f>IF(NFI_Expiration=1,IF($A1184&lt;VLOOKUP(N$5,NFI,5,0),1,0)*Table_NFI[[#This Row],[Kitchen Set]],Table_NFI[Kitchen Set])</f>
        <v>0</v>
      </c>
      <c r="AF1184" s="294">
        <f>IF(NFI_Expiration=1,IF($A1184&lt;VLOOKUP(O$5,NFI,5,0),1,0)*Table_NFI[[#This Row],[Clothes Kit]],Table_NFI[Clothes Kit])</f>
        <v>0</v>
      </c>
      <c r="AG1184" s="294">
        <f>IF(NFI_Expiration=1,IF($A1184&lt;VLOOKUP(P$5,NFI,5,0),1,0)*Table_NFI[[#This Row],[Plastic Bucket]],Table_NFI[Plastic Bucket])</f>
        <v>0</v>
      </c>
      <c r="AH1184" s="294">
        <f>IF(NFI_Expiration=1,IF($A1184&lt;VLOOKUP(Q$5,NFI,5,0),1,0)*Table_NFI[[#This Row],[Plastic Mat]],Table_NFI[Plastic Mat])*IF(Table_NFI[[#This Row],[Distribution Date]]&gt;"2014-04-01",1,2.5)</f>
        <v>0</v>
      </c>
      <c r="AI1184" s="294">
        <f>IF(NFI_Expiration=1,IF($A1184&lt;VLOOKUP(R$5,NFI,5,0),1,0)*Table_NFI[[#This Row],[Winter Clothes Adult]],Table_NFI[Winter Clothes Adult])</f>
        <v>0</v>
      </c>
      <c r="AJ1184" s="294">
        <f>IF(NFI_Expiration=1,IF($A1184&lt;VLOOKUP(S$5,NFI,5,0),1,0)*Table_NFI[[#This Row],[Winter Clothes Children]],Table_NFI[Winter Clothes Children])</f>
        <v>0</v>
      </c>
      <c r="AK1184" s="294">
        <f>IF(NFI_Expiration=1,IF($A1184&lt;VLOOKUP(T$5,NFI,5,0),1,0)*Table_NFI[[#This Row],[Winter Items Other]],Table_NFI[Winter Items Other])</f>
        <v>0</v>
      </c>
      <c r="AL1184" s="294">
        <f>IF(NFI_Expiration=1,IF($A1184&lt;VLOOKUP(M$5,NFI,5,0),1,0)*Table_NFI[[#This Row],[Winter Blanket]],Table_NFI[[#This Row],[Winter Blanket]])</f>
        <v>0</v>
      </c>
      <c r="AM1184" s="294">
        <f>IF(Table_NFI[[#This Row],[Winter Clothes Adult]]+Table_NFI[[#This Row],[Winter Clothes Children]]+Table_NFI[[#This Row],[Winter Items Other]]+Table_NFI[[#This Row],[Winter Blanket]]&gt;0,1,0)</f>
        <v>0</v>
      </c>
      <c r="AN1184" s="331">
        <f>IF(NFI_Expiration=1,IF($A1184&lt;VLOOKUP(V$5,NFI,5,0),1,0)*Table_NFI[[#This Row],[Jerry Can]],Table_NFI[Jerry Can])</f>
        <v>0</v>
      </c>
      <c r="AO1184" s="331">
        <f>IF(NFI_Expiration=1,IF($A1184&lt;VLOOKUP(V$5,NFI,5,0),1,0)*Table_NFI[[#This Row],[Shelter Tool kit]],Table_NFI[Shelter Tool kit])</f>
        <v>0</v>
      </c>
      <c r="AP1184" s="331">
        <f>IF(NFI_Expiration=1,IF($A1184&lt;VLOOKUP(V$5,NFI,5,0),1,0)*Table_NFI[[#This Row],[Tent]],Table_NFI[Tent])</f>
        <v>0</v>
      </c>
      <c r="AQ1184" s="473" t="str">
        <f>IFERROR(VLOOKUP(Table_NFI[[#This Row],[Camp Name]],CL,2,0),"")</f>
        <v/>
      </c>
      <c r="AR1184" s="468" t="str">
        <f ca="1">IF(Table_NFI[[#This Row],[Pcode]]="","",IF(OFFSET(CampList[Opening Date],MATCH(Table_NFI[[#This Row],[Pcode]],CampList[CP_Pcode],0)-1,0,1,1)&gt;=NFI_Monitor_Date,1,0))</f>
        <v/>
      </c>
      <c r="AS1184" s="473" t="str">
        <f>IFERROR(VLOOKUP(Table_NFI[[#This Row],[Camp Name]],CL,3,0),"")</f>
        <v/>
      </c>
      <c r="AT1184" s="294" t="str">
        <f ca="1">IF(Table_NFI[[#This Row],[Pcode]]="","",OFFSET(CampList[Priority],MATCH(Table_NFI[[#This Row],[Pcode]],CampList[CP_Pcode],0)-1,0,1,1))</f>
        <v/>
      </c>
      <c r="AU1184" s="293" t="str">
        <f>IFERROR(Table_NFI[[#This Row],[Kitchen Set]]/VLOOKUP(Table_NFI[[#This Row],[Camp Name]],CL,4,0),"")</f>
        <v/>
      </c>
      <c r="AV1184" s="471"/>
      <c r="AW1184" s="469"/>
    </row>
    <row r="1185" spans="1:49" ht="14.45" customHeight="1" x14ac:dyDescent="0.25">
      <c r="A1185" s="297" t="str">
        <f t="shared" si="18"/>
        <v/>
      </c>
      <c r="B1185" s="465"/>
      <c r="C1185" s="466"/>
      <c r="D1185" s="471"/>
      <c r="E1185" s="471"/>
      <c r="F1185" s="471"/>
      <c r="G1185" s="471"/>
      <c r="H1185" s="292"/>
      <c r="I1185" s="292"/>
      <c r="J1185" s="292"/>
      <c r="K1185" s="292"/>
      <c r="L1185" s="292"/>
      <c r="M1185" s="292"/>
      <c r="N1185" s="292"/>
      <c r="O1185" s="292"/>
      <c r="P1185" s="294"/>
      <c r="Q1185" s="294"/>
      <c r="R1185" s="294"/>
      <c r="S1185" s="294"/>
      <c r="T1185" s="294"/>
      <c r="U1185" s="294"/>
      <c r="V1185" s="431"/>
      <c r="W1185" s="331"/>
      <c r="X1185" s="331"/>
      <c r="Y1185" s="294">
        <f>IF(NFI_Expiration=1,IF($A1185&lt;VLOOKUP(H$5,NFI,5,0),1,0)*Table_NFI[[#This Row],[Hygiene Kit]],Table_NFI[Hygiene Kit])</f>
        <v>0</v>
      </c>
      <c r="Z1185" s="294">
        <f>IF(NFI_Expiration=1,IF($A1185&lt;VLOOKUP(I$5,NFI,5,0),1,0)*Table_NFI[[#This Row],[NFI Core Kit]],Table_NFI[NFI Core Kit])</f>
        <v>0</v>
      </c>
      <c r="AA1185" s="294">
        <f>IF(NFI_Expiration=1,IF($A1185&lt;VLOOKUP(J$5,NFI,5,0),1,0)*Table_NFI[[#This Row],[Sanitary Kit]],Table_NFI[Sanitary Kit])</f>
        <v>0</v>
      </c>
      <c r="AB1185" s="294">
        <f>IF(NFI_Expiration=1,IF($A1185&lt;VLOOKUP(K$5,NFI,5,0),1,0)*Table_NFI[[#This Row],[Mosquito net]],Table_NFI[Mosquito net])</f>
        <v>0</v>
      </c>
      <c r="AC1185" s="294">
        <f>IF(NFI_Expiration=1,IF($A1185&lt;VLOOKUP(L$5,NFI,5,0),1,0)*Table_NFI[[#This Row],[Tarpaulin]],Table_NFI[[#This Row],[Tarpaulin]])</f>
        <v>0</v>
      </c>
      <c r="AD1185" s="294">
        <f>IF(NFI_Expiration=1,IF($A1185&lt;VLOOKUP(M$5,NFI,5,0),1,0)*Table_NFI[[#This Row],[Blanket]],Table_NFI[[#This Row],[Blanket]])</f>
        <v>0</v>
      </c>
      <c r="AE1185" s="294">
        <f>IF(NFI_Expiration=1,IF($A1185&lt;VLOOKUP(N$5,NFI,5,0),1,0)*Table_NFI[[#This Row],[Kitchen Set]],Table_NFI[Kitchen Set])</f>
        <v>0</v>
      </c>
      <c r="AF1185" s="294">
        <f>IF(NFI_Expiration=1,IF($A1185&lt;VLOOKUP(O$5,NFI,5,0),1,0)*Table_NFI[[#This Row],[Clothes Kit]],Table_NFI[Clothes Kit])</f>
        <v>0</v>
      </c>
      <c r="AG1185" s="294">
        <f>IF(NFI_Expiration=1,IF($A1185&lt;VLOOKUP(P$5,NFI,5,0),1,0)*Table_NFI[[#This Row],[Plastic Bucket]],Table_NFI[Plastic Bucket])</f>
        <v>0</v>
      </c>
      <c r="AH1185" s="294">
        <f>IF(NFI_Expiration=1,IF($A1185&lt;VLOOKUP(Q$5,NFI,5,0),1,0)*Table_NFI[[#This Row],[Plastic Mat]],Table_NFI[Plastic Mat])*IF(Table_NFI[[#This Row],[Distribution Date]]&gt;"2014-04-01",1,2.5)</f>
        <v>0</v>
      </c>
      <c r="AI1185" s="294">
        <f>IF(NFI_Expiration=1,IF($A1185&lt;VLOOKUP(R$5,NFI,5,0),1,0)*Table_NFI[[#This Row],[Winter Clothes Adult]],Table_NFI[Winter Clothes Adult])</f>
        <v>0</v>
      </c>
      <c r="AJ1185" s="294">
        <f>IF(NFI_Expiration=1,IF($A1185&lt;VLOOKUP(S$5,NFI,5,0),1,0)*Table_NFI[[#This Row],[Winter Clothes Children]],Table_NFI[Winter Clothes Children])</f>
        <v>0</v>
      </c>
      <c r="AK1185" s="294">
        <f>IF(NFI_Expiration=1,IF($A1185&lt;VLOOKUP(T$5,NFI,5,0),1,0)*Table_NFI[[#This Row],[Winter Items Other]],Table_NFI[Winter Items Other])</f>
        <v>0</v>
      </c>
      <c r="AL1185" s="294">
        <f>IF(NFI_Expiration=1,IF($A1185&lt;VLOOKUP(M$5,NFI,5,0),1,0)*Table_NFI[[#This Row],[Winter Blanket]],Table_NFI[[#This Row],[Winter Blanket]])</f>
        <v>0</v>
      </c>
      <c r="AM1185" s="294">
        <f>IF(Table_NFI[[#This Row],[Winter Clothes Adult]]+Table_NFI[[#This Row],[Winter Clothes Children]]+Table_NFI[[#This Row],[Winter Items Other]]+Table_NFI[[#This Row],[Winter Blanket]]&gt;0,1,0)</f>
        <v>0</v>
      </c>
      <c r="AN1185" s="331">
        <f>IF(NFI_Expiration=1,IF($A1185&lt;VLOOKUP(V$5,NFI,5,0),1,0)*Table_NFI[[#This Row],[Jerry Can]],Table_NFI[Jerry Can])</f>
        <v>0</v>
      </c>
      <c r="AO1185" s="331">
        <f>IF(NFI_Expiration=1,IF($A1185&lt;VLOOKUP(V$5,NFI,5,0),1,0)*Table_NFI[[#This Row],[Shelter Tool kit]],Table_NFI[Shelter Tool kit])</f>
        <v>0</v>
      </c>
      <c r="AP1185" s="331">
        <f>IF(NFI_Expiration=1,IF($A1185&lt;VLOOKUP(V$5,NFI,5,0),1,0)*Table_NFI[[#This Row],[Tent]],Table_NFI[Tent])</f>
        <v>0</v>
      </c>
      <c r="AQ1185" s="473" t="str">
        <f>IFERROR(VLOOKUP(Table_NFI[[#This Row],[Camp Name]],CL,2,0),"")</f>
        <v/>
      </c>
      <c r="AR1185" s="468" t="str">
        <f ca="1">IF(Table_NFI[[#This Row],[Pcode]]="","",IF(OFFSET(CampList[Opening Date],MATCH(Table_NFI[[#This Row],[Pcode]],CampList[CP_Pcode],0)-1,0,1,1)&gt;=NFI_Monitor_Date,1,0))</f>
        <v/>
      </c>
      <c r="AS1185" s="473" t="str">
        <f>IFERROR(VLOOKUP(Table_NFI[[#This Row],[Camp Name]],CL,3,0),"")</f>
        <v/>
      </c>
      <c r="AT1185" s="294" t="str">
        <f ca="1">IF(Table_NFI[[#This Row],[Pcode]]="","",OFFSET(CampList[Priority],MATCH(Table_NFI[[#This Row],[Pcode]],CampList[CP_Pcode],0)-1,0,1,1))</f>
        <v/>
      </c>
      <c r="AU1185" s="293" t="str">
        <f>IFERROR(Table_NFI[[#This Row],[Kitchen Set]]/VLOOKUP(Table_NFI[[#This Row],[Camp Name]],CL,4,0),"")</f>
        <v/>
      </c>
      <c r="AV1185" s="471"/>
      <c r="AW1185" s="474"/>
    </row>
    <row r="1186" spans="1:49" ht="14.45" customHeight="1" x14ac:dyDescent="0.25">
      <c r="A1186" s="297" t="str">
        <f t="shared" si="18"/>
        <v/>
      </c>
      <c r="B1186" s="465"/>
      <c r="C1186" s="466"/>
      <c r="D1186" s="466"/>
      <c r="E1186" s="466"/>
      <c r="F1186" s="290"/>
      <c r="G1186" s="290"/>
      <c r="H1186" s="291"/>
      <c r="I1186" s="291"/>
      <c r="J1186" s="291"/>
      <c r="K1186" s="291"/>
      <c r="L1186" s="292"/>
      <c r="M1186" s="292"/>
      <c r="N1186" s="292"/>
      <c r="O1186" s="292"/>
      <c r="P1186" s="294"/>
      <c r="Q1186" s="294"/>
      <c r="R1186" s="294"/>
      <c r="S1186" s="294"/>
      <c r="T1186" s="294"/>
      <c r="U1186" s="294"/>
      <c r="V1186" s="431"/>
      <c r="W1186" s="331"/>
      <c r="X1186" s="331"/>
      <c r="Y1186" s="294">
        <f>IF(NFI_Expiration=1,IF($A1186&lt;VLOOKUP(H$5,NFI,5,0),1,0)*Table_NFI[[#This Row],[Hygiene Kit]],Table_NFI[Hygiene Kit])</f>
        <v>0</v>
      </c>
      <c r="Z1186" s="294">
        <f>IF(NFI_Expiration=1,IF($A1186&lt;VLOOKUP(I$5,NFI,5,0),1,0)*Table_NFI[[#This Row],[NFI Core Kit]],Table_NFI[NFI Core Kit])</f>
        <v>0</v>
      </c>
      <c r="AA1186" s="294">
        <f>IF(NFI_Expiration=1,IF($A1186&lt;VLOOKUP(J$5,NFI,5,0),1,0)*Table_NFI[[#This Row],[Sanitary Kit]],Table_NFI[Sanitary Kit])</f>
        <v>0</v>
      </c>
      <c r="AB1186" s="294">
        <f>IF(NFI_Expiration=1,IF($A1186&lt;VLOOKUP(K$5,NFI,5,0),1,0)*Table_NFI[[#This Row],[Mosquito net]],Table_NFI[Mosquito net])</f>
        <v>0</v>
      </c>
      <c r="AC1186" s="294">
        <f>IF(NFI_Expiration=1,IF($A1186&lt;VLOOKUP(L$5,NFI,5,0),1,0)*Table_NFI[[#This Row],[Tarpaulin]],Table_NFI[[#This Row],[Tarpaulin]])</f>
        <v>0</v>
      </c>
      <c r="AD1186" s="294">
        <f>IF(NFI_Expiration=1,IF($A1186&lt;VLOOKUP(M$5,NFI,5,0),1,0)*Table_NFI[[#This Row],[Blanket]],Table_NFI[[#This Row],[Blanket]])</f>
        <v>0</v>
      </c>
      <c r="AE1186" s="294">
        <f>IF(NFI_Expiration=1,IF($A1186&lt;VLOOKUP(N$5,NFI,5,0),1,0)*Table_NFI[[#This Row],[Kitchen Set]],Table_NFI[Kitchen Set])</f>
        <v>0</v>
      </c>
      <c r="AF1186" s="294">
        <f>IF(NFI_Expiration=1,IF($A1186&lt;VLOOKUP(O$5,NFI,5,0),1,0)*Table_NFI[[#This Row],[Clothes Kit]],Table_NFI[Clothes Kit])</f>
        <v>0</v>
      </c>
      <c r="AG1186" s="294">
        <f>IF(NFI_Expiration=1,IF($A1186&lt;VLOOKUP(P$5,NFI,5,0),1,0)*Table_NFI[[#This Row],[Plastic Bucket]],Table_NFI[Plastic Bucket])</f>
        <v>0</v>
      </c>
      <c r="AH1186" s="294">
        <f>IF(NFI_Expiration=1,IF($A1186&lt;VLOOKUP(Q$5,NFI,5,0),1,0)*Table_NFI[[#This Row],[Plastic Mat]],Table_NFI[Plastic Mat])*IF(Table_NFI[[#This Row],[Distribution Date]]&gt;"2014-04-01",1,2.5)</f>
        <v>0</v>
      </c>
      <c r="AI1186" s="294">
        <f>IF(NFI_Expiration=1,IF($A1186&lt;VLOOKUP(R$5,NFI,5,0),1,0)*Table_NFI[[#This Row],[Winter Clothes Adult]],Table_NFI[Winter Clothes Adult])</f>
        <v>0</v>
      </c>
      <c r="AJ1186" s="294">
        <f>IF(NFI_Expiration=1,IF($A1186&lt;VLOOKUP(S$5,NFI,5,0),1,0)*Table_NFI[[#This Row],[Winter Clothes Children]],Table_NFI[Winter Clothes Children])</f>
        <v>0</v>
      </c>
      <c r="AK1186" s="294">
        <f>IF(NFI_Expiration=1,IF($A1186&lt;VLOOKUP(T$5,NFI,5,0),1,0)*Table_NFI[[#This Row],[Winter Items Other]],Table_NFI[Winter Items Other])</f>
        <v>0</v>
      </c>
      <c r="AL1186" s="294">
        <f>IF(NFI_Expiration=1,IF($A1186&lt;VLOOKUP(M$5,NFI,5,0),1,0)*Table_NFI[[#This Row],[Winter Blanket]],Table_NFI[[#This Row],[Winter Blanket]])</f>
        <v>0</v>
      </c>
      <c r="AM1186" s="294">
        <f>IF(Table_NFI[[#This Row],[Winter Clothes Adult]]+Table_NFI[[#This Row],[Winter Clothes Children]]+Table_NFI[[#This Row],[Winter Items Other]]+Table_NFI[[#This Row],[Winter Blanket]]&gt;0,1,0)</f>
        <v>0</v>
      </c>
      <c r="AN1186" s="331">
        <f>IF(NFI_Expiration=1,IF($A1186&lt;VLOOKUP(V$5,NFI,5,0),1,0)*Table_NFI[[#This Row],[Jerry Can]],Table_NFI[Jerry Can])</f>
        <v>0</v>
      </c>
      <c r="AO1186" s="331">
        <f>IF(NFI_Expiration=1,IF($A1186&lt;VLOOKUP(V$5,NFI,5,0),1,0)*Table_NFI[[#This Row],[Shelter Tool kit]],Table_NFI[Shelter Tool kit])</f>
        <v>0</v>
      </c>
      <c r="AP1186" s="331">
        <f>IF(NFI_Expiration=1,IF($A1186&lt;VLOOKUP(V$5,NFI,5,0),1,0)*Table_NFI[[#This Row],[Tent]],Table_NFI[Tent])</f>
        <v>0</v>
      </c>
      <c r="AQ1186" s="473" t="str">
        <f>IFERROR(VLOOKUP(Table_NFI[[#This Row],[Camp Name]],CL,2,0),"")</f>
        <v/>
      </c>
      <c r="AR1186" s="468" t="str">
        <f ca="1">IF(Table_NFI[[#This Row],[Pcode]]="","",IF(OFFSET(CampList[Opening Date],MATCH(Table_NFI[[#This Row],[Pcode]],CampList[CP_Pcode],0)-1,0,1,1)&gt;=NFI_Monitor_Date,1,0))</f>
        <v/>
      </c>
      <c r="AS1186" s="473" t="str">
        <f>IFERROR(VLOOKUP(Table_NFI[[#This Row],[Camp Name]],CL,3,0),"")</f>
        <v/>
      </c>
      <c r="AT1186" s="294" t="str">
        <f ca="1">IF(Table_NFI[[#This Row],[Pcode]]="","",OFFSET(CampList[Priority],MATCH(Table_NFI[[#This Row],[Pcode]],CampList[CP_Pcode],0)-1,0,1,1))</f>
        <v/>
      </c>
      <c r="AU1186" s="293" t="str">
        <f>IFERROR(Table_NFI[[#This Row],[Kitchen Set]]/VLOOKUP(Table_NFI[[#This Row],[Camp Name]],CL,4,0),"")</f>
        <v/>
      </c>
      <c r="AV1186" s="466"/>
      <c r="AW1186" s="486"/>
    </row>
    <row r="1187" spans="1:49" ht="14.45" customHeight="1" x14ac:dyDescent="0.25">
      <c r="A1187" s="297" t="str">
        <f t="shared" si="18"/>
        <v/>
      </c>
      <c r="B1187" s="465"/>
      <c r="C1187" s="466"/>
      <c r="D1187" s="466"/>
      <c r="E1187" s="466"/>
      <c r="F1187" s="290"/>
      <c r="G1187" s="290"/>
      <c r="H1187" s="291"/>
      <c r="I1187" s="291"/>
      <c r="J1187" s="291"/>
      <c r="K1187" s="291"/>
      <c r="L1187" s="292"/>
      <c r="M1187" s="292"/>
      <c r="N1187" s="292"/>
      <c r="O1187" s="292"/>
      <c r="P1187" s="294"/>
      <c r="Q1187" s="294"/>
      <c r="R1187" s="294"/>
      <c r="S1187" s="294"/>
      <c r="T1187" s="294"/>
      <c r="U1187" s="294"/>
      <c r="V1187" s="431"/>
      <c r="W1187" s="331"/>
      <c r="X1187" s="331"/>
      <c r="Y1187" s="294">
        <f>IF(NFI_Expiration=1,IF($A1187&lt;VLOOKUP(H$5,NFI,5,0),1,0)*Table_NFI[[#This Row],[Hygiene Kit]],Table_NFI[Hygiene Kit])</f>
        <v>0</v>
      </c>
      <c r="Z1187" s="294">
        <f>IF(NFI_Expiration=1,IF($A1187&lt;VLOOKUP(I$5,NFI,5,0),1,0)*Table_NFI[[#This Row],[NFI Core Kit]],Table_NFI[NFI Core Kit])</f>
        <v>0</v>
      </c>
      <c r="AA1187" s="294">
        <f>IF(NFI_Expiration=1,IF($A1187&lt;VLOOKUP(J$5,NFI,5,0),1,0)*Table_NFI[[#This Row],[Sanitary Kit]],Table_NFI[Sanitary Kit])</f>
        <v>0</v>
      </c>
      <c r="AB1187" s="294">
        <f>IF(NFI_Expiration=1,IF($A1187&lt;VLOOKUP(K$5,NFI,5,0),1,0)*Table_NFI[[#This Row],[Mosquito net]],Table_NFI[Mosquito net])</f>
        <v>0</v>
      </c>
      <c r="AC1187" s="294">
        <f>IF(NFI_Expiration=1,IF($A1187&lt;VLOOKUP(L$5,NFI,5,0),1,0)*Table_NFI[[#This Row],[Tarpaulin]],Table_NFI[[#This Row],[Tarpaulin]])</f>
        <v>0</v>
      </c>
      <c r="AD1187" s="294">
        <f>IF(NFI_Expiration=1,IF($A1187&lt;VLOOKUP(M$5,NFI,5,0),1,0)*Table_NFI[[#This Row],[Blanket]],Table_NFI[[#This Row],[Blanket]])</f>
        <v>0</v>
      </c>
      <c r="AE1187" s="294">
        <f>IF(NFI_Expiration=1,IF($A1187&lt;VLOOKUP(N$5,NFI,5,0),1,0)*Table_NFI[[#This Row],[Kitchen Set]],Table_NFI[Kitchen Set])</f>
        <v>0</v>
      </c>
      <c r="AF1187" s="294">
        <f>IF(NFI_Expiration=1,IF($A1187&lt;VLOOKUP(O$5,NFI,5,0),1,0)*Table_NFI[[#This Row],[Clothes Kit]],Table_NFI[Clothes Kit])</f>
        <v>0</v>
      </c>
      <c r="AG1187" s="294">
        <f>IF(NFI_Expiration=1,IF($A1187&lt;VLOOKUP(P$5,NFI,5,0),1,0)*Table_NFI[[#This Row],[Plastic Bucket]],Table_NFI[Plastic Bucket])</f>
        <v>0</v>
      </c>
      <c r="AH1187" s="294">
        <f>IF(NFI_Expiration=1,IF($A1187&lt;VLOOKUP(Q$5,NFI,5,0),1,0)*Table_NFI[[#This Row],[Plastic Mat]],Table_NFI[Plastic Mat])*IF(Table_NFI[[#This Row],[Distribution Date]]&gt;"2014-04-01",1,2.5)</f>
        <v>0</v>
      </c>
      <c r="AI1187" s="294">
        <f>IF(NFI_Expiration=1,IF($A1187&lt;VLOOKUP(R$5,NFI,5,0),1,0)*Table_NFI[[#This Row],[Winter Clothes Adult]],Table_NFI[Winter Clothes Adult])</f>
        <v>0</v>
      </c>
      <c r="AJ1187" s="294">
        <f>IF(NFI_Expiration=1,IF($A1187&lt;VLOOKUP(S$5,NFI,5,0),1,0)*Table_NFI[[#This Row],[Winter Clothes Children]],Table_NFI[Winter Clothes Children])</f>
        <v>0</v>
      </c>
      <c r="AK1187" s="294">
        <f>IF(NFI_Expiration=1,IF($A1187&lt;VLOOKUP(T$5,NFI,5,0),1,0)*Table_NFI[[#This Row],[Winter Items Other]],Table_NFI[Winter Items Other])</f>
        <v>0</v>
      </c>
      <c r="AL1187" s="294">
        <f>IF(NFI_Expiration=1,IF($A1187&lt;VLOOKUP(M$5,NFI,5,0),1,0)*Table_NFI[[#This Row],[Winter Blanket]],Table_NFI[[#This Row],[Winter Blanket]])</f>
        <v>0</v>
      </c>
      <c r="AM1187" s="294">
        <f>IF(Table_NFI[[#This Row],[Winter Clothes Adult]]+Table_NFI[[#This Row],[Winter Clothes Children]]+Table_NFI[[#This Row],[Winter Items Other]]+Table_NFI[[#This Row],[Winter Blanket]]&gt;0,1,0)</f>
        <v>0</v>
      </c>
      <c r="AN1187" s="331">
        <f>IF(NFI_Expiration=1,IF($A1187&lt;VLOOKUP(V$5,NFI,5,0),1,0)*Table_NFI[[#This Row],[Jerry Can]],Table_NFI[Jerry Can])</f>
        <v>0</v>
      </c>
      <c r="AO1187" s="331">
        <f>IF(NFI_Expiration=1,IF($A1187&lt;VLOOKUP(V$5,NFI,5,0),1,0)*Table_NFI[[#This Row],[Shelter Tool kit]],Table_NFI[Shelter Tool kit])</f>
        <v>0</v>
      </c>
      <c r="AP1187" s="331">
        <f>IF(NFI_Expiration=1,IF($A1187&lt;VLOOKUP(V$5,NFI,5,0),1,0)*Table_NFI[[#This Row],[Tent]],Table_NFI[Tent])</f>
        <v>0</v>
      </c>
      <c r="AQ1187" s="473" t="str">
        <f>IFERROR(VLOOKUP(Table_NFI[[#This Row],[Camp Name]],CL,2,0),"")</f>
        <v/>
      </c>
      <c r="AR1187" s="468" t="str">
        <f ca="1">IF(Table_NFI[[#This Row],[Pcode]]="","",IF(OFFSET(CampList[Opening Date],MATCH(Table_NFI[[#This Row],[Pcode]],CampList[CP_Pcode],0)-1,0,1,1)&gt;=NFI_Monitor_Date,1,0))</f>
        <v/>
      </c>
      <c r="AS1187" s="473" t="str">
        <f>IFERROR(VLOOKUP(Table_NFI[[#This Row],[Camp Name]],CL,3,0),"")</f>
        <v/>
      </c>
      <c r="AT1187" s="294" t="str">
        <f ca="1">IF(Table_NFI[[#This Row],[Pcode]]="","",OFFSET(CampList[Priority],MATCH(Table_NFI[[#This Row],[Pcode]],CampList[CP_Pcode],0)-1,0,1,1))</f>
        <v/>
      </c>
      <c r="AU1187" s="293" t="str">
        <f>IFERROR(Table_NFI[[#This Row],[Kitchen Set]]/VLOOKUP(Table_NFI[[#This Row],[Camp Name]],CL,4,0),"")</f>
        <v/>
      </c>
      <c r="AV1187" s="466"/>
      <c r="AW1187" s="469"/>
    </row>
    <row r="1188" spans="1:49" ht="14.45" customHeight="1" x14ac:dyDescent="0.25">
      <c r="A1188" s="297" t="str">
        <f t="shared" si="18"/>
        <v/>
      </c>
      <c r="B1188" s="465"/>
      <c r="C1188" s="471"/>
      <c r="D1188" s="471"/>
      <c r="E1188" s="471"/>
      <c r="F1188" s="471"/>
      <c r="G1188" s="471"/>
      <c r="H1188" s="292"/>
      <c r="I1188" s="292"/>
      <c r="J1188" s="292"/>
      <c r="K1188" s="292"/>
      <c r="L1188" s="292"/>
      <c r="M1188" s="292"/>
      <c r="N1188" s="292"/>
      <c r="O1188" s="292"/>
      <c r="P1188" s="294"/>
      <c r="Q1188" s="294"/>
      <c r="R1188" s="294"/>
      <c r="S1188" s="294"/>
      <c r="T1188" s="294"/>
      <c r="U1188" s="294"/>
      <c r="V1188" s="431"/>
      <c r="W1188" s="331"/>
      <c r="X1188" s="331"/>
      <c r="Y1188" s="294">
        <f>IF(NFI_Expiration=1,IF($A1188&lt;VLOOKUP(H$5,NFI,5,0),1,0)*Table_NFI[[#This Row],[Hygiene Kit]],Table_NFI[Hygiene Kit])</f>
        <v>0</v>
      </c>
      <c r="Z1188" s="294">
        <f>IF(NFI_Expiration=1,IF($A1188&lt;VLOOKUP(I$5,NFI,5,0),1,0)*Table_NFI[[#This Row],[NFI Core Kit]],Table_NFI[NFI Core Kit])</f>
        <v>0</v>
      </c>
      <c r="AA1188" s="294">
        <f>IF(NFI_Expiration=1,IF($A1188&lt;VLOOKUP(J$5,NFI,5,0),1,0)*Table_NFI[[#This Row],[Sanitary Kit]],Table_NFI[Sanitary Kit])</f>
        <v>0</v>
      </c>
      <c r="AB1188" s="294">
        <f>IF(NFI_Expiration=1,IF($A1188&lt;VLOOKUP(K$5,NFI,5,0),1,0)*Table_NFI[[#This Row],[Mosquito net]],Table_NFI[Mosquito net])</f>
        <v>0</v>
      </c>
      <c r="AC1188" s="294">
        <f>IF(NFI_Expiration=1,IF($A1188&lt;VLOOKUP(L$5,NFI,5,0),1,0)*Table_NFI[[#This Row],[Tarpaulin]],Table_NFI[[#This Row],[Tarpaulin]])</f>
        <v>0</v>
      </c>
      <c r="AD1188" s="294">
        <f>IF(NFI_Expiration=1,IF($A1188&lt;VLOOKUP(M$5,NFI,5,0),1,0)*Table_NFI[[#This Row],[Blanket]],Table_NFI[[#This Row],[Blanket]])</f>
        <v>0</v>
      </c>
      <c r="AE1188" s="294">
        <f>IF(NFI_Expiration=1,IF($A1188&lt;VLOOKUP(N$5,NFI,5,0),1,0)*Table_NFI[[#This Row],[Kitchen Set]],Table_NFI[Kitchen Set])</f>
        <v>0</v>
      </c>
      <c r="AF1188" s="294">
        <f>IF(NFI_Expiration=1,IF($A1188&lt;VLOOKUP(O$5,NFI,5,0),1,0)*Table_NFI[[#This Row],[Clothes Kit]],Table_NFI[Clothes Kit])</f>
        <v>0</v>
      </c>
      <c r="AG1188" s="294">
        <f>IF(NFI_Expiration=1,IF($A1188&lt;VLOOKUP(P$5,NFI,5,0),1,0)*Table_NFI[[#This Row],[Plastic Bucket]],Table_NFI[Plastic Bucket])</f>
        <v>0</v>
      </c>
      <c r="AH1188" s="294">
        <f>IF(NFI_Expiration=1,IF($A1188&lt;VLOOKUP(Q$5,NFI,5,0),1,0)*Table_NFI[[#This Row],[Plastic Mat]],Table_NFI[Plastic Mat])*IF(Table_NFI[[#This Row],[Distribution Date]]&gt;"2014-04-01",1,2.5)</f>
        <v>0</v>
      </c>
      <c r="AI1188" s="294">
        <f>IF(NFI_Expiration=1,IF($A1188&lt;VLOOKUP(R$5,NFI,5,0),1,0)*Table_NFI[[#This Row],[Winter Clothes Adult]],Table_NFI[Winter Clothes Adult])</f>
        <v>0</v>
      </c>
      <c r="AJ1188" s="294">
        <f>IF(NFI_Expiration=1,IF($A1188&lt;VLOOKUP(S$5,NFI,5,0),1,0)*Table_NFI[[#This Row],[Winter Clothes Children]],Table_NFI[Winter Clothes Children])</f>
        <v>0</v>
      </c>
      <c r="AK1188" s="294">
        <f>IF(NFI_Expiration=1,IF($A1188&lt;VLOOKUP(T$5,NFI,5,0),1,0)*Table_NFI[[#This Row],[Winter Items Other]],Table_NFI[Winter Items Other])</f>
        <v>0</v>
      </c>
      <c r="AL1188" s="294">
        <f>IF(NFI_Expiration=1,IF($A1188&lt;VLOOKUP(M$5,NFI,5,0),1,0)*Table_NFI[[#This Row],[Winter Blanket]],Table_NFI[[#This Row],[Winter Blanket]])</f>
        <v>0</v>
      </c>
      <c r="AM1188" s="294">
        <f>IF(Table_NFI[[#This Row],[Winter Clothes Adult]]+Table_NFI[[#This Row],[Winter Clothes Children]]+Table_NFI[[#This Row],[Winter Items Other]]+Table_NFI[[#This Row],[Winter Blanket]]&gt;0,1,0)</f>
        <v>0</v>
      </c>
      <c r="AN1188" s="331">
        <f>IF(NFI_Expiration=1,IF($A1188&lt;VLOOKUP(V$5,NFI,5,0),1,0)*Table_NFI[[#This Row],[Jerry Can]],Table_NFI[Jerry Can])</f>
        <v>0</v>
      </c>
      <c r="AO1188" s="331">
        <f>IF(NFI_Expiration=1,IF($A1188&lt;VLOOKUP(V$5,NFI,5,0),1,0)*Table_NFI[[#This Row],[Shelter Tool kit]],Table_NFI[Shelter Tool kit])</f>
        <v>0</v>
      </c>
      <c r="AP1188" s="331">
        <f>IF(NFI_Expiration=1,IF($A1188&lt;VLOOKUP(V$5,NFI,5,0),1,0)*Table_NFI[[#This Row],[Tent]],Table_NFI[Tent])</f>
        <v>0</v>
      </c>
      <c r="AQ1188" s="473" t="str">
        <f>IFERROR(VLOOKUP(Table_NFI[[#This Row],[Camp Name]],CL,2,0),"")</f>
        <v/>
      </c>
      <c r="AR1188" s="468" t="str">
        <f ca="1">IF(Table_NFI[[#This Row],[Pcode]]="","",IF(OFFSET(CampList[Opening Date],MATCH(Table_NFI[[#This Row],[Pcode]],CampList[CP_Pcode],0)-1,0,1,1)&gt;=NFI_Monitor_Date,1,0))</f>
        <v/>
      </c>
      <c r="AS1188" s="473" t="str">
        <f>IFERROR(VLOOKUP(Table_NFI[[#This Row],[Camp Name]],CL,3,0),"")</f>
        <v/>
      </c>
      <c r="AT1188" s="294" t="str">
        <f ca="1">IF(Table_NFI[[#This Row],[Pcode]]="","",OFFSET(CampList[Priority],MATCH(Table_NFI[[#This Row],[Pcode]],CampList[CP_Pcode],0)-1,0,1,1))</f>
        <v/>
      </c>
      <c r="AU1188" s="293" t="str">
        <f>IFERROR(Table_NFI[[#This Row],[Kitchen Set]]/VLOOKUP(Table_NFI[[#This Row],[Camp Name]],CL,4,0),"")</f>
        <v/>
      </c>
      <c r="AV1188" s="466"/>
      <c r="AW1188" s="469"/>
    </row>
    <row r="1189" spans="1:49" ht="14.45" customHeight="1" x14ac:dyDescent="0.25">
      <c r="A1189" s="297" t="str">
        <f t="shared" si="18"/>
        <v/>
      </c>
      <c r="B1189" s="465"/>
      <c r="C1189" s="466"/>
      <c r="D1189" s="466"/>
      <c r="E1189" s="466"/>
      <c r="F1189" s="466"/>
      <c r="G1189" s="466"/>
      <c r="H1189" s="291"/>
      <c r="I1189" s="291"/>
      <c r="J1189" s="291"/>
      <c r="K1189" s="291"/>
      <c r="L1189" s="292"/>
      <c r="M1189" s="292"/>
      <c r="N1189" s="292"/>
      <c r="O1189" s="292"/>
      <c r="P1189" s="294"/>
      <c r="Q1189" s="294"/>
      <c r="R1189" s="294"/>
      <c r="S1189" s="294"/>
      <c r="T1189" s="294"/>
      <c r="U1189" s="294"/>
      <c r="V1189" s="431"/>
      <c r="W1189" s="331"/>
      <c r="X1189" s="331"/>
      <c r="Y1189" s="294">
        <f>IF(NFI_Expiration=1,IF($A1189&lt;VLOOKUP(H$5,NFI,5,0),1,0)*Table_NFI[[#This Row],[Hygiene Kit]],Table_NFI[Hygiene Kit])</f>
        <v>0</v>
      </c>
      <c r="Z1189" s="294">
        <f>IF(NFI_Expiration=1,IF($A1189&lt;VLOOKUP(I$5,NFI,5,0),1,0)*Table_NFI[[#This Row],[NFI Core Kit]],Table_NFI[NFI Core Kit])</f>
        <v>0</v>
      </c>
      <c r="AA1189" s="294">
        <f>IF(NFI_Expiration=1,IF($A1189&lt;VLOOKUP(J$5,NFI,5,0),1,0)*Table_NFI[[#This Row],[Sanitary Kit]],Table_NFI[Sanitary Kit])</f>
        <v>0</v>
      </c>
      <c r="AB1189" s="294">
        <f>IF(NFI_Expiration=1,IF($A1189&lt;VLOOKUP(K$5,NFI,5,0),1,0)*Table_NFI[[#This Row],[Mosquito net]],Table_NFI[Mosquito net])</f>
        <v>0</v>
      </c>
      <c r="AC1189" s="294">
        <f>IF(NFI_Expiration=1,IF($A1189&lt;VLOOKUP(L$5,NFI,5,0),1,0)*Table_NFI[[#This Row],[Tarpaulin]],Table_NFI[[#This Row],[Tarpaulin]])</f>
        <v>0</v>
      </c>
      <c r="AD1189" s="294">
        <f>IF(NFI_Expiration=1,IF($A1189&lt;VLOOKUP(M$5,NFI,5,0),1,0)*Table_NFI[[#This Row],[Blanket]],Table_NFI[[#This Row],[Blanket]])</f>
        <v>0</v>
      </c>
      <c r="AE1189" s="294">
        <f>IF(NFI_Expiration=1,IF($A1189&lt;VLOOKUP(N$5,NFI,5,0),1,0)*Table_NFI[[#This Row],[Kitchen Set]],Table_NFI[Kitchen Set])</f>
        <v>0</v>
      </c>
      <c r="AF1189" s="294">
        <f>IF(NFI_Expiration=1,IF($A1189&lt;VLOOKUP(O$5,NFI,5,0),1,0)*Table_NFI[[#This Row],[Clothes Kit]],Table_NFI[Clothes Kit])</f>
        <v>0</v>
      </c>
      <c r="AG1189" s="294">
        <f>IF(NFI_Expiration=1,IF($A1189&lt;VLOOKUP(P$5,NFI,5,0),1,0)*Table_NFI[[#This Row],[Plastic Bucket]],Table_NFI[Plastic Bucket])</f>
        <v>0</v>
      </c>
      <c r="AH1189" s="294">
        <f>IF(NFI_Expiration=1,IF($A1189&lt;VLOOKUP(Q$5,NFI,5,0),1,0)*Table_NFI[[#This Row],[Plastic Mat]],Table_NFI[Plastic Mat])*IF(Table_NFI[[#This Row],[Distribution Date]]&gt;"2014-04-01",1,2.5)</f>
        <v>0</v>
      </c>
      <c r="AI1189" s="294">
        <f>IF(NFI_Expiration=1,IF($A1189&lt;VLOOKUP(R$5,NFI,5,0),1,0)*Table_NFI[[#This Row],[Winter Clothes Adult]],Table_NFI[Winter Clothes Adult])</f>
        <v>0</v>
      </c>
      <c r="AJ1189" s="294">
        <f>IF(NFI_Expiration=1,IF($A1189&lt;VLOOKUP(S$5,NFI,5,0),1,0)*Table_NFI[[#This Row],[Winter Clothes Children]],Table_NFI[Winter Clothes Children])</f>
        <v>0</v>
      </c>
      <c r="AK1189" s="294">
        <f>IF(NFI_Expiration=1,IF($A1189&lt;VLOOKUP(T$5,NFI,5,0),1,0)*Table_NFI[[#This Row],[Winter Items Other]],Table_NFI[Winter Items Other])</f>
        <v>0</v>
      </c>
      <c r="AL1189" s="294">
        <f>IF(NFI_Expiration=1,IF($A1189&lt;VLOOKUP(M$5,NFI,5,0),1,0)*Table_NFI[[#This Row],[Winter Blanket]],Table_NFI[[#This Row],[Winter Blanket]])</f>
        <v>0</v>
      </c>
      <c r="AM1189" s="294">
        <f>IF(Table_NFI[[#This Row],[Winter Clothes Adult]]+Table_NFI[[#This Row],[Winter Clothes Children]]+Table_NFI[[#This Row],[Winter Items Other]]+Table_NFI[[#This Row],[Winter Blanket]]&gt;0,1,0)</f>
        <v>0</v>
      </c>
      <c r="AN1189" s="331">
        <f>IF(NFI_Expiration=1,IF($A1189&lt;VLOOKUP(V$5,NFI,5,0),1,0)*Table_NFI[[#This Row],[Jerry Can]],Table_NFI[Jerry Can])</f>
        <v>0</v>
      </c>
      <c r="AO1189" s="331">
        <f>IF(NFI_Expiration=1,IF($A1189&lt;VLOOKUP(V$5,NFI,5,0),1,0)*Table_NFI[[#This Row],[Shelter Tool kit]],Table_NFI[Shelter Tool kit])</f>
        <v>0</v>
      </c>
      <c r="AP1189" s="331">
        <f>IF(NFI_Expiration=1,IF($A1189&lt;VLOOKUP(V$5,NFI,5,0),1,0)*Table_NFI[[#This Row],[Tent]],Table_NFI[Tent])</f>
        <v>0</v>
      </c>
      <c r="AQ1189" s="473" t="str">
        <f>IFERROR(VLOOKUP(Table_NFI[[#This Row],[Camp Name]],CL,2,0),"")</f>
        <v/>
      </c>
      <c r="AR1189" s="468" t="str">
        <f ca="1">IF(Table_NFI[[#This Row],[Pcode]]="","",IF(OFFSET(CampList[Opening Date],MATCH(Table_NFI[[#This Row],[Pcode]],CampList[CP_Pcode],0)-1,0,1,1)&gt;=NFI_Monitor_Date,1,0))</f>
        <v/>
      </c>
      <c r="AS1189" s="473" t="str">
        <f>IFERROR(VLOOKUP(Table_NFI[[#This Row],[Camp Name]],CL,3,0),"")</f>
        <v/>
      </c>
      <c r="AT1189" s="294" t="str">
        <f ca="1">IF(Table_NFI[[#This Row],[Pcode]]="","",OFFSET(CampList[Priority],MATCH(Table_NFI[[#This Row],[Pcode]],CampList[CP_Pcode],0)-1,0,1,1))</f>
        <v/>
      </c>
      <c r="AU1189" s="293" t="str">
        <f>IFERROR(Table_NFI[[#This Row],[Kitchen Set]]/VLOOKUP(Table_NFI[[#This Row],[Camp Name]],CL,4,0),"")</f>
        <v/>
      </c>
      <c r="AV1189" s="466"/>
      <c r="AW1189" s="469"/>
    </row>
    <row r="1190" spans="1:49" ht="14.45" customHeight="1" x14ac:dyDescent="0.25">
      <c r="A1190" s="297" t="str">
        <f t="shared" si="18"/>
        <v/>
      </c>
      <c r="B1190" s="465"/>
      <c r="C1190" s="466"/>
      <c r="D1190" s="466"/>
      <c r="E1190" s="466"/>
      <c r="F1190" s="466"/>
      <c r="G1190" s="466"/>
      <c r="H1190" s="291"/>
      <c r="I1190" s="294"/>
      <c r="J1190" s="291"/>
      <c r="K1190" s="291"/>
      <c r="L1190" s="292"/>
      <c r="M1190" s="292"/>
      <c r="N1190" s="292"/>
      <c r="O1190" s="292"/>
      <c r="P1190" s="294"/>
      <c r="Q1190" s="294"/>
      <c r="R1190" s="294"/>
      <c r="S1190" s="294"/>
      <c r="T1190" s="294"/>
      <c r="U1190" s="294"/>
      <c r="V1190" s="431"/>
      <c r="W1190" s="331"/>
      <c r="X1190" s="331"/>
      <c r="Y1190" s="294">
        <f>IF(NFI_Expiration=1,IF($A1190&lt;VLOOKUP(H$5,NFI,5,0),1,0)*Table_NFI[[#This Row],[Hygiene Kit]],Table_NFI[Hygiene Kit])</f>
        <v>0</v>
      </c>
      <c r="Z1190" s="294">
        <f>IF(NFI_Expiration=1,IF($A1190&lt;VLOOKUP(I$5,NFI,5,0),1,0)*Table_NFI[[#This Row],[NFI Core Kit]],Table_NFI[NFI Core Kit])</f>
        <v>0</v>
      </c>
      <c r="AA1190" s="294">
        <f>IF(NFI_Expiration=1,IF($A1190&lt;VLOOKUP(J$5,NFI,5,0),1,0)*Table_NFI[[#This Row],[Sanitary Kit]],Table_NFI[Sanitary Kit])</f>
        <v>0</v>
      </c>
      <c r="AB1190" s="294">
        <f>IF(NFI_Expiration=1,IF($A1190&lt;VLOOKUP(K$5,NFI,5,0),1,0)*Table_NFI[[#This Row],[Mosquito net]],Table_NFI[Mosquito net])</f>
        <v>0</v>
      </c>
      <c r="AC1190" s="294">
        <f>IF(NFI_Expiration=1,IF($A1190&lt;VLOOKUP(L$5,NFI,5,0),1,0)*Table_NFI[[#This Row],[Tarpaulin]],Table_NFI[[#This Row],[Tarpaulin]])</f>
        <v>0</v>
      </c>
      <c r="AD1190" s="294">
        <f>IF(NFI_Expiration=1,IF($A1190&lt;VLOOKUP(M$5,NFI,5,0),1,0)*Table_NFI[[#This Row],[Blanket]],Table_NFI[[#This Row],[Blanket]])</f>
        <v>0</v>
      </c>
      <c r="AE1190" s="294">
        <f>IF(NFI_Expiration=1,IF($A1190&lt;VLOOKUP(N$5,NFI,5,0),1,0)*Table_NFI[[#This Row],[Kitchen Set]],Table_NFI[Kitchen Set])</f>
        <v>0</v>
      </c>
      <c r="AF1190" s="294">
        <f>IF(NFI_Expiration=1,IF($A1190&lt;VLOOKUP(O$5,NFI,5,0),1,0)*Table_NFI[[#This Row],[Clothes Kit]],Table_NFI[Clothes Kit])</f>
        <v>0</v>
      </c>
      <c r="AG1190" s="294">
        <f>IF(NFI_Expiration=1,IF($A1190&lt;VLOOKUP(P$5,NFI,5,0),1,0)*Table_NFI[[#This Row],[Plastic Bucket]],Table_NFI[Plastic Bucket])</f>
        <v>0</v>
      </c>
      <c r="AH1190" s="294">
        <f>IF(NFI_Expiration=1,IF($A1190&lt;VLOOKUP(Q$5,NFI,5,0),1,0)*Table_NFI[[#This Row],[Plastic Mat]],Table_NFI[Plastic Mat])*IF(Table_NFI[[#This Row],[Distribution Date]]&gt;"2014-04-01",1,2.5)</f>
        <v>0</v>
      </c>
      <c r="AI1190" s="294">
        <f>IF(NFI_Expiration=1,IF($A1190&lt;VLOOKUP(R$5,NFI,5,0),1,0)*Table_NFI[[#This Row],[Winter Clothes Adult]],Table_NFI[Winter Clothes Adult])</f>
        <v>0</v>
      </c>
      <c r="AJ1190" s="294">
        <f>IF(NFI_Expiration=1,IF($A1190&lt;VLOOKUP(S$5,NFI,5,0),1,0)*Table_NFI[[#This Row],[Winter Clothes Children]],Table_NFI[Winter Clothes Children])</f>
        <v>0</v>
      </c>
      <c r="AK1190" s="294">
        <f>IF(NFI_Expiration=1,IF($A1190&lt;VLOOKUP(T$5,NFI,5,0),1,0)*Table_NFI[[#This Row],[Winter Items Other]],Table_NFI[Winter Items Other])</f>
        <v>0</v>
      </c>
      <c r="AL1190" s="294">
        <f>IF(NFI_Expiration=1,IF($A1190&lt;VLOOKUP(M$5,NFI,5,0),1,0)*Table_NFI[[#This Row],[Winter Blanket]],Table_NFI[[#This Row],[Winter Blanket]])</f>
        <v>0</v>
      </c>
      <c r="AM1190" s="294">
        <f>IF(Table_NFI[[#This Row],[Winter Clothes Adult]]+Table_NFI[[#This Row],[Winter Clothes Children]]+Table_NFI[[#This Row],[Winter Items Other]]+Table_NFI[[#This Row],[Winter Blanket]]&gt;0,1,0)</f>
        <v>0</v>
      </c>
      <c r="AN1190" s="331">
        <f>IF(NFI_Expiration=1,IF($A1190&lt;VLOOKUP(V$5,NFI,5,0),1,0)*Table_NFI[[#This Row],[Jerry Can]],Table_NFI[Jerry Can])</f>
        <v>0</v>
      </c>
      <c r="AO1190" s="331">
        <f>IF(NFI_Expiration=1,IF($A1190&lt;VLOOKUP(V$5,NFI,5,0),1,0)*Table_NFI[[#This Row],[Shelter Tool kit]],Table_NFI[Shelter Tool kit])</f>
        <v>0</v>
      </c>
      <c r="AP1190" s="331">
        <f>IF(NFI_Expiration=1,IF($A1190&lt;VLOOKUP(V$5,NFI,5,0),1,0)*Table_NFI[[#This Row],[Tent]],Table_NFI[Tent])</f>
        <v>0</v>
      </c>
      <c r="AQ1190" s="473" t="str">
        <f>IFERROR(VLOOKUP(Table_NFI[[#This Row],[Camp Name]],CL,2,0),"")</f>
        <v/>
      </c>
      <c r="AR1190" s="468" t="str">
        <f ca="1">IF(Table_NFI[[#This Row],[Pcode]]="","",IF(OFFSET(CampList[Opening Date],MATCH(Table_NFI[[#This Row],[Pcode]],CampList[CP_Pcode],0)-1,0,1,1)&gt;=NFI_Monitor_Date,1,0))</f>
        <v/>
      </c>
      <c r="AS1190" s="473" t="str">
        <f>IFERROR(VLOOKUP(Table_NFI[[#This Row],[Camp Name]],CL,3,0),"")</f>
        <v/>
      </c>
      <c r="AT1190" s="294" t="str">
        <f ca="1">IF(Table_NFI[[#This Row],[Pcode]]="","",OFFSET(CampList[Priority],MATCH(Table_NFI[[#This Row],[Pcode]],CampList[CP_Pcode],0)-1,0,1,1))</f>
        <v/>
      </c>
      <c r="AU1190" s="293" t="str">
        <f>IFERROR(Table_NFI[[#This Row],[Kitchen Set]]/VLOOKUP(Table_NFI[[#This Row],[Camp Name]],CL,4,0),"")</f>
        <v/>
      </c>
      <c r="AV1190" s="471"/>
      <c r="AW1190" s="486"/>
    </row>
    <row r="1191" spans="1:49" ht="14.45" customHeight="1" x14ac:dyDescent="0.25">
      <c r="A1191" s="297" t="str">
        <f t="shared" si="18"/>
        <v/>
      </c>
      <c r="B1191" s="465"/>
      <c r="C1191" s="466"/>
      <c r="D1191" s="466"/>
      <c r="E1191" s="466"/>
      <c r="F1191" s="466"/>
      <c r="G1191" s="466"/>
      <c r="H1191" s="291"/>
      <c r="I1191" s="294"/>
      <c r="J1191" s="291"/>
      <c r="K1191" s="291"/>
      <c r="L1191" s="292"/>
      <c r="M1191" s="292"/>
      <c r="N1191" s="292"/>
      <c r="O1191" s="292"/>
      <c r="P1191" s="294"/>
      <c r="Q1191" s="294"/>
      <c r="R1191" s="294"/>
      <c r="S1191" s="294"/>
      <c r="T1191" s="294"/>
      <c r="U1191" s="294"/>
      <c r="V1191" s="431"/>
      <c r="W1191" s="331"/>
      <c r="X1191" s="331"/>
      <c r="Y1191" s="294">
        <f>IF(NFI_Expiration=1,IF($A1191&lt;VLOOKUP(H$5,NFI,5,0),1,0)*Table_NFI[[#This Row],[Hygiene Kit]],Table_NFI[Hygiene Kit])</f>
        <v>0</v>
      </c>
      <c r="Z1191" s="294">
        <f>IF(NFI_Expiration=1,IF($A1191&lt;VLOOKUP(I$5,NFI,5,0),1,0)*Table_NFI[[#This Row],[NFI Core Kit]],Table_NFI[NFI Core Kit])</f>
        <v>0</v>
      </c>
      <c r="AA1191" s="294">
        <f>IF(NFI_Expiration=1,IF($A1191&lt;VLOOKUP(J$5,NFI,5,0),1,0)*Table_NFI[[#This Row],[Sanitary Kit]],Table_NFI[Sanitary Kit])</f>
        <v>0</v>
      </c>
      <c r="AB1191" s="294">
        <f>IF(NFI_Expiration=1,IF($A1191&lt;VLOOKUP(K$5,NFI,5,0),1,0)*Table_NFI[[#This Row],[Mosquito net]],Table_NFI[Mosquito net])</f>
        <v>0</v>
      </c>
      <c r="AC1191" s="294">
        <f>IF(NFI_Expiration=1,IF($A1191&lt;VLOOKUP(L$5,NFI,5,0),1,0)*Table_NFI[[#This Row],[Tarpaulin]],Table_NFI[[#This Row],[Tarpaulin]])</f>
        <v>0</v>
      </c>
      <c r="AD1191" s="294">
        <f>IF(NFI_Expiration=1,IF($A1191&lt;VLOOKUP(M$5,NFI,5,0),1,0)*Table_NFI[[#This Row],[Blanket]],Table_NFI[[#This Row],[Blanket]])</f>
        <v>0</v>
      </c>
      <c r="AE1191" s="294">
        <f>IF(NFI_Expiration=1,IF($A1191&lt;VLOOKUP(N$5,NFI,5,0),1,0)*Table_NFI[[#This Row],[Kitchen Set]],Table_NFI[Kitchen Set])</f>
        <v>0</v>
      </c>
      <c r="AF1191" s="294">
        <f>IF(NFI_Expiration=1,IF($A1191&lt;VLOOKUP(O$5,NFI,5,0),1,0)*Table_NFI[[#This Row],[Clothes Kit]],Table_NFI[Clothes Kit])</f>
        <v>0</v>
      </c>
      <c r="AG1191" s="294">
        <f>IF(NFI_Expiration=1,IF($A1191&lt;VLOOKUP(P$5,NFI,5,0),1,0)*Table_NFI[[#This Row],[Plastic Bucket]],Table_NFI[Plastic Bucket])</f>
        <v>0</v>
      </c>
      <c r="AH1191" s="294">
        <f>IF(NFI_Expiration=1,IF($A1191&lt;VLOOKUP(Q$5,NFI,5,0),1,0)*Table_NFI[[#This Row],[Plastic Mat]],Table_NFI[Plastic Mat])*IF(Table_NFI[[#This Row],[Distribution Date]]&gt;"2014-04-01",1,2.5)</f>
        <v>0</v>
      </c>
      <c r="AI1191" s="294">
        <f>IF(NFI_Expiration=1,IF($A1191&lt;VLOOKUP(R$5,NFI,5,0),1,0)*Table_NFI[[#This Row],[Winter Clothes Adult]],Table_NFI[Winter Clothes Adult])</f>
        <v>0</v>
      </c>
      <c r="AJ1191" s="294">
        <f>IF(NFI_Expiration=1,IF($A1191&lt;VLOOKUP(S$5,NFI,5,0),1,0)*Table_NFI[[#This Row],[Winter Clothes Children]],Table_NFI[Winter Clothes Children])</f>
        <v>0</v>
      </c>
      <c r="AK1191" s="294">
        <f>IF(NFI_Expiration=1,IF($A1191&lt;VLOOKUP(T$5,NFI,5,0),1,0)*Table_NFI[[#This Row],[Winter Items Other]],Table_NFI[Winter Items Other])</f>
        <v>0</v>
      </c>
      <c r="AL1191" s="294">
        <f>IF(NFI_Expiration=1,IF($A1191&lt;VLOOKUP(M$5,NFI,5,0),1,0)*Table_NFI[[#This Row],[Winter Blanket]],Table_NFI[[#This Row],[Winter Blanket]])</f>
        <v>0</v>
      </c>
      <c r="AM1191" s="294">
        <f>IF(Table_NFI[[#This Row],[Winter Clothes Adult]]+Table_NFI[[#This Row],[Winter Clothes Children]]+Table_NFI[[#This Row],[Winter Items Other]]+Table_NFI[[#This Row],[Winter Blanket]]&gt;0,1,0)</f>
        <v>0</v>
      </c>
      <c r="AN1191" s="331">
        <f>IF(NFI_Expiration=1,IF($A1191&lt;VLOOKUP(V$5,NFI,5,0),1,0)*Table_NFI[[#This Row],[Jerry Can]],Table_NFI[Jerry Can])</f>
        <v>0</v>
      </c>
      <c r="AO1191" s="331">
        <f>IF(NFI_Expiration=1,IF($A1191&lt;VLOOKUP(V$5,NFI,5,0),1,0)*Table_NFI[[#This Row],[Shelter Tool kit]],Table_NFI[Shelter Tool kit])</f>
        <v>0</v>
      </c>
      <c r="AP1191" s="331">
        <f>IF(NFI_Expiration=1,IF($A1191&lt;VLOOKUP(V$5,NFI,5,0),1,0)*Table_NFI[[#This Row],[Tent]],Table_NFI[Tent])</f>
        <v>0</v>
      </c>
      <c r="AQ1191" s="473" t="str">
        <f>IFERROR(VLOOKUP(Table_NFI[[#This Row],[Camp Name]],CL,2,0),"")</f>
        <v/>
      </c>
      <c r="AR1191" s="468" t="str">
        <f ca="1">IF(Table_NFI[[#This Row],[Pcode]]="","",IF(OFFSET(CampList[Opening Date],MATCH(Table_NFI[[#This Row],[Pcode]],CampList[CP_Pcode],0)-1,0,1,1)&gt;=NFI_Monitor_Date,1,0))</f>
        <v/>
      </c>
      <c r="AS1191" s="473" t="str">
        <f>IFERROR(VLOOKUP(Table_NFI[[#This Row],[Camp Name]],CL,3,0),"")</f>
        <v/>
      </c>
      <c r="AT1191" s="294" t="str">
        <f ca="1">IF(Table_NFI[[#This Row],[Pcode]]="","",OFFSET(CampList[Priority],MATCH(Table_NFI[[#This Row],[Pcode]],CampList[CP_Pcode],0)-1,0,1,1))</f>
        <v/>
      </c>
      <c r="AU1191" s="293" t="str">
        <f>IFERROR(Table_NFI[[#This Row],[Kitchen Set]]/VLOOKUP(Table_NFI[[#This Row],[Camp Name]],CL,4,0),"")</f>
        <v/>
      </c>
      <c r="AV1191" s="466"/>
      <c r="AW1191" s="486"/>
    </row>
    <row r="1192" spans="1:49" ht="14.45" customHeight="1" x14ac:dyDescent="0.25">
      <c r="A1192" s="297" t="str">
        <f t="shared" si="18"/>
        <v/>
      </c>
      <c r="B1192" s="465"/>
      <c r="C1192" s="466"/>
      <c r="D1192" s="466"/>
      <c r="E1192" s="466"/>
      <c r="F1192" s="466"/>
      <c r="G1192" s="466"/>
      <c r="H1192" s="291"/>
      <c r="I1192" s="291"/>
      <c r="J1192" s="291"/>
      <c r="K1192" s="291"/>
      <c r="L1192" s="292"/>
      <c r="M1192" s="292"/>
      <c r="N1192" s="292"/>
      <c r="O1192" s="292"/>
      <c r="P1192" s="294"/>
      <c r="Q1192" s="294"/>
      <c r="R1192" s="294"/>
      <c r="S1192" s="294"/>
      <c r="T1192" s="294"/>
      <c r="U1192" s="294"/>
      <c r="V1192" s="431"/>
      <c r="W1192" s="331"/>
      <c r="X1192" s="331"/>
      <c r="Y1192" s="294">
        <f>IF(NFI_Expiration=1,IF($A1192&lt;VLOOKUP(H$5,NFI,5,0),1,0)*Table_NFI[[#This Row],[Hygiene Kit]],Table_NFI[Hygiene Kit])</f>
        <v>0</v>
      </c>
      <c r="Z1192" s="294">
        <f>IF(NFI_Expiration=1,IF($A1192&lt;VLOOKUP(I$5,NFI,5,0),1,0)*Table_NFI[[#This Row],[NFI Core Kit]],Table_NFI[NFI Core Kit])</f>
        <v>0</v>
      </c>
      <c r="AA1192" s="294">
        <f>IF(NFI_Expiration=1,IF($A1192&lt;VLOOKUP(J$5,NFI,5,0),1,0)*Table_NFI[[#This Row],[Sanitary Kit]],Table_NFI[Sanitary Kit])</f>
        <v>0</v>
      </c>
      <c r="AB1192" s="294">
        <f>IF(NFI_Expiration=1,IF($A1192&lt;VLOOKUP(K$5,NFI,5,0),1,0)*Table_NFI[[#This Row],[Mosquito net]],Table_NFI[Mosquito net])</f>
        <v>0</v>
      </c>
      <c r="AC1192" s="294">
        <f>IF(NFI_Expiration=1,IF($A1192&lt;VLOOKUP(L$5,NFI,5,0),1,0)*Table_NFI[[#This Row],[Tarpaulin]],Table_NFI[[#This Row],[Tarpaulin]])</f>
        <v>0</v>
      </c>
      <c r="AD1192" s="294">
        <f>IF(NFI_Expiration=1,IF($A1192&lt;VLOOKUP(M$5,NFI,5,0),1,0)*Table_NFI[[#This Row],[Blanket]],Table_NFI[[#This Row],[Blanket]])</f>
        <v>0</v>
      </c>
      <c r="AE1192" s="294">
        <f>IF(NFI_Expiration=1,IF($A1192&lt;VLOOKUP(N$5,NFI,5,0),1,0)*Table_NFI[[#This Row],[Kitchen Set]],Table_NFI[Kitchen Set])</f>
        <v>0</v>
      </c>
      <c r="AF1192" s="294">
        <f>IF(NFI_Expiration=1,IF($A1192&lt;VLOOKUP(O$5,NFI,5,0),1,0)*Table_NFI[[#This Row],[Clothes Kit]],Table_NFI[Clothes Kit])</f>
        <v>0</v>
      </c>
      <c r="AG1192" s="294">
        <f>IF(NFI_Expiration=1,IF($A1192&lt;VLOOKUP(P$5,NFI,5,0),1,0)*Table_NFI[[#This Row],[Plastic Bucket]],Table_NFI[Plastic Bucket])</f>
        <v>0</v>
      </c>
      <c r="AH1192" s="294">
        <f>IF(NFI_Expiration=1,IF($A1192&lt;VLOOKUP(Q$5,NFI,5,0),1,0)*Table_NFI[[#This Row],[Plastic Mat]],Table_NFI[Plastic Mat])*IF(Table_NFI[[#This Row],[Distribution Date]]&gt;"2014-04-01",1,2.5)</f>
        <v>0</v>
      </c>
      <c r="AI1192" s="294">
        <f>IF(NFI_Expiration=1,IF($A1192&lt;VLOOKUP(R$5,NFI,5,0),1,0)*Table_NFI[[#This Row],[Winter Clothes Adult]],Table_NFI[Winter Clothes Adult])</f>
        <v>0</v>
      </c>
      <c r="AJ1192" s="294">
        <f>IF(NFI_Expiration=1,IF($A1192&lt;VLOOKUP(S$5,NFI,5,0),1,0)*Table_NFI[[#This Row],[Winter Clothes Children]],Table_NFI[Winter Clothes Children])</f>
        <v>0</v>
      </c>
      <c r="AK1192" s="294">
        <f>IF(NFI_Expiration=1,IF($A1192&lt;VLOOKUP(T$5,NFI,5,0),1,0)*Table_NFI[[#This Row],[Winter Items Other]],Table_NFI[Winter Items Other])</f>
        <v>0</v>
      </c>
      <c r="AL1192" s="294">
        <f>IF(NFI_Expiration=1,IF($A1192&lt;VLOOKUP(M$5,NFI,5,0),1,0)*Table_NFI[[#This Row],[Winter Blanket]],Table_NFI[[#This Row],[Winter Blanket]])</f>
        <v>0</v>
      </c>
      <c r="AM1192" s="294">
        <f>IF(Table_NFI[[#This Row],[Winter Clothes Adult]]+Table_NFI[[#This Row],[Winter Clothes Children]]+Table_NFI[[#This Row],[Winter Items Other]]+Table_NFI[[#This Row],[Winter Blanket]]&gt;0,1,0)</f>
        <v>0</v>
      </c>
      <c r="AN1192" s="331">
        <f>IF(NFI_Expiration=1,IF($A1192&lt;VLOOKUP(V$5,NFI,5,0),1,0)*Table_NFI[[#This Row],[Jerry Can]],Table_NFI[Jerry Can])</f>
        <v>0</v>
      </c>
      <c r="AO1192" s="331">
        <f>IF(NFI_Expiration=1,IF($A1192&lt;VLOOKUP(V$5,NFI,5,0),1,0)*Table_NFI[[#This Row],[Shelter Tool kit]],Table_NFI[Shelter Tool kit])</f>
        <v>0</v>
      </c>
      <c r="AP1192" s="331">
        <f>IF(NFI_Expiration=1,IF($A1192&lt;VLOOKUP(V$5,NFI,5,0),1,0)*Table_NFI[[#This Row],[Tent]],Table_NFI[Tent])</f>
        <v>0</v>
      </c>
      <c r="AQ1192" s="473" t="str">
        <f>IFERROR(VLOOKUP(Table_NFI[[#This Row],[Camp Name]],CL,2,0),"")</f>
        <v/>
      </c>
      <c r="AR1192" s="468" t="str">
        <f ca="1">IF(Table_NFI[[#This Row],[Pcode]]="","",IF(OFFSET(CampList[Opening Date],MATCH(Table_NFI[[#This Row],[Pcode]],CampList[CP_Pcode],0)-1,0,1,1)&gt;=NFI_Monitor_Date,1,0))</f>
        <v/>
      </c>
      <c r="AS1192" s="473" t="str">
        <f>IFERROR(VLOOKUP(Table_NFI[[#This Row],[Camp Name]],CL,3,0),"")</f>
        <v/>
      </c>
      <c r="AT1192" s="294" t="str">
        <f ca="1">IF(Table_NFI[[#This Row],[Pcode]]="","",OFFSET(CampList[Priority],MATCH(Table_NFI[[#This Row],[Pcode]],CampList[CP_Pcode],0)-1,0,1,1))</f>
        <v/>
      </c>
      <c r="AU1192" s="293" t="str">
        <f>IFERROR(Table_NFI[[#This Row],[Kitchen Set]]/VLOOKUP(Table_NFI[[#This Row],[Camp Name]],CL,4,0),"")</f>
        <v/>
      </c>
      <c r="AV1192" s="471"/>
      <c r="AW1192" s="474"/>
    </row>
    <row r="1193" spans="1:49" ht="14.45" customHeight="1" x14ac:dyDescent="0.25">
      <c r="A1193" s="297" t="str">
        <f t="shared" si="18"/>
        <v/>
      </c>
      <c r="B1193" s="465"/>
      <c r="C1193" s="466"/>
      <c r="D1193" s="466"/>
      <c r="E1193" s="466"/>
      <c r="F1193" s="466"/>
      <c r="G1193" s="466"/>
      <c r="H1193" s="291"/>
      <c r="I1193" s="291"/>
      <c r="J1193" s="291"/>
      <c r="K1193" s="291"/>
      <c r="L1193" s="292"/>
      <c r="M1193" s="292"/>
      <c r="N1193" s="292"/>
      <c r="O1193" s="292"/>
      <c r="P1193" s="294"/>
      <c r="Q1193" s="294"/>
      <c r="R1193" s="294"/>
      <c r="S1193" s="294"/>
      <c r="T1193" s="294"/>
      <c r="U1193" s="294"/>
      <c r="V1193" s="431"/>
      <c r="W1193" s="331"/>
      <c r="X1193" s="331"/>
      <c r="Y1193" s="294">
        <f>IF(NFI_Expiration=1,IF($A1193&lt;VLOOKUP(H$5,NFI,5,0),1,0)*Table_NFI[[#This Row],[Hygiene Kit]],Table_NFI[Hygiene Kit])</f>
        <v>0</v>
      </c>
      <c r="Z1193" s="294">
        <f>IF(NFI_Expiration=1,IF($A1193&lt;VLOOKUP(I$5,NFI,5,0),1,0)*Table_NFI[[#This Row],[NFI Core Kit]],Table_NFI[NFI Core Kit])</f>
        <v>0</v>
      </c>
      <c r="AA1193" s="294">
        <f>IF(NFI_Expiration=1,IF($A1193&lt;VLOOKUP(J$5,NFI,5,0),1,0)*Table_NFI[[#This Row],[Sanitary Kit]],Table_NFI[Sanitary Kit])</f>
        <v>0</v>
      </c>
      <c r="AB1193" s="294">
        <f>IF(NFI_Expiration=1,IF($A1193&lt;VLOOKUP(K$5,NFI,5,0),1,0)*Table_NFI[[#This Row],[Mosquito net]],Table_NFI[Mosquito net])</f>
        <v>0</v>
      </c>
      <c r="AC1193" s="294">
        <f>IF(NFI_Expiration=1,IF($A1193&lt;VLOOKUP(L$5,NFI,5,0),1,0)*Table_NFI[[#This Row],[Tarpaulin]],Table_NFI[[#This Row],[Tarpaulin]])</f>
        <v>0</v>
      </c>
      <c r="AD1193" s="294">
        <f>IF(NFI_Expiration=1,IF($A1193&lt;VLOOKUP(M$5,NFI,5,0),1,0)*Table_NFI[[#This Row],[Blanket]],Table_NFI[[#This Row],[Blanket]])</f>
        <v>0</v>
      </c>
      <c r="AE1193" s="294">
        <f>IF(NFI_Expiration=1,IF($A1193&lt;VLOOKUP(N$5,NFI,5,0),1,0)*Table_NFI[[#This Row],[Kitchen Set]],Table_NFI[Kitchen Set])</f>
        <v>0</v>
      </c>
      <c r="AF1193" s="294">
        <f>IF(NFI_Expiration=1,IF($A1193&lt;VLOOKUP(O$5,NFI,5,0),1,0)*Table_NFI[[#This Row],[Clothes Kit]],Table_NFI[Clothes Kit])</f>
        <v>0</v>
      </c>
      <c r="AG1193" s="294">
        <f>IF(NFI_Expiration=1,IF($A1193&lt;VLOOKUP(P$5,NFI,5,0),1,0)*Table_NFI[[#This Row],[Plastic Bucket]],Table_NFI[Plastic Bucket])</f>
        <v>0</v>
      </c>
      <c r="AH1193" s="294">
        <f>IF(NFI_Expiration=1,IF($A1193&lt;VLOOKUP(Q$5,NFI,5,0),1,0)*Table_NFI[[#This Row],[Plastic Mat]],Table_NFI[Plastic Mat])*IF(Table_NFI[[#This Row],[Distribution Date]]&gt;"2014-04-01",1,2.5)</f>
        <v>0</v>
      </c>
      <c r="AI1193" s="294">
        <f>IF(NFI_Expiration=1,IF($A1193&lt;VLOOKUP(R$5,NFI,5,0),1,0)*Table_NFI[[#This Row],[Winter Clothes Adult]],Table_NFI[Winter Clothes Adult])</f>
        <v>0</v>
      </c>
      <c r="AJ1193" s="294">
        <f>IF(NFI_Expiration=1,IF($A1193&lt;VLOOKUP(S$5,NFI,5,0),1,0)*Table_NFI[[#This Row],[Winter Clothes Children]],Table_NFI[Winter Clothes Children])</f>
        <v>0</v>
      </c>
      <c r="AK1193" s="294">
        <f>IF(NFI_Expiration=1,IF($A1193&lt;VLOOKUP(T$5,NFI,5,0),1,0)*Table_NFI[[#This Row],[Winter Items Other]],Table_NFI[Winter Items Other])</f>
        <v>0</v>
      </c>
      <c r="AL1193" s="294">
        <f>IF(NFI_Expiration=1,IF($A1193&lt;VLOOKUP(M$5,NFI,5,0),1,0)*Table_NFI[[#This Row],[Winter Blanket]],Table_NFI[[#This Row],[Winter Blanket]])</f>
        <v>0</v>
      </c>
      <c r="AM1193" s="294">
        <f>IF(Table_NFI[[#This Row],[Winter Clothes Adult]]+Table_NFI[[#This Row],[Winter Clothes Children]]+Table_NFI[[#This Row],[Winter Items Other]]+Table_NFI[[#This Row],[Winter Blanket]]&gt;0,1,0)</f>
        <v>0</v>
      </c>
      <c r="AN1193" s="331">
        <f>IF(NFI_Expiration=1,IF($A1193&lt;VLOOKUP(V$5,NFI,5,0),1,0)*Table_NFI[[#This Row],[Jerry Can]],Table_NFI[Jerry Can])</f>
        <v>0</v>
      </c>
      <c r="AO1193" s="331">
        <f>IF(NFI_Expiration=1,IF($A1193&lt;VLOOKUP(V$5,NFI,5,0),1,0)*Table_NFI[[#This Row],[Shelter Tool kit]],Table_NFI[Shelter Tool kit])</f>
        <v>0</v>
      </c>
      <c r="AP1193" s="331">
        <f>IF(NFI_Expiration=1,IF($A1193&lt;VLOOKUP(V$5,NFI,5,0),1,0)*Table_NFI[[#This Row],[Tent]],Table_NFI[Tent])</f>
        <v>0</v>
      </c>
      <c r="AQ1193" s="473" t="str">
        <f>IFERROR(VLOOKUP(Table_NFI[[#This Row],[Camp Name]],CL,2,0),"")</f>
        <v/>
      </c>
      <c r="AR1193" s="468" t="str">
        <f ca="1">IF(Table_NFI[[#This Row],[Pcode]]="","",IF(OFFSET(CampList[Opening Date],MATCH(Table_NFI[[#This Row],[Pcode]],CampList[CP_Pcode],0)-1,0,1,1)&gt;=NFI_Monitor_Date,1,0))</f>
        <v/>
      </c>
      <c r="AS1193" s="473" t="str">
        <f>IFERROR(VLOOKUP(Table_NFI[[#This Row],[Camp Name]],CL,3,0),"")</f>
        <v/>
      </c>
      <c r="AT1193" s="294" t="str">
        <f ca="1">IF(Table_NFI[[#This Row],[Pcode]]="","",OFFSET(CampList[Priority],MATCH(Table_NFI[[#This Row],[Pcode]],CampList[CP_Pcode],0)-1,0,1,1))</f>
        <v/>
      </c>
      <c r="AU1193" s="293" t="str">
        <f>IFERROR(Table_NFI[[#This Row],[Kitchen Set]]/VLOOKUP(Table_NFI[[#This Row],[Camp Name]],CL,4,0),"")</f>
        <v/>
      </c>
      <c r="AV1193" s="466"/>
      <c r="AW1193" s="469"/>
    </row>
    <row r="1194" spans="1:49" ht="14.45" customHeight="1" x14ac:dyDescent="0.25">
      <c r="A1194" s="297" t="str">
        <f t="shared" si="18"/>
        <v/>
      </c>
      <c r="B1194" s="465"/>
      <c r="C1194" s="466"/>
      <c r="D1194" s="466"/>
      <c r="E1194" s="466"/>
      <c r="F1194" s="466"/>
      <c r="G1194" s="466"/>
      <c r="H1194" s="291"/>
      <c r="I1194" s="291"/>
      <c r="J1194" s="291"/>
      <c r="K1194" s="291"/>
      <c r="L1194" s="292"/>
      <c r="M1194" s="292"/>
      <c r="N1194" s="292"/>
      <c r="O1194" s="292"/>
      <c r="P1194" s="294"/>
      <c r="Q1194" s="294"/>
      <c r="R1194" s="294"/>
      <c r="S1194" s="294"/>
      <c r="T1194" s="294"/>
      <c r="U1194" s="294"/>
      <c r="V1194" s="431"/>
      <c r="W1194" s="331"/>
      <c r="X1194" s="331"/>
      <c r="Y1194" s="294">
        <f>IF(NFI_Expiration=1,IF($A1194&lt;VLOOKUP(H$5,NFI,5,0),1,0)*Table_NFI[[#This Row],[Hygiene Kit]],Table_NFI[Hygiene Kit])</f>
        <v>0</v>
      </c>
      <c r="Z1194" s="294">
        <f>IF(NFI_Expiration=1,IF($A1194&lt;VLOOKUP(I$5,NFI,5,0),1,0)*Table_NFI[[#This Row],[NFI Core Kit]],Table_NFI[NFI Core Kit])</f>
        <v>0</v>
      </c>
      <c r="AA1194" s="294">
        <f>IF(NFI_Expiration=1,IF($A1194&lt;VLOOKUP(J$5,NFI,5,0),1,0)*Table_NFI[[#This Row],[Sanitary Kit]],Table_NFI[Sanitary Kit])</f>
        <v>0</v>
      </c>
      <c r="AB1194" s="294">
        <f>IF(NFI_Expiration=1,IF($A1194&lt;VLOOKUP(K$5,NFI,5,0),1,0)*Table_NFI[[#This Row],[Mosquito net]],Table_NFI[Mosquito net])</f>
        <v>0</v>
      </c>
      <c r="AC1194" s="294">
        <f>IF(NFI_Expiration=1,IF($A1194&lt;VLOOKUP(L$5,NFI,5,0),1,0)*Table_NFI[[#This Row],[Tarpaulin]],Table_NFI[[#This Row],[Tarpaulin]])</f>
        <v>0</v>
      </c>
      <c r="AD1194" s="294">
        <f>IF(NFI_Expiration=1,IF($A1194&lt;VLOOKUP(M$5,NFI,5,0),1,0)*Table_NFI[[#This Row],[Blanket]],Table_NFI[[#This Row],[Blanket]])</f>
        <v>0</v>
      </c>
      <c r="AE1194" s="294">
        <f>IF(NFI_Expiration=1,IF($A1194&lt;VLOOKUP(N$5,NFI,5,0),1,0)*Table_NFI[[#This Row],[Kitchen Set]],Table_NFI[Kitchen Set])</f>
        <v>0</v>
      </c>
      <c r="AF1194" s="294">
        <f>IF(NFI_Expiration=1,IF($A1194&lt;VLOOKUP(O$5,NFI,5,0),1,0)*Table_NFI[[#This Row],[Clothes Kit]],Table_NFI[Clothes Kit])</f>
        <v>0</v>
      </c>
      <c r="AG1194" s="294">
        <f>IF(NFI_Expiration=1,IF($A1194&lt;VLOOKUP(P$5,NFI,5,0),1,0)*Table_NFI[[#This Row],[Plastic Bucket]],Table_NFI[Plastic Bucket])</f>
        <v>0</v>
      </c>
      <c r="AH1194" s="294">
        <f>IF(NFI_Expiration=1,IF($A1194&lt;VLOOKUP(Q$5,NFI,5,0),1,0)*Table_NFI[[#This Row],[Plastic Mat]],Table_NFI[Plastic Mat])*IF(Table_NFI[[#This Row],[Distribution Date]]&gt;"2014-04-01",1,2.5)</f>
        <v>0</v>
      </c>
      <c r="AI1194" s="294">
        <f>IF(NFI_Expiration=1,IF($A1194&lt;VLOOKUP(R$5,NFI,5,0),1,0)*Table_NFI[[#This Row],[Winter Clothes Adult]],Table_NFI[Winter Clothes Adult])</f>
        <v>0</v>
      </c>
      <c r="AJ1194" s="294">
        <f>IF(NFI_Expiration=1,IF($A1194&lt;VLOOKUP(S$5,NFI,5,0),1,0)*Table_NFI[[#This Row],[Winter Clothes Children]],Table_NFI[Winter Clothes Children])</f>
        <v>0</v>
      </c>
      <c r="AK1194" s="294">
        <f>IF(NFI_Expiration=1,IF($A1194&lt;VLOOKUP(T$5,NFI,5,0),1,0)*Table_NFI[[#This Row],[Winter Items Other]],Table_NFI[Winter Items Other])</f>
        <v>0</v>
      </c>
      <c r="AL1194" s="294">
        <f>IF(NFI_Expiration=1,IF($A1194&lt;VLOOKUP(M$5,NFI,5,0),1,0)*Table_NFI[[#This Row],[Winter Blanket]],Table_NFI[[#This Row],[Winter Blanket]])</f>
        <v>0</v>
      </c>
      <c r="AM1194" s="294">
        <f>IF(Table_NFI[[#This Row],[Winter Clothes Adult]]+Table_NFI[[#This Row],[Winter Clothes Children]]+Table_NFI[[#This Row],[Winter Items Other]]+Table_NFI[[#This Row],[Winter Blanket]]&gt;0,1,0)</f>
        <v>0</v>
      </c>
      <c r="AN1194" s="331">
        <f>IF(NFI_Expiration=1,IF($A1194&lt;VLOOKUP(V$5,NFI,5,0),1,0)*Table_NFI[[#This Row],[Jerry Can]],Table_NFI[Jerry Can])</f>
        <v>0</v>
      </c>
      <c r="AO1194" s="331">
        <f>IF(NFI_Expiration=1,IF($A1194&lt;VLOOKUP(V$5,NFI,5,0),1,0)*Table_NFI[[#This Row],[Shelter Tool kit]],Table_NFI[Shelter Tool kit])</f>
        <v>0</v>
      </c>
      <c r="AP1194" s="331">
        <f>IF(NFI_Expiration=1,IF($A1194&lt;VLOOKUP(V$5,NFI,5,0),1,0)*Table_NFI[[#This Row],[Tent]],Table_NFI[Tent])</f>
        <v>0</v>
      </c>
      <c r="AQ1194" s="473" t="str">
        <f>IFERROR(VLOOKUP(Table_NFI[[#This Row],[Camp Name]],CL,2,0),"")</f>
        <v/>
      </c>
      <c r="AR1194" s="468" t="str">
        <f ca="1">IF(Table_NFI[[#This Row],[Pcode]]="","",IF(OFFSET(CampList[Opening Date],MATCH(Table_NFI[[#This Row],[Pcode]],CampList[CP_Pcode],0)-1,0,1,1)&gt;=NFI_Monitor_Date,1,0))</f>
        <v/>
      </c>
      <c r="AS1194" s="473" t="str">
        <f>IFERROR(VLOOKUP(Table_NFI[[#This Row],[Camp Name]],CL,3,0),"")</f>
        <v/>
      </c>
      <c r="AT1194" s="294" t="str">
        <f ca="1">IF(Table_NFI[[#This Row],[Pcode]]="","",OFFSET(CampList[Priority],MATCH(Table_NFI[[#This Row],[Pcode]],CampList[CP_Pcode],0)-1,0,1,1))</f>
        <v/>
      </c>
      <c r="AU1194" s="293" t="str">
        <f>IFERROR(Table_NFI[[#This Row],[Kitchen Set]]/VLOOKUP(Table_NFI[[#This Row],[Camp Name]],CL,4,0),"")</f>
        <v/>
      </c>
      <c r="AV1194" s="471"/>
      <c r="AW1194" s="486"/>
    </row>
    <row r="1195" spans="1:49" ht="14.45" customHeight="1" x14ac:dyDescent="0.25">
      <c r="A1195" s="297" t="str">
        <f t="shared" si="18"/>
        <v/>
      </c>
      <c r="B1195" s="465"/>
      <c r="C1195" s="466"/>
      <c r="D1195" s="466"/>
      <c r="E1195" s="466"/>
      <c r="F1195" s="466"/>
      <c r="G1195" s="466"/>
      <c r="H1195" s="291"/>
      <c r="I1195" s="291"/>
      <c r="J1195" s="291"/>
      <c r="K1195" s="291"/>
      <c r="L1195" s="292"/>
      <c r="M1195" s="292"/>
      <c r="N1195" s="292"/>
      <c r="O1195" s="292"/>
      <c r="P1195" s="294"/>
      <c r="Q1195" s="294"/>
      <c r="R1195" s="294"/>
      <c r="S1195" s="294"/>
      <c r="T1195" s="294"/>
      <c r="U1195" s="294"/>
      <c r="V1195" s="431"/>
      <c r="W1195" s="331"/>
      <c r="X1195" s="331"/>
      <c r="Y1195" s="294">
        <f>IF(NFI_Expiration=1,IF($A1195&lt;VLOOKUP(H$5,NFI,5,0),1,0)*Table_NFI[[#This Row],[Hygiene Kit]],Table_NFI[Hygiene Kit])</f>
        <v>0</v>
      </c>
      <c r="Z1195" s="294">
        <f>IF(NFI_Expiration=1,IF($A1195&lt;VLOOKUP(I$5,NFI,5,0),1,0)*Table_NFI[[#This Row],[NFI Core Kit]],Table_NFI[NFI Core Kit])</f>
        <v>0</v>
      </c>
      <c r="AA1195" s="294">
        <f>IF(NFI_Expiration=1,IF($A1195&lt;VLOOKUP(J$5,NFI,5,0),1,0)*Table_NFI[[#This Row],[Sanitary Kit]],Table_NFI[Sanitary Kit])</f>
        <v>0</v>
      </c>
      <c r="AB1195" s="294">
        <f>IF(NFI_Expiration=1,IF($A1195&lt;VLOOKUP(K$5,NFI,5,0),1,0)*Table_NFI[[#This Row],[Mosquito net]],Table_NFI[Mosquito net])</f>
        <v>0</v>
      </c>
      <c r="AC1195" s="294">
        <f>IF(NFI_Expiration=1,IF($A1195&lt;VLOOKUP(L$5,NFI,5,0),1,0)*Table_NFI[[#This Row],[Tarpaulin]],Table_NFI[[#This Row],[Tarpaulin]])</f>
        <v>0</v>
      </c>
      <c r="AD1195" s="294">
        <f>IF(NFI_Expiration=1,IF($A1195&lt;VLOOKUP(M$5,NFI,5,0),1,0)*Table_NFI[[#This Row],[Blanket]],Table_NFI[[#This Row],[Blanket]])</f>
        <v>0</v>
      </c>
      <c r="AE1195" s="294">
        <f>IF(NFI_Expiration=1,IF($A1195&lt;VLOOKUP(N$5,NFI,5,0),1,0)*Table_NFI[[#This Row],[Kitchen Set]],Table_NFI[Kitchen Set])</f>
        <v>0</v>
      </c>
      <c r="AF1195" s="294">
        <f>IF(NFI_Expiration=1,IF($A1195&lt;VLOOKUP(O$5,NFI,5,0),1,0)*Table_NFI[[#This Row],[Clothes Kit]],Table_NFI[Clothes Kit])</f>
        <v>0</v>
      </c>
      <c r="AG1195" s="294">
        <f>IF(NFI_Expiration=1,IF($A1195&lt;VLOOKUP(P$5,NFI,5,0),1,0)*Table_NFI[[#This Row],[Plastic Bucket]],Table_NFI[Plastic Bucket])</f>
        <v>0</v>
      </c>
      <c r="AH1195" s="294">
        <f>IF(NFI_Expiration=1,IF($A1195&lt;VLOOKUP(Q$5,NFI,5,0),1,0)*Table_NFI[[#This Row],[Plastic Mat]],Table_NFI[Plastic Mat])*IF(Table_NFI[[#This Row],[Distribution Date]]&gt;"2014-04-01",1,2.5)</f>
        <v>0</v>
      </c>
      <c r="AI1195" s="294">
        <f>IF(NFI_Expiration=1,IF($A1195&lt;VLOOKUP(R$5,NFI,5,0),1,0)*Table_NFI[[#This Row],[Winter Clothes Adult]],Table_NFI[Winter Clothes Adult])</f>
        <v>0</v>
      </c>
      <c r="AJ1195" s="294">
        <f>IF(NFI_Expiration=1,IF($A1195&lt;VLOOKUP(S$5,NFI,5,0),1,0)*Table_NFI[[#This Row],[Winter Clothes Children]],Table_NFI[Winter Clothes Children])</f>
        <v>0</v>
      </c>
      <c r="AK1195" s="294">
        <f>IF(NFI_Expiration=1,IF($A1195&lt;VLOOKUP(T$5,NFI,5,0),1,0)*Table_NFI[[#This Row],[Winter Items Other]],Table_NFI[Winter Items Other])</f>
        <v>0</v>
      </c>
      <c r="AL1195" s="294">
        <f>IF(NFI_Expiration=1,IF($A1195&lt;VLOOKUP(M$5,NFI,5,0),1,0)*Table_NFI[[#This Row],[Winter Blanket]],Table_NFI[[#This Row],[Winter Blanket]])</f>
        <v>0</v>
      </c>
      <c r="AM1195" s="294">
        <f>IF(Table_NFI[[#This Row],[Winter Clothes Adult]]+Table_NFI[[#This Row],[Winter Clothes Children]]+Table_NFI[[#This Row],[Winter Items Other]]+Table_NFI[[#This Row],[Winter Blanket]]&gt;0,1,0)</f>
        <v>0</v>
      </c>
      <c r="AN1195" s="331">
        <f>IF(NFI_Expiration=1,IF($A1195&lt;VLOOKUP(V$5,NFI,5,0),1,0)*Table_NFI[[#This Row],[Jerry Can]],Table_NFI[Jerry Can])</f>
        <v>0</v>
      </c>
      <c r="AO1195" s="331">
        <f>IF(NFI_Expiration=1,IF($A1195&lt;VLOOKUP(V$5,NFI,5,0),1,0)*Table_NFI[[#This Row],[Shelter Tool kit]],Table_NFI[Shelter Tool kit])</f>
        <v>0</v>
      </c>
      <c r="AP1195" s="331">
        <f>IF(NFI_Expiration=1,IF($A1195&lt;VLOOKUP(V$5,NFI,5,0),1,0)*Table_NFI[[#This Row],[Tent]],Table_NFI[Tent])</f>
        <v>0</v>
      </c>
      <c r="AQ1195" s="473" t="str">
        <f>IFERROR(VLOOKUP(Table_NFI[[#This Row],[Camp Name]],CL,2,0),"")</f>
        <v/>
      </c>
      <c r="AR1195" s="468" t="str">
        <f ca="1">IF(Table_NFI[[#This Row],[Pcode]]="","",IF(OFFSET(CampList[Opening Date],MATCH(Table_NFI[[#This Row],[Pcode]],CampList[CP_Pcode],0)-1,0,1,1)&gt;=NFI_Monitor_Date,1,0))</f>
        <v/>
      </c>
      <c r="AS1195" s="473" t="str">
        <f>IFERROR(VLOOKUP(Table_NFI[[#This Row],[Camp Name]],CL,3,0),"")</f>
        <v/>
      </c>
      <c r="AT1195" s="294" t="str">
        <f ca="1">IF(Table_NFI[[#This Row],[Pcode]]="","",OFFSET(CampList[Priority],MATCH(Table_NFI[[#This Row],[Pcode]],CampList[CP_Pcode],0)-1,0,1,1))</f>
        <v/>
      </c>
      <c r="AU1195" s="293" t="str">
        <f>IFERROR(Table_NFI[[#This Row],[Kitchen Set]]/VLOOKUP(Table_NFI[[#This Row],[Camp Name]],CL,4,0),"")</f>
        <v/>
      </c>
      <c r="AV1195" s="471"/>
      <c r="AW1195" s="486"/>
    </row>
    <row r="1196" spans="1:49" ht="14.45" customHeight="1" x14ac:dyDescent="0.25">
      <c r="A1196" s="297" t="str">
        <f t="shared" si="18"/>
        <v/>
      </c>
      <c r="B1196" s="465"/>
      <c r="C1196" s="466"/>
      <c r="D1196" s="466"/>
      <c r="E1196" s="466"/>
      <c r="F1196" s="466"/>
      <c r="G1196" s="466"/>
      <c r="H1196" s="291"/>
      <c r="I1196" s="294"/>
      <c r="J1196" s="291"/>
      <c r="K1196" s="291"/>
      <c r="L1196" s="292"/>
      <c r="M1196" s="292"/>
      <c r="N1196" s="292"/>
      <c r="O1196" s="292"/>
      <c r="P1196" s="294"/>
      <c r="Q1196" s="294"/>
      <c r="R1196" s="294"/>
      <c r="S1196" s="294"/>
      <c r="T1196" s="294"/>
      <c r="U1196" s="294"/>
      <c r="V1196" s="431"/>
      <c r="W1196" s="331"/>
      <c r="X1196" s="331"/>
      <c r="Y1196" s="294">
        <f>IF(NFI_Expiration=1,IF($A1196&lt;VLOOKUP(H$5,NFI,5,0),1,0)*Table_NFI[[#This Row],[Hygiene Kit]],Table_NFI[Hygiene Kit])</f>
        <v>0</v>
      </c>
      <c r="Z1196" s="294">
        <f>IF(NFI_Expiration=1,IF($A1196&lt;VLOOKUP(I$5,NFI,5,0),1,0)*Table_NFI[[#This Row],[NFI Core Kit]],Table_NFI[NFI Core Kit])</f>
        <v>0</v>
      </c>
      <c r="AA1196" s="294">
        <f>IF(NFI_Expiration=1,IF($A1196&lt;VLOOKUP(J$5,NFI,5,0),1,0)*Table_NFI[[#This Row],[Sanitary Kit]],Table_NFI[Sanitary Kit])</f>
        <v>0</v>
      </c>
      <c r="AB1196" s="294">
        <f>IF(NFI_Expiration=1,IF($A1196&lt;VLOOKUP(K$5,NFI,5,0),1,0)*Table_NFI[[#This Row],[Mosquito net]],Table_NFI[Mosquito net])</f>
        <v>0</v>
      </c>
      <c r="AC1196" s="294">
        <f>IF(NFI_Expiration=1,IF($A1196&lt;VLOOKUP(L$5,NFI,5,0),1,0)*Table_NFI[[#This Row],[Tarpaulin]],Table_NFI[[#This Row],[Tarpaulin]])</f>
        <v>0</v>
      </c>
      <c r="AD1196" s="294">
        <f>IF(NFI_Expiration=1,IF($A1196&lt;VLOOKUP(M$5,NFI,5,0),1,0)*Table_NFI[[#This Row],[Blanket]],Table_NFI[[#This Row],[Blanket]])</f>
        <v>0</v>
      </c>
      <c r="AE1196" s="294">
        <f>IF(NFI_Expiration=1,IF($A1196&lt;VLOOKUP(N$5,NFI,5,0),1,0)*Table_NFI[[#This Row],[Kitchen Set]],Table_NFI[Kitchen Set])</f>
        <v>0</v>
      </c>
      <c r="AF1196" s="294">
        <f>IF(NFI_Expiration=1,IF($A1196&lt;VLOOKUP(O$5,NFI,5,0),1,0)*Table_NFI[[#This Row],[Clothes Kit]],Table_NFI[Clothes Kit])</f>
        <v>0</v>
      </c>
      <c r="AG1196" s="294">
        <f>IF(NFI_Expiration=1,IF($A1196&lt;VLOOKUP(P$5,NFI,5,0),1,0)*Table_NFI[[#This Row],[Plastic Bucket]],Table_NFI[Plastic Bucket])</f>
        <v>0</v>
      </c>
      <c r="AH1196" s="294">
        <f>IF(NFI_Expiration=1,IF($A1196&lt;VLOOKUP(Q$5,NFI,5,0),1,0)*Table_NFI[[#This Row],[Plastic Mat]],Table_NFI[Plastic Mat])*IF(Table_NFI[[#This Row],[Distribution Date]]&gt;"2014-04-01",1,2.5)</f>
        <v>0</v>
      </c>
      <c r="AI1196" s="294">
        <f>IF(NFI_Expiration=1,IF($A1196&lt;VLOOKUP(R$5,NFI,5,0),1,0)*Table_NFI[[#This Row],[Winter Clothes Adult]],Table_NFI[Winter Clothes Adult])</f>
        <v>0</v>
      </c>
      <c r="AJ1196" s="294">
        <f>IF(NFI_Expiration=1,IF($A1196&lt;VLOOKUP(S$5,NFI,5,0),1,0)*Table_NFI[[#This Row],[Winter Clothes Children]],Table_NFI[Winter Clothes Children])</f>
        <v>0</v>
      </c>
      <c r="AK1196" s="294">
        <f>IF(NFI_Expiration=1,IF($A1196&lt;VLOOKUP(T$5,NFI,5,0),1,0)*Table_NFI[[#This Row],[Winter Items Other]],Table_NFI[Winter Items Other])</f>
        <v>0</v>
      </c>
      <c r="AL1196" s="294">
        <f>IF(NFI_Expiration=1,IF($A1196&lt;VLOOKUP(M$5,NFI,5,0),1,0)*Table_NFI[[#This Row],[Winter Blanket]],Table_NFI[[#This Row],[Winter Blanket]])</f>
        <v>0</v>
      </c>
      <c r="AM1196" s="294">
        <f>IF(Table_NFI[[#This Row],[Winter Clothes Adult]]+Table_NFI[[#This Row],[Winter Clothes Children]]+Table_NFI[[#This Row],[Winter Items Other]]+Table_NFI[[#This Row],[Winter Blanket]]&gt;0,1,0)</f>
        <v>0</v>
      </c>
      <c r="AN1196" s="331">
        <f>IF(NFI_Expiration=1,IF($A1196&lt;VLOOKUP(V$5,NFI,5,0),1,0)*Table_NFI[[#This Row],[Jerry Can]],Table_NFI[Jerry Can])</f>
        <v>0</v>
      </c>
      <c r="AO1196" s="331">
        <f>IF(NFI_Expiration=1,IF($A1196&lt;VLOOKUP(V$5,NFI,5,0),1,0)*Table_NFI[[#This Row],[Shelter Tool kit]],Table_NFI[Shelter Tool kit])</f>
        <v>0</v>
      </c>
      <c r="AP1196" s="331">
        <f>IF(NFI_Expiration=1,IF($A1196&lt;VLOOKUP(V$5,NFI,5,0),1,0)*Table_NFI[[#This Row],[Tent]],Table_NFI[Tent])</f>
        <v>0</v>
      </c>
      <c r="AQ1196" s="473" t="str">
        <f>IFERROR(VLOOKUP(Table_NFI[[#This Row],[Camp Name]],CL,2,0),"")</f>
        <v/>
      </c>
      <c r="AR1196" s="468" t="str">
        <f ca="1">IF(Table_NFI[[#This Row],[Pcode]]="","",IF(OFFSET(CampList[Opening Date],MATCH(Table_NFI[[#This Row],[Pcode]],CampList[CP_Pcode],0)-1,0,1,1)&gt;=NFI_Monitor_Date,1,0))</f>
        <v/>
      </c>
      <c r="AS1196" s="473" t="str">
        <f>IFERROR(VLOOKUP(Table_NFI[[#This Row],[Camp Name]],CL,3,0),"")</f>
        <v/>
      </c>
      <c r="AT1196" s="294" t="str">
        <f ca="1">IF(Table_NFI[[#This Row],[Pcode]]="","",OFFSET(CampList[Priority],MATCH(Table_NFI[[#This Row],[Pcode]],CampList[CP_Pcode],0)-1,0,1,1))</f>
        <v/>
      </c>
      <c r="AU1196" s="293" t="str">
        <f>IFERROR(Table_NFI[[#This Row],[Kitchen Set]]/VLOOKUP(Table_NFI[[#This Row],[Camp Name]],CL,4,0),"")</f>
        <v/>
      </c>
      <c r="AV1196" s="466"/>
      <c r="AW1196" s="469"/>
    </row>
    <row r="1197" spans="1:49" ht="14.45" customHeight="1" x14ac:dyDescent="0.25">
      <c r="A1197" s="297" t="str">
        <f t="shared" si="18"/>
        <v/>
      </c>
      <c r="B1197" s="465"/>
      <c r="C1197" s="471"/>
      <c r="D1197" s="471"/>
      <c r="E1197" s="471"/>
      <c r="F1197" s="471"/>
      <c r="G1197" s="471"/>
      <c r="H1197" s="292"/>
      <c r="I1197" s="292"/>
      <c r="J1197" s="292"/>
      <c r="K1197" s="292"/>
      <c r="L1197" s="292"/>
      <c r="M1197" s="292"/>
      <c r="N1197" s="292"/>
      <c r="O1197" s="292"/>
      <c r="P1197" s="294"/>
      <c r="Q1197" s="294"/>
      <c r="R1197" s="294"/>
      <c r="S1197" s="294"/>
      <c r="T1197" s="294"/>
      <c r="U1197" s="294"/>
      <c r="V1197" s="431"/>
      <c r="W1197" s="331"/>
      <c r="X1197" s="331"/>
      <c r="Y1197" s="294">
        <f>IF(NFI_Expiration=1,IF($A1197&lt;VLOOKUP(H$5,NFI,5,0),1,0)*Table_NFI[[#This Row],[Hygiene Kit]],Table_NFI[Hygiene Kit])</f>
        <v>0</v>
      </c>
      <c r="Z1197" s="294">
        <f>IF(NFI_Expiration=1,IF($A1197&lt;VLOOKUP(I$5,NFI,5,0),1,0)*Table_NFI[[#This Row],[NFI Core Kit]],Table_NFI[NFI Core Kit])</f>
        <v>0</v>
      </c>
      <c r="AA1197" s="294">
        <f>IF(NFI_Expiration=1,IF($A1197&lt;VLOOKUP(J$5,NFI,5,0),1,0)*Table_NFI[[#This Row],[Sanitary Kit]],Table_NFI[Sanitary Kit])</f>
        <v>0</v>
      </c>
      <c r="AB1197" s="294">
        <f>IF(NFI_Expiration=1,IF($A1197&lt;VLOOKUP(K$5,NFI,5,0),1,0)*Table_NFI[[#This Row],[Mosquito net]],Table_NFI[Mosquito net])</f>
        <v>0</v>
      </c>
      <c r="AC1197" s="294">
        <f>IF(NFI_Expiration=1,IF($A1197&lt;VLOOKUP(L$5,NFI,5,0),1,0)*Table_NFI[[#This Row],[Tarpaulin]],Table_NFI[[#This Row],[Tarpaulin]])</f>
        <v>0</v>
      </c>
      <c r="AD1197" s="294">
        <f>IF(NFI_Expiration=1,IF($A1197&lt;VLOOKUP(M$5,NFI,5,0),1,0)*Table_NFI[[#This Row],[Blanket]],Table_NFI[[#This Row],[Blanket]])</f>
        <v>0</v>
      </c>
      <c r="AE1197" s="294">
        <f>IF(NFI_Expiration=1,IF($A1197&lt;VLOOKUP(N$5,NFI,5,0),1,0)*Table_NFI[[#This Row],[Kitchen Set]],Table_NFI[Kitchen Set])</f>
        <v>0</v>
      </c>
      <c r="AF1197" s="294">
        <f>IF(NFI_Expiration=1,IF($A1197&lt;VLOOKUP(O$5,NFI,5,0),1,0)*Table_NFI[[#This Row],[Clothes Kit]],Table_NFI[Clothes Kit])</f>
        <v>0</v>
      </c>
      <c r="AG1197" s="294">
        <f>IF(NFI_Expiration=1,IF($A1197&lt;VLOOKUP(P$5,NFI,5,0),1,0)*Table_NFI[[#This Row],[Plastic Bucket]],Table_NFI[Plastic Bucket])</f>
        <v>0</v>
      </c>
      <c r="AH1197" s="294">
        <f>IF(NFI_Expiration=1,IF($A1197&lt;VLOOKUP(Q$5,NFI,5,0),1,0)*Table_NFI[[#This Row],[Plastic Mat]],Table_NFI[Plastic Mat])*IF(Table_NFI[[#This Row],[Distribution Date]]&gt;"2014-04-01",1,2.5)</f>
        <v>0</v>
      </c>
      <c r="AI1197" s="294">
        <f>IF(NFI_Expiration=1,IF($A1197&lt;VLOOKUP(R$5,NFI,5,0),1,0)*Table_NFI[[#This Row],[Winter Clothes Adult]],Table_NFI[Winter Clothes Adult])</f>
        <v>0</v>
      </c>
      <c r="AJ1197" s="294">
        <f>IF(NFI_Expiration=1,IF($A1197&lt;VLOOKUP(S$5,NFI,5,0),1,0)*Table_NFI[[#This Row],[Winter Clothes Children]],Table_NFI[Winter Clothes Children])</f>
        <v>0</v>
      </c>
      <c r="AK1197" s="294">
        <f>IF(NFI_Expiration=1,IF($A1197&lt;VLOOKUP(T$5,NFI,5,0),1,0)*Table_NFI[[#This Row],[Winter Items Other]],Table_NFI[Winter Items Other])</f>
        <v>0</v>
      </c>
      <c r="AL1197" s="294">
        <f>IF(NFI_Expiration=1,IF($A1197&lt;VLOOKUP(M$5,NFI,5,0),1,0)*Table_NFI[[#This Row],[Winter Blanket]],Table_NFI[[#This Row],[Winter Blanket]])</f>
        <v>0</v>
      </c>
      <c r="AM1197" s="294">
        <f>IF(Table_NFI[[#This Row],[Winter Clothes Adult]]+Table_NFI[[#This Row],[Winter Clothes Children]]+Table_NFI[[#This Row],[Winter Items Other]]+Table_NFI[[#This Row],[Winter Blanket]]&gt;0,1,0)</f>
        <v>0</v>
      </c>
      <c r="AN1197" s="331">
        <f>IF(NFI_Expiration=1,IF($A1197&lt;VLOOKUP(V$5,NFI,5,0),1,0)*Table_NFI[[#This Row],[Jerry Can]],Table_NFI[Jerry Can])</f>
        <v>0</v>
      </c>
      <c r="AO1197" s="331">
        <f>IF(NFI_Expiration=1,IF($A1197&lt;VLOOKUP(V$5,NFI,5,0),1,0)*Table_NFI[[#This Row],[Shelter Tool kit]],Table_NFI[Shelter Tool kit])</f>
        <v>0</v>
      </c>
      <c r="AP1197" s="331">
        <f>IF(NFI_Expiration=1,IF($A1197&lt;VLOOKUP(V$5,NFI,5,0),1,0)*Table_NFI[[#This Row],[Tent]],Table_NFI[Tent])</f>
        <v>0</v>
      </c>
      <c r="AQ1197" s="473" t="str">
        <f>IFERROR(VLOOKUP(Table_NFI[[#This Row],[Camp Name]],CL,2,0),"")</f>
        <v/>
      </c>
      <c r="AR1197" s="468" t="str">
        <f ca="1">IF(Table_NFI[[#This Row],[Pcode]]="","",IF(OFFSET(CampList[Opening Date],MATCH(Table_NFI[[#This Row],[Pcode]],CampList[CP_Pcode],0)-1,0,1,1)&gt;=NFI_Monitor_Date,1,0))</f>
        <v/>
      </c>
      <c r="AS1197" s="473" t="str">
        <f>IFERROR(VLOOKUP(Table_NFI[[#This Row],[Camp Name]],CL,3,0),"")</f>
        <v/>
      </c>
      <c r="AT1197" s="294" t="str">
        <f ca="1">IF(Table_NFI[[#This Row],[Pcode]]="","",OFFSET(CampList[Priority],MATCH(Table_NFI[[#This Row],[Pcode]],CampList[CP_Pcode],0)-1,0,1,1))</f>
        <v/>
      </c>
      <c r="AU1197" s="293" t="str">
        <f>IFERROR(Table_NFI[[#This Row],[Kitchen Set]]/VLOOKUP(Table_NFI[[#This Row],[Camp Name]],CL,4,0),"")</f>
        <v/>
      </c>
      <c r="AV1197" s="471"/>
      <c r="AW1197" s="474"/>
    </row>
    <row r="1198" spans="1:49" ht="14.45" customHeight="1" x14ac:dyDescent="0.25">
      <c r="A1198" s="297" t="str">
        <f t="shared" si="18"/>
        <v/>
      </c>
      <c r="B1198" s="465"/>
      <c r="C1198" s="471"/>
      <c r="D1198" s="471"/>
      <c r="E1198" s="471"/>
      <c r="F1198" s="471"/>
      <c r="G1198" s="471"/>
      <c r="H1198" s="292"/>
      <c r="I1198" s="292"/>
      <c r="J1198" s="292"/>
      <c r="K1198" s="292"/>
      <c r="L1198" s="292"/>
      <c r="M1198" s="292"/>
      <c r="N1198" s="292"/>
      <c r="O1198" s="292"/>
      <c r="P1198" s="294"/>
      <c r="Q1198" s="294"/>
      <c r="R1198" s="294"/>
      <c r="S1198" s="294"/>
      <c r="T1198" s="294"/>
      <c r="U1198" s="294"/>
      <c r="V1198" s="431"/>
      <c r="W1198" s="331"/>
      <c r="X1198" s="331"/>
      <c r="Y1198" s="294">
        <f>IF(NFI_Expiration=1,IF($A1198&lt;VLOOKUP(H$5,NFI,5,0),1,0)*Table_NFI[[#This Row],[Hygiene Kit]],Table_NFI[Hygiene Kit])</f>
        <v>0</v>
      </c>
      <c r="Z1198" s="294">
        <f>IF(NFI_Expiration=1,IF($A1198&lt;VLOOKUP(I$5,NFI,5,0),1,0)*Table_NFI[[#This Row],[NFI Core Kit]],Table_NFI[NFI Core Kit])</f>
        <v>0</v>
      </c>
      <c r="AA1198" s="294">
        <f>IF(NFI_Expiration=1,IF($A1198&lt;VLOOKUP(J$5,NFI,5,0),1,0)*Table_NFI[[#This Row],[Sanitary Kit]],Table_NFI[Sanitary Kit])</f>
        <v>0</v>
      </c>
      <c r="AB1198" s="294">
        <f>IF(NFI_Expiration=1,IF($A1198&lt;VLOOKUP(K$5,NFI,5,0),1,0)*Table_NFI[[#This Row],[Mosquito net]],Table_NFI[Mosquito net])</f>
        <v>0</v>
      </c>
      <c r="AC1198" s="294">
        <f>IF(NFI_Expiration=1,IF($A1198&lt;VLOOKUP(L$5,NFI,5,0),1,0)*Table_NFI[[#This Row],[Tarpaulin]],Table_NFI[[#This Row],[Tarpaulin]])</f>
        <v>0</v>
      </c>
      <c r="AD1198" s="294">
        <f>IF(NFI_Expiration=1,IF($A1198&lt;VLOOKUP(M$5,NFI,5,0),1,0)*Table_NFI[[#This Row],[Blanket]],Table_NFI[[#This Row],[Blanket]])</f>
        <v>0</v>
      </c>
      <c r="AE1198" s="294">
        <f>IF(NFI_Expiration=1,IF($A1198&lt;VLOOKUP(N$5,NFI,5,0),1,0)*Table_NFI[[#This Row],[Kitchen Set]],Table_NFI[Kitchen Set])</f>
        <v>0</v>
      </c>
      <c r="AF1198" s="294">
        <f>IF(NFI_Expiration=1,IF($A1198&lt;VLOOKUP(O$5,NFI,5,0),1,0)*Table_NFI[[#This Row],[Clothes Kit]],Table_NFI[Clothes Kit])</f>
        <v>0</v>
      </c>
      <c r="AG1198" s="294">
        <f>IF(NFI_Expiration=1,IF($A1198&lt;VLOOKUP(P$5,NFI,5,0),1,0)*Table_NFI[[#This Row],[Plastic Bucket]],Table_NFI[Plastic Bucket])</f>
        <v>0</v>
      </c>
      <c r="AH1198" s="294">
        <f>IF(NFI_Expiration=1,IF($A1198&lt;VLOOKUP(Q$5,NFI,5,0),1,0)*Table_NFI[[#This Row],[Plastic Mat]],Table_NFI[Plastic Mat])*IF(Table_NFI[[#This Row],[Distribution Date]]&gt;"2014-04-01",1,2.5)</f>
        <v>0</v>
      </c>
      <c r="AI1198" s="294">
        <f>IF(NFI_Expiration=1,IF($A1198&lt;VLOOKUP(R$5,NFI,5,0),1,0)*Table_NFI[[#This Row],[Winter Clothes Adult]],Table_NFI[Winter Clothes Adult])</f>
        <v>0</v>
      </c>
      <c r="AJ1198" s="294">
        <f>IF(NFI_Expiration=1,IF($A1198&lt;VLOOKUP(S$5,NFI,5,0),1,0)*Table_NFI[[#This Row],[Winter Clothes Children]],Table_NFI[Winter Clothes Children])</f>
        <v>0</v>
      </c>
      <c r="AK1198" s="294">
        <f>IF(NFI_Expiration=1,IF($A1198&lt;VLOOKUP(T$5,NFI,5,0),1,0)*Table_NFI[[#This Row],[Winter Items Other]],Table_NFI[Winter Items Other])</f>
        <v>0</v>
      </c>
      <c r="AL1198" s="294">
        <f>IF(NFI_Expiration=1,IF($A1198&lt;VLOOKUP(M$5,NFI,5,0),1,0)*Table_NFI[[#This Row],[Winter Blanket]],Table_NFI[[#This Row],[Winter Blanket]])</f>
        <v>0</v>
      </c>
      <c r="AM1198" s="294">
        <f>IF(Table_NFI[[#This Row],[Winter Clothes Adult]]+Table_NFI[[#This Row],[Winter Clothes Children]]+Table_NFI[[#This Row],[Winter Items Other]]+Table_NFI[[#This Row],[Winter Blanket]]&gt;0,1,0)</f>
        <v>0</v>
      </c>
      <c r="AN1198" s="331">
        <f>IF(NFI_Expiration=1,IF($A1198&lt;VLOOKUP(V$5,NFI,5,0),1,0)*Table_NFI[[#This Row],[Jerry Can]],Table_NFI[Jerry Can])</f>
        <v>0</v>
      </c>
      <c r="AO1198" s="331">
        <f>IF(NFI_Expiration=1,IF($A1198&lt;VLOOKUP(V$5,NFI,5,0),1,0)*Table_NFI[[#This Row],[Shelter Tool kit]],Table_NFI[Shelter Tool kit])</f>
        <v>0</v>
      </c>
      <c r="AP1198" s="331">
        <f>IF(NFI_Expiration=1,IF($A1198&lt;VLOOKUP(V$5,NFI,5,0),1,0)*Table_NFI[[#This Row],[Tent]],Table_NFI[Tent])</f>
        <v>0</v>
      </c>
      <c r="AQ1198" s="473" t="str">
        <f>IFERROR(VLOOKUP(Table_NFI[[#This Row],[Camp Name]],CL,2,0),"")</f>
        <v/>
      </c>
      <c r="AR1198" s="468" t="str">
        <f ca="1">IF(Table_NFI[[#This Row],[Pcode]]="","",IF(OFFSET(CampList[Opening Date],MATCH(Table_NFI[[#This Row],[Pcode]],CampList[CP_Pcode],0)-1,0,1,1)&gt;=NFI_Monitor_Date,1,0))</f>
        <v/>
      </c>
      <c r="AS1198" s="473" t="str">
        <f>IFERROR(VLOOKUP(Table_NFI[[#This Row],[Camp Name]],CL,3,0),"")</f>
        <v/>
      </c>
      <c r="AT1198" s="294" t="str">
        <f ca="1">IF(Table_NFI[[#This Row],[Pcode]]="","",OFFSET(CampList[Priority],MATCH(Table_NFI[[#This Row],[Pcode]],CampList[CP_Pcode],0)-1,0,1,1))</f>
        <v/>
      </c>
      <c r="AU1198" s="293" t="str">
        <f>IFERROR(Table_NFI[[#This Row],[Kitchen Set]]/VLOOKUP(Table_NFI[[#This Row],[Camp Name]],CL,4,0),"")</f>
        <v/>
      </c>
      <c r="AV1198" s="471"/>
      <c r="AW1198" s="469"/>
    </row>
    <row r="1199" spans="1:49" ht="14.45" customHeight="1" x14ac:dyDescent="0.25">
      <c r="A1199" s="297" t="str">
        <f t="shared" si="18"/>
        <v/>
      </c>
      <c r="B1199" s="465"/>
      <c r="C1199" s="471"/>
      <c r="D1199" s="471"/>
      <c r="E1199" s="471"/>
      <c r="F1199" s="471"/>
      <c r="G1199" s="471"/>
      <c r="H1199" s="292"/>
      <c r="I1199" s="292"/>
      <c r="J1199" s="292"/>
      <c r="K1199" s="292"/>
      <c r="L1199" s="292"/>
      <c r="M1199" s="292"/>
      <c r="N1199" s="292"/>
      <c r="O1199" s="292"/>
      <c r="P1199" s="294"/>
      <c r="Q1199" s="294"/>
      <c r="R1199" s="294"/>
      <c r="S1199" s="294"/>
      <c r="T1199" s="294"/>
      <c r="U1199" s="294"/>
      <c r="V1199" s="431"/>
      <c r="W1199" s="331"/>
      <c r="X1199" s="331"/>
      <c r="Y1199" s="294">
        <f>IF(NFI_Expiration=1,IF($A1199&lt;VLOOKUP(H$5,NFI,5,0),1,0)*Table_NFI[[#This Row],[Hygiene Kit]],Table_NFI[Hygiene Kit])</f>
        <v>0</v>
      </c>
      <c r="Z1199" s="294">
        <f>IF(NFI_Expiration=1,IF($A1199&lt;VLOOKUP(I$5,NFI,5,0),1,0)*Table_NFI[[#This Row],[NFI Core Kit]],Table_NFI[NFI Core Kit])</f>
        <v>0</v>
      </c>
      <c r="AA1199" s="294">
        <f>IF(NFI_Expiration=1,IF($A1199&lt;VLOOKUP(J$5,NFI,5,0),1,0)*Table_NFI[[#This Row],[Sanitary Kit]],Table_NFI[Sanitary Kit])</f>
        <v>0</v>
      </c>
      <c r="AB1199" s="294">
        <f>IF(NFI_Expiration=1,IF($A1199&lt;VLOOKUP(K$5,NFI,5,0),1,0)*Table_NFI[[#This Row],[Mosquito net]],Table_NFI[Mosquito net])</f>
        <v>0</v>
      </c>
      <c r="AC1199" s="294">
        <f>IF(NFI_Expiration=1,IF($A1199&lt;VLOOKUP(L$5,NFI,5,0),1,0)*Table_NFI[[#This Row],[Tarpaulin]],Table_NFI[[#This Row],[Tarpaulin]])</f>
        <v>0</v>
      </c>
      <c r="AD1199" s="294">
        <f>IF(NFI_Expiration=1,IF($A1199&lt;VLOOKUP(M$5,NFI,5,0),1,0)*Table_NFI[[#This Row],[Blanket]],Table_NFI[[#This Row],[Blanket]])</f>
        <v>0</v>
      </c>
      <c r="AE1199" s="294">
        <f>IF(NFI_Expiration=1,IF($A1199&lt;VLOOKUP(N$5,NFI,5,0),1,0)*Table_NFI[[#This Row],[Kitchen Set]],Table_NFI[Kitchen Set])</f>
        <v>0</v>
      </c>
      <c r="AF1199" s="294">
        <f>IF(NFI_Expiration=1,IF($A1199&lt;VLOOKUP(O$5,NFI,5,0),1,0)*Table_NFI[[#This Row],[Clothes Kit]],Table_NFI[Clothes Kit])</f>
        <v>0</v>
      </c>
      <c r="AG1199" s="294">
        <f>IF(NFI_Expiration=1,IF($A1199&lt;VLOOKUP(P$5,NFI,5,0),1,0)*Table_NFI[[#This Row],[Plastic Bucket]],Table_NFI[Plastic Bucket])</f>
        <v>0</v>
      </c>
      <c r="AH1199" s="294">
        <f>IF(NFI_Expiration=1,IF($A1199&lt;VLOOKUP(Q$5,NFI,5,0),1,0)*Table_NFI[[#This Row],[Plastic Mat]],Table_NFI[Plastic Mat])*IF(Table_NFI[[#This Row],[Distribution Date]]&gt;"2014-04-01",1,2.5)</f>
        <v>0</v>
      </c>
      <c r="AI1199" s="294">
        <f>IF(NFI_Expiration=1,IF($A1199&lt;VLOOKUP(R$5,NFI,5,0),1,0)*Table_NFI[[#This Row],[Winter Clothes Adult]],Table_NFI[Winter Clothes Adult])</f>
        <v>0</v>
      </c>
      <c r="AJ1199" s="294">
        <f>IF(NFI_Expiration=1,IF($A1199&lt;VLOOKUP(S$5,NFI,5,0),1,0)*Table_NFI[[#This Row],[Winter Clothes Children]],Table_NFI[Winter Clothes Children])</f>
        <v>0</v>
      </c>
      <c r="AK1199" s="294">
        <f>IF(NFI_Expiration=1,IF($A1199&lt;VLOOKUP(T$5,NFI,5,0),1,0)*Table_NFI[[#This Row],[Winter Items Other]],Table_NFI[Winter Items Other])</f>
        <v>0</v>
      </c>
      <c r="AL1199" s="294">
        <f>IF(NFI_Expiration=1,IF($A1199&lt;VLOOKUP(M$5,NFI,5,0),1,0)*Table_NFI[[#This Row],[Winter Blanket]],Table_NFI[[#This Row],[Winter Blanket]])</f>
        <v>0</v>
      </c>
      <c r="AM1199" s="294">
        <f>IF(Table_NFI[[#This Row],[Winter Clothes Adult]]+Table_NFI[[#This Row],[Winter Clothes Children]]+Table_NFI[[#This Row],[Winter Items Other]]+Table_NFI[[#This Row],[Winter Blanket]]&gt;0,1,0)</f>
        <v>0</v>
      </c>
      <c r="AN1199" s="331">
        <f>IF(NFI_Expiration=1,IF($A1199&lt;VLOOKUP(V$5,NFI,5,0),1,0)*Table_NFI[[#This Row],[Jerry Can]],Table_NFI[Jerry Can])</f>
        <v>0</v>
      </c>
      <c r="AO1199" s="331">
        <f>IF(NFI_Expiration=1,IF($A1199&lt;VLOOKUP(V$5,NFI,5,0),1,0)*Table_NFI[[#This Row],[Shelter Tool kit]],Table_NFI[Shelter Tool kit])</f>
        <v>0</v>
      </c>
      <c r="AP1199" s="331">
        <f>IF(NFI_Expiration=1,IF($A1199&lt;VLOOKUP(V$5,NFI,5,0),1,0)*Table_NFI[[#This Row],[Tent]],Table_NFI[Tent])</f>
        <v>0</v>
      </c>
      <c r="AQ1199" s="473" t="str">
        <f>IFERROR(VLOOKUP(Table_NFI[[#This Row],[Camp Name]],CL,2,0),"")</f>
        <v/>
      </c>
      <c r="AR1199" s="468" t="str">
        <f ca="1">IF(Table_NFI[[#This Row],[Pcode]]="","",IF(OFFSET(CampList[Opening Date],MATCH(Table_NFI[[#This Row],[Pcode]],CampList[CP_Pcode],0)-1,0,1,1)&gt;=NFI_Monitor_Date,1,0))</f>
        <v/>
      </c>
      <c r="AS1199" s="473" t="str">
        <f>IFERROR(VLOOKUP(Table_NFI[[#This Row],[Camp Name]],CL,3,0),"")</f>
        <v/>
      </c>
      <c r="AT1199" s="294" t="str">
        <f ca="1">IF(Table_NFI[[#This Row],[Pcode]]="","",OFFSET(CampList[Priority],MATCH(Table_NFI[[#This Row],[Pcode]],CampList[CP_Pcode],0)-1,0,1,1))</f>
        <v/>
      </c>
      <c r="AU1199" s="293" t="str">
        <f>IFERROR(Table_NFI[[#This Row],[Kitchen Set]]/VLOOKUP(Table_NFI[[#This Row],[Camp Name]],CL,4,0),"")</f>
        <v/>
      </c>
      <c r="AV1199" s="466"/>
      <c r="AW1199" s="469"/>
    </row>
    <row r="1200" spans="1:49" ht="14.45" customHeight="1" x14ac:dyDescent="0.25">
      <c r="A1200" s="297" t="str">
        <f t="shared" si="18"/>
        <v/>
      </c>
      <c r="B1200" s="465"/>
      <c r="C1200" s="471"/>
      <c r="D1200" s="471"/>
      <c r="E1200" s="471"/>
      <c r="F1200" s="471"/>
      <c r="G1200" s="471"/>
      <c r="H1200" s="292"/>
      <c r="I1200" s="292"/>
      <c r="J1200" s="292"/>
      <c r="K1200" s="292"/>
      <c r="L1200" s="292"/>
      <c r="M1200" s="292"/>
      <c r="N1200" s="292"/>
      <c r="O1200" s="292"/>
      <c r="P1200" s="294"/>
      <c r="Q1200" s="294"/>
      <c r="R1200" s="294"/>
      <c r="S1200" s="294"/>
      <c r="T1200" s="294"/>
      <c r="U1200" s="294"/>
      <c r="V1200" s="431"/>
      <c r="W1200" s="331"/>
      <c r="X1200" s="331"/>
      <c r="Y1200" s="294">
        <f>IF(NFI_Expiration=1,IF($A1200&lt;VLOOKUP(H$5,NFI,5,0),1,0)*Table_NFI[[#This Row],[Hygiene Kit]],Table_NFI[Hygiene Kit])</f>
        <v>0</v>
      </c>
      <c r="Z1200" s="294">
        <f>IF(NFI_Expiration=1,IF($A1200&lt;VLOOKUP(I$5,NFI,5,0),1,0)*Table_NFI[[#This Row],[NFI Core Kit]],Table_NFI[NFI Core Kit])</f>
        <v>0</v>
      </c>
      <c r="AA1200" s="294">
        <f>IF(NFI_Expiration=1,IF($A1200&lt;VLOOKUP(J$5,NFI,5,0),1,0)*Table_NFI[[#This Row],[Sanitary Kit]],Table_NFI[Sanitary Kit])</f>
        <v>0</v>
      </c>
      <c r="AB1200" s="294">
        <f>IF(NFI_Expiration=1,IF($A1200&lt;VLOOKUP(K$5,NFI,5,0),1,0)*Table_NFI[[#This Row],[Mosquito net]],Table_NFI[Mosquito net])</f>
        <v>0</v>
      </c>
      <c r="AC1200" s="294">
        <f>IF(NFI_Expiration=1,IF($A1200&lt;VLOOKUP(L$5,NFI,5,0),1,0)*Table_NFI[[#This Row],[Tarpaulin]],Table_NFI[[#This Row],[Tarpaulin]])</f>
        <v>0</v>
      </c>
      <c r="AD1200" s="294">
        <f>IF(NFI_Expiration=1,IF($A1200&lt;VLOOKUP(M$5,NFI,5,0),1,0)*Table_NFI[[#This Row],[Blanket]],Table_NFI[[#This Row],[Blanket]])</f>
        <v>0</v>
      </c>
      <c r="AE1200" s="294">
        <f>IF(NFI_Expiration=1,IF($A1200&lt;VLOOKUP(N$5,NFI,5,0),1,0)*Table_NFI[[#This Row],[Kitchen Set]],Table_NFI[Kitchen Set])</f>
        <v>0</v>
      </c>
      <c r="AF1200" s="294">
        <f>IF(NFI_Expiration=1,IF($A1200&lt;VLOOKUP(O$5,NFI,5,0),1,0)*Table_NFI[[#This Row],[Clothes Kit]],Table_NFI[Clothes Kit])</f>
        <v>0</v>
      </c>
      <c r="AG1200" s="294">
        <f>IF(NFI_Expiration=1,IF($A1200&lt;VLOOKUP(P$5,NFI,5,0),1,0)*Table_NFI[[#This Row],[Plastic Bucket]],Table_NFI[Plastic Bucket])</f>
        <v>0</v>
      </c>
      <c r="AH1200" s="294">
        <f>IF(NFI_Expiration=1,IF($A1200&lt;VLOOKUP(Q$5,NFI,5,0),1,0)*Table_NFI[[#This Row],[Plastic Mat]],Table_NFI[Plastic Mat])*IF(Table_NFI[[#This Row],[Distribution Date]]&gt;"2014-04-01",1,2.5)</f>
        <v>0</v>
      </c>
      <c r="AI1200" s="294">
        <f>IF(NFI_Expiration=1,IF($A1200&lt;VLOOKUP(R$5,NFI,5,0),1,0)*Table_NFI[[#This Row],[Winter Clothes Adult]],Table_NFI[Winter Clothes Adult])</f>
        <v>0</v>
      </c>
      <c r="AJ1200" s="294">
        <f>IF(NFI_Expiration=1,IF($A1200&lt;VLOOKUP(S$5,NFI,5,0),1,0)*Table_NFI[[#This Row],[Winter Clothes Children]],Table_NFI[Winter Clothes Children])</f>
        <v>0</v>
      </c>
      <c r="AK1200" s="294">
        <f>IF(NFI_Expiration=1,IF($A1200&lt;VLOOKUP(T$5,NFI,5,0),1,0)*Table_NFI[[#This Row],[Winter Items Other]],Table_NFI[Winter Items Other])</f>
        <v>0</v>
      </c>
      <c r="AL1200" s="294">
        <f>IF(NFI_Expiration=1,IF($A1200&lt;VLOOKUP(M$5,NFI,5,0),1,0)*Table_NFI[[#This Row],[Winter Blanket]],Table_NFI[[#This Row],[Winter Blanket]])</f>
        <v>0</v>
      </c>
      <c r="AM1200" s="294">
        <f>IF(Table_NFI[[#This Row],[Winter Clothes Adult]]+Table_NFI[[#This Row],[Winter Clothes Children]]+Table_NFI[[#This Row],[Winter Items Other]]+Table_NFI[[#This Row],[Winter Blanket]]&gt;0,1,0)</f>
        <v>0</v>
      </c>
      <c r="AN1200" s="331">
        <f>IF(NFI_Expiration=1,IF($A1200&lt;VLOOKUP(V$5,NFI,5,0),1,0)*Table_NFI[[#This Row],[Jerry Can]],Table_NFI[Jerry Can])</f>
        <v>0</v>
      </c>
      <c r="AO1200" s="331">
        <f>IF(NFI_Expiration=1,IF($A1200&lt;VLOOKUP(V$5,NFI,5,0),1,0)*Table_NFI[[#This Row],[Shelter Tool kit]],Table_NFI[Shelter Tool kit])</f>
        <v>0</v>
      </c>
      <c r="AP1200" s="331">
        <f>IF(NFI_Expiration=1,IF($A1200&lt;VLOOKUP(V$5,NFI,5,0),1,0)*Table_NFI[[#This Row],[Tent]],Table_NFI[Tent])</f>
        <v>0</v>
      </c>
      <c r="AQ1200" s="473" t="str">
        <f>IFERROR(VLOOKUP(Table_NFI[[#This Row],[Camp Name]],CL,2,0),"")</f>
        <v/>
      </c>
      <c r="AR1200" s="468" t="str">
        <f ca="1">IF(Table_NFI[[#This Row],[Pcode]]="","",IF(OFFSET(CampList[Opening Date],MATCH(Table_NFI[[#This Row],[Pcode]],CampList[CP_Pcode],0)-1,0,1,1)&gt;=NFI_Monitor_Date,1,0))</f>
        <v/>
      </c>
      <c r="AS1200" s="473" t="str">
        <f>IFERROR(VLOOKUP(Table_NFI[[#This Row],[Camp Name]],CL,3,0),"")</f>
        <v/>
      </c>
      <c r="AT1200" s="294" t="str">
        <f ca="1">IF(Table_NFI[[#This Row],[Pcode]]="","",OFFSET(CampList[Priority],MATCH(Table_NFI[[#This Row],[Pcode]],CampList[CP_Pcode],0)-1,0,1,1))</f>
        <v/>
      </c>
      <c r="AU1200" s="293" t="str">
        <f>IFERROR(Table_NFI[[#This Row],[Kitchen Set]]/VLOOKUP(Table_NFI[[#This Row],[Camp Name]],CL,4,0),"")</f>
        <v/>
      </c>
      <c r="AV1200" s="471"/>
      <c r="AW1200" s="474"/>
    </row>
    <row r="1201" spans="1:49" ht="14.45" customHeight="1" x14ac:dyDescent="0.25">
      <c r="A1201" s="297" t="str">
        <f t="shared" si="18"/>
        <v/>
      </c>
      <c r="B1201" s="465"/>
      <c r="C1201" s="471"/>
      <c r="D1201" s="471"/>
      <c r="E1201" s="471"/>
      <c r="F1201" s="471"/>
      <c r="G1201" s="471"/>
      <c r="H1201" s="292"/>
      <c r="I1201" s="292"/>
      <c r="J1201" s="292"/>
      <c r="K1201" s="292"/>
      <c r="L1201" s="292"/>
      <c r="M1201" s="292"/>
      <c r="N1201" s="292"/>
      <c r="O1201" s="292"/>
      <c r="P1201" s="294"/>
      <c r="Q1201" s="294"/>
      <c r="R1201" s="294"/>
      <c r="S1201" s="294"/>
      <c r="T1201" s="294"/>
      <c r="U1201" s="294"/>
      <c r="V1201" s="431"/>
      <c r="W1201" s="331"/>
      <c r="X1201" s="331"/>
      <c r="Y1201" s="294">
        <f>IF(NFI_Expiration=1,IF($A1201&lt;VLOOKUP(H$5,NFI,5,0),1,0)*Table_NFI[[#This Row],[Hygiene Kit]],Table_NFI[Hygiene Kit])</f>
        <v>0</v>
      </c>
      <c r="Z1201" s="294">
        <f>IF(NFI_Expiration=1,IF($A1201&lt;VLOOKUP(I$5,NFI,5,0),1,0)*Table_NFI[[#This Row],[NFI Core Kit]],Table_NFI[NFI Core Kit])</f>
        <v>0</v>
      </c>
      <c r="AA1201" s="294">
        <f>IF(NFI_Expiration=1,IF($A1201&lt;VLOOKUP(J$5,NFI,5,0),1,0)*Table_NFI[[#This Row],[Sanitary Kit]],Table_NFI[Sanitary Kit])</f>
        <v>0</v>
      </c>
      <c r="AB1201" s="294">
        <f>IF(NFI_Expiration=1,IF($A1201&lt;VLOOKUP(K$5,NFI,5,0),1,0)*Table_NFI[[#This Row],[Mosquito net]],Table_NFI[Mosquito net])</f>
        <v>0</v>
      </c>
      <c r="AC1201" s="294">
        <f>IF(NFI_Expiration=1,IF($A1201&lt;VLOOKUP(L$5,NFI,5,0),1,0)*Table_NFI[[#This Row],[Tarpaulin]],Table_NFI[[#This Row],[Tarpaulin]])</f>
        <v>0</v>
      </c>
      <c r="AD1201" s="294">
        <f>IF(NFI_Expiration=1,IF($A1201&lt;VLOOKUP(M$5,NFI,5,0),1,0)*Table_NFI[[#This Row],[Blanket]],Table_NFI[[#This Row],[Blanket]])</f>
        <v>0</v>
      </c>
      <c r="AE1201" s="294">
        <f>IF(NFI_Expiration=1,IF($A1201&lt;VLOOKUP(N$5,NFI,5,0),1,0)*Table_NFI[[#This Row],[Kitchen Set]],Table_NFI[Kitchen Set])</f>
        <v>0</v>
      </c>
      <c r="AF1201" s="294">
        <f>IF(NFI_Expiration=1,IF($A1201&lt;VLOOKUP(O$5,NFI,5,0),1,0)*Table_NFI[[#This Row],[Clothes Kit]],Table_NFI[Clothes Kit])</f>
        <v>0</v>
      </c>
      <c r="AG1201" s="294">
        <f>IF(NFI_Expiration=1,IF($A1201&lt;VLOOKUP(P$5,NFI,5,0),1,0)*Table_NFI[[#This Row],[Plastic Bucket]],Table_NFI[Plastic Bucket])</f>
        <v>0</v>
      </c>
      <c r="AH1201" s="294">
        <f>IF(NFI_Expiration=1,IF($A1201&lt;VLOOKUP(Q$5,NFI,5,0),1,0)*Table_NFI[[#This Row],[Plastic Mat]],Table_NFI[Plastic Mat])*IF(Table_NFI[[#This Row],[Distribution Date]]&gt;"2014-04-01",1,2.5)</f>
        <v>0</v>
      </c>
      <c r="AI1201" s="294">
        <f>IF(NFI_Expiration=1,IF($A1201&lt;VLOOKUP(R$5,NFI,5,0),1,0)*Table_NFI[[#This Row],[Winter Clothes Adult]],Table_NFI[Winter Clothes Adult])</f>
        <v>0</v>
      </c>
      <c r="AJ1201" s="294">
        <f>IF(NFI_Expiration=1,IF($A1201&lt;VLOOKUP(S$5,NFI,5,0),1,0)*Table_NFI[[#This Row],[Winter Clothes Children]],Table_NFI[Winter Clothes Children])</f>
        <v>0</v>
      </c>
      <c r="AK1201" s="294">
        <f>IF(NFI_Expiration=1,IF($A1201&lt;VLOOKUP(T$5,NFI,5,0),1,0)*Table_NFI[[#This Row],[Winter Items Other]],Table_NFI[Winter Items Other])</f>
        <v>0</v>
      </c>
      <c r="AL1201" s="294">
        <f>IF(NFI_Expiration=1,IF($A1201&lt;VLOOKUP(M$5,NFI,5,0),1,0)*Table_NFI[[#This Row],[Winter Blanket]],Table_NFI[[#This Row],[Winter Blanket]])</f>
        <v>0</v>
      </c>
      <c r="AM1201" s="294">
        <f>IF(Table_NFI[[#This Row],[Winter Clothes Adult]]+Table_NFI[[#This Row],[Winter Clothes Children]]+Table_NFI[[#This Row],[Winter Items Other]]+Table_NFI[[#This Row],[Winter Blanket]]&gt;0,1,0)</f>
        <v>0</v>
      </c>
      <c r="AN1201" s="331">
        <f>IF(NFI_Expiration=1,IF($A1201&lt;VLOOKUP(V$5,NFI,5,0),1,0)*Table_NFI[[#This Row],[Jerry Can]],Table_NFI[Jerry Can])</f>
        <v>0</v>
      </c>
      <c r="AO1201" s="331">
        <f>IF(NFI_Expiration=1,IF($A1201&lt;VLOOKUP(V$5,NFI,5,0),1,0)*Table_NFI[[#This Row],[Shelter Tool kit]],Table_NFI[Shelter Tool kit])</f>
        <v>0</v>
      </c>
      <c r="AP1201" s="331">
        <f>IF(NFI_Expiration=1,IF($A1201&lt;VLOOKUP(V$5,NFI,5,0),1,0)*Table_NFI[[#This Row],[Tent]],Table_NFI[Tent])</f>
        <v>0</v>
      </c>
      <c r="AQ1201" s="473" t="str">
        <f>IFERROR(VLOOKUP(Table_NFI[[#This Row],[Camp Name]],CL,2,0),"")</f>
        <v/>
      </c>
      <c r="AR1201" s="468" t="str">
        <f ca="1">IF(Table_NFI[[#This Row],[Pcode]]="","",IF(OFFSET(CampList[Opening Date],MATCH(Table_NFI[[#This Row],[Pcode]],CampList[CP_Pcode],0)-1,0,1,1)&gt;=NFI_Monitor_Date,1,0))</f>
        <v/>
      </c>
      <c r="AS1201" s="473" t="str">
        <f>IFERROR(VLOOKUP(Table_NFI[[#This Row],[Camp Name]],CL,3,0),"")</f>
        <v/>
      </c>
      <c r="AT1201" s="294" t="str">
        <f ca="1">IF(Table_NFI[[#This Row],[Pcode]]="","",OFFSET(CampList[Priority],MATCH(Table_NFI[[#This Row],[Pcode]],CampList[CP_Pcode],0)-1,0,1,1))</f>
        <v/>
      </c>
      <c r="AU1201" s="293" t="str">
        <f>IFERROR(Table_NFI[[#This Row],[Kitchen Set]]/VLOOKUP(Table_NFI[[#This Row],[Camp Name]],CL,4,0),"")</f>
        <v/>
      </c>
      <c r="AV1201" s="466"/>
      <c r="AW1201" s="474"/>
    </row>
    <row r="1202" spans="1:49" ht="14.45" customHeight="1" x14ac:dyDescent="0.25">
      <c r="A1202" s="297" t="str">
        <f t="shared" si="18"/>
        <v/>
      </c>
      <c r="B1202" s="465"/>
      <c r="C1202" s="471"/>
      <c r="D1202" s="471"/>
      <c r="E1202" s="471"/>
      <c r="F1202" s="471"/>
      <c r="G1202" s="471"/>
      <c r="H1202" s="292"/>
      <c r="I1202" s="292"/>
      <c r="J1202" s="292"/>
      <c r="K1202" s="292"/>
      <c r="L1202" s="292"/>
      <c r="M1202" s="292"/>
      <c r="N1202" s="292"/>
      <c r="O1202" s="292"/>
      <c r="P1202" s="294"/>
      <c r="Q1202" s="294"/>
      <c r="R1202" s="294"/>
      <c r="S1202" s="294"/>
      <c r="T1202" s="294"/>
      <c r="U1202" s="294"/>
      <c r="V1202" s="431"/>
      <c r="W1202" s="331"/>
      <c r="X1202" s="331"/>
      <c r="Y1202" s="294">
        <f>IF(NFI_Expiration=1,IF($A1202&lt;VLOOKUP(H$5,NFI,5,0),1,0)*Table_NFI[[#This Row],[Hygiene Kit]],Table_NFI[Hygiene Kit])</f>
        <v>0</v>
      </c>
      <c r="Z1202" s="294">
        <f>IF(NFI_Expiration=1,IF($A1202&lt;VLOOKUP(I$5,NFI,5,0),1,0)*Table_NFI[[#This Row],[NFI Core Kit]],Table_NFI[NFI Core Kit])</f>
        <v>0</v>
      </c>
      <c r="AA1202" s="294">
        <f>IF(NFI_Expiration=1,IF($A1202&lt;VLOOKUP(J$5,NFI,5,0),1,0)*Table_NFI[[#This Row],[Sanitary Kit]],Table_NFI[Sanitary Kit])</f>
        <v>0</v>
      </c>
      <c r="AB1202" s="294">
        <f>IF(NFI_Expiration=1,IF($A1202&lt;VLOOKUP(K$5,NFI,5,0),1,0)*Table_NFI[[#This Row],[Mosquito net]],Table_NFI[Mosquito net])</f>
        <v>0</v>
      </c>
      <c r="AC1202" s="294">
        <f>IF(NFI_Expiration=1,IF($A1202&lt;VLOOKUP(L$5,NFI,5,0),1,0)*Table_NFI[[#This Row],[Tarpaulin]],Table_NFI[[#This Row],[Tarpaulin]])</f>
        <v>0</v>
      </c>
      <c r="AD1202" s="294">
        <f>IF(NFI_Expiration=1,IF($A1202&lt;VLOOKUP(M$5,NFI,5,0),1,0)*Table_NFI[[#This Row],[Blanket]],Table_NFI[[#This Row],[Blanket]])</f>
        <v>0</v>
      </c>
      <c r="AE1202" s="294">
        <f>IF(NFI_Expiration=1,IF($A1202&lt;VLOOKUP(N$5,NFI,5,0),1,0)*Table_NFI[[#This Row],[Kitchen Set]],Table_NFI[Kitchen Set])</f>
        <v>0</v>
      </c>
      <c r="AF1202" s="294">
        <f>IF(NFI_Expiration=1,IF($A1202&lt;VLOOKUP(O$5,NFI,5,0),1,0)*Table_NFI[[#This Row],[Clothes Kit]],Table_NFI[Clothes Kit])</f>
        <v>0</v>
      </c>
      <c r="AG1202" s="294">
        <f>IF(NFI_Expiration=1,IF($A1202&lt;VLOOKUP(P$5,NFI,5,0),1,0)*Table_NFI[[#This Row],[Plastic Bucket]],Table_NFI[Plastic Bucket])</f>
        <v>0</v>
      </c>
      <c r="AH1202" s="294">
        <f>IF(NFI_Expiration=1,IF($A1202&lt;VLOOKUP(Q$5,NFI,5,0),1,0)*Table_NFI[[#This Row],[Plastic Mat]],Table_NFI[Plastic Mat])*IF(Table_NFI[[#This Row],[Distribution Date]]&gt;"2014-04-01",1,2.5)</f>
        <v>0</v>
      </c>
      <c r="AI1202" s="294">
        <f>IF(NFI_Expiration=1,IF($A1202&lt;VLOOKUP(R$5,NFI,5,0),1,0)*Table_NFI[[#This Row],[Winter Clothes Adult]],Table_NFI[Winter Clothes Adult])</f>
        <v>0</v>
      </c>
      <c r="AJ1202" s="294">
        <f>IF(NFI_Expiration=1,IF($A1202&lt;VLOOKUP(S$5,NFI,5,0),1,0)*Table_NFI[[#This Row],[Winter Clothes Children]],Table_NFI[Winter Clothes Children])</f>
        <v>0</v>
      </c>
      <c r="AK1202" s="294">
        <f>IF(NFI_Expiration=1,IF($A1202&lt;VLOOKUP(T$5,NFI,5,0),1,0)*Table_NFI[[#This Row],[Winter Items Other]],Table_NFI[Winter Items Other])</f>
        <v>0</v>
      </c>
      <c r="AL1202" s="294">
        <f>IF(NFI_Expiration=1,IF($A1202&lt;VLOOKUP(M$5,NFI,5,0),1,0)*Table_NFI[[#This Row],[Winter Blanket]],Table_NFI[[#This Row],[Winter Blanket]])</f>
        <v>0</v>
      </c>
      <c r="AM1202" s="294">
        <f>IF(Table_NFI[[#This Row],[Winter Clothes Adult]]+Table_NFI[[#This Row],[Winter Clothes Children]]+Table_NFI[[#This Row],[Winter Items Other]]+Table_NFI[[#This Row],[Winter Blanket]]&gt;0,1,0)</f>
        <v>0</v>
      </c>
      <c r="AN1202" s="331">
        <f>IF(NFI_Expiration=1,IF($A1202&lt;VLOOKUP(V$5,NFI,5,0),1,0)*Table_NFI[[#This Row],[Jerry Can]],Table_NFI[Jerry Can])</f>
        <v>0</v>
      </c>
      <c r="AO1202" s="331">
        <f>IF(NFI_Expiration=1,IF($A1202&lt;VLOOKUP(V$5,NFI,5,0),1,0)*Table_NFI[[#This Row],[Shelter Tool kit]],Table_NFI[Shelter Tool kit])</f>
        <v>0</v>
      </c>
      <c r="AP1202" s="331">
        <f>IF(NFI_Expiration=1,IF($A1202&lt;VLOOKUP(V$5,NFI,5,0),1,0)*Table_NFI[[#This Row],[Tent]],Table_NFI[Tent])</f>
        <v>0</v>
      </c>
      <c r="AQ1202" s="473" t="str">
        <f>IFERROR(VLOOKUP(Table_NFI[[#This Row],[Camp Name]],CL,2,0),"")</f>
        <v/>
      </c>
      <c r="AR1202" s="468" t="str">
        <f ca="1">IF(Table_NFI[[#This Row],[Pcode]]="","",IF(OFFSET(CampList[Opening Date],MATCH(Table_NFI[[#This Row],[Pcode]],CampList[CP_Pcode],0)-1,0,1,1)&gt;=NFI_Monitor_Date,1,0))</f>
        <v/>
      </c>
      <c r="AS1202" s="473" t="str">
        <f>IFERROR(VLOOKUP(Table_NFI[[#This Row],[Camp Name]],CL,3,0),"")</f>
        <v/>
      </c>
      <c r="AT1202" s="294" t="str">
        <f ca="1">IF(Table_NFI[[#This Row],[Pcode]]="","",OFFSET(CampList[Priority],MATCH(Table_NFI[[#This Row],[Pcode]],CampList[CP_Pcode],0)-1,0,1,1))</f>
        <v/>
      </c>
      <c r="AU1202" s="293" t="str">
        <f>IFERROR(Table_NFI[[#This Row],[Kitchen Set]]/VLOOKUP(Table_NFI[[#This Row],[Camp Name]],CL,4,0),"")</f>
        <v/>
      </c>
      <c r="AV1202" s="466"/>
      <c r="AW1202" s="469"/>
    </row>
    <row r="1203" spans="1:49" ht="14.45" customHeight="1" x14ac:dyDescent="0.25">
      <c r="A1203" s="297" t="str">
        <f t="shared" si="18"/>
        <v/>
      </c>
      <c r="B1203" s="465"/>
      <c r="C1203" s="471"/>
      <c r="D1203" s="471"/>
      <c r="E1203" s="471"/>
      <c r="F1203" s="471"/>
      <c r="G1203" s="471"/>
      <c r="H1203" s="292"/>
      <c r="I1203" s="292"/>
      <c r="J1203" s="292"/>
      <c r="K1203" s="292"/>
      <c r="L1203" s="292"/>
      <c r="M1203" s="292"/>
      <c r="N1203" s="292"/>
      <c r="O1203" s="292"/>
      <c r="P1203" s="294"/>
      <c r="Q1203" s="294"/>
      <c r="R1203" s="294"/>
      <c r="S1203" s="294"/>
      <c r="T1203" s="294"/>
      <c r="U1203" s="294"/>
      <c r="V1203" s="431"/>
      <c r="W1203" s="331"/>
      <c r="X1203" s="331"/>
      <c r="Y1203" s="294">
        <f>IF(NFI_Expiration=1,IF($A1203&lt;VLOOKUP(H$5,NFI,5,0),1,0)*Table_NFI[[#This Row],[Hygiene Kit]],Table_NFI[Hygiene Kit])</f>
        <v>0</v>
      </c>
      <c r="Z1203" s="294">
        <f>IF(NFI_Expiration=1,IF($A1203&lt;VLOOKUP(I$5,NFI,5,0),1,0)*Table_NFI[[#This Row],[NFI Core Kit]],Table_NFI[NFI Core Kit])</f>
        <v>0</v>
      </c>
      <c r="AA1203" s="294">
        <f>IF(NFI_Expiration=1,IF($A1203&lt;VLOOKUP(J$5,NFI,5,0),1,0)*Table_NFI[[#This Row],[Sanitary Kit]],Table_NFI[Sanitary Kit])</f>
        <v>0</v>
      </c>
      <c r="AB1203" s="294">
        <f>IF(NFI_Expiration=1,IF($A1203&lt;VLOOKUP(K$5,NFI,5,0),1,0)*Table_NFI[[#This Row],[Mosquito net]],Table_NFI[Mosquito net])</f>
        <v>0</v>
      </c>
      <c r="AC1203" s="294">
        <f>IF(NFI_Expiration=1,IF($A1203&lt;VLOOKUP(L$5,NFI,5,0),1,0)*Table_NFI[[#This Row],[Tarpaulin]],Table_NFI[[#This Row],[Tarpaulin]])</f>
        <v>0</v>
      </c>
      <c r="AD1203" s="294">
        <f>IF(NFI_Expiration=1,IF($A1203&lt;VLOOKUP(M$5,NFI,5,0),1,0)*Table_NFI[[#This Row],[Blanket]],Table_NFI[[#This Row],[Blanket]])</f>
        <v>0</v>
      </c>
      <c r="AE1203" s="294">
        <f>IF(NFI_Expiration=1,IF($A1203&lt;VLOOKUP(N$5,NFI,5,0),1,0)*Table_NFI[[#This Row],[Kitchen Set]],Table_NFI[Kitchen Set])</f>
        <v>0</v>
      </c>
      <c r="AF1203" s="294">
        <f>IF(NFI_Expiration=1,IF($A1203&lt;VLOOKUP(O$5,NFI,5,0),1,0)*Table_NFI[[#This Row],[Clothes Kit]],Table_NFI[Clothes Kit])</f>
        <v>0</v>
      </c>
      <c r="AG1203" s="294">
        <f>IF(NFI_Expiration=1,IF($A1203&lt;VLOOKUP(P$5,NFI,5,0),1,0)*Table_NFI[[#This Row],[Plastic Bucket]],Table_NFI[Plastic Bucket])</f>
        <v>0</v>
      </c>
      <c r="AH1203" s="294">
        <f>IF(NFI_Expiration=1,IF($A1203&lt;VLOOKUP(Q$5,NFI,5,0),1,0)*Table_NFI[[#This Row],[Plastic Mat]],Table_NFI[Plastic Mat])*IF(Table_NFI[[#This Row],[Distribution Date]]&gt;"2014-04-01",1,2.5)</f>
        <v>0</v>
      </c>
      <c r="AI1203" s="294">
        <f>IF(NFI_Expiration=1,IF($A1203&lt;VLOOKUP(R$5,NFI,5,0),1,0)*Table_NFI[[#This Row],[Winter Clothes Adult]],Table_NFI[Winter Clothes Adult])</f>
        <v>0</v>
      </c>
      <c r="AJ1203" s="294">
        <f>IF(NFI_Expiration=1,IF($A1203&lt;VLOOKUP(S$5,NFI,5,0),1,0)*Table_NFI[[#This Row],[Winter Clothes Children]],Table_NFI[Winter Clothes Children])</f>
        <v>0</v>
      </c>
      <c r="AK1203" s="294">
        <f>IF(NFI_Expiration=1,IF($A1203&lt;VLOOKUP(T$5,NFI,5,0),1,0)*Table_NFI[[#This Row],[Winter Items Other]],Table_NFI[Winter Items Other])</f>
        <v>0</v>
      </c>
      <c r="AL1203" s="294">
        <f>IF(NFI_Expiration=1,IF($A1203&lt;VLOOKUP(M$5,NFI,5,0),1,0)*Table_NFI[[#This Row],[Winter Blanket]],Table_NFI[[#This Row],[Winter Blanket]])</f>
        <v>0</v>
      </c>
      <c r="AM1203" s="294">
        <f>IF(Table_NFI[[#This Row],[Winter Clothes Adult]]+Table_NFI[[#This Row],[Winter Clothes Children]]+Table_NFI[[#This Row],[Winter Items Other]]+Table_NFI[[#This Row],[Winter Blanket]]&gt;0,1,0)</f>
        <v>0</v>
      </c>
      <c r="AN1203" s="331">
        <f>IF(NFI_Expiration=1,IF($A1203&lt;VLOOKUP(V$5,NFI,5,0),1,0)*Table_NFI[[#This Row],[Jerry Can]],Table_NFI[Jerry Can])</f>
        <v>0</v>
      </c>
      <c r="AO1203" s="331">
        <f>IF(NFI_Expiration=1,IF($A1203&lt;VLOOKUP(V$5,NFI,5,0),1,0)*Table_NFI[[#This Row],[Shelter Tool kit]],Table_NFI[Shelter Tool kit])</f>
        <v>0</v>
      </c>
      <c r="AP1203" s="331">
        <f>IF(NFI_Expiration=1,IF($A1203&lt;VLOOKUP(V$5,NFI,5,0),1,0)*Table_NFI[[#This Row],[Tent]],Table_NFI[Tent])</f>
        <v>0</v>
      </c>
      <c r="AQ1203" s="473" t="str">
        <f>IFERROR(VLOOKUP(Table_NFI[[#This Row],[Camp Name]],CL,2,0),"")</f>
        <v/>
      </c>
      <c r="AR1203" s="468" t="str">
        <f ca="1">IF(Table_NFI[[#This Row],[Pcode]]="","",IF(OFFSET(CampList[Opening Date],MATCH(Table_NFI[[#This Row],[Pcode]],CampList[CP_Pcode],0)-1,0,1,1)&gt;=NFI_Monitor_Date,1,0))</f>
        <v/>
      </c>
      <c r="AS1203" s="473" t="str">
        <f>IFERROR(VLOOKUP(Table_NFI[[#This Row],[Camp Name]],CL,3,0),"")</f>
        <v/>
      </c>
      <c r="AT1203" s="294" t="str">
        <f ca="1">IF(Table_NFI[[#This Row],[Pcode]]="","",OFFSET(CampList[Priority],MATCH(Table_NFI[[#This Row],[Pcode]],CampList[CP_Pcode],0)-1,0,1,1))</f>
        <v/>
      </c>
      <c r="AU1203" s="293" t="str">
        <f>IFERROR(Table_NFI[[#This Row],[Kitchen Set]]/VLOOKUP(Table_NFI[[#This Row],[Camp Name]],CL,4,0),"")</f>
        <v/>
      </c>
      <c r="AV1203" s="466"/>
      <c r="AW1203" s="469"/>
    </row>
    <row r="1204" spans="1:49" ht="14.45" customHeight="1" x14ac:dyDescent="0.25">
      <c r="A1204" s="297" t="str">
        <f t="shared" si="18"/>
        <v/>
      </c>
      <c r="B1204" s="465"/>
      <c r="C1204" s="471"/>
      <c r="D1204" s="471"/>
      <c r="E1204" s="471"/>
      <c r="F1204" s="471"/>
      <c r="G1204" s="471"/>
      <c r="H1204" s="292"/>
      <c r="I1204" s="292"/>
      <c r="J1204" s="292"/>
      <c r="K1204" s="292"/>
      <c r="L1204" s="292"/>
      <c r="M1204" s="292"/>
      <c r="N1204" s="292"/>
      <c r="O1204" s="292"/>
      <c r="P1204" s="294"/>
      <c r="Q1204" s="294"/>
      <c r="R1204" s="294"/>
      <c r="S1204" s="294"/>
      <c r="T1204" s="294"/>
      <c r="U1204" s="294"/>
      <c r="V1204" s="431"/>
      <c r="W1204" s="331"/>
      <c r="X1204" s="331"/>
      <c r="Y1204" s="294">
        <f>IF(NFI_Expiration=1,IF($A1204&lt;VLOOKUP(H$5,NFI,5,0),1,0)*Table_NFI[[#This Row],[Hygiene Kit]],Table_NFI[Hygiene Kit])</f>
        <v>0</v>
      </c>
      <c r="Z1204" s="294">
        <f>IF(NFI_Expiration=1,IF($A1204&lt;VLOOKUP(I$5,NFI,5,0),1,0)*Table_NFI[[#This Row],[NFI Core Kit]],Table_NFI[NFI Core Kit])</f>
        <v>0</v>
      </c>
      <c r="AA1204" s="294">
        <f>IF(NFI_Expiration=1,IF($A1204&lt;VLOOKUP(J$5,NFI,5,0),1,0)*Table_NFI[[#This Row],[Sanitary Kit]],Table_NFI[Sanitary Kit])</f>
        <v>0</v>
      </c>
      <c r="AB1204" s="294">
        <f>IF(NFI_Expiration=1,IF($A1204&lt;VLOOKUP(K$5,NFI,5,0),1,0)*Table_NFI[[#This Row],[Mosquito net]],Table_NFI[Mosquito net])</f>
        <v>0</v>
      </c>
      <c r="AC1204" s="294">
        <f>IF(NFI_Expiration=1,IF($A1204&lt;VLOOKUP(L$5,NFI,5,0),1,0)*Table_NFI[[#This Row],[Tarpaulin]],Table_NFI[[#This Row],[Tarpaulin]])</f>
        <v>0</v>
      </c>
      <c r="AD1204" s="294">
        <f>IF(NFI_Expiration=1,IF($A1204&lt;VLOOKUP(M$5,NFI,5,0),1,0)*Table_NFI[[#This Row],[Blanket]],Table_NFI[[#This Row],[Blanket]])</f>
        <v>0</v>
      </c>
      <c r="AE1204" s="294">
        <f>IF(NFI_Expiration=1,IF($A1204&lt;VLOOKUP(N$5,NFI,5,0),1,0)*Table_NFI[[#This Row],[Kitchen Set]],Table_NFI[Kitchen Set])</f>
        <v>0</v>
      </c>
      <c r="AF1204" s="294">
        <f>IF(NFI_Expiration=1,IF($A1204&lt;VLOOKUP(O$5,NFI,5,0),1,0)*Table_NFI[[#This Row],[Clothes Kit]],Table_NFI[Clothes Kit])</f>
        <v>0</v>
      </c>
      <c r="AG1204" s="294">
        <f>IF(NFI_Expiration=1,IF($A1204&lt;VLOOKUP(P$5,NFI,5,0),1,0)*Table_NFI[[#This Row],[Plastic Bucket]],Table_NFI[Plastic Bucket])</f>
        <v>0</v>
      </c>
      <c r="AH1204" s="294">
        <f>IF(NFI_Expiration=1,IF($A1204&lt;VLOOKUP(Q$5,NFI,5,0),1,0)*Table_NFI[[#This Row],[Plastic Mat]],Table_NFI[Plastic Mat])*IF(Table_NFI[[#This Row],[Distribution Date]]&gt;"2014-04-01",1,2.5)</f>
        <v>0</v>
      </c>
      <c r="AI1204" s="294">
        <f>IF(NFI_Expiration=1,IF($A1204&lt;VLOOKUP(R$5,NFI,5,0),1,0)*Table_NFI[[#This Row],[Winter Clothes Adult]],Table_NFI[Winter Clothes Adult])</f>
        <v>0</v>
      </c>
      <c r="AJ1204" s="294">
        <f>IF(NFI_Expiration=1,IF($A1204&lt;VLOOKUP(S$5,NFI,5,0),1,0)*Table_NFI[[#This Row],[Winter Clothes Children]],Table_NFI[Winter Clothes Children])</f>
        <v>0</v>
      </c>
      <c r="AK1204" s="294">
        <f>IF(NFI_Expiration=1,IF($A1204&lt;VLOOKUP(T$5,NFI,5,0),1,0)*Table_NFI[[#This Row],[Winter Items Other]],Table_NFI[Winter Items Other])</f>
        <v>0</v>
      </c>
      <c r="AL1204" s="294">
        <f>IF(NFI_Expiration=1,IF($A1204&lt;VLOOKUP(M$5,NFI,5,0),1,0)*Table_NFI[[#This Row],[Winter Blanket]],Table_NFI[[#This Row],[Winter Blanket]])</f>
        <v>0</v>
      </c>
      <c r="AM1204" s="294">
        <f>IF(Table_NFI[[#This Row],[Winter Clothes Adult]]+Table_NFI[[#This Row],[Winter Clothes Children]]+Table_NFI[[#This Row],[Winter Items Other]]+Table_NFI[[#This Row],[Winter Blanket]]&gt;0,1,0)</f>
        <v>0</v>
      </c>
      <c r="AN1204" s="331">
        <f>IF(NFI_Expiration=1,IF($A1204&lt;VLOOKUP(V$5,NFI,5,0),1,0)*Table_NFI[[#This Row],[Jerry Can]],Table_NFI[Jerry Can])</f>
        <v>0</v>
      </c>
      <c r="AO1204" s="331">
        <f>IF(NFI_Expiration=1,IF($A1204&lt;VLOOKUP(V$5,NFI,5,0),1,0)*Table_NFI[[#This Row],[Shelter Tool kit]],Table_NFI[Shelter Tool kit])</f>
        <v>0</v>
      </c>
      <c r="AP1204" s="331">
        <f>IF(NFI_Expiration=1,IF($A1204&lt;VLOOKUP(V$5,NFI,5,0),1,0)*Table_NFI[[#This Row],[Tent]],Table_NFI[Tent])</f>
        <v>0</v>
      </c>
      <c r="AQ1204" s="473" t="str">
        <f>IFERROR(VLOOKUP(Table_NFI[[#This Row],[Camp Name]],CL,2,0),"")</f>
        <v/>
      </c>
      <c r="AR1204" s="468" t="str">
        <f ca="1">IF(Table_NFI[[#This Row],[Pcode]]="","",IF(OFFSET(CampList[Opening Date],MATCH(Table_NFI[[#This Row],[Pcode]],CampList[CP_Pcode],0)-1,0,1,1)&gt;=NFI_Monitor_Date,1,0))</f>
        <v/>
      </c>
      <c r="AS1204" s="473" t="str">
        <f>IFERROR(VLOOKUP(Table_NFI[[#This Row],[Camp Name]],CL,3,0),"")</f>
        <v/>
      </c>
      <c r="AT1204" s="294" t="str">
        <f ca="1">IF(Table_NFI[[#This Row],[Pcode]]="","",OFFSET(CampList[Priority],MATCH(Table_NFI[[#This Row],[Pcode]],CampList[CP_Pcode],0)-1,0,1,1))</f>
        <v/>
      </c>
      <c r="AU1204" s="293" t="str">
        <f>IFERROR(Table_NFI[[#This Row],[Kitchen Set]]/VLOOKUP(Table_NFI[[#This Row],[Camp Name]],CL,4,0),"")</f>
        <v/>
      </c>
      <c r="AV1204" s="466"/>
      <c r="AW1204" s="490"/>
    </row>
    <row r="1205" spans="1:49" ht="14.45" customHeight="1" x14ac:dyDescent="0.25">
      <c r="A1205" s="297" t="str">
        <f t="shared" si="18"/>
        <v/>
      </c>
      <c r="B1205" s="465"/>
      <c r="C1205" s="471"/>
      <c r="D1205" s="471"/>
      <c r="E1205" s="471"/>
      <c r="F1205" s="471"/>
      <c r="G1205" s="471"/>
      <c r="H1205" s="292"/>
      <c r="I1205" s="292"/>
      <c r="J1205" s="292"/>
      <c r="K1205" s="292"/>
      <c r="L1205" s="292"/>
      <c r="M1205" s="292"/>
      <c r="N1205" s="292"/>
      <c r="O1205" s="292"/>
      <c r="P1205" s="294"/>
      <c r="Q1205" s="294"/>
      <c r="R1205" s="294"/>
      <c r="S1205" s="294"/>
      <c r="T1205" s="294"/>
      <c r="U1205" s="294"/>
      <c r="V1205" s="431"/>
      <c r="W1205" s="331"/>
      <c r="X1205" s="331"/>
      <c r="Y1205" s="294">
        <f>IF(NFI_Expiration=1,IF($A1205&lt;VLOOKUP(H$5,NFI,5,0),1,0)*Table_NFI[[#This Row],[Hygiene Kit]],Table_NFI[Hygiene Kit])</f>
        <v>0</v>
      </c>
      <c r="Z1205" s="294">
        <f>IF(NFI_Expiration=1,IF($A1205&lt;VLOOKUP(I$5,NFI,5,0),1,0)*Table_NFI[[#This Row],[NFI Core Kit]],Table_NFI[NFI Core Kit])</f>
        <v>0</v>
      </c>
      <c r="AA1205" s="294">
        <f>IF(NFI_Expiration=1,IF($A1205&lt;VLOOKUP(J$5,NFI,5,0),1,0)*Table_NFI[[#This Row],[Sanitary Kit]],Table_NFI[Sanitary Kit])</f>
        <v>0</v>
      </c>
      <c r="AB1205" s="294">
        <f>IF(NFI_Expiration=1,IF($A1205&lt;VLOOKUP(K$5,NFI,5,0),1,0)*Table_NFI[[#This Row],[Mosquito net]],Table_NFI[Mosquito net])</f>
        <v>0</v>
      </c>
      <c r="AC1205" s="294">
        <f>IF(NFI_Expiration=1,IF($A1205&lt;VLOOKUP(L$5,NFI,5,0),1,0)*Table_NFI[[#This Row],[Tarpaulin]],Table_NFI[[#This Row],[Tarpaulin]])</f>
        <v>0</v>
      </c>
      <c r="AD1205" s="294">
        <f>IF(NFI_Expiration=1,IF($A1205&lt;VLOOKUP(M$5,NFI,5,0),1,0)*Table_NFI[[#This Row],[Blanket]],Table_NFI[[#This Row],[Blanket]])</f>
        <v>0</v>
      </c>
      <c r="AE1205" s="294">
        <f>IF(NFI_Expiration=1,IF($A1205&lt;VLOOKUP(N$5,NFI,5,0),1,0)*Table_NFI[[#This Row],[Kitchen Set]],Table_NFI[Kitchen Set])</f>
        <v>0</v>
      </c>
      <c r="AF1205" s="294">
        <f>IF(NFI_Expiration=1,IF($A1205&lt;VLOOKUP(O$5,NFI,5,0),1,0)*Table_NFI[[#This Row],[Clothes Kit]],Table_NFI[Clothes Kit])</f>
        <v>0</v>
      </c>
      <c r="AG1205" s="294">
        <f>IF(NFI_Expiration=1,IF($A1205&lt;VLOOKUP(P$5,NFI,5,0),1,0)*Table_NFI[[#This Row],[Plastic Bucket]],Table_NFI[Plastic Bucket])</f>
        <v>0</v>
      </c>
      <c r="AH1205" s="294">
        <f>IF(NFI_Expiration=1,IF($A1205&lt;VLOOKUP(Q$5,NFI,5,0),1,0)*Table_NFI[[#This Row],[Plastic Mat]],Table_NFI[Plastic Mat])*IF(Table_NFI[[#This Row],[Distribution Date]]&gt;"2014-04-01",1,2.5)</f>
        <v>0</v>
      </c>
      <c r="AI1205" s="294">
        <f>IF(NFI_Expiration=1,IF($A1205&lt;VLOOKUP(R$5,NFI,5,0),1,0)*Table_NFI[[#This Row],[Winter Clothes Adult]],Table_NFI[Winter Clothes Adult])</f>
        <v>0</v>
      </c>
      <c r="AJ1205" s="294">
        <f>IF(NFI_Expiration=1,IF($A1205&lt;VLOOKUP(S$5,NFI,5,0),1,0)*Table_NFI[[#This Row],[Winter Clothes Children]],Table_NFI[Winter Clothes Children])</f>
        <v>0</v>
      </c>
      <c r="AK1205" s="294">
        <f>IF(NFI_Expiration=1,IF($A1205&lt;VLOOKUP(T$5,NFI,5,0),1,0)*Table_NFI[[#This Row],[Winter Items Other]],Table_NFI[Winter Items Other])</f>
        <v>0</v>
      </c>
      <c r="AL1205" s="294">
        <f>IF(NFI_Expiration=1,IF($A1205&lt;VLOOKUP(M$5,NFI,5,0),1,0)*Table_NFI[[#This Row],[Winter Blanket]],Table_NFI[[#This Row],[Winter Blanket]])</f>
        <v>0</v>
      </c>
      <c r="AM1205" s="294">
        <f>IF(Table_NFI[[#This Row],[Winter Clothes Adult]]+Table_NFI[[#This Row],[Winter Clothes Children]]+Table_NFI[[#This Row],[Winter Items Other]]+Table_NFI[[#This Row],[Winter Blanket]]&gt;0,1,0)</f>
        <v>0</v>
      </c>
      <c r="AN1205" s="331">
        <f>IF(NFI_Expiration=1,IF($A1205&lt;VLOOKUP(V$5,NFI,5,0),1,0)*Table_NFI[[#This Row],[Jerry Can]],Table_NFI[Jerry Can])</f>
        <v>0</v>
      </c>
      <c r="AO1205" s="331">
        <f>IF(NFI_Expiration=1,IF($A1205&lt;VLOOKUP(V$5,NFI,5,0),1,0)*Table_NFI[[#This Row],[Shelter Tool kit]],Table_NFI[Shelter Tool kit])</f>
        <v>0</v>
      </c>
      <c r="AP1205" s="331">
        <f>IF(NFI_Expiration=1,IF($A1205&lt;VLOOKUP(V$5,NFI,5,0),1,0)*Table_NFI[[#This Row],[Tent]],Table_NFI[Tent])</f>
        <v>0</v>
      </c>
      <c r="AQ1205" s="473" t="str">
        <f>IFERROR(VLOOKUP(Table_NFI[[#This Row],[Camp Name]],CL,2,0),"")</f>
        <v/>
      </c>
      <c r="AR1205" s="468" t="str">
        <f ca="1">IF(Table_NFI[[#This Row],[Pcode]]="","",IF(OFFSET(CampList[Opening Date],MATCH(Table_NFI[[#This Row],[Pcode]],CampList[CP_Pcode],0)-1,0,1,1)&gt;=NFI_Monitor_Date,1,0))</f>
        <v/>
      </c>
      <c r="AS1205" s="473" t="str">
        <f>IFERROR(VLOOKUP(Table_NFI[[#This Row],[Camp Name]],CL,3,0),"")</f>
        <v/>
      </c>
      <c r="AT1205" s="294" t="str">
        <f ca="1">IF(Table_NFI[[#This Row],[Pcode]]="","",OFFSET(CampList[Priority],MATCH(Table_NFI[[#This Row],[Pcode]],CampList[CP_Pcode],0)-1,0,1,1))</f>
        <v/>
      </c>
      <c r="AU1205" s="293" t="str">
        <f>IFERROR(Table_NFI[[#This Row],[Kitchen Set]]/VLOOKUP(Table_NFI[[#This Row],[Camp Name]],CL,4,0),"")</f>
        <v/>
      </c>
      <c r="AV1205" s="466"/>
      <c r="AW1205" s="469"/>
    </row>
    <row r="1206" spans="1:49" ht="14.45" customHeight="1" x14ac:dyDescent="0.25">
      <c r="A1206" s="297" t="str">
        <f t="shared" si="18"/>
        <v/>
      </c>
      <c r="B1206" s="465"/>
      <c r="C1206" s="471"/>
      <c r="D1206" s="471"/>
      <c r="E1206" s="471"/>
      <c r="F1206" s="471"/>
      <c r="G1206" s="471"/>
      <c r="H1206" s="292"/>
      <c r="I1206" s="292"/>
      <c r="J1206" s="292"/>
      <c r="K1206" s="292"/>
      <c r="L1206" s="292"/>
      <c r="M1206" s="292"/>
      <c r="N1206" s="292"/>
      <c r="O1206" s="292"/>
      <c r="P1206" s="294"/>
      <c r="Q1206" s="294"/>
      <c r="R1206" s="294"/>
      <c r="S1206" s="294"/>
      <c r="T1206" s="294"/>
      <c r="U1206" s="294"/>
      <c r="V1206" s="431"/>
      <c r="W1206" s="331"/>
      <c r="X1206" s="331"/>
      <c r="Y1206" s="294">
        <f>IF(NFI_Expiration=1,IF($A1206&lt;VLOOKUP(H$5,NFI,5,0),1,0)*Table_NFI[[#This Row],[Hygiene Kit]],Table_NFI[Hygiene Kit])</f>
        <v>0</v>
      </c>
      <c r="Z1206" s="294">
        <f>IF(NFI_Expiration=1,IF($A1206&lt;VLOOKUP(I$5,NFI,5,0),1,0)*Table_NFI[[#This Row],[NFI Core Kit]],Table_NFI[NFI Core Kit])</f>
        <v>0</v>
      </c>
      <c r="AA1206" s="294">
        <f>IF(NFI_Expiration=1,IF($A1206&lt;VLOOKUP(J$5,NFI,5,0),1,0)*Table_NFI[[#This Row],[Sanitary Kit]],Table_NFI[Sanitary Kit])</f>
        <v>0</v>
      </c>
      <c r="AB1206" s="294">
        <f>IF(NFI_Expiration=1,IF($A1206&lt;VLOOKUP(K$5,NFI,5,0),1,0)*Table_NFI[[#This Row],[Mosquito net]],Table_NFI[Mosquito net])</f>
        <v>0</v>
      </c>
      <c r="AC1206" s="294">
        <f>IF(NFI_Expiration=1,IF($A1206&lt;VLOOKUP(L$5,NFI,5,0),1,0)*Table_NFI[[#This Row],[Tarpaulin]],Table_NFI[[#This Row],[Tarpaulin]])</f>
        <v>0</v>
      </c>
      <c r="AD1206" s="294">
        <f>IF(NFI_Expiration=1,IF($A1206&lt;VLOOKUP(M$5,NFI,5,0),1,0)*Table_NFI[[#This Row],[Blanket]],Table_NFI[[#This Row],[Blanket]])</f>
        <v>0</v>
      </c>
      <c r="AE1206" s="294">
        <f>IF(NFI_Expiration=1,IF($A1206&lt;VLOOKUP(N$5,NFI,5,0),1,0)*Table_NFI[[#This Row],[Kitchen Set]],Table_NFI[Kitchen Set])</f>
        <v>0</v>
      </c>
      <c r="AF1206" s="294">
        <f>IF(NFI_Expiration=1,IF($A1206&lt;VLOOKUP(O$5,NFI,5,0),1,0)*Table_NFI[[#This Row],[Clothes Kit]],Table_NFI[Clothes Kit])</f>
        <v>0</v>
      </c>
      <c r="AG1206" s="294">
        <f>IF(NFI_Expiration=1,IF($A1206&lt;VLOOKUP(P$5,NFI,5,0),1,0)*Table_NFI[[#This Row],[Plastic Bucket]],Table_NFI[Plastic Bucket])</f>
        <v>0</v>
      </c>
      <c r="AH1206" s="294">
        <f>IF(NFI_Expiration=1,IF($A1206&lt;VLOOKUP(Q$5,NFI,5,0),1,0)*Table_NFI[[#This Row],[Plastic Mat]],Table_NFI[Plastic Mat])*IF(Table_NFI[[#This Row],[Distribution Date]]&gt;"2014-04-01",1,2.5)</f>
        <v>0</v>
      </c>
      <c r="AI1206" s="294">
        <f>IF(NFI_Expiration=1,IF($A1206&lt;VLOOKUP(R$5,NFI,5,0),1,0)*Table_NFI[[#This Row],[Winter Clothes Adult]],Table_NFI[Winter Clothes Adult])</f>
        <v>0</v>
      </c>
      <c r="AJ1206" s="294">
        <f>IF(NFI_Expiration=1,IF($A1206&lt;VLOOKUP(S$5,NFI,5,0),1,0)*Table_NFI[[#This Row],[Winter Clothes Children]],Table_NFI[Winter Clothes Children])</f>
        <v>0</v>
      </c>
      <c r="AK1206" s="294">
        <f>IF(NFI_Expiration=1,IF($A1206&lt;VLOOKUP(T$5,NFI,5,0),1,0)*Table_NFI[[#This Row],[Winter Items Other]],Table_NFI[Winter Items Other])</f>
        <v>0</v>
      </c>
      <c r="AL1206" s="294">
        <f>IF(NFI_Expiration=1,IF($A1206&lt;VLOOKUP(M$5,NFI,5,0),1,0)*Table_NFI[[#This Row],[Winter Blanket]],Table_NFI[[#This Row],[Winter Blanket]])</f>
        <v>0</v>
      </c>
      <c r="AM1206" s="294">
        <f>IF(Table_NFI[[#This Row],[Winter Clothes Adult]]+Table_NFI[[#This Row],[Winter Clothes Children]]+Table_NFI[[#This Row],[Winter Items Other]]+Table_NFI[[#This Row],[Winter Blanket]]&gt;0,1,0)</f>
        <v>0</v>
      </c>
      <c r="AN1206" s="331">
        <f>IF(NFI_Expiration=1,IF($A1206&lt;VLOOKUP(V$5,NFI,5,0),1,0)*Table_NFI[[#This Row],[Jerry Can]],Table_NFI[Jerry Can])</f>
        <v>0</v>
      </c>
      <c r="AO1206" s="331">
        <f>IF(NFI_Expiration=1,IF($A1206&lt;VLOOKUP(V$5,NFI,5,0),1,0)*Table_NFI[[#This Row],[Shelter Tool kit]],Table_NFI[Shelter Tool kit])</f>
        <v>0</v>
      </c>
      <c r="AP1206" s="331">
        <f>IF(NFI_Expiration=1,IF($A1206&lt;VLOOKUP(V$5,NFI,5,0),1,0)*Table_NFI[[#This Row],[Tent]],Table_NFI[Tent])</f>
        <v>0</v>
      </c>
      <c r="AQ1206" s="473" t="str">
        <f>IFERROR(VLOOKUP(Table_NFI[[#This Row],[Camp Name]],CL,2,0),"")</f>
        <v/>
      </c>
      <c r="AR1206" s="468" t="str">
        <f ca="1">IF(Table_NFI[[#This Row],[Pcode]]="","",IF(OFFSET(CampList[Opening Date],MATCH(Table_NFI[[#This Row],[Pcode]],CampList[CP_Pcode],0)-1,0,1,1)&gt;=NFI_Monitor_Date,1,0))</f>
        <v/>
      </c>
      <c r="AS1206" s="473" t="str">
        <f>IFERROR(VLOOKUP(Table_NFI[[#This Row],[Camp Name]],CL,3,0),"")</f>
        <v/>
      </c>
      <c r="AT1206" s="294" t="str">
        <f ca="1">IF(Table_NFI[[#This Row],[Pcode]]="","",OFFSET(CampList[Priority],MATCH(Table_NFI[[#This Row],[Pcode]],CampList[CP_Pcode],0)-1,0,1,1))</f>
        <v/>
      </c>
      <c r="AU1206" s="293" t="str">
        <f>IFERROR(Table_NFI[[#This Row],[Kitchen Set]]/VLOOKUP(Table_NFI[[#This Row],[Camp Name]],CL,4,0),"")</f>
        <v/>
      </c>
      <c r="AV1206" s="471"/>
      <c r="AW1206" s="474"/>
    </row>
    <row r="1207" spans="1:49" ht="14.45" customHeight="1" x14ac:dyDescent="0.25">
      <c r="A1207" s="297" t="str">
        <f t="shared" si="18"/>
        <v/>
      </c>
      <c r="B1207" s="465"/>
      <c r="C1207" s="471"/>
      <c r="D1207" s="471"/>
      <c r="E1207" s="471"/>
      <c r="F1207" s="471"/>
      <c r="G1207" s="471"/>
      <c r="H1207" s="292"/>
      <c r="I1207" s="292"/>
      <c r="J1207" s="292"/>
      <c r="K1207" s="292"/>
      <c r="L1207" s="292"/>
      <c r="M1207" s="292"/>
      <c r="N1207" s="292"/>
      <c r="O1207" s="292"/>
      <c r="P1207" s="294"/>
      <c r="Q1207" s="294"/>
      <c r="R1207" s="294"/>
      <c r="S1207" s="294"/>
      <c r="T1207" s="294"/>
      <c r="U1207" s="294"/>
      <c r="V1207" s="431"/>
      <c r="W1207" s="331"/>
      <c r="X1207" s="331"/>
      <c r="Y1207" s="294">
        <f>IF(NFI_Expiration=1,IF($A1207&lt;VLOOKUP(H$5,NFI,5,0),1,0)*Table_NFI[[#This Row],[Hygiene Kit]],Table_NFI[Hygiene Kit])</f>
        <v>0</v>
      </c>
      <c r="Z1207" s="294">
        <f>IF(NFI_Expiration=1,IF($A1207&lt;VLOOKUP(I$5,NFI,5,0),1,0)*Table_NFI[[#This Row],[NFI Core Kit]],Table_NFI[NFI Core Kit])</f>
        <v>0</v>
      </c>
      <c r="AA1207" s="294">
        <f>IF(NFI_Expiration=1,IF($A1207&lt;VLOOKUP(J$5,NFI,5,0),1,0)*Table_NFI[[#This Row],[Sanitary Kit]],Table_NFI[Sanitary Kit])</f>
        <v>0</v>
      </c>
      <c r="AB1207" s="294">
        <f>IF(NFI_Expiration=1,IF($A1207&lt;VLOOKUP(K$5,NFI,5,0),1,0)*Table_NFI[[#This Row],[Mosquito net]],Table_NFI[Mosquito net])</f>
        <v>0</v>
      </c>
      <c r="AC1207" s="294">
        <f>IF(NFI_Expiration=1,IF($A1207&lt;VLOOKUP(L$5,NFI,5,0),1,0)*Table_NFI[[#This Row],[Tarpaulin]],Table_NFI[[#This Row],[Tarpaulin]])</f>
        <v>0</v>
      </c>
      <c r="AD1207" s="294">
        <f>IF(NFI_Expiration=1,IF($A1207&lt;VLOOKUP(M$5,NFI,5,0),1,0)*Table_NFI[[#This Row],[Blanket]],Table_NFI[[#This Row],[Blanket]])</f>
        <v>0</v>
      </c>
      <c r="AE1207" s="294">
        <f>IF(NFI_Expiration=1,IF($A1207&lt;VLOOKUP(N$5,NFI,5,0),1,0)*Table_NFI[[#This Row],[Kitchen Set]],Table_NFI[Kitchen Set])</f>
        <v>0</v>
      </c>
      <c r="AF1207" s="294">
        <f>IF(NFI_Expiration=1,IF($A1207&lt;VLOOKUP(O$5,NFI,5,0),1,0)*Table_NFI[[#This Row],[Clothes Kit]],Table_NFI[Clothes Kit])</f>
        <v>0</v>
      </c>
      <c r="AG1207" s="294">
        <f>IF(NFI_Expiration=1,IF($A1207&lt;VLOOKUP(P$5,NFI,5,0),1,0)*Table_NFI[[#This Row],[Plastic Bucket]],Table_NFI[Plastic Bucket])</f>
        <v>0</v>
      </c>
      <c r="AH1207" s="294">
        <f>IF(NFI_Expiration=1,IF($A1207&lt;VLOOKUP(Q$5,NFI,5,0),1,0)*Table_NFI[[#This Row],[Plastic Mat]],Table_NFI[Plastic Mat])*IF(Table_NFI[[#This Row],[Distribution Date]]&gt;"2014-04-01",1,2.5)</f>
        <v>0</v>
      </c>
      <c r="AI1207" s="294">
        <f>IF(NFI_Expiration=1,IF($A1207&lt;VLOOKUP(R$5,NFI,5,0),1,0)*Table_NFI[[#This Row],[Winter Clothes Adult]],Table_NFI[Winter Clothes Adult])</f>
        <v>0</v>
      </c>
      <c r="AJ1207" s="294">
        <f>IF(NFI_Expiration=1,IF($A1207&lt;VLOOKUP(S$5,NFI,5,0),1,0)*Table_NFI[[#This Row],[Winter Clothes Children]],Table_NFI[Winter Clothes Children])</f>
        <v>0</v>
      </c>
      <c r="AK1207" s="294">
        <f>IF(NFI_Expiration=1,IF($A1207&lt;VLOOKUP(T$5,NFI,5,0),1,0)*Table_NFI[[#This Row],[Winter Items Other]],Table_NFI[Winter Items Other])</f>
        <v>0</v>
      </c>
      <c r="AL1207" s="294">
        <f>IF(NFI_Expiration=1,IF($A1207&lt;VLOOKUP(M$5,NFI,5,0),1,0)*Table_NFI[[#This Row],[Winter Blanket]],Table_NFI[[#This Row],[Winter Blanket]])</f>
        <v>0</v>
      </c>
      <c r="AM1207" s="294">
        <f>IF(Table_NFI[[#This Row],[Winter Clothes Adult]]+Table_NFI[[#This Row],[Winter Clothes Children]]+Table_NFI[[#This Row],[Winter Items Other]]+Table_NFI[[#This Row],[Winter Blanket]]&gt;0,1,0)</f>
        <v>0</v>
      </c>
      <c r="AN1207" s="331">
        <f>IF(NFI_Expiration=1,IF($A1207&lt;VLOOKUP(V$5,NFI,5,0),1,0)*Table_NFI[[#This Row],[Jerry Can]],Table_NFI[Jerry Can])</f>
        <v>0</v>
      </c>
      <c r="AO1207" s="331">
        <f>IF(NFI_Expiration=1,IF($A1207&lt;VLOOKUP(V$5,NFI,5,0),1,0)*Table_NFI[[#This Row],[Shelter Tool kit]],Table_NFI[Shelter Tool kit])</f>
        <v>0</v>
      </c>
      <c r="AP1207" s="331">
        <f>IF(NFI_Expiration=1,IF($A1207&lt;VLOOKUP(V$5,NFI,5,0),1,0)*Table_NFI[[#This Row],[Tent]],Table_NFI[Tent])</f>
        <v>0</v>
      </c>
      <c r="AQ1207" s="473" t="str">
        <f>IFERROR(VLOOKUP(Table_NFI[[#This Row],[Camp Name]],CL,2,0),"")</f>
        <v/>
      </c>
      <c r="AR1207" s="468" t="str">
        <f ca="1">IF(Table_NFI[[#This Row],[Pcode]]="","",IF(OFFSET(CampList[Opening Date],MATCH(Table_NFI[[#This Row],[Pcode]],CampList[CP_Pcode],0)-1,0,1,1)&gt;=NFI_Monitor_Date,1,0))</f>
        <v/>
      </c>
      <c r="AS1207" s="473" t="str">
        <f>IFERROR(VLOOKUP(Table_NFI[[#This Row],[Camp Name]],CL,3,0),"")</f>
        <v/>
      </c>
      <c r="AT1207" s="294" t="str">
        <f ca="1">IF(Table_NFI[[#This Row],[Pcode]]="","",OFFSET(CampList[Priority],MATCH(Table_NFI[[#This Row],[Pcode]],CampList[CP_Pcode],0)-1,0,1,1))</f>
        <v/>
      </c>
      <c r="AU1207" s="293" t="str">
        <f>IFERROR(Table_NFI[[#This Row],[Kitchen Set]]/VLOOKUP(Table_NFI[[#This Row],[Camp Name]],CL,4,0),"")</f>
        <v/>
      </c>
      <c r="AV1207" s="466"/>
      <c r="AW1207" s="474"/>
    </row>
    <row r="1208" spans="1:49" ht="14.45" customHeight="1" x14ac:dyDescent="0.25">
      <c r="A1208" s="297" t="str">
        <f t="shared" si="18"/>
        <v/>
      </c>
      <c r="B1208" s="465"/>
      <c r="C1208" s="471"/>
      <c r="D1208" s="471"/>
      <c r="E1208" s="471"/>
      <c r="F1208" s="471"/>
      <c r="G1208" s="471"/>
      <c r="H1208" s="292"/>
      <c r="I1208" s="292"/>
      <c r="J1208" s="292"/>
      <c r="K1208" s="292"/>
      <c r="L1208" s="292"/>
      <c r="M1208" s="292"/>
      <c r="N1208" s="292"/>
      <c r="O1208" s="292"/>
      <c r="P1208" s="294"/>
      <c r="Q1208" s="294"/>
      <c r="R1208" s="294"/>
      <c r="S1208" s="294"/>
      <c r="T1208" s="294"/>
      <c r="U1208" s="294"/>
      <c r="V1208" s="431"/>
      <c r="W1208" s="331"/>
      <c r="X1208" s="331"/>
      <c r="Y1208" s="294">
        <f>IF(NFI_Expiration=1,IF($A1208&lt;VLOOKUP(H$5,NFI,5,0),1,0)*Table_NFI[[#This Row],[Hygiene Kit]],Table_NFI[Hygiene Kit])</f>
        <v>0</v>
      </c>
      <c r="Z1208" s="294">
        <f>IF(NFI_Expiration=1,IF($A1208&lt;VLOOKUP(I$5,NFI,5,0),1,0)*Table_NFI[[#This Row],[NFI Core Kit]],Table_NFI[NFI Core Kit])</f>
        <v>0</v>
      </c>
      <c r="AA1208" s="294">
        <f>IF(NFI_Expiration=1,IF($A1208&lt;VLOOKUP(J$5,NFI,5,0),1,0)*Table_NFI[[#This Row],[Sanitary Kit]],Table_NFI[Sanitary Kit])</f>
        <v>0</v>
      </c>
      <c r="AB1208" s="294">
        <f>IF(NFI_Expiration=1,IF($A1208&lt;VLOOKUP(K$5,NFI,5,0),1,0)*Table_NFI[[#This Row],[Mosquito net]],Table_NFI[Mosquito net])</f>
        <v>0</v>
      </c>
      <c r="AC1208" s="294">
        <f>IF(NFI_Expiration=1,IF($A1208&lt;VLOOKUP(L$5,NFI,5,0),1,0)*Table_NFI[[#This Row],[Tarpaulin]],Table_NFI[[#This Row],[Tarpaulin]])</f>
        <v>0</v>
      </c>
      <c r="AD1208" s="294">
        <f>IF(NFI_Expiration=1,IF($A1208&lt;VLOOKUP(M$5,NFI,5,0),1,0)*Table_NFI[[#This Row],[Blanket]],Table_NFI[[#This Row],[Blanket]])</f>
        <v>0</v>
      </c>
      <c r="AE1208" s="294">
        <f>IF(NFI_Expiration=1,IF($A1208&lt;VLOOKUP(N$5,NFI,5,0),1,0)*Table_NFI[[#This Row],[Kitchen Set]],Table_NFI[Kitchen Set])</f>
        <v>0</v>
      </c>
      <c r="AF1208" s="294">
        <f>IF(NFI_Expiration=1,IF($A1208&lt;VLOOKUP(O$5,NFI,5,0),1,0)*Table_NFI[[#This Row],[Clothes Kit]],Table_NFI[Clothes Kit])</f>
        <v>0</v>
      </c>
      <c r="AG1208" s="294">
        <f>IF(NFI_Expiration=1,IF($A1208&lt;VLOOKUP(P$5,NFI,5,0),1,0)*Table_NFI[[#This Row],[Plastic Bucket]],Table_NFI[Plastic Bucket])</f>
        <v>0</v>
      </c>
      <c r="AH1208" s="294">
        <f>IF(NFI_Expiration=1,IF($A1208&lt;VLOOKUP(Q$5,NFI,5,0),1,0)*Table_NFI[[#This Row],[Plastic Mat]],Table_NFI[Plastic Mat])*IF(Table_NFI[[#This Row],[Distribution Date]]&gt;"2014-04-01",1,2.5)</f>
        <v>0</v>
      </c>
      <c r="AI1208" s="294">
        <f>IF(NFI_Expiration=1,IF($A1208&lt;VLOOKUP(R$5,NFI,5,0),1,0)*Table_NFI[[#This Row],[Winter Clothes Adult]],Table_NFI[Winter Clothes Adult])</f>
        <v>0</v>
      </c>
      <c r="AJ1208" s="294">
        <f>IF(NFI_Expiration=1,IF($A1208&lt;VLOOKUP(S$5,NFI,5,0),1,0)*Table_NFI[[#This Row],[Winter Clothes Children]],Table_NFI[Winter Clothes Children])</f>
        <v>0</v>
      </c>
      <c r="AK1208" s="294">
        <f>IF(NFI_Expiration=1,IF($A1208&lt;VLOOKUP(T$5,NFI,5,0),1,0)*Table_NFI[[#This Row],[Winter Items Other]],Table_NFI[Winter Items Other])</f>
        <v>0</v>
      </c>
      <c r="AL1208" s="294">
        <f>IF(NFI_Expiration=1,IF($A1208&lt;VLOOKUP(M$5,NFI,5,0),1,0)*Table_NFI[[#This Row],[Winter Blanket]],Table_NFI[[#This Row],[Winter Blanket]])</f>
        <v>0</v>
      </c>
      <c r="AM1208" s="294">
        <f>IF(Table_NFI[[#This Row],[Winter Clothes Adult]]+Table_NFI[[#This Row],[Winter Clothes Children]]+Table_NFI[[#This Row],[Winter Items Other]]+Table_NFI[[#This Row],[Winter Blanket]]&gt;0,1,0)</f>
        <v>0</v>
      </c>
      <c r="AN1208" s="331">
        <f>IF(NFI_Expiration=1,IF($A1208&lt;VLOOKUP(V$5,NFI,5,0),1,0)*Table_NFI[[#This Row],[Jerry Can]],Table_NFI[Jerry Can])</f>
        <v>0</v>
      </c>
      <c r="AO1208" s="331">
        <f>IF(NFI_Expiration=1,IF($A1208&lt;VLOOKUP(V$5,NFI,5,0),1,0)*Table_NFI[[#This Row],[Shelter Tool kit]],Table_NFI[Shelter Tool kit])</f>
        <v>0</v>
      </c>
      <c r="AP1208" s="331">
        <f>IF(NFI_Expiration=1,IF($A1208&lt;VLOOKUP(V$5,NFI,5,0),1,0)*Table_NFI[[#This Row],[Tent]],Table_NFI[Tent])</f>
        <v>0</v>
      </c>
      <c r="AQ1208" s="473" t="str">
        <f>IFERROR(VLOOKUP(Table_NFI[[#This Row],[Camp Name]],CL,2,0),"")</f>
        <v/>
      </c>
      <c r="AR1208" s="468" t="str">
        <f ca="1">IF(Table_NFI[[#This Row],[Pcode]]="","",IF(OFFSET(CampList[Opening Date],MATCH(Table_NFI[[#This Row],[Pcode]],CampList[CP_Pcode],0)-1,0,1,1)&gt;=NFI_Monitor_Date,1,0))</f>
        <v/>
      </c>
      <c r="AS1208" s="473" t="str">
        <f>IFERROR(VLOOKUP(Table_NFI[[#This Row],[Camp Name]],CL,3,0),"")</f>
        <v/>
      </c>
      <c r="AT1208" s="294" t="str">
        <f ca="1">IF(Table_NFI[[#This Row],[Pcode]]="","",OFFSET(CampList[Priority],MATCH(Table_NFI[[#This Row],[Pcode]],CampList[CP_Pcode],0)-1,0,1,1))</f>
        <v/>
      </c>
      <c r="AU1208" s="293" t="str">
        <f>IFERROR(Table_NFI[[#This Row],[Kitchen Set]]/VLOOKUP(Table_NFI[[#This Row],[Camp Name]],CL,4,0),"")</f>
        <v/>
      </c>
      <c r="AV1208" s="466"/>
      <c r="AW1208" s="469"/>
    </row>
    <row r="1209" spans="1:49" ht="14.45" customHeight="1" x14ac:dyDescent="0.25">
      <c r="A1209" s="297" t="str">
        <f t="shared" si="18"/>
        <v/>
      </c>
      <c r="B1209" s="465"/>
      <c r="C1209" s="471"/>
      <c r="D1209" s="471"/>
      <c r="E1209" s="471"/>
      <c r="F1209" s="471"/>
      <c r="G1209" s="471"/>
      <c r="H1209" s="292"/>
      <c r="I1209" s="292"/>
      <c r="J1209" s="292"/>
      <c r="K1209" s="292"/>
      <c r="L1209" s="292"/>
      <c r="M1209" s="292"/>
      <c r="N1209" s="292"/>
      <c r="O1209" s="292"/>
      <c r="P1209" s="294"/>
      <c r="Q1209" s="294"/>
      <c r="R1209" s="294"/>
      <c r="S1209" s="294"/>
      <c r="T1209" s="294"/>
      <c r="U1209" s="294"/>
      <c r="V1209" s="431"/>
      <c r="W1209" s="331"/>
      <c r="X1209" s="331"/>
      <c r="Y1209" s="294">
        <f>IF(NFI_Expiration=1,IF($A1209&lt;VLOOKUP(H$5,NFI,5,0),1,0)*Table_NFI[[#This Row],[Hygiene Kit]],Table_NFI[Hygiene Kit])</f>
        <v>0</v>
      </c>
      <c r="Z1209" s="294">
        <f>IF(NFI_Expiration=1,IF($A1209&lt;VLOOKUP(I$5,NFI,5,0),1,0)*Table_NFI[[#This Row],[NFI Core Kit]],Table_NFI[NFI Core Kit])</f>
        <v>0</v>
      </c>
      <c r="AA1209" s="294">
        <f>IF(NFI_Expiration=1,IF($A1209&lt;VLOOKUP(J$5,NFI,5,0),1,0)*Table_NFI[[#This Row],[Sanitary Kit]],Table_NFI[Sanitary Kit])</f>
        <v>0</v>
      </c>
      <c r="AB1209" s="294">
        <f>IF(NFI_Expiration=1,IF($A1209&lt;VLOOKUP(K$5,NFI,5,0),1,0)*Table_NFI[[#This Row],[Mosquito net]],Table_NFI[Mosquito net])</f>
        <v>0</v>
      </c>
      <c r="AC1209" s="294">
        <f>IF(NFI_Expiration=1,IF($A1209&lt;VLOOKUP(L$5,NFI,5,0),1,0)*Table_NFI[[#This Row],[Tarpaulin]],Table_NFI[[#This Row],[Tarpaulin]])</f>
        <v>0</v>
      </c>
      <c r="AD1209" s="294">
        <f>IF(NFI_Expiration=1,IF($A1209&lt;VLOOKUP(M$5,NFI,5,0),1,0)*Table_NFI[[#This Row],[Blanket]],Table_NFI[[#This Row],[Blanket]])</f>
        <v>0</v>
      </c>
      <c r="AE1209" s="294">
        <f>IF(NFI_Expiration=1,IF($A1209&lt;VLOOKUP(N$5,NFI,5,0),1,0)*Table_NFI[[#This Row],[Kitchen Set]],Table_NFI[Kitchen Set])</f>
        <v>0</v>
      </c>
      <c r="AF1209" s="294">
        <f>IF(NFI_Expiration=1,IF($A1209&lt;VLOOKUP(O$5,NFI,5,0),1,0)*Table_NFI[[#This Row],[Clothes Kit]],Table_NFI[Clothes Kit])</f>
        <v>0</v>
      </c>
      <c r="AG1209" s="294">
        <f>IF(NFI_Expiration=1,IF($A1209&lt;VLOOKUP(P$5,NFI,5,0),1,0)*Table_NFI[[#This Row],[Plastic Bucket]],Table_NFI[Plastic Bucket])</f>
        <v>0</v>
      </c>
      <c r="AH1209" s="294">
        <f>IF(NFI_Expiration=1,IF($A1209&lt;VLOOKUP(Q$5,NFI,5,0),1,0)*Table_NFI[[#This Row],[Plastic Mat]],Table_NFI[Plastic Mat])*IF(Table_NFI[[#This Row],[Distribution Date]]&gt;"2014-04-01",1,2.5)</f>
        <v>0</v>
      </c>
      <c r="AI1209" s="294">
        <f>IF(NFI_Expiration=1,IF($A1209&lt;VLOOKUP(R$5,NFI,5,0),1,0)*Table_NFI[[#This Row],[Winter Clothes Adult]],Table_NFI[Winter Clothes Adult])</f>
        <v>0</v>
      </c>
      <c r="AJ1209" s="294">
        <f>IF(NFI_Expiration=1,IF($A1209&lt;VLOOKUP(S$5,NFI,5,0),1,0)*Table_NFI[[#This Row],[Winter Clothes Children]],Table_NFI[Winter Clothes Children])</f>
        <v>0</v>
      </c>
      <c r="AK1209" s="294">
        <f>IF(NFI_Expiration=1,IF($A1209&lt;VLOOKUP(T$5,NFI,5,0),1,0)*Table_NFI[[#This Row],[Winter Items Other]],Table_NFI[Winter Items Other])</f>
        <v>0</v>
      </c>
      <c r="AL1209" s="294">
        <f>IF(NFI_Expiration=1,IF($A1209&lt;VLOOKUP(M$5,NFI,5,0),1,0)*Table_NFI[[#This Row],[Winter Blanket]],Table_NFI[[#This Row],[Winter Blanket]])</f>
        <v>0</v>
      </c>
      <c r="AM1209" s="294">
        <f>IF(Table_NFI[[#This Row],[Winter Clothes Adult]]+Table_NFI[[#This Row],[Winter Clothes Children]]+Table_NFI[[#This Row],[Winter Items Other]]+Table_NFI[[#This Row],[Winter Blanket]]&gt;0,1,0)</f>
        <v>0</v>
      </c>
      <c r="AN1209" s="331">
        <f>IF(NFI_Expiration=1,IF($A1209&lt;VLOOKUP(V$5,NFI,5,0),1,0)*Table_NFI[[#This Row],[Jerry Can]],Table_NFI[Jerry Can])</f>
        <v>0</v>
      </c>
      <c r="AO1209" s="331">
        <f>IF(NFI_Expiration=1,IF($A1209&lt;VLOOKUP(V$5,NFI,5,0),1,0)*Table_NFI[[#This Row],[Shelter Tool kit]],Table_NFI[Shelter Tool kit])</f>
        <v>0</v>
      </c>
      <c r="AP1209" s="331">
        <f>IF(NFI_Expiration=1,IF($A1209&lt;VLOOKUP(V$5,NFI,5,0),1,0)*Table_NFI[[#This Row],[Tent]],Table_NFI[Tent])</f>
        <v>0</v>
      </c>
      <c r="AQ1209" s="473" t="str">
        <f>IFERROR(VLOOKUP(Table_NFI[[#This Row],[Camp Name]],CL,2,0),"")</f>
        <v/>
      </c>
      <c r="AR1209" s="468" t="str">
        <f ca="1">IF(Table_NFI[[#This Row],[Pcode]]="","",IF(OFFSET(CampList[Opening Date],MATCH(Table_NFI[[#This Row],[Pcode]],CampList[CP_Pcode],0)-1,0,1,1)&gt;=NFI_Monitor_Date,1,0))</f>
        <v/>
      </c>
      <c r="AS1209" s="473" t="str">
        <f>IFERROR(VLOOKUP(Table_NFI[[#This Row],[Camp Name]],CL,3,0),"")</f>
        <v/>
      </c>
      <c r="AT1209" s="294" t="str">
        <f ca="1">IF(Table_NFI[[#This Row],[Pcode]]="","",OFFSET(CampList[Priority],MATCH(Table_NFI[[#This Row],[Pcode]],CampList[CP_Pcode],0)-1,0,1,1))</f>
        <v/>
      </c>
      <c r="AU1209" s="293" t="str">
        <f>IFERROR(Table_NFI[[#This Row],[Kitchen Set]]/VLOOKUP(Table_NFI[[#This Row],[Camp Name]],CL,4,0),"")</f>
        <v/>
      </c>
      <c r="AV1209" s="471"/>
      <c r="AW1209" s="474"/>
    </row>
    <row r="1210" spans="1:49" ht="14.45" customHeight="1" x14ac:dyDescent="0.25">
      <c r="A1210" s="297" t="str">
        <f t="shared" si="18"/>
        <v/>
      </c>
      <c r="B1210" s="465"/>
      <c r="C1210" s="471"/>
      <c r="D1210" s="471"/>
      <c r="E1210" s="471"/>
      <c r="F1210" s="471"/>
      <c r="G1210" s="471"/>
      <c r="H1210" s="292"/>
      <c r="I1210" s="292"/>
      <c r="J1210" s="292"/>
      <c r="K1210" s="292"/>
      <c r="L1210" s="292"/>
      <c r="M1210" s="292"/>
      <c r="N1210" s="292"/>
      <c r="O1210" s="292"/>
      <c r="P1210" s="294"/>
      <c r="Q1210" s="294"/>
      <c r="R1210" s="294"/>
      <c r="S1210" s="294"/>
      <c r="T1210" s="294"/>
      <c r="U1210" s="294"/>
      <c r="V1210" s="431"/>
      <c r="W1210" s="331"/>
      <c r="X1210" s="331"/>
      <c r="Y1210" s="294">
        <f>IF(NFI_Expiration=1,IF($A1210&lt;VLOOKUP(H$5,NFI,5,0),1,0)*Table_NFI[[#This Row],[Hygiene Kit]],Table_NFI[Hygiene Kit])</f>
        <v>0</v>
      </c>
      <c r="Z1210" s="294">
        <f>IF(NFI_Expiration=1,IF($A1210&lt;VLOOKUP(I$5,NFI,5,0),1,0)*Table_NFI[[#This Row],[NFI Core Kit]],Table_NFI[NFI Core Kit])</f>
        <v>0</v>
      </c>
      <c r="AA1210" s="294">
        <f>IF(NFI_Expiration=1,IF($A1210&lt;VLOOKUP(J$5,NFI,5,0),1,0)*Table_NFI[[#This Row],[Sanitary Kit]],Table_NFI[Sanitary Kit])</f>
        <v>0</v>
      </c>
      <c r="AB1210" s="294">
        <f>IF(NFI_Expiration=1,IF($A1210&lt;VLOOKUP(K$5,NFI,5,0),1,0)*Table_NFI[[#This Row],[Mosquito net]],Table_NFI[Mosquito net])</f>
        <v>0</v>
      </c>
      <c r="AC1210" s="294">
        <f>IF(NFI_Expiration=1,IF($A1210&lt;VLOOKUP(L$5,NFI,5,0),1,0)*Table_NFI[[#This Row],[Tarpaulin]],Table_NFI[[#This Row],[Tarpaulin]])</f>
        <v>0</v>
      </c>
      <c r="AD1210" s="294">
        <f>IF(NFI_Expiration=1,IF($A1210&lt;VLOOKUP(M$5,NFI,5,0),1,0)*Table_NFI[[#This Row],[Blanket]],Table_NFI[[#This Row],[Blanket]])</f>
        <v>0</v>
      </c>
      <c r="AE1210" s="294">
        <f>IF(NFI_Expiration=1,IF($A1210&lt;VLOOKUP(N$5,NFI,5,0),1,0)*Table_NFI[[#This Row],[Kitchen Set]],Table_NFI[Kitchen Set])</f>
        <v>0</v>
      </c>
      <c r="AF1210" s="294">
        <f>IF(NFI_Expiration=1,IF($A1210&lt;VLOOKUP(O$5,NFI,5,0),1,0)*Table_NFI[[#This Row],[Clothes Kit]],Table_NFI[Clothes Kit])</f>
        <v>0</v>
      </c>
      <c r="AG1210" s="294">
        <f>IF(NFI_Expiration=1,IF($A1210&lt;VLOOKUP(P$5,NFI,5,0),1,0)*Table_NFI[[#This Row],[Plastic Bucket]],Table_NFI[Plastic Bucket])</f>
        <v>0</v>
      </c>
      <c r="AH1210" s="294">
        <f>IF(NFI_Expiration=1,IF($A1210&lt;VLOOKUP(Q$5,NFI,5,0),1,0)*Table_NFI[[#This Row],[Plastic Mat]],Table_NFI[Plastic Mat])*IF(Table_NFI[[#This Row],[Distribution Date]]&gt;"2014-04-01",1,2.5)</f>
        <v>0</v>
      </c>
      <c r="AI1210" s="294">
        <f>IF(NFI_Expiration=1,IF($A1210&lt;VLOOKUP(R$5,NFI,5,0),1,0)*Table_NFI[[#This Row],[Winter Clothes Adult]],Table_NFI[Winter Clothes Adult])</f>
        <v>0</v>
      </c>
      <c r="AJ1210" s="294">
        <f>IF(NFI_Expiration=1,IF($A1210&lt;VLOOKUP(S$5,NFI,5,0),1,0)*Table_NFI[[#This Row],[Winter Clothes Children]],Table_NFI[Winter Clothes Children])</f>
        <v>0</v>
      </c>
      <c r="AK1210" s="294">
        <f>IF(NFI_Expiration=1,IF($A1210&lt;VLOOKUP(T$5,NFI,5,0),1,0)*Table_NFI[[#This Row],[Winter Items Other]],Table_NFI[Winter Items Other])</f>
        <v>0</v>
      </c>
      <c r="AL1210" s="294">
        <f>IF(NFI_Expiration=1,IF($A1210&lt;VLOOKUP(M$5,NFI,5,0),1,0)*Table_NFI[[#This Row],[Winter Blanket]],Table_NFI[[#This Row],[Winter Blanket]])</f>
        <v>0</v>
      </c>
      <c r="AM1210" s="294">
        <f>IF(Table_NFI[[#This Row],[Winter Clothes Adult]]+Table_NFI[[#This Row],[Winter Clothes Children]]+Table_NFI[[#This Row],[Winter Items Other]]+Table_NFI[[#This Row],[Winter Blanket]]&gt;0,1,0)</f>
        <v>0</v>
      </c>
      <c r="AN1210" s="331">
        <f>IF(NFI_Expiration=1,IF($A1210&lt;VLOOKUP(V$5,NFI,5,0),1,0)*Table_NFI[[#This Row],[Jerry Can]],Table_NFI[Jerry Can])</f>
        <v>0</v>
      </c>
      <c r="AO1210" s="331">
        <f>IF(NFI_Expiration=1,IF($A1210&lt;VLOOKUP(V$5,NFI,5,0),1,0)*Table_NFI[[#This Row],[Shelter Tool kit]],Table_NFI[Shelter Tool kit])</f>
        <v>0</v>
      </c>
      <c r="AP1210" s="331">
        <f>IF(NFI_Expiration=1,IF($A1210&lt;VLOOKUP(V$5,NFI,5,0),1,0)*Table_NFI[[#This Row],[Tent]],Table_NFI[Tent])</f>
        <v>0</v>
      </c>
      <c r="AQ1210" s="473" t="str">
        <f>IFERROR(VLOOKUP(Table_NFI[[#This Row],[Camp Name]],CL,2,0),"")</f>
        <v/>
      </c>
      <c r="AR1210" s="468" t="str">
        <f ca="1">IF(Table_NFI[[#This Row],[Pcode]]="","",IF(OFFSET(CampList[Opening Date],MATCH(Table_NFI[[#This Row],[Pcode]],CampList[CP_Pcode],0)-1,0,1,1)&gt;=NFI_Monitor_Date,1,0))</f>
        <v/>
      </c>
      <c r="AS1210" s="473" t="str">
        <f>IFERROR(VLOOKUP(Table_NFI[[#This Row],[Camp Name]],CL,3,0),"")</f>
        <v/>
      </c>
      <c r="AT1210" s="294" t="str">
        <f ca="1">IF(Table_NFI[[#This Row],[Pcode]]="","",OFFSET(CampList[Priority],MATCH(Table_NFI[[#This Row],[Pcode]],CampList[CP_Pcode],0)-1,0,1,1))</f>
        <v/>
      </c>
      <c r="AU1210" s="293" t="str">
        <f>IFERROR(Table_NFI[[#This Row],[Kitchen Set]]/VLOOKUP(Table_NFI[[#This Row],[Camp Name]],CL,4,0),"")</f>
        <v/>
      </c>
      <c r="AV1210" s="466"/>
      <c r="AW1210" s="469"/>
    </row>
    <row r="1211" spans="1:49" ht="14.45" customHeight="1" x14ac:dyDescent="0.25">
      <c r="A1211" s="297" t="str">
        <f t="shared" si="18"/>
        <v/>
      </c>
      <c r="B1211" s="465"/>
      <c r="C1211" s="471"/>
      <c r="D1211" s="471"/>
      <c r="E1211" s="471"/>
      <c r="F1211" s="471"/>
      <c r="G1211" s="471"/>
      <c r="H1211" s="292"/>
      <c r="I1211" s="292"/>
      <c r="J1211" s="292"/>
      <c r="K1211" s="292"/>
      <c r="L1211" s="292"/>
      <c r="M1211" s="292"/>
      <c r="N1211" s="292"/>
      <c r="O1211" s="292"/>
      <c r="P1211" s="294"/>
      <c r="Q1211" s="294"/>
      <c r="R1211" s="294"/>
      <c r="S1211" s="294"/>
      <c r="T1211" s="294"/>
      <c r="U1211" s="294"/>
      <c r="V1211" s="431"/>
      <c r="W1211" s="331"/>
      <c r="X1211" s="331"/>
      <c r="Y1211" s="294">
        <f>IF(NFI_Expiration=1,IF($A1211&lt;VLOOKUP(H$5,NFI,5,0),1,0)*Table_NFI[[#This Row],[Hygiene Kit]],Table_NFI[Hygiene Kit])</f>
        <v>0</v>
      </c>
      <c r="Z1211" s="294">
        <f>IF(NFI_Expiration=1,IF($A1211&lt;VLOOKUP(I$5,NFI,5,0),1,0)*Table_NFI[[#This Row],[NFI Core Kit]],Table_NFI[NFI Core Kit])</f>
        <v>0</v>
      </c>
      <c r="AA1211" s="294">
        <f>IF(NFI_Expiration=1,IF($A1211&lt;VLOOKUP(J$5,NFI,5,0),1,0)*Table_NFI[[#This Row],[Sanitary Kit]],Table_NFI[Sanitary Kit])</f>
        <v>0</v>
      </c>
      <c r="AB1211" s="294">
        <f>IF(NFI_Expiration=1,IF($A1211&lt;VLOOKUP(K$5,NFI,5,0),1,0)*Table_NFI[[#This Row],[Mosquito net]],Table_NFI[Mosquito net])</f>
        <v>0</v>
      </c>
      <c r="AC1211" s="294">
        <f>IF(NFI_Expiration=1,IF($A1211&lt;VLOOKUP(L$5,NFI,5,0),1,0)*Table_NFI[[#This Row],[Tarpaulin]],Table_NFI[[#This Row],[Tarpaulin]])</f>
        <v>0</v>
      </c>
      <c r="AD1211" s="294">
        <f>IF(NFI_Expiration=1,IF($A1211&lt;VLOOKUP(M$5,NFI,5,0),1,0)*Table_NFI[[#This Row],[Blanket]],Table_NFI[[#This Row],[Blanket]])</f>
        <v>0</v>
      </c>
      <c r="AE1211" s="294">
        <f>IF(NFI_Expiration=1,IF($A1211&lt;VLOOKUP(N$5,NFI,5,0),1,0)*Table_NFI[[#This Row],[Kitchen Set]],Table_NFI[Kitchen Set])</f>
        <v>0</v>
      </c>
      <c r="AF1211" s="294">
        <f>IF(NFI_Expiration=1,IF($A1211&lt;VLOOKUP(O$5,NFI,5,0),1,0)*Table_NFI[[#This Row],[Clothes Kit]],Table_NFI[Clothes Kit])</f>
        <v>0</v>
      </c>
      <c r="AG1211" s="294">
        <f>IF(NFI_Expiration=1,IF($A1211&lt;VLOOKUP(P$5,NFI,5,0),1,0)*Table_NFI[[#This Row],[Plastic Bucket]],Table_NFI[Plastic Bucket])</f>
        <v>0</v>
      </c>
      <c r="AH1211" s="294">
        <f>IF(NFI_Expiration=1,IF($A1211&lt;VLOOKUP(Q$5,NFI,5,0),1,0)*Table_NFI[[#This Row],[Plastic Mat]],Table_NFI[Plastic Mat])*IF(Table_NFI[[#This Row],[Distribution Date]]&gt;"2014-04-01",1,2.5)</f>
        <v>0</v>
      </c>
      <c r="AI1211" s="294">
        <f>IF(NFI_Expiration=1,IF($A1211&lt;VLOOKUP(R$5,NFI,5,0),1,0)*Table_NFI[[#This Row],[Winter Clothes Adult]],Table_NFI[Winter Clothes Adult])</f>
        <v>0</v>
      </c>
      <c r="AJ1211" s="294">
        <f>IF(NFI_Expiration=1,IF($A1211&lt;VLOOKUP(S$5,NFI,5,0),1,0)*Table_NFI[[#This Row],[Winter Clothes Children]],Table_NFI[Winter Clothes Children])</f>
        <v>0</v>
      </c>
      <c r="AK1211" s="294">
        <f>IF(NFI_Expiration=1,IF($A1211&lt;VLOOKUP(T$5,NFI,5,0),1,0)*Table_NFI[[#This Row],[Winter Items Other]],Table_NFI[Winter Items Other])</f>
        <v>0</v>
      </c>
      <c r="AL1211" s="294">
        <f>IF(NFI_Expiration=1,IF($A1211&lt;VLOOKUP(M$5,NFI,5,0),1,0)*Table_NFI[[#This Row],[Winter Blanket]],Table_NFI[[#This Row],[Winter Blanket]])</f>
        <v>0</v>
      </c>
      <c r="AM1211" s="294">
        <f>IF(Table_NFI[[#This Row],[Winter Clothes Adult]]+Table_NFI[[#This Row],[Winter Clothes Children]]+Table_NFI[[#This Row],[Winter Items Other]]+Table_NFI[[#This Row],[Winter Blanket]]&gt;0,1,0)</f>
        <v>0</v>
      </c>
      <c r="AN1211" s="331">
        <f>IF(NFI_Expiration=1,IF($A1211&lt;VLOOKUP(V$5,NFI,5,0),1,0)*Table_NFI[[#This Row],[Jerry Can]],Table_NFI[Jerry Can])</f>
        <v>0</v>
      </c>
      <c r="AO1211" s="331">
        <f>IF(NFI_Expiration=1,IF($A1211&lt;VLOOKUP(V$5,NFI,5,0),1,0)*Table_NFI[[#This Row],[Shelter Tool kit]],Table_NFI[Shelter Tool kit])</f>
        <v>0</v>
      </c>
      <c r="AP1211" s="331">
        <f>IF(NFI_Expiration=1,IF($A1211&lt;VLOOKUP(V$5,NFI,5,0),1,0)*Table_NFI[[#This Row],[Tent]],Table_NFI[Tent])</f>
        <v>0</v>
      </c>
      <c r="AQ1211" s="473" t="str">
        <f>IFERROR(VLOOKUP(Table_NFI[[#This Row],[Camp Name]],CL,2,0),"")</f>
        <v/>
      </c>
      <c r="AR1211" s="468" t="str">
        <f ca="1">IF(Table_NFI[[#This Row],[Pcode]]="","",IF(OFFSET(CampList[Opening Date],MATCH(Table_NFI[[#This Row],[Pcode]],CampList[CP_Pcode],0)-1,0,1,1)&gt;=NFI_Monitor_Date,1,0))</f>
        <v/>
      </c>
      <c r="AS1211" s="473" t="str">
        <f>IFERROR(VLOOKUP(Table_NFI[[#This Row],[Camp Name]],CL,3,0),"")</f>
        <v/>
      </c>
      <c r="AT1211" s="294" t="str">
        <f ca="1">IF(Table_NFI[[#This Row],[Pcode]]="","",OFFSET(CampList[Priority],MATCH(Table_NFI[[#This Row],[Pcode]],CampList[CP_Pcode],0)-1,0,1,1))</f>
        <v/>
      </c>
      <c r="AU1211" s="293" t="str">
        <f>IFERROR(Table_NFI[[#This Row],[Kitchen Set]]/VLOOKUP(Table_NFI[[#This Row],[Camp Name]],CL,4,0),"")</f>
        <v/>
      </c>
      <c r="AV1211" s="466"/>
      <c r="AW1211" s="469"/>
    </row>
    <row r="1212" spans="1:49" ht="14.45" customHeight="1" x14ac:dyDescent="0.25">
      <c r="A1212" s="297" t="str">
        <f t="shared" si="18"/>
        <v/>
      </c>
      <c r="B1212" s="465"/>
      <c r="C1212" s="471"/>
      <c r="D1212" s="471"/>
      <c r="E1212" s="471"/>
      <c r="F1212" s="471"/>
      <c r="G1212" s="471"/>
      <c r="H1212" s="292"/>
      <c r="I1212" s="292"/>
      <c r="J1212" s="292"/>
      <c r="K1212" s="292"/>
      <c r="L1212" s="292"/>
      <c r="M1212" s="292"/>
      <c r="N1212" s="292"/>
      <c r="O1212" s="292"/>
      <c r="P1212" s="294"/>
      <c r="Q1212" s="294"/>
      <c r="R1212" s="294"/>
      <c r="S1212" s="294"/>
      <c r="T1212" s="294"/>
      <c r="U1212" s="294"/>
      <c r="V1212" s="431"/>
      <c r="W1212" s="331"/>
      <c r="X1212" s="331"/>
      <c r="Y1212" s="294">
        <f>IF(NFI_Expiration=1,IF($A1212&lt;VLOOKUP(H$5,NFI,5,0),1,0)*Table_NFI[[#This Row],[Hygiene Kit]],Table_NFI[Hygiene Kit])</f>
        <v>0</v>
      </c>
      <c r="Z1212" s="294">
        <f>IF(NFI_Expiration=1,IF($A1212&lt;VLOOKUP(I$5,NFI,5,0),1,0)*Table_NFI[[#This Row],[NFI Core Kit]],Table_NFI[NFI Core Kit])</f>
        <v>0</v>
      </c>
      <c r="AA1212" s="294">
        <f>IF(NFI_Expiration=1,IF($A1212&lt;VLOOKUP(J$5,NFI,5,0),1,0)*Table_NFI[[#This Row],[Sanitary Kit]],Table_NFI[Sanitary Kit])</f>
        <v>0</v>
      </c>
      <c r="AB1212" s="294">
        <f>IF(NFI_Expiration=1,IF($A1212&lt;VLOOKUP(K$5,NFI,5,0),1,0)*Table_NFI[[#This Row],[Mosquito net]],Table_NFI[Mosquito net])</f>
        <v>0</v>
      </c>
      <c r="AC1212" s="294">
        <f>IF(NFI_Expiration=1,IF($A1212&lt;VLOOKUP(L$5,NFI,5,0),1,0)*Table_NFI[[#This Row],[Tarpaulin]],Table_NFI[[#This Row],[Tarpaulin]])</f>
        <v>0</v>
      </c>
      <c r="AD1212" s="294">
        <f>IF(NFI_Expiration=1,IF($A1212&lt;VLOOKUP(M$5,NFI,5,0),1,0)*Table_NFI[[#This Row],[Blanket]],Table_NFI[[#This Row],[Blanket]])</f>
        <v>0</v>
      </c>
      <c r="AE1212" s="294">
        <f>IF(NFI_Expiration=1,IF($A1212&lt;VLOOKUP(N$5,NFI,5,0),1,0)*Table_NFI[[#This Row],[Kitchen Set]],Table_NFI[Kitchen Set])</f>
        <v>0</v>
      </c>
      <c r="AF1212" s="294">
        <f>IF(NFI_Expiration=1,IF($A1212&lt;VLOOKUP(O$5,NFI,5,0),1,0)*Table_NFI[[#This Row],[Clothes Kit]],Table_NFI[Clothes Kit])</f>
        <v>0</v>
      </c>
      <c r="AG1212" s="294">
        <f>IF(NFI_Expiration=1,IF($A1212&lt;VLOOKUP(P$5,NFI,5,0),1,0)*Table_NFI[[#This Row],[Plastic Bucket]],Table_NFI[Plastic Bucket])</f>
        <v>0</v>
      </c>
      <c r="AH1212" s="294">
        <f>IF(NFI_Expiration=1,IF($A1212&lt;VLOOKUP(Q$5,NFI,5,0),1,0)*Table_NFI[[#This Row],[Plastic Mat]],Table_NFI[Plastic Mat])*IF(Table_NFI[[#This Row],[Distribution Date]]&gt;"2014-04-01",1,2.5)</f>
        <v>0</v>
      </c>
      <c r="AI1212" s="294">
        <f>IF(NFI_Expiration=1,IF($A1212&lt;VLOOKUP(R$5,NFI,5,0),1,0)*Table_NFI[[#This Row],[Winter Clothes Adult]],Table_NFI[Winter Clothes Adult])</f>
        <v>0</v>
      </c>
      <c r="AJ1212" s="294">
        <f>IF(NFI_Expiration=1,IF($A1212&lt;VLOOKUP(S$5,NFI,5,0),1,0)*Table_NFI[[#This Row],[Winter Clothes Children]],Table_NFI[Winter Clothes Children])</f>
        <v>0</v>
      </c>
      <c r="AK1212" s="294">
        <f>IF(NFI_Expiration=1,IF($A1212&lt;VLOOKUP(T$5,NFI,5,0),1,0)*Table_NFI[[#This Row],[Winter Items Other]],Table_NFI[Winter Items Other])</f>
        <v>0</v>
      </c>
      <c r="AL1212" s="294">
        <f>IF(NFI_Expiration=1,IF($A1212&lt;VLOOKUP(M$5,NFI,5,0),1,0)*Table_NFI[[#This Row],[Winter Blanket]],Table_NFI[[#This Row],[Winter Blanket]])</f>
        <v>0</v>
      </c>
      <c r="AM1212" s="294">
        <f>IF(Table_NFI[[#This Row],[Winter Clothes Adult]]+Table_NFI[[#This Row],[Winter Clothes Children]]+Table_NFI[[#This Row],[Winter Items Other]]+Table_NFI[[#This Row],[Winter Blanket]]&gt;0,1,0)</f>
        <v>0</v>
      </c>
      <c r="AN1212" s="331">
        <f>IF(NFI_Expiration=1,IF($A1212&lt;VLOOKUP(V$5,NFI,5,0),1,0)*Table_NFI[[#This Row],[Jerry Can]],Table_NFI[Jerry Can])</f>
        <v>0</v>
      </c>
      <c r="AO1212" s="331">
        <f>IF(NFI_Expiration=1,IF($A1212&lt;VLOOKUP(V$5,NFI,5,0),1,0)*Table_NFI[[#This Row],[Shelter Tool kit]],Table_NFI[Shelter Tool kit])</f>
        <v>0</v>
      </c>
      <c r="AP1212" s="331">
        <f>IF(NFI_Expiration=1,IF($A1212&lt;VLOOKUP(V$5,NFI,5,0),1,0)*Table_NFI[[#This Row],[Tent]],Table_NFI[Tent])</f>
        <v>0</v>
      </c>
      <c r="AQ1212" s="473" t="str">
        <f>IFERROR(VLOOKUP(Table_NFI[[#This Row],[Camp Name]],CL,2,0),"")</f>
        <v/>
      </c>
      <c r="AR1212" s="468" t="str">
        <f ca="1">IF(Table_NFI[[#This Row],[Pcode]]="","",IF(OFFSET(CampList[Opening Date],MATCH(Table_NFI[[#This Row],[Pcode]],CampList[CP_Pcode],0)-1,0,1,1)&gt;=NFI_Monitor_Date,1,0))</f>
        <v/>
      </c>
      <c r="AS1212" s="473" t="str">
        <f>IFERROR(VLOOKUP(Table_NFI[[#This Row],[Camp Name]],CL,3,0),"")</f>
        <v/>
      </c>
      <c r="AT1212" s="294" t="str">
        <f ca="1">IF(Table_NFI[[#This Row],[Pcode]]="","",OFFSET(CampList[Priority],MATCH(Table_NFI[[#This Row],[Pcode]],CampList[CP_Pcode],0)-1,0,1,1))</f>
        <v/>
      </c>
      <c r="AU1212" s="293" t="str">
        <f>IFERROR(Table_NFI[[#This Row],[Kitchen Set]]/VLOOKUP(Table_NFI[[#This Row],[Camp Name]],CL,4,0),"")</f>
        <v/>
      </c>
      <c r="AV1212" s="466"/>
      <c r="AW1212" s="469"/>
    </row>
    <row r="1213" spans="1:49" ht="14.45" customHeight="1" x14ac:dyDescent="0.25">
      <c r="A1213" s="297" t="str">
        <f t="shared" si="18"/>
        <v/>
      </c>
      <c r="B1213" s="465"/>
      <c r="C1213" s="471"/>
      <c r="D1213" s="471"/>
      <c r="E1213" s="471"/>
      <c r="F1213" s="471"/>
      <c r="G1213" s="471"/>
      <c r="H1213" s="292"/>
      <c r="I1213" s="292"/>
      <c r="J1213" s="292"/>
      <c r="K1213" s="292"/>
      <c r="L1213" s="292"/>
      <c r="M1213" s="292"/>
      <c r="N1213" s="292"/>
      <c r="O1213" s="292"/>
      <c r="P1213" s="294"/>
      <c r="Q1213" s="294"/>
      <c r="R1213" s="294"/>
      <c r="S1213" s="294"/>
      <c r="T1213" s="294"/>
      <c r="U1213" s="294"/>
      <c r="V1213" s="431"/>
      <c r="W1213" s="331"/>
      <c r="X1213" s="331"/>
      <c r="Y1213" s="294">
        <f>IF(NFI_Expiration=1,IF($A1213&lt;VLOOKUP(H$5,NFI,5,0),1,0)*Table_NFI[[#This Row],[Hygiene Kit]],Table_NFI[Hygiene Kit])</f>
        <v>0</v>
      </c>
      <c r="Z1213" s="294">
        <f>IF(NFI_Expiration=1,IF($A1213&lt;VLOOKUP(I$5,NFI,5,0),1,0)*Table_NFI[[#This Row],[NFI Core Kit]],Table_NFI[NFI Core Kit])</f>
        <v>0</v>
      </c>
      <c r="AA1213" s="294">
        <f>IF(NFI_Expiration=1,IF($A1213&lt;VLOOKUP(J$5,NFI,5,0),1,0)*Table_NFI[[#This Row],[Sanitary Kit]],Table_NFI[Sanitary Kit])</f>
        <v>0</v>
      </c>
      <c r="AB1213" s="294">
        <f>IF(NFI_Expiration=1,IF($A1213&lt;VLOOKUP(K$5,NFI,5,0),1,0)*Table_NFI[[#This Row],[Mosquito net]],Table_NFI[Mosquito net])</f>
        <v>0</v>
      </c>
      <c r="AC1213" s="294">
        <f>IF(NFI_Expiration=1,IF($A1213&lt;VLOOKUP(L$5,NFI,5,0),1,0)*Table_NFI[[#This Row],[Tarpaulin]],Table_NFI[[#This Row],[Tarpaulin]])</f>
        <v>0</v>
      </c>
      <c r="AD1213" s="294">
        <f>IF(NFI_Expiration=1,IF($A1213&lt;VLOOKUP(M$5,NFI,5,0),1,0)*Table_NFI[[#This Row],[Blanket]],Table_NFI[[#This Row],[Blanket]])</f>
        <v>0</v>
      </c>
      <c r="AE1213" s="294">
        <f>IF(NFI_Expiration=1,IF($A1213&lt;VLOOKUP(N$5,NFI,5,0),1,0)*Table_NFI[[#This Row],[Kitchen Set]],Table_NFI[Kitchen Set])</f>
        <v>0</v>
      </c>
      <c r="AF1213" s="294">
        <f>IF(NFI_Expiration=1,IF($A1213&lt;VLOOKUP(O$5,NFI,5,0),1,0)*Table_NFI[[#This Row],[Clothes Kit]],Table_NFI[Clothes Kit])</f>
        <v>0</v>
      </c>
      <c r="AG1213" s="294">
        <f>IF(NFI_Expiration=1,IF($A1213&lt;VLOOKUP(P$5,NFI,5,0),1,0)*Table_NFI[[#This Row],[Plastic Bucket]],Table_NFI[Plastic Bucket])</f>
        <v>0</v>
      </c>
      <c r="AH1213" s="294">
        <f>IF(NFI_Expiration=1,IF($A1213&lt;VLOOKUP(Q$5,NFI,5,0),1,0)*Table_NFI[[#This Row],[Plastic Mat]],Table_NFI[Plastic Mat])*IF(Table_NFI[[#This Row],[Distribution Date]]&gt;"2014-04-01",1,2.5)</f>
        <v>0</v>
      </c>
      <c r="AI1213" s="294">
        <f>IF(NFI_Expiration=1,IF($A1213&lt;VLOOKUP(R$5,NFI,5,0),1,0)*Table_NFI[[#This Row],[Winter Clothes Adult]],Table_NFI[Winter Clothes Adult])</f>
        <v>0</v>
      </c>
      <c r="AJ1213" s="294">
        <f>IF(NFI_Expiration=1,IF($A1213&lt;VLOOKUP(S$5,NFI,5,0),1,0)*Table_NFI[[#This Row],[Winter Clothes Children]],Table_NFI[Winter Clothes Children])</f>
        <v>0</v>
      </c>
      <c r="AK1213" s="294">
        <f>IF(NFI_Expiration=1,IF($A1213&lt;VLOOKUP(T$5,NFI,5,0),1,0)*Table_NFI[[#This Row],[Winter Items Other]],Table_NFI[Winter Items Other])</f>
        <v>0</v>
      </c>
      <c r="AL1213" s="294">
        <f>IF(NFI_Expiration=1,IF($A1213&lt;VLOOKUP(M$5,NFI,5,0),1,0)*Table_NFI[[#This Row],[Winter Blanket]],Table_NFI[[#This Row],[Winter Blanket]])</f>
        <v>0</v>
      </c>
      <c r="AM1213" s="294">
        <f>IF(Table_NFI[[#This Row],[Winter Clothes Adult]]+Table_NFI[[#This Row],[Winter Clothes Children]]+Table_NFI[[#This Row],[Winter Items Other]]+Table_NFI[[#This Row],[Winter Blanket]]&gt;0,1,0)</f>
        <v>0</v>
      </c>
      <c r="AN1213" s="331">
        <f>IF(NFI_Expiration=1,IF($A1213&lt;VLOOKUP(V$5,NFI,5,0),1,0)*Table_NFI[[#This Row],[Jerry Can]],Table_NFI[Jerry Can])</f>
        <v>0</v>
      </c>
      <c r="AO1213" s="331">
        <f>IF(NFI_Expiration=1,IF($A1213&lt;VLOOKUP(V$5,NFI,5,0),1,0)*Table_NFI[[#This Row],[Shelter Tool kit]],Table_NFI[Shelter Tool kit])</f>
        <v>0</v>
      </c>
      <c r="AP1213" s="331">
        <f>IF(NFI_Expiration=1,IF($A1213&lt;VLOOKUP(V$5,NFI,5,0),1,0)*Table_NFI[[#This Row],[Tent]],Table_NFI[Tent])</f>
        <v>0</v>
      </c>
      <c r="AQ1213" s="473" t="str">
        <f>IFERROR(VLOOKUP(Table_NFI[[#This Row],[Camp Name]],CL,2,0),"")</f>
        <v/>
      </c>
      <c r="AR1213" s="468" t="str">
        <f ca="1">IF(Table_NFI[[#This Row],[Pcode]]="","",IF(OFFSET(CampList[Opening Date],MATCH(Table_NFI[[#This Row],[Pcode]],CampList[CP_Pcode],0)-1,0,1,1)&gt;=NFI_Monitor_Date,1,0))</f>
        <v/>
      </c>
      <c r="AS1213" s="473" t="str">
        <f>IFERROR(VLOOKUP(Table_NFI[[#This Row],[Camp Name]],CL,3,0),"")</f>
        <v/>
      </c>
      <c r="AT1213" s="294" t="str">
        <f ca="1">IF(Table_NFI[[#This Row],[Pcode]]="","",OFFSET(CampList[Priority],MATCH(Table_NFI[[#This Row],[Pcode]],CampList[CP_Pcode],0)-1,0,1,1))</f>
        <v/>
      </c>
      <c r="AU1213" s="293" t="str">
        <f>IFERROR(Table_NFI[[#This Row],[Kitchen Set]]/VLOOKUP(Table_NFI[[#This Row],[Camp Name]],CL,4,0),"")</f>
        <v/>
      </c>
      <c r="AV1213" s="466"/>
      <c r="AW1213" s="469"/>
    </row>
    <row r="1214" spans="1:49" ht="14.45" customHeight="1" x14ac:dyDescent="0.25">
      <c r="A1214" s="297" t="str">
        <f t="shared" si="18"/>
        <v/>
      </c>
      <c r="B1214" s="465"/>
      <c r="C1214" s="471"/>
      <c r="D1214" s="471"/>
      <c r="E1214" s="471"/>
      <c r="F1214" s="471"/>
      <c r="G1214" s="471"/>
      <c r="H1214" s="292"/>
      <c r="I1214" s="292"/>
      <c r="J1214" s="292"/>
      <c r="K1214" s="292"/>
      <c r="L1214" s="292"/>
      <c r="M1214" s="292"/>
      <c r="N1214" s="292"/>
      <c r="O1214" s="292"/>
      <c r="P1214" s="294"/>
      <c r="Q1214" s="294"/>
      <c r="R1214" s="294"/>
      <c r="S1214" s="294"/>
      <c r="T1214" s="294"/>
      <c r="U1214" s="294"/>
      <c r="V1214" s="431"/>
      <c r="W1214" s="331"/>
      <c r="X1214" s="331"/>
      <c r="Y1214" s="294">
        <f>IF(NFI_Expiration=1,IF($A1214&lt;VLOOKUP(H$5,NFI,5,0),1,0)*Table_NFI[[#This Row],[Hygiene Kit]],Table_NFI[Hygiene Kit])</f>
        <v>0</v>
      </c>
      <c r="Z1214" s="294">
        <f>IF(NFI_Expiration=1,IF($A1214&lt;VLOOKUP(I$5,NFI,5,0),1,0)*Table_NFI[[#This Row],[NFI Core Kit]],Table_NFI[NFI Core Kit])</f>
        <v>0</v>
      </c>
      <c r="AA1214" s="294">
        <f>IF(NFI_Expiration=1,IF($A1214&lt;VLOOKUP(J$5,NFI,5,0),1,0)*Table_NFI[[#This Row],[Sanitary Kit]],Table_NFI[Sanitary Kit])</f>
        <v>0</v>
      </c>
      <c r="AB1214" s="294">
        <f>IF(NFI_Expiration=1,IF($A1214&lt;VLOOKUP(K$5,NFI,5,0),1,0)*Table_NFI[[#This Row],[Mosquito net]],Table_NFI[Mosquito net])</f>
        <v>0</v>
      </c>
      <c r="AC1214" s="294">
        <f>IF(NFI_Expiration=1,IF($A1214&lt;VLOOKUP(L$5,NFI,5,0),1,0)*Table_NFI[[#This Row],[Tarpaulin]],Table_NFI[[#This Row],[Tarpaulin]])</f>
        <v>0</v>
      </c>
      <c r="AD1214" s="294">
        <f>IF(NFI_Expiration=1,IF($A1214&lt;VLOOKUP(M$5,NFI,5,0),1,0)*Table_NFI[[#This Row],[Blanket]],Table_NFI[[#This Row],[Blanket]])</f>
        <v>0</v>
      </c>
      <c r="AE1214" s="294">
        <f>IF(NFI_Expiration=1,IF($A1214&lt;VLOOKUP(N$5,NFI,5,0),1,0)*Table_NFI[[#This Row],[Kitchen Set]],Table_NFI[Kitchen Set])</f>
        <v>0</v>
      </c>
      <c r="AF1214" s="294">
        <f>IF(NFI_Expiration=1,IF($A1214&lt;VLOOKUP(O$5,NFI,5,0),1,0)*Table_NFI[[#This Row],[Clothes Kit]],Table_NFI[Clothes Kit])</f>
        <v>0</v>
      </c>
      <c r="AG1214" s="294">
        <f>IF(NFI_Expiration=1,IF($A1214&lt;VLOOKUP(P$5,NFI,5,0),1,0)*Table_NFI[[#This Row],[Plastic Bucket]],Table_NFI[Plastic Bucket])</f>
        <v>0</v>
      </c>
      <c r="AH1214" s="294">
        <f>IF(NFI_Expiration=1,IF($A1214&lt;VLOOKUP(Q$5,NFI,5,0),1,0)*Table_NFI[[#This Row],[Plastic Mat]],Table_NFI[Plastic Mat])*IF(Table_NFI[[#This Row],[Distribution Date]]&gt;"2014-04-01",1,2.5)</f>
        <v>0</v>
      </c>
      <c r="AI1214" s="294">
        <f>IF(NFI_Expiration=1,IF($A1214&lt;VLOOKUP(R$5,NFI,5,0),1,0)*Table_NFI[[#This Row],[Winter Clothes Adult]],Table_NFI[Winter Clothes Adult])</f>
        <v>0</v>
      </c>
      <c r="AJ1214" s="294">
        <f>IF(NFI_Expiration=1,IF($A1214&lt;VLOOKUP(S$5,NFI,5,0),1,0)*Table_NFI[[#This Row],[Winter Clothes Children]],Table_NFI[Winter Clothes Children])</f>
        <v>0</v>
      </c>
      <c r="AK1214" s="294">
        <f>IF(NFI_Expiration=1,IF($A1214&lt;VLOOKUP(T$5,NFI,5,0),1,0)*Table_NFI[[#This Row],[Winter Items Other]],Table_NFI[Winter Items Other])</f>
        <v>0</v>
      </c>
      <c r="AL1214" s="294">
        <f>IF(NFI_Expiration=1,IF($A1214&lt;VLOOKUP(M$5,NFI,5,0),1,0)*Table_NFI[[#This Row],[Winter Blanket]],Table_NFI[[#This Row],[Winter Blanket]])</f>
        <v>0</v>
      </c>
      <c r="AM1214" s="294">
        <f>IF(Table_NFI[[#This Row],[Winter Clothes Adult]]+Table_NFI[[#This Row],[Winter Clothes Children]]+Table_NFI[[#This Row],[Winter Items Other]]+Table_NFI[[#This Row],[Winter Blanket]]&gt;0,1,0)</f>
        <v>0</v>
      </c>
      <c r="AN1214" s="331">
        <f>IF(NFI_Expiration=1,IF($A1214&lt;VLOOKUP(V$5,NFI,5,0),1,0)*Table_NFI[[#This Row],[Jerry Can]],Table_NFI[Jerry Can])</f>
        <v>0</v>
      </c>
      <c r="AO1214" s="331">
        <f>IF(NFI_Expiration=1,IF($A1214&lt;VLOOKUP(V$5,NFI,5,0),1,0)*Table_NFI[[#This Row],[Shelter Tool kit]],Table_NFI[Shelter Tool kit])</f>
        <v>0</v>
      </c>
      <c r="AP1214" s="331">
        <f>IF(NFI_Expiration=1,IF($A1214&lt;VLOOKUP(V$5,NFI,5,0),1,0)*Table_NFI[[#This Row],[Tent]],Table_NFI[Tent])</f>
        <v>0</v>
      </c>
      <c r="AQ1214" s="473" t="str">
        <f>IFERROR(VLOOKUP(Table_NFI[[#This Row],[Camp Name]],CL,2,0),"")</f>
        <v/>
      </c>
      <c r="AR1214" s="468" t="str">
        <f ca="1">IF(Table_NFI[[#This Row],[Pcode]]="","",IF(OFFSET(CampList[Opening Date],MATCH(Table_NFI[[#This Row],[Pcode]],CampList[CP_Pcode],0)-1,0,1,1)&gt;=NFI_Monitor_Date,1,0))</f>
        <v/>
      </c>
      <c r="AS1214" s="473" t="str">
        <f>IFERROR(VLOOKUP(Table_NFI[[#This Row],[Camp Name]],CL,3,0),"")</f>
        <v/>
      </c>
      <c r="AT1214" s="294" t="str">
        <f ca="1">IF(Table_NFI[[#This Row],[Pcode]]="","",OFFSET(CampList[Priority],MATCH(Table_NFI[[#This Row],[Pcode]],CampList[CP_Pcode],0)-1,0,1,1))</f>
        <v/>
      </c>
      <c r="AU1214" s="293" t="str">
        <f>IFERROR(Table_NFI[[#This Row],[Kitchen Set]]/VLOOKUP(Table_NFI[[#This Row],[Camp Name]],CL,4,0),"")</f>
        <v/>
      </c>
      <c r="AV1214" s="466"/>
      <c r="AW1214" s="469"/>
    </row>
    <row r="1215" spans="1:49" ht="14.45" customHeight="1" x14ac:dyDescent="0.25">
      <c r="A1215" s="297" t="str">
        <f t="shared" si="18"/>
        <v/>
      </c>
      <c r="B1215" s="465"/>
      <c r="C1215" s="471"/>
      <c r="D1215" s="471"/>
      <c r="E1215" s="471"/>
      <c r="F1215" s="471"/>
      <c r="G1215" s="471"/>
      <c r="H1215" s="292"/>
      <c r="I1215" s="292"/>
      <c r="J1215" s="292"/>
      <c r="K1215" s="292"/>
      <c r="L1215" s="292"/>
      <c r="M1215" s="292"/>
      <c r="N1215" s="292"/>
      <c r="O1215" s="292"/>
      <c r="P1215" s="294"/>
      <c r="Q1215" s="294"/>
      <c r="R1215" s="294"/>
      <c r="S1215" s="294"/>
      <c r="T1215" s="294"/>
      <c r="U1215" s="294"/>
      <c r="V1215" s="431"/>
      <c r="W1215" s="331"/>
      <c r="X1215" s="331"/>
      <c r="Y1215" s="294">
        <f>IF(NFI_Expiration=1,IF($A1215&lt;VLOOKUP(H$5,NFI,5,0),1,0)*Table_NFI[[#This Row],[Hygiene Kit]],Table_NFI[Hygiene Kit])</f>
        <v>0</v>
      </c>
      <c r="Z1215" s="294">
        <f>IF(NFI_Expiration=1,IF($A1215&lt;VLOOKUP(I$5,NFI,5,0),1,0)*Table_NFI[[#This Row],[NFI Core Kit]],Table_NFI[NFI Core Kit])</f>
        <v>0</v>
      </c>
      <c r="AA1215" s="294">
        <f>IF(NFI_Expiration=1,IF($A1215&lt;VLOOKUP(J$5,NFI,5,0),1,0)*Table_NFI[[#This Row],[Sanitary Kit]],Table_NFI[Sanitary Kit])</f>
        <v>0</v>
      </c>
      <c r="AB1215" s="294">
        <f>IF(NFI_Expiration=1,IF($A1215&lt;VLOOKUP(K$5,NFI,5,0),1,0)*Table_NFI[[#This Row],[Mosquito net]],Table_NFI[Mosquito net])</f>
        <v>0</v>
      </c>
      <c r="AC1215" s="294">
        <f>IF(NFI_Expiration=1,IF($A1215&lt;VLOOKUP(L$5,NFI,5,0),1,0)*Table_NFI[[#This Row],[Tarpaulin]],Table_NFI[[#This Row],[Tarpaulin]])</f>
        <v>0</v>
      </c>
      <c r="AD1215" s="294">
        <f>IF(NFI_Expiration=1,IF($A1215&lt;VLOOKUP(M$5,NFI,5,0),1,0)*Table_NFI[[#This Row],[Blanket]],Table_NFI[[#This Row],[Blanket]])</f>
        <v>0</v>
      </c>
      <c r="AE1215" s="294">
        <f>IF(NFI_Expiration=1,IF($A1215&lt;VLOOKUP(N$5,NFI,5,0),1,0)*Table_NFI[[#This Row],[Kitchen Set]],Table_NFI[Kitchen Set])</f>
        <v>0</v>
      </c>
      <c r="AF1215" s="294">
        <f>IF(NFI_Expiration=1,IF($A1215&lt;VLOOKUP(O$5,NFI,5,0),1,0)*Table_NFI[[#This Row],[Clothes Kit]],Table_NFI[Clothes Kit])</f>
        <v>0</v>
      </c>
      <c r="AG1215" s="294">
        <f>IF(NFI_Expiration=1,IF($A1215&lt;VLOOKUP(P$5,NFI,5,0),1,0)*Table_NFI[[#This Row],[Plastic Bucket]],Table_NFI[Plastic Bucket])</f>
        <v>0</v>
      </c>
      <c r="AH1215" s="294">
        <f>IF(NFI_Expiration=1,IF($A1215&lt;VLOOKUP(Q$5,NFI,5,0),1,0)*Table_NFI[[#This Row],[Plastic Mat]],Table_NFI[Plastic Mat])*IF(Table_NFI[[#This Row],[Distribution Date]]&gt;"2014-04-01",1,2.5)</f>
        <v>0</v>
      </c>
      <c r="AI1215" s="294">
        <f>IF(NFI_Expiration=1,IF($A1215&lt;VLOOKUP(R$5,NFI,5,0),1,0)*Table_NFI[[#This Row],[Winter Clothes Adult]],Table_NFI[Winter Clothes Adult])</f>
        <v>0</v>
      </c>
      <c r="AJ1215" s="294">
        <f>IF(NFI_Expiration=1,IF($A1215&lt;VLOOKUP(S$5,NFI,5,0),1,0)*Table_NFI[[#This Row],[Winter Clothes Children]],Table_NFI[Winter Clothes Children])</f>
        <v>0</v>
      </c>
      <c r="AK1215" s="294">
        <f>IF(NFI_Expiration=1,IF($A1215&lt;VLOOKUP(T$5,NFI,5,0),1,0)*Table_NFI[[#This Row],[Winter Items Other]],Table_NFI[Winter Items Other])</f>
        <v>0</v>
      </c>
      <c r="AL1215" s="294">
        <f>IF(NFI_Expiration=1,IF($A1215&lt;VLOOKUP(M$5,NFI,5,0),1,0)*Table_NFI[[#This Row],[Winter Blanket]],Table_NFI[[#This Row],[Winter Blanket]])</f>
        <v>0</v>
      </c>
      <c r="AM1215" s="294">
        <f>IF(Table_NFI[[#This Row],[Winter Clothes Adult]]+Table_NFI[[#This Row],[Winter Clothes Children]]+Table_NFI[[#This Row],[Winter Items Other]]+Table_NFI[[#This Row],[Winter Blanket]]&gt;0,1,0)</f>
        <v>0</v>
      </c>
      <c r="AN1215" s="331">
        <f>IF(NFI_Expiration=1,IF($A1215&lt;VLOOKUP(V$5,NFI,5,0),1,0)*Table_NFI[[#This Row],[Jerry Can]],Table_NFI[Jerry Can])</f>
        <v>0</v>
      </c>
      <c r="AO1215" s="331">
        <f>IF(NFI_Expiration=1,IF($A1215&lt;VLOOKUP(V$5,NFI,5,0),1,0)*Table_NFI[[#This Row],[Shelter Tool kit]],Table_NFI[Shelter Tool kit])</f>
        <v>0</v>
      </c>
      <c r="AP1215" s="331">
        <f>IF(NFI_Expiration=1,IF($A1215&lt;VLOOKUP(V$5,NFI,5,0),1,0)*Table_NFI[[#This Row],[Tent]],Table_NFI[Tent])</f>
        <v>0</v>
      </c>
      <c r="AQ1215" s="473" t="str">
        <f>IFERROR(VLOOKUP(Table_NFI[[#This Row],[Camp Name]],CL,2,0),"")</f>
        <v/>
      </c>
      <c r="AR1215" s="468" t="str">
        <f ca="1">IF(Table_NFI[[#This Row],[Pcode]]="","",IF(OFFSET(CampList[Opening Date],MATCH(Table_NFI[[#This Row],[Pcode]],CampList[CP_Pcode],0)-1,0,1,1)&gt;=NFI_Monitor_Date,1,0))</f>
        <v/>
      </c>
      <c r="AS1215" s="473" t="str">
        <f>IFERROR(VLOOKUP(Table_NFI[[#This Row],[Camp Name]],CL,3,0),"")</f>
        <v/>
      </c>
      <c r="AT1215" s="294" t="str">
        <f ca="1">IF(Table_NFI[[#This Row],[Pcode]]="","",OFFSET(CampList[Priority],MATCH(Table_NFI[[#This Row],[Pcode]],CampList[CP_Pcode],0)-1,0,1,1))</f>
        <v/>
      </c>
      <c r="AU1215" s="293" t="str">
        <f>IFERROR(Table_NFI[[#This Row],[Kitchen Set]]/VLOOKUP(Table_NFI[[#This Row],[Camp Name]],CL,4,0),"")</f>
        <v/>
      </c>
      <c r="AV1215" s="466"/>
      <c r="AW1215" s="469"/>
    </row>
    <row r="1216" spans="1:49" ht="14.45" customHeight="1" x14ac:dyDescent="0.25">
      <c r="A1216" s="297" t="str">
        <f t="shared" si="18"/>
        <v/>
      </c>
      <c r="B1216" s="465"/>
      <c r="C1216" s="471"/>
      <c r="D1216" s="471"/>
      <c r="E1216" s="471"/>
      <c r="F1216" s="471"/>
      <c r="G1216" s="471"/>
      <c r="H1216" s="292"/>
      <c r="I1216" s="292"/>
      <c r="J1216" s="292"/>
      <c r="K1216" s="292"/>
      <c r="L1216" s="292"/>
      <c r="M1216" s="292"/>
      <c r="N1216" s="292"/>
      <c r="O1216" s="292"/>
      <c r="P1216" s="294"/>
      <c r="Q1216" s="294"/>
      <c r="R1216" s="294"/>
      <c r="S1216" s="294"/>
      <c r="T1216" s="294"/>
      <c r="U1216" s="294"/>
      <c r="V1216" s="431"/>
      <c r="W1216" s="331"/>
      <c r="X1216" s="331"/>
      <c r="Y1216" s="294">
        <f>IF(NFI_Expiration=1,IF($A1216&lt;VLOOKUP(H$5,NFI,5,0),1,0)*Table_NFI[[#This Row],[Hygiene Kit]],Table_NFI[Hygiene Kit])</f>
        <v>0</v>
      </c>
      <c r="Z1216" s="294">
        <f>IF(NFI_Expiration=1,IF($A1216&lt;VLOOKUP(I$5,NFI,5,0),1,0)*Table_NFI[[#This Row],[NFI Core Kit]],Table_NFI[NFI Core Kit])</f>
        <v>0</v>
      </c>
      <c r="AA1216" s="294">
        <f>IF(NFI_Expiration=1,IF($A1216&lt;VLOOKUP(J$5,NFI,5,0),1,0)*Table_NFI[[#This Row],[Sanitary Kit]],Table_NFI[Sanitary Kit])</f>
        <v>0</v>
      </c>
      <c r="AB1216" s="294">
        <f>IF(NFI_Expiration=1,IF($A1216&lt;VLOOKUP(K$5,NFI,5,0),1,0)*Table_NFI[[#This Row],[Mosquito net]],Table_NFI[Mosquito net])</f>
        <v>0</v>
      </c>
      <c r="AC1216" s="294">
        <f>IF(NFI_Expiration=1,IF($A1216&lt;VLOOKUP(L$5,NFI,5,0),1,0)*Table_NFI[[#This Row],[Tarpaulin]],Table_NFI[[#This Row],[Tarpaulin]])</f>
        <v>0</v>
      </c>
      <c r="AD1216" s="294">
        <f>IF(NFI_Expiration=1,IF($A1216&lt;VLOOKUP(M$5,NFI,5,0),1,0)*Table_NFI[[#This Row],[Blanket]],Table_NFI[[#This Row],[Blanket]])</f>
        <v>0</v>
      </c>
      <c r="AE1216" s="294">
        <f>IF(NFI_Expiration=1,IF($A1216&lt;VLOOKUP(N$5,NFI,5,0),1,0)*Table_NFI[[#This Row],[Kitchen Set]],Table_NFI[Kitchen Set])</f>
        <v>0</v>
      </c>
      <c r="AF1216" s="294">
        <f>IF(NFI_Expiration=1,IF($A1216&lt;VLOOKUP(O$5,NFI,5,0),1,0)*Table_NFI[[#This Row],[Clothes Kit]],Table_NFI[Clothes Kit])</f>
        <v>0</v>
      </c>
      <c r="AG1216" s="294">
        <f>IF(NFI_Expiration=1,IF($A1216&lt;VLOOKUP(P$5,NFI,5,0),1,0)*Table_NFI[[#This Row],[Plastic Bucket]],Table_NFI[Plastic Bucket])</f>
        <v>0</v>
      </c>
      <c r="AH1216" s="294">
        <f>IF(NFI_Expiration=1,IF($A1216&lt;VLOOKUP(Q$5,NFI,5,0),1,0)*Table_NFI[[#This Row],[Plastic Mat]],Table_NFI[Plastic Mat])*IF(Table_NFI[[#This Row],[Distribution Date]]&gt;"2014-04-01",1,2.5)</f>
        <v>0</v>
      </c>
      <c r="AI1216" s="294">
        <f>IF(NFI_Expiration=1,IF($A1216&lt;VLOOKUP(R$5,NFI,5,0),1,0)*Table_NFI[[#This Row],[Winter Clothes Adult]],Table_NFI[Winter Clothes Adult])</f>
        <v>0</v>
      </c>
      <c r="AJ1216" s="294">
        <f>IF(NFI_Expiration=1,IF($A1216&lt;VLOOKUP(S$5,NFI,5,0),1,0)*Table_NFI[[#This Row],[Winter Clothes Children]],Table_NFI[Winter Clothes Children])</f>
        <v>0</v>
      </c>
      <c r="AK1216" s="294">
        <f>IF(NFI_Expiration=1,IF($A1216&lt;VLOOKUP(T$5,NFI,5,0),1,0)*Table_NFI[[#This Row],[Winter Items Other]],Table_NFI[Winter Items Other])</f>
        <v>0</v>
      </c>
      <c r="AL1216" s="294">
        <f>IF(NFI_Expiration=1,IF($A1216&lt;VLOOKUP(M$5,NFI,5,0),1,0)*Table_NFI[[#This Row],[Winter Blanket]],Table_NFI[[#This Row],[Winter Blanket]])</f>
        <v>0</v>
      </c>
      <c r="AM1216" s="294">
        <f>IF(Table_NFI[[#This Row],[Winter Clothes Adult]]+Table_NFI[[#This Row],[Winter Clothes Children]]+Table_NFI[[#This Row],[Winter Items Other]]+Table_NFI[[#This Row],[Winter Blanket]]&gt;0,1,0)</f>
        <v>0</v>
      </c>
      <c r="AN1216" s="331">
        <f>IF(NFI_Expiration=1,IF($A1216&lt;VLOOKUP(V$5,NFI,5,0),1,0)*Table_NFI[[#This Row],[Jerry Can]],Table_NFI[Jerry Can])</f>
        <v>0</v>
      </c>
      <c r="AO1216" s="331">
        <f>IF(NFI_Expiration=1,IF($A1216&lt;VLOOKUP(V$5,NFI,5,0),1,0)*Table_NFI[[#This Row],[Shelter Tool kit]],Table_NFI[Shelter Tool kit])</f>
        <v>0</v>
      </c>
      <c r="AP1216" s="331">
        <f>IF(NFI_Expiration=1,IF($A1216&lt;VLOOKUP(V$5,NFI,5,0),1,0)*Table_NFI[[#This Row],[Tent]],Table_NFI[Tent])</f>
        <v>0</v>
      </c>
      <c r="AQ1216" s="473" t="str">
        <f>IFERROR(VLOOKUP(Table_NFI[[#This Row],[Camp Name]],CL,2,0),"")</f>
        <v/>
      </c>
      <c r="AR1216" s="468" t="str">
        <f ca="1">IF(Table_NFI[[#This Row],[Pcode]]="","",IF(OFFSET(CampList[Opening Date],MATCH(Table_NFI[[#This Row],[Pcode]],CampList[CP_Pcode],0)-1,0,1,1)&gt;=NFI_Monitor_Date,1,0))</f>
        <v/>
      </c>
      <c r="AS1216" s="473" t="str">
        <f>IFERROR(VLOOKUP(Table_NFI[[#This Row],[Camp Name]],CL,3,0),"")</f>
        <v/>
      </c>
      <c r="AT1216" s="294" t="str">
        <f ca="1">IF(Table_NFI[[#This Row],[Pcode]]="","",OFFSET(CampList[Priority],MATCH(Table_NFI[[#This Row],[Pcode]],CampList[CP_Pcode],0)-1,0,1,1))</f>
        <v/>
      </c>
      <c r="AU1216" s="293" t="str">
        <f>IFERROR(Table_NFI[[#This Row],[Kitchen Set]]/VLOOKUP(Table_NFI[[#This Row],[Camp Name]],CL,4,0),"")</f>
        <v/>
      </c>
      <c r="AV1216" s="466"/>
      <c r="AW1216" s="469"/>
    </row>
    <row r="1217" spans="1:49" ht="14.45" customHeight="1" x14ac:dyDescent="0.25">
      <c r="A1217" s="297" t="str">
        <f t="shared" si="18"/>
        <v/>
      </c>
      <c r="B1217" s="465"/>
      <c r="C1217" s="471"/>
      <c r="D1217" s="471"/>
      <c r="E1217" s="471"/>
      <c r="F1217" s="471"/>
      <c r="G1217" s="471"/>
      <c r="H1217" s="292"/>
      <c r="I1217" s="292"/>
      <c r="J1217" s="292"/>
      <c r="K1217" s="292"/>
      <c r="L1217" s="292"/>
      <c r="M1217" s="292"/>
      <c r="N1217" s="292"/>
      <c r="O1217" s="292"/>
      <c r="P1217" s="294"/>
      <c r="Q1217" s="294"/>
      <c r="R1217" s="294"/>
      <c r="S1217" s="294"/>
      <c r="T1217" s="294"/>
      <c r="U1217" s="294"/>
      <c r="V1217" s="431"/>
      <c r="W1217" s="331"/>
      <c r="X1217" s="331"/>
      <c r="Y1217" s="294">
        <f>IF(NFI_Expiration=1,IF($A1217&lt;VLOOKUP(H$5,NFI,5,0),1,0)*Table_NFI[[#This Row],[Hygiene Kit]],Table_NFI[Hygiene Kit])</f>
        <v>0</v>
      </c>
      <c r="Z1217" s="294">
        <f>IF(NFI_Expiration=1,IF($A1217&lt;VLOOKUP(I$5,NFI,5,0),1,0)*Table_NFI[[#This Row],[NFI Core Kit]],Table_NFI[NFI Core Kit])</f>
        <v>0</v>
      </c>
      <c r="AA1217" s="294">
        <f>IF(NFI_Expiration=1,IF($A1217&lt;VLOOKUP(J$5,NFI,5,0),1,0)*Table_NFI[[#This Row],[Sanitary Kit]],Table_NFI[Sanitary Kit])</f>
        <v>0</v>
      </c>
      <c r="AB1217" s="294">
        <f>IF(NFI_Expiration=1,IF($A1217&lt;VLOOKUP(K$5,NFI,5,0),1,0)*Table_NFI[[#This Row],[Mosquito net]],Table_NFI[Mosquito net])</f>
        <v>0</v>
      </c>
      <c r="AC1217" s="294">
        <f>IF(NFI_Expiration=1,IF($A1217&lt;VLOOKUP(L$5,NFI,5,0),1,0)*Table_NFI[[#This Row],[Tarpaulin]],Table_NFI[[#This Row],[Tarpaulin]])</f>
        <v>0</v>
      </c>
      <c r="AD1217" s="294">
        <f>IF(NFI_Expiration=1,IF($A1217&lt;VLOOKUP(M$5,NFI,5,0),1,0)*Table_NFI[[#This Row],[Blanket]],Table_NFI[[#This Row],[Blanket]])</f>
        <v>0</v>
      </c>
      <c r="AE1217" s="294">
        <f>IF(NFI_Expiration=1,IF($A1217&lt;VLOOKUP(N$5,NFI,5,0),1,0)*Table_NFI[[#This Row],[Kitchen Set]],Table_NFI[Kitchen Set])</f>
        <v>0</v>
      </c>
      <c r="AF1217" s="294">
        <f>IF(NFI_Expiration=1,IF($A1217&lt;VLOOKUP(O$5,NFI,5,0),1,0)*Table_NFI[[#This Row],[Clothes Kit]],Table_NFI[Clothes Kit])</f>
        <v>0</v>
      </c>
      <c r="AG1217" s="294">
        <f>IF(NFI_Expiration=1,IF($A1217&lt;VLOOKUP(P$5,NFI,5,0),1,0)*Table_NFI[[#This Row],[Plastic Bucket]],Table_NFI[Plastic Bucket])</f>
        <v>0</v>
      </c>
      <c r="AH1217" s="294">
        <f>IF(NFI_Expiration=1,IF($A1217&lt;VLOOKUP(Q$5,NFI,5,0),1,0)*Table_NFI[[#This Row],[Plastic Mat]],Table_NFI[Plastic Mat])*IF(Table_NFI[[#This Row],[Distribution Date]]&gt;"2014-04-01",1,2.5)</f>
        <v>0</v>
      </c>
      <c r="AI1217" s="294">
        <f>IF(NFI_Expiration=1,IF($A1217&lt;VLOOKUP(R$5,NFI,5,0),1,0)*Table_NFI[[#This Row],[Winter Clothes Adult]],Table_NFI[Winter Clothes Adult])</f>
        <v>0</v>
      </c>
      <c r="AJ1217" s="294">
        <f>IF(NFI_Expiration=1,IF($A1217&lt;VLOOKUP(S$5,NFI,5,0),1,0)*Table_NFI[[#This Row],[Winter Clothes Children]],Table_NFI[Winter Clothes Children])</f>
        <v>0</v>
      </c>
      <c r="AK1217" s="294">
        <f>IF(NFI_Expiration=1,IF($A1217&lt;VLOOKUP(T$5,NFI,5,0),1,0)*Table_NFI[[#This Row],[Winter Items Other]],Table_NFI[Winter Items Other])</f>
        <v>0</v>
      </c>
      <c r="AL1217" s="294">
        <f>IF(NFI_Expiration=1,IF($A1217&lt;VLOOKUP(M$5,NFI,5,0),1,0)*Table_NFI[[#This Row],[Winter Blanket]],Table_NFI[[#This Row],[Winter Blanket]])</f>
        <v>0</v>
      </c>
      <c r="AM1217" s="294">
        <f>IF(Table_NFI[[#This Row],[Winter Clothes Adult]]+Table_NFI[[#This Row],[Winter Clothes Children]]+Table_NFI[[#This Row],[Winter Items Other]]+Table_NFI[[#This Row],[Winter Blanket]]&gt;0,1,0)</f>
        <v>0</v>
      </c>
      <c r="AN1217" s="331">
        <f>IF(NFI_Expiration=1,IF($A1217&lt;VLOOKUP(V$5,NFI,5,0),1,0)*Table_NFI[[#This Row],[Jerry Can]],Table_NFI[Jerry Can])</f>
        <v>0</v>
      </c>
      <c r="AO1217" s="331">
        <f>IF(NFI_Expiration=1,IF($A1217&lt;VLOOKUP(V$5,NFI,5,0),1,0)*Table_NFI[[#This Row],[Shelter Tool kit]],Table_NFI[Shelter Tool kit])</f>
        <v>0</v>
      </c>
      <c r="AP1217" s="331">
        <f>IF(NFI_Expiration=1,IF($A1217&lt;VLOOKUP(V$5,NFI,5,0),1,0)*Table_NFI[[#This Row],[Tent]],Table_NFI[Tent])</f>
        <v>0</v>
      </c>
      <c r="AQ1217" s="473" t="str">
        <f>IFERROR(VLOOKUP(Table_NFI[[#This Row],[Camp Name]],CL,2,0),"")</f>
        <v/>
      </c>
      <c r="AR1217" s="468" t="str">
        <f ca="1">IF(Table_NFI[[#This Row],[Pcode]]="","",IF(OFFSET(CampList[Opening Date],MATCH(Table_NFI[[#This Row],[Pcode]],CampList[CP_Pcode],0)-1,0,1,1)&gt;=NFI_Monitor_Date,1,0))</f>
        <v/>
      </c>
      <c r="AS1217" s="473" t="str">
        <f>IFERROR(VLOOKUP(Table_NFI[[#This Row],[Camp Name]],CL,3,0),"")</f>
        <v/>
      </c>
      <c r="AT1217" s="294" t="str">
        <f ca="1">IF(Table_NFI[[#This Row],[Pcode]]="","",OFFSET(CampList[Priority],MATCH(Table_NFI[[#This Row],[Pcode]],CampList[CP_Pcode],0)-1,0,1,1))</f>
        <v/>
      </c>
      <c r="AU1217" s="293" t="str">
        <f>IFERROR(Table_NFI[[#This Row],[Kitchen Set]]/VLOOKUP(Table_NFI[[#This Row],[Camp Name]],CL,4,0),"")</f>
        <v/>
      </c>
      <c r="AV1217" s="466"/>
      <c r="AW1217" s="469"/>
    </row>
    <row r="1218" spans="1:49" ht="14.45" customHeight="1" x14ac:dyDescent="0.25">
      <c r="A1218" s="297" t="str">
        <f t="shared" si="18"/>
        <v/>
      </c>
      <c r="B1218" s="465"/>
      <c r="C1218" s="471"/>
      <c r="D1218" s="471"/>
      <c r="E1218" s="471"/>
      <c r="F1218" s="471"/>
      <c r="G1218" s="471"/>
      <c r="H1218" s="292"/>
      <c r="I1218" s="292"/>
      <c r="J1218" s="292"/>
      <c r="K1218" s="292"/>
      <c r="L1218" s="292"/>
      <c r="M1218" s="292"/>
      <c r="N1218" s="292"/>
      <c r="O1218" s="292"/>
      <c r="P1218" s="294"/>
      <c r="Q1218" s="294"/>
      <c r="R1218" s="294"/>
      <c r="S1218" s="294"/>
      <c r="T1218" s="294"/>
      <c r="U1218" s="294"/>
      <c r="V1218" s="431"/>
      <c r="W1218" s="331"/>
      <c r="X1218" s="331"/>
      <c r="Y1218" s="294">
        <f>IF(NFI_Expiration=1,IF($A1218&lt;VLOOKUP(H$5,NFI,5,0),1,0)*Table_NFI[[#This Row],[Hygiene Kit]],Table_NFI[Hygiene Kit])</f>
        <v>0</v>
      </c>
      <c r="Z1218" s="294">
        <f>IF(NFI_Expiration=1,IF($A1218&lt;VLOOKUP(I$5,NFI,5,0),1,0)*Table_NFI[[#This Row],[NFI Core Kit]],Table_NFI[NFI Core Kit])</f>
        <v>0</v>
      </c>
      <c r="AA1218" s="294">
        <f>IF(NFI_Expiration=1,IF($A1218&lt;VLOOKUP(J$5,NFI,5,0),1,0)*Table_NFI[[#This Row],[Sanitary Kit]],Table_NFI[Sanitary Kit])</f>
        <v>0</v>
      </c>
      <c r="AB1218" s="294">
        <f>IF(NFI_Expiration=1,IF($A1218&lt;VLOOKUP(K$5,NFI,5,0),1,0)*Table_NFI[[#This Row],[Mosquito net]],Table_NFI[Mosquito net])</f>
        <v>0</v>
      </c>
      <c r="AC1218" s="294">
        <f>IF(NFI_Expiration=1,IF($A1218&lt;VLOOKUP(L$5,NFI,5,0),1,0)*Table_NFI[[#This Row],[Tarpaulin]],Table_NFI[[#This Row],[Tarpaulin]])</f>
        <v>0</v>
      </c>
      <c r="AD1218" s="294">
        <f>IF(NFI_Expiration=1,IF($A1218&lt;VLOOKUP(M$5,NFI,5,0),1,0)*Table_NFI[[#This Row],[Blanket]],Table_NFI[[#This Row],[Blanket]])</f>
        <v>0</v>
      </c>
      <c r="AE1218" s="294">
        <f>IF(NFI_Expiration=1,IF($A1218&lt;VLOOKUP(N$5,NFI,5,0),1,0)*Table_NFI[[#This Row],[Kitchen Set]],Table_NFI[Kitchen Set])</f>
        <v>0</v>
      </c>
      <c r="AF1218" s="294">
        <f>IF(NFI_Expiration=1,IF($A1218&lt;VLOOKUP(O$5,NFI,5,0),1,0)*Table_NFI[[#This Row],[Clothes Kit]],Table_NFI[Clothes Kit])</f>
        <v>0</v>
      </c>
      <c r="AG1218" s="294">
        <f>IF(NFI_Expiration=1,IF($A1218&lt;VLOOKUP(P$5,NFI,5,0),1,0)*Table_NFI[[#This Row],[Plastic Bucket]],Table_NFI[Plastic Bucket])</f>
        <v>0</v>
      </c>
      <c r="AH1218" s="294">
        <f>IF(NFI_Expiration=1,IF($A1218&lt;VLOOKUP(Q$5,NFI,5,0),1,0)*Table_NFI[[#This Row],[Plastic Mat]],Table_NFI[Plastic Mat])*IF(Table_NFI[[#This Row],[Distribution Date]]&gt;"2014-04-01",1,2.5)</f>
        <v>0</v>
      </c>
      <c r="AI1218" s="294">
        <f>IF(NFI_Expiration=1,IF($A1218&lt;VLOOKUP(R$5,NFI,5,0),1,0)*Table_NFI[[#This Row],[Winter Clothes Adult]],Table_NFI[Winter Clothes Adult])</f>
        <v>0</v>
      </c>
      <c r="AJ1218" s="294">
        <f>IF(NFI_Expiration=1,IF($A1218&lt;VLOOKUP(S$5,NFI,5,0),1,0)*Table_NFI[[#This Row],[Winter Clothes Children]],Table_NFI[Winter Clothes Children])</f>
        <v>0</v>
      </c>
      <c r="AK1218" s="294">
        <f>IF(NFI_Expiration=1,IF($A1218&lt;VLOOKUP(T$5,NFI,5,0),1,0)*Table_NFI[[#This Row],[Winter Items Other]],Table_NFI[Winter Items Other])</f>
        <v>0</v>
      </c>
      <c r="AL1218" s="294">
        <f>IF(NFI_Expiration=1,IF($A1218&lt;VLOOKUP(M$5,NFI,5,0),1,0)*Table_NFI[[#This Row],[Winter Blanket]],Table_NFI[[#This Row],[Winter Blanket]])</f>
        <v>0</v>
      </c>
      <c r="AM1218" s="294">
        <f>IF(Table_NFI[[#This Row],[Winter Clothes Adult]]+Table_NFI[[#This Row],[Winter Clothes Children]]+Table_NFI[[#This Row],[Winter Items Other]]+Table_NFI[[#This Row],[Winter Blanket]]&gt;0,1,0)</f>
        <v>0</v>
      </c>
      <c r="AN1218" s="331">
        <f>IF(NFI_Expiration=1,IF($A1218&lt;VLOOKUP(V$5,NFI,5,0),1,0)*Table_NFI[[#This Row],[Jerry Can]],Table_NFI[Jerry Can])</f>
        <v>0</v>
      </c>
      <c r="AO1218" s="331">
        <f>IF(NFI_Expiration=1,IF($A1218&lt;VLOOKUP(V$5,NFI,5,0),1,0)*Table_NFI[[#This Row],[Shelter Tool kit]],Table_NFI[Shelter Tool kit])</f>
        <v>0</v>
      </c>
      <c r="AP1218" s="331">
        <f>IF(NFI_Expiration=1,IF($A1218&lt;VLOOKUP(V$5,NFI,5,0),1,0)*Table_NFI[[#This Row],[Tent]],Table_NFI[Tent])</f>
        <v>0</v>
      </c>
      <c r="AQ1218" s="473" t="str">
        <f>IFERROR(VLOOKUP(Table_NFI[[#This Row],[Camp Name]],CL,2,0),"")</f>
        <v/>
      </c>
      <c r="AR1218" s="468" t="str">
        <f ca="1">IF(Table_NFI[[#This Row],[Pcode]]="","",IF(OFFSET(CampList[Opening Date],MATCH(Table_NFI[[#This Row],[Pcode]],CampList[CP_Pcode],0)-1,0,1,1)&gt;=NFI_Monitor_Date,1,0))</f>
        <v/>
      </c>
      <c r="AS1218" s="473" t="str">
        <f>IFERROR(VLOOKUP(Table_NFI[[#This Row],[Camp Name]],CL,3,0),"")</f>
        <v/>
      </c>
      <c r="AT1218" s="294" t="str">
        <f ca="1">IF(Table_NFI[[#This Row],[Pcode]]="","",OFFSET(CampList[Priority],MATCH(Table_NFI[[#This Row],[Pcode]],CampList[CP_Pcode],0)-1,0,1,1))</f>
        <v/>
      </c>
      <c r="AU1218" s="293" t="str">
        <f>IFERROR(Table_NFI[[#This Row],[Kitchen Set]]/VLOOKUP(Table_NFI[[#This Row],[Camp Name]],CL,4,0),"")</f>
        <v/>
      </c>
      <c r="AV1218" s="471"/>
      <c r="AW1218" s="474"/>
    </row>
    <row r="1219" spans="1:49" ht="14.45" customHeight="1" x14ac:dyDescent="0.25">
      <c r="A1219" s="297" t="str">
        <f t="shared" si="18"/>
        <v/>
      </c>
      <c r="B1219" s="465"/>
      <c r="C1219" s="471"/>
      <c r="D1219" s="471"/>
      <c r="E1219" s="471"/>
      <c r="F1219" s="471"/>
      <c r="G1219" s="471"/>
      <c r="H1219" s="292"/>
      <c r="I1219" s="292"/>
      <c r="J1219" s="292"/>
      <c r="K1219" s="292"/>
      <c r="L1219" s="292"/>
      <c r="M1219" s="292"/>
      <c r="N1219" s="292"/>
      <c r="O1219" s="292"/>
      <c r="P1219" s="294"/>
      <c r="Q1219" s="294"/>
      <c r="R1219" s="294"/>
      <c r="S1219" s="294"/>
      <c r="T1219" s="294"/>
      <c r="U1219" s="294"/>
      <c r="V1219" s="431"/>
      <c r="W1219" s="331"/>
      <c r="X1219" s="331"/>
      <c r="Y1219" s="294">
        <f>IF(NFI_Expiration=1,IF($A1219&lt;VLOOKUP(H$5,NFI,5,0),1,0)*Table_NFI[[#This Row],[Hygiene Kit]],Table_NFI[Hygiene Kit])</f>
        <v>0</v>
      </c>
      <c r="Z1219" s="294">
        <f>IF(NFI_Expiration=1,IF($A1219&lt;VLOOKUP(I$5,NFI,5,0),1,0)*Table_NFI[[#This Row],[NFI Core Kit]],Table_NFI[NFI Core Kit])</f>
        <v>0</v>
      </c>
      <c r="AA1219" s="294">
        <f>IF(NFI_Expiration=1,IF($A1219&lt;VLOOKUP(J$5,NFI,5,0),1,0)*Table_NFI[[#This Row],[Sanitary Kit]],Table_NFI[Sanitary Kit])</f>
        <v>0</v>
      </c>
      <c r="AB1219" s="294">
        <f>IF(NFI_Expiration=1,IF($A1219&lt;VLOOKUP(K$5,NFI,5,0),1,0)*Table_NFI[[#This Row],[Mosquito net]],Table_NFI[Mosquito net])</f>
        <v>0</v>
      </c>
      <c r="AC1219" s="294">
        <f>IF(NFI_Expiration=1,IF($A1219&lt;VLOOKUP(L$5,NFI,5,0),1,0)*Table_NFI[[#This Row],[Tarpaulin]],Table_NFI[[#This Row],[Tarpaulin]])</f>
        <v>0</v>
      </c>
      <c r="AD1219" s="294">
        <f>IF(NFI_Expiration=1,IF($A1219&lt;VLOOKUP(M$5,NFI,5,0),1,0)*Table_NFI[[#This Row],[Blanket]],Table_NFI[[#This Row],[Blanket]])</f>
        <v>0</v>
      </c>
      <c r="AE1219" s="294">
        <f>IF(NFI_Expiration=1,IF($A1219&lt;VLOOKUP(N$5,NFI,5,0),1,0)*Table_NFI[[#This Row],[Kitchen Set]],Table_NFI[Kitchen Set])</f>
        <v>0</v>
      </c>
      <c r="AF1219" s="294">
        <f>IF(NFI_Expiration=1,IF($A1219&lt;VLOOKUP(O$5,NFI,5,0),1,0)*Table_NFI[[#This Row],[Clothes Kit]],Table_NFI[Clothes Kit])</f>
        <v>0</v>
      </c>
      <c r="AG1219" s="294">
        <f>IF(NFI_Expiration=1,IF($A1219&lt;VLOOKUP(P$5,NFI,5,0),1,0)*Table_NFI[[#This Row],[Plastic Bucket]],Table_NFI[Plastic Bucket])</f>
        <v>0</v>
      </c>
      <c r="AH1219" s="294">
        <f>IF(NFI_Expiration=1,IF($A1219&lt;VLOOKUP(Q$5,NFI,5,0),1,0)*Table_NFI[[#This Row],[Plastic Mat]],Table_NFI[Plastic Mat])*IF(Table_NFI[[#This Row],[Distribution Date]]&gt;"2014-04-01",1,2.5)</f>
        <v>0</v>
      </c>
      <c r="AI1219" s="294">
        <f>IF(NFI_Expiration=1,IF($A1219&lt;VLOOKUP(R$5,NFI,5,0),1,0)*Table_NFI[[#This Row],[Winter Clothes Adult]],Table_NFI[Winter Clothes Adult])</f>
        <v>0</v>
      </c>
      <c r="AJ1219" s="294">
        <f>IF(NFI_Expiration=1,IF($A1219&lt;VLOOKUP(S$5,NFI,5,0),1,0)*Table_NFI[[#This Row],[Winter Clothes Children]],Table_NFI[Winter Clothes Children])</f>
        <v>0</v>
      </c>
      <c r="AK1219" s="294">
        <f>IF(NFI_Expiration=1,IF($A1219&lt;VLOOKUP(T$5,NFI,5,0),1,0)*Table_NFI[[#This Row],[Winter Items Other]],Table_NFI[Winter Items Other])</f>
        <v>0</v>
      </c>
      <c r="AL1219" s="294">
        <f>IF(NFI_Expiration=1,IF($A1219&lt;VLOOKUP(M$5,NFI,5,0),1,0)*Table_NFI[[#This Row],[Winter Blanket]],Table_NFI[[#This Row],[Winter Blanket]])</f>
        <v>0</v>
      </c>
      <c r="AM1219" s="294">
        <f>IF(Table_NFI[[#This Row],[Winter Clothes Adult]]+Table_NFI[[#This Row],[Winter Clothes Children]]+Table_NFI[[#This Row],[Winter Items Other]]+Table_NFI[[#This Row],[Winter Blanket]]&gt;0,1,0)</f>
        <v>0</v>
      </c>
      <c r="AN1219" s="331">
        <f>IF(NFI_Expiration=1,IF($A1219&lt;VLOOKUP(V$5,NFI,5,0),1,0)*Table_NFI[[#This Row],[Jerry Can]],Table_NFI[Jerry Can])</f>
        <v>0</v>
      </c>
      <c r="AO1219" s="331">
        <f>IF(NFI_Expiration=1,IF($A1219&lt;VLOOKUP(V$5,NFI,5,0),1,0)*Table_NFI[[#This Row],[Shelter Tool kit]],Table_NFI[Shelter Tool kit])</f>
        <v>0</v>
      </c>
      <c r="AP1219" s="331">
        <f>IF(NFI_Expiration=1,IF($A1219&lt;VLOOKUP(V$5,NFI,5,0),1,0)*Table_NFI[[#This Row],[Tent]],Table_NFI[Tent])</f>
        <v>0</v>
      </c>
      <c r="AQ1219" s="473" t="str">
        <f>IFERROR(VLOOKUP(Table_NFI[[#This Row],[Camp Name]],CL,2,0),"")</f>
        <v/>
      </c>
      <c r="AR1219" s="468" t="str">
        <f ca="1">IF(Table_NFI[[#This Row],[Pcode]]="","",IF(OFFSET(CampList[Opening Date],MATCH(Table_NFI[[#This Row],[Pcode]],CampList[CP_Pcode],0)-1,0,1,1)&gt;=NFI_Monitor_Date,1,0))</f>
        <v/>
      </c>
      <c r="AS1219" s="473" t="str">
        <f>IFERROR(VLOOKUP(Table_NFI[[#This Row],[Camp Name]],CL,3,0),"")</f>
        <v/>
      </c>
      <c r="AT1219" s="294" t="str">
        <f ca="1">IF(Table_NFI[[#This Row],[Pcode]]="","",OFFSET(CampList[Priority],MATCH(Table_NFI[[#This Row],[Pcode]],CampList[CP_Pcode],0)-1,0,1,1))</f>
        <v/>
      </c>
      <c r="AU1219" s="293" t="str">
        <f>IFERROR(Table_NFI[[#This Row],[Kitchen Set]]/VLOOKUP(Table_NFI[[#This Row],[Camp Name]],CL,4,0),"")</f>
        <v/>
      </c>
      <c r="AV1219" s="471"/>
      <c r="AW1219" s="474"/>
    </row>
    <row r="1220" spans="1:49" ht="14.45" customHeight="1" x14ac:dyDescent="0.25">
      <c r="A1220" s="297" t="str">
        <f t="shared" si="18"/>
        <v/>
      </c>
      <c r="B1220" s="465"/>
      <c r="C1220" s="471"/>
      <c r="D1220" s="471"/>
      <c r="E1220" s="471"/>
      <c r="F1220" s="471"/>
      <c r="G1220" s="471"/>
      <c r="H1220" s="292"/>
      <c r="I1220" s="292"/>
      <c r="J1220" s="292"/>
      <c r="K1220" s="292"/>
      <c r="L1220" s="292"/>
      <c r="M1220" s="292"/>
      <c r="N1220" s="292"/>
      <c r="O1220" s="292"/>
      <c r="P1220" s="294"/>
      <c r="Q1220" s="294"/>
      <c r="R1220" s="294"/>
      <c r="S1220" s="294"/>
      <c r="T1220" s="294"/>
      <c r="U1220" s="294"/>
      <c r="V1220" s="431"/>
      <c r="W1220" s="331"/>
      <c r="X1220" s="331"/>
      <c r="Y1220" s="294">
        <f>IF(NFI_Expiration=1,IF($A1220&lt;VLOOKUP(H$5,NFI,5,0),1,0)*Table_NFI[[#This Row],[Hygiene Kit]],Table_NFI[Hygiene Kit])</f>
        <v>0</v>
      </c>
      <c r="Z1220" s="294">
        <f>IF(NFI_Expiration=1,IF($A1220&lt;VLOOKUP(I$5,NFI,5,0),1,0)*Table_NFI[[#This Row],[NFI Core Kit]],Table_NFI[NFI Core Kit])</f>
        <v>0</v>
      </c>
      <c r="AA1220" s="294">
        <f>IF(NFI_Expiration=1,IF($A1220&lt;VLOOKUP(J$5,NFI,5,0),1,0)*Table_NFI[[#This Row],[Sanitary Kit]],Table_NFI[Sanitary Kit])</f>
        <v>0</v>
      </c>
      <c r="AB1220" s="294">
        <f>IF(NFI_Expiration=1,IF($A1220&lt;VLOOKUP(K$5,NFI,5,0),1,0)*Table_NFI[[#This Row],[Mosquito net]],Table_NFI[Mosquito net])</f>
        <v>0</v>
      </c>
      <c r="AC1220" s="294">
        <f>IF(NFI_Expiration=1,IF($A1220&lt;VLOOKUP(L$5,NFI,5,0),1,0)*Table_NFI[[#This Row],[Tarpaulin]],Table_NFI[[#This Row],[Tarpaulin]])</f>
        <v>0</v>
      </c>
      <c r="AD1220" s="294">
        <f>IF(NFI_Expiration=1,IF($A1220&lt;VLOOKUP(M$5,NFI,5,0),1,0)*Table_NFI[[#This Row],[Blanket]],Table_NFI[[#This Row],[Blanket]])</f>
        <v>0</v>
      </c>
      <c r="AE1220" s="294">
        <f>IF(NFI_Expiration=1,IF($A1220&lt;VLOOKUP(N$5,NFI,5,0),1,0)*Table_NFI[[#This Row],[Kitchen Set]],Table_NFI[Kitchen Set])</f>
        <v>0</v>
      </c>
      <c r="AF1220" s="294">
        <f>IF(NFI_Expiration=1,IF($A1220&lt;VLOOKUP(O$5,NFI,5,0),1,0)*Table_NFI[[#This Row],[Clothes Kit]],Table_NFI[Clothes Kit])</f>
        <v>0</v>
      </c>
      <c r="AG1220" s="294">
        <f>IF(NFI_Expiration=1,IF($A1220&lt;VLOOKUP(P$5,NFI,5,0),1,0)*Table_NFI[[#This Row],[Plastic Bucket]],Table_NFI[Plastic Bucket])</f>
        <v>0</v>
      </c>
      <c r="AH1220" s="294">
        <f>IF(NFI_Expiration=1,IF($A1220&lt;VLOOKUP(Q$5,NFI,5,0),1,0)*Table_NFI[[#This Row],[Plastic Mat]],Table_NFI[Plastic Mat])*IF(Table_NFI[[#This Row],[Distribution Date]]&gt;"2014-04-01",1,2.5)</f>
        <v>0</v>
      </c>
      <c r="AI1220" s="294">
        <f>IF(NFI_Expiration=1,IF($A1220&lt;VLOOKUP(R$5,NFI,5,0),1,0)*Table_NFI[[#This Row],[Winter Clothes Adult]],Table_NFI[Winter Clothes Adult])</f>
        <v>0</v>
      </c>
      <c r="AJ1220" s="294">
        <f>IF(NFI_Expiration=1,IF($A1220&lt;VLOOKUP(S$5,NFI,5,0),1,0)*Table_NFI[[#This Row],[Winter Clothes Children]],Table_NFI[Winter Clothes Children])</f>
        <v>0</v>
      </c>
      <c r="AK1220" s="294">
        <f>IF(NFI_Expiration=1,IF($A1220&lt;VLOOKUP(T$5,NFI,5,0),1,0)*Table_NFI[[#This Row],[Winter Items Other]],Table_NFI[Winter Items Other])</f>
        <v>0</v>
      </c>
      <c r="AL1220" s="294">
        <f>IF(NFI_Expiration=1,IF($A1220&lt;VLOOKUP(M$5,NFI,5,0),1,0)*Table_NFI[[#This Row],[Winter Blanket]],Table_NFI[[#This Row],[Winter Blanket]])</f>
        <v>0</v>
      </c>
      <c r="AM1220" s="294">
        <f>IF(Table_NFI[[#This Row],[Winter Clothes Adult]]+Table_NFI[[#This Row],[Winter Clothes Children]]+Table_NFI[[#This Row],[Winter Items Other]]+Table_NFI[[#This Row],[Winter Blanket]]&gt;0,1,0)</f>
        <v>0</v>
      </c>
      <c r="AN1220" s="331">
        <f>IF(NFI_Expiration=1,IF($A1220&lt;VLOOKUP(V$5,NFI,5,0),1,0)*Table_NFI[[#This Row],[Jerry Can]],Table_NFI[Jerry Can])</f>
        <v>0</v>
      </c>
      <c r="AO1220" s="331">
        <f>IF(NFI_Expiration=1,IF($A1220&lt;VLOOKUP(V$5,NFI,5,0),1,0)*Table_NFI[[#This Row],[Shelter Tool kit]],Table_NFI[Shelter Tool kit])</f>
        <v>0</v>
      </c>
      <c r="AP1220" s="331">
        <f>IF(NFI_Expiration=1,IF($A1220&lt;VLOOKUP(V$5,NFI,5,0),1,0)*Table_NFI[[#This Row],[Tent]],Table_NFI[Tent])</f>
        <v>0</v>
      </c>
      <c r="AQ1220" s="473" t="str">
        <f>IFERROR(VLOOKUP(Table_NFI[[#This Row],[Camp Name]],CL,2,0),"")</f>
        <v/>
      </c>
      <c r="AR1220" s="468" t="str">
        <f ca="1">IF(Table_NFI[[#This Row],[Pcode]]="","",IF(OFFSET(CampList[Opening Date],MATCH(Table_NFI[[#This Row],[Pcode]],CampList[CP_Pcode],0)-1,0,1,1)&gt;=NFI_Monitor_Date,1,0))</f>
        <v/>
      </c>
      <c r="AS1220" s="473" t="str">
        <f>IFERROR(VLOOKUP(Table_NFI[[#This Row],[Camp Name]],CL,3,0),"")</f>
        <v/>
      </c>
      <c r="AT1220" s="294" t="str">
        <f ca="1">IF(Table_NFI[[#This Row],[Pcode]]="","",OFFSET(CampList[Priority],MATCH(Table_NFI[[#This Row],[Pcode]],CampList[CP_Pcode],0)-1,0,1,1))</f>
        <v/>
      </c>
      <c r="AU1220" s="293" t="str">
        <f>IFERROR(Table_NFI[[#This Row],[Kitchen Set]]/VLOOKUP(Table_NFI[[#This Row],[Camp Name]],CL,4,0),"")</f>
        <v/>
      </c>
      <c r="AV1220" s="471"/>
      <c r="AW1220" s="474"/>
    </row>
    <row r="1221" spans="1:49" ht="14.45" customHeight="1" x14ac:dyDescent="0.25">
      <c r="A1221" s="297" t="str">
        <f t="shared" si="18"/>
        <v/>
      </c>
      <c r="B1221" s="465"/>
      <c r="C1221" s="471"/>
      <c r="D1221" s="471"/>
      <c r="E1221" s="471"/>
      <c r="F1221" s="471"/>
      <c r="G1221" s="471"/>
      <c r="H1221" s="292"/>
      <c r="I1221" s="292"/>
      <c r="J1221" s="292"/>
      <c r="K1221" s="292"/>
      <c r="L1221" s="292"/>
      <c r="M1221" s="292"/>
      <c r="N1221" s="292"/>
      <c r="O1221" s="292"/>
      <c r="P1221" s="294"/>
      <c r="Q1221" s="294"/>
      <c r="R1221" s="294"/>
      <c r="S1221" s="294"/>
      <c r="T1221" s="294"/>
      <c r="U1221" s="294"/>
      <c r="V1221" s="431"/>
      <c r="W1221" s="331"/>
      <c r="X1221" s="331"/>
      <c r="Y1221" s="294">
        <f>IF(NFI_Expiration=1,IF($A1221&lt;VLOOKUP(H$5,NFI,5,0),1,0)*Table_NFI[[#This Row],[Hygiene Kit]],Table_NFI[Hygiene Kit])</f>
        <v>0</v>
      </c>
      <c r="Z1221" s="294">
        <f>IF(NFI_Expiration=1,IF($A1221&lt;VLOOKUP(I$5,NFI,5,0),1,0)*Table_NFI[[#This Row],[NFI Core Kit]],Table_NFI[NFI Core Kit])</f>
        <v>0</v>
      </c>
      <c r="AA1221" s="294">
        <f>IF(NFI_Expiration=1,IF($A1221&lt;VLOOKUP(J$5,NFI,5,0),1,0)*Table_NFI[[#This Row],[Sanitary Kit]],Table_NFI[Sanitary Kit])</f>
        <v>0</v>
      </c>
      <c r="AB1221" s="294">
        <f>IF(NFI_Expiration=1,IF($A1221&lt;VLOOKUP(K$5,NFI,5,0),1,0)*Table_NFI[[#This Row],[Mosquito net]],Table_NFI[Mosquito net])</f>
        <v>0</v>
      </c>
      <c r="AC1221" s="294">
        <f>IF(NFI_Expiration=1,IF($A1221&lt;VLOOKUP(L$5,NFI,5,0),1,0)*Table_NFI[[#This Row],[Tarpaulin]],Table_NFI[[#This Row],[Tarpaulin]])</f>
        <v>0</v>
      </c>
      <c r="AD1221" s="294">
        <f>IF(NFI_Expiration=1,IF($A1221&lt;VLOOKUP(M$5,NFI,5,0),1,0)*Table_NFI[[#This Row],[Blanket]],Table_NFI[[#This Row],[Blanket]])</f>
        <v>0</v>
      </c>
      <c r="AE1221" s="294">
        <f>IF(NFI_Expiration=1,IF($A1221&lt;VLOOKUP(N$5,NFI,5,0),1,0)*Table_NFI[[#This Row],[Kitchen Set]],Table_NFI[Kitchen Set])</f>
        <v>0</v>
      </c>
      <c r="AF1221" s="294">
        <f>IF(NFI_Expiration=1,IF($A1221&lt;VLOOKUP(O$5,NFI,5,0),1,0)*Table_NFI[[#This Row],[Clothes Kit]],Table_NFI[Clothes Kit])</f>
        <v>0</v>
      </c>
      <c r="AG1221" s="294">
        <f>IF(NFI_Expiration=1,IF($A1221&lt;VLOOKUP(P$5,NFI,5,0),1,0)*Table_NFI[[#This Row],[Plastic Bucket]],Table_NFI[Plastic Bucket])</f>
        <v>0</v>
      </c>
      <c r="AH1221" s="294">
        <f>IF(NFI_Expiration=1,IF($A1221&lt;VLOOKUP(Q$5,NFI,5,0),1,0)*Table_NFI[[#This Row],[Plastic Mat]],Table_NFI[Plastic Mat])*IF(Table_NFI[[#This Row],[Distribution Date]]&gt;"2014-04-01",1,2.5)</f>
        <v>0</v>
      </c>
      <c r="AI1221" s="294">
        <f>IF(NFI_Expiration=1,IF($A1221&lt;VLOOKUP(R$5,NFI,5,0),1,0)*Table_NFI[[#This Row],[Winter Clothes Adult]],Table_NFI[Winter Clothes Adult])</f>
        <v>0</v>
      </c>
      <c r="AJ1221" s="294">
        <f>IF(NFI_Expiration=1,IF($A1221&lt;VLOOKUP(S$5,NFI,5,0),1,0)*Table_NFI[[#This Row],[Winter Clothes Children]],Table_NFI[Winter Clothes Children])</f>
        <v>0</v>
      </c>
      <c r="AK1221" s="294">
        <f>IF(NFI_Expiration=1,IF($A1221&lt;VLOOKUP(T$5,NFI,5,0),1,0)*Table_NFI[[#This Row],[Winter Items Other]],Table_NFI[Winter Items Other])</f>
        <v>0</v>
      </c>
      <c r="AL1221" s="294">
        <f>IF(NFI_Expiration=1,IF($A1221&lt;VLOOKUP(M$5,NFI,5,0),1,0)*Table_NFI[[#This Row],[Winter Blanket]],Table_NFI[[#This Row],[Winter Blanket]])</f>
        <v>0</v>
      </c>
      <c r="AM1221" s="294">
        <f>IF(Table_NFI[[#This Row],[Winter Clothes Adult]]+Table_NFI[[#This Row],[Winter Clothes Children]]+Table_NFI[[#This Row],[Winter Items Other]]+Table_NFI[[#This Row],[Winter Blanket]]&gt;0,1,0)</f>
        <v>0</v>
      </c>
      <c r="AN1221" s="331">
        <f>IF(NFI_Expiration=1,IF($A1221&lt;VLOOKUP(V$5,NFI,5,0),1,0)*Table_NFI[[#This Row],[Jerry Can]],Table_NFI[Jerry Can])</f>
        <v>0</v>
      </c>
      <c r="AO1221" s="331">
        <f>IF(NFI_Expiration=1,IF($A1221&lt;VLOOKUP(V$5,NFI,5,0),1,0)*Table_NFI[[#This Row],[Shelter Tool kit]],Table_NFI[Shelter Tool kit])</f>
        <v>0</v>
      </c>
      <c r="AP1221" s="331">
        <f>IF(NFI_Expiration=1,IF($A1221&lt;VLOOKUP(V$5,NFI,5,0),1,0)*Table_NFI[[#This Row],[Tent]],Table_NFI[Tent])</f>
        <v>0</v>
      </c>
      <c r="AQ1221" s="473" t="str">
        <f>IFERROR(VLOOKUP(Table_NFI[[#This Row],[Camp Name]],CL,2,0),"")</f>
        <v/>
      </c>
      <c r="AR1221" s="468" t="str">
        <f ca="1">IF(Table_NFI[[#This Row],[Pcode]]="","",IF(OFFSET(CampList[Opening Date],MATCH(Table_NFI[[#This Row],[Pcode]],CampList[CP_Pcode],0)-1,0,1,1)&gt;=NFI_Monitor_Date,1,0))</f>
        <v/>
      </c>
      <c r="AS1221" s="473" t="str">
        <f>IFERROR(VLOOKUP(Table_NFI[[#This Row],[Camp Name]],CL,3,0),"")</f>
        <v/>
      </c>
      <c r="AT1221" s="294" t="str">
        <f ca="1">IF(Table_NFI[[#This Row],[Pcode]]="","",OFFSET(CampList[Priority],MATCH(Table_NFI[[#This Row],[Pcode]],CampList[CP_Pcode],0)-1,0,1,1))</f>
        <v/>
      </c>
      <c r="AU1221" s="293" t="str">
        <f>IFERROR(Table_NFI[[#This Row],[Kitchen Set]]/VLOOKUP(Table_NFI[[#This Row],[Camp Name]],CL,4,0),"")</f>
        <v/>
      </c>
      <c r="AV1221" s="471"/>
      <c r="AW1221" s="474"/>
    </row>
    <row r="1222" spans="1:49" ht="14.45" customHeight="1" x14ac:dyDescent="0.25">
      <c r="A1222" s="297" t="str">
        <f t="shared" ref="A1222:A1285" si="19">IF(ISBLANK(B1222),"",(Report_Date-B1222)/30)</f>
        <v/>
      </c>
      <c r="B1222" s="465"/>
      <c r="C1222" s="471"/>
      <c r="D1222" s="471"/>
      <c r="E1222" s="471"/>
      <c r="F1222" s="471"/>
      <c r="G1222" s="471"/>
      <c r="H1222" s="292"/>
      <c r="I1222" s="292"/>
      <c r="J1222" s="292"/>
      <c r="K1222" s="292"/>
      <c r="L1222" s="292"/>
      <c r="M1222" s="292"/>
      <c r="N1222" s="292"/>
      <c r="O1222" s="292"/>
      <c r="P1222" s="294"/>
      <c r="Q1222" s="294"/>
      <c r="R1222" s="294"/>
      <c r="S1222" s="294"/>
      <c r="T1222" s="294"/>
      <c r="U1222" s="294"/>
      <c r="V1222" s="431"/>
      <c r="W1222" s="331"/>
      <c r="X1222" s="331"/>
      <c r="Y1222" s="294">
        <f>IF(NFI_Expiration=1,IF($A1222&lt;VLOOKUP(H$5,NFI,5,0),1,0)*Table_NFI[[#This Row],[Hygiene Kit]],Table_NFI[Hygiene Kit])</f>
        <v>0</v>
      </c>
      <c r="Z1222" s="294">
        <f>IF(NFI_Expiration=1,IF($A1222&lt;VLOOKUP(I$5,NFI,5,0),1,0)*Table_NFI[[#This Row],[NFI Core Kit]],Table_NFI[NFI Core Kit])</f>
        <v>0</v>
      </c>
      <c r="AA1222" s="294">
        <f>IF(NFI_Expiration=1,IF($A1222&lt;VLOOKUP(J$5,NFI,5,0),1,0)*Table_NFI[[#This Row],[Sanitary Kit]],Table_NFI[Sanitary Kit])</f>
        <v>0</v>
      </c>
      <c r="AB1222" s="294">
        <f>IF(NFI_Expiration=1,IF($A1222&lt;VLOOKUP(K$5,NFI,5,0),1,0)*Table_NFI[[#This Row],[Mosquito net]],Table_NFI[Mosquito net])</f>
        <v>0</v>
      </c>
      <c r="AC1222" s="294">
        <f>IF(NFI_Expiration=1,IF($A1222&lt;VLOOKUP(L$5,NFI,5,0),1,0)*Table_NFI[[#This Row],[Tarpaulin]],Table_NFI[[#This Row],[Tarpaulin]])</f>
        <v>0</v>
      </c>
      <c r="AD1222" s="294">
        <f>IF(NFI_Expiration=1,IF($A1222&lt;VLOOKUP(M$5,NFI,5,0),1,0)*Table_NFI[[#This Row],[Blanket]],Table_NFI[[#This Row],[Blanket]])</f>
        <v>0</v>
      </c>
      <c r="AE1222" s="294">
        <f>IF(NFI_Expiration=1,IF($A1222&lt;VLOOKUP(N$5,NFI,5,0),1,0)*Table_NFI[[#This Row],[Kitchen Set]],Table_NFI[Kitchen Set])</f>
        <v>0</v>
      </c>
      <c r="AF1222" s="294">
        <f>IF(NFI_Expiration=1,IF($A1222&lt;VLOOKUP(O$5,NFI,5,0),1,0)*Table_NFI[[#This Row],[Clothes Kit]],Table_NFI[Clothes Kit])</f>
        <v>0</v>
      </c>
      <c r="AG1222" s="294">
        <f>IF(NFI_Expiration=1,IF($A1222&lt;VLOOKUP(P$5,NFI,5,0),1,0)*Table_NFI[[#This Row],[Plastic Bucket]],Table_NFI[Plastic Bucket])</f>
        <v>0</v>
      </c>
      <c r="AH1222" s="294">
        <f>IF(NFI_Expiration=1,IF($A1222&lt;VLOOKUP(Q$5,NFI,5,0),1,0)*Table_NFI[[#This Row],[Plastic Mat]],Table_NFI[Plastic Mat])*IF(Table_NFI[[#This Row],[Distribution Date]]&gt;"2014-04-01",1,2.5)</f>
        <v>0</v>
      </c>
      <c r="AI1222" s="294">
        <f>IF(NFI_Expiration=1,IF($A1222&lt;VLOOKUP(R$5,NFI,5,0),1,0)*Table_NFI[[#This Row],[Winter Clothes Adult]],Table_NFI[Winter Clothes Adult])</f>
        <v>0</v>
      </c>
      <c r="AJ1222" s="294">
        <f>IF(NFI_Expiration=1,IF($A1222&lt;VLOOKUP(S$5,NFI,5,0),1,0)*Table_NFI[[#This Row],[Winter Clothes Children]],Table_NFI[Winter Clothes Children])</f>
        <v>0</v>
      </c>
      <c r="AK1222" s="294">
        <f>IF(NFI_Expiration=1,IF($A1222&lt;VLOOKUP(T$5,NFI,5,0),1,0)*Table_NFI[[#This Row],[Winter Items Other]],Table_NFI[Winter Items Other])</f>
        <v>0</v>
      </c>
      <c r="AL1222" s="294">
        <f>IF(NFI_Expiration=1,IF($A1222&lt;VLOOKUP(M$5,NFI,5,0),1,0)*Table_NFI[[#This Row],[Winter Blanket]],Table_NFI[[#This Row],[Winter Blanket]])</f>
        <v>0</v>
      </c>
      <c r="AM1222" s="294">
        <f>IF(Table_NFI[[#This Row],[Winter Clothes Adult]]+Table_NFI[[#This Row],[Winter Clothes Children]]+Table_NFI[[#This Row],[Winter Items Other]]+Table_NFI[[#This Row],[Winter Blanket]]&gt;0,1,0)</f>
        <v>0</v>
      </c>
      <c r="AN1222" s="331">
        <f>IF(NFI_Expiration=1,IF($A1222&lt;VLOOKUP(V$5,NFI,5,0),1,0)*Table_NFI[[#This Row],[Jerry Can]],Table_NFI[Jerry Can])</f>
        <v>0</v>
      </c>
      <c r="AO1222" s="331">
        <f>IF(NFI_Expiration=1,IF($A1222&lt;VLOOKUP(V$5,NFI,5,0),1,0)*Table_NFI[[#This Row],[Shelter Tool kit]],Table_NFI[Shelter Tool kit])</f>
        <v>0</v>
      </c>
      <c r="AP1222" s="331">
        <f>IF(NFI_Expiration=1,IF($A1222&lt;VLOOKUP(V$5,NFI,5,0),1,0)*Table_NFI[[#This Row],[Tent]],Table_NFI[Tent])</f>
        <v>0</v>
      </c>
      <c r="AQ1222" s="473" t="str">
        <f>IFERROR(VLOOKUP(Table_NFI[[#This Row],[Camp Name]],CL,2,0),"")</f>
        <v/>
      </c>
      <c r="AR1222" s="468" t="str">
        <f ca="1">IF(Table_NFI[[#This Row],[Pcode]]="","",IF(OFFSET(CampList[Opening Date],MATCH(Table_NFI[[#This Row],[Pcode]],CampList[CP_Pcode],0)-1,0,1,1)&gt;=NFI_Monitor_Date,1,0))</f>
        <v/>
      </c>
      <c r="AS1222" s="473" t="str">
        <f>IFERROR(VLOOKUP(Table_NFI[[#This Row],[Camp Name]],CL,3,0),"")</f>
        <v/>
      </c>
      <c r="AT1222" s="294" t="str">
        <f ca="1">IF(Table_NFI[[#This Row],[Pcode]]="","",OFFSET(CampList[Priority],MATCH(Table_NFI[[#This Row],[Pcode]],CampList[CP_Pcode],0)-1,0,1,1))</f>
        <v/>
      </c>
      <c r="AU1222" s="293" t="str">
        <f>IFERROR(Table_NFI[[#This Row],[Kitchen Set]]/VLOOKUP(Table_NFI[[#This Row],[Camp Name]],CL,4,0),"")</f>
        <v/>
      </c>
      <c r="AV1222" s="471"/>
      <c r="AW1222" s="474"/>
    </row>
    <row r="1223" spans="1:49" ht="14.45" customHeight="1" x14ac:dyDescent="0.25">
      <c r="A1223" s="297" t="str">
        <f t="shared" si="19"/>
        <v/>
      </c>
      <c r="B1223" s="465"/>
      <c r="C1223" s="471"/>
      <c r="D1223" s="471"/>
      <c r="E1223" s="471"/>
      <c r="F1223" s="471"/>
      <c r="G1223" s="471"/>
      <c r="H1223" s="292"/>
      <c r="I1223" s="292"/>
      <c r="J1223" s="292"/>
      <c r="K1223" s="292"/>
      <c r="L1223" s="292"/>
      <c r="M1223" s="292"/>
      <c r="N1223" s="292"/>
      <c r="O1223" s="292"/>
      <c r="P1223" s="294"/>
      <c r="Q1223" s="294"/>
      <c r="R1223" s="294"/>
      <c r="S1223" s="294"/>
      <c r="T1223" s="294"/>
      <c r="U1223" s="294"/>
      <c r="V1223" s="431"/>
      <c r="W1223" s="331"/>
      <c r="X1223" s="331"/>
      <c r="Y1223" s="294">
        <f>IF(NFI_Expiration=1,IF($A1223&lt;VLOOKUP(H$5,NFI,5,0),1,0)*Table_NFI[[#This Row],[Hygiene Kit]],Table_NFI[Hygiene Kit])</f>
        <v>0</v>
      </c>
      <c r="Z1223" s="294">
        <f>IF(NFI_Expiration=1,IF($A1223&lt;VLOOKUP(I$5,NFI,5,0),1,0)*Table_NFI[[#This Row],[NFI Core Kit]],Table_NFI[NFI Core Kit])</f>
        <v>0</v>
      </c>
      <c r="AA1223" s="294">
        <f>IF(NFI_Expiration=1,IF($A1223&lt;VLOOKUP(J$5,NFI,5,0),1,0)*Table_NFI[[#This Row],[Sanitary Kit]],Table_NFI[Sanitary Kit])</f>
        <v>0</v>
      </c>
      <c r="AB1223" s="294">
        <f>IF(NFI_Expiration=1,IF($A1223&lt;VLOOKUP(K$5,NFI,5,0),1,0)*Table_NFI[[#This Row],[Mosquito net]],Table_NFI[Mosquito net])</f>
        <v>0</v>
      </c>
      <c r="AC1223" s="294">
        <f>IF(NFI_Expiration=1,IF($A1223&lt;VLOOKUP(L$5,NFI,5,0),1,0)*Table_NFI[[#This Row],[Tarpaulin]],Table_NFI[[#This Row],[Tarpaulin]])</f>
        <v>0</v>
      </c>
      <c r="AD1223" s="294">
        <f>IF(NFI_Expiration=1,IF($A1223&lt;VLOOKUP(M$5,NFI,5,0),1,0)*Table_NFI[[#This Row],[Blanket]],Table_NFI[[#This Row],[Blanket]])</f>
        <v>0</v>
      </c>
      <c r="AE1223" s="294">
        <f>IF(NFI_Expiration=1,IF($A1223&lt;VLOOKUP(N$5,NFI,5,0),1,0)*Table_NFI[[#This Row],[Kitchen Set]],Table_NFI[Kitchen Set])</f>
        <v>0</v>
      </c>
      <c r="AF1223" s="294">
        <f>IF(NFI_Expiration=1,IF($A1223&lt;VLOOKUP(O$5,NFI,5,0),1,0)*Table_NFI[[#This Row],[Clothes Kit]],Table_NFI[Clothes Kit])</f>
        <v>0</v>
      </c>
      <c r="AG1223" s="294">
        <f>IF(NFI_Expiration=1,IF($A1223&lt;VLOOKUP(P$5,NFI,5,0),1,0)*Table_NFI[[#This Row],[Plastic Bucket]],Table_NFI[Plastic Bucket])</f>
        <v>0</v>
      </c>
      <c r="AH1223" s="294">
        <f>IF(NFI_Expiration=1,IF($A1223&lt;VLOOKUP(Q$5,NFI,5,0),1,0)*Table_NFI[[#This Row],[Plastic Mat]],Table_NFI[Plastic Mat])*IF(Table_NFI[[#This Row],[Distribution Date]]&gt;"2014-04-01",1,2.5)</f>
        <v>0</v>
      </c>
      <c r="AI1223" s="294">
        <f>IF(NFI_Expiration=1,IF($A1223&lt;VLOOKUP(R$5,NFI,5,0),1,0)*Table_NFI[[#This Row],[Winter Clothes Adult]],Table_NFI[Winter Clothes Adult])</f>
        <v>0</v>
      </c>
      <c r="AJ1223" s="294">
        <f>IF(NFI_Expiration=1,IF($A1223&lt;VLOOKUP(S$5,NFI,5,0),1,0)*Table_NFI[[#This Row],[Winter Clothes Children]],Table_NFI[Winter Clothes Children])</f>
        <v>0</v>
      </c>
      <c r="AK1223" s="294">
        <f>IF(NFI_Expiration=1,IF($A1223&lt;VLOOKUP(T$5,NFI,5,0),1,0)*Table_NFI[[#This Row],[Winter Items Other]],Table_NFI[Winter Items Other])</f>
        <v>0</v>
      </c>
      <c r="AL1223" s="294">
        <f>IF(NFI_Expiration=1,IF($A1223&lt;VLOOKUP(M$5,NFI,5,0),1,0)*Table_NFI[[#This Row],[Winter Blanket]],Table_NFI[[#This Row],[Winter Blanket]])</f>
        <v>0</v>
      </c>
      <c r="AM1223" s="294">
        <f>IF(Table_NFI[[#This Row],[Winter Clothes Adult]]+Table_NFI[[#This Row],[Winter Clothes Children]]+Table_NFI[[#This Row],[Winter Items Other]]+Table_NFI[[#This Row],[Winter Blanket]]&gt;0,1,0)</f>
        <v>0</v>
      </c>
      <c r="AN1223" s="331">
        <f>IF(NFI_Expiration=1,IF($A1223&lt;VLOOKUP(V$5,NFI,5,0),1,0)*Table_NFI[[#This Row],[Jerry Can]],Table_NFI[Jerry Can])</f>
        <v>0</v>
      </c>
      <c r="AO1223" s="331">
        <f>IF(NFI_Expiration=1,IF($A1223&lt;VLOOKUP(V$5,NFI,5,0),1,0)*Table_NFI[[#This Row],[Shelter Tool kit]],Table_NFI[Shelter Tool kit])</f>
        <v>0</v>
      </c>
      <c r="AP1223" s="331">
        <f>IF(NFI_Expiration=1,IF($A1223&lt;VLOOKUP(V$5,NFI,5,0),1,0)*Table_NFI[[#This Row],[Tent]],Table_NFI[Tent])</f>
        <v>0</v>
      </c>
      <c r="AQ1223" s="473" t="str">
        <f>IFERROR(VLOOKUP(Table_NFI[[#This Row],[Camp Name]],CL,2,0),"")</f>
        <v/>
      </c>
      <c r="AR1223" s="468" t="str">
        <f ca="1">IF(Table_NFI[[#This Row],[Pcode]]="","",IF(OFFSET(CampList[Opening Date],MATCH(Table_NFI[[#This Row],[Pcode]],CampList[CP_Pcode],0)-1,0,1,1)&gt;=NFI_Monitor_Date,1,0))</f>
        <v/>
      </c>
      <c r="AS1223" s="473" t="str">
        <f>IFERROR(VLOOKUP(Table_NFI[[#This Row],[Camp Name]],CL,3,0),"")</f>
        <v/>
      </c>
      <c r="AT1223" s="294" t="str">
        <f ca="1">IF(Table_NFI[[#This Row],[Pcode]]="","",OFFSET(CampList[Priority],MATCH(Table_NFI[[#This Row],[Pcode]],CampList[CP_Pcode],0)-1,0,1,1))</f>
        <v/>
      </c>
      <c r="AU1223" s="293" t="str">
        <f>IFERROR(Table_NFI[[#This Row],[Kitchen Set]]/VLOOKUP(Table_NFI[[#This Row],[Camp Name]],CL,4,0),"")</f>
        <v/>
      </c>
      <c r="AV1223" s="471"/>
      <c r="AW1223" s="474"/>
    </row>
    <row r="1224" spans="1:49" ht="14.45" customHeight="1" x14ac:dyDescent="0.25">
      <c r="A1224" s="297" t="str">
        <f t="shared" si="19"/>
        <v/>
      </c>
      <c r="B1224" s="465"/>
      <c r="C1224" s="471"/>
      <c r="D1224" s="471"/>
      <c r="E1224" s="471"/>
      <c r="F1224" s="471"/>
      <c r="G1224" s="471"/>
      <c r="H1224" s="292"/>
      <c r="I1224" s="292"/>
      <c r="J1224" s="292"/>
      <c r="K1224" s="292"/>
      <c r="L1224" s="292"/>
      <c r="M1224" s="292"/>
      <c r="N1224" s="292"/>
      <c r="O1224" s="292"/>
      <c r="P1224" s="294"/>
      <c r="Q1224" s="294"/>
      <c r="R1224" s="294"/>
      <c r="S1224" s="294"/>
      <c r="T1224" s="294"/>
      <c r="U1224" s="294"/>
      <c r="V1224" s="431"/>
      <c r="W1224" s="331"/>
      <c r="X1224" s="331"/>
      <c r="Y1224" s="294">
        <f>IF(NFI_Expiration=1,IF($A1224&lt;VLOOKUP(H$5,NFI,5,0),1,0)*Table_NFI[[#This Row],[Hygiene Kit]],Table_NFI[Hygiene Kit])</f>
        <v>0</v>
      </c>
      <c r="Z1224" s="294">
        <f>IF(NFI_Expiration=1,IF($A1224&lt;VLOOKUP(I$5,NFI,5,0),1,0)*Table_NFI[[#This Row],[NFI Core Kit]],Table_NFI[NFI Core Kit])</f>
        <v>0</v>
      </c>
      <c r="AA1224" s="294">
        <f>IF(NFI_Expiration=1,IF($A1224&lt;VLOOKUP(J$5,NFI,5,0),1,0)*Table_NFI[[#This Row],[Sanitary Kit]],Table_NFI[Sanitary Kit])</f>
        <v>0</v>
      </c>
      <c r="AB1224" s="294">
        <f>IF(NFI_Expiration=1,IF($A1224&lt;VLOOKUP(K$5,NFI,5,0),1,0)*Table_NFI[[#This Row],[Mosquito net]],Table_NFI[Mosquito net])</f>
        <v>0</v>
      </c>
      <c r="AC1224" s="294">
        <f>IF(NFI_Expiration=1,IF($A1224&lt;VLOOKUP(L$5,NFI,5,0),1,0)*Table_NFI[[#This Row],[Tarpaulin]],Table_NFI[[#This Row],[Tarpaulin]])</f>
        <v>0</v>
      </c>
      <c r="AD1224" s="294">
        <f>IF(NFI_Expiration=1,IF($A1224&lt;VLOOKUP(M$5,NFI,5,0),1,0)*Table_NFI[[#This Row],[Blanket]],Table_NFI[[#This Row],[Blanket]])</f>
        <v>0</v>
      </c>
      <c r="AE1224" s="294">
        <f>IF(NFI_Expiration=1,IF($A1224&lt;VLOOKUP(N$5,NFI,5,0),1,0)*Table_NFI[[#This Row],[Kitchen Set]],Table_NFI[Kitchen Set])</f>
        <v>0</v>
      </c>
      <c r="AF1224" s="294">
        <f>IF(NFI_Expiration=1,IF($A1224&lt;VLOOKUP(O$5,NFI,5,0),1,0)*Table_NFI[[#This Row],[Clothes Kit]],Table_NFI[Clothes Kit])</f>
        <v>0</v>
      </c>
      <c r="AG1224" s="294">
        <f>IF(NFI_Expiration=1,IF($A1224&lt;VLOOKUP(P$5,NFI,5,0),1,0)*Table_NFI[[#This Row],[Plastic Bucket]],Table_NFI[Plastic Bucket])</f>
        <v>0</v>
      </c>
      <c r="AH1224" s="294">
        <f>IF(NFI_Expiration=1,IF($A1224&lt;VLOOKUP(Q$5,NFI,5,0),1,0)*Table_NFI[[#This Row],[Plastic Mat]],Table_NFI[Plastic Mat])*IF(Table_NFI[[#This Row],[Distribution Date]]&gt;"2014-04-01",1,2.5)</f>
        <v>0</v>
      </c>
      <c r="AI1224" s="294">
        <f>IF(NFI_Expiration=1,IF($A1224&lt;VLOOKUP(R$5,NFI,5,0),1,0)*Table_NFI[[#This Row],[Winter Clothes Adult]],Table_NFI[Winter Clothes Adult])</f>
        <v>0</v>
      </c>
      <c r="AJ1224" s="294">
        <f>IF(NFI_Expiration=1,IF($A1224&lt;VLOOKUP(S$5,NFI,5,0),1,0)*Table_NFI[[#This Row],[Winter Clothes Children]],Table_NFI[Winter Clothes Children])</f>
        <v>0</v>
      </c>
      <c r="AK1224" s="294">
        <f>IF(NFI_Expiration=1,IF($A1224&lt;VLOOKUP(T$5,NFI,5,0),1,0)*Table_NFI[[#This Row],[Winter Items Other]],Table_NFI[Winter Items Other])</f>
        <v>0</v>
      </c>
      <c r="AL1224" s="294">
        <f>IF(NFI_Expiration=1,IF($A1224&lt;VLOOKUP(M$5,NFI,5,0),1,0)*Table_NFI[[#This Row],[Winter Blanket]],Table_NFI[[#This Row],[Winter Blanket]])</f>
        <v>0</v>
      </c>
      <c r="AM1224" s="294">
        <f>IF(Table_NFI[[#This Row],[Winter Clothes Adult]]+Table_NFI[[#This Row],[Winter Clothes Children]]+Table_NFI[[#This Row],[Winter Items Other]]+Table_NFI[[#This Row],[Winter Blanket]]&gt;0,1,0)</f>
        <v>0</v>
      </c>
      <c r="AN1224" s="331">
        <f>IF(NFI_Expiration=1,IF($A1224&lt;VLOOKUP(V$5,NFI,5,0),1,0)*Table_NFI[[#This Row],[Jerry Can]],Table_NFI[Jerry Can])</f>
        <v>0</v>
      </c>
      <c r="AO1224" s="331">
        <f>IF(NFI_Expiration=1,IF($A1224&lt;VLOOKUP(V$5,NFI,5,0),1,0)*Table_NFI[[#This Row],[Shelter Tool kit]],Table_NFI[Shelter Tool kit])</f>
        <v>0</v>
      </c>
      <c r="AP1224" s="331">
        <f>IF(NFI_Expiration=1,IF($A1224&lt;VLOOKUP(V$5,NFI,5,0),1,0)*Table_NFI[[#This Row],[Tent]],Table_NFI[Tent])</f>
        <v>0</v>
      </c>
      <c r="AQ1224" s="473" t="str">
        <f>IFERROR(VLOOKUP(Table_NFI[[#This Row],[Camp Name]],CL,2,0),"")</f>
        <v/>
      </c>
      <c r="AR1224" s="468" t="str">
        <f ca="1">IF(Table_NFI[[#This Row],[Pcode]]="","",IF(OFFSET(CampList[Opening Date],MATCH(Table_NFI[[#This Row],[Pcode]],CampList[CP_Pcode],0)-1,0,1,1)&gt;=NFI_Monitor_Date,1,0))</f>
        <v/>
      </c>
      <c r="AS1224" s="473" t="str">
        <f>IFERROR(VLOOKUP(Table_NFI[[#This Row],[Camp Name]],CL,3,0),"")</f>
        <v/>
      </c>
      <c r="AT1224" s="294" t="str">
        <f ca="1">IF(Table_NFI[[#This Row],[Pcode]]="","",OFFSET(CampList[Priority],MATCH(Table_NFI[[#This Row],[Pcode]],CampList[CP_Pcode],0)-1,0,1,1))</f>
        <v/>
      </c>
      <c r="AU1224" s="293" t="str">
        <f>IFERROR(Table_NFI[[#This Row],[Kitchen Set]]/VLOOKUP(Table_NFI[[#This Row],[Camp Name]],CL,4,0),"")</f>
        <v/>
      </c>
      <c r="AV1224" s="471"/>
      <c r="AW1224" s="474"/>
    </row>
    <row r="1225" spans="1:49" ht="14.45" customHeight="1" x14ac:dyDescent="0.25">
      <c r="A1225" s="297" t="str">
        <f t="shared" si="19"/>
        <v/>
      </c>
      <c r="B1225" s="465"/>
      <c r="C1225" s="471"/>
      <c r="D1225" s="471"/>
      <c r="E1225" s="471"/>
      <c r="F1225" s="471"/>
      <c r="G1225" s="471"/>
      <c r="H1225" s="292"/>
      <c r="I1225" s="292"/>
      <c r="J1225" s="292"/>
      <c r="K1225" s="292"/>
      <c r="L1225" s="292"/>
      <c r="M1225" s="292"/>
      <c r="N1225" s="292"/>
      <c r="O1225" s="292"/>
      <c r="P1225" s="294"/>
      <c r="Q1225" s="294"/>
      <c r="R1225" s="294"/>
      <c r="S1225" s="294"/>
      <c r="T1225" s="294"/>
      <c r="U1225" s="294"/>
      <c r="V1225" s="431"/>
      <c r="W1225" s="331"/>
      <c r="X1225" s="331"/>
      <c r="Y1225" s="294">
        <f>IF(NFI_Expiration=1,IF($A1225&lt;VLOOKUP(H$5,NFI,5,0),1,0)*Table_NFI[[#This Row],[Hygiene Kit]],Table_NFI[Hygiene Kit])</f>
        <v>0</v>
      </c>
      <c r="Z1225" s="294">
        <f>IF(NFI_Expiration=1,IF($A1225&lt;VLOOKUP(I$5,NFI,5,0),1,0)*Table_NFI[[#This Row],[NFI Core Kit]],Table_NFI[NFI Core Kit])</f>
        <v>0</v>
      </c>
      <c r="AA1225" s="294">
        <f>IF(NFI_Expiration=1,IF($A1225&lt;VLOOKUP(J$5,NFI,5,0),1,0)*Table_NFI[[#This Row],[Sanitary Kit]],Table_NFI[Sanitary Kit])</f>
        <v>0</v>
      </c>
      <c r="AB1225" s="294">
        <f>IF(NFI_Expiration=1,IF($A1225&lt;VLOOKUP(K$5,NFI,5,0),1,0)*Table_NFI[[#This Row],[Mosquito net]],Table_NFI[Mosquito net])</f>
        <v>0</v>
      </c>
      <c r="AC1225" s="294">
        <f>IF(NFI_Expiration=1,IF($A1225&lt;VLOOKUP(L$5,NFI,5,0),1,0)*Table_NFI[[#This Row],[Tarpaulin]],Table_NFI[[#This Row],[Tarpaulin]])</f>
        <v>0</v>
      </c>
      <c r="AD1225" s="294">
        <f>IF(NFI_Expiration=1,IF($A1225&lt;VLOOKUP(M$5,NFI,5,0),1,0)*Table_NFI[[#This Row],[Blanket]],Table_NFI[[#This Row],[Blanket]])</f>
        <v>0</v>
      </c>
      <c r="AE1225" s="294">
        <f>IF(NFI_Expiration=1,IF($A1225&lt;VLOOKUP(N$5,NFI,5,0),1,0)*Table_NFI[[#This Row],[Kitchen Set]],Table_NFI[Kitchen Set])</f>
        <v>0</v>
      </c>
      <c r="AF1225" s="294">
        <f>IF(NFI_Expiration=1,IF($A1225&lt;VLOOKUP(O$5,NFI,5,0),1,0)*Table_NFI[[#This Row],[Clothes Kit]],Table_NFI[Clothes Kit])</f>
        <v>0</v>
      </c>
      <c r="AG1225" s="294">
        <f>IF(NFI_Expiration=1,IF($A1225&lt;VLOOKUP(P$5,NFI,5,0),1,0)*Table_NFI[[#This Row],[Plastic Bucket]],Table_NFI[Plastic Bucket])</f>
        <v>0</v>
      </c>
      <c r="AH1225" s="294">
        <f>IF(NFI_Expiration=1,IF($A1225&lt;VLOOKUP(Q$5,NFI,5,0),1,0)*Table_NFI[[#This Row],[Plastic Mat]],Table_NFI[Plastic Mat])*IF(Table_NFI[[#This Row],[Distribution Date]]&gt;"2014-04-01",1,2.5)</f>
        <v>0</v>
      </c>
      <c r="AI1225" s="294">
        <f>IF(NFI_Expiration=1,IF($A1225&lt;VLOOKUP(R$5,NFI,5,0),1,0)*Table_NFI[[#This Row],[Winter Clothes Adult]],Table_NFI[Winter Clothes Adult])</f>
        <v>0</v>
      </c>
      <c r="AJ1225" s="294">
        <f>IF(NFI_Expiration=1,IF($A1225&lt;VLOOKUP(S$5,NFI,5,0),1,0)*Table_NFI[[#This Row],[Winter Clothes Children]],Table_NFI[Winter Clothes Children])</f>
        <v>0</v>
      </c>
      <c r="AK1225" s="294">
        <f>IF(NFI_Expiration=1,IF($A1225&lt;VLOOKUP(T$5,NFI,5,0),1,0)*Table_NFI[[#This Row],[Winter Items Other]],Table_NFI[Winter Items Other])</f>
        <v>0</v>
      </c>
      <c r="AL1225" s="294">
        <f>IF(NFI_Expiration=1,IF($A1225&lt;VLOOKUP(M$5,NFI,5,0),1,0)*Table_NFI[[#This Row],[Winter Blanket]],Table_NFI[[#This Row],[Winter Blanket]])</f>
        <v>0</v>
      </c>
      <c r="AM1225" s="294">
        <f>IF(Table_NFI[[#This Row],[Winter Clothes Adult]]+Table_NFI[[#This Row],[Winter Clothes Children]]+Table_NFI[[#This Row],[Winter Items Other]]+Table_NFI[[#This Row],[Winter Blanket]]&gt;0,1,0)</f>
        <v>0</v>
      </c>
      <c r="AN1225" s="331">
        <f>IF(NFI_Expiration=1,IF($A1225&lt;VLOOKUP(V$5,NFI,5,0),1,0)*Table_NFI[[#This Row],[Jerry Can]],Table_NFI[Jerry Can])</f>
        <v>0</v>
      </c>
      <c r="AO1225" s="331">
        <f>IF(NFI_Expiration=1,IF($A1225&lt;VLOOKUP(V$5,NFI,5,0),1,0)*Table_NFI[[#This Row],[Shelter Tool kit]],Table_NFI[Shelter Tool kit])</f>
        <v>0</v>
      </c>
      <c r="AP1225" s="331">
        <f>IF(NFI_Expiration=1,IF($A1225&lt;VLOOKUP(V$5,NFI,5,0),1,0)*Table_NFI[[#This Row],[Tent]],Table_NFI[Tent])</f>
        <v>0</v>
      </c>
      <c r="AQ1225" s="473" t="str">
        <f>IFERROR(VLOOKUP(Table_NFI[[#This Row],[Camp Name]],CL,2,0),"")</f>
        <v/>
      </c>
      <c r="AR1225" s="468" t="str">
        <f ca="1">IF(Table_NFI[[#This Row],[Pcode]]="","",IF(OFFSET(CampList[Opening Date],MATCH(Table_NFI[[#This Row],[Pcode]],CampList[CP_Pcode],0)-1,0,1,1)&gt;=NFI_Monitor_Date,1,0))</f>
        <v/>
      </c>
      <c r="AS1225" s="473" t="str">
        <f>IFERROR(VLOOKUP(Table_NFI[[#This Row],[Camp Name]],CL,3,0),"")</f>
        <v/>
      </c>
      <c r="AT1225" s="294" t="str">
        <f ca="1">IF(Table_NFI[[#This Row],[Pcode]]="","",OFFSET(CampList[Priority],MATCH(Table_NFI[[#This Row],[Pcode]],CampList[CP_Pcode],0)-1,0,1,1))</f>
        <v/>
      </c>
      <c r="AU1225" s="293" t="str">
        <f>IFERROR(Table_NFI[[#This Row],[Kitchen Set]]/VLOOKUP(Table_NFI[[#This Row],[Camp Name]],CL,4,0),"")</f>
        <v/>
      </c>
      <c r="AV1225" s="471"/>
      <c r="AW1225" s="474"/>
    </row>
    <row r="1226" spans="1:49" ht="14.45" customHeight="1" x14ac:dyDescent="0.25">
      <c r="A1226" s="297" t="str">
        <f t="shared" si="19"/>
        <v/>
      </c>
      <c r="B1226" s="465"/>
      <c r="C1226" s="471"/>
      <c r="D1226" s="471"/>
      <c r="E1226" s="471"/>
      <c r="F1226" s="471"/>
      <c r="G1226" s="471"/>
      <c r="H1226" s="292"/>
      <c r="I1226" s="292"/>
      <c r="J1226" s="292"/>
      <c r="K1226" s="292"/>
      <c r="L1226" s="292"/>
      <c r="M1226" s="292"/>
      <c r="N1226" s="292"/>
      <c r="O1226" s="292"/>
      <c r="P1226" s="294"/>
      <c r="Q1226" s="294"/>
      <c r="R1226" s="294"/>
      <c r="S1226" s="294"/>
      <c r="T1226" s="294"/>
      <c r="U1226" s="294"/>
      <c r="V1226" s="431"/>
      <c r="W1226" s="331"/>
      <c r="X1226" s="331"/>
      <c r="Y1226" s="294">
        <f>IF(NFI_Expiration=1,IF($A1226&lt;VLOOKUP(H$5,NFI,5,0),1,0)*Table_NFI[[#This Row],[Hygiene Kit]],Table_NFI[Hygiene Kit])</f>
        <v>0</v>
      </c>
      <c r="Z1226" s="294">
        <f>IF(NFI_Expiration=1,IF($A1226&lt;VLOOKUP(I$5,NFI,5,0),1,0)*Table_NFI[[#This Row],[NFI Core Kit]],Table_NFI[NFI Core Kit])</f>
        <v>0</v>
      </c>
      <c r="AA1226" s="294">
        <f>IF(NFI_Expiration=1,IF($A1226&lt;VLOOKUP(J$5,NFI,5,0),1,0)*Table_NFI[[#This Row],[Sanitary Kit]],Table_NFI[Sanitary Kit])</f>
        <v>0</v>
      </c>
      <c r="AB1226" s="294">
        <f>IF(NFI_Expiration=1,IF($A1226&lt;VLOOKUP(K$5,NFI,5,0),1,0)*Table_NFI[[#This Row],[Mosquito net]],Table_NFI[Mosquito net])</f>
        <v>0</v>
      </c>
      <c r="AC1226" s="294">
        <f>IF(NFI_Expiration=1,IF($A1226&lt;VLOOKUP(L$5,NFI,5,0),1,0)*Table_NFI[[#This Row],[Tarpaulin]],Table_NFI[[#This Row],[Tarpaulin]])</f>
        <v>0</v>
      </c>
      <c r="AD1226" s="294">
        <f>IF(NFI_Expiration=1,IF($A1226&lt;VLOOKUP(M$5,NFI,5,0),1,0)*Table_NFI[[#This Row],[Blanket]],Table_NFI[[#This Row],[Blanket]])</f>
        <v>0</v>
      </c>
      <c r="AE1226" s="294">
        <f>IF(NFI_Expiration=1,IF($A1226&lt;VLOOKUP(N$5,NFI,5,0),1,0)*Table_NFI[[#This Row],[Kitchen Set]],Table_NFI[Kitchen Set])</f>
        <v>0</v>
      </c>
      <c r="AF1226" s="294">
        <f>IF(NFI_Expiration=1,IF($A1226&lt;VLOOKUP(O$5,NFI,5,0),1,0)*Table_NFI[[#This Row],[Clothes Kit]],Table_NFI[Clothes Kit])</f>
        <v>0</v>
      </c>
      <c r="AG1226" s="294">
        <f>IF(NFI_Expiration=1,IF($A1226&lt;VLOOKUP(P$5,NFI,5,0),1,0)*Table_NFI[[#This Row],[Plastic Bucket]],Table_NFI[Plastic Bucket])</f>
        <v>0</v>
      </c>
      <c r="AH1226" s="294">
        <f>IF(NFI_Expiration=1,IF($A1226&lt;VLOOKUP(Q$5,NFI,5,0),1,0)*Table_NFI[[#This Row],[Plastic Mat]],Table_NFI[Plastic Mat])*IF(Table_NFI[[#This Row],[Distribution Date]]&gt;"2014-04-01",1,2.5)</f>
        <v>0</v>
      </c>
      <c r="AI1226" s="294">
        <f>IF(NFI_Expiration=1,IF($A1226&lt;VLOOKUP(R$5,NFI,5,0),1,0)*Table_NFI[[#This Row],[Winter Clothes Adult]],Table_NFI[Winter Clothes Adult])</f>
        <v>0</v>
      </c>
      <c r="AJ1226" s="294">
        <f>IF(NFI_Expiration=1,IF($A1226&lt;VLOOKUP(S$5,NFI,5,0),1,0)*Table_NFI[[#This Row],[Winter Clothes Children]],Table_NFI[Winter Clothes Children])</f>
        <v>0</v>
      </c>
      <c r="AK1226" s="294">
        <f>IF(NFI_Expiration=1,IF($A1226&lt;VLOOKUP(T$5,NFI,5,0),1,0)*Table_NFI[[#This Row],[Winter Items Other]],Table_NFI[Winter Items Other])</f>
        <v>0</v>
      </c>
      <c r="AL1226" s="294">
        <f>IF(NFI_Expiration=1,IF($A1226&lt;VLOOKUP(M$5,NFI,5,0),1,0)*Table_NFI[[#This Row],[Winter Blanket]],Table_NFI[[#This Row],[Winter Blanket]])</f>
        <v>0</v>
      </c>
      <c r="AM1226" s="294">
        <f>IF(Table_NFI[[#This Row],[Winter Clothes Adult]]+Table_NFI[[#This Row],[Winter Clothes Children]]+Table_NFI[[#This Row],[Winter Items Other]]+Table_NFI[[#This Row],[Winter Blanket]]&gt;0,1,0)</f>
        <v>0</v>
      </c>
      <c r="AN1226" s="331">
        <f>IF(NFI_Expiration=1,IF($A1226&lt;VLOOKUP(V$5,NFI,5,0),1,0)*Table_NFI[[#This Row],[Jerry Can]],Table_NFI[Jerry Can])</f>
        <v>0</v>
      </c>
      <c r="AO1226" s="331">
        <f>IF(NFI_Expiration=1,IF($A1226&lt;VLOOKUP(V$5,NFI,5,0),1,0)*Table_NFI[[#This Row],[Shelter Tool kit]],Table_NFI[Shelter Tool kit])</f>
        <v>0</v>
      </c>
      <c r="AP1226" s="331">
        <f>IF(NFI_Expiration=1,IF($A1226&lt;VLOOKUP(V$5,NFI,5,0),1,0)*Table_NFI[[#This Row],[Tent]],Table_NFI[Tent])</f>
        <v>0</v>
      </c>
      <c r="AQ1226" s="473" t="str">
        <f>IFERROR(VLOOKUP(Table_NFI[[#This Row],[Camp Name]],CL,2,0),"")</f>
        <v/>
      </c>
      <c r="AR1226" s="468" t="str">
        <f ca="1">IF(Table_NFI[[#This Row],[Pcode]]="","",IF(OFFSET(CampList[Opening Date],MATCH(Table_NFI[[#This Row],[Pcode]],CampList[CP_Pcode],0)-1,0,1,1)&gt;=NFI_Monitor_Date,1,0))</f>
        <v/>
      </c>
      <c r="AS1226" s="473" t="str">
        <f>IFERROR(VLOOKUP(Table_NFI[[#This Row],[Camp Name]],CL,3,0),"")</f>
        <v/>
      </c>
      <c r="AT1226" s="294" t="str">
        <f ca="1">IF(Table_NFI[[#This Row],[Pcode]]="","",OFFSET(CampList[Priority],MATCH(Table_NFI[[#This Row],[Pcode]],CampList[CP_Pcode],0)-1,0,1,1))</f>
        <v/>
      </c>
      <c r="AU1226" s="293" t="str">
        <f>IFERROR(Table_NFI[[#This Row],[Kitchen Set]]/VLOOKUP(Table_NFI[[#This Row],[Camp Name]],CL,4,0),"")</f>
        <v/>
      </c>
      <c r="AV1226" s="471"/>
      <c r="AW1226" s="474"/>
    </row>
    <row r="1227" spans="1:49" ht="14.45" customHeight="1" x14ac:dyDescent="0.25">
      <c r="A1227" s="297" t="str">
        <f t="shared" si="19"/>
        <v/>
      </c>
      <c r="B1227" s="465"/>
      <c r="C1227" s="471"/>
      <c r="D1227" s="471"/>
      <c r="E1227" s="471"/>
      <c r="F1227" s="471"/>
      <c r="G1227" s="471"/>
      <c r="H1227" s="292"/>
      <c r="I1227" s="292"/>
      <c r="J1227" s="292"/>
      <c r="K1227" s="292"/>
      <c r="L1227" s="292"/>
      <c r="M1227" s="292"/>
      <c r="N1227" s="292"/>
      <c r="O1227" s="292"/>
      <c r="P1227" s="294"/>
      <c r="Q1227" s="294"/>
      <c r="R1227" s="294"/>
      <c r="S1227" s="294"/>
      <c r="T1227" s="294"/>
      <c r="U1227" s="294"/>
      <c r="V1227" s="431"/>
      <c r="W1227" s="331"/>
      <c r="X1227" s="331"/>
      <c r="Y1227" s="294">
        <f>IF(NFI_Expiration=1,IF($A1227&lt;VLOOKUP(H$5,NFI,5,0),1,0)*Table_NFI[[#This Row],[Hygiene Kit]],Table_NFI[Hygiene Kit])</f>
        <v>0</v>
      </c>
      <c r="Z1227" s="294">
        <f>IF(NFI_Expiration=1,IF($A1227&lt;VLOOKUP(I$5,NFI,5,0),1,0)*Table_NFI[[#This Row],[NFI Core Kit]],Table_NFI[NFI Core Kit])</f>
        <v>0</v>
      </c>
      <c r="AA1227" s="294">
        <f>IF(NFI_Expiration=1,IF($A1227&lt;VLOOKUP(J$5,NFI,5,0),1,0)*Table_NFI[[#This Row],[Sanitary Kit]],Table_NFI[Sanitary Kit])</f>
        <v>0</v>
      </c>
      <c r="AB1227" s="294">
        <f>IF(NFI_Expiration=1,IF($A1227&lt;VLOOKUP(K$5,NFI,5,0),1,0)*Table_NFI[[#This Row],[Mosquito net]],Table_NFI[Mosquito net])</f>
        <v>0</v>
      </c>
      <c r="AC1227" s="294">
        <f>IF(NFI_Expiration=1,IF($A1227&lt;VLOOKUP(L$5,NFI,5,0),1,0)*Table_NFI[[#This Row],[Tarpaulin]],Table_NFI[[#This Row],[Tarpaulin]])</f>
        <v>0</v>
      </c>
      <c r="AD1227" s="294">
        <f>IF(NFI_Expiration=1,IF($A1227&lt;VLOOKUP(M$5,NFI,5,0),1,0)*Table_NFI[[#This Row],[Blanket]],Table_NFI[[#This Row],[Blanket]])</f>
        <v>0</v>
      </c>
      <c r="AE1227" s="294">
        <f>IF(NFI_Expiration=1,IF($A1227&lt;VLOOKUP(N$5,NFI,5,0),1,0)*Table_NFI[[#This Row],[Kitchen Set]],Table_NFI[Kitchen Set])</f>
        <v>0</v>
      </c>
      <c r="AF1227" s="294">
        <f>IF(NFI_Expiration=1,IF($A1227&lt;VLOOKUP(O$5,NFI,5,0),1,0)*Table_NFI[[#This Row],[Clothes Kit]],Table_NFI[Clothes Kit])</f>
        <v>0</v>
      </c>
      <c r="AG1227" s="294">
        <f>IF(NFI_Expiration=1,IF($A1227&lt;VLOOKUP(P$5,NFI,5,0),1,0)*Table_NFI[[#This Row],[Plastic Bucket]],Table_NFI[Plastic Bucket])</f>
        <v>0</v>
      </c>
      <c r="AH1227" s="294">
        <f>IF(NFI_Expiration=1,IF($A1227&lt;VLOOKUP(Q$5,NFI,5,0),1,0)*Table_NFI[[#This Row],[Plastic Mat]],Table_NFI[Plastic Mat])*IF(Table_NFI[[#This Row],[Distribution Date]]&gt;"2014-04-01",1,2.5)</f>
        <v>0</v>
      </c>
      <c r="AI1227" s="294">
        <f>IF(NFI_Expiration=1,IF($A1227&lt;VLOOKUP(R$5,NFI,5,0),1,0)*Table_NFI[[#This Row],[Winter Clothes Adult]],Table_NFI[Winter Clothes Adult])</f>
        <v>0</v>
      </c>
      <c r="AJ1227" s="294">
        <f>IF(NFI_Expiration=1,IF($A1227&lt;VLOOKUP(S$5,NFI,5,0),1,0)*Table_NFI[[#This Row],[Winter Clothes Children]],Table_NFI[Winter Clothes Children])</f>
        <v>0</v>
      </c>
      <c r="AK1227" s="294">
        <f>IF(NFI_Expiration=1,IF($A1227&lt;VLOOKUP(T$5,NFI,5,0),1,0)*Table_NFI[[#This Row],[Winter Items Other]],Table_NFI[Winter Items Other])</f>
        <v>0</v>
      </c>
      <c r="AL1227" s="294">
        <f>IF(NFI_Expiration=1,IF($A1227&lt;VLOOKUP(M$5,NFI,5,0),1,0)*Table_NFI[[#This Row],[Winter Blanket]],Table_NFI[[#This Row],[Winter Blanket]])</f>
        <v>0</v>
      </c>
      <c r="AM1227" s="294">
        <f>IF(Table_NFI[[#This Row],[Winter Clothes Adult]]+Table_NFI[[#This Row],[Winter Clothes Children]]+Table_NFI[[#This Row],[Winter Items Other]]+Table_NFI[[#This Row],[Winter Blanket]]&gt;0,1,0)</f>
        <v>0</v>
      </c>
      <c r="AN1227" s="331">
        <f>IF(NFI_Expiration=1,IF($A1227&lt;VLOOKUP(V$5,NFI,5,0),1,0)*Table_NFI[[#This Row],[Jerry Can]],Table_NFI[Jerry Can])</f>
        <v>0</v>
      </c>
      <c r="AO1227" s="331">
        <f>IF(NFI_Expiration=1,IF($A1227&lt;VLOOKUP(V$5,NFI,5,0),1,0)*Table_NFI[[#This Row],[Shelter Tool kit]],Table_NFI[Shelter Tool kit])</f>
        <v>0</v>
      </c>
      <c r="AP1227" s="331">
        <f>IF(NFI_Expiration=1,IF($A1227&lt;VLOOKUP(V$5,NFI,5,0),1,0)*Table_NFI[[#This Row],[Tent]],Table_NFI[Tent])</f>
        <v>0</v>
      </c>
      <c r="AQ1227" s="473" t="str">
        <f>IFERROR(VLOOKUP(Table_NFI[[#This Row],[Camp Name]],CL,2,0),"")</f>
        <v/>
      </c>
      <c r="AR1227" s="468" t="str">
        <f ca="1">IF(Table_NFI[[#This Row],[Pcode]]="","",IF(OFFSET(CampList[Opening Date],MATCH(Table_NFI[[#This Row],[Pcode]],CampList[CP_Pcode],0)-1,0,1,1)&gt;=NFI_Monitor_Date,1,0))</f>
        <v/>
      </c>
      <c r="AS1227" s="473" t="str">
        <f>IFERROR(VLOOKUP(Table_NFI[[#This Row],[Camp Name]],CL,3,0),"")</f>
        <v/>
      </c>
      <c r="AT1227" s="294" t="str">
        <f ca="1">IF(Table_NFI[[#This Row],[Pcode]]="","",OFFSET(CampList[Priority],MATCH(Table_NFI[[#This Row],[Pcode]],CampList[CP_Pcode],0)-1,0,1,1))</f>
        <v/>
      </c>
      <c r="AU1227" s="293" t="str">
        <f>IFERROR(Table_NFI[[#This Row],[Kitchen Set]]/VLOOKUP(Table_NFI[[#This Row],[Camp Name]],CL,4,0),"")</f>
        <v/>
      </c>
      <c r="AV1227" s="471"/>
      <c r="AW1227" s="474"/>
    </row>
    <row r="1228" spans="1:49" ht="14.45" customHeight="1" x14ac:dyDescent="0.25">
      <c r="A1228" s="297" t="str">
        <f t="shared" si="19"/>
        <v/>
      </c>
      <c r="B1228" s="465"/>
      <c r="C1228" s="471"/>
      <c r="D1228" s="471"/>
      <c r="E1228" s="471"/>
      <c r="F1228" s="471"/>
      <c r="G1228" s="471"/>
      <c r="H1228" s="292"/>
      <c r="I1228" s="292"/>
      <c r="J1228" s="292"/>
      <c r="K1228" s="292"/>
      <c r="L1228" s="292"/>
      <c r="M1228" s="292"/>
      <c r="N1228" s="292"/>
      <c r="O1228" s="292"/>
      <c r="P1228" s="294"/>
      <c r="Q1228" s="294"/>
      <c r="R1228" s="294"/>
      <c r="S1228" s="294"/>
      <c r="T1228" s="294"/>
      <c r="U1228" s="294"/>
      <c r="V1228" s="431"/>
      <c r="W1228" s="331"/>
      <c r="X1228" s="331"/>
      <c r="Y1228" s="294">
        <f>IF(NFI_Expiration=1,IF($A1228&lt;VLOOKUP(H$5,NFI,5,0),1,0)*Table_NFI[[#This Row],[Hygiene Kit]],Table_NFI[Hygiene Kit])</f>
        <v>0</v>
      </c>
      <c r="Z1228" s="294">
        <f>IF(NFI_Expiration=1,IF($A1228&lt;VLOOKUP(I$5,NFI,5,0),1,0)*Table_NFI[[#This Row],[NFI Core Kit]],Table_NFI[NFI Core Kit])</f>
        <v>0</v>
      </c>
      <c r="AA1228" s="294">
        <f>IF(NFI_Expiration=1,IF($A1228&lt;VLOOKUP(J$5,NFI,5,0),1,0)*Table_NFI[[#This Row],[Sanitary Kit]],Table_NFI[Sanitary Kit])</f>
        <v>0</v>
      </c>
      <c r="AB1228" s="294">
        <f>IF(NFI_Expiration=1,IF($A1228&lt;VLOOKUP(K$5,NFI,5,0),1,0)*Table_NFI[[#This Row],[Mosquito net]],Table_NFI[Mosquito net])</f>
        <v>0</v>
      </c>
      <c r="AC1228" s="294">
        <f>IF(NFI_Expiration=1,IF($A1228&lt;VLOOKUP(L$5,NFI,5,0),1,0)*Table_NFI[[#This Row],[Tarpaulin]],Table_NFI[[#This Row],[Tarpaulin]])</f>
        <v>0</v>
      </c>
      <c r="AD1228" s="294">
        <f>IF(NFI_Expiration=1,IF($A1228&lt;VLOOKUP(M$5,NFI,5,0),1,0)*Table_NFI[[#This Row],[Blanket]],Table_NFI[[#This Row],[Blanket]])</f>
        <v>0</v>
      </c>
      <c r="AE1228" s="294">
        <f>IF(NFI_Expiration=1,IF($A1228&lt;VLOOKUP(N$5,NFI,5,0),1,0)*Table_NFI[[#This Row],[Kitchen Set]],Table_NFI[Kitchen Set])</f>
        <v>0</v>
      </c>
      <c r="AF1228" s="294">
        <f>IF(NFI_Expiration=1,IF($A1228&lt;VLOOKUP(O$5,NFI,5,0),1,0)*Table_NFI[[#This Row],[Clothes Kit]],Table_NFI[Clothes Kit])</f>
        <v>0</v>
      </c>
      <c r="AG1228" s="294">
        <f>IF(NFI_Expiration=1,IF($A1228&lt;VLOOKUP(P$5,NFI,5,0),1,0)*Table_NFI[[#This Row],[Plastic Bucket]],Table_NFI[Plastic Bucket])</f>
        <v>0</v>
      </c>
      <c r="AH1228" s="294">
        <f>IF(NFI_Expiration=1,IF($A1228&lt;VLOOKUP(Q$5,NFI,5,0),1,0)*Table_NFI[[#This Row],[Plastic Mat]],Table_NFI[Plastic Mat])*IF(Table_NFI[[#This Row],[Distribution Date]]&gt;"2014-04-01",1,2.5)</f>
        <v>0</v>
      </c>
      <c r="AI1228" s="294">
        <f>IF(NFI_Expiration=1,IF($A1228&lt;VLOOKUP(R$5,NFI,5,0),1,0)*Table_NFI[[#This Row],[Winter Clothes Adult]],Table_NFI[Winter Clothes Adult])</f>
        <v>0</v>
      </c>
      <c r="AJ1228" s="294">
        <f>IF(NFI_Expiration=1,IF($A1228&lt;VLOOKUP(S$5,NFI,5,0),1,0)*Table_NFI[[#This Row],[Winter Clothes Children]],Table_NFI[Winter Clothes Children])</f>
        <v>0</v>
      </c>
      <c r="AK1228" s="294">
        <f>IF(NFI_Expiration=1,IF($A1228&lt;VLOOKUP(T$5,NFI,5,0),1,0)*Table_NFI[[#This Row],[Winter Items Other]],Table_NFI[Winter Items Other])</f>
        <v>0</v>
      </c>
      <c r="AL1228" s="294">
        <f>IF(NFI_Expiration=1,IF($A1228&lt;VLOOKUP(M$5,NFI,5,0),1,0)*Table_NFI[[#This Row],[Winter Blanket]],Table_NFI[[#This Row],[Winter Blanket]])</f>
        <v>0</v>
      </c>
      <c r="AM1228" s="294">
        <f>IF(Table_NFI[[#This Row],[Winter Clothes Adult]]+Table_NFI[[#This Row],[Winter Clothes Children]]+Table_NFI[[#This Row],[Winter Items Other]]+Table_NFI[[#This Row],[Winter Blanket]]&gt;0,1,0)</f>
        <v>0</v>
      </c>
      <c r="AN1228" s="331">
        <f>IF(NFI_Expiration=1,IF($A1228&lt;VLOOKUP(V$5,NFI,5,0),1,0)*Table_NFI[[#This Row],[Jerry Can]],Table_NFI[Jerry Can])</f>
        <v>0</v>
      </c>
      <c r="AO1228" s="331">
        <f>IF(NFI_Expiration=1,IF($A1228&lt;VLOOKUP(V$5,NFI,5,0),1,0)*Table_NFI[[#This Row],[Shelter Tool kit]],Table_NFI[Shelter Tool kit])</f>
        <v>0</v>
      </c>
      <c r="AP1228" s="331">
        <f>IF(NFI_Expiration=1,IF($A1228&lt;VLOOKUP(V$5,NFI,5,0),1,0)*Table_NFI[[#This Row],[Tent]],Table_NFI[Tent])</f>
        <v>0</v>
      </c>
      <c r="AQ1228" s="473" t="str">
        <f>IFERROR(VLOOKUP(Table_NFI[[#This Row],[Camp Name]],CL,2,0),"")</f>
        <v/>
      </c>
      <c r="AR1228" s="468" t="str">
        <f ca="1">IF(Table_NFI[[#This Row],[Pcode]]="","",IF(OFFSET(CampList[Opening Date],MATCH(Table_NFI[[#This Row],[Pcode]],CampList[CP_Pcode],0)-1,0,1,1)&gt;=NFI_Monitor_Date,1,0))</f>
        <v/>
      </c>
      <c r="AS1228" s="473" t="str">
        <f>IFERROR(VLOOKUP(Table_NFI[[#This Row],[Camp Name]],CL,3,0),"")</f>
        <v/>
      </c>
      <c r="AT1228" s="294" t="str">
        <f ca="1">IF(Table_NFI[[#This Row],[Pcode]]="","",OFFSET(CampList[Priority],MATCH(Table_NFI[[#This Row],[Pcode]],CampList[CP_Pcode],0)-1,0,1,1))</f>
        <v/>
      </c>
      <c r="AU1228" s="293" t="str">
        <f>IFERROR(Table_NFI[[#This Row],[Kitchen Set]]/VLOOKUP(Table_NFI[[#This Row],[Camp Name]],CL,4,0),"")</f>
        <v/>
      </c>
      <c r="AV1228" s="471"/>
      <c r="AW1228" s="474"/>
    </row>
    <row r="1229" spans="1:49" ht="14.45" customHeight="1" x14ac:dyDescent="0.25">
      <c r="A1229" s="297" t="str">
        <f t="shared" si="19"/>
        <v/>
      </c>
      <c r="B1229" s="465"/>
      <c r="C1229" s="471"/>
      <c r="D1229" s="471"/>
      <c r="E1229" s="471"/>
      <c r="F1229" s="471"/>
      <c r="G1229" s="471"/>
      <c r="H1229" s="292"/>
      <c r="I1229" s="292"/>
      <c r="J1229" s="292"/>
      <c r="K1229" s="292"/>
      <c r="L1229" s="292"/>
      <c r="M1229" s="292"/>
      <c r="N1229" s="292"/>
      <c r="O1229" s="292"/>
      <c r="P1229" s="294"/>
      <c r="Q1229" s="294"/>
      <c r="R1229" s="294"/>
      <c r="S1229" s="294"/>
      <c r="T1229" s="294"/>
      <c r="U1229" s="294"/>
      <c r="V1229" s="431"/>
      <c r="W1229" s="331"/>
      <c r="X1229" s="331"/>
      <c r="Y1229" s="294">
        <f>IF(NFI_Expiration=1,IF($A1229&lt;VLOOKUP(H$5,NFI,5,0),1,0)*Table_NFI[[#This Row],[Hygiene Kit]],Table_NFI[Hygiene Kit])</f>
        <v>0</v>
      </c>
      <c r="Z1229" s="294">
        <f>IF(NFI_Expiration=1,IF($A1229&lt;VLOOKUP(I$5,NFI,5,0),1,0)*Table_NFI[[#This Row],[NFI Core Kit]],Table_NFI[NFI Core Kit])</f>
        <v>0</v>
      </c>
      <c r="AA1229" s="294">
        <f>IF(NFI_Expiration=1,IF($A1229&lt;VLOOKUP(J$5,NFI,5,0),1,0)*Table_NFI[[#This Row],[Sanitary Kit]],Table_NFI[Sanitary Kit])</f>
        <v>0</v>
      </c>
      <c r="AB1229" s="294">
        <f>IF(NFI_Expiration=1,IF($A1229&lt;VLOOKUP(K$5,NFI,5,0),1,0)*Table_NFI[[#This Row],[Mosquito net]],Table_NFI[Mosquito net])</f>
        <v>0</v>
      </c>
      <c r="AC1229" s="294">
        <f>IF(NFI_Expiration=1,IF($A1229&lt;VLOOKUP(L$5,NFI,5,0),1,0)*Table_NFI[[#This Row],[Tarpaulin]],Table_NFI[[#This Row],[Tarpaulin]])</f>
        <v>0</v>
      </c>
      <c r="AD1229" s="294">
        <f>IF(NFI_Expiration=1,IF($A1229&lt;VLOOKUP(M$5,NFI,5,0),1,0)*Table_NFI[[#This Row],[Blanket]],Table_NFI[[#This Row],[Blanket]])</f>
        <v>0</v>
      </c>
      <c r="AE1229" s="294">
        <f>IF(NFI_Expiration=1,IF($A1229&lt;VLOOKUP(N$5,NFI,5,0),1,0)*Table_NFI[[#This Row],[Kitchen Set]],Table_NFI[Kitchen Set])</f>
        <v>0</v>
      </c>
      <c r="AF1229" s="294">
        <f>IF(NFI_Expiration=1,IF($A1229&lt;VLOOKUP(O$5,NFI,5,0),1,0)*Table_NFI[[#This Row],[Clothes Kit]],Table_NFI[Clothes Kit])</f>
        <v>0</v>
      </c>
      <c r="AG1229" s="294">
        <f>IF(NFI_Expiration=1,IF($A1229&lt;VLOOKUP(P$5,NFI,5,0),1,0)*Table_NFI[[#This Row],[Plastic Bucket]],Table_NFI[Plastic Bucket])</f>
        <v>0</v>
      </c>
      <c r="AH1229" s="294">
        <f>IF(NFI_Expiration=1,IF($A1229&lt;VLOOKUP(Q$5,NFI,5,0),1,0)*Table_NFI[[#This Row],[Plastic Mat]],Table_NFI[Plastic Mat])*IF(Table_NFI[[#This Row],[Distribution Date]]&gt;"2014-04-01",1,2.5)</f>
        <v>0</v>
      </c>
      <c r="AI1229" s="294">
        <f>IF(NFI_Expiration=1,IF($A1229&lt;VLOOKUP(R$5,NFI,5,0),1,0)*Table_NFI[[#This Row],[Winter Clothes Adult]],Table_NFI[Winter Clothes Adult])</f>
        <v>0</v>
      </c>
      <c r="AJ1229" s="294">
        <f>IF(NFI_Expiration=1,IF($A1229&lt;VLOOKUP(S$5,NFI,5,0),1,0)*Table_NFI[[#This Row],[Winter Clothes Children]],Table_NFI[Winter Clothes Children])</f>
        <v>0</v>
      </c>
      <c r="AK1229" s="294">
        <f>IF(NFI_Expiration=1,IF($A1229&lt;VLOOKUP(T$5,NFI,5,0),1,0)*Table_NFI[[#This Row],[Winter Items Other]],Table_NFI[Winter Items Other])</f>
        <v>0</v>
      </c>
      <c r="AL1229" s="294">
        <f>IF(NFI_Expiration=1,IF($A1229&lt;VLOOKUP(M$5,NFI,5,0),1,0)*Table_NFI[[#This Row],[Winter Blanket]],Table_NFI[[#This Row],[Winter Blanket]])</f>
        <v>0</v>
      </c>
      <c r="AM1229" s="294">
        <f>IF(Table_NFI[[#This Row],[Winter Clothes Adult]]+Table_NFI[[#This Row],[Winter Clothes Children]]+Table_NFI[[#This Row],[Winter Items Other]]+Table_NFI[[#This Row],[Winter Blanket]]&gt;0,1,0)</f>
        <v>0</v>
      </c>
      <c r="AN1229" s="331">
        <f>IF(NFI_Expiration=1,IF($A1229&lt;VLOOKUP(V$5,NFI,5,0),1,0)*Table_NFI[[#This Row],[Jerry Can]],Table_NFI[Jerry Can])</f>
        <v>0</v>
      </c>
      <c r="AO1229" s="331">
        <f>IF(NFI_Expiration=1,IF($A1229&lt;VLOOKUP(V$5,NFI,5,0),1,0)*Table_NFI[[#This Row],[Shelter Tool kit]],Table_NFI[Shelter Tool kit])</f>
        <v>0</v>
      </c>
      <c r="AP1229" s="331">
        <f>IF(NFI_Expiration=1,IF($A1229&lt;VLOOKUP(V$5,NFI,5,0),1,0)*Table_NFI[[#This Row],[Tent]],Table_NFI[Tent])</f>
        <v>0</v>
      </c>
      <c r="AQ1229" s="473" t="str">
        <f>IFERROR(VLOOKUP(Table_NFI[[#This Row],[Camp Name]],CL,2,0),"")</f>
        <v/>
      </c>
      <c r="AR1229" s="468" t="str">
        <f ca="1">IF(Table_NFI[[#This Row],[Pcode]]="","",IF(OFFSET(CampList[Opening Date],MATCH(Table_NFI[[#This Row],[Pcode]],CampList[CP_Pcode],0)-1,0,1,1)&gt;=NFI_Monitor_Date,1,0))</f>
        <v/>
      </c>
      <c r="AS1229" s="473" t="str">
        <f>IFERROR(VLOOKUP(Table_NFI[[#This Row],[Camp Name]],CL,3,0),"")</f>
        <v/>
      </c>
      <c r="AT1229" s="294" t="str">
        <f ca="1">IF(Table_NFI[[#This Row],[Pcode]]="","",OFFSET(CampList[Priority],MATCH(Table_NFI[[#This Row],[Pcode]],CampList[CP_Pcode],0)-1,0,1,1))</f>
        <v/>
      </c>
      <c r="AU1229" s="293" t="str">
        <f>IFERROR(Table_NFI[[#This Row],[Kitchen Set]]/VLOOKUP(Table_NFI[[#This Row],[Camp Name]],CL,4,0),"")</f>
        <v/>
      </c>
      <c r="AV1229" s="471"/>
      <c r="AW1229" s="474"/>
    </row>
    <row r="1230" spans="1:49" ht="14.45" customHeight="1" x14ac:dyDescent="0.25">
      <c r="A1230" s="297" t="str">
        <f t="shared" si="19"/>
        <v/>
      </c>
      <c r="B1230" s="465"/>
      <c r="C1230" s="471"/>
      <c r="D1230" s="471"/>
      <c r="E1230" s="471"/>
      <c r="F1230" s="471"/>
      <c r="G1230" s="471"/>
      <c r="H1230" s="292"/>
      <c r="I1230" s="292"/>
      <c r="J1230" s="292"/>
      <c r="K1230" s="292"/>
      <c r="L1230" s="292"/>
      <c r="M1230" s="292"/>
      <c r="N1230" s="292"/>
      <c r="O1230" s="292"/>
      <c r="P1230" s="294"/>
      <c r="Q1230" s="294"/>
      <c r="R1230" s="294"/>
      <c r="S1230" s="294"/>
      <c r="T1230" s="294"/>
      <c r="U1230" s="294"/>
      <c r="V1230" s="431"/>
      <c r="W1230" s="331"/>
      <c r="X1230" s="331"/>
      <c r="Y1230" s="294">
        <f>IF(NFI_Expiration=1,IF($A1230&lt;VLOOKUP(H$5,NFI,5,0),1,0)*Table_NFI[[#This Row],[Hygiene Kit]],Table_NFI[Hygiene Kit])</f>
        <v>0</v>
      </c>
      <c r="Z1230" s="294">
        <f>IF(NFI_Expiration=1,IF($A1230&lt;VLOOKUP(I$5,NFI,5,0),1,0)*Table_NFI[[#This Row],[NFI Core Kit]],Table_NFI[NFI Core Kit])</f>
        <v>0</v>
      </c>
      <c r="AA1230" s="294">
        <f>IF(NFI_Expiration=1,IF($A1230&lt;VLOOKUP(J$5,NFI,5,0),1,0)*Table_NFI[[#This Row],[Sanitary Kit]],Table_NFI[Sanitary Kit])</f>
        <v>0</v>
      </c>
      <c r="AB1230" s="294">
        <f>IF(NFI_Expiration=1,IF($A1230&lt;VLOOKUP(K$5,NFI,5,0),1,0)*Table_NFI[[#This Row],[Mosquito net]],Table_NFI[Mosquito net])</f>
        <v>0</v>
      </c>
      <c r="AC1230" s="294">
        <f>IF(NFI_Expiration=1,IF($A1230&lt;VLOOKUP(L$5,NFI,5,0),1,0)*Table_NFI[[#This Row],[Tarpaulin]],Table_NFI[[#This Row],[Tarpaulin]])</f>
        <v>0</v>
      </c>
      <c r="AD1230" s="294">
        <f>IF(NFI_Expiration=1,IF($A1230&lt;VLOOKUP(M$5,NFI,5,0),1,0)*Table_NFI[[#This Row],[Blanket]],Table_NFI[[#This Row],[Blanket]])</f>
        <v>0</v>
      </c>
      <c r="AE1230" s="294">
        <f>IF(NFI_Expiration=1,IF($A1230&lt;VLOOKUP(N$5,NFI,5,0),1,0)*Table_NFI[[#This Row],[Kitchen Set]],Table_NFI[Kitchen Set])</f>
        <v>0</v>
      </c>
      <c r="AF1230" s="294">
        <f>IF(NFI_Expiration=1,IF($A1230&lt;VLOOKUP(O$5,NFI,5,0),1,0)*Table_NFI[[#This Row],[Clothes Kit]],Table_NFI[Clothes Kit])</f>
        <v>0</v>
      </c>
      <c r="AG1230" s="294">
        <f>IF(NFI_Expiration=1,IF($A1230&lt;VLOOKUP(P$5,NFI,5,0),1,0)*Table_NFI[[#This Row],[Plastic Bucket]],Table_NFI[Plastic Bucket])</f>
        <v>0</v>
      </c>
      <c r="AH1230" s="294">
        <f>IF(NFI_Expiration=1,IF($A1230&lt;VLOOKUP(Q$5,NFI,5,0),1,0)*Table_NFI[[#This Row],[Plastic Mat]],Table_NFI[Plastic Mat])*IF(Table_NFI[[#This Row],[Distribution Date]]&gt;"2014-04-01",1,2.5)</f>
        <v>0</v>
      </c>
      <c r="AI1230" s="294">
        <f>IF(NFI_Expiration=1,IF($A1230&lt;VLOOKUP(R$5,NFI,5,0),1,0)*Table_NFI[[#This Row],[Winter Clothes Adult]],Table_NFI[Winter Clothes Adult])</f>
        <v>0</v>
      </c>
      <c r="AJ1230" s="294">
        <f>IF(NFI_Expiration=1,IF($A1230&lt;VLOOKUP(S$5,NFI,5,0),1,0)*Table_NFI[[#This Row],[Winter Clothes Children]],Table_NFI[Winter Clothes Children])</f>
        <v>0</v>
      </c>
      <c r="AK1230" s="294">
        <f>IF(NFI_Expiration=1,IF($A1230&lt;VLOOKUP(T$5,NFI,5,0),1,0)*Table_NFI[[#This Row],[Winter Items Other]],Table_NFI[Winter Items Other])</f>
        <v>0</v>
      </c>
      <c r="AL1230" s="294">
        <f>IF(NFI_Expiration=1,IF($A1230&lt;VLOOKUP(M$5,NFI,5,0),1,0)*Table_NFI[[#This Row],[Winter Blanket]],Table_NFI[[#This Row],[Winter Blanket]])</f>
        <v>0</v>
      </c>
      <c r="AM1230" s="294">
        <f>IF(Table_NFI[[#This Row],[Winter Clothes Adult]]+Table_NFI[[#This Row],[Winter Clothes Children]]+Table_NFI[[#This Row],[Winter Items Other]]+Table_NFI[[#This Row],[Winter Blanket]]&gt;0,1,0)</f>
        <v>0</v>
      </c>
      <c r="AN1230" s="331">
        <f>IF(NFI_Expiration=1,IF($A1230&lt;VLOOKUP(V$5,NFI,5,0),1,0)*Table_NFI[[#This Row],[Jerry Can]],Table_NFI[Jerry Can])</f>
        <v>0</v>
      </c>
      <c r="AO1230" s="331">
        <f>IF(NFI_Expiration=1,IF($A1230&lt;VLOOKUP(V$5,NFI,5,0),1,0)*Table_NFI[[#This Row],[Shelter Tool kit]],Table_NFI[Shelter Tool kit])</f>
        <v>0</v>
      </c>
      <c r="AP1230" s="331">
        <f>IF(NFI_Expiration=1,IF($A1230&lt;VLOOKUP(V$5,NFI,5,0),1,0)*Table_NFI[[#This Row],[Tent]],Table_NFI[Tent])</f>
        <v>0</v>
      </c>
      <c r="AQ1230" s="473" t="str">
        <f>IFERROR(VLOOKUP(Table_NFI[[#This Row],[Camp Name]],CL,2,0),"")</f>
        <v/>
      </c>
      <c r="AR1230" s="468" t="str">
        <f ca="1">IF(Table_NFI[[#This Row],[Pcode]]="","",IF(OFFSET(CampList[Opening Date],MATCH(Table_NFI[[#This Row],[Pcode]],CampList[CP_Pcode],0)-1,0,1,1)&gt;=NFI_Monitor_Date,1,0))</f>
        <v/>
      </c>
      <c r="AS1230" s="473" t="str">
        <f>IFERROR(VLOOKUP(Table_NFI[[#This Row],[Camp Name]],CL,3,0),"")</f>
        <v/>
      </c>
      <c r="AT1230" s="294" t="str">
        <f ca="1">IF(Table_NFI[[#This Row],[Pcode]]="","",OFFSET(CampList[Priority],MATCH(Table_NFI[[#This Row],[Pcode]],CampList[CP_Pcode],0)-1,0,1,1))</f>
        <v/>
      </c>
      <c r="AU1230" s="293" t="str">
        <f>IFERROR(Table_NFI[[#This Row],[Kitchen Set]]/VLOOKUP(Table_NFI[[#This Row],[Camp Name]],CL,4,0),"")</f>
        <v/>
      </c>
      <c r="AV1230" s="471"/>
      <c r="AW1230" s="474"/>
    </row>
    <row r="1231" spans="1:49" ht="14.45" customHeight="1" x14ac:dyDescent="0.25">
      <c r="A1231" s="297" t="str">
        <f t="shared" si="19"/>
        <v/>
      </c>
      <c r="B1231" s="465"/>
      <c r="C1231" s="471"/>
      <c r="D1231" s="471"/>
      <c r="E1231" s="471"/>
      <c r="F1231" s="471"/>
      <c r="G1231" s="471"/>
      <c r="H1231" s="292"/>
      <c r="I1231" s="292"/>
      <c r="J1231" s="292"/>
      <c r="K1231" s="292"/>
      <c r="L1231" s="292"/>
      <c r="M1231" s="292"/>
      <c r="N1231" s="292"/>
      <c r="O1231" s="292"/>
      <c r="P1231" s="294"/>
      <c r="Q1231" s="294"/>
      <c r="R1231" s="294"/>
      <c r="S1231" s="294"/>
      <c r="T1231" s="294"/>
      <c r="U1231" s="294"/>
      <c r="V1231" s="431"/>
      <c r="W1231" s="331"/>
      <c r="X1231" s="331"/>
      <c r="Y1231" s="294">
        <f>IF(NFI_Expiration=1,IF($A1231&lt;VLOOKUP(H$5,NFI,5,0),1,0)*Table_NFI[[#This Row],[Hygiene Kit]],Table_NFI[Hygiene Kit])</f>
        <v>0</v>
      </c>
      <c r="Z1231" s="294">
        <f>IF(NFI_Expiration=1,IF($A1231&lt;VLOOKUP(I$5,NFI,5,0),1,0)*Table_NFI[[#This Row],[NFI Core Kit]],Table_NFI[NFI Core Kit])</f>
        <v>0</v>
      </c>
      <c r="AA1231" s="294">
        <f>IF(NFI_Expiration=1,IF($A1231&lt;VLOOKUP(J$5,NFI,5,0),1,0)*Table_NFI[[#This Row],[Sanitary Kit]],Table_NFI[Sanitary Kit])</f>
        <v>0</v>
      </c>
      <c r="AB1231" s="294">
        <f>IF(NFI_Expiration=1,IF($A1231&lt;VLOOKUP(K$5,NFI,5,0),1,0)*Table_NFI[[#This Row],[Mosquito net]],Table_NFI[Mosquito net])</f>
        <v>0</v>
      </c>
      <c r="AC1231" s="294">
        <f>IF(NFI_Expiration=1,IF($A1231&lt;VLOOKUP(L$5,NFI,5,0),1,0)*Table_NFI[[#This Row],[Tarpaulin]],Table_NFI[[#This Row],[Tarpaulin]])</f>
        <v>0</v>
      </c>
      <c r="AD1231" s="294">
        <f>IF(NFI_Expiration=1,IF($A1231&lt;VLOOKUP(M$5,NFI,5,0),1,0)*Table_NFI[[#This Row],[Blanket]],Table_NFI[[#This Row],[Blanket]])</f>
        <v>0</v>
      </c>
      <c r="AE1231" s="294">
        <f>IF(NFI_Expiration=1,IF($A1231&lt;VLOOKUP(N$5,NFI,5,0),1,0)*Table_NFI[[#This Row],[Kitchen Set]],Table_NFI[Kitchen Set])</f>
        <v>0</v>
      </c>
      <c r="AF1231" s="294">
        <f>IF(NFI_Expiration=1,IF($A1231&lt;VLOOKUP(O$5,NFI,5,0),1,0)*Table_NFI[[#This Row],[Clothes Kit]],Table_NFI[Clothes Kit])</f>
        <v>0</v>
      </c>
      <c r="AG1231" s="294">
        <f>IF(NFI_Expiration=1,IF($A1231&lt;VLOOKUP(P$5,NFI,5,0),1,0)*Table_NFI[[#This Row],[Plastic Bucket]],Table_NFI[Plastic Bucket])</f>
        <v>0</v>
      </c>
      <c r="AH1231" s="294">
        <f>IF(NFI_Expiration=1,IF($A1231&lt;VLOOKUP(Q$5,NFI,5,0),1,0)*Table_NFI[[#This Row],[Plastic Mat]],Table_NFI[Plastic Mat])*IF(Table_NFI[[#This Row],[Distribution Date]]&gt;"2014-04-01",1,2.5)</f>
        <v>0</v>
      </c>
      <c r="AI1231" s="294">
        <f>IF(NFI_Expiration=1,IF($A1231&lt;VLOOKUP(R$5,NFI,5,0),1,0)*Table_NFI[[#This Row],[Winter Clothes Adult]],Table_NFI[Winter Clothes Adult])</f>
        <v>0</v>
      </c>
      <c r="AJ1231" s="294">
        <f>IF(NFI_Expiration=1,IF($A1231&lt;VLOOKUP(S$5,NFI,5,0),1,0)*Table_NFI[[#This Row],[Winter Clothes Children]],Table_NFI[Winter Clothes Children])</f>
        <v>0</v>
      </c>
      <c r="AK1231" s="294">
        <f>IF(NFI_Expiration=1,IF($A1231&lt;VLOOKUP(T$5,NFI,5,0),1,0)*Table_NFI[[#This Row],[Winter Items Other]],Table_NFI[Winter Items Other])</f>
        <v>0</v>
      </c>
      <c r="AL1231" s="294">
        <f>IF(NFI_Expiration=1,IF($A1231&lt;VLOOKUP(M$5,NFI,5,0),1,0)*Table_NFI[[#This Row],[Winter Blanket]],Table_NFI[[#This Row],[Winter Blanket]])</f>
        <v>0</v>
      </c>
      <c r="AM1231" s="294">
        <f>IF(Table_NFI[[#This Row],[Winter Clothes Adult]]+Table_NFI[[#This Row],[Winter Clothes Children]]+Table_NFI[[#This Row],[Winter Items Other]]+Table_NFI[[#This Row],[Winter Blanket]]&gt;0,1,0)</f>
        <v>0</v>
      </c>
      <c r="AN1231" s="331">
        <f>IF(NFI_Expiration=1,IF($A1231&lt;VLOOKUP(V$5,NFI,5,0),1,0)*Table_NFI[[#This Row],[Jerry Can]],Table_NFI[Jerry Can])</f>
        <v>0</v>
      </c>
      <c r="AO1231" s="331">
        <f>IF(NFI_Expiration=1,IF($A1231&lt;VLOOKUP(V$5,NFI,5,0),1,0)*Table_NFI[[#This Row],[Shelter Tool kit]],Table_NFI[Shelter Tool kit])</f>
        <v>0</v>
      </c>
      <c r="AP1231" s="331">
        <f>IF(NFI_Expiration=1,IF($A1231&lt;VLOOKUP(V$5,NFI,5,0),1,0)*Table_NFI[[#This Row],[Tent]],Table_NFI[Tent])</f>
        <v>0</v>
      </c>
      <c r="AQ1231" s="473" t="str">
        <f>IFERROR(VLOOKUP(Table_NFI[[#This Row],[Camp Name]],CL,2,0),"")</f>
        <v/>
      </c>
      <c r="AR1231" s="468" t="str">
        <f ca="1">IF(Table_NFI[[#This Row],[Pcode]]="","",IF(OFFSET(CampList[Opening Date],MATCH(Table_NFI[[#This Row],[Pcode]],CampList[CP_Pcode],0)-1,0,1,1)&gt;=NFI_Monitor_Date,1,0))</f>
        <v/>
      </c>
      <c r="AS1231" s="473" t="str">
        <f>IFERROR(VLOOKUP(Table_NFI[[#This Row],[Camp Name]],CL,3,0),"")</f>
        <v/>
      </c>
      <c r="AT1231" s="294" t="str">
        <f ca="1">IF(Table_NFI[[#This Row],[Pcode]]="","",OFFSET(CampList[Priority],MATCH(Table_NFI[[#This Row],[Pcode]],CampList[CP_Pcode],0)-1,0,1,1))</f>
        <v/>
      </c>
      <c r="AU1231" s="293" t="str">
        <f>IFERROR(Table_NFI[[#This Row],[Kitchen Set]]/VLOOKUP(Table_NFI[[#This Row],[Camp Name]],CL,4,0),"")</f>
        <v/>
      </c>
      <c r="AV1231" s="471"/>
      <c r="AW1231" s="474"/>
    </row>
    <row r="1232" spans="1:49" ht="14.45" customHeight="1" x14ac:dyDescent="0.25">
      <c r="A1232" s="297" t="str">
        <f t="shared" si="19"/>
        <v/>
      </c>
      <c r="B1232" s="465"/>
      <c r="C1232" s="471"/>
      <c r="D1232" s="471"/>
      <c r="E1232" s="471"/>
      <c r="F1232" s="471"/>
      <c r="G1232" s="471"/>
      <c r="H1232" s="292"/>
      <c r="I1232" s="292"/>
      <c r="J1232" s="292"/>
      <c r="K1232" s="292"/>
      <c r="L1232" s="292"/>
      <c r="M1232" s="292"/>
      <c r="N1232" s="292"/>
      <c r="O1232" s="292"/>
      <c r="P1232" s="294"/>
      <c r="Q1232" s="294"/>
      <c r="R1232" s="294"/>
      <c r="S1232" s="294"/>
      <c r="T1232" s="294"/>
      <c r="U1232" s="294"/>
      <c r="V1232" s="431"/>
      <c r="W1232" s="331"/>
      <c r="X1232" s="331"/>
      <c r="Y1232" s="294">
        <f>IF(NFI_Expiration=1,IF($A1232&lt;VLOOKUP(H$5,NFI,5,0),1,0)*Table_NFI[[#This Row],[Hygiene Kit]],Table_NFI[Hygiene Kit])</f>
        <v>0</v>
      </c>
      <c r="Z1232" s="294">
        <f>IF(NFI_Expiration=1,IF($A1232&lt;VLOOKUP(I$5,NFI,5,0),1,0)*Table_NFI[[#This Row],[NFI Core Kit]],Table_NFI[NFI Core Kit])</f>
        <v>0</v>
      </c>
      <c r="AA1232" s="294">
        <f>IF(NFI_Expiration=1,IF($A1232&lt;VLOOKUP(J$5,NFI,5,0),1,0)*Table_NFI[[#This Row],[Sanitary Kit]],Table_NFI[Sanitary Kit])</f>
        <v>0</v>
      </c>
      <c r="AB1232" s="294">
        <f>IF(NFI_Expiration=1,IF($A1232&lt;VLOOKUP(K$5,NFI,5,0),1,0)*Table_NFI[[#This Row],[Mosquito net]],Table_NFI[Mosquito net])</f>
        <v>0</v>
      </c>
      <c r="AC1232" s="294">
        <f>IF(NFI_Expiration=1,IF($A1232&lt;VLOOKUP(L$5,NFI,5,0),1,0)*Table_NFI[[#This Row],[Tarpaulin]],Table_NFI[[#This Row],[Tarpaulin]])</f>
        <v>0</v>
      </c>
      <c r="AD1232" s="294">
        <f>IF(NFI_Expiration=1,IF($A1232&lt;VLOOKUP(M$5,NFI,5,0),1,0)*Table_NFI[[#This Row],[Blanket]],Table_NFI[[#This Row],[Blanket]])</f>
        <v>0</v>
      </c>
      <c r="AE1232" s="294">
        <f>IF(NFI_Expiration=1,IF($A1232&lt;VLOOKUP(N$5,NFI,5,0),1,0)*Table_NFI[[#This Row],[Kitchen Set]],Table_NFI[Kitchen Set])</f>
        <v>0</v>
      </c>
      <c r="AF1232" s="294">
        <f>IF(NFI_Expiration=1,IF($A1232&lt;VLOOKUP(O$5,NFI,5,0),1,0)*Table_NFI[[#This Row],[Clothes Kit]],Table_NFI[Clothes Kit])</f>
        <v>0</v>
      </c>
      <c r="AG1232" s="294">
        <f>IF(NFI_Expiration=1,IF($A1232&lt;VLOOKUP(P$5,NFI,5,0),1,0)*Table_NFI[[#This Row],[Plastic Bucket]],Table_NFI[Plastic Bucket])</f>
        <v>0</v>
      </c>
      <c r="AH1232" s="294">
        <f>IF(NFI_Expiration=1,IF($A1232&lt;VLOOKUP(Q$5,NFI,5,0),1,0)*Table_NFI[[#This Row],[Plastic Mat]],Table_NFI[Plastic Mat])*IF(Table_NFI[[#This Row],[Distribution Date]]&gt;"2014-04-01",1,2.5)</f>
        <v>0</v>
      </c>
      <c r="AI1232" s="294">
        <f>IF(NFI_Expiration=1,IF($A1232&lt;VLOOKUP(R$5,NFI,5,0),1,0)*Table_NFI[[#This Row],[Winter Clothes Adult]],Table_NFI[Winter Clothes Adult])</f>
        <v>0</v>
      </c>
      <c r="AJ1232" s="294">
        <f>IF(NFI_Expiration=1,IF($A1232&lt;VLOOKUP(S$5,NFI,5,0),1,0)*Table_NFI[[#This Row],[Winter Clothes Children]],Table_NFI[Winter Clothes Children])</f>
        <v>0</v>
      </c>
      <c r="AK1232" s="294">
        <f>IF(NFI_Expiration=1,IF($A1232&lt;VLOOKUP(T$5,NFI,5,0),1,0)*Table_NFI[[#This Row],[Winter Items Other]],Table_NFI[Winter Items Other])</f>
        <v>0</v>
      </c>
      <c r="AL1232" s="294">
        <f>IF(NFI_Expiration=1,IF($A1232&lt;VLOOKUP(M$5,NFI,5,0),1,0)*Table_NFI[[#This Row],[Winter Blanket]],Table_NFI[[#This Row],[Winter Blanket]])</f>
        <v>0</v>
      </c>
      <c r="AM1232" s="294">
        <f>IF(Table_NFI[[#This Row],[Winter Clothes Adult]]+Table_NFI[[#This Row],[Winter Clothes Children]]+Table_NFI[[#This Row],[Winter Items Other]]+Table_NFI[[#This Row],[Winter Blanket]]&gt;0,1,0)</f>
        <v>0</v>
      </c>
      <c r="AN1232" s="331">
        <f>IF(NFI_Expiration=1,IF($A1232&lt;VLOOKUP(V$5,NFI,5,0),1,0)*Table_NFI[[#This Row],[Jerry Can]],Table_NFI[Jerry Can])</f>
        <v>0</v>
      </c>
      <c r="AO1232" s="331">
        <f>IF(NFI_Expiration=1,IF($A1232&lt;VLOOKUP(V$5,NFI,5,0),1,0)*Table_NFI[[#This Row],[Shelter Tool kit]],Table_NFI[Shelter Tool kit])</f>
        <v>0</v>
      </c>
      <c r="AP1232" s="331">
        <f>IF(NFI_Expiration=1,IF($A1232&lt;VLOOKUP(V$5,NFI,5,0),1,0)*Table_NFI[[#This Row],[Tent]],Table_NFI[Tent])</f>
        <v>0</v>
      </c>
      <c r="AQ1232" s="473" t="str">
        <f>IFERROR(VLOOKUP(Table_NFI[[#This Row],[Camp Name]],CL,2,0),"")</f>
        <v/>
      </c>
      <c r="AR1232" s="468" t="str">
        <f ca="1">IF(Table_NFI[[#This Row],[Pcode]]="","",IF(OFFSET(CampList[Opening Date],MATCH(Table_NFI[[#This Row],[Pcode]],CampList[CP_Pcode],0)-1,0,1,1)&gt;=NFI_Monitor_Date,1,0))</f>
        <v/>
      </c>
      <c r="AS1232" s="473" t="str">
        <f>IFERROR(VLOOKUP(Table_NFI[[#This Row],[Camp Name]],CL,3,0),"")</f>
        <v/>
      </c>
      <c r="AT1232" s="294" t="str">
        <f ca="1">IF(Table_NFI[[#This Row],[Pcode]]="","",OFFSET(CampList[Priority],MATCH(Table_NFI[[#This Row],[Pcode]],CampList[CP_Pcode],0)-1,0,1,1))</f>
        <v/>
      </c>
      <c r="AU1232" s="293" t="str">
        <f>IFERROR(Table_NFI[[#This Row],[Kitchen Set]]/VLOOKUP(Table_NFI[[#This Row],[Camp Name]],CL,4,0),"")</f>
        <v/>
      </c>
      <c r="AV1232" s="471"/>
      <c r="AW1232" s="474"/>
    </row>
    <row r="1233" spans="1:49" ht="14.45" customHeight="1" x14ac:dyDescent="0.25">
      <c r="A1233" s="297" t="str">
        <f t="shared" si="19"/>
        <v/>
      </c>
      <c r="B1233" s="465"/>
      <c r="C1233" s="471"/>
      <c r="D1233" s="471"/>
      <c r="E1233" s="471"/>
      <c r="F1233" s="471"/>
      <c r="G1233" s="471"/>
      <c r="H1233" s="292"/>
      <c r="I1233" s="292"/>
      <c r="J1233" s="292"/>
      <c r="K1233" s="292"/>
      <c r="L1233" s="292"/>
      <c r="M1233" s="292"/>
      <c r="N1233" s="292"/>
      <c r="O1233" s="292"/>
      <c r="P1233" s="294"/>
      <c r="Q1233" s="294"/>
      <c r="R1233" s="294"/>
      <c r="S1233" s="294"/>
      <c r="T1233" s="294"/>
      <c r="U1233" s="294"/>
      <c r="V1233" s="431"/>
      <c r="W1233" s="331"/>
      <c r="X1233" s="331"/>
      <c r="Y1233" s="294">
        <f>IF(NFI_Expiration=1,IF($A1233&lt;VLOOKUP(H$5,NFI,5,0),1,0)*Table_NFI[[#This Row],[Hygiene Kit]],Table_NFI[Hygiene Kit])</f>
        <v>0</v>
      </c>
      <c r="Z1233" s="294">
        <f>IF(NFI_Expiration=1,IF($A1233&lt;VLOOKUP(I$5,NFI,5,0),1,0)*Table_NFI[[#This Row],[NFI Core Kit]],Table_NFI[NFI Core Kit])</f>
        <v>0</v>
      </c>
      <c r="AA1233" s="294">
        <f>IF(NFI_Expiration=1,IF($A1233&lt;VLOOKUP(J$5,NFI,5,0),1,0)*Table_NFI[[#This Row],[Sanitary Kit]],Table_NFI[Sanitary Kit])</f>
        <v>0</v>
      </c>
      <c r="AB1233" s="294">
        <f>IF(NFI_Expiration=1,IF($A1233&lt;VLOOKUP(K$5,NFI,5,0),1,0)*Table_NFI[[#This Row],[Mosquito net]],Table_NFI[Mosquito net])</f>
        <v>0</v>
      </c>
      <c r="AC1233" s="294">
        <f>IF(NFI_Expiration=1,IF($A1233&lt;VLOOKUP(L$5,NFI,5,0),1,0)*Table_NFI[[#This Row],[Tarpaulin]],Table_NFI[[#This Row],[Tarpaulin]])</f>
        <v>0</v>
      </c>
      <c r="AD1233" s="294">
        <f>IF(NFI_Expiration=1,IF($A1233&lt;VLOOKUP(M$5,NFI,5,0),1,0)*Table_NFI[[#This Row],[Blanket]],Table_NFI[[#This Row],[Blanket]])</f>
        <v>0</v>
      </c>
      <c r="AE1233" s="294">
        <f>IF(NFI_Expiration=1,IF($A1233&lt;VLOOKUP(N$5,NFI,5,0),1,0)*Table_NFI[[#This Row],[Kitchen Set]],Table_NFI[Kitchen Set])</f>
        <v>0</v>
      </c>
      <c r="AF1233" s="294">
        <f>IF(NFI_Expiration=1,IF($A1233&lt;VLOOKUP(O$5,NFI,5,0),1,0)*Table_NFI[[#This Row],[Clothes Kit]],Table_NFI[Clothes Kit])</f>
        <v>0</v>
      </c>
      <c r="AG1233" s="294">
        <f>IF(NFI_Expiration=1,IF($A1233&lt;VLOOKUP(P$5,NFI,5,0),1,0)*Table_NFI[[#This Row],[Plastic Bucket]],Table_NFI[Plastic Bucket])</f>
        <v>0</v>
      </c>
      <c r="AH1233" s="294">
        <f>IF(NFI_Expiration=1,IF($A1233&lt;VLOOKUP(Q$5,NFI,5,0),1,0)*Table_NFI[[#This Row],[Plastic Mat]],Table_NFI[Plastic Mat])*IF(Table_NFI[[#This Row],[Distribution Date]]&gt;"2014-04-01",1,2.5)</f>
        <v>0</v>
      </c>
      <c r="AI1233" s="294">
        <f>IF(NFI_Expiration=1,IF($A1233&lt;VLOOKUP(R$5,NFI,5,0),1,0)*Table_NFI[[#This Row],[Winter Clothes Adult]],Table_NFI[Winter Clothes Adult])</f>
        <v>0</v>
      </c>
      <c r="AJ1233" s="294">
        <f>IF(NFI_Expiration=1,IF($A1233&lt;VLOOKUP(S$5,NFI,5,0),1,0)*Table_NFI[[#This Row],[Winter Clothes Children]],Table_NFI[Winter Clothes Children])</f>
        <v>0</v>
      </c>
      <c r="AK1233" s="294">
        <f>IF(NFI_Expiration=1,IF($A1233&lt;VLOOKUP(T$5,NFI,5,0),1,0)*Table_NFI[[#This Row],[Winter Items Other]],Table_NFI[Winter Items Other])</f>
        <v>0</v>
      </c>
      <c r="AL1233" s="294">
        <f>IF(NFI_Expiration=1,IF($A1233&lt;VLOOKUP(M$5,NFI,5,0),1,0)*Table_NFI[[#This Row],[Winter Blanket]],Table_NFI[[#This Row],[Winter Blanket]])</f>
        <v>0</v>
      </c>
      <c r="AM1233" s="294">
        <f>IF(Table_NFI[[#This Row],[Winter Clothes Adult]]+Table_NFI[[#This Row],[Winter Clothes Children]]+Table_NFI[[#This Row],[Winter Items Other]]+Table_NFI[[#This Row],[Winter Blanket]]&gt;0,1,0)</f>
        <v>0</v>
      </c>
      <c r="AN1233" s="331">
        <f>IF(NFI_Expiration=1,IF($A1233&lt;VLOOKUP(V$5,NFI,5,0),1,0)*Table_NFI[[#This Row],[Jerry Can]],Table_NFI[Jerry Can])</f>
        <v>0</v>
      </c>
      <c r="AO1233" s="331">
        <f>IF(NFI_Expiration=1,IF($A1233&lt;VLOOKUP(V$5,NFI,5,0),1,0)*Table_NFI[[#This Row],[Shelter Tool kit]],Table_NFI[Shelter Tool kit])</f>
        <v>0</v>
      </c>
      <c r="AP1233" s="331">
        <f>IF(NFI_Expiration=1,IF($A1233&lt;VLOOKUP(V$5,NFI,5,0),1,0)*Table_NFI[[#This Row],[Tent]],Table_NFI[Tent])</f>
        <v>0</v>
      </c>
      <c r="AQ1233" s="473" t="str">
        <f>IFERROR(VLOOKUP(Table_NFI[[#This Row],[Camp Name]],CL,2,0),"")</f>
        <v/>
      </c>
      <c r="AR1233" s="468" t="str">
        <f ca="1">IF(Table_NFI[[#This Row],[Pcode]]="","",IF(OFFSET(CampList[Opening Date],MATCH(Table_NFI[[#This Row],[Pcode]],CampList[CP_Pcode],0)-1,0,1,1)&gt;=NFI_Monitor_Date,1,0))</f>
        <v/>
      </c>
      <c r="AS1233" s="473" t="str">
        <f>IFERROR(VLOOKUP(Table_NFI[[#This Row],[Camp Name]],CL,3,0),"")</f>
        <v/>
      </c>
      <c r="AT1233" s="294" t="str">
        <f ca="1">IF(Table_NFI[[#This Row],[Pcode]]="","",OFFSET(CampList[Priority],MATCH(Table_NFI[[#This Row],[Pcode]],CampList[CP_Pcode],0)-1,0,1,1))</f>
        <v/>
      </c>
      <c r="AU1233" s="293" t="str">
        <f>IFERROR(Table_NFI[[#This Row],[Kitchen Set]]/VLOOKUP(Table_NFI[[#This Row],[Camp Name]],CL,4,0),"")</f>
        <v/>
      </c>
      <c r="AV1233" s="471"/>
      <c r="AW1233" s="474"/>
    </row>
    <row r="1234" spans="1:49" ht="14.45" customHeight="1" x14ac:dyDescent="0.25">
      <c r="A1234" s="297" t="str">
        <f t="shared" si="19"/>
        <v/>
      </c>
      <c r="B1234" s="465"/>
      <c r="C1234" s="471"/>
      <c r="D1234" s="471"/>
      <c r="E1234" s="471"/>
      <c r="F1234" s="471"/>
      <c r="G1234" s="471"/>
      <c r="H1234" s="292"/>
      <c r="I1234" s="292"/>
      <c r="J1234" s="292"/>
      <c r="K1234" s="292"/>
      <c r="L1234" s="292"/>
      <c r="M1234" s="292"/>
      <c r="N1234" s="292"/>
      <c r="O1234" s="292"/>
      <c r="P1234" s="294"/>
      <c r="Q1234" s="294"/>
      <c r="R1234" s="294"/>
      <c r="S1234" s="294"/>
      <c r="T1234" s="294"/>
      <c r="U1234" s="294"/>
      <c r="V1234" s="431"/>
      <c r="W1234" s="331"/>
      <c r="X1234" s="331"/>
      <c r="Y1234" s="294">
        <f>IF(NFI_Expiration=1,IF($A1234&lt;VLOOKUP(H$5,NFI,5,0),1,0)*Table_NFI[[#This Row],[Hygiene Kit]],Table_NFI[Hygiene Kit])</f>
        <v>0</v>
      </c>
      <c r="Z1234" s="294">
        <f>IF(NFI_Expiration=1,IF($A1234&lt;VLOOKUP(I$5,NFI,5,0),1,0)*Table_NFI[[#This Row],[NFI Core Kit]],Table_NFI[NFI Core Kit])</f>
        <v>0</v>
      </c>
      <c r="AA1234" s="294">
        <f>IF(NFI_Expiration=1,IF($A1234&lt;VLOOKUP(J$5,NFI,5,0),1,0)*Table_NFI[[#This Row],[Sanitary Kit]],Table_NFI[Sanitary Kit])</f>
        <v>0</v>
      </c>
      <c r="AB1234" s="294">
        <f>IF(NFI_Expiration=1,IF($A1234&lt;VLOOKUP(K$5,NFI,5,0),1,0)*Table_NFI[[#This Row],[Mosquito net]],Table_NFI[Mosquito net])</f>
        <v>0</v>
      </c>
      <c r="AC1234" s="294">
        <f>IF(NFI_Expiration=1,IF($A1234&lt;VLOOKUP(L$5,NFI,5,0),1,0)*Table_NFI[[#This Row],[Tarpaulin]],Table_NFI[[#This Row],[Tarpaulin]])</f>
        <v>0</v>
      </c>
      <c r="AD1234" s="294">
        <f>IF(NFI_Expiration=1,IF($A1234&lt;VLOOKUP(M$5,NFI,5,0),1,0)*Table_NFI[[#This Row],[Blanket]],Table_NFI[[#This Row],[Blanket]])</f>
        <v>0</v>
      </c>
      <c r="AE1234" s="294">
        <f>IF(NFI_Expiration=1,IF($A1234&lt;VLOOKUP(N$5,NFI,5,0),1,0)*Table_NFI[[#This Row],[Kitchen Set]],Table_NFI[Kitchen Set])</f>
        <v>0</v>
      </c>
      <c r="AF1234" s="294">
        <f>IF(NFI_Expiration=1,IF($A1234&lt;VLOOKUP(O$5,NFI,5,0),1,0)*Table_NFI[[#This Row],[Clothes Kit]],Table_NFI[Clothes Kit])</f>
        <v>0</v>
      </c>
      <c r="AG1234" s="294">
        <f>IF(NFI_Expiration=1,IF($A1234&lt;VLOOKUP(P$5,NFI,5,0),1,0)*Table_NFI[[#This Row],[Plastic Bucket]],Table_NFI[Plastic Bucket])</f>
        <v>0</v>
      </c>
      <c r="AH1234" s="294">
        <f>IF(NFI_Expiration=1,IF($A1234&lt;VLOOKUP(Q$5,NFI,5,0),1,0)*Table_NFI[[#This Row],[Plastic Mat]],Table_NFI[Plastic Mat])*IF(Table_NFI[[#This Row],[Distribution Date]]&gt;"2014-04-01",1,2.5)</f>
        <v>0</v>
      </c>
      <c r="AI1234" s="294">
        <f>IF(NFI_Expiration=1,IF($A1234&lt;VLOOKUP(R$5,NFI,5,0),1,0)*Table_NFI[[#This Row],[Winter Clothes Adult]],Table_NFI[Winter Clothes Adult])</f>
        <v>0</v>
      </c>
      <c r="AJ1234" s="294">
        <f>IF(NFI_Expiration=1,IF($A1234&lt;VLOOKUP(S$5,NFI,5,0),1,0)*Table_NFI[[#This Row],[Winter Clothes Children]],Table_NFI[Winter Clothes Children])</f>
        <v>0</v>
      </c>
      <c r="AK1234" s="294">
        <f>IF(NFI_Expiration=1,IF($A1234&lt;VLOOKUP(T$5,NFI,5,0),1,0)*Table_NFI[[#This Row],[Winter Items Other]],Table_NFI[Winter Items Other])</f>
        <v>0</v>
      </c>
      <c r="AL1234" s="294">
        <f>IF(NFI_Expiration=1,IF($A1234&lt;VLOOKUP(M$5,NFI,5,0),1,0)*Table_NFI[[#This Row],[Winter Blanket]],Table_NFI[[#This Row],[Winter Blanket]])</f>
        <v>0</v>
      </c>
      <c r="AM1234" s="294">
        <f>IF(Table_NFI[[#This Row],[Winter Clothes Adult]]+Table_NFI[[#This Row],[Winter Clothes Children]]+Table_NFI[[#This Row],[Winter Items Other]]+Table_NFI[[#This Row],[Winter Blanket]]&gt;0,1,0)</f>
        <v>0</v>
      </c>
      <c r="AN1234" s="331">
        <f>IF(NFI_Expiration=1,IF($A1234&lt;VLOOKUP(V$5,NFI,5,0),1,0)*Table_NFI[[#This Row],[Jerry Can]],Table_NFI[Jerry Can])</f>
        <v>0</v>
      </c>
      <c r="AO1234" s="331">
        <f>IF(NFI_Expiration=1,IF($A1234&lt;VLOOKUP(V$5,NFI,5,0),1,0)*Table_NFI[[#This Row],[Shelter Tool kit]],Table_NFI[Shelter Tool kit])</f>
        <v>0</v>
      </c>
      <c r="AP1234" s="331">
        <f>IF(NFI_Expiration=1,IF($A1234&lt;VLOOKUP(V$5,NFI,5,0),1,0)*Table_NFI[[#This Row],[Tent]],Table_NFI[Tent])</f>
        <v>0</v>
      </c>
      <c r="AQ1234" s="473" t="str">
        <f>IFERROR(VLOOKUP(Table_NFI[[#This Row],[Camp Name]],CL,2,0),"")</f>
        <v/>
      </c>
      <c r="AR1234" s="468" t="str">
        <f ca="1">IF(Table_NFI[[#This Row],[Pcode]]="","",IF(OFFSET(CampList[Opening Date],MATCH(Table_NFI[[#This Row],[Pcode]],CampList[CP_Pcode],0)-1,0,1,1)&gt;=NFI_Monitor_Date,1,0))</f>
        <v/>
      </c>
      <c r="AS1234" s="473" t="str">
        <f>IFERROR(VLOOKUP(Table_NFI[[#This Row],[Camp Name]],CL,3,0),"")</f>
        <v/>
      </c>
      <c r="AT1234" s="294" t="str">
        <f ca="1">IF(Table_NFI[[#This Row],[Pcode]]="","",OFFSET(CampList[Priority],MATCH(Table_NFI[[#This Row],[Pcode]],CampList[CP_Pcode],0)-1,0,1,1))</f>
        <v/>
      </c>
      <c r="AU1234" s="293" t="str">
        <f>IFERROR(Table_NFI[[#This Row],[Kitchen Set]]/VLOOKUP(Table_NFI[[#This Row],[Camp Name]],CL,4,0),"")</f>
        <v/>
      </c>
      <c r="AV1234" s="471"/>
      <c r="AW1234" s="474"/>
    </row>
    <row r="1235" spans="1:49" ht="14.45" customHeight="1" x14ac:dyDescent="0.25">
      <c r="A1235" s="297" t="str">
        <f t="shared" si="19"/>
        <v/>
      </c>
      <c r="B1235" s="465"/>
      <c r="C1235" s="471"/>
      <c r="D1235" s="471"/>
      <c r="E1235" s="471"/>
      <c r="F1235" s="471"/>
      <c r="G1235" s="471"/>
      <c r="H1235" s="292"/>
      <c r="I1235" s="292"/>
      <c r="J1235" s="292"/>
      <c r="K1235" s="292"/>
      <c r="L1235" s="292"/>
      <c r="M1235" s="292"/>
      <c r="N1235" s="292"/>
      <c r="O1235" s="292"/>
      <c r="P1235" s="294"/>
      <c r="Q1235" s="294"/>
      <c r="R1235" s="294"/>
      <c r="S1235" s="294"/>
      <c r="T1235" s="294"/>
      <c r="U1235" s="294"/>
      <c r="V1235" s="431"/>
      <c r="W1235" s="331"/>
      <c r="X1235" s="331"/>
      <c r="Y1235" s="294">
        <f>IF(NFI_Expiration=1,IF($A1235&lt;VLOOKUP(H$5,NFI,5,0),1,0)*Table_NFI[[#This Row],[Hygiene Kit]],Table_NFI[Hygiene Kit])</f>
        <v>0</v>
      </c>
      <c r="Z1235" s="294">
        <f>IF(NFI_Expiration=1,IF($A1235&lt;VLOOKUP(I$5,NFI,5,0),1,0)*Table_NFI[[#This Row],[NFI Core Kit]],Table_NFI[NFI Core Kit])</f>
        <v>0</v>
      </c>
      <c r="AA1235" s="294">
        <f>IF(NFI_Expiration=1,IF($A1235&lt;VLOOKUP(J$5,NFI,5,0),1,0)*Table_NFI[[#This Row],[Sanitary Kit]],Table_NFI[Sanitary Kit])</f>
        <v>0</v>
      </c>
      <c r="AB1235" s="294">
        <f>IF(NFI_Expiration=1,IF($A1235&lt;VLOOKUP(K$5,NFI,5,0),1,0)*Table_NFI[[#This Row],[Mosquito net]],Table_NFI[Mosquito net])</f>
        <v>0</v>
      </c>
      <c r="AC1235" s="294">
        <f>IF(NFI_Expiration=1,IF($A1235&lt;VLOOKUP(L$5,NFI,5,0),1,0)*Table_NFI[[#This Row],[Tarpaulin]],Table_NFI[[#This Row],[Tarpaulin]])</f>
        <v>0</v>
      </c>
      <c r="AD1235" s="294">
        <f>IF(NFI_Expiration=1,IF($A1235&lt;VLOOKUP(M$5,NFI,5,0),1,0)*Table_NFI[[#This Row],[Blanket]],Table_NFI[[#This Row],[Blanket]])</f>
        <v>0</v>
      </c>
      <c r="AE1235" s="294">
        <f>IF(NFI_Expiration=1,IF($A1235&lt;VLOOKUP(N$5,NFI,5,0),1,0)*Table_NFI[[#This Row],[Kitchen Set]],Table_NFI[Kitchen Set])</f>
        <v>0</v>
      </c>
      <c r="AF1235" s="294">
        <f>IF(NFI_Expiration=1,IF($A1235&lt;VLOOKUP(O$5,NFI,5,0),1,0)*Table_NFI[[#This Row],[Clothes Kit]],Table_NFI[Clothes Kit])</f>
        <v>0</v>
      </c>
      <c r="AG1235" s="294">
        <f>IF(NFI_Expiration=1,IF($A1235&lt;VLOOKUP(P$5,NFI,5,0),1,0)*Table_NFI[[#This Row],[Plastic Bucket]],Table_NFI[Plastic Bucket])</f>
        <v>0</v>
      </c>
      <c r="AH1235" s="294">
        <f>IF(NFI_Expiration=1,IF($A1235&lt;VLOOKUP(Q$5,NFI,5,0),1,0)*Table_NFI[[#This Row],[Plastic Mat]],Table_NFI[Plastic Mat])*IF(Table_NFI[[#This Row],[Distribution Date]]&gt;"2014-04-01",1,2.5)</f>
        <v>0</v>
      </c>
      <c r="AI1235" s="294">
        <f>IF(NFI_Expiration=1,IF($A1235&lt;VLOOKUP(R$5,NFI,5,0),1,0)*Table_NFI[[#This Row],[Winter Clothes Adult]],Table_NFI[Winter Clothes Adult])</f>
        <v>0</v>
      </c>
      <c r="AJ1235" s="294">
        <f>IF(NFI_Expiration=1,IF($A1235&lt;VLOOKUP(S$5,NFI,5,0),1,0)*Table_NFI[[#This Row],[Winter Clothes Children]],Table_NFI[Winter Clothes Children])</f>
        <v>0</v>
      </c>
      <c r="AK1235" s="294">
        <f>IF(NFI_Expiration=1,IF($A1235&lt;VLOOKUP(T$5,NFI,5,0),1,0)*Table_NFI[[#This Row],[Winter Items Other]],Table_NFI[Winter Items Other])</f>
        <v>0</v>
      </c>
      <c r="AL1235" s="294">
        <f>IF(NFI_Expiration=1,IF($A1235&lt;VLOOKUP(M$5,NFI,5,0),1,0)*Table_NFI[[#This Row],[Winter Blanket]],Table_NFI[[#This Row],[Winter Blanket]])</f>
        <v>0</v>
      </c>
      <c r="AM1235" s="294">
        <f>IF(Table_NFI[[#This Row],[Winter Clothes Adult]]+Table_NFI[[#This Row],[Winter Clothes Children]]+Table_NFI[[#This Row],[Winter Items Other]]+Table_NFI[[#This Row],[Winter Blanket]]&gt;0,1,0)</f>
        <v>0</v>
      </c>
      <c r="AN1235" s="331">
        <f>IF(NFI_Expiration=1,IF($A1235&lt;VLOOKUP(V$5,NFI,5,0),1,0)*Table_NFI[[#This Row],[Jerry Can]],Table_NFI[Jerry Can])</f>
        <v>0</v>
      </c>
      <c r="AO1235" s="331">
        <f>IF(NFI_Expiration=1,IF($A1235&lt;VLOOKUP(V$5,NFI,5,0),1,0)*Table_NFI[[#This Row],[Shelter Tool kit]],Table_NFI[Shelter Tool kit])</f>
        <v>0</v>
      </c>
      <c r="AP1235" s="331">
        <f>IF(NFI_Expiration=1,IF($A1235&lt;VLOOKUP(V$5,NFI,5,0),1,0)*Table_NFI[[#This Row],[Tent]],Table_NFI[Tent])</f>
        <v>0</v>
      </c>
      <c r="AQ1235" s="473" t="str">
        <f>IFERROR(VLOOKUP(Table_NFI[[#This Row],[Camp Name]],CL,2,0),"")</f>
        <v/>
      </c>
      <c r="AR1235" s="468" t="str">
        <f ca="1">IF(Table_NFI[[#This Row],[Pcode]]="","",IF(OFFSET(CampList[Opening Date],MATCH(Table_NFI[[#This Row],[Pcode]],CampList[CP_Pcode],0)-1,0,1,1)&gt;=NFI_Monitor_Date,1,0))</f>
        <v/>
      </c>
      <c r="AS1235" s="473" t="str">
        <f>IFERROR(VLOOKUP(Table_NFI[[#This Row],[Camp Name]],CL,3,0),"")</f>
        <v/>
      </c>
      <c r="AT1235" s="294" t="str">
        <f ca="1">IF(Table_NFI[[#This Row],[Pcode]]="","",OFFSET(CampList[Priority],MATCH(Table_NFI[[#This Row],[Pcode]],CampList[CP_Pcode],0)-1,0,1,1))</f>
        <v/>
      </c>
      <c r="AU1235" s="293" t="str">
        <f>IFERROR(Table_NFI[[#This Row],[Kitchen Set]]/VLOOKUP(Table_NFI[[#This Row],[Camp Name]],CL,4,0),"")</f>
        <v/>
      </c>
      <c r="AV1235" s="471"/>
      <c r="AW1235" s="474"/>
    </row>
    <row r="1236" spans="1:49" ht="14.45" customHeight="1" x14ac:dyDescent="0.25">
      <c r="A1236" s="297" t="str">
        <f t="shared" si="19"/>
        <v/>
      </c>
      <c r="B1236" s="465"/>
      <c r="C1236" s="471"/>
      <c r="D1236" s="471"/>
      <c r="E1236" s="471"/>
      <c r="F1236" s="471"/>
      <c r="G1236" s="471"/>
      <c r="H1236" s="292"/>
      <c r="I1236" s="292"/>
      <c r="J1236" s="292"/>
      <c r="K1236" s="292"/>
      <c r="L1236" s="292"/>
      <c r="M1236" s="292"/>
      <c r="N1236" s="292"/>
      <c r="O1236" s="292"/>
      <c r="P1236" s="294"/>
      <c r="Q1236" s="294"/>
      <c r="R1236" s="294"/>
      <c r="S1236" s="294"/>
      <c r="T1236" s="294"/>
      <c r="U1236" s="294"/>
      <c r="V1236" s="431"/>
      <c r="W1236" s="331"/>
      <c r="X1236" s="331"/>
      <c r="Y1236" s="294">
        <f>IF(NFI_Expiration=1,IF($A1236&lt;VLOOKUP(H$5,NFI,5,0),1,0)*Table_NFI[[#This Row],[Hygiene Kit]],Table_NFI[Hygiene Kit])</f>
        <v>0</v>
      </c>
      <c r="Z1236" s="294">
        <f>IF(NFI_Expiration=1,IF($A1236&lt;VLOOKUP(I$5,NFI,5,0),1,0)*Table_NFI[[#This Row],[NFI Core Kit]],Table_NFI[NFI Core Kit])</f>
        <v>0</v>
      </c>
      <c r="AA1236" s="294">
        <f>IF(NFI_Expiration=1,IF($A1236&lt;VLOOKUP(J$5,NFI,5,0),1,0)*Table_NFI[[#This Row],[Sanitary Kit]],Table_NFI[Sanitary Kit])</f>
        <v>0</v>
      </c>
      <c r="AB1236" s="294">
        <f>IF(NFI_Expiration=1,IF($A1236&lt;VLOOKUP(K$5,NFI,5,0),1,0)*Table_NFI[[#This Row],[Mosquito net]],Table_NFI[Mosquito net])</f>
        <v>0</v>
      </c>
      <c r="AC1236" s="294">
        <f>IF(NFI_Expiration=1,IF($A1236&lt;VLOOKUP(L$5,NFI,5,0),1,0)*Table_NFI[[#This Row],[Tarpaulin]],Table_NFI[[#This Row],[Tarpaulin]])</f>
        <v>0</v>
      </c>
      <c r="AD1236" s="294">
        <f>IF(NFI_Expiration=1,IF($A1236&lt;VLOOKUP(M$5,NFI,5,0),1,0)*Table_NFI[[#This Row],[Blanket]],Table_NFI[[#This Row],[Blanket]])</f>
        <v>0</v>
      </c>
      <c r="AE1236" s="294">
        <f>IF(NFI_Expiration=1,IF($A1236&lt;VLOOKUP(N$5,NFI,5,0),1,0)*Table_NFI[[#This Row],[Kitchen Set]],Table_NFI[Kitchen Set])</f>
        <v>0</v>
      </c>
      <c r="AF1236" s="294">
        <f>IF(NFI_Expiration=1,IF($A1236&lt;VLOOKUP(O$5,NFI,5,0),1,0)*Table_NFI[[#This Row],[Clothes Kit]],Table_NFI[Clothes Kit])</f>
        <v>0</v>
      </c>
      <c r="AG1236" s="294">
        <f>IF(NFI_Expiration=1,IF($A1236&lt;VLOOKUP(P$5,NFI,5,0),1,0)*Table_NFI[[#This Row],[Plastic Bucket]],Table_NFI[Plastic Bucket])</f>
        <v>0</v>
      </c>
      <c r="AH1236" s="294">
        <f>IF(NFI_Expiration=1,IF($A1236&lt;VLOOKUP(Q$5,NFI,5,0),1,0)*Table_NFI[[#This Row],[Plastic Mat]],Table_NFI[Plastic Mat])*IF(Table_NFI[[#This Row],[Distribution Date]]&gt;"2014-04-01",1,2.5)</f>
        <v>0</v>
      </c>
      <c r="AI1236" s="294">
        <f>IF(NFI_Expiration=1,IF($A1236&lt;VLOOKUP(R$5,NFI,5,0),1,0)*Table_NFI[[#This Row],[Winter Clothes Adult]],Table_NFI[Winter Clothes Adult])</f>
        <v>0</v>
      </c>
      <c r="AJ1236" s="294">
        <f>IF(NFI_Expiration=1,IF($A1236&lt;VLOOKUP(S$5,NFI,5,0),1,0)*Table_NFI[[#This Row],[Winter Clothes Children]],Table_NFI[Winter Clothes Children])</f>
        <v>0</v>
      </c>
      <c r="AK1236" s="294">
        <f>IF(NFI_Expiration=1,IF($A1236&lt;VLOOKUP(T$5,NFI,5,0),1,0)*Table_NFI[[#This Row],[Winter Items Other]],Table_NFI[Winter Items Other])</f>
        <v>0</v>
      </c>
      <c r="AL1236" s="294">
        <f>IF(NFI_Expiration=1,IF($A1236&lt;VLOOKUP(M$5,NFI,5,0),1,0)*Table_NFI[[#This Row],[Winter Blanket]],Table_NFI[[#This Row],[Winter Blanket]])</f>
        <v>0</v>
      </c>
      <c r="AM1236" s="294">
        <f>IF(Table_NFI[[#This Row],[Winter Clothes Adult]]+Table_NFI[[#This Row],[Winter Clothes Children]]+Table_NFI[[#This Row],[Winter Items Other]]+Table_NFI[[#This Row],[Winter Blanket]]&gt;0,1,0)</f>
        <v>0</v>
      </c>
      <c r="AN1236" s="331">
        <f>IF(NFI_Expiration=1,IF($A1236&lt;VLOOKUP(V$5,NFI,5,0),1,0)*Table_NFI[[#This Row],[Jerry Can]],Table_NFI[Jerry Can])</f>
        <v>0</v>
      </c>
      <c r="AO1236" s="331">
        <f>IF(NFI_Expiration=1,IF($A1236&lt;VLOOKUP(V$5,NFI,5,0),1,0)*Table_NFI[[#This Row],[Shelter Tool kit]],Table_NFI[Shelter Tool kit])</f>
        <v>0</v>
      </c>
      <c r="AP1236" s="331">
        <f>IF(NFI_Expiration=1,IF($A1236&lt;VLOOKUP(V$5,NFI,5,0),1,0)*Table_NFI[[#This Row],[Tent]],Table_NFI[Tent])</f>
        <v>0</v>
      </c>
      <c r="AQ1236" s="473" t="str">
        <f>IFERROR(VLOOKUP(Table_NFI[[#This Row],[Camp Name]],CL,2,0),"")</f>
        <v/>
      </c>
      <c r="AR1236" s="468" t="str">
        <f ca="1">IF(Table_NFI[[#This Row],[Pcode]]="","",IF(OFFSET(CampList[Opening Date],MATCH(Table_NFI[[#This Row],[Pcode]],CampList[CP_Pcode],0)-1,0,1,1)&gt;=NFI_Monitor_Date,1,0))</f>
        <v/>
      </c>
      <c r="AS1236" s="473" t="str">
        <f>IFERROR(VLOOKUP(Table_NFI[[#This Row],[Camp Name]],CL,3,0),"")</f>
        <v/>
      </c>
      <c r="AT1236" s="294" t="str">
        <f ca="1">IF(Table_NFI[[#This Row],[Pcode]]="","",OFFSET(CampList[Priority],MATCH(Table_NFI[[#This Row],[Pcode]],CampList[CP_Pcode],0)-1,0,1,1))</f>
        <v/>
      </c>
      <c r="AU1236" s="293" t="str">
        <f>IFERROR(Table_NFI[[#This Row],[Kitchen Set]]/VLOOKUP(Table_NFI[[#This Row],[Camp Name]],CL,4,0),"")</f>
        <v/>
      </c>
      <c r="AV1236" s="471"/>
      <c r="AW1236" s="474"/>
    </row>
    <row r="1237" spans="1:49" ht="14.45" customHeight="1" x14ac:dyDescent="0.25">
      <c r="A1237" s="297" t="str">
        <f t="shared" si="19"/>
        <v/>
      </c>
      <c r="B1237" s="465"/>
      <c r="C1237" s="471"/>
      <c r="D1237" s="471"/>
      <c r="E1237" s="471"/>
      <c r="F1237" s="471"/>
      <c r="G1237" s="471"/>
      <c r="H1237" s="292"/>
      <c r="I1237" s="292"/>
      <c r="J1237" s="292"/>
      <c r="K1237" s="292"/>
      <c r="L1237" s="292"/>
      <c r="M1237" s="292"/>
      <c r="N1237" s="292"/>
      <c r="O1237" s="292"/>
      <c r="P1237" s="294"/>
      <c r="Q1237" s="294"/>
      <c r="R1237" s="294"/>
      <c r="S1237" s="294"/>
      <c r="T1237" s="294"/>
      <c r="U1237" s="294"/>
      <c r="V1237" s="431"/>
      <c r="W1237" s="331"/>
      <c r="X1237" s="331"/>
      <c r="Y1237" s="294">
        <f>IF(NFI_Expiration=1,IF($A1237&lt;VLOOKUP(H$5,NFI,5,0),1,0)*Table_NFI[[#This Row],[Hygiene Kit]],Table_NFI[Hygiene Kit])</f>
        <v>0</v>
      </c>
      <c r="Z1237" s="294">
        <f>IF(NFI_Expiration=1,IF($A1237&lt;VLOOKUP(I$5,NFI,5,0),1,0)*Table_NFI[[#This Row],[NFI Core Kit]],Table_NFI[NFI Core Kit])</f>
        <v>0</v>
      </c>
      <c r="AA1237" s="294">
        <f>IF(NFI_Expiration=1,IF($A1237&lt;VLOOKUP(J$5,NFI,5,0),1,0)*Table_NFI[[#This Row],[Sanitary Kit]],Table_NFI[Sanitary Kit])</f>
        <v>0</v>
      </c>
      <c r="AB1237" s="294">
        <f>IF(NFI_Expiration=1,IF($A1237&lt;VLOOKUP(K$5,NFI,5,0),1,0)*Table_NFI[[#This Row],[Mosquito net]],Table_NFI[Mosquito net])</f>
        <v>0</v>
      </c>
      <c r="AC1237" s="294">
        <f>IF(NFI_Expiration=1,IF($A1237&lt;VLOOKUP(L$5,NFI,5,0),1,0)*Table_NFI[[#This Row],[Tarpaulin]],Table_NFI[[#This Row],[Tarpaulin]])</f>
        <v>0</v>
      </c>
      <c r="AD1237" s="294">
        <f>IF(NFI_Expiration=1,IF($A1237&lt;VLOOKUP(M$5,NFI,5,0),1,0)*Table_NFI[[#This Row],[Blanket]],Table_NFI[[#This Row],[Blanket]])</f>
        <v>0</v>
      </c>
      <c r="AE1237" s="294">
        <f>IF(NFI_Expiration=1,IF($A1237&lt;VLOOKUP(N$5,NFI,5,0),1,0)*Table_NFI[[#This Row],[Kitchen Set]],Table_NFI[Kitchen Set])</f>
        <v>0</v>
      </c>
      <c r="AF1237" s="294">
        <f>IF(NFI_Expiration=1,IF($A1237&lt;VLOOKUP(O$5,NFI,5,0),1,0)*Table_NFI[[#This Row],[Clothes Kit]],Table_NFI[Clothes Kit])</f>
        <v>0</v>
      </c>
      <c r="AG1237" s="294">
        <f>IF(NFI_Expiration=1,IF($A1237&lt;VLOOKUP(P$5,NFI,5,0),1,0)*Table_NFI[[#This Row],[Plastic Bucket]],Table_NFI[Plastic Bucket])</f>
        <v>0</v>
      </c>
      <c r="AH1237" s="294">
        <f>IF(NFI_Expiration=1,IF($A1237&lt;VLOOKUP(Q$5,NFI,5,0),1,0)*Table_NFI[[#This Row],[Plastic Mat]],Table_NFI[Plastic Mat])*IF(Table_NFI[[#This Row],[Distribution Date]]&gt;"2014-04-01",1,2.5)</f>
        <v>0</v>
      </c>
      <c r="AI1237" s="294">
        <f>IF(NFI_Expiration=1,IF($A1237&lt;VLOOKUP(R$5,NFI,5,0),1,0)*Table_NFI[[#This Row],[Winter Clothes Adult]],Table_NFI[Winter Clothes Adult])</f>
        <v>0</v>
      </c>
      <c r="AJ1237" s="294">
        <f>IF(NFI_Expiration=1,IF($A1237&lt;VLOOKUP(S$5,NFI,5,0),1,0)*Table_NFI[[#This Row],[Winter Clothes Children]],Table_NFI[Winter Clothes Children])</f>
        <v>0</v>
      </c>
      <c r="AK1237" s="294">
        <f>IF(NFI_Expiration=1,IF($A1237&lt;VLOOKUP(T$5,NFI,5,0),1,0)*Table_NFI[[#This Row],[Winter Items Other]],Table_NFI[Winter Items Other])</f>
        <v>0</v>
      </c>
      <c r="AL1237" s="294">
        <f>IF(NFI_Expiration=1,IF($A1237&lt;VLOOKUP(M$5,NFI,5,0),1,0)*Table_NFI[[#This Row],[Winter Blanket]],Table_NFI[[#This Row],[Winter Blanket]])</f>
        <v>0</v>
      </c>
      <c r="AM1237" s="294">
        <f>IF(Table_NFI[[#This Row],[Winter Clothes Adult]]+Table_NFI[[#This Row],[Winter Clothes Children]]+Table_NFI[[#This Row],[Winter Items Other]]+Table_NFI[[#This Row],[Winter Blanket]]&gt;0,1,0)</f>
        <v>0</v>
      </c>
      <c r="AN1237" s="331">
        <f>IF(NFI_Expiration=1,IF($A1237&lt;VLOOKUP(V$5,NFI,5,0),1,0)*Table_NFI[[#This Row],[Jerry Can]],Table_NFI[Jerry Can])</f>
        <v>0</v>
      </c>
      <c r="AO1237" s="331">
        <f>IF(NFI_Expiration=1,IF($A1237&lt;VLOOKUP(V$5,NFI,5,0),1,0)*Table_NFI[[#This Row],[Shelter Tool kit]],Table_NFI[Shelter Tool kit])</f>
        <v>0</v>
      </c>
      <c r="AP1237" s="331">
        <f>IF(NFI_Expiration=1,IF($A1237&lt;VLOOKUP(V$5,NFI,5,0),1,0)*Table_NFI[[#This Row],[Tent]],Table_NFI[Tent])</f>
        <v>0</v>
      </c>
      <c r="AQ1237" s="473" t="str">
        <f>IFERROR(VLOOKUP(Table_NFI[[#This Row],[Camp Name]],CL,2,0),"")</f>
        <v/>
      </c>
      <c r="AR1237" s="468" t="str">
        <f ca="1">IF(Table_NFI[[#This Row],[Pcode]]="","",IF(OFFSET(CampList[Opening Date],MATCH(Table_NFI[[#This Row],[Pcode]],CampList[CP_Pcode],0)-1,0,1,1)&gt;=NFI_Monitor_Date,1,0))</f>
        <v/>
      </c>
      <c r="AS1237" s="473" t="str">
        <f>IFERROR(VLOOKUP(Table_NFI[[#This Row],[Camp Name]],CL,3,0),"")</f>
        <v/>
      </c>
      <c r="AT1237" s="294" t="str">
        <f ca="1">IF(Table_NFI[[#This Row],[Pcode]]="","",OFFSET(CampList[Priority],MATCH(Table_NFI[[#This Row],[Pcode]],CampList[CP_Pcode],0)-1,0,1,1))</f>
        <v/>
      </c>
      <c r="AU1237" s="293" t="str">
        <f>IFERROR(Table_NFI[[#This Row],[Kitchen Set]]/VLOOKUP(Table_NFI[[#This Row],[Camp Name]],CL,4,0),"")</f>
        <v/>
      </c>
      <c r="AV1237" s="471"/>
      <c r="AW1237" s="474"/>
    </row>
    <row r="1238" spans="1:49" ht="14.45" customHeight="1" x14ac:dyDescent="0.25">
      <c r="A1238" s="297" t="str">
        <f t="shared" si="19"/>
        <v/>
      </c>
      <c r="B1238" s="465"/>
      <c r="C1238" s="471"/>
      <c r="D1238" s="471"/>
      <c r="E1238" s="471"/>
      <c r="F1238" s="471"/>
      <c r="G1238" s="471"/>
      <c r="H1238" s="292"/>
      <c r="I1238" s="292"/>
      <c r="J1238" s="292"/>
      <c r="K1238" s="292"/>
      <c r="L1238" s="292"/>
      <c r="M1238" s="292"/>
      <c r="N1238" s="292"/>
      <c r="O1238" s="292"/>
      <c r="P1238" s="294"/>
      <c r="Q1238" s="294"/>
      <c r="R1238" s="294"/>
      <c r="S1238" s="294"/>
      <c r="T1238" s="294"/>
      <c r="U1238" s="294"/>
      <c r="V1238" s="431"/>
      <c r="W1238" s="331"/>
      <c r="X1238" s="331"/>
      <c r="Y1238" s="294">
        <f>IF(NFI_Expiration=1,IF($A1238&lt;VLOOKUP(H$5,NFI,5,0),1,0)*Table_NFI[[#This Row],[Hygiene Kit]],Table_NFI[Hygiene Kit])</f>
        <v>0</v>
      </c>
      <c r="Z1238" s="294">
        <f>IF(NFI_Expiration=1,IF($A1238&lt;VLOOKUP(I$5,NFI,5,0),1,0)*Table_NFI[[#This Row],[NFI Core Kit]],Table_NFI[NFI Core Kit])</f>
        <v>0</v>
      </c>
      <c r="AA1238" s="294">
        <f>IF(NFI_Expiration=1,IF($A1238&lt;VLOOKUP(J$5,NFI,5,0),1,0)*Table_NFI[[#This Row],[Sanitary Kit]],Table_NFI[Sanitary Kit])</f>
        <v>0</v>
      </c>
      <c r="AB1238" s="294">
        <f>IF(NFI_Expiration=1,IF($A1238&lt;VLOOKUP(K$5,NFI,5,0),1,0)*Table_NFI[[#This Row],[Mosquito net]],Table_NFI[Mosquito net])</f>
        <v>0</v>
      </c>
      <c r="AC1238" s="294">
        <f>IF(NFI_Expiration=1,IF($A1238&lt;VLOOKUP(L$5,NFI,5,0),1,0)*Table_NFI[[#This Row],[Tarpaulin]],Table_NFI[[#This Row],[Tarpaulin]])</f>
        <v>0</v>
      </c>
      <c r="AD1238" s="294">
        <f>IF(NFI_Expiration=1,IF($A1238&lt;VLOOKUP(M$5,NFI,5,0),1,0)*Table_NFI[[#This Row],[Blanket]],Table_NFI[[#This Row],[Blanket]])</f>
        <v>0</v>
      </c>
      <c r="AE1238" s="294">
        <f>IF(NFI_Expiration=1,IF($A1238&lt;VLOOKUP(N$5,NFI,5,0),1,0)*Table_NFI[[#This Row],[Kitchen Set]],Table_NFI[Kitchen Set])</f>
        <v>0</v>
      </c>
      <c r="AF1238" s="294">
        <f>IF(NFI_Expiration=1,IF($A1238&lt;VLOOKUP(O$5,NFI,5,0),1,0)*Table_NFI[[#This Row],[Clothes Kit]],Table_NFI[Clothes Kit])</f>
        <v>0</v>
      </c>
      <c r="AG1238" s="294">
        <f>IF(NFI_Expiration=1,IF($A1238&lt;VLOOKUP(P$5,NFI,5,0),1,0)*Table_NFI[[#This Row],[Plastic Bucket]],Table_NFI[Plastic Bucket])</f>
        <v>0</v>
      </c>
      <c r="AH1238" s="294">
        <f>IF(NFI_Expiration=1,IF($A1238&lt;VLOOKUP(Q$5,NFI,5,0),1,0)*Table_NFI[[#This Row],[Plastic Mat]],Table_NFI[Plastic Mat])*IF(Table_NFI[[#This Row],[Distribution Date]]&gt;"2014-04-01",1,2.5)</f>
        <v>0</v>
      </c>
      <c r="AI1238" s="294">
        <f>IF(NFI_Expiration=1,IF($A1238&lt;VLOOKUP(R$5,NFI,5,0),1,0)*Table_NFI[[#This Row],[Winter Clothes Adult]],Table_NFI[Winter Clothes Adult])</f>
        <v>0</v>
      </c>
      <c r="AJ1238" s="294">
        <f>IF(NFI_Expiration=1,IF($A1238&lt;VLOOKUP(S$5,NFI,5,0),1,0)*Table_NFI[[#This Row],[Winter Clothes Children]],Table_NFI[Winter Clothes Children])</f>
        <v>0</v>
      </c>
      <c r="AK1238" s="294">
        <f>IF(NFI_Expiration=1,IF($A1238&lt;VLOOKUP(T$5,NFI,5,0),1,0)*Table_NFI[[#This Row],[Winter Items Other]],Table_NFI[Winter Items Other])</f>
        <v>0</v>
      </c>
      <c r="AL1238" s="294">
        <f>IF(NFI_Expiration=1,IF($A1238&lt;VLOOKUP(M$5,NFI,5,0),1,0)*Table_NFI[[#This Row],[Winter Blanket]],Table_NFI[[#This Row],[Winter Blanket]])</f>
        <v>0</v>
      </c>
      <c r="AM1238" s="294">
        <f>IF(Table_NFI[[#This Row],[Winter Clothes Adult]]+Table_NFI[[#This Row],[Winter Clothes Children]]+Table_NFI[[#This Row],[Winter Items Other]]+Table_NFI[[#This Row],[Winter Blanket]]&gt;0,1,0)</f>
        <v>0</v>
      </c>
      <c r="AN1238" s="331">
        <f>IF(NFI_Expiration=1,IF($A1238&lt;VLOOKUP(V$5,NFI,5,0),1,0)*Table_NFI[[#This Row],[Jerry Can]],Table_NFI[Jerry Can])</f>
        <v>0</v>
      </c>
      <c r="AO1238" s="331">
        <f>IF(NFI_Expiration=1,IF($A1238&lt;VLOOKUP(V$5,NFI,5,0),1,0)*Table_NFI[[#This Row],[Shelter Tool kit]],Table_NFI[Shelter Tool kit])</f>
        <v>0</v>
      </c>
      <c r="AP1238" s="331">
        <f>IF(NFI_Expiration=1,IF($A1238&lt;VLOOKUP(V$5,NFI,5,0),1,0)*Table_NFI[[#This Row],[Tent]],Table_NFI[Tent])</f>
        <v>0</v>
      </c>
      <c r="AQ1238" s="473" t="str">
        <f>IFERROR(VLOOKUP(Table_NFI[[#This Row],[Camp Name]],CL,2,0),"")</f>
        <v/>
      </c>
      <c r="AR1238" s="468" t="str">
        <f ca="1">IF(Table_NFI[[#This Row],[Pcode]]="","",IF(OFFSET(CampList[Opening Date],MATCH(Table_NFI[[#This Row],[Pcode]],CampList[CP_Pcode],0)-1,0,1,1)&gt;=NFI_Monitor_Date,1,0))</f>
        <v/>
      </c>
      <c r="AS1238" s="473" t="str">
        <f>IFERROR(VLOOKUP(Table_NFI[[#This Row],[Camp Name]],CL,3,0),"")</f>
        <v/>
      </c>
      <c r="AT1238" s="294" t="str">
        <f ca="1">IF(Table_NFI[[#This Row],[Pcode]]="","",OFFSET(CampList[Priority],MATCH(Table_NFI[[#This Row],[Pcode]],CampList[CP_Pcode],0)-1,0,1,1))</f>
        <v/>
      </c>
      <c r="AU1238" s="293" t="str">
        <f>IFERROR(Table_NFI[[#This Row],[Kitchen Set]]/VLOOKUP(Table_NFI[[#This Row],[Camp Name]],CL,4,0),"")</f>
        <v/>
      </c>
      <c r="AV1238" s="471"/>
      <c r="AW1238" s="474"/>
    </row>
    <row r="1239" spans="1:49" ht="14.45" customHeight="1" x14ac:dyDescent="0.25">
      <c r="A1239" s="297" t="str">
        <f t="shared" si="19"/>
        <v/>
      </c>
      <c r="B1239" s="465"/>
      <c r="C1239" s="471"/>
      <c r="D1239" s="471"/>
      <c r="E1239" s="471"/>
      <c r="F1239" s="471"/>
      <c r="G1239" s="471"/>
      <c r="H1239" s="292"/>
      <c r="I1239" s="292"/>
      <c r="J1239" s="292"/>
      <c r="K1239" s="292"/>
      <c r="L1239" s="292"/>
      <c r="M1239" s="292"/>
      <c r="N1239" s="292"/>
      <c r="O1239" s="292"/>
      <c r="P1239" s="294"/>
      <c r="Q1239" s="294"/>
      <c r="R1239" s="294"/>
      <c r="S1239" s="294"/>
      <c r="T1239" s="294"/>
      <c r="U1239" s="294"/>
      <c r="V1239" s="431"/>
      <c r="W1239" s="331"/>
      <c r="X1239" s="331"/>
      <c r="Y1239" s="294">
        <f>IF(NFI_Expiration=1,IF($A1239&lt;VLOOKUP(H$5,NFI,5,0),1,0)*Table_NFI[[#This Row],[Hygiene Kit]],Table_NFI[Hygiene Kit])</f>
        <v>0</v>
      </c>
      <c r="Z1239" s="294">
        <f>IF(NFI_Expiration=1,IF($A1239&lt;VLOOKUP(I$5,NFI,5,0),1,0)*Table_NFI[[#This Row],[NFI Core Kit]],Table_NFI[NFI Core Kit])</f>
        <v>0</v>
      </c>
      <c r="AA1239" s="294">
        <f>IF(NFI_Expiration=1,IF($A1239&lt;VLOOKUP(J$5,NFI,5,0),1,0)*Table_NFI[[#This Row],[Sanitary Kit]],Table_NFI[Sanitary Kit])</f>
        <v>0</v>
      </c>
      <c r="AB1239" s="294">
        <f>IF(NFI_Expiration=1,IF($A1239&lt;VLOOKUP(K$5,NFI,5,0),1,0)*Table_NFI[[#This Row],[Mosquito net]],Table_NFI[Mosquito net])</f>
        <v>0</v>
      </c>
      <c r="AC1239" s="294">
        <f>IF(NFI_Expiration=1,IF($A1239&lt;VLOOKUP(L$5,NFI,5,0),1,0)*Table_NFI[[#This Row],[Tarpaulin]],Table_NFI[[#This Row],[Tarpaulin]])</f>
        <v>0</v>
      </c>
      <c r="AD1239" s="294">
        <f>IF(NFI_Expiration=1,IF($A1239&lt;VLOOKUP(M$5,NFI,5,0),1,0)*Table_NFI[[#This Row],[Blanket]],Table_NFI[[#This Row],[Blanket]])</f>
        <v>0</v>
      </c>
      <c r="AE1239" s="294">
        <f>IF(NFI_Expiration=1,IF($A1239&lt;VLOOKUP(N$5,NFI,5,0),1,0)*Table_NFI[[#This Row],[Kitchen Set]],Table_NFI[Kitchen Set])</f>
        <v>0</v>
      </c>
      <c r="AF1239" s="294">
        <f>IF(NFI_Expiration=1,IF($A1239&lt;VLOOKUP(O$5,NFI,5,0),1,0)*Table_NFI[[#This Row],[Clothes Kit]],Table_NFI[Clothes Kit])</f>
        <v>0</v>
      </c>
      <c r="AG1239" s="294">
        <f>IF(NFI_Expiration=1,IF($A1239&lt;VLOOKUP(P$5,NFI,5,0),1,0)*Table_NFI[[#This Row],[Plastic Bucket]],Table_NFI[Plastic Bucket])</f>
        <v>0</v>
      </c>
      <c r="AH1239" s="294">
        <f>IF(NFI_Expiration=1,IF($A1239&lt;VLOOKUP(Q$5,NFI,5,0),1,0)*Table_NFI[[#This Row],[Plastic Mat]],Table_NFI[Plastic Mat])*IF(Table_NFI[[#This Row],[Distribution Date]]&gt;"2014-04-01",1,2.5)</f>
        <v>0</v>
      </c>
      <c r="AI1239" s="294">
        <f>IF(NFI_Expiration=1,IF($A1239&lt;VLOOKUP(R$5,NFI,5,0),1,0)*Table_NFI[[#This Row],[Winter Clothes Adult]],Table_NFI[Winter Clothes Adult])</f>
        <v>0</v>
      </c>
      <c r="AJ1239" s="294">
        <f>IF(NFI_Expiration=1,IF($A1239&lt;VLOOKUP(S$5,NFI,5,0),1,0)*Table_NFI[[#This Row],[Winter Clothes Children]],Table_NFI[Winter Clothes Children])</f>
        <v>0</v>
      </c>
      <c r="AK1239" s="294">
        <f>IF(NFI_Expiration=1,IF($A1239&lt;VLOOKUP(T$5,NFI,5,0),1,0)*Table_NFI[[#This Row],[Winter Items Other]],Table_NFI[Winter Items Other])</f>
        <v>0</v>
      </c>
      <c r="AL1239" s="294">
        <f>IF(NFI_Expiration=1,IF($A1239&lt;VLOOKUP(M$5,NFI,5,0),1,0)*Table_NFI[[#This Row],[Winter Blanket]],Table_NFI[[#This Row],[Winter Blanket]])</f>
        <v>0</v>
      </c>
      <c r="AM1239" s="294">
        <f>IF(Table_NFI[[#This Row],[Winter Clothes Adult]]+Table_NFI[[#This Row],[Winter Clothes Children]]+Table_NFI[[#This Row],[Winter Items Other]]+Table_NFI[[#This Row],[Winter Blanket]]&gt;0,1,0)</f>
        <v>0</v>
      </c>
      <c r="AN1239" s="331">
        <f>IF(NFI_Expiration=1,IF($A1239&lt;VLOOKUP(V$5,NFI,5,0),1,0)*Table_NFI[[#This Row],[Jerry Can]],Table_NFI[Jerry Can])</f>
        <v>0</v>
      </c>
      <c r="AO1239" s="331">
        <f>IF(NFI_Expiration=1,IF($A1239&lt;VLOOKUP(V$5,NFI,5,0),1,0)*Table_NFI[[#This Row],[Shelter Tool kit]],Table_NFI[Shelter Tool kit])</f>
        <v>0</v>
      </c>
      <c r="AP1239" s="331">
        <f>IF(NFI_Expiration=1,IF($A1239&lt;VLOOKUP(V$5,NFI,5,0),1,0)*Table_NFI[[#This Row],[Tent]],Table_NFI[Tent])</f>
        <v>0</v>
      </c>
      <c r="AQ1239" s="473" t="str">
        <f>IFERROR(VLOOKUP(Table_NFI[[#This Row],[Camp Name]],CL,2,0),"")</f>
        <v/>
      </c>
      <c r="AR1239" s="468" t="str">
        <f ca="1">IF(Table_NFI[[#This Row],[Pcode]]="","",IF(OFFSET(CampList[Opening Date],MATCH(Table_NFI[[#This Row],[Pcode]],CampList[CP_Pcode],0)-1,0,1,1)&gt;=NFI_Monitor_Date,1,0))</f>
        <v/>
      </c>
      <c r="AS1239" s="473" t="str">
        <f>IFERROR(VLOOKUP(Table_NFI[[#This Row],[Camp Name]],CL,3,0),"")</f>
        <v/>
      </c>
      <c r="AT1239" s="294" t="str">
        <f ca="1">IF(Table_NFI[[#This Row],[Pcode]]="","",OFFSET(CampList[Priority],MATCH(Table_NFI[[#This Row],[Pcode]],CampList[CP_Pcode],0)-1,0,1,1))</f>
        <v/>
      </c>
      <c r="AU1239" s="293" t="str">
        <f>IFERROR(Table_NFI[[#This Row],[Kitchen Set]]/VLOOKUP(Table_NFI[[#This Row],[Camp Name]],CL,4,0),"")</f>
        <v/>
      </c>
      <c r="AV1239" s="471"/>
      <c r="AW1239" s="474"/>
    </row>
    <row r="1240" spans="1:49" ht="14.45" customHeight="1" x14ac:dyDescent="0.25">
      <c r="A1240" s="297" t="str">
        <f t="shared" si="19"/>
        <v/>
      </c>
      <c r="B1240" s="465"/>
      <c r="C1240" s="471"/>
      <c r="D1240" s="471"/>
      <c r="E1240" s="471"/>
      <c r="F1240" s="471"/>
      <c r="G1240" s="471"/>
      <c r="H1240" s="292"/>
      <c r="I1240" s="292"/>
      <c r="J1240" s="292"/>
      <c r="K1240" s="292"/>
      <c r="L1240" s="292"/>
      <c r="M1240" s="292"/>
      <c r="N1240" s="292"/>
      <c r="O1240" s="292"/>
      <c r="P1240" s="294"/>
      <c r="Q1240" s="294"/>
      <c r="R1240" s="294"/>
      <c r="S1240" s="294"/>
      <c r="T1240" s="294"/>
      <c r="U1240" s="294"/>
      <c r="V1240" s="431"/>
      <c r="W1240" s="331"/>
      <c r="X1240" s="331"/>
      <c r="Y1240" s="294">
        <f>IF(NFI_Expiration=1,IF($A1240&lt;VLOOKUP(H$5,NFI,5,0),1,0)*Table_NFI[[#This Row],[Hygiene Kit]],Table_NFI[Hygiene Kit])</f>
        <v>0</v>
      </c>
      <c r="Z1240" s="294">
        <f>IF(NFI_Expiration=1,IF($A1240&lt;VLOOKUP(I$5,NFI,5,0),1,0)*Table_NFI[[#This Row],[NFI Core Kit]],Table_NFI[NFI Core Kit])</f>
        <v>0</v>
      </c>
      <c r="AA1240" s="294">
        <f>IF(NFI_Expiration=1,IF($A1240&lt;VLOOKUP(J$5,NFI,5,0),1,0)*Table_NFI[[#This Row],[Sanitary Kit]],Table_NFI[Sanitary Kit])</f>
        <v>0</v>
      </c>
      <c r="AB1240" s="294">
        <f>IF(NFI_Expiration=1,IF($A1240&lt;VLOOKUP(K$5,NFI,5,0),1,0)*Table_NFI[[#This Row],[Mosquito net]],Table_NFI[Mosquito net])</f>
        <v>0</v>
      </c>
      <c r="AC1240" s="294">
        <f>IF(NFI_Expiration=1,IF($A1240&lt;VLOOKUP(L$5,NFI,5,0),1,0)*Table_NFI[[#This Row],[Tarpaulin]],Table_NFI[[#This Row],[Tarpaulin]])</f>
        <v>0</v>
      </c>
      <c r="AD1240" s="294">
        <f>IF(NFI_Expiration=1,IF($A1240&lt;VLOOKUP(M$5,NFI,5,0),1,0)*Table_NFI[[#This Row],[Blanket]],Table_NFI[[#This Row],[Blanket]])</f>
        <v>0</v>
      </c>
      <c r="AE1240" s="294">
        <f>IF(NFI_Expiration=1,IF($A1240&lt;VLOOKUP(N$5,NFI,5,0),1,0)*Table_NFI[[#This Row],[Kitchen Set]],Table_NFI[Kitchen Set])</f>
        <v>0</v>
      </c>
      <c r="AF1240" s="294">
        <f>IF(NFI_Expiration=1,IF($A1240&lt;VLOOKUP(O$5,NFI,5,0),1,0)*Table_NFI[[#This Row],[Clothes Kit]],Table_NFI[Clothes Kit])</f>
        <v>0</v>
      </c>
      <c r="AG1240" s="294">
        <f>IF(NFI_Expiration=1,IF($A1240&lt;VLOOKUP(P$5,NFI,5,0),1,0)*Table_NFI[[#This Row],[Plastic Bucket]],Table_NFI[Plastic Bucket])</f>
        <v>0</v>
      </c>
      <c r="AH1240" s="294">
        <f>IF(NFI_Expiration=1,IF($A1240&lt;VLOOKUP(Q$5,NFI,5,0),1,0)*Table_NFI[[#This Row],[Plastic Mat]],Table_NFI[Plastic Mat])*IF(Table_NFI[[#This Row],[Distribution Date]]&gt;"2014-04-01",1,2.5)</f>
        <v>0</v>
      </c>
      <c r="AI1240" s="294">
        <f>IF(NFI_Expiration=1,IF($A1240&lt;VLOOKUP(R$5,NFI,5,0),1,0)*Table_NFI[[#This Row],[Winter Clothes Adult]],Table_NFI[Winter Clothes Adult])</f>
        <v>0</v>
      </c>
      <c r="AJ1240" s="294">
        <f>IF(NFI_Expiration=1,IF($A1240&lt;VLOOKUP(S$5,NFI,5,0),1,0)*Table_NFI[[#This Row],[Winter Clothes Children]],Table_NFI[Winter Clothes Children])</f>
        <v>0</v>
      </c>
      <c r="AK1240" s="294">
        <f>IF(NFI_Expiration=1,IF($A1240&lt;VLOOKUP(T$5,NFI,5,0),1,0)*Table_NFI[[#This Row],[Winter Items Other]],Table_NFI[Winter Items Other])</f>
        <v>0</v>
      </c>
      <c r="AL1240" s="294">
        <f>IF(NFI_Expiration=1,IF($A1240&lt;VLOOKUP(M$5,NFI,5,0),1,0)*Table_NFI[[#This Row],[Winter Blanket]],Table_NFI[[#This Row],[Winter Blanket]])</f>
        <v>0</v>
      </c>
      <c r="AM1240" s="294">
        <f>IF(Table_NFI[[#This Row],[Winter Clothes Adult]]+Table_NFI[[#This Row],[Winter Clothes Children]]+Table_NFI[[#This Row],[Winter Items Other]]+Table_NFI[[#This Row],[Winter Blanket]]&gt;0,1,0)</f>
        <v>0</v>
      </c>
      <c r="AN1240" s="331">
        <f>IF(NFI_Expiration=1,IF($A1240&lt;VLOOKUP(V$5,NFI,5,0),1,0)*Table_NFI[[#This Row],[Jerry Can]],Table_NFI[Jerry Can])</f>
        <v>0</v>
      </c>
      <c r="AO1240" s="331">
        <f>IF(NFI_Expiration=1,IF($A1240&lt;VLOOKUP(V$5,NFI,5,0),1,0)*Table_NFI[[#This Row],[Shelter Tool kit]],Table_NFI[Shelter Tool kit])</f>
        <v>0</v>
      </c>
      <c r="AP1240" s="331">
        <f>IF(NFI_Expiration=1,IF($A1240&lt;VLOOKUP(V$5,NFI,5,0),1,0)*Table_NFI[[#This Row],[Tent]],Table_NFI[Tent])</f>
        <v>0</v>
      </c>
      <c r="AQ1240" s="473" t="str">
        <f>IFERROR(VLOOKUP(Table_NFI[[#This Row],[Camp Name]],CL,2,0),"")</f>
        <v/>
      </c>
      <c r="AR1240" s="468" t="str">
        <f ca="1">IF(Table_NFI[[#This Row],[Pcode]]="","",IF(OFFSET(CampList[Opening Date],MATCH(Table_NFI[[#This Row],[Pcode]],CampList[CP_Pcode],0)-1,0,1,1)&gt;=NFI_Monitor_Date,1,0))</f>
        <v/>
      </c>
      <c r="AS1240" s="473" t="str">
        <f>IFERROR(VLOOKUP(Table_NFI[[#This Row],[Camp Name]],CL,3,0),"")</f>
        <v/>
      </c>
      <c r="AT1240" s="294" t="str">
        <f ca="1">IF(Table_NFI[[#This Row],[Pcode]]="","",OFFSET(CampList[Priority],MATCH(Table_NFI[[#This Row],[Pcode]],CampList[CP_Pcode],0)-1,0,1,1))</f>
        <v/>
      </c>
      <c r="AU1240" s="293" t="str">
        <f>IFERROR(Table_NFI[[#This Row],[Kitchen Set]]/VLOOKUP(Table_NFI[[#This Row],[Camp Name]],CL,4,0),"")</f>
        <v/>
      </c>
      <c r="AV1240" s="471"/>
      <c r="AW1240" s="474"/>
    </row>
    <row r="1241" spans="1:49" ht="14.45" customHeight="1" x14ac:dyDescent="0.25">
      <c r="A1241" s="297" t="str">
        <f t="shared" si="19"/>
        <v/>
      </c>
      <c r="B1241" s="465"/>
      <c r="C1241" s="471"/>
      <c r="D1241" s="471"/>
      <c r="E1241" s="471"/>
      <c r="F1241" s="471"/>
      <c r="G1241" s="471"/>
      <c r="H1241" s="292"/>
      <c r="I1241" s="292"/>
      <c r="J1241" s="292"/>
      <c r="K1241" s="292"/>
      <c r="L1241" s="292"/>
      <c r="M1241" s="292"/>
      <c r="N1241" s="292"/>
      <c r="O1241" s="292"/>
      <c r="P1241" s="294"/>
      <c r="Q1241" s="294"/>
      <c r="R1241" s="294"/>
      <c r="S1241" s="294"/>
      <c r="T1241" s="294"/>
      <c r="U1241" s="294"/>
      <c r="V1241" s="431"/>
      <c r="W1241" s="331"/>
      <c r="X1241" s="331"/>
      <c r="Y1241" s="294">
        <f>IF(NFI_Expiration=1,IF($A1241&lt;VLOOKUP(H$5,NFI,5,0),1,0)*Table_NFI[[#This Row],[Hygiene Kit]],Table_NFI[Hygiene Kit])</f>
        <v>0</v>
      </c>
      <c r="Z1241" s="294">
        <f>IF(NFI_Expiration=1,IF($A1241&lt;VLOOKUP(I$5,NFI,5,0),1,0)*Table_NFI[[#This Row],[NFI Core Kit]],Table_NFI[NFI Core Kit])</f>
        <v>0</v>
      </c>
      <c r="AA1241" s="294">
        <f>IF(NFI_Expiration=1,IF($A1241&lt;VLOOKUP(J$5,NFI,5,0),1,0)*Table_NFI[[#This Row],[Sanitary Kit]],Table_NFI[Sanitary Kit])</f>
        <v>0</v>
      </c>
      <c r="AB1241" s="294">
        <f>IF(NFI_Expiration=1,IF($A1241&lt;VLOOKUP(K$5,NFI,5,0),1,0)*Table_NFI[[#This Row],[Mosquito net]],Table_NFI[Mosquito net])</f>
        <v>0</v>
      </c>
      <c r="AC1241" s="294">
        <f>IF(NFI_Expiration=1,IF($A1241&lt;VLOOKUP(L$5,NFI,5,0),1,0)*Table_NFI[[#This Row],[Tarpaulin]],Table_NFI[[#This Row],[Tarpaulin]])</f>
        <v>0</v>
      </c>
      <c r="AD1241" s="294">
        <f>IF(NFI_Expiration=1,IF($A1241&lt;VLOOKUP(M$5,NFI,5,0),1,0)*Table_NFI[[#This Row],[Blanket]],Table_NFI[[#This Row],[Blanket]])</f>
        <v>0</v>
      </c>
      <c r="AE1241" s="294">
        <f>IF(NFI_Expiration=1,IF($A1241&lt;VLOOKUP(N$5,NFI,5,0),1,0)*Table_NFI[[#This Row],[Kitchen Set]],Table_NFI[Kitchen Set])</f>
        <v>0</v>
      </c>
      <c r="AF1241" s="294">
        <f>IF(NFI_Expiration=1,IF($A1241&lt;VLOOKUP(O$5,NFI,5,0),1,0)*Table_NFI[[#This Row],[Clothes Kit]],Table_NFI[Clothes Kit])</f>
        <v>0</v>
      </c>
      <c r="AG1241" s="294">
        <f>IF(NFI_Expiration=1,IF($A1241&lt;VLOOKUP(P$5,NFI,5,0),1,0)*Table_NFI[[#This Row],[Plastic Bucket]],Table_NFI[Plastic Bucket])</f>
        <v>0</v>
      </c>
      <c r="AH1241" s="294">
        <f>IF(NFI_Expiration=1,IF($A1241&lt;VLOOKUP(Q$5,NFI,5,0),1,0)*Table_NFI[[#This Row],[Plastic Mat]],Table_NFI[Plastic Mat])*IF(Table_NFI[[#This Row],[Distribution Date]]&gt;"2014-04-01",1,2.5)</f>
        <v>0</v>
      </c>
      <c r="AI1241" s="294">
        <f>IF(NFI_Expiration=1,IF($A1241&lt;VLOOKUP(R$5,NFI,5,0),1,0)*Table_NFI[[#This Row],[Winter Clothes Adult]],Table_NFI[Winter Clothes Adult])</f>
        <v>0</v>
      </c>
      <c r="AJ1241" s="294">
        <f>IF(NFI_Expiration=1,IF($A1241&lt;VLOOKUP(S$5,NFI,5,0),1,0)*Table_NFI[[#This Row],[Winter Clothes Children]],Table_NFI[Winter Clothes Children])</f>
        <v>0</v>
      </c>
      <c r="AK1241" s="294">
        <f>IF(NFI_Expiration=1,IF($A1241&lt;VLOOKUP(T$5,NFI,5,0),1,0)*Table_NFI[[#This Row],[Winter Items Other]],Table_NFI[Winter Items Other])</f>
        <v>0</v>
      </c>
      <c r="AL1241" s="294">
        <f>IF(NFI_Expiration=1,IF($A1241&lt;VLOOKUP(M$5,NFI,5,0),1,0)*Table_NFI[[#This Row],[Winter Blanket]],Table_NFI[[#This Row],[Winter Blanket]])</f>
        <v>0</v>
      </c>
      <c r="AM1241" s="294">
        <f>IF(Table_NFI[[#This Row],[Winter Clothes Adult]]+Table_NFI[[#This Row],[Winter Clothes Children]]+Table_NFI[[#This Row],[Winter Items Other]]+Table_NFI[[#This Row],[Winter Blanket]]&gt;0,1,0)</f>
        <v>0</v>
      </c>
      <c r="AN1241" s="331">
        <f>IF(NFI_Expiration=1,IF($A1241&lt;VLOOKUP(V$5,NFI,5,0),1,0)*Table_NFI[[#This Row],[Jerry Can]],Table_NFI[Jerry Can])</f>
        <v>0</v>
      </c>
      <c r="AO1241" s="331">
        <f>IF(NFI_Expiration=1,IF($A1241&lt;VLOOKUP(V$5,NFI,5,0),1,0)*Table_NFI[[#This Row],[Shelter Tool kit]],Table_NFI[Shelter Tool kit])</f>
        <v>0</v>
      </c>
      <c r="AP1241" s="331">
        <f>IF(NFI_Expiration=1,IF($A1241&lt;VLOOKUP(V$5,NFI,5,0),1,0)*Table_NFI[[#This Row],[Tent]],Table_NFI[Tent])</f>
        <v>0</v>
      </c>
      <c r="AQ1241" s="473" t="str">
        <f>IFERROR(VLOOKUP(Table_NFI[[#This Row],[Camp Name]],CL,2,0),"")</f>
        <v/>
      </c>
      <c r="AR1241" s="468" t="str">
        <f ca="1">IF(Table_NFI[[#This Row],[Pcode]]="","",IF(OFFSET(CampList[Opening Date],MATCH(Table_NFI[[#This Row],[Pcode]],CampList[CP_Pcode],0)-1,0,1,1)&gt;=NFI_Monitor_Date,1,0))</f>
        <v/>
      </c>
      <c r="AS1241" s="473" t="str">
        <f>IFERROR(VLOOKUP(Table_NFI[[#This Row],[Camp Name]],CL,3,0),"")</f>
        <v/>
      </c>
      <c r="AT1241" s="294" t="str">
        <f ca="1">IF(Table_NFI[[#This Row],[Pcode]]="","",OFFSET(CampList[Priority],MATCH(Table_NFI[[#This Row],[Pcode]],CampList[CP_Pcode],0)-1,0,1,1))</f>
        <v/>
      </c>
      <c r="AU1241" s="293" t="str">
        <f>IFERROR(Table_NFI[[#This Row],[Kitchen Set]]/VLOOKUP(Table_NFI[[#This Row],[Camp Name]],CL,4,0),"")</f>
        <v/>
      </c>
      <c r="AV1241" s="471"/>
      <c r="AW1241" s="474"/>
    </row>
    <row r="1242" spans="1:49" ht="14.45" customHeight="1" x14ac:dyDescent="0.25">
      <c r="A1242" s="297" t="str">
        <f t="shared" si="19"/>
        <v/>
      </c>
      <c r="B1242" s="465"/>
      <c r="C1242" s="471"/>
      <c r="D1242" s="471"/>
      <c r="E1242" s="471"/>
      <c r="F1242" s="471"/>
      <c r="G1242" s="471"/>
      <c r="H1242" s="292"/>
      <c r="I1242" s="292"/>
      <c r="J1242" s="292"/>
      <c r="K1242" s="292"/>
      <c r="L1242" s="292"/>
      <c r="M1242" s="292"/>
      <c r="N1242" s="292"/>
      <c r="O1242" s="292"/>
      <c r="P1242" s="294"/>
      <c r="Q1242" s="294"/>
      <c r="R1242" s="294"/>
      <c r="S1242" s="294"/>
      <c r="T1242" s="294"/>
      <c r="U1242" s="294"/>
      <c r="V1242" s="431"/>
      <c r="W1242" s="331"/>
      <c r="X1242" s="331"/>
      <c r="Y1242" s="294">
        <f>IF(NFI_Expiration=1,IF($A1242&lt;VLOOKUP(H$5,NFI,5,0),1,0)*Table_NFI[[#This Row],[Hygiene Kit]],Table_NFI[Hygiene Kit])</f>
        <v>0</v>
      </c>
      <c r="Z1242" s="294">
        <f>IF(NFI_Expiration=1,IF($A1242&lt;VLOOKUP(I$5,NFI,5,0),1,0)*Table_NFI[[#This Row],[NFI Core Kit]],Table_NFI[NFI Core Kit])</f>
        <v>0</v>
      </c>
      <c r="AA1242" s="294">
        <f>IF(NFI_Expiration=1,IF($A1242&lt;VLOOKUP(J$5,NFI,5,0),1,0)*Table_NFI[[#This Row],[Sanitary Kit]],Table_NFI[Sanitary Kit])</f>
        <v>0</v>
      </c>
      <c r="AB1242" s="294">
        <f>IF(NFI_Expiration=1,IF($A1242&lt;VLOOKUP(K$5,NFI,5,0),1,0)*Table_NFI[[#This Row],[Mosquito net]],Table_NFI[Mosquito net])</f>
        <v>0</v>
      </c>
      <c r="AC1242" s="294">
        <f>IF(NFI_Expiration=1,IF($A1242&lt;VLOOKUP(L$5,NFI,5,0),1,0)*Table_NFI[[#This Row],[Tarpaulin]],Table_NFI[[#This Row],[Tarpaulin]])</f>
        <v>0</v>
      </c>
      <c r="AD1242" s="294">
        <f>IF(NFI_Expiration=1,IF($A1242&lt;VLOOKUP(M$5,NFI,5,0),1,0)*Table_NFI[[#This Row],[Blanket]],Table_NFI[[#This Row],[Blanket]])</f>
        <v>0</v>
      </c>
      <c r="AE1242" s="294">
        <f>IF(NFI_Expiration=1,IF($A1242&lt;VLOOKUP(N$5,NFI,5,0),1,0)*Table_NFI[[#This Row],[Kitchen Set]],Table_NFI[Kitchen Set])</f>
        <v>0</v>
      </c>
      <c r="AF1242" s="294">
        <f>IF(NFI_Expiration=1,IF($A1242&lt;VLOOKUP(O$5,NFI,5,0),1,0)*Table_NFI[[#This Row],[Clothes Kit]],Table_NFI[Clothes Kit])</f>
        <v>0</v>
      </c>
      <c r="AG1242" s="294">
        <f>IF(NFI_Expiration=1,IF($A1242&lt;VLOOKUP(P$5,NFI,5,0),1,0)*Table_NFI[[#This Row],[Plastic Bucket]],Table_NFI[Plastic Bucket])</f>
        <v>0</v>
      </c>
      <c r="AH1242" s="294">
        <f>IF(NFI_Expiration=1,IF($A1242&lt;VLOOKUP(Q$5,NFI,5,0),1,0)*Table_NFI[[#This Row],[Plastic Mat]],Table_NFI[Plastic Mat])*IF(Table_NFI[[#This Row],[Distribution Date]]&gt;"2014-04-01",1,2.5)</f>
        <v>0</v>
      </c>
      <c r="AI1242" s="294">
        <f>IF(NFI_Expiration=1,IF($A1242&lt;VLOOKUP(R$5,NFI,5,0),1,0)*Table_NFI[[#This Row],[Winter Clothes Adult]],Table_NFI[Winter Clothes Adult])</f>
        <v>0</v>
      </c>
      <c r="AJ1242" s="294">
        <f>IF(NFI_Expiration=1,IF($A1242&lt;VLOOKUP(S$5,NFI,5,0),1,0)*Table_NFI[[#This Row],[Winter Clothes Children]],Table_NFI[Winter Clothes Children])</f>
        <v>0</v>
      </c>
      <c r="AK1242" s="294">
        <f>IF(NFI_Expiration=1,IF($A1242&lt;VLOOKUP(T$5,NFI,5,0),1,0)*Table_NFI[[#This Row],[Winter Items Other]],Table_NFI[Winter Items Other])</f>
        <v>0</v>
      </c>
      <c r="AL1242" s="294">
        <f>IF(NFI_Expiration=1,IF($A1242&lt;VLOOKUP(M$5,NFI,5,0),1,0)*Table_NFI[[#This Row],[Winter Blanket]],Table_NFI[[#This Row],[Winter Blanket]])</f>
        <v>0</v>
      </c>
      <c r="AM1242" s="294">
        <f>IF(Table_NFI[[#This Row],[Winter Clothes Adult]]+Table_NFI[[#This Row],[Winter Clothes Children]]+Table_NFI[[#This Row],[Winter Items Other]]+Table_NFI[[#This Row],[Winter Blanket]]&gt;0,1,0)</f>
        <v>0</v>
      </c>
      <c r="AN1242" s="331">
        <f>IF(NFI_Expiration=1,IF($A1242&lt;VLOOKUP(V$5,NFI,5,0),1,0)*Table_NFI[[#This Row],[Jerry Can]],Table_NFI[Jerry Can])</f>
        <v>0</v>
      </c>
      <c r="AO1242" s="331">
        <f>IF(NFI_Expiration=1,IF($A1242&lt;VLOOKUP(V$5,NFI,5,0),1,0)*Table_NFI[[#This Row],[Shelter Tool kit]],Table_NFI[Shelter Tool kit])</f>
        <v>0</v>
      </c>
      <c r="AP1242" s="331">
        <f>IF(NFI_Expiration=1,IF($A1242&lt;VLOOKUP(V$5,NFI,5,0),1,0)*Table_NFI[[#This Row],[Tent]],Table_NFI[Tent])</f>
        <v>0</v>
      </c>
      <c r="AQ1242" s="473" t="str">
        <f>IFERROR(VLOOKUP(Table_NFI[[#This Row],[Camp Name]],CL,2,0),"")</f>
        <v/>
      </c>
      <c r="AR1242" s="468" t="str">
        <f ca="1">IF(Table_NFI[[#This Row],[Pcode]]="","",IF(OFFSET(CampList[Opening Date],MATCH(Table_NFI[[#This Row],[Pcode]],CampList[CP_Pcode],0)-1,0,1,1)&gt;=NFI_Monitor_Date,1,0))</f>
        <v/>
      </c>
      <c r="AS1242" s="473" t="str">
        <f>IFERROR(VLOOKUP(Table_NFI[[#This Row],[Camp Name]],CL,3,0),"")</f>
        <v/>
      </c>
      <c r="AT1242" s="294" t="str">
        <f ca="1">IF(Table_NFI[[#This Row],[Pcode]]="","",OFFSET(CampList[Priority],MATCH(Table_NFI[[#This Row],[Pcode]],CampList[CP_Pcode],0)-1,0,1,1))</f>
        <v/>
      </c>
      <c r="AU1242" s="293" t="str">
        <f>IFERROR(Table_NFI[[#This Row],[Kitchen Set]]/VLOOKUP(Table_NFI[[#This Row],[Camp Name]],CL,4,0),"")</f>
        <v/>
      </c>
      <c r="AV1242" s="471"/>
      <c r="AW1242" s="474"/>
    </row>
    <row r="1243" spans="1:49" ht="14.45" customHeight="1" x14ac:dyDescent="0.25">
      <c r="A1243" s="297" t="str">
        <f t="shared" si="19"/>
        <v/>
      </c>
      <c r="B1243" s="465"/>
      <c r="C1243" s="471"/>
      <c r="D1243" s="471"/>
      <c r="E1243" s="471"/>
      <c r="F1243" s="471"/>
      <c r="G1243" s="471"/>
      <c r="H1243" s="292"/>
      <c r="I1243" s="292"/>
      <c r="J1243" s="292"/>
      <c r="K1243" s="292"/>
      <c r="L1243" s="292"/>
      <c r="M1243" s="292"/>
      <c r="N1243" s="292"/>
      <c r="O1243" s="292"/>
      <c r="P1243" s="294"/>
      <c r="Q1243" s="294"/>
      <c r="R1243" s="294"/>
      <c r="S1243" s="294"/>
      <c r="T1243" s="294"/>
      <c r="U1243" s="294"/>
      <c r="V1243" s="431"/>
      <c r="W1243" s="331"/>
      <c r="X1243" s="331"/>
      <c r="Y1243" s="294">
        <f>IF(NFI_Expiration=1,IF($A1243&lt;VLOOKUP(H$5,NFI,5,0),1,0)*Table_NFI[[#This Row],[Hygiene Kit]],Table_NFI[Hygiene Kit])</f>
        <v>0</v>
      </c>
      <c r="Z1243" s="294">
        <f>IF(NFI_Expiration=1,IF($A1243&lt;VLOOKUP(I$5,NFI,5,0),1,0)*Table_NFI[[#This Row],[NFI Core Kit]],Table_NFI[NFI Core Kit])</f>
        <v>0</v>
      </c>
      <c r="AA1243" s="294">
        <f>IF(NFI_Expiration=1,IF($A1243&lt;VLOOKUP(J$5,NFI,5,0),1,0)*Table_NFI[[#This Row],[Sanitary Kit]],Table_NFI[Sanitary Kit])</f>
        <v>0</v>
      </c>
      <c r="AB1243" s="294">
        <f>IF(NFI_Expiration=1,IF($A1243&lt;VLOOKUP(K$5,NFI,5,0),1,0)*Table_NFI[[#This Row],[Mosquito net]],Table_NFI[Mosquito net])</f>
        <v>0</v>
      </c>
      <c r="AC1243" s="294">
        <f>IF(NFI_Expiration=1,IF($A1243&lt;VLOOKUP(L$5,NFI,5,0),1,0)*Table_NFI[[#This Row],[Tarpaulin]],Table_NFI[[#This Row],[Tarpaulin]])</f>
        <v>0</v>
      </c>
      <c r="AD1243" s="294">
        <f>IF(NFI_Expiration=1,IF($A1243&lt;VLOOKUP(M$5,NFI,5,0),1,0)*Table_NFI[[#This Row],[Blanket]],Table_NFI[[#This Row],[Blanket]])</f>
        <v>0</v>
      </c>
      <c r="AE1243" s="294">
        <f>IF(NFI_Expiration=1,IF($A1243&lt;VLOOKUP(N$5,NFI,5,0),1,0)*Table_NFI[[#This Row],[Kitchen Set]],Table_NFI[Kitchen Set])</f>
        <v>0</v>
      </c>
      <c r="AF1243" s="294">
        <f>IF(NFI_Expiration=1,IF($A1243&lt;VLOOKUP(O$5,NFI,5,0),1,0)*Table_NFI[[#This Row],[Clothes Kit]],Table_NFI[Clothes Kit])</f>
        <v>0</v>
      </c>
      <c r="AG1243" s="294">
        <f>IF(NFI_Expiration=1,IF($A1243&lt;VLOOKUP(P$5,NFI,5,0),1,0)*Table_NFI[[#This Row],[Plastic Bucket]],Table_NFI[Plastic Bucket])</f>
        <v>0</v>
      </c>
      <c r="AH1243" s="294">
        <f>IF(NFI_Expiration=1,IF($A1243&lt;VLOOKUP(Q$5,NFI,5,0),1,0)*Table_NFI[[#This Row],[Plastic Mat]],Table_NFI[Plastic Mat])*IF(Table_NFI[[#This Row],[Distribution Date]]&gt;"2014-04-01",1,2.5)</f>
        <v>0</v>
      </c>
      <c r="AI1243" s="294">
        <f>IF(NFI_Expiration=1,IF($A1243&lt;VLOOKUP(R$5,NFI,5,0),1,0)*Table_NFI[[#This Row],[Winter Clothes Adult]],Table_NFI[Winter Clothes Adult])</f>
        <v>0</v>
      </c>
      <c r="AJ1243" s="294">
        <f>IF(NFI_Expiration=1,IF($A1243&lt;VLOOKUP(S$5,NFI,5,0),1,0)*Table_NFI[[#This Row],[Winter Clothes Children]],Table_NFI[Winter Clothes Children])</f>
        <v>0</v>
      </c>
      <c r="AK1243" s="294">
        <f>IF(NFI_Expiration=1,IF($A1243&lt;VLOOKUP(T$5,NFI,5,0),1,0)*Table_NFI[[#This Row],[Winter Items Other]],Table_NFI[Winter Items Other])</f>
        <v>0</v>
      </c>
      <c r="AL1243" s="294">
        <f>IF(NFI_Expiration=1,IF($A1243&lt;VLOOKUP(M$5,NFI,5,0),1,0)*Table_NFI[[#This Row],[Winter Blanket]],Table_NFI[[#This Row],[Winter Blanket]])</f>
        <v>0</v>
      </c>
      <c r="AM1243" s="294">
        <f>IF(Table_NFI[[#This Row],[Winter Clothes Adult]]+Table_NFI[[#This Row],[Winter Clothes Children]]+Table_NFI[[#This Row],[Winter Items Other]]+Table_NFI[[#This Row],[Winter Blanket]]&gt;0,1,0)</f>
        <v>0</v>
      </c>
      <c r="AN1243" s="331">
        <f>IF(NFI_Expiration=1,IF($A1243&lt;VLOOKUP(V$5,NFI,5,0),1,0)*Table_NFI[[#This Row],[Jerry Can]],Table_NFI[Jerry Can])</f>
        <v>0</v>
      </c>
      <c r="AO1243" s="331">
        <f>IF(NFI_Expiration=1,IF($A1243&lt;VLOOKUP(V$5,NFI,5,0),1,0)*Table_NFI[[#This Row],[Shelter Tool kit]],Table_NFI[Shelter Tool kit])</f>
        <v>0</v>
      </c>
      <c r="AP1243" s="331">
        <f>IF(NFI_Expiration=1,IF($A1243&lt;VLOOKUP(V$5,NFI,5,0),1,0)*Table_NFI[[#This Row],[Tent]],Table_NFI[Tent])</f>
        <v>0</v>
      </c>
      <c r="AQ1243" s="473" t="str">
        <f>IFERROR(VLOOKUP(Table_NFI[[#This Row],[Camp Name]],CL,2,0),"")</f>
        <v/>
      </c>
      <c r="AR1243" s="468" t="str">
        <f ca="1">IF(Table_NFI[[#This Row],[Pcode]]="","",IF(OFFSET(CampList[Opening Date],MATCH(Table_NFI[[#This Row],[Pcode]],CampList[CP_Pcode],0)-1,0,1,1)&gt;=NFI_Monitor_Date,1,0))</f>
        <v/>
      </c>
      <c r="AS1243" s="473" t="str">
        <f>IFERROR(VLOOKUP(Table_NFI[[#This Row],[Camp Name]],CL,3,0),"")</f>
        <v/>
      </c>
      <c r="AT1243" s="294" t="str">
        <f ca="1">IF(Table_NFI[[#This Row],[Pcode]]="","",OFFSET(CampList[Priority],MATCH(Table_NFI[[#This Row],[Pcode]],CampList[CP_Pcode],0)-1,0,1,1))</f>
        <v/>
      </c>
      <c r="AU1243" s="293" t="str">
        <f>IFERROR(Table_NFI[[#This Row],[Kitchen Set]]/VLOOKUP(Table_NFI[[#This Row],[Camp Name]],CL,4,0),"")</f>
        <v/>
      </c>
      <c r="AV1243" s="471"/>
      <c r="AW1243" s="474"/>
    </row>
    <row r="1244" spans="1:49" ht="14.45" customHeight="1" x14ac:dyDescent="0.25">
      <c r="A1244" s="297" t="str">
        <f t="shared" si="19"/>
        <v/>
      </c>
      <c r="B1244" s="465"/>
      <c r="C1244" s="471"/>
      <c r="D1244" s="471"/>
      <c r="E1244" s="471"/>
      <c r="F1244" s="471"/>
      <c r="G1244" s="471"/>
      <c r="H1244" s="292"/>
      <c r="I1244" s="292"/>
      <c r="J1244" s="292"/>
      <c r="K1244" s="292"/>
      <c r="L1244" s="292"/>
      <c r="M1244" s="292"/>
      <c r="N1244" s="292"/>
      <c r="O1244" s="292"/>
      <c r="P1244" s="294"/>
      <c r="Q1244" s="294"/>
      <c r="R1244" s="294"/>
      <c r="S1244" s="294"/>
      <c r="T1244" s="294"/>
      <c r="U1244" s="294"/>
      <c r="V1244" s="431"/>
      <c r="W1244" s="331"/>
      <c r="X1244" s="331"/>
      <c r="Y1244" s="294">
        <f>IF(NFI_Expiration=1,IF($A1244&lt;VLOOKUP(H$5,NFI,5,0),1,0)*Table_NFI[[#This Row],[Hygiene Kit]],Table_NFI[Hygiene Kit])</f>
        <v>0</v>
      </c>
      <c r="Z1244" s="294">
        <f>IF(NFI_Expiration=1,IF($A1244&lt;VLOOKUP(I$5,NFI,5,0),1,0)*Table_NFI[[#This Row],[NFI Core Kit]],Table_NFI[NFI Core Kit])</f>
        <v>0</v>
      </c>
      <c r="AA1244" s="294">
        <f>IF(NFI_Expiration=1,IF($A1244&lt;VLOOKUP(J$5,NFI,5,0),1,0)*Table_NFI[[#This Row],[Sanitary Kit]],Table_NFI[Sanitary Kit])</f>
        <v>0</v>
      </c>
      <c r="AB1244" s="294">
        <f>IF(NFI_Expiration=1,IF($A1244&lt;VLOOKUP(K$5,NFI,5,0),1,0)*Table_NFI[[#This Row],[Mosquito net]],Table_NFI[Mosquito net])</f>
        <v>0</v>
      </c>
      <c r="AC1244" s="294">
        <f>IF(NFI_Expiration=1,IF($A1244&lt;VLOOKUP(L$5,NFI,5,0),1,0)*Table_NFI[[#This Row],[Tarpaulin]],Table_NFI[[#This Row],[Tarpaulin]])</f>
        <v>0</v>
      </c>
      <c r="AD1244" s="294">
        <f>IF(NFI_Expiration=1,IF($A1244&lt;VLOOKUP(M$5,NFI,5,0),1,0)*Table_NFI[[#This Row],[Blanket]],Table_NFI[[#This Row],[Blanket]])</f>
        <v>0</v>
      </c>
      <c r="AE1244" s="294">
        <f>IF(NFI_Expiration=1,IF($A1244&lt;VLOOKUP(N$5,NFI,5,0),1,0)*Table_NFI[[#This Row],[Kitchen Set]],Table_NFI[Kitchen Set])</f>
        <v>0</v>
      </c>
      <c r="AF1244" s="294">
        <f>IF(NFI_Expiration=1,IF($A1244&lt;VLOOKUP(O$5,NFI,5,0),1,0)*Table_NFI[[#This Row],[Clothes Kit]],Table_NFI[Clothes Kit])</f>
        <v>0</v>
      </c>
      <c r="AG1244" s="294">
        <f>IF(NFI_Expiration=1,IF($A1244&lt;VLOOKUP(P$5,NFI,5,0),1,0)*Table_NFI[[#This Row],[Plastic Bucket]],Table_NFI[Plastic Bucket])</f>
        <v>0</v>
      </c>
      <c r="AH1244" s="294">
        <f>IF(NFI_Expiration=1,IF($A1244&lt;VLOOKUP(Q$5,NFI,5,0),1,0)*Table_NFI[[#This Row],[Plastic Mat]],Table_NFI[Plastic Mat])*IF(Table_NFI[[#This Row],[Distribution Date]]&gt;"2014-04-01",1,2.5)</f>
        <v>0</v>
      </c>
      <c r="AI1244" s="294">
        <f>IF(NFI_Expiration=1,IF($A1244&lt;VLOOKUP(R$5,NFI,5,0),1,0)*Table_NFI[[#This Row],[Winter Clothes Adult]],Table_NFI[Winter Clothes Adult])</f>
        <v>0</v>
      </c>
      <c r="AJ1244" s="294">
        <f>IF(NFI_Expiration=1,IF($A1244&lt;VLOOKUP(S$5,NFI,5,0),1,0)*Table_NFI[[#This Row],[Winter Clothes Children]],Table_NFI[Winter Clothes Children])</f>
        <v>0</v>
      </c>
      <c r="AK1244" s="294">
        <f>IF(NFI_Expiration=1,IF($A1244&lt;VLOOKUP(T$5,NFI,5,0),1,0)*Table_NFI[[#This Row],[Winter Items Other]],Table_NFI[Winter Items Other])</f>
        <v>0</v>
      </c>
      <c r="AL1244" s="294">
        <f>IF(NFI_Expiration=1,IF($A1244&lt;VLOOKUP(M$5,NFI,5,0),1,0)*Table_NFI[[#This Row],[Winter Blanket]],Table_NFI[[#This Row],[Winter Blanket]])</f>
        <v>0</v>
      </c>
      <c r="AM1244" s="294">
        <f>IF(Table_NFI[[#This Row],[Winter Clothes Adult]]+Table_NFI[[#This Row],[Winter Clothes Children]]+Table_NFI[[#This Row],[Winter Items Other]]+Table_NFI[[#This Row],[Winter Blanket]]&gt;0,1,0)</f>
        <v>0</v>
      </c>
      <c r="AN1244" s="331">
        <f>IF(NFI_Expiration=1,IF($A1244&lt;VLOOKUP(V$5,NFI,5,0),1,0)*Table_NFI[[#This Row],[Jerry Can]],Table_NFI[Jerry Can])</f>
        <v>0</v>
      </c>
      <c r="AO1244" s="331">
        <f>IF(NFI_Expiration=1,IF($A1244&lt;VLOOKUP(V$5,NFI,5,0),1,0)*Table_NFI[[#This Row],[Shelter Tool kit]],Table_NFI[Shelter Tool kit])</f>
        <v>0</v>
      </c>
      <c r="AP1244" s="331">
        <f>IF(NFI_Expiration=1,IF($A1244&lt;VLOOKUP(V$5,NFI,5,0),1,0)*Table_NFI[[#This Row],[Tent]],Table_NFI[Tent])</f>
        <v>0</v>
      </c>
      <c r="AQ1244" s="473" t="str">
        <f>IFERROR(VLOOKUP(Table_NFI[[#This Row],[Camp Name]],CL,2,0),"")</f>
        <v/>
      </c>
      <c r="AR1244" s="468" t="str">
        <f ca="1">IF(Table_NFI[[#This Row],[Pcode]]="","",IF(OFFSET(CampList[Opening Date],MATCH(Table_NFI[[#This Row],[Pcode]],CampList[CP_Pcode],0)-1,0,1,1)&gt;=NFI_Monitor_Date,1,0))</f>
        <v/>
      </c>
      <c r="AS1244" s="473" t="str">
        <f>IFERROR(VLOOKUP(Table_NFI[[#This Row],[Camp Name]],CL,3,0),"")</f>
        <v/>
      </c>
      <c r="AT1244" s="294" t="str">
        <f ca="1">IF(Table_NFI[[#This Row],[Pcode]]="","",OFFSET(CampList[Priority],MATCH(Table_NFI[[#This Row],[Pcode]],CampList[CP_Pcode],0)-1,0,1,1))</f>
        <v/>
      </c>
      <c r="AU1244" s="293" t="str">
        <f>IFERROR(Table_NFI[[#This Row],[Kitchen Set]]/VLOOKUP(Table_NFI[[#This Row],[Camp Name]],CL,4,0),"")</f>
        <v/>
      </c>
      <c r="AV1244" s="471"/>
      <c r="AW1244" s="474"/>
    </row>
    <row r="1245" spans="1:49" ht="14.45" customHeight="1" x14ac:dyDescent="0.25">
      <c r="A1245" s="297" t="str">
        <f t="shared" si="19"/>
        <v/>
      </c>
      <c r="B1245" s="465"/>
      <c r="C1245" s="471"/>
      <c r="D1245" s="471"/>
      <c r="E1245" s="471"/>
      <c r="F1245" s="471"/>
      <c r="G1245" s="471"/>
      <c r="H1245" s="292"/>
      <c r="I1245" s="292"/>
      <c r="J1245" s="292"/>
      <c r="K1245" s="292"/>
      <c r="L1245" s="292"/>
      <c r="M1245" s="292"/>
      <c r="N1245" s="292"/>
      <c r="O1245" s="292"/>
      <c r="P1245" s="294"/>
      <c r="Q1245" s="294"/>
      <c r="R1245" s="294"/>
      <c r="S1245" s="294"/>
      <c r="T1245" s="294"/>
      <c r="U1245" s="294"/>
      <c r="V1245" s="431"/>
      <c r="W1245" s="331"/>
      <c r="X1245" s="331"/>
      <c r="Y1245" s="294">
        <f>IF(NFI_Expiration=1,IF($A1245&lt;VLOOKUP(H$5,NFI,5,0),1,0)*Table_NFI[[#This Row],[Hygiene Kit]],Table_NFI[Hygiene Kit])</f>
        <v>0</v>
      </c>
      <c r="Z1245" s="294">
        <f>IF(NFI_Expiration=1,IF($A1245&lt;VLOOKUP(I$5,NFI,5,0),1,0)*Table_NFI[[#This Row],[NFI Core Kit]],Table_NFI[NFI Core Kit])</f>
        <v>0</v>
      </c>
      <c r="AA1245" s="294">
        <f>IF(NFI_Expiration=1,IF($A1245&lt;VLOOKUP(J$5,NFI,5,0),1,0)*Table_NFI[[#This Row],[Sanitary Kit]],Table_NFI[Sanitary Kit])</f>
        <v>0</v>
      </c>
      <c r="AB1245" s="294">
        <f>IF(NFI_Expiration=1,IF($A1245&lt;VLOOKUP(K$5,NFI,5,0),1,0)*Table_NFI[[#This Row],[Mosquito net]],Table_NFI[Mosquito net])</f>
        <v>0</v>
      </c>
      <c r="AC1245" s="294">
        <f>IF(NFI_Expiration=1,IF($A1245&lt;VLOOKUP(L$5,NFI,5,0),1,0)*Table_NFI[[#This Row],[Tarpaulin]],Table_NFI[[#This Row],[Tarpaulin]])</f>
        <v>0</v>
      </c>
      <c r="AD1245" s="294">
        <f>IF(NFI_Expiration=1,IF($A1245&lt;VLOOKUP(M$5,NFI,5,0),1,0)*Table_NFI[[#This Row],[Blanket]],Table_NFI[[#This Row],[Blanket]])</f>
        <v>0</v>
      </c>
      <c r="AE1245" s="294">
        <f>IF(NFI_Expiration=1,IF($A1245&lt;VLOOKUP(N$5,NFI,5,0),1,0)*Table_NFI[[#This Row],[Kitchen Set]],Table_NFI[Kitchen Set])</f>
        <v>0</v>
      </c>
      <c r="AF1245" s="294">
        <f>IF(NFI_Expiration=1,IF($A1245&lt;VLOOKUP(O$5,NFI,5,0),1,0)*Table_NFI[[#This Row],[Clothes Kit]],Table_NFI[Clothes Kit])</f>
        <v>0</v>
      </c>
      <c r="AG1245" s="294">
        <f>IF(NFI_Expiration=1,IF($A1245&lt;VLOOKUP(P$5,NFI,5,0),1,0)*Table_NFI[[#This Row],[Plastic Bucket]],Table_NFI[Plastic Bucket])</f>
        <v>0</v>
      </c>
      <c r="AH1245" s="294">
        <f>IF(NFI_Expiration=1,IF($A1245&lt;VLOOKUP(Q$5,NFI,5,0),1,0)*Table_NFI[[#This Row],[Plastic Mat]],Table_NFI[Plastic Mat])*IF(Table_NFI[[#This Row],[Distribution Date]]&gt;"2014-04-01",1,2.5)</f>
        <v>0</v>
      </c>
      <c r="AI1245" s="294">
        <f>IF(NFI_Expiration=1,IF($A1245&lt;VLOOKUP(R$5,NFI,5,0),1,0)*Table_NFI[[#This Row],[Winter Clothes Adult]],Table_NFI[Winter Clothes Adult])</f>
        <v>0</v>
      </c>
      <c r="AJ1245" s="294">
        <f>IF(NFI_Expiration=1,IF($A1245&lt;VLOOKUP(S$5,NFI,5,0),1,0)*Table_NFI[[#This Row],[Winter Clothes Children]],Table_NFI[Winter Clothes Children])</f>
        <v>0</v>
      </c>
      <c r="AK1245" s="294">
        <f>IF(NFI_Expiration=1,IF($A1245&lt;VLOOKUP(T$5,NFI,5,0),1,0)*Table_NFI[[#This Row],[Winter Items Other]],Table_NFI[Winter Items Other])</f>
        <v>0</v>
      </c>
      <c r="AL1245" s="294">
        <f>IF(NFI_Expiration=1,IF($A1245&lt;VLOOKUP(M$5,NFI,5,0),1,0)*Table_NFI[[#This Row],[Winter Blanket]],Table_NFI[[#This Row],[Winter Blanket]])</f>
        <v>0</v>
      </c>
      <c r="AM1245" s="294">
        <f>IF(Table_NFI[[#This Row],[Winter Clothes Adult]]+Table_NFI[[#This Row],[Winter Clothes Children]]+Table_NFI[[#This Row],[Winter Items Other]]+Table_NFI[[#This Row],[Winter Blanket]]&gt;0,1,0)</f>
        <v>0</v>
      </c>
      <c r="AN1245" s="331">
        <f>IF(NFI_Expiration=1,IF($A1245&lt;VLOOKUP(V$5,NFI,5,0),1,0)*Table_NFI[[#This Row],[Jerry Can]],Table_NFI[Jerry Can])</f>
        <v>0</v>
      </c>
      <c r="AO1245" s="331">
        <f>IF(NFI_Expiration=1,IF($A1245&lt;VLOOKUP(V$5,NFI,5,0),1,0)*Table_NFI[[#This Row],[Shelter Tool kit]],Table_NFI[Shelter Tool kit])</f>
        <v>0</v>
      </c>
      <c r="AP1245" s="331">
        <f>IF(NFI_Expiration=1,IF($A1245&lt;VLOOKUP(V$5,NFI,5,0),1,0)*Table_NFI[[#This Row],[Tent]],Table_NFI[Tent])</f>
        <v>0</v>
      </c>
      <c r="AQ1245" s="473" t="str">
        <f>IFERROR(VLOOKUP(Table_NFI[[#This Row],[Camp Name]],CL,2,0),"")</f>
        <v/>
      </c>
      <c r="AR1245" s="468" t="str">
        <f ca="1">IF(Table_NFI[[#This Row],[Pcode]]="","",IF(OFFSET(CampList[Opening Date],MATCH(Table_NFI[[#This Row],[Pcode]],CampList[CP_Pcode],0)-1,0,1,1)&gt;=NFI_Monitor_Date,1,0))</f>
        <v/>
      </c>
      <c r="AS1245" s="473" t="str">
        <f>IFERROR(VLOOKUP(Table_NFI[[#This Row],[Camp Name]],CL,3,0),"")</f>
        <v/>
      </c>
      <c r="AT1245" s="294" t="str">
        <f ca="1">IF(Table_NFI[[#This Row],[Pcode]]="","",OFFSET(CampList[Priority],MATCH(Table_NFI[[#This Row],[Pcode]],CampList[CP_Pcode],0)-1,0,1,1))</f>
        <v/>
      </c>
      <c r="AU1245" s="293" t="str">
        <f>IFERROR(Table_NFI[[#This Row],[Kitchen Set]]/VLOOKUP(Table_NFI[[#This Row],[Camp Name]],CL,4,0),"")</f>
        <v/>
      </c>
      <c r="AV1245" s="471"/>
      <c r="AW1245" s="474"/>
    </row>
    <row r="1246" spans="1:49" ht="14.45" customHeight="1" x14ac:dyDescent="0.25">
      <c r="A1246" s="297" t="str">
        <f t="shared" si="19"/>
        <v/>
      </c>
      <c r="B1246" s="465"/>
      <c r="C1246" s="471"/>
      <c r="D1246" s="471"/>
      <c r="E1246" s="471"/>
      <c r="F1246" s="471"/>
      <c r="G1246" s="471"/>
      <c r="H1246" s="292"/>
      <c r="I1246" s="292"/>
      <c r="J1246" s="292"/>
      <c r="K1246" s="292"/>
      <c r="L1246" s="292"/>
      <c r="M1246" s="292"/>
      <c r="N1246" s="292"/>
      <c r="O1246" s="292"/>
      <c r="P1246" s="294"/>
      <c r="Q1246" s="294"/>
      <c r="R1246" s="294"/>
      <c r="S1246" s="294"/>
      <c r="T1246" s="294"/>
      <c r="U1246" s="294"/>
      <c r="V1246" s="431"/>
      <c r="W1246" s="331"/>
      <c r="X1246" s="331"/>
      <c r="Y1246" s="294">
        <f>IF(NFI_Expiration=1,IF($A1246&lt;VLOOKUP(H$5,NFI,5,0),1,0)*Table_NFI[[#This Row],[Hygiene Kit]],Table_NFI[Hygiene Kit])</f>
        <v>0</v>
      </c>
      <c r="Z1246" s="294">
        <f>IF(NFI_Expiration=1,IF($A1246&lt;VLOOKUP(I$5,NFI,5,0),1,0)*Table_NFI[[#This Row],[NFI Core Kit]],Table_NFI[NFI Core Kit])</f>
        <v>0</v>
      </c>
      <c r="AA1246" s="294">
        <f>IF(NFI_Expiration=1,IF($A1246&lt;VLOOKUP(J$5,NFI,5,0),1,0)*Table_NFI[[#This Row],[Sanitary Kit]],Table_NFI[Sanitary Kit])</f>
        <v>0</v>
      </c>
      <c r="AB1246" s="294">
        <f>IF(NFI_Expiration=1,IF($A1246&lt;VLOOKUP(K$5,NFI,5,0),1,0)*Table_NFI[[#This Row],[Mosquito net]],Table_NFI[Mosquito net])</f>
        <v>0</v>
      </c>
      <c r="AC1246" s="294">
        <f>IF(NFI_Expiration=1,IF($A1246&lt;VLOOKUP(L$5,NFI,5,0),1,0)*Table_NFI[[#This Row],[Tarpaulin]],Table_NFI[[#This Row],[Tarpaulin]])</f>
        <v>0</v>
      </c>
      <c r="AD1246" s="294">
        <f>IF(NFI_Expiration=1,IF($A1246&lt;VLOOKUP(M$5,NFI,5,0),1,0)*Table_NFI[[#This Row],[Blanket]],Table_NFI[[#This Row],[Blanket]])</f>
        <v>0</v>
      </c>
      <c r="AE1246" s="294">
        <f>IF(NFI_Expiration=1,IF($A1246&lt;VLOOKUP(N$5,NFI,5,0),1,0)*Table_NFI[[#This Row],[Kitchen Set]],Table_NFI[Kitchen Set])</f>
        <v>0</v>
      </c>
      <c r="AF1246" s="294">
        <f>IF(NFI_Expiration=1,IF($A1246&lt;VLOOKUP(O$5,NFI,5,0),1,0)*Table_NFI[[#This Row],[Clothes Kit]],Table_NFI[Clothes Kit])</f>
        <v>0</v>
      </c>
      <c r="AG1246" s="294">
        <f>IF(NFI_Expiration=1,IF($A1246&lt;VLOOKUP(P$5,NFI,5,0),1,0)*Table_NFI[[#This Row],[Plastic Bucket]],Table_NFI[Plastic Bucket])</f>
        <v>0</v>
      </c>
      <c r="AH1246" s="294">
        <f>IF(NFI_Expiration=1,IF($A1246&lt;VLOOKUP(Q$5,NFI,5,0),1,0)*Table_NFI[[#This Row],[Plastic Mat]],Table_NFI[Plastic Mat])*IF(Table_NFI[[#This Row],[Distribution Date]]&gt;"2014-04-01",1,2.5)</f>
        <v>0</v>
      </c>
      <c r="AI1246" s="294">
        <f>IF(NFI_Expiration=1,IF($A1246&lt;VLOOKUP(R$5,NFI,5,0),1,0)*Table_NFI[[#This Row],[Winter Clothes Adult]],Table_NFI[Winter Clothes Adult])</f>
        <v>0</v>
      </c>
      <c r="AJ1246" s="294">
        <f>IF(NFI_Expiration=1,IF($A1246&lt;VLOOKUP(S$5,NFI,5,0),1,0)*Table_NFI[[#This Row],[Winter Clothes Children]],Table_NFI[Winter Clothes Children])</f>
        <v>0</v>
      </c>
      <c r="AK1246" s="294">
        <f>IF(NFI_Expiration=1,IF($A1246&lt;VLOOKUP(T$5,NFI,5,0),1,0)*Table_NFI[[#This Row],[Winter Items Other]],Table_NFI[Winter Items Other])</f>
        <v>0</v>
      </c>
      <c r="AL1246" s="294">
        <f>IF(NFI_Expiration=1,IF($A1246&lt;VLOOKUP(M$5,NFI,5,0),1,0)*Table_NFI[[#This Row],[Winter Blanket]],Table_NFI[[#This Row],[Winter Blanket]])</f>
        <v>0</v>
      </c>
      <c r="AM1246" s="294">
        <f>IF(Table_NFI[[#This Row],[Winter Clothes Adult]]+Table_NFI[[#This Row],[Winter Clothes Children]]+Table_NFI[[#This Row],[Winter Items Other]]+Table_NFI[[#This Row],[Winter Blanket]]&gt;0,1,0)</f>
        <v>0</v>
      </c>
      <c r="AN1246" s="331">
        <f>IF(NFI_Expiration=1,IF($A1246&lt;VLOOKUP(V$5,NFI,5,0),1,0)*Table_NFI[[#This Row],[Jerry Can]],Table_NFI[Jerry Can])</f>
        <v>0</v>
      </c>
      <c r="AO1246" s="331">
        <f>IF(NFI_Expiration=1,IF($A1246&lt;VLOOKUP(V$5,NFI,5,0),1,0)*Table_NFI[[#This Row],[Shelter Tool kit]],Table_NFI[Shelter Tool kit])</f>
        <v>0</v>
      </c>
      <c r="AP1246" s="331">
        <f>IF(NFI_Expiration=1,IF($A1246&lt;VLOOKUP(V$5,NFI,5,0),1,0)*Table_NFI[[#This Row],[Tent]],Table_NFI[Tent])</f>
        <v>0</v>
      </c>
      <c r="AQ1246" s="473" t="str">
        <f>IFERROR(VLOOKUP(Table_NFI[[#This Row],[Camp Name]],CL,2,0),"")</f>
        <v/>
      </c>
      <c r="AR1246" s="468" t="str">
        <f ca="1">IF(Table_NFI[[#This Row],[Pcode]]="","",IF(OFFSET(CampList[Opening Date],MATCH(Table_NFI[[#This Row],[Pcode]],CampList[CP_Pcode],0)-1,0,1,1)&gt;=NFI_Monitor_Date,1,0))</f>
        <v/>
      </c>
      <c r="AS1246" s="473" t="str">
        <f>IFERROR(VLOOKUP(Table_NFI[[#This Row],[Camp Name]],CL,3,0),"")</f>
        <v/>
      </c>
      <c r="AT1246" s="294" t="str">
        <f ca="1">IF(Table_NFI[[#This Row],[Pcode]]="","",OFFSET(CampList[Priority],MATCH(Table_NFI[[#This Row],[Pcode]],CampList[CP_Pcode],0)-1,0,1,1))</f>
        <v/>
      </c>
      <c r="AU1246" s="293" t="str">
        <f>IFERROR(Table_NFI[[#This Row],[Kitchen Set]]/VLOOKUP(Table_NFI[[#This Row],[Camp Name]],CL,4,0),"")</f>
        <v/>
      </c>
      <c r="AV1246" s="471"/>
      <c r="AW1246" s="474"/>
    </row>
    <row r="1247" spans="1:49" ht="14.45" customHeight="1" x14ac:dyDescent="0.25">
      <c r="A1247" s="297" t="str">
        <f t="shared" si="19"/>
        <v/>
      </c>
      <c r="B1247" s="465"/>
      <c r="C1247" s="471"/>
      <c r="D1247" s="471"/>
      <c r="E1247" s="471"/>
      <c r="F1247" s="471"/>
      <c r="G1247" s="471"/>
      <c r="H1247" s="292"/>
      <c r="I1247" s="292"/>
      <c r="J1247" s="292"/>
      <c r="K1247" s="292"/>
      <c r="L1247" s="292"/>
      <c r="M1247" s="292"/>
      <c r="N1247" s="292"/>
      <c r="O1247" s="292"/>
      <c r="P1247" s="294"/>
      <c r="Q1247" s="294"/>
      <c r="R1247" s="294"/>
      <c r="S1247" s="294"/>
      <c r="T1247" s="294"/>
      <c r="U1247" s="294"/>
      <c r="V1247" s="431"/>
      <c r="W1247" s="331"/>
      <c r="X1247" s="331"/>
      <c r="Y1247" s="294">
        <f>IF(NFI_Expiration=1,IF($A1247&lt;VLOOKUP(H$5,NFI,5,0),1,0)*Table_NFI[[#This Row],[Hygiene Kit]],Table_NFI[Hygiene Kit])</f>
        <v>0</v>
      </c>
      <c r="Z1247" s="294">
        <f>IF(NFI_Expiration=1,IF($A1247&lt;VLOOKUP(I$5,NFI,5,0),1,0)*Table_NFI[[#This Row],[NFI Core Kit]],Table_NFI[NFI Core Kit])</f>
        <v>0</v>
      </c>
      <c r="AA1247" s="294">
        <f>IF(NFI_Expiration=1,IF($A1247&lt;VLOOKUP(J$5,NFI,5,0),1,0)*Table_NFI[[#This Row],[Sanitary Kit]],Table_NFI[Sanitary Kit])</f>
        <v>0</v>
      </c>
      <c r="AB1247" s="294">
        <f>IF(NFI_Expiration=1,IF($A1247&lt;VLOOKUP(K$5,NFI,5,0),1,0)*Table_NFI[[#This Row],[Mosquito net]],Table_NFI[Mosquito net])</f>
        <v>0</v>
      </c>
      <c r="AC1247" s="294">
        <f>IF(NFI_Expiration=1,IF($A1247&lt;VLOOKUP(L$5,NFI,5,0),1,0)*Table_NFI[[#This Row],[Tarpaulin]],Table_NFI[[#This Row],[Tarpaulin]])</f>
        <v>0</v>
      </c>
      <c r="AD1247" s="294">
        <f>IF(NFI_Expiration=1,IF($A1247&lt;VLOOKUP(M$5,NFI,5,0),1,0)*Table_NFI[[#This Row],[Blanket]],Table_NFI[[#This Row],[Blanket]])</f>
        <v>0</v>
      </c>
      <c r="AE1247" s="294">
        <f>IF(NFI_Expiration=1,IF($A1247&lt;VLOOKUP(N$5,NFI,5,0),1,0)*Table_NFI[[#This Row],[Kitchen Set]],Table_NFI[Kitchen Set])</f>
        <v>0</v>
      </c>
      <c r="AF1247" s="294">
        <f>IF(NFI_Expiration=1,IF($A1247&lt;VLOOKUP(O$5,NFI,5,0),1,0)*Table_NFI[[#This Row],[Clothes Kit]],Table_NFI[Clothes Kit])</f>
        <v>0</v>
      </c>
      <c r="AG1247" s="294">
        <f>IF(NFI_Expiration=1,IF($A1247&lt;VLOOKUP(P$5,NFI,5,0),1,0)*Table_NFI[[#This Row],[Plastic Bucket]],Table_NFI[Plastic Bucket])</f>
        <v>0</v>
      </c>
      <c r="AH1247" s="294">
        <f>IF(NFI_Expiration=1,IF($A1247&lt;VLOOKUP(Q$5,NFI,5,0),1,0)*Table_NFI[[#This Row],[Plastic Mat]],Table_NFI[Plastic Mat])*IF(Table_NFI[[#This Row],[Distribution Date]]&gt;"2014-04-01",1,2.5)</f>
        <v>0</v>
      </c>
      <c r="AI1247" s="294">
        <f>IF(NFI_Expiration=1,IF($A1247&lt;VLOOKUP(R$5,NFI,5,0),1,0)*Table_NFI[[#This Row],[Winter Clothes Adult]],Table_NFI[Winter Clothes Adult])</f>
        <v>0</v>
      </c>
      <c r="AJ1247" s="294">
        <f>IF(NFI_Expiration=1,IF($A1247&lt;VLOOKUP(S$5,NFI,5,0),1,0)*Table_NFI[[#This Row],[Winter Clothes Children]],Table_NFI[Winter Clothes Children])</f>
        <v>0</v>
      </c>
      <c r="AK1247" s="294">
        <f>IF(NFI_Expiration=1,IF($A1247&lt;VLOOKUP(T$5,NFI,5,0),1,0)*Table_NFI[[#This Row],[Winter Items Other]],Table_NFI[Winter Items Other])</f>
        <v>0</v>
      </c>
      <c r="AL1247" s="294">
        <f>IF(NFI_Expiration=1,IF($A1247&lt;VLOOKUP(M$5,NFI,5,0),1,0)*Table_NFI[[#This Row],[Winter Blanket]],Table_NFI[[#This Row],[Winter Blanket]])</f>
        <v>0</v>
      </c>
      <c r="AM1247" s="294">
        <f>IF(Table_NFI[[#This Row],[Winter Clothes Adult]]+Table_NFI[[#This Row],[Winter Clothes Children]]+Table_NFI[[#This Row],[Winter Items Other]]+Table_NFI[[#This Row],[Winter Blanket]]&gt;0,1,0)</f>
        <v>0</v>
      </c>
      <c r="AN1247" s="331">
        <f>IF(NFI_Expiration=1,IF($A1247&lt;VLOOKUP(V$5,NFI,5,0),1,0)*Table_NFI[[#This Row],[Jerry Can]],Table_NFI[Jerry Can])</f>
        <v>0</v>
      </c>
      <c r="AO1247" s="331">
        <f>IF(NFI_Expiration=1,IF($A1247&lt;VLOOKUP(V$5,NFI,5,0),1,0)*Table_NFI[[#This Row],[Shelter Tool kit]],Table_NFI[Shelter Tool kit])</f>
        <v>0</v>
      </c>
      <c r="AP1247" s="331">
        <f>IF(NFI_Expiration=1,IF($A1247&lt;VLOOKUP(V$5,NFI,5,0),1,0)*Table_NFI[[#This Row],[Tent]],Table_NFI[Tent])</f>
        <v>0</v>
      </c>
      <c r="AQ1247" s="473" t="str">
        <f>IFERROR(VLOOKUP(Table_NFI[[#This Row],[Camp Name]],CL,2,0),"")</f>
        <v/>
      </c>
      <c r="AR1247" s="468" t="str">
        <f ca="1">IF(Table_NFI[[#This Row],[Pcode]]="","",IF(OFFSET(CampList[Opening Date],MATCH(Table_NFI[[#This Row],[Pcode]],CampList[CP_Pcode],0)-1,0,1,1)&gt;=NFI_Monitor_Date,1,0))</f>
        <v/>
      </c>
      <c r="AS1247" s="473" t="str">
        <f>IFERROR(VLOOKUP(Table_NFI[[#This Row],[Camp Name]],CL,3,0),"")</f>
        <v/>
      </c>
      <c r="AT1247" s="294" t="str">
        <f ca="1">IF(Table_NFI[[#This Row],[Pcode]]="","",OFFSET(CampList[Priority],MATCH(Table_NFI[[#This Row],[Pcode]],CampList[CP_Pcode],0)-1,0,1,1))</f>
        <v/>
      </c>
      <c r="AU1247" s="293" t="str">
        <f>IFERROR(Table_NFI[[#This Row],[Kitchen Set]]/VLOOKUP(Table_NFI[[#This Row],[Camp Name]],CL,4,0),"")</f>
        <v/>
      </c>
      <c r="AV1247" s="471"/>
      <c r="AW1247" s="474"/>
    </row>
    <row r="1248" spans="1:49" ht="14.45" customHeight="1" x14ac:dyDescent="0.25">
      <c r="A1248" s="297" t="str">
        <f t="shared" si="19"/>
        <v/>
      </c>
      <c r="B1248" s="465"/>
      <c r="C1248" s="471"/>
      <c r="D1248" s="471"/>
      <c r="E1248" s="471"/>
      <c r="F1248" s="471"/>
      <c r="G1248" s="471"/>
      <c r="H1248" s="292"/>
      <c r="I1248" s="292"/>
      <c r="J1248" s="292"/>
      <c r="K1248" s="292"/>
      <c r="L1248" s="292"/>
      <c r="M1248" s="292"/>
      <c r="N1248" s="292"/>
      <c r="O1248" s="292"/>
      <c r="P1248" s="294"/>
      <c r="Q1248" s="294"/>
      <c r="R1248" s="294"/>
      <c r="S1248" s="294"/>
      <c r="T1248" s="294"/>
      <c r="U1248" s="294"/>
      <c r="V1248" s="431"/>
      <c r="W1248" s="331"/>
      <c r="X1248" s="331"/>
      <c r="Y1248" s="294">
        <f>IF(NFI_Expiration=1,IF($A1248&lt;VLOOKUP(H$5,NFI,5,0),1,0)*Table_NFI[[#This Row],[Hygiene Kit]],Table_NFI[Hygiene Kit])</f>
        <v>0</v>
      </c>
      <c r="Z1248" s="294">
        <f>IF(NFI_Expiration=1,IF($A1248&lt;VLOOKUP(I$5,NFI,5,0),1,0)*Table_NFI[[#This Row],[NFI Core Kit]],Table_NFI[NFI Core Kit])</f>
        <v>0</v>
      </c>
      <c r="AA1248" s="294">
        <f>IF(NFI_Expiration=1,IF($A1248&lt;VLOOKUP(J$5,NFI,5,0),1,0)*Table_NFI[[#This Row],[Sanitary Kit]],Table_NFI[Sanitary Kit])</f>
        <v>0</v>
      </c>
      <c r="AB1248" s="294">
        <f>IF(NFI_Expiration=1,IF($A1248&lt;VLOOKUP(K$5,NFI,5,0),1,0)*Table_NFI[[#This Row],[Mosquito net]],Table_NFI[Mosquito net])</f>
        <v>0</v>
      </c>
      <c r="AC1248" s="294">
        <f>IF(NFI_Expiration=1,IF($A1248&lt;VLOOKUP(L$5,NFI,5,0),1,0)*Table_NFI[[#This Row],[Tarpaulin]],Table_NFI[[#This Row],[Tarpaulin]])</f>
        <v>0</v>
      </c>
      <c r="AD1248" s="294">
        <f>IF(NFI_Expiration=1,IF($A1248&lt;VLOOKUP(M$5,NFI,5,0),1,0)*Table_NFI[[#This Row],[Blanket]],Table_NFI[[#This Row],[Blanket]])</f>
        <v>0</v>
      </c>
      <c r="AE1248" s="294">
        <f>IF(NFI_Expiration=1,IF($A1248&lt;VLOOKUP(N$5,NFI,5,0),1,0)*Table_NFI[[#This Row],[Kitchen Set]],Table_NFI[Kitchen Set])</f>
        <v>0</v>
      </c>
      <c r="AF1248" s="294">
        <f>IF(NFI_Expiration=1,IF($A1248&lt;VLOOKUP(O$5,NFI,5,0),1,0)*Table_NFI[[#This Row],[Clothes Kit]],Table_NFI[Clothes Kit])</f>
        <v>0</v>
      </c>
      <c r="AG1248" s="294">
        <f>IF(NFI_Expiration=1,IF($A1248&lt;VLOOKUP(P$5,NFI,5,0),1,0)*Table_NFI[[#This Row],[Plastic Bucket]],Table_NFI[Plastic Bucket])</f>
        <v>0</v>
      </c>
      <c r="AH1248" s="294">
        <f>IF(NFI_Expiration=1,IF($A1248&lt;VLOOKUP(Q$5,NFI,5,0),1,0)*Table_NFI[[#This Row],[Plastic Mat]],Table_NFI[Plastic Mat])*IF(Table_NFI[[#This Row],[Distribution Date]]&gt;"2014-04-01",1,2.5)</f>
        <v>0</v>
      </c>
      <c r="AI1248" s="294">
        <f>IF(NFI_Expiration=1,IF($A1248&lt;VLOOKUP(R$5,NFI,5,0),1,0)*Table_NFI[[#This Row],[Winter Clothes Adult]],Table_NFI[Winter Clothes Adult])</f>
        <v>0</v>
      </c>
      <c r="AJ1248" s="294">
        <f>IF(NFI_Expiration=1,IF($A1248&lt;VLOOKUP(S$5,NFI,5,0),1,0)*Table_NFI[[#This Row],[Winter Clothes Children]],Table_NFI[Winter Clothes Children])</f>
        <v>0</v>
      </c>
      <c r="AK1248" s="294">
        <f>IF(NFI_Expiration=1,IF($A1248&lt;VLOOKUP(T$5,NFI,5,0),1,0)*Table_NFI[[#This Row],[Winter Items Other]],Table_NFI[Winter Items Other])</f>
        <v>0</v>
      </c>
      <c r="AL1248" s="294">
        <f>IF(NFI_Expiration=1,IF($A1248&lt;VLOOKUP(M$5,NFI,5,0),1,0)*Table_NFI[[#This Row],[Winter Blanket]],Table_NFI[[#This Row],[Winter Blanket]])</f>
        <v>0</v>
      </c>
      <c r="AM1248" s="294">
        <f>IF(Table_NFI[[#This Row],[Winter Clothes Adult]]+Table_NFI[[#This Row],[Winter Clothes Children]]+Table_NFI[[#This Row],[Winter Items Other]]+Table_NFI[[#This Row],[Winter Blanket]]&gt;0,1,0)</f>
        <v>0</v>
      </c>
      <c r="AN1248" s="331">
        <f>IF(NFI_Expiration=1,IF($A1248&lt;VLOOKUP(V$5,NFI,5,0),1,0)*Table_NFI[[#This Row],[Jerry Can]],Table_NFI[Jerry Can])</f>
        <v>0</v>
      </c>
      <c r="AO1248" s="331">
        <f>IF(NFI_Expiration=1,IF($A1248&lt;VLOOKUP(V$5,NFI,5,0),1,0)*Table_NFI[[#This Row],[Shelter Tool kit]],Table_NFI[Shelter Tool kit])</f>
        <v>0</v>
      </c>
      <c r="AP1248" s="331">
        <f>IF(NFI_Expiration=1,IF($A1248&lt;VLOOKUP(V$5,NFI,5,0),1,0)*Table_NFI[[#This Row],[Tent]],Table_NFI[Tent])</f>
        <v>0</v>
      </c>
      <c r="AQ1248" s="473" t="str">
        <f>IFERROR(VLOOKUP(Table_NFI[[#This Row],[Camp Name]],CL,2,0),"")</f>
        <v/>
      </c>
      <c r="AR1248" s="468" t="str">
        <f ca="1">IF(Table_NFI[[#This Row],[Pcode]]="","",IF(OFFSET(CampList[Opening Date],MATCH(Table_NFI[[#This Row],[Pcode]],CampList[CP_Pcode],0)-1,0,1,1)&gt;=NFI_Monitor_Date,1,0))</f>
        <v/>
      </c>
      <c r="AS1248" s="473" t="str">
        <f>IFERROR(VLOOKUP(Table_NFI[[#This Row],[Camp Name]],CL,3,0),"")</f>
        <v/>
      </c>
      <c r="AT1248" s="294" t="str">
        <f ca="1">IF(Table_NFI[[#This Row],[Pcode]]="","",OFFSET(CampList[Priority],MATCH(Table_NFI[[#This Row],[Pcode]],CampList[CP_Pcode],0)-1,0,1,1))</f>
        <v/>
      </c>
      <c r="AU1248" s="293" t="str">
        <f>IFERROR(Table_NFI[[#This Row],[Kitchen Set]]/VLOOKUP(Table_NFI[[#This Row],[Camp Name]],CL,4,0),"")</f>
        <v/>
      </c>
      <c r="AV1248" s="471"/>
      <c r="AW1248" s="474"/>
    </row>
    <row r="1249" spans="1:49" ht="14.45" customHeight="1" x14ac:dyDescent="0.25">
      <c r="A1249" s="297" t="str">
        <f t="shared" si="19"/>
        <v/>
      </c>
      <c r="B1249" s="465"/>
      <c r="C1249" s="471"/>
      <c r="D1249" s="471"/>
      <c r="E1249" s="471"/>
      <c r="F1249" s="471"/>
      <c r="G1249" s="471"/>
      <c r="H1249" s="292"/>
      <c r="I1249" s="292"/>
      <c r="J1249" s="292"/>
      <c r="K1249" s="292"/>
      <c r="L1249" s="292"/>
      <c r="M1249" s="292"/>
      <c r="N1249" s="292"/>
      <c r="O1249" s="292"/>
      <c r="P1249" s="294"/>
      <c r="Q1249" s="294"/>
      <c r="R1249" s="294"/>
      <c r="S1249" s="294"/>
      <c r="T1249" s="294"/>
      <c r="U1249" s="294"/>
      <c r="V1249" s="431"/>
      <c r="W1249" s="331"/>
      <c r="X1249" s="331"/>
      <c r="Y1249" s="294">
        <f>IF(NFI_Expiration=1,IF($A1249&lt;VLOOKUP(H$5,NFI,5,0),1,0)*Table_NFI[[#This Row],[Hygiene Kit]],Table_NFI[Hygiene Kit])</f>
        <v>0</v>
      </c>
      <c r="Z1249" s="294">
        <f>IF(NFI_Expiration=1,IF($A1249&lt;VLOOKUP(I$5,NFI,5,0),1,0)*Table_NFI[[#This Row],[NFI Core Kit]],Table_NFI[NFI Core Kit])</f>
        <v>0</v>
      </c>
      <c r="AA1249" s="294">
        <f>IF(NFI_Expiration=1,IF($A1249&lt;VLOOKUP(J$5,NFI,5,0),1,0)*Table_NFI[[#This Row],[Sanitary Kit]],Table_NFI[Sanitary Kit])</f>
        <v>0</v>
      </c>
      <c r="AB1249" s="294">
        <f>IF(NFI_Expiration=1,IF($A1249&lt;VLOOKUP(K$5,NFI,5,0),1,0)*Table_NFI[[#This Row],[Mosquito net]],Table_NFI[Mosquito net])</f>
        <v>0</v>
      </c>
      <c r="AC1249" s="294">
        <f>IF(NFI_Expiration=1,IF($A1249&lt;VLOOKUP(L$5,NFI,5,0),1,0)*Table_NFI[[#This Row],[Tarpaulin]],Table_NFI[[#This Row],[Tarpaulin]])</f>
        <v>0</v>
      </c>
      <c r="AD1249" s="294">
        <f>IF(NFI_Expiration=1,IF($A1249&lt;VLOOKUP(M$5,NFI,5,0),1,0)*Table_NFI[[#This Row],[Blanket]],Table_NFI[[#This Row],[Blanket]])</f>
        <v>0</v>
      </c>
      <c r="AE1249" s="294">
        <f>IF(NFI_Expiration=1,IF($A1249&lt;VLOOKUP(N$5,NFI,5,0),1,0)*Table_NFI[[#This Row],[Kitchen Set]],Table_NFI[Kitchen Set])</f>
        <v>0</v>
      </c>
      <c r="AF1249" s="294">
        <f>IF(NFI_Expiration=1,IF($A1249&lt;VLOOKUP(O$5,NFI,5,0),1,0)*Table_NFI[[#This Row],[Clothes Kit]],Table_NFI[Clothes Kit])</f>
        <v>0</v>
      </c>
      <c r="AG1249" s="294">
        <f>IF(NFI_Expiration=1,IF($A1249&lt;VLOOKUP(P$5,NFI,5,0),1,0)*Table_NFI[[#This Row],[Plastic Bucket]],Table_NFI[Plastic Bucket])</f>
        <v>0</v>
      </c>
      <c r="AH1249" s="294">
        <f>IF(NFI_Expiration=1,IF($A1249&lt;VLOOKUP(Q$5,NFI,5,0),1,0)*Table_NFI[[#This Row],[Plastic Mat]],Table_NFI[Plastic Mat])*IF(Table_NFI[[#This Row],[Distribution Date]]&gt;"2014-04-01",1,2.5)</f>
        <v>0</v>
      </c>
      <c r="AI1249" s="294">
        <f>IF(NFI_Expiration=1,IF($A1249&lt;VLOOKUP(R$5,NFI,5,0),1,0)*Table_NFI[[#This Row],[Winter Clothes Adult]],Table_NFI[Winter Clothes Adult])</f>
        <v>0</v>
      </c>
      <c r="AJ1249" s="294">
        <f>IF(NFI_Expiration=1,IF($A1249&lt;VLOOKUP(S$5,NFI,5,0),1,0)*Table_NFI[[#This Row],[Winter Clothes Children]],Table_NFI[Winter Clothes Children])</f>
        <v>0</v>
      </c>
      <c r="AK1249" s="294">
        <f>IF(NFI_Expiration=1,IF($A1249&lt;VLOOKUP(T$5,NFI,5,0),1,0)*Table_NFI[[#This Row],[Winter Items Other]],Table_NFI[Winter Items Other])</f>
        <v>0</v>
      </c>
      <c r="AL1249" s="294">
        <f>IF(NFI_Expiration=1,IF($A1249&lt;VLOOKUP(M$5,NFI,5,0),1,0)*Table_NFI[[#This Row],[Winter Blanket]],Table_NFI[[#This Row],[Winter Blanket]])</f>
        <v>0</v>
      </c>
      <c r="AM1249" s="294">
        <f>IF(Table_NFI[[#This Row],[Winter Clothes Adult]]+Table_NFI[[#This Row],[Winter Clothes Children]]+Table_NFI[[#This Row],[Winter Items Other]]+Table_NFI[[#This Row],[Winter Blanket]]&gt;0,1,0)</f>
        <v>0</v>
      </c>
      <c r="AN1249" s="331">
        <f>IF(NFI_Expiration=1,IF($A1249&lt;VLOOKUP(V$5,NFI,5,0),1,0)*Table_NFI[[#This Row],[Jerry Can]],Table_NFI[Jerry Can])</f>
        <v>0</v>
      </c>
      <c r="AO1249" s="331">
        <f>IF(NFI_Expiration=1,IF($A1249&lt;VLOOKUP(V$5,NFI,5,0),1,0)*Table_NFI[[#This Row],[Shelter Tool kit]],Table_NFI[Shelter Tool kit])</f>
        <v>0</v>
      </c>
      <c r="AP1249" s="331">
        <f>IF(NFI_Expiration=1,IF($A1249&lt;VLOOKUP(V$5,NFI,5,0),1,0)*Table_NFI[[#This Row],[Tent]],Table_NFI[Tent])</f>
        <v>0</v>
      </c>
      <c r="AQ1249" s="473" t="str">
        <f>IFERROR(VLOOKUP(Table_NFI[[#This Row],[Camp Name]],CL,2,0),"")</f>
        <v/>
      </c>
      <c r="AR1249" s="468" t="str">
        <f ca="1">IF(Table_NFI[[#This Row],[Pcode]]="","",IF(OFFSET(CampList[Opening Date],MATCH(Table_NFI[[#This Row],[Pcode]],CampList[CP_Pcode],0)-1,0,1,1)&gt;=NFI_Monitor_Date,1,0))</f>
        <v/>
      </c>
      <c r="AS1249" s="473" t="str">
        <f>IFERROR(VLOOKUP(Table_NFI[[#This Row],[Camp Name]],CL,3,0),"")</f>
        <v/>
      </c>
      <c r="AT1249" s="294" t="str">
        <f ca="1">IF(Table_NFI[[#This Row],[Pcode]]="","",OFFSET(CampList[Priority],MATCH(Table_NFI[[#This Row],[Pcode]],CampList[CP_Pcode],0)-1,0,1,1))</f>
        <v/>
      </c>
      <c r="AU1249" s="293" t="str">
        <f>IFERROR(Table_NFI[[#This Row],[Kitchen Set]]/VLOOKUP(Table_NFI[[#This Row],[Camp Name]],CL,4,0),"")</f>
        <v/>
      </c>
      <c r="AV1249" s="471"/>
      <c r="AW1249" s="474"/>
    </row>
    <row r="1250" spans="1:49" ht="14.45" customHeight="1" x14ac:dyDescent="0.25">
      <c r="A1250" s="297" t="str">
        <f t="shared" si="19"/>
        <v/>
      </c>
      <c r="B1250" s="465"/>
      <c r="C1250" s="471"/>
      <c r="D1250" s="471"/>
      <c r="E1250" s="471"/>
      <c r="F1250" s="471"/>
      <c r="G1250" s="471"/>
      <c r="H1250" s="292"/>
      <c r="I1250" s="292"/>
      <c r="J1250" s="292"/>
      <c r="K1250" s="292"/>
      <c r="L1250" s="292"/>
      <c r="M1250" s="292"/>
      <c r="N1250" s="292"/>
      <c r="O1250" s="292"/>
      <c r="P1250" s="294"/>
      <c r="Q1250" s="294"/>
      <c r="R1250" s="294"/>
      <c r="S1250" s="294"/>
      <c r="T1250" s="294"/>
      <c r="U1250" s="294"/>
      <c r="V1250" s="431"/>
      <c r="W1250" s="331"/>
      <c r="X1250" s="331"/>
      <c r="Y1250" s="294">
        <f>IF(NFI_Expiration=1,IF($A1250&lt;VLOOKUP(H$5,NFI,5,0),1,0)*Table_NFI[[#This Row],[Hygiene Kit]],Table_NFI[Hygiene Kit])</f>
        <v>0</v>
      </c>
      <c r="Z1250" s="294">
        <f>IF(NFI_Expiration=1,IF($A1250&lt;VLOOKUP(I$5,NFI,5,0),1,0)*Table_NFI[[#This Row],[NFI Core Kit]],Table_NFI[NFI Core Kit])</f>
        <v>0</v>
      </c>
      <c r="AA1250" s="294">
        <f>IF(NFI_Expiration=1,IF($A1250&lt;VLOOKUP(J$5,NFI,5,0),1,0)*Table_NFI[[#This Row],[Sanitary Kit]],Table_NFI[Sanitary Kit])</f>
        <v>0</v>
      </c>
      <c r="AB1250" s="294">
        <f>IF(NFI_Expiration=1,IF($A1250&lt;VLOOKUP(K$5,NFI,5,0),1,0)*Table_NFI[[#This Row],[Mosquito net]],Table_NFI[Mosquito net])</f>
        <v>0</v>
      </c>
      <c r="AC1250" s="294">
        <f>IF(NFI_Expiration=1,IF($A1250&lt;VLOOKUP(L$5,NFI,5,0),1,0)*Table_NFI[[#This Row],[Tarpaulin]],Table_NFI[[#This Row],[Tarpaulin]])</f>
        <v>0</v>
      </c>
      <c r="AD1250" s="294">
        <f>IF(NFI_Expiration=1,IF($A1250&lt;VLOOKUP(M$5,NFI,5,0),1,0)*Table_NFI[[#This Row],[Blanket]],Table_NFI[[#This Row],[Blanket]])</f>
        <v>0</v>
      </c>
      <c r="AE1250" s="294">
        <f>IF(NFI_Expiration=1,IF($A1250&lt;VLOOKUP(N$5,NFI,5,0),1,0)*Table_NFI[[#This Row],[Kitchen Set]],Table_NFI[Kitchen Set])</f>
        <v>0</v>
      </c>
      <c r="AF1250" s="294">
        <f>IF(NFI_Expiration=1,IF($A1250&lt;VLOOKUP(O$5,NFI,5,0),1,0)*Table_NFI[[#This Row],[Clothes Kit]],Table_NFI[Clothes Kit])</f>
        <v>0</v>
      </c>
      <c r="AG1250" s="294">
        <f>IF(NFI_Expiration=1,IF($A1250&lt;VLOOKUP(P$5,NFI,5,0),1,0)*Table_NFI[[#This Row],[Plastic Bucket]],Table_NFI[Plastic Bucket])</f>
        <v>0</v>
      </c>
      <c r="AH1250" s="294">
        <f>IF(NFI_Expiration=1,IF($A1250&lt;VLOOKUP(Q$5,NFI,5,0),1,0)*Table_NFI[[#This Row],[Plastic Mat]],Table_NFI[Plastic Mat])*IF(Table_NFI[[#This Row],[Distribution Date]]&gt;"2014-04-01",1,2.5)</f>
        <v>0</v>
      </c>
      <c r="AI1250" s="294">
        <f>IF(NFI_Expiration=1,IF($A1250&lt;VLOOKUP(R$5,NFI,5,0),1,0)*Table_NFI[[#This Row],[Winter Clothes Adult]],Table_NFI[Winter Clothes Adult])</f>
        <v>0</v>
      </c>
      <c r="AJ1250" s="294">
        <f>IF(NFI_Expiration=1,IF($A1250&lt;VLOOKUP(S$5,NFI,5,0),1,0)*Table_NFI[[#This Row],[Winter Clothes Children]],Table_NFI[Winter Clothes Children])</f>
        <v>0</v>
      </c>
      <c r="AK1250" s="294">
        <f>IF(NFI_Expiration=1,IF($A1250&lt;VLOOKUP(T$5,NFI,5,0),1,0)*Table_NFI[[#This Row],[Winter Items Other]],Table_NFI[Winter Items Other])</f>
        <v>0</v>
      </c>
      <c r="AL1250" s="294">
        <f>IF(NFI_Expiration=1,IF($A1250&lt;VLOOKUP(M$5,NFI,5,0),1,0)*Table_NFI[[#This Row],[Winter Blanket]],Table_NFI[[#This Row],[Winter Blanket]])</f>
        <v>0</v>
      </c>
      <c r="AM1250" s="294">
        <f>IF(Table_NFI[[#This Row],[Winter Clothes Adult]]+Table_NFI[[#This Row],[Winter Clothes Children]]+Table_NFI[[#This Row],[Winter Items Other]]+Table_NFI[[#This Row],[Winter Blanket]]&gt;0,1,0)</f>
        <v>0</v>
      </c>
      <c r="AN1250" s="331">
        <f>IF(NFI_Expiration=1,IF($A1250&lt;VLOOKUP(V$5,NFI,5,0),1,0)*Table_NFI[[#This Row],[Jerry Can]],Table_NFI[Jerry Can])</f>
        <v>0</v>
      </c>
      <c r="AO1250" s="331">
        <f>IF(NFI_Expiration=1,IF($A1250&lt;VLOOKUP(V$5,NFI,5,0),1,0)*Table_NFI[[#This Row],[Shelter Tool kit]],Table_NFI[Shelter Tool kit])</f>
        <v>0</v>
      </c>
      <c r="AP1250" s="331">
        <f>IF(NFI_Expiration=1,IF($A1250&lt;VLOOKUP(V$5,NFI,5,0),1,0)*Table_NFI[[#This Row],[Tent]],Table_NFI[Tent])</f>
        <v>0</v>
      </c>
      <c r="AQ1250" s="473" t="str">
        <f>IFERROR(VLOOKUP(Table_NFI[[#This Row],[Camp Name]],CL,2,0),"")</f>
        <v/>
      </c>
      <c r="AR1250" s="468" t="str">
        <f ca="1">IF(Table_NFI[[#This Row],[Pcode]]="","",IF(OFFSET(CampList[Opening Date],MATCH(Table_NFI[[#This Row],[Pcode]],CampList[CP_Pcode],0)-1,0,1,1)&gt;=NFI_Monitor_Date,1,0))</f>
        <v/>
      </c>
      <c r="AS1250" s="473" t="str">
        <f>IFERROR(VLOOKUP(Table_NFI[[#This Row],[Camp Name]],CL,3,0),"")</f>
        <v/>
      </c>
      <c r="AT1250" s="294" t="str">
        <f ca="1">IF(Table_NFI[[#This Row],[Pcode]]="","",OFFSET(CampList[Priority],MATCH(Table_NFI[[#This Row],[Pcode]],CampList[CP_Pcode],0)-1,0,1,1))</f>
        <v/>
      </c>
      <c r="AU1250" s="293" t="str">
        <f>IFERROR(Table_NFI[[#This Row],[Kitchen Set]]/VLOOKUP(Table_NFI[[#This Row],[Camp Name]],CL,4,0),"")</f>
        <v/>
      </c>
      <c r="AV1250" s="471"/>
      <c r="AW1250" s="474"/>
    </row>
    <row r="1251" spans="1:49" ht="14.45" customHeight="1" x14ac:dyDescent="0.25">
      <c r="A1251" s="297" t="str">
        <f t="shared" si="19"/>
        <v/>
      </c>
      <c r="B1251" s="465"/>
      <c r="C1251" s="471"/>
      <c r="D1251" s="471"/>
      <c r="E1251" s="471"/>
      <c r="F1251" s="471"/>
      <c r="G1251" s="471"/>
      <c r="H1251" s="292"/>
      <c r="I1251" s="292"/>
      <c r="J1251" s="292"/>
      <c r="K1251" s="292"/>
      <c r="L1251" s="292"/>
      <c r="M1251" s="292"/>
      <c r="N1251" s="292"/>
      <c r="O1251" s="292"/>
      <c r="P1251" s="294"/>
      <c r="Q1251" s="294"/>
      <c r="R1251" s="294"/>
      <c r="S1251" s="294"/>
      <c r="T1251" s="294"/>
      <c r="U1251" s="294"/>
      <c r="V1251" s="431"/>
      <c r="W1251" s="331"/>
      <c r="X1251" s="331"/>
      <c r="Y1251" s="294">
        <f>IF(NFI_Expiration=1,IF($A1251&lt;VLOOKUP(H$5,NFI,5,0),1,0)*Table_NFI[[#This Row],[Hygiene Kit]],Table_NFI[Hygiene Kit])</f>
        <v>0</v>
      </c>
      <c r="Z1251" s="294">
        <f>IF(NFI_Expiration=1,IF($A1251&lt;VLOOKUP(I$5,NFI,5,0),1,0)*Table_NFI[[#This Row],[NFI Core Kit]],Table_NFI[NFI Core Kit])</f>
        <v>0</v>
      </c>
      <c r="AA1251" s="294">
        <f>IF(NFI_Expiration=1,IF($A1251&lt;VLOOKUP(J$5,NFI,5,0),1,0)*Table_NFI[[#This Row],[Sanitary Kit]],Table_NFI[Sanitary Kit])</f>
        <v>0</v>
      </c>
      <c r="AB1251" s="294">
        <f>IF(NFI_Expiration=1,IF($A1251&lt;VLOOKUP(K$5,NFI,5,0),1,0)*Table_NFI[[#This Row],[Mosquito net]],Table_NFI[Mosquito net])</f>
        <v>0</v>
      </c>
      <c r="AC1251" s="294">
        <f>IF(NFI_Expiration=1,IF($A1251&lt;VLOOKUP(L$5,NFI,5,0),1,0)*Table_NFI[[#This Row],[Tarpaulin]],Table_NFI[[#This Row],[Tarpaulin]])</f>
        <v>0</v>
      </c>
      <c r="AD1251" s="294">
        <f>IF(NFI_Expiration=1,IF($A1251&lt;VLOOKUP(M$5,NFI,5,0),1,0)*Table_NFI[[#This Row],[Blanket]],Table_NFI[[#This Row],[Blanket]])</f>
        <v>0</v>
      </c>
      <c r="AE1251" s="294">
        <f>IF(NFI_Expiration=1,IF($A1251&lt;VLOOKUP(N$5,NFI,5,0),1,0)*Table_NFI[[#This Row],[Kitchen Set]],Table_NFI[Kitchen Set])</f>
        <v>0</v>
      </c>
      <c r="AF1251" s="294">
        <f>IF(NFI_Expiration=1,IF($A1251&lt;VLOOKUP(O$5,NFI,5,0),1,0)*Table_NFI[[#This Row],[Clothes Kit]],Table_NFI[Clothes Kit])</f>
        <v>0</v>
      </c>
      <c r="AG1251" s="294">
        <f>IF(NFI_Expiration=1,IF($A1251&lt;VLOOKUP(P$5,NFI,5,0),1,0)*Table_NFI[[#This Row],[Plastic Bucket]],Table_NFI[Plastic Bucket])</f>
        <v>0</v>
      </c>
      <c r="AH1251" s="294">
        <f>IF(NFI_Expiration=1,IF($A1251&lt;VLOOKUP(Q$5,NFI,5,0),1,0)*Table_NFI[[#This Row],[Plastic Mat]],Table_NFI[Plastic Mat])*IF(Table_NFI[[#This Row],[Distribution Date]]&gt;"2014-04-01",1,2.5)</f>
        <v>0</v>
      </c>
      <c r="AI1251" s="294">
        <f>IF(NFI_Expiration=1,IF($A1251&lt;VLOOKUP(R$5,NFI,5,0),1,0)*Table_NFI[[#This Row],[Winter Clothes Adult]],Table_NFI[Winter Clothes Adult])</f>
        <v>0</v>
      </c>
      <c r="AJ1251" s="294">
        <f>IF(NFI_Expiration=1,IF($A1251&lt;VLOOKUP(S$5,NFI,5,0),1,0)*Table_NFI[[#This Row],[Winter Clothes Children]],Table_NFI[Winter Clothes Children])</f>
        <v>0</v>
      </c>
      <c r="AK1251" s="294">
        <f>IF(NFI_Expiration=1,IF($A1251&lt;VLOOKUP(T$5,NFI,5,0),1,0)*Table_NFI[[#This Row],[Winter Items Other]],Table_NFI[Winter Items Other])</f>
        <v>0</v>
      </c>
      <c r="AL1251" s="294">
        <f>IF(NFI_Expiration=1,IF($A1251&lt;VLOOKUP(M$5,NFI,5,0),1,0)*Table_NFI[[#This Row],[Winter Blanket]],Table_NFI[[#This Row],[Winter Blanket]])</f>
        <v>0</v>
      </c>
      <c r="AM1251" s="294">
        <f>IF(Table_NFI[[#This Row],[Winter Clothes Adult]]+Table_NFI[[#This Row],[Winter Clothes Children]]+Table_NFI[[#This Row],[Winter Items Other]]+Table_NFI[[#This Row],[Winter Blanket]]&gt;0,1,0)</f>
        <v>0</v>
      </c>
      <c r="AN1251" s="331">
        <f>IF(NFI_Expiration=1,IF($A1251&lt;VLOOKUP(V$5,NFI,5,0),1,0)*Table_NFI[[#This Row],[Jerry Can]],Table_NFI[Jerry Can])</f>
        <v>0</v>
      </c>
      <c r="AO1251" s="331">
        <f>IF(NFI_Expiration=1,IF($A1251&lt;VLOOKUP(V$5,NFI,5,0),1,0)*Table_NFI[[#This Row],[Shelter Tool kit]],Table_NFI[Shelter Tool kit])</f>
        <v>0</v>
      </c>
      <c r="AP1251" s="331">
        <f>IF(NFI_Expiration=1,IF($A1251&lt;VLOOKUP(V$5,NFI,5,0),1,0)*Table_NFI[[#This Row],[Tent]],Table_NFI[Tent])</f>
        <v>0</v>
      </c>
      <c r="AQ1251" s="473" t="str">
        <f>IFERROR(VLOOKUP(Table_NFI[[#This Row],[Camp Name]],CL,2,0),"")</f>
        <v/>
      </c>
      <c r="AR1251" s="468" t="str">
        <f ca="1">IF(Table_NFI[[#This Row],[Pcode]]="","",IF(OFFSET(CampList[Opening Date],MATCH(Table_NFI[[#This Row],[Pcode]],CampList[CP_Pcode],0)-1,0,1,1)&gt;=NFI_Monitor_Date,1,0))</f>
        <v/>
      </c>
      <c r="AS1251" s="473" t="str">
        <f>IFERROR(VLOOKUP(Table_NFI[[#This Row],[Camp Name]],CL,3,0),"")</f>
        <v/>
      </c>
      <c r="AT1251" s="294" t="str">
        <f ca="1">IF(Table_NFI[[#This Row],[Pcode]]="","",OFFSET(CampList[Priority],MATCH(Table_NFI[[#This Row],[Pcode]],CampList[CP_Pcode],0)-1,0,1,1))</f>
        <v/>
      </c>
      <c r="AU1251" s="293" t="str">
        <f>IFERROR(Table_NFI[[#This Row],[Kitchen Set]]/VLOOKUP(Table_NFI[[#This Row],[Camp Name]],CL,4,0),"")</f>
        <v/>
      </c>
      <c r="AV1251" s="471"/>
      <c r="AW1251" s="474"/>
    </row>
    <row r="1252" spans="1:49" ht="14.45" customHeight="1" x14ac:dyDescent="0.25">
      <c r="A1252" s="297" t="str">
        <f t="shared" si="19"/>
        <v/>
      </c>
      <c r="B1252" s="465"/>
      <c r="C1252" s="471"/>
      <c r="D1252" s="471"/>
      <c r="E1252" s="471"/>
      <c r="F1252" s="471"/>
      <c r="G1252" s="471"/>
      <c r="H1252" s="292"/>
      <c r="I1252" s="292"/>
      <c r="J1252" s="292"/>
      <c r="K1252" s="292"/>
      <c r="L1252" s="292"/>
      <c r="M1252" s="292"/>
      <c r="N1252" s="292"/>
      <c r="O1252" s="292"/>
      <c r="P1252" s="294"/>
      <c r="Q1252" s="294"/>
      <c r="R1252" s="294"/>
      <c r="S1252" s="294"/>
      <c r="T1252" s="294"/>
      <c r="U1252" s="294"/>
      <c r="V1252" s="431"/>
      <c r="W1252" s="331"/>
      <c r="X1252" s="331"/>
      <c r="Y1252" s="294">
        <f>IF(NFI_Expiration=1,IF($A1252&lt;VLOOKUP(H$5,NFI,5,0),1,0)*Table_NFI[[#This Row],[Hygiene Kit]],Table_NFI[Hygiene Kit])</f>
        <v>0</v>
      </c>
      <c r="Z1252" s="294">
        <f>IF(NFI_Expiration=1,IF($A1252&lt;VLOOKUP(I$5,NFI,5,0),1,0)*Table_NFI[[#This Row],[NFI Core Kit]],Table_NFI[NFI Core Kit])</f>
        <v>0</v>
      </c>
      <c r="AA1252" s="294">
        <f>IF(NFI_Expiration=1,IF($A1252&lt;VLOOKUP(J$5,NFI,5,0),1,0)*Table_NFI[[#This Row],[Sanitary Kit]],Table_NFI[Sanitary Kit])</f>
        <v>0</v>
      </c>
      <c r="AB1252" s="294">
        <f>IF(NFI_Expiration=1,IF($A1252&lt;VLOOKUP(K$5,NFI,5,0),1,0)*Table_NFI[[#This Row],[Mosquito net]],Table_NFI[Mosquito net])</f>
        <v>0</v>
      </c>
      <c r="AC1252" s="294">
        <f>IF(NFI_Expiration=1,IF($A1252&lt;VLOOKUP(L$5,NFI,5,0),1,0)*Table_NFI[[#This Row],[Tarpaulin]],Table_NFI[[#This Row],[Tarpaulin]])</f>
        <v>0</v>
      </c>
      <c r="AD1252" s="294">
        <f>IF(NFI_Expiration=1,IF($A1252&lt;VLOOKUP(M$5,NFI,5,0),1,0)*Table_NFI[[#This Row],[Blanket]],Table_NFI[[#This Row],[Blanket]])</f>
        <v>0</v>
      </c>
      <c r="AE1252" s="294">
        <f>IF(NFI_Expiration=1,IF($A1252&lt;VLOOKUP(N$5,NFI,5,0),1,0)*Table_NFI[[#This Row],[Kitchen Set]],Table_NFI[Kitchen Set])</f>
        <v>0</v>
      </c>
      <c r="AF1252" s="294">
        <f>IF(NFI_Expiration=1,IF($A1252&lt;VLOOKUP(O$5,NFI,5,0),1,0)*Table_NFI[[#This Row],[Clothes Kit]],Table_NFI[Clothes Kit])</f>
        <v>0</v>
      </c>
      <c r="AG1252" s="294">
        <f>IF(NFI_Expiration=1,IF($A1252&lt;VLOOKUP(P$5,NFI,5,0),1,0)*Table_NFI[[#This Row],[Plastic Bucket]],Table_NFI[Plastic Bucket])</f>
        <v>0</v>
      </c>
      <c r="AH1252" s="294">
        <f>IF(NFI_Expiration=1,IF($A1252&lt;VLOOKUP(Q$5,NFI,5,0),1,0)*Table_NFI[[#This Row],[Plastic Mat]],Table_NFI[Plastic Mat])*IF(Table_NFI[[#This Row],[Distribution Date]]&gt;"2014-04-01",1,2.5)</f>
        <v>0</v>
      </c>
      <c r="AI1252" s="294">
        <f>IF(NFI_Expiration=1,IF($A1252&lt;VLOOKUP(R$5,NFI,5,0),1,0)*Table_NFI[[#This Row],[Winter Clothes Adult]],Table_NFI[Winter Clothes Adult])</f>
        <v>0</v>
      </c>
      <c r="AJ1252" s="294">
        <f>IF(NFI_Expiration=1,IF($A1252&lt;VLOOKUP(S$5,NFI,5,0),1,0)*Table_NFI[[#This Row],[Winter Clothes Children]],Table_NFI[Winter Clothes Children])</f>
        <v>0</v>
      </c>
      <c r="AK1252" s="294">
        <f>IF(NFI_Expiration=1,IF($A1252&lt;VLOOKUP(T$5,NFI,5,0),1,0)*Table_NFI[[#This Row],[Winter Items Other]],Table_NFI[Winter Items Other])</f>
        <v>0</v>
      </c>
      <c r="AL1252" s="294">
        <f>IF(NFI_Expiration=1,IF($A1252&lt;VLOOKUP(M$5,NFI,5,0),1,0)*Table_NFI[[#This Row],[Winter Blanket]],Table_NFI[[#This Row],[Winter Blanket]])</f>
        <v>0</v>
      </c>
      <c r="AM1252" s="294">
        <f>IF(Table_NFI[[#This Row],[Winter Clothes Adult]]+Table_NFI[[#This Row],[Winter Clothes Children]]+Table_NFI[[#This Row],[Winter Items Other]]+Table_NFI[[#This Row],[Winter Blanket]]&gt;0,1,0)</f>
        <v>0</v>
      </c>
      <c r="AN1252" s="331">
        <f>IF(NFI_Expiration=1,IF($A1252&lt;VLOOKUP(V$5,NFI,5,0),1,0)*Table_NFI[[#This Row],[Jerry Can]],Table_NFI[Jerry Can])</f>
        <v>0</v>
      </c>
      <c r="AO1252" s="331">
        <f>IF(NFI_Expiration=1,IF($A1252&lt;VLOOKUP(V$5,NFI,5,0),1,0)*Table_NFI[[#This Row],[Shelter Tool kit]],Table_NFI[Shelter Tool kit])</f>
        <v>0</v>
      </c>
      <c r="AP1252" s="331">
        <f>IF(NFI_Expiration=1,IF($A1252&lt;VLOOKUP(V$5,NFI,5,0),1,0)*Table_NFI[[#This Row],[Tent]],Table_NFI[Tent])</f>
        <v>0</v>
      </c>
      <c r="AQ1252" s="473" t="str">
        <f>IFERROR(VLOOKUP(Table_NFI[[#This Row],[Camp Name]],CL,2,0),"")</f>
        <v/>
      </c>
      <c r="AR1252" s="468" t="str">
        <f ca="1">IF(Table_NFI[[#This Row],[Pcode]]="","",IF(OFFSET(CampList[Opening Date],MATCH(Table_NFI[[#This Row],[Pcode]],CampList[CP_Pcode],0)-1,0,1,1)&gt;=NFI_Monitor_Date,1,0))</f>
        <v/>
      </c>
      <c r="AS1252" s="473" t="str">
        <f>IFERROR(VLOOKUP(Table_NFI[[#This Row],[Camp Name]],CL,3,0),"")</f>
        <v/>
      </c>
      <c r="AT1252" s="294" t="str">
        <f ca="1">IF(Table_NFI[[#This Row],[Pcode]]="","",OFFSET(CampList[Priority],MATCH(Table_NFI[[#This Row],[Pcode]],CampList[CP_Pcode],0)-1,0,1,1))</f>
        <v/>
      </c>
      <c r="AU1252" s="293" t="str">
        <f>IFERROR(Table_NFI[[#This Row],[Kitchen Set]]/VLOOKUP(Table_NFI[[#This Row],[Camp Name]],CL,4,0),"")</f>
        <v/>
      </c>
      <c r="AV1252" s="471"/>
      <c r="AW1252" s="474"/>
    </row>
    <row r="1253" spans="1:49" ht="14.45" customHeight="1" x14ac:dyDescent="0.25">
      <c r="A1253" s="297" t="str">
        <f t="shared" si="19"/>
        <v/>
      </c>
      <c r="B1253" s="465"/>
      <c r="C1253" s="471"/>
      <c r="D1253" s="471"/>
      <c r="E1253" s="471"/>
      <c r="F1253" s="471"/>
      <c r="G1253" s="471"/>
      <c r="H1253" s="292"/>
      <c r="I1253" s="292"/>
      <c r="J1253" s="292"/>
      <c r="K1253" s="292"/>
      <c r="L1253" s="292"/>
      <c r="M1253" s="292"/>
      <c r="N1253" s="292"/>
      <c r="O1253" s="292"/>
      <c r="P1253" s="294"/>
      <c r="Q1253" s="294"/>
      <c r="R1253" s="294"/>
      <c r="S1253" s="294"/>
      <c r="T1253" s="294"/>
      <c r="U1253" s="294"/>
      <c r="V1253" s="431"/>
      <c r="W1253" s="331"/>
      <c r="X1253" s="331"/>
      <c r="Y1253" s="294">
        <f>IF(NFI_Expiration=1,IF($A1253&lt;VLOOKUP(H$5,NFI,5,0),1,0)*Table_NFI[[#This Row],[Hygiene Kit]],Table_NFI[Hygiene Kit])</f>
        <v>0</v>
      </c>
      <c r="Z1253" s="294">
        <f>IF(NFI_Expiration=1,IF($A1253&lt;VLOOKUP(I$5,NFI,5,0),1,0)*Table_NFI[[#This Row],[NFI Core Kit]],Table_NFI[NFI Core Kit])</f>
        <v>0</v>
      </c>
      <c r="AA1253" s="294">
        <f>IF(NFI_Expiration=1,IF($A1253&lt;VLOOKUP(J$5,NFI,5,0),1,0)*Table_NFI[[#This Row],[Sanitary Kit]],Table_NFI[Sanitary Kit])</f>
        <v>0</v>
      </c>
      <c r="AB1253" s="294">
        <f>IF(NFI_Expiration=1,IF($A1253&lt;VLOOKUP(K$5,NFI,5,0),1,0)*Table_NFI[[#This Row],[Mosquito net]],Table_NFI[Mosquito net])</f>
        <v>0</v>
      </c>
      <c r="AC1253" s="294">
        <f>IF(NFI_Expiration=1,IF($A1253&lt;VLOOKUP(L$5,NFI,5,0),1,0)*Table_NFI[[#This Row],[Tarpaulin]],Table_NFI[[#This Row],[Tarpaulin]])</f>
        <v>0</v>
      </c>
      <c r="AD1253" s="294">
        <f>IF(NFI_Expiration=1,IF($A1253&lt;VLOOKUP(M$5,NFI,5,0),1,0)*Table_NFI[[#This Row],[Blanket]],Table_NFI[[#This Row],[Blanket]])</f>
        <v>0</v>
      </c>
      <c r="AE1253" s="294">
        <f>IF(NFI_Expiration=1,IF($A1253&lt;VLOOKUP(N$5,NFI,5,0),1,0)*Table_NFI[[#This Row],[Kitchen Set]],Table_NFI[Kitchen Set])</f>
        <v>0</v>
      </c>
      <c r="AF1253" s="294">
        <f>IF(NFI_Expiration=1,IF($A1253&lt;VLOOKUP(O$5,NFI,5,0),1,0)*Table_NFI[[#This Row],[Clothes Kit]],Table_NFI[Clothes Kit])</f>
        <v>0</v>
      </c>
      <c r="AG1253" s="294">
        <f>IF(NFI_Expiration=1,IF($A1253&lt;VLOOKUP(P$5,NFI,5,0),1,0)*Table_NFI[[#This Row],[Plastic Bucket]],Table_NFI[Plastic Bucket])</f>
        <v>0</v>
      </c>
      <c r="AH1253" s="294">
        <f>IF(NFI_Expiration=1,IF($A1253&lt;VLOOKUP(Q$5,NFI,5,0),1,0)*Table_NFI[[#This Row],[Plastic Mat]],Table_NFI[Plastic Mat])*IF(Table_NFI[[#This Row],[Distribution Date]]&gt;"2014-04-01",1,2.5)</f>
        <v>0</v>
      </c>
      <c r="AI1253" s="294">
        <f>IF(NFI_Expiration=1,IF($A1253&lt;VLOOKUP(R$5,NFI,5,0),1,0)*Table_NFI[[#This Row],[Winter Clothes Adult]],Table_NFI[Winter Clothes Adult])</f>
        <v>0</v>
      </c>
      <c r="AJ1253" s="294">
        <f>IF(NFI_Expiration=1,IF($A1253&lt;VLOOKUP(S$5,NFI,5,0),1,0)*Table_NFI[[#This Row],[Winter Clothes Children]],Table_NFI[Winter Clothes Children])</f>
        <v>0</v>
      </c>
      <c r="AK1253" s="294">
        <f>IF(NFI_Expiration=1,IF($A1253&lt;VLOOKUP(T$5,NFI,5,0),1,0)*Table_NFI[[#This Row],[Winter Items Other]],Table_NFI[Winter Items Other])</f>
        <v>0</v>
      </c>
      <c r="AL1253" s="294">
        <f>IF(NFI_Expiration=1,IF($A1253&lt;VLOOKUP(M$5,NFI,5,0),1,0)*Table_NFI[[#This Row],[Winter Blanket]],Table_NFI[[#This Row],[Winter Blanket]])</f>
        <v>0</v>
      </c>
      <c r="AM1253" s="294">
        <f>IF(Table_NFI[[#This Row],[Winter Clothes Adult]]+Table_NFI[[#This Row],[Winter Clothes Children]]+Table_NFI[[#This Row],[Winter Items Other]]+Table_NFI[[#This Row],[Winter Blanket]]&gt;0,1,0)</f>
        <v>0</v>
      </c>
      <c r="AN1253" s="331">
        <f>IF(NFI_Expiration=1,IF($A1253&lt;VLOOKUP(V$5,NFI,5,0),1,0)*Table_NFI[[#This Row],[Jerry Can]],Table_NFI[Jerry Can])</f>
        <v>0</v>
      </c>
      <c r="AO1253" s="331">
        <f>IF(NFI_Expiration=1,IF($A1253&lt;VLOOKUP(V$5,NFI,5,0),1,0)*Table_NFI[[#This Row],[Shelter Tool kit]],Table_NFI[Shelter Tool kit])</f>
        <v>0</v>
      </c>
      <c r="AP1253" s="331">
        <f>IF(NFI_Expiration=1,IF($A1253&lt;VLOOKUP(V$5,NFI,5,0),1,0)*Table_NFI[[#This Row],[Tent]],Table_NFI[Tent])</f>
        <v>0</v>
      </c>
      <c r="AQ1253" s="473" t="str">
        <f>IFERROR(VLOOKUP(Table_NFI[[#This Row],[Camp Name]],CL,2,0),"")</f>
        <v/>
      </c>
      <c r="AR1253" s="468" t="str">
        <f ca="1">IF(Table_NFI[[#This Row],[Pcode]]="","",IF(OFFSET(CampList[Opening Date],MATCH(Table_NFI[[#This Row],[Pcode]],CampList[CP_Pcode],0)-1,0,1,1)&gt;=NFI_Monitor_Date,1,0))</f>
        <v/>
      </c>
      <c r="AS1253" s="473" t="str">
        <f>IFERROR(VLOOKUP(Table_NFI[[#This Row],[Camp Name]],CL,3,0),"")</f>
        <v/>
      </c>
      <c r="AT1253" s="294" t="str">
        <f ca="1">IF(Table_NFI[[#This Row],[Pcode]]="","",OFFSET(CampList[Priority],MATCH(Table_NFI[[#This Row],[Pcode]],CampList[CP_Pcode],0)-1,0,1,1))</f>
        <v/>
      </c>
      <c r="AU1253" s="293" t="str">
        <f>IFERROR(Table_NFI[[#This Row],[Kitchen Set]]/VLOOKUP(Table_NFI[[#This Row],[Camp Name]],CL,4,0),"")</f>
        <v/>
      </c>
      <c r="AV1253" s="471"/>
      <c r="AW1253" s="474"/>
    </row>
    <row r="1254" spans="1:49" ht="14.45" customHeight="1" x14ac:dyDescent="0.25">
      <c r="A1254" s="297" t="str">
        <f t="shared" si="19"/>
        <v/>
      </c>
      <c r="B1254" s="465"/>
      <c r="C1254" s="471"/>
      <c r="D1254" s="471"/>
      <c r="E1254" s="471"/>
      <c r="F1254" s="471"/>
      <c r="G1254" s="471"/>
      <c r="H1254" s="292"/>
      <c r="I1254" s="292"/>
      <c r="J1254" s="292"/>
      <c r="K1254" s="292"/>
      <c r="L1254" s="292"/>
      <c r="M1254" s="292"/>
      <c r="N1254" s="292"/>
      <c r="O1254" s="292"/>
      <c r="P1254" s="294"/>
      <c r="Q1254" s="294"/>
      <c r="R1254" s="294"/>
      <c r="S1254" s="294"/>
      <c r="T1254" s="294"/>
      <c r="U1254" s="294"/>
      <c r="V1254" s="431"/>
      <c r="W1254" s="331"/>
      <c r="X1254" s="331"/>
      <c r="Y1254" s="294">
        <f>IF(NFI_Expiration=1,IF($A1254&lt;VLOOKUP(H$5,NFI,5,0),1,0)*Table_NFI[[#This Row],[Hygiene Kit]],Table_NFI[Hygiene Kit])</f>
        <v>0</v>
      </c>
      <c r="Z1254" s="294">
        <f>IF(NFI_Expiration=1,IF($A1254&lt;VLOOKUP(I$5,NFI,5,0),1,0)*Table_NFI[[#This Row],[NFI Core Kit]],Table_NFI[NFI Core Kit])</f>
        <v>0</v>
      </c>
      <c r="AA1254" s="294">
        <f>IF(NFI_Expiration=1,IF($A1254&lt;VLOOKUP(J$5,NFI,5,0),1,0)*Table_NFI[[#This Row],[Sanitary Kit]],Table_NFI[Sanitary Kit])</f>
        <v>0</v>
      </c>
      <c r="AB1254" s="294">
        <f>IF(NFI_Expiration=1,IF($A1254&lt;VLOOKUP(K$5,NFI,5,0),1,0)*Table_NFI[[#This Row],[Mosquito net]],Table_NFI[Mosquito net])</f>
        <v>0</v>
      </c>
      <c r="AC1254" s="294">
        <f>IF(NFI_Expiration=1,IF($A1254&lt;VLOOKUP(L$5,NFI,5,0),1,0)*Table_NFI[[#This Row],[Tarpaulin]],Table_NFI[[#This Row],[Tarpaulin]])</f>
        <v>0</v>
      </c>
      <c r="AD1254" s="294">
        <f>IF(NFI_Expiration=1,IF($A1254&lt;VLOOKUP(M$5,NFI,5,0),1,0)*Table_NFI[[#This Row],[Blanket]],Table_NFI[[#This Row],[Blanket]])</f>
        <v>0</v>
      </c>
      <c r="AE1254" s="294">
        <f>IF(NFI_Expiration=1,IF($A1254&lt;VLOOKUP(N$5,NFI,5,0),1,0)*Table_NFI[[#This Row],[Kitchen Set]],Table_NFI[Kitchen Set])</f>
        <v>0</v>
      </c>
      <c r="AF1254" s="294">
        <f>IF(NFI_Expiration=1,IF($A1254&lt;VLOOKUP(O$5,NFI,5,0),1,0)*Table_NFI[[#This Row],[Clothes Kit]],Table_NFI[Clothes Kit])</f>
        <v>0</v>
      </c>
      <c r="AG1254" s="294">
        <f>IF(NFI_Expiration=1,IF($A1254&lt;VLOOKUP(P$5,NFI,5,0),1,0)*Table_NFI[[#This Row],[Plastic Bucket]],Table_NFI[Plastic Bucket])</f>
        <v>0</v>
      </c>
      <c r="AH1254" s="294">
        <f>IF(NFI_Expiration=1,IF($A1254&lt;VLOOKUP(Q$5,NFI,5,0),1,0)*Table_NFI[[#This Row],[Plastic Mat]],Table_NFI[Plastic Mat])*IF(Table_NFI[[#This Row],[Distribution Date]]&gt;"2014-04-01",1,2.5)</f>
        <v>0</v>
      </c>
      <c r="AI1254" s="294">
        <f>IF(NFI_Expiration=1,IF($A1254&lt;VLOOKUP(R$5,NFI,5,0),1,0)*Table_NFI[[#This Row],[Winter Clothes Adult]],Table_NFI[Winter Clothes Adult])</f>
        <v>0</v>
      </c>
      <c r="AJ1254" s="294">
        <f>IF(NFI_Expiration=1,IF($A1254&lt;VLOOKUP(S$5,NFI,5,0),1,0)*Table_NFI[[#This Row],[Winter Clothes Children]],Table_NFI[Winter Clothes Children])</f>
        <v>0</v>
      </c>
      <c r="AK1254" s="294">
        <f>IF(NFI_Expiration=1,IF($A1254&lt;VLOOKUP(T$5,NFI,5,0),1,0)*Table_NFI[[#This Row],[Winter Items Other]],Table_NFI[Winter Items Other])</f>
        <v>0</v>
      </c>
      <c r="AL1254" s="294">
        <f>IF(NFI_Expiration=1,IF($A1254&lt;VLOOKUP(M$5,NFI,5,0),1,0)*Table_NFI[[#This Row],[Winter Blanket]],Table_NFI[[#This Row],[Winter Blanket]])</f>
        <v>0</v>
      </c>
      <c r="AM1254" s="294">
        <f>IF(Table_NFI[[#This Row],[Winter Clothes Adult]]+Table_NFI[[#This Row],[Winter Clothes Children]]+Table_NFI[[#This Row],[Winter Items Other]]+Table_NFI[[#This Row],[Winter Blanket]]&gt;0,1,0)</f>
        <v>0</v>
      </c>
      <c r="AN1254" s="331">
        <f>IF(NFI_Expiration=1,IF($A1254&lt;VLOOKUP(V$5,NFI,5,0),1,0)*Table_NFI[[#This Row],[Jerry Can]],Table_NFI[Jerry Can])</f>
        <v>0</v>
      </c>
      <c r="AO1254" s="331">
        <f>IF(NFI_Expiration=1,IF($A1254&lt;VLOOKUP(V$5,NFI,5,0),1,0)*Table_NFI[[#This Row],[Shelter Tool kit]],Table_NFI[Shelter Tool kit])</f>
        <v>0</v>
      </c>
      <c r="AP1254" s="331">
        <f>IF(NFI_Expiration=1,IF($A1254&lt;VLOOKUP(V$5,NFI,5,0),1,0)*Table_NFI[[#This Row],[Tent]],Table_NFI[Tent])</f>
        <v>0</v>
      </c>
      <c r="AQ1254" s="473" t="str">
        <f>IFERROR(VLOOKUP(Table_NFI[[#This Row],[Camp Name]],CL,2,0),"")</f>
        <v/>
      </c>
      <c r="AR1254" s="468" t="str">
        <f ca="1">IF(Table_NFI[[#This Row],[Pcode]]="","",IF(OFFSET(CampList[Opening Date],MATCH(Table_NFI[[#This Row],[Pcode]],CampList[CP_Pcode],0)-1,0,1,1)&gt;=NFI_Monitor_Date,1,0))</f>
        <v/>
      </c>
      <c r="AS1254" s="473" t="str">
        <f>IFERROR(VLOOKUP(Table_NFI[[#This Row],[Camp Name]],CL,3,0),"")</f>
        <v/>
      </c>
      <c r="AT1254" s="294" t="str">
        <f ca="1">IF(Table_NFI[[#This Row],[Pcode]]="","",OFFSET(CampList[Priority],MATCH(Table_NFI[[#This Row],[Pcode]],CampList[CP_Pcode],0)-1,0,1,1))</f>
        <v/>
      </c>
      <c r="AU1254" s="293" t="str">
        <f>IFERROR(Table_NFI[[#This Row],[Kitchen Set]]/VLOOKUP(Table_NFI[[#This Row],[Camp Name]],CL,4,0),"")</f>
        <v/>
      </c>
      <c r="AV1254" s="471"/>
      <c r="AW1254" s="474"/>
    </row>
    <row r="1255" spans="1:49" ht="14.45" customHeight="1" x14ac:dyDescent="0.25">
      <c r="A1255" s="297" t="str">
        <f t="shared" si="19"/>
        <v/>
      </c>
      <c r="B1255" s="465"/>
      <c r="C1255" s="471"/>
      <c r="D1255" s="471"/>
      <c r="E1255" s="471"/>
      <c r="F1255" s="471"/>
      <c r="G1255" s="471"/>
      <c r="H1255" s="292"/>
      <c r="I1255" s="292"/>
      <c r="J1255" s="292"/>
      <c r="K1255" s="292"/>
      <c r="L1255" s="292"/>
      <c r="M1255" s="292"/>
      <c r="N1255" s="292"/>
      <c r="O1255" s="292"/>
      <c r="P1255" s="294"/>
      <c r="Q1255" s="294"/>
      <c r="R1255" s="294"/>
      <c r="S1255" s="294"/>
      <c r="T1255" s="294"/>
      <c r="U1255" s="294"/>
      <c r="V1255" s="431"/>
      <c r="W1255" s="331"/>
      <c r="X1255" s="331"/>
      <c r="Y1255" s="294">
        <f>IF(NFI_Expiration=1,IF($A1255&lt;VLOOKUP(H$5,NFI,5,0),1,0)*Table_NFI[[#This Row],[Hygiene Kit]],Table_NFI[Hygiene Kit])</f>
        <v>0</v>
      </c>
      <c r="Z1255" s="294">
        <f>IF(NFI_Expiration=1,IF($A1255&lt;VLOOKUP(I$5,NFI,5,0),1,0)*Table_NFI[[#This Row],[NFI Core Kit]],Table_NFI[NFI Core Kit])</f>
        <v>0</v>
      </c>
      <c r="AA1255" s="294">
        <f>IF(NFI_Expiration=1,IF($A1255&lt;VLOOKUP(J$5,NFI,5,0),1,0)*Table_NFI[[#This Row],[Sanitary Kit]],Table_NFI[Sanitary Kit])</f>
        <v>0</v>
      </c>
      <c r="AB1255" s="294">
        <f>IF(NFI_Expiration=1,IF($A1255&lt;VLOOKUP(K$5,NFI,5,0),1,0)*Table_NFI[[#This Row],[Mosquito net]],Table_NFI[Mosquito net])</f>
        <v>0</v>
      </c>
      <c r="AC1255" s="294">
        <f>IF(NFI_Expiration=1,IF($A1255&lt;VLOOKUP(L$5,NFI,5,0),1,0)*Table_NFI[[#This Row],[Tarpaulin]],Table_NFI[[#This Row],[Tarpaulin]])</f>
        <v>0</v>
      </c>
      <c r="AD1255" s="294">
        <f>IF(NFI_Expiration=1,IF($A1255&lt;VLOOKUP(M$5,NFI,5,0),1,0)*Table_NFI[[#This Row],[Blanket]],Table_NFI[[#This Row],[Blanket]])</f>
        <v>0</v>
      </c>
      <c r="AE1255" s="294">
        <f>IF(NFI_Expiration=1,IF($A1255&lt;VLOOKUP(N$5,NFI,5,0),1,0)*Table_NFI[[#This Row],[Kitchen Set]],Table_NFI[Kitchen Set])</f>
        <v>0</v>
      </c>
      <c r="AF1255" s="294">
        <f>IF(NFI_Expiration=1,IF($A1255&lt;VLOOKUP(O$5,NFI,5,0),1,0)*Table_NFI[[#This Row],[Clothes Kit]],Table_NFI[Clothes Kit])</f>
        <v>0</v>
      </c>
      <c r="AG1255" s="294">
        <f>IF(NFI_Expiration=1,IF($A1255&lt;VLOOKUP(P$5,NFI,5,0),1,0)*Table_NFI[[#This Row],[Plastic Bucket]],Table_NFI[Plastic Bucket])</f>
        <v>0</v>
      </c>
      <c r="AH1255" s="294">
        <f>IF(NFI_Expiration=1,IF($A1255&lt;VLOOKUP(Q$5,NFI,5,0),1,0)*Table_NFI[[#This Row],[Plastic Mat]],Table_NFI[Plastic Mat])*IF(Table_NFI[[#This Row],[Distribution Date]]&gt;"2014-04-01",1,2.5)</f>
        <v>0</v>
      </c>
      <c r="AI1255" s="294">
        <f>IF(NFI_Expiration=1,IF($A1255&lt;VLOOKUP(R$5,NFI,5,0),1,0)*Table_NFI[[#This Row],[Winter Clothes Adult]],Table_NFI[Winter Clothes Adult])</f>
        <v>0</v>
      </c>
      <c r="AJ1255" s="294">
        <f>IF(NFI_Expiration=1,IF($A1255&lt;VLOOKUP(S$5,NFI,5,0),1,0)*Table_NFI[[#This Row],[Winter Clothes Children]],Table_NFI[Winter Clothes Children])</f>
        <v>0</v>
      </c>
      <c r="AK1255" s="294">
        <f>IF(NFI_Expiration=1,IF($A1255&lt;VLOOKUP(T$5,NFI,5,0),1,0)*Table_NFI[[#This Row],[Winter Items Other]],Table_NFI[Winter Items Other])</f>
        <v>0</v>
      </c>
      <c r="AL1255" s="294">
        <f>IF(NFI_Expiration=1,IF($A1255&lt;VLOOKUP(M$5,NFI,5,0),1,0)*Table_NFI[[#This Row],[Winter Blanket]],Table_NFI[[#This Row],[Winter Blanket]])</f>
        <v>0</v>
      </c>
      <c r="AM1255" s="294">
        <f>IF(Table_NFI[[#This Row],[Winter Clothes Adult]]+Table_NFI[[#This Row],[Winter Clothes Children]]+Table_NFI[[#This Row],[Winter Items Other]]+Table_NFI[[#This Row],[Winter Blanket]]&gt;0,1,0)</f>
        <v>0</v>
      </c>
      <c r="AN1255" s="331">
        <f>IF(NFI_Expiration=1,IF($A1255&lt;VLOOKUP(V$5,NFI,5,0),1,0)*Table_NFI[[#This Row],[Jerry Can]],Table_NFI[Jerry Can])</f>
        <v>0</v>
      </c>
      <c r="AO1255" s="331">
        <f>IF(NFI_Expiration=1,IF($A1255&lt;VLOOKUP(V$5,NFI,5,0),1,0)*Table_NFI[[#This Row],[Shelter Tool kit]],Table_NFI[Shelter Tool kit])</f>
        <v>0</v>
      </c>
      <c r="AP1255" s="331">
        <f>IF(NFI_Expiration=1,IF($A1255&lt;VLOOKUP(V$5,NFI,5,0),1,0)*Table_NFI[[#This Row],[Tent]],Table_NFI[Tent])</f>
        <v>0</v>
      </c>
      <c r="AQ1255" s="473" t="str">
        <f>IFERROR(VLOOKUP(Table_NFI[[#This Row],[Camp Name]],CL,2,0),"")</f>
        <v/>
      </c>
      <c r="AR1255" s="468" t="str">
        <f ca="1">IF(Table_NFI[[#This Row],[Pcode]]="","",IF(OFFSET(CampList[Opening Date],MATCH(Table_NFI[[#This Row],[Pcode]],CampList[CP_Pcode],0)-1,0,1,1)&gt;=NFI_Monitor_Date,1,0))</f>
        <v/>
      </c>
      <c r="AS1255" s="473" t="str">
        <f>IFERROR(VLOOKUP(Table_NFI[[#This Row],[Camp Name]],CL,3,0),"")</f>
        <v/>
      </c>
      <c r="AT1255" s="294" t="str">
        <f ca="1">IF(Table_NFI[[#This Row],[Pcode]]="","",OFFSET(CampList[Priority],MATCH(Table_NFI[[#This Row],[Pcode]],CampList[CP_Pcode],0)-1,0,1,1))</f>
        <v/>
      </c>
      <c r="AU1255" s="293" t="str">
        <f>IFERROR(Table_NFI[[#This Row],[Kitchen Set]]/VLOOKUP(Table_NFI[[#This Row],[Camp Name]],CL,4,0),"")</f>
        <v/>
      </c>
      <c r="AV1255" s="471"/>
      <c r="AW1255" s="474"/>
    </row>
    <row r="1256" spans="1:49" ht="14.45" customHeight="1" x14ac:dyDescent="0.25">
      <c r="A1256" s="297" t="str">
        <f t="shared" si="19"/>
        <v/>
      </c>
      <c r="B1256" s="465"/>
      <c r="C1256" s="471"/>
      <c r="D1256" s="471"/>
      <c r="E1256" s="471"/>
      <c r="F1256" s="471"/>
      <c r="G1256" s="471"/>
      <c r="H1256" s="292"/>
      <c r="I1256" s="292"/>
      <c r="J1256" s="292"/>
      <c r="K1256" s="292"/>
      <c r="L1256" s="292"/>
      <c r="M1256" s="292"/>
      <c r="N1256" s="292"/>
      <c r="O1256" s="292"/>
      <c r="P1256" s="294"/>
      <c r="Q1256" s="294"/>
      <c r="R1256" s="294"/>
      <c r="S1256" s="294"/>
      <c r="T1256" s="294"/>
      <c r="U1256" s="294"/>
      <c r="V1256" s="431"/>
      <c r="W1256" s="331"/>
      <c r="X1256" s="331"/>
      <c r="Y1256" s="294">
        <f>IF(NFI_Expiration=1,IF($A1256&lt;VLOOKUP(H$5,NFI,5,0),1,0)*Table_NFI[[#This Row],[Hygiene Kit]],Table_NFI[Hygiene Kit])</f>
        <v>0</v>
      </c>
      <c r="Z1256" s="294">
        <f>IF(NFI_Expiration=1,IF($A1256&lt;VLOOKUP(I$5,NFI,5,0),1,0)*Table_NFI[[#This Row],[NFI Core Kit]],Table_NFI[NFI Core Kit])</f>
        <v>0</v>
      </c>
      <c r="AA1256" s="294">
        <f>IF(NFI_Expiration=1,IF($A1256&lt;VLOOKUP(J$5,NFI,5,0),1,0)*Table_NFI[[#This Row],[Sanitary Kit]],Table_NFI[Sanitary Kit])</f>
        <v>0</v>
      </c>
      <c r="AB1256" s="294">
        <f>IF(NFI_Expiration=1,IF($A1256&lt;VLOOKUP(K$5,NFI,5,0),1,0)*Table_NFI[[#This Row],[Mosquito net]],Table_NFI[Mosquito net])</f>
        <v>0</v>
      </c>
      <c r="AC1256" s="294">
        <f>IF(NFI_Expiration=1,IF($A1256&lt;VLOOKUP(L$5,NFI,5,0),1,0)*Table_NFI[[#This Row],[Tarpaulin]],Table_NFI[[#This Row],[Tarpaulin]])</f>
        <v>0</v>
      </c>
      <c r="AD1256" s="294">
        <f>IF(NFI_Expiration=1,IF($A1256&lt;VLOOKUP(M$5,NFI,5,0),1,0)*Table_NFI[[#This Row],[Blanket]],Table_NFI[[#This Row],[Blanket]])</f>
        <v>0</v>
      </c>
      <c r="AE1256" s="294">
        <f>IF(NFI_Expiration=1,IF($A1256&lt;VLOOKUP(N$5,NFI,5,0),1,0)*Table_NFI[[#This Row],[Kitchen Set]],Table_NFI[Kitchen Set])</f>
        <v>0</v>
      </c>
      <c r="AF1256" s="294">
        <f>IF(NFI_Expiration=1,IF($A1256&lt;VLOOKUP(O$5,NFI,5,0),1,0)*Table_NFI[[#This Row],[Clothes Kit]],Table_NFI[Clothes Kit])</f>
        <v>0</v>
      </c>
      <c r="AG1256" s="294">
        <f>IF(NFI_Expiration=1,IF($A1256&lt;VLOOKUP(P$5,NFI,5,0),1,0)*Table_NFI[[#This Row],[Plastic Bucket]],Table_NFI[Plastic Bucket])</f>
        <v>0</v>
      </c>
      <c r="AH1256" s="294">
        <f>IF(NFI_Expiration=1,IF($A1256&lt;VLOOKUP(Q$5,NFI,5,0),1,0)*Table_NFI[[#This Row],[Plastic Mat]],Table_NFI[Plastic Mat])*IF(Table_NFI[[#This Row],[Distribution Date]]&gt;"2014-04-01",1,2.5)</f>
        <v>0</v>
      </c>
      <c r="AI1256" s="294">
        <f>IF(NFI_Expiration=1,IF($A1256&lt;VLOOKUP(R$5,NFI,5,0),1,0)*Table_NFI[[#This Row],[Winter Clothes Adult]],Table_NFI[Winter Clothes Adult])</f>
        <v>0</v>
      </c>
      <c r="AJ1256" s="294">
        <f>IF(NFI_Expiration=1,IF($A1256&lt;VLOOKUP(S$5,NFI,5,0),1,0)*Table_NFI[[#This Row],[Winter Clothes Children]],Table_NFI[Winter Clothes Children])</f>
        <v>0</v>
      </c>
      <c r="AK1256" s="294">
        <f>IF(NFI_Expiration=1,IF($A1256&lt;VLOOKUP(T$5,NFI,5,0),1,0)*Table_NFI[[#This Row],[Winter Items Other]],Table_NFI[Winter Items Other])</f>
        <v>0</v>
      </c>
      <c r="AL1256" s="294">
        <f>IF(NFI_Expiration=1,IF($A1256&lt;VLOOKUP(M$5,NFI,5,0),1,0)*Table_NFI[[#This Row],[Winter Blanket]],Table_NFI[[#This Row],[Winter Blanket]])</f>
        <v>0</v>
      </c>
      <c r="AM1256" s="294">
        <f>IF(Table_NFI[[#This Row],[Winter Clothes Adult]]+Table_NFI[[#This Row],[Winter Clothes Children]]+Table_NFI[[#This Row],[Winter Items Other]]+Table_NFI[[#This Row],[Winter Blanket]]&gt;0,1,0)</f>
        <v>0</v>
      </c>
      <c r="AN1256" s="331">
        <f>IF(NFI_Expiration=1,IF($A1256&lt;VLOOKUP(V$5,NFI,5,0),1,0)*Table_NFI[[#This Row],[Jerry Can]],Table_NFI[Jerry Can])</f>
        <v>0</v>
      </c>
      <c r="AO1256" s="331">
        <f>IF(NFI_Expiration=1,IF($A1256&lt;VLOOKUP(V$5,NFI,5,0),1,0)*Table_NFI[[#This Row],[Shelter Tool kit]],Table_NFI[Shelter Tool kit])</f>
        <v>0</v>
      </c>
      <c r="AP1256" s="331">
        <f>IF(NFI_Expiration=1,IF($A1256&lt;VLOOKUP(V$5,NFI,5,0),1,0)*Table_NFI[[#This Row],[Tent]],Table_NFI[Tent])</f>
        <v>0</v>
      </c>
      <c r="AQ1256" s="473" t="str">
        <f>IFERROR(VLOOKUP(Table_NFI[[#This Row],[Camp Name]],CL,2,0),"")</f>
        <v/>
      </c>
      <c r="AR1256" s="468" t="str">
        <f ca="1">IF(Table_NFI[[#This Row],[Pcode]]="","",IF(OFFSET(CampList[Opening Date],MATCH(Table_NFI[[#This Row],[Pcode]],CampList[CP_Pcode],0)-1,0,1,1)&gt;=NFI_Monitor_Date,1,0))</f>
        <v/>
      </c>
      <c r="AS1256" s="473" t="str">
        <f>IFERROR(VLOOKUP(Table_NFI[[#This Row],[Camp Name]],CL,3,0),"")</f>
        <v/>
      </c>
      <c r="AT1256" s="294" t="str">
        <f ca="1">IF(Table_NFI[[#This Row],[Pcode]]="","",OFFSET(CampList[Priority],MATCH(Table_NFI[[#This Row],[Pcode]],CampList[CP_Pcode],0)-1,0,1,1))</f>
        <v/>
      </c>
      <c r="AU1256" s="293" t="str">
        <f>IFERROR(Table_NFI[[#This Row],[Kitchen Set]]/VLOOKUP(Table_NFI[[#This Row],[Camp Name]],CL,4,0),"")</f>
        <v/>
      </c>
      <c r="AV1256" s="471"/>
      <c r="AW1256" s="474"/>
    </row>
    <row r="1257" spans="1:49" ht="14.45" customHeight="1" x14ac:dyDescent="0.25">
      <c r="A1257" s="297" t="str">
        <f t="shared" si="19"/>
        <v/>
      </c>
      <c r="B1257" s="465"/>
      <c r="C1257" s="471"/>
      <c r="D1257" s="471"/>
      <c r="E1257" s="471"/>
      <c r="F1257" s="471"/>
      <c r="G1257" s="471"/>
      <c r="H1257" s="292"/>
      <c r="I1257" s="292"/>
      <c r="J1257" s="292"/>
      <c r="K1257" s="292"/>
      <c r="L1257" s="292"/>
      <c r="M1257" s="292"/>
      <c r="N1257" s="292"/>
      <c r="O1257" s="292"/>
      <c r="P1257" s="294"/>
      <c r="Q1257" s="294"/>
      <c r="R1257" s="294"/>
      <c r="S1257" s="294"/>
      <c r="T1257" s="294"/>
      <c r="U1257" s="294"/>
      <c r="V1257" s="431"/>
      <c r="W1257" s="331"/>
      <c r="X1257" s="331"/>
      <c r="Y1257" s="294">
        <f>IF(NFI_Expiration=1,IF($A1257&lt;VLOOKUP(H$5,NFI,5,0),1,0)*Table_NFI[[#This Row],[Hygiene Kit]],Table_NFI[Hygiene Kit])</f>
        <v>0</v>
      </c>
      <c r="Z1257" s="294">
        <f>IF(NFI_Expiration=1,IF($A1257&lt;VLOOKUP(I$5,NFI,5,0),1,0)*Table_NFI[[#This Row],[NFI Core Kit]],Table_NFI[NFI Core Kit])</f>
        <v>0</v>
      </c>
      <c r="AA1257" s="294">
        <f>IF(NFI_Expiration=1,IF($A1257&lt;VLOOKUP(J$5,NFI,5,0),1,0)*Table_NFI[[#This Row],[Sanitary Kit]],Table_NFI[Sanitary Kit])</f>
        <v>0</v>
      </c>
      <c r="AB1257" s="294">
        <f>IF(NFI_Expiration=1,IF($A1257&lt;VLOOKUP(K$5,NFI,5,0),1,0)*Table_NFI[[#This Row],[Mosquito net]],Table_NFI[Mosquito net])</f>
        <v>0</v>
      </c>
      <c r="AC1257" s="294">
        <f>IF(NFI_Expiration=1,IF($A1257&lt;VLOOKUP(L$5,NFI,5,0),1,0)*Table_NFI[[#This Row],[Tarpaulin]],Table_NFI[[#This Row],[Tarpaulin]])</f>
        <v>0</v>
      </c>
      <c r="AD1257" s="294">
        <f>IF(NFI_Expiration=1,IF($A1257&lt;VLOOKUP(M$5,NFI,5,0),1,0)*Table_NFI[[#This Row],[Blanket]],Table_NFI[[#This Row],[Blanket]])</f>
        <v>0</v>
      </c>
      <c r="AE1257" s="294">
        <f>IF(NFI_Expiration=1,IF($A1257&lt;VLOOKUP(N$5,NFI,5,0),1,0)*Table_NFI[[#This Row],[Kitchen Set]],Table_NFI[Kitchen Set])</f>
        <v>0</v>
      </c>
      <c r="AF1257" s="294">
        <f>IF(NFI_Expiration=1,IF($A1257&lt;VLOOKUP(O$5,NFI,5,0),1,0)*Table_NFI[[#This Row],[Clothes Kit]],Table_NFI[Clothes Kit])</f>
        <v>0</v>
      </c>
      <c r="AG1257" s="294">
        <f>IF(NFI_Expiration=1,IF($A1257&lt;VLOOKUP(P$5,NFI,5,0),1,0)*Table_NFI[[#This Row],[Plastic Bucket]],Table_NFI[Plastic Bucket])</f>
        <v>0</v>
      </c>
      <c r="AH1257" s="294">
        <f>IF(NFI_Expiration=1,IF($A1257&lt;VLOOKUP(Q$5,NFI,5,0),1,0)*Table_NFI[[#This Row],[Plastic Mat]],Table_NFI[Plastic Mat])*IF(Table_NFI[[#This Row],[Distribution Date]]&gt;"2014-04-01",1,2.5)</f>
        <v>0</v>
      </c>
      <c r="AI1257" s="294">
        <f>IF(NFI_Expiration=1,IF($A1257&lt;VLOOKUP(R$5,NFI,5,0),1,0)*Table_NFI[[#This Row],[Winter Clothes Adult]],Table_NFI[Winter Clothes Adult])</f>
        <v>0</v>
      </c>
      <c r="AJ1257" s="294">
        <f>IF(NFI_Expiration=1,IF($A1257&lt;VLOOKUP(S$5,NFI,5,0),1,0)*Table_NFI[[#This Row],[Winter Clothes Children]],Table_NFI[Winter Clothes Children])</f>
        <v>0</v>
      </c>
      <c r="AK1257" s="294">
        <f>IF(NFI_Expiration=1,IF($A1257&lt;VLOOKUP(T$5,NFI,5,0),1,0)*Table_NFI[[#This Row],[Winter Items Other]],Table_NFI[Winter Items Other])</f>
        <v>0</v>
      </c>
      <c r="AL1257" s="294">
        <f>IF(NFI_Expiration=1,IF($A1257&lt;VLOOKUP(M$5,NFI,5,0),1,0)*Table_NFI[[#This Row],[Winter Blanket]],Table_NFI[[#This Row],[Winter Blanket]])</f>
        <v>0</v>
      </c>
      <c r="AM1257" s="294">
        <f>IF(Table_NFI[[#This Row],[Winter Clothes Adult]]+Table_NFI[[#This Row],[Winter Clothes Children]]+Table_NFI[[#This Row],[Winter Items Other]]+Table_NFI[[#This Row],[Winter Blanket]]&gt;0,1,0)</f>
        <v>0</v>
      </c>
      <c r="AN1257" s="331">
        <f>IF(NFI_Expiration=1,IF($A1257&lt;VLOOKUP(V$5,NFI,5,0),1,0)*Table_NFI[[#This Row],[Jerry Can]],Table_NFI[Jerry Can])</f>
        <v>0</v>
      </c>
      <c r="AO1257" s="331">
        <f>IF(NFI_Expiration=1,IF($A1257&lt;VLOOKUP(V$5,NFI,5,0),1,0)*Table_NFI[[#This Row],[Shelter Tool kit]],Table_NFI[Shelter Tool kit])</f>
        <v>0</v>
      </c>
      <c r="AP1257" s="331">
        <f>IF(NFI_Expiration=1,IF($A1257&lt;VLOOKUP(V$5,NFI,5,0),1,0)*Table_NFI[[#This Row],[Tent]],Table_NFI[Tent])</f>
        <v>0</v>
      </c>
      <c r="AQ1257" s="473" t="str">
        <f>IFERROR(VLOOKUP(Table_NFI[[#This Row],[Camp Name]],CL,2,0),"")</f>
        <v/>
      </c>
      <c r="AR1257" s="468" t="str">
        <f ca="1">IF(Table_NFI[[#This Row],[Pcode]]="","",IF(OFFSET(CampList[Opening Date],MATCH(Table_NFI[[#This Row],[Pcode]],CampList[CP_Pcode],0)-1,0,1,1)&gt;=NFI_Monitor_Date,1,0))</f>
        <v/>
      </c>
      <c r="AS1257" s="473" t="str">
        <f>IFERROR(VLOOKUP(Table_NFI[[#This Row],[Camp Name]],CL,3,0),"")</f>
        <v/>
      </c>
      <c r="AT1257" s="294" t="str">
        <f ca="1">IF(Table_NFI[[#This Row],[Pcode]]="","",OFFSET(CampList[Priority],MATCH(Table_NFI[[#This Row],[Pcode]],CampList[CP_Pcode],0)-1,0,1,1))</f>
        <v/>
      </c>
      <c r="AU1257" s="293" t="str">
        <f>IFERROR(Table_NFI[[#This Row],[Kitchen Set]]/VLOOKUP(Table_NFI[[#This Row],[Camp Name]],CL,4,0),"")</f>
        <v/>
      </c>
      <c r="AV1257" s="471"/>
      <c r="AW1257" s="474"/>
    </row>
    <row r="1258" spans="1:49" ht="14.45" customHeight="1" x14ac:dyDescent="0.25">
      <c r="A1258" s="297" t="str">
        <f t="shared" si="19"/>
        <v/>
      </c>
      <c r="B1258" s="465"/>
      <c r="C1258" s="471"/>
      <c r="D1258" s="471"/>
      <c r="E1258" s="471"/>
      <c r="F1258" s="471"/>
      <c r="G1258" s="471"/>
      <c r="H1258" s="292"/>
      <c r="I1258" s="292"/>
      <c r="J1258" s="292"/>
      <c r="K1258" s="292"/>
      <c r="L1258" s="292"/>
      <c r="M1258" s="292"/>
      <c r="N1258" s="292"/>
      <c r="O1258" s="292"/>
      <c r="P1258" s="294"/>
      <c r="Q1258" s="294"/>
      <c r="R1258" s="294"/>
      <c r="S1258" s="294"/>
      <c r="T1258" s="294"/>
      <c r="U1258" s="294"/>
      <c r="V1258" s="431"/>
      <c r="W1258" s="331"/>
      <c r="X1258" s="331"/>
      <c r="Y1258" s="294">
        <f>IF(NFI_Expiration=1,IF($A1258&lt;VLOOKUP(H$5,NFI,5,0),1,0)*Table_NFI[[#This Row],[Hygiene Kit]],Table_NFI[Hygiene Kit])</f>
        <v>0</v>
      </c>
      <c r="Z1258" s="294">
        <f>IF(NFI_Expiration=1,IF($A1258&lt;VLOOKUP(I$5,NFI,5,0),1,0)*Table_NFI[[#This Row],[NFI Core Kit]],Table_NFI[NFI Core Kit])</f>
        <v>0</v>
      </c>
      <c r="AA1258" s="294">
        <f>IF(NFI_Expiration=1,IF($A1258&lt;VLOOKUP(J$5,NFI,5,0),1,0)*Table_NFI[[#This Row],[Sanitary Kit]],Table_NFI[Sanitary Kit])</f>
        <v>0</v>
      </c>
      <c r="AB1258" s="294">
        <f>IF(NFI_Expiration=1,IF($A1258&lt;VLOOKUP(K$5,NFI,5,0),1,0)*Table_NFI[[#This Row],[Mosquito net]],Table_NFI[Mosquito net])</f>
        <v>0</v>
      </c>
      <c r="AC1258" s="294">
        <f>IF(NFI_Expiration=1,IF($A1258&lt;VLOOKUP(L$5,NFI,5,0),1,0)*Table_NFI[[#This Row],[Tarpaulin]],Table_NFI[[#This Row],[Tarpaulin]])</f>
        <v>0</v>
      </c>
      <c r="AD1258" s="294">
        <f>IF(NFI_Expiration=1,IF($A1258&lt;VLOOKUP(M$5,NFI,5,0),1,0)*Table_NFI[[#This Row],[Blanket]],Table_NFI[[#This Row],[Blanket]])</f>
        <v>0</v>
      </c>
      <c r="AE1258" s="294">
        <f>IF(NFI_Expiration=1,IF($A1258&lt;VLOOKUP(N$5,NFI,5,0),1,0)*Table_NFI[[#This Row],[Kitchen Set]],Table_NFI[Kitchen Set])</f>
        <v>0</v>
      </c>
      <c r="AF1258" s="294">
        <f>IF(NFI_Expiration=1,IF($A1258&lt;VLOOKUP(O$5,NFI,5,0),1,0)*Table_NFI[[#This Row],[Clothes Kit]],Table_NFI[Clothes Kit])</f>
        <v>0</v>
      </c>
      <c r="AG1258" s="294">
        <f>IF(NFI_Expiration=1,IF($A1258&lt;VLOOKUP(P$5,NFI,5,0),1,0)*Table_NFI[[#This Row],[Plastic Bucket]],Table_NFI[Plastic Bucket])</f>
        <v>0</v>
      </c>
      <c r="AH1258" s="294">
        <f>IF(NFI_Expiration=1,IF($A1258&lt;VLOOKUP(Q$5,NFI,5,0),1,0)*Table_NFI[[#This Row],[Plastic Mat]],Table_NFI[Plastic Mat])*IF(Table_NFI[[#This Row],[Distribution Date]]&gt;"2014-04-01",1,2.5)</f>
        <v>0</v>
      </c>
      <c r="AI1258" s="294">
        <f>IF(NFI_Expiration=1,IF($A1258&lt;VLOOKUP(R$5,NFI,5,0),1,0)*Table_NFI[[#This Row],[Winter Clothes Adult]],Table_NFI[Winter Clothes Adult])</f>
        <v>0</v>
      </c>
      <c r="AJ1258" s="294">
        <f>IF(NFI_Expiration=1,IF($A1258&lt;VLOOKUP(S$5,NFI,5,0),1,0)*Table_NFI[[#This Row],[Winter Clothes Children]],Table_NFI[Winter Clothes Children])</f>
        <v>0</v>
      </c>
      <c r="AK1258" s="294">
        <f>IF(NFI_Expiration=1,IF($A1258&lt;VLOOKUP(T$5,NFI,5,0),1,0)*Table_NFI[[#This Row],[Winter Items Other]],Table_NFI[Winter Items Other])</f>
        <v>0</v>
      </c>
      <c r="AL1258" s="294">
        <f>IF(NFI_Expiration=1,IF($A1258&lt;VLOOKUP(M$5,NFI,5,0),1,0)*Table_NFI[[#This Row],[Winter Blanket]],Table_NFI[[#This Row],[Winter Blanket]])</f>
        <v>0</v>
      </c>
      <c r="AM1258" s="294">
        <f>IF(Table_NFI[[#This Row],[Winter Clothes Adult]]+Table_NFI[[#This Row],[Winter Clothes Children]]+Table_NFI[[#This Row],[Winter Items Other]]+Table_NFI[[#This Row],[Winter Blanket]]&gt;0,1,0)</f>
        <v>0</v>
      </c>
      <c r="AN1258" s="331">
        <f>IF(NFI_Expiration=1,IF($A1258&lt;VLOOKUP(V$5,NFI,5,0),1,0)*Table_NFI[[#This Row],[Jerry Can]],Table_NFI[Jerry Can])</f>
        <v>0</v>
      </c>
      <c r="AO1258" s="331">
        <f>IF(NFI_Expiration=1,IF($A1258&lt;VLOOKUP(V$5,NFI,5,0),1,0)*Table_NFI[[#This Row],[Shelter Tool kit]],Table_NFI[Shelter Tool kit])</f>
        <v>0</v>
      </c>
      <c r="AP1258" s="331">
        <f>IF(NFI_Expiration=1,IF($A1258&lt;VLOOKUP(V$5,NFI,5,0),1,0)*Table_NFI[[#This Row],[Tent]],Table_NFI[Tent])</f>
        <v>0</v>
      </c>
      <c r="AQ1258" s="473" t="str">
        <f>IFERROR(VLOOKUP(Table_NFI[[#This Row],[Camp Name]],CL,2,0),"")</f>
        <v/>
      </c>
      <c r="AR1258" s="468" t="str">
        <f ca="1">IF(Table_NFI[[#This Row],[Pcode]]="","",IF(OFFSET(CampList[Opening Date],MATCH(Table_NFI[[#This Row],[Pcode]],CampList[CP_Pcode],0)-1,0,1,1)&gt;=NFI_Monitor_Date,1,0))</f>
        <v/>
      </c>
      <c r="AS1258" s="473" t="str">
        <f>IFERROR(VLOOKUP(Table_NFI[[#This Row],[Camp Name]],CL,3,0),"")</f>
        <v/>
      </c>
      <c r="AT1258" s="294" t="str">
        <f ca="1">IF(Table_NFI[[#This Row],[Pcode]]="","",OFFSET(CampList[Priority],MATCH(Table_NFI[[#This Row],[Pcode]],CampList[CP_Pcode],0)-1,0,1,1))</f>
        <v/>
      </c>
      <c r="AU1258" s="293" t="str">
        <f>IFERROR(Table_NFI[[#This Row],[Kitchen Set]]/VLOOKUP(Table_NFI[[#This Row],[Camp Name]],CL,4,0),"")</f>
        <v/>
      </c>
      <c r="AV1258" s="471"/>
      <c r="AW1258" s="474"/>
    </row>
    <row r="1259" spans="1:49" ht="14.45" customHeight="1" x14ac:dyDescent="0.25">
      <c r="A1259" s="297" t="str">
        <f t="shared" si="19"/>
        <v/>
      </c>
      <c r="B1259" s="465"/>
      <c r="C1259" s="471"/>
      <c r="D1259" s="471"/>
      <c r="E1259" s="471"/>
      <c r="F1259" s="471"/>
      <c r="G1259" s="471"/>
      <c r="H1259" s="292"/>
      <c r="I1259" s="292"/>
      <c r="J1259" s="292"/>
      <c r="K1259" s="292"/>
      <c r="L1259" s="292"/>
      <c r="M1259" s="292"/>
      <c r="N1259" s="292"/>
      <c r="O1259" s="292"/>
      <c r="P1259" s="294"/>
      <c r="Q1259" s="294"/>
      <c r="R1259" s="294"/>
      <c r="S1259" s="294"/>
      <c r="T1259" s="294"/>
      <c r="U1259" s="294"/>
      <c r="V1259" s="431"/>
      <c r="W1259" s="331"/>
      <c r="X1259" s="331"/>
      <c r="Y1259" s="294">
        <f>IF(NFI_Expiration=1,IF($A1259&lt;VLOOKUP(H$5,NFI,5,0),1,0)*Table_NFI[[#This Row],[Hygiene Kit]],Table_NFI[Hygiene Kit])</f>
        <v>0</v>
      </c>
      <c r="Z1259" s="294">
        <f>IF(NFI_Expiration=1,IF($A1259&lt;VLOOKUP(I$5,NFI,5,0),1,0)*Table_NFI[[#This Row],[NFI Core Kit]],Table_NFI[NFI Core Kit])</f>
        <v>0</v>
      </c>
      <c r="AA1259" s="294">
        <f>IF(NFI_Expiration=1,IF($A1259&lt;VLOOKUP(J$5,NFI,5,0),1,0)*Table_NFI[[#This Row],[Sanitary Kit]],Table_NFI[Sanitary Kit])</f>
        <v>0</v>
      </c>
      <c r="AB1259" s="294">
        <f>IF(NFI_Expiration=1,IF($A1259&lt;VLOOKUP(K$5,NFI,5,0),1,0)*Table_NFI[[#This Row],[Mosquito net]],Table_NFI[Mosquito net])</f>
        <v>0</v>
      </c>
      <c r="AC1259" s="294">
        <f>IF(NFI_Expiration=1,IF($A1259&lt;VLOOKUP(L$5,NFI,5,0),1,0)*Table_NFI[[#This Row],[Tarpaulin]],Table_NFI[[#This Row],[Tarpaulin]])</f>
        <v>0</v>
      </c>
      <c r="AD1259" s="294">
        <f>IF(NFI_Expiration=1,IF($A1259&lt;VLOOKUP(M$5,NFI,5,0),1,0)*Table_NFI[[#This Row],[Blanket]],Table_NFI[[#This Row],[Blanket]])</f>
        <v>0</v>
      </c>
      <c r="AE1259" s="294">
        <f>IF(NFI_Expiration=1,IF($A1259&lt;VLOOKUP(N$5,NFI,5,0),1,0)*Table_NFI[[#This Row],[Kitchen Set]],Table_NFI[Kitchen Set])</f>
        <v>0</v>
      </c>
      <c r="AF1259" s="294">
        <f>IF(NFI_Expiration=1,IF($A1259&lt;VLOOKUP(O$5,NFI,5,0),1,0)*Table_NFI[[#This Row],[Clothes Kit]],Table_NFI[Clothes Kit])</f>
        <v>0</v>
      </c>
      <c r="AG1259" s="294">
        <f>IF(NFI_Expiration=1,IF($A1259&lt;VLOOKUP(P$5,NFI,5,0),1,0)*Table_NFI[[#This Row],[Plastic Bucket]],Table_NFI[Plastic Bucket])</f>
        <v>0</v>
      </c>
      <c r="AH1259" s="294">
        <f>IF(NFI_Expiration=1,IF($A1259&lt;VLOOKUP(Q$5,NFI,5,0),1,0)*Table_NFI[[#This Row],[Plastic Mat]],Table_NFI[Plastic Mat])*IF(Table_NFI[[#This Row],[Distribution Date]]&gt;"2014-04-01",1,2.5)</f>
        <v>0</v>
      </c>
      <c r="AI1259" s="294">
        <f>IF(NFI_Expiration=1,IF($A1259&lt;VLOOKUP(R$5,NFI,5,0),1,0)*Table_NFI[[#This Row],[Winter Clothes Adult]],Table_NFI[Winter Clothes Adult])</f>
        <v>0</v>
      </c>
      <c r="AJ1259" s="294">
        <f>IF(NFI_Expiration=1,IF($A1259&lt;VLOOKUP(S$5,NFI,5,0),1,0)*Table_NFI[[#This Row],[Winter Clothes Children]],Table_NFI[Winter Clothes Children])</f>
        <v>0</v>
      </c>
      <c r="AK1259" s="294">
        <f>IF(NFI_Expiration=1,IF($A1259&lt;VLOOKUP(T$5,NFI,5,0),1,0)*Table_NFI[[#This Row],[Winter Items Other]],Table_NFI[Winter Items Other])</f>
        <v>0</v>
      </c>
      <c r="AL1259" s="294">
        <f>IF(NFI_Expiration=1,IF($A1259&lt;VLOOKUP(M$5,NFI,5,0),1,0)*Table_NFI[[#This Row],[Winter Blanket]],Table_NFI[[#This Row],[Winter Blanket]])</f>
        <v>0</v>
      </c>
      <c r="AM1259" s="294">
        <f>IF(Table_NFI[[#This Row],[Winter Clothes Adult]]+Table_NFI[[#This Row],[Winter Clothes Children]]+Table_NFI[[#This Row],[Winter Items Other]]+Table_NFI[[#This Row],[Winter Blanket]]&gt;0,1,0)</f>
        <v>0</v>
      </c>
      <c r="AN1259" s="331">
        <f>IF(NFI_Expiration=1,IF($A1259&lt;VLOOKUP(V$5,NFI,5,0),1,0)*Table_NFI[[#This Row],[Jerry Can]],Table_NFI[Jerry Can])</f>
        <v>0</v>
      </c>
      <c r="AO1259" s="331">
        <f>IF(NFI_Expiration=1,IF($A1259&lt;VLOOKUP(V$5,NFI,5,0),1,0)*Table_NFI[[#This Row],[Shelter Tool kit]],Table_NFI[Shelter Tool kit])</f>
        <v>0</v>
      </c>
      <c r="AP1259" s="331">
        <f>IF(NFI_Expiration=1,IF($A1259&lt;VLOOKUP(V$5,NFI,5,0),1,0)*Table_NFI[[#This Row],[Tent]],Table_NFI[Tent])</f>
        <v>0</v>
      </c>
      <c r="AQ1259" s="473" t="str">
        <f>IFERROR(VLOOKUP(Table_NFI[[#This Row],[Camp Name]],CL,2,0),"")</f>
        <v/>
      </c>
      <c r="AR1259" s="468" t="str">
        <f ca="1">IF(Table_NFI[[#This Row],[Pcode]]="","",IF(OFFSET(CampList[Opening Date],MATCH(Table_NFI[[#This Row],[Pcode]],CampList[CP_Pcode],0)-1,0,1,1)&gt;=NFI_Monitor_Date,1,0))</f>
        <v/>
      </c>
      <c r="AS1259" s="473" t="str">
        <f>IFERROR(VLOOKUP(Table_NFI[[#This Row],[Camp Name]],CL,3,0),"")</f>
        <v/>
      </c>
      <c r="AT1259" s="294" t="str">
        <f ca="1">IF(Table_NFI[[#This Row],[Pcode]]="","",OFFSET(CampList[Priority],MATCH(Table_NFI[[#This Row],[Pcode]],CampList[CP_Pcode],0)-1,0,1,1))</f>
        <v/>
      </c>
      <c r="AU1259" s="293" t="str">
        <f>IFERROR(Table_NFI[[#This Row],[Kitchen Set]]/VLOOKUP(Table_NFI[[#This Row],[Camp Name]],CL,4,0),"")</f>
        <v/>
      </c>
      <c r="AV1259" s="471"/>
      <c r="AW1259" s="474"/>
    </row>
    <row r="1260" spans="1:49" ht="14.45" customHeight="1" x14ac:dyDescent="0.25">
      <c r="A1260" s="297" t="str">
        <f t="shared" si="19"/>
        <v/>
      </c>
      <c r="B1260" s="465"/>
      <c r="C1260" s="471"/>
      <c r="D1260" s="471"/>
      <c r="E1260" s="471"/>
      <c r="F1260" s="471"/>
      <c r="G1260" s="471"/>
      <c r="H1260" s="292"/>
      <c r="I1260" s="292"/>
      <c r="J1260" s="292"/>
      <c r="K1260" s="292"/>
      <c r="L1260" s="292"/>
      <c r="M1260" s="292"/>
      <c r="N1260" s="292"/>
      <c r="O1260" s="292"/>
      <c r="P1260" s="294"/>
      <c r="Q1260" s="294"/>
      <c r="R1260" s="294"/>
      <c r="S1260" s="294"/>
      <c r="T1260" s="294"/>
      <c r="U1260" s="294"/>
      <c r="V1260" s="431"/>
      <c r="W1260" s="331"/>
      <c r="X1260" s="331"/>
      <c r="Y1260" s="294">
        <f>IF(NFI_Expiration=1,IF($A1260&lt;VLOOKUP(H$5,NFI,5,0),1,0)*Table_NFI[[#This Row],[Hygiene Kit]],Table_NFI[Hygiene Kit])</f>
        <v>0</v>
      </c>
      <c r="Z1260" s="294">
        <f>IF(NFI_Expiration=1,IF($A1260&lt;VLOOKUP(I$5,NFI,5,0),1,0)*Table_NFI[[#This Row],[NFI Core Kit]],Table_NFI[NFI Core Kit])</f>
        <v>0</v>
      </c>
      <c r="AA1260" s="294">
        <f>IF(NFI_Expiration=1,IF($A1260&lt;VLOOKUP(J$5,NFI,5,0),1,0)*Table_NFI[[#This Row],[Sanitary Kit]],Table_NFI[Sanitary Kit])</f>
        <v>0</v>
      </c>
      <c r="AB1260" s="294">
        <f>IF(NFI_Expiration=1,IF($A1260&lt;VLOOKUP(K$5,NFI,5,0),1,0)*Table_NFI[[#This Row],[Mosquito net]],Table_NFI[Mosquito net])</f>
        <v>0</v>
      </c>
      <c r="AC1260" s="294">
        <f>IF(NFI_Expiration=1,IF($A1260&lt;VLOOKUP(L$5,NFI,5,0),1,0)*Table_NFI[[#This Row],[Tarpaulin]],Table_NFI[[#This Row],[Tarpaulin]])</f>
        <v>0</v>
      </c>
      <c r="AD1260" s="294">
        <f>IF(NFI_Expiration=1,IF($A1260&lt;VLOOKUP(M$5,NFI,5,0),1,0)*Table_NFI[[#This Row],[Blanket]],Table_NFI[[#This Row],[Blanket]])</f>
        <v>0</v>
      </c>
      <c r="AE1260" s="294">
        <f>IF(NFI_Expiration=1,IF($A1260&lt;VLOOKUP(N$5,NFI,5,0),1,0)*Table_NFI[[#This Row],[Kitchen Set]],Table_NFI[Kitchen Set])</f>
        <v>0</v>
      </c>
      <c r="AF1260" s="294">
        <f>IF(NFI_Expiration=1,IF($A1260&lt;VLOOKUP(O$5,NFI,5,0),1,0)*Table_NFI[[#This Row],[Clothes Kit]],Table_NFI[Clothes Kit])</f>
        <v>0</v>
      </c>
      <c r="AG1260" s="294">
        <f>IF(NFI_Expiration=1,IF($A1260&lt;VLOOKUP(P$5,NFI,5,0),1,0)*Table_NFI[[#This Row],[Plastic Bucket]],Table_NFI[Plastic Bucket])</f>
        <v>0</v>
      </c>
      <c r="AH1260" s="294">
        <f>IF(NFI_Expiration=1,IF($A1260&lt;VLOOKUP(Q$5,NFI,5,0),1,0)*Table_NFI[[#This Row],[Plastic Mat]],Table_NFI[Plastic Mat])*IF(Table_NFI[[#This Row],[Distribution Date]]&gt;"2014-04-01",1,2.5)</f>
        <v>0</v>
      </c>
      <c r="AI1260" s="294">
        <f>IF(NFI_Expiration=1,IF($A1260&lt;VLOOKUP(R$5,NFI,5,0),1,0)*Table_NFI[[#This Row],[Winter Clothes Adult]],Table_NFI[Winter Clothes Adult])</f>
        <v>0</v>
      </c>
      <c r="AJ1260" s="294">
        <f>IF(NFI_Expiration=1,IF($A1260&lt;VLOOKUP(S$5,NFI,5,0),1,0)*Table_NFI[[#This Row],[Winter Clothes Children]],Table_NFI[Winter Clothes Children])</f>
        <v>0</v>
      </c>
      <c r="AK1260" s="294">
        <f>IF(NFI_Expiration=1,IF($A1260&lt;VLOOKUP(T$5,NFI,5,0),1,0)*Table_NFI[[#This Row],[Winter Items Other]],Table_NFI[Winter Items Other])</f>
        <v>0</v>
      </c>
      <c r="AL1260" s="294">
        <f>IF(NFI_Expiration=1,IF($A1260&lt;VLOOKUP(M$5,NFI,5,0),1,0)*Table_NFI[[#This Row],[Winter Blanket]],Table_NFI[[#This Row],[Winter Blanket]])</f>
        <v>0</v>
      </c>
      <c r="AM1260" s="294">
        <f>IF(Table_NFI[[#This Row],[Winter Clothes Adult]]+Table_NFI[[#This Row],[Winter Clothes Children]]+Table_NFI[[#This Row],[Winter Items Other]]+Table_NFI[[#This Row],[Winter Blanket]]&gt;0,1,0)</f>
        <v>0</v>
      </c>
      <c r="AN1260" s="331">
        <f>IF(NFI_Expiration=1,IF($A1260&lt;VLOOKUP(V$5,NFI,5,0),1,0)*Table_NFI[[#This Row],[Jerry Can]],Table_NFI[Jerry Can])</f>
        <v>0</v>
      </c>
      <c r="AO1260" s="331">
        <f>IF(NFI_Expiration=1,IF($A1260&lt;VLOOKUP(V$5,NFI,5,0),1,0)*Table_NFI[[#This Row],[Shelter Tool kit]],Table_NFI[Shelter Tool kit])</f>
        <v>0</v>
      </c>
      <c r="AP1260" s="331">
        <f>IF(NFI_Expiration=1,IF($A1260&lt;VLOOKUP(V$5,NFI,5,0),1,0)*Table_NFI[[#This Row],[Tent]],Table_NFI[Tent])</f>
        <v>0</v>
      </c>
      <c r="AQ1260" s="473" t="str">
        <f>IFERROR(VLOOKUP(Table_NFI[[#This Row],[Camp Name]],CL,2,0),"")</f>
        <v/>
      </c>
      <c r="AR1260" s="468" t="str">
        <f ca="1">IF(Table_NFI[[#This Row],[Pcode]]="","",IF(OFFSET(CampList[Opening Date],MATCH(Table_NFI[[#This Row],[Pcode]],CampList[CP_Pcode],0)-1,0,1,1)&gt;=NFI_Monitor_Date,1,0))</f>
        <v/>
      </c>
      <c r="AS1260" s="473" t="str">
        <f>IFERROR(VLOOKUP(Table_NFI[[#This Row],[Camp Name]],CL,3,0),"")</f>
        <v/>
      </c>
      <c r="AT1260" s="294" t="str">
        <f ca="1">IF(Table_NFI[[#This Row],[Pcode]]="","",OFFSET(CampList[Priority],MATCH(Table_NFI[[#This Row],[Pcode]],CampList[CP_Pcode],0)-1,0,1,1))</f>
        <v/>
      </c>
      <c r="AU1260" s="293" t="str">
        <f>IFERROR(Table_NFI[[#This Row],[Kitchen Set]]/VLOOKUP(Table_NFI[[#This Row],[Camp Name]],CL,4,0),"")</f>
        <v/>
      </c>
      <c r="AV1260" s="471"/>
      <c r="AW1260" s="474"/>
    </row>
    <row r="1261" spans="1:49" ht="14.45" customHeight="1" x14ac:dyDescent="0.25">
      <c r="A1261" s="297" t="str">
        <f t="shared" si="19"/>
        <v/>
      </c>
      <c r="B1261" s="465"/>
      <c r="C1261" s="471"/>
      <c r="D1261" s="471"/>
      <c r="E1261" s="471"/>
      <c r="F1261" s="471"/>
      <c r="G1261" s="471"/>
      <c r="H1261" s="292"/>
      <c r="I1261" s="292"/>
      <c r="J1261" s="292"/>
      <c r="K1261" s="292"/>
      <c r="L1261" s="292"/>
      <c r="M1261" s="292"/>
      <c r="N1261" s="292"/>
      <c r="O1261" s="292"/>
      <c r="P1261" s="294"/>
      <c r="Q1261" s="294"/>
      <c r="R1261" s="294"/>
      <c r="S1261" s="294"/>
      <c r="T1261" s="294"/>
      <c r="U1261" s="294"/>
      <c r="V1261" s="431"/>
      <c r="W1261" s="331"/>
      <c r="X1261" s="331"/>
      <c r="Y1261" s="294">
        <f>IF(NFI_Expiration=1,IF($A1261&lt;VLOOKUP(H$5,NFI,5,0),1,0)*Table_NFI[[#This Row],[Hygiene Kit]],Table_NFI[Hygiene Kit])</f>
        <v>0</v>
      </c>
      <c r="Z1261" s="294">
        <f>IF(NFI_Expiration=1,IF($A1261&lt;VLOOKUP(I$5,NFI,5,0),1,0)*Table_NFI[[#This Row],[NFI Core Kit]],Table_NFI[NFI Core Kit])</f>
        <v>0</v>
      </c>
      <c r="AA1261" s="294">
        <f>IF(NFI_Expiration=1,IF($A1261&lt;VLOOKUP(J$5,NFI,5,0),1,0)*Table_NFI[[#This Row],[Sanitary Kit]],Table_NFI[Sanitary Kit])</f>
        <v>0</v>
      </c>
      <c r="AB1261" s="294">
        <f>IF(NFI_Expiration=1,IF($A1261&lt;VLOOKUP(K$5,NFI,5,0),1,0)*Table_NFI[[#This Row],[Mosquito net]],Table_NFI[Mosquito net])</f>
        <v>0</v>
      </c>
      <c r="AC1261" s="294">
        <f>IF(NFI_Expiration=1,IF($A1261&lt;VLOOKUP(L$5,NFI,5,0),1,0)*Table_NFI[[#This Row],[Tarpaulin]],Table_NFI[[#This Row],[Tarpaulin]])</f>
        <v>0</v>
      </c>
      <c r="AD1261" s="294">
        <f>IF(NFI_Expiration=1,IF($A1261&lt;VLOOKUP(M$5,NFI,5,0),1,0)*Table_NFI[[#This Row],[Blanket]],Table_NFI[[#This Row],[Blanket]])</f>
        <v>0</v>
      </c>
      <c r="AE1261" s="294">
        <f>IF(NFI_Expiration=1,IF($A1261&lt;VLOOKUP(N$5,NFI,5,0),1,0)*Table_NFI[[#This Row],[Kitchen Set]],Table_NFI[Kitchen Set])</f>
        <v>0</v>
      </c>
      <c r="AF1261" s="294">
        <f>IF(NFI_Expiration=1,IF($A1261&lt;VLOOKUP(O$5,NFI,5,0),1,0)*Table_NFI[[#This Row],[Clothes Kit]],Table_NFI[Clothes Kit])</f>
        <v>0</v>
      </c>
      <c r="AG1261" s="294">
        <f>IF(NFI_Expiration=1,IF($A1261&lt;VLOOKUP(P$5,NFI,5,0),1,0)*Table_NFI[[#This Row],[Plastic Bucket]],Table_NFI[Plastic Bucket])</f>
        <v>0</v>
      </c>
      <c r="AH1261" s="294">
        <f>IF(NFI_Expiration=1,IF($A1261&lt;VLOOKUP(Q$5,NFI,5,0),1,0)*Table_NFI[[#This Row],[Plastic Mat]],Table_NFI[Plastic Mat])*IF(Table_NFI[[#This Row],[Distribution Date]]&gt;"2014-04-01",1,2.5)</f>
        <v>0</v>
      </c>
      <c r="AI1261" s="294">
        <f>IF(NFI_Expiration=1,IF($A1261&lt;VLOOKUP(R$5,NFI,5,0),1,0)*Table_NFI[[#This Row],[Winter Clothes Adult]],Table_NFI[Winter Clothes Adult])</f>
        <v>0</v>
      </c>
      <c r="AJ1261" s="294">
        <f>IF(NFI_Expiration=1,IF($A1261&lt;VLOOKUP(S$5,NFI,5,0),1,0)*Table_NFI[[#This Row],[Winter Clothes Children]],Table_NFI[Winter Clothes Children])</f>
        <v>0</v>
      </c>
      <c r="AK1261" s="294">
        <f>IF(NFI_Expiration=1,IF($A1261&lt;VLOOKUP(T$5,NFI,5,0),1,0)*Table_NFI[[#This Row],[Winter Items Other]],Table_NFI[Winter Items Other])</f>
        <v>0</v>
      </c>
      <c r="AL1261" s="294">
        <f>IF(NFI_Expiration=1,IF($A1261&lt;VLOOKUP(M$5,NFI,5,0),1,0)*Table_NFI[[#This Row],[Winter Blanket]],Table_NFI[[#This Row],[Winter Blanket]])</f>
        <v>0</v>
      </c>
      <c r="AM1261" s="294">
        <f>IF(Table_NFI[[#This Row],[Winter Clothes Adult]]+Table_NFI[[#This Row],[Winter Clothes Children]]+Table_NFI[[#This Row],[Winter Items Other]]+Table_NFI[[#This Row],[Winter Blanket]]&gt;0,1,0)</f>
        <v>0</v>
      </c>
      <c r="AN1261" s="331">
        <f>IF(NFI_Expiration=1,IF($A1261&lt;VLOOKUP(V$5,NFI,5,0),1,0)*Table_NFI[[#This Row],[Jerry Can]],Table_NFI[Jerry Can])</f>
        <v>0</v>
      </c>
      <c r="AO1261" s="331">
        <f>IF(NFI_Expiration=1,IF($A1261&lt;VLOOKUP(V$5,NFI,5,0),1,0)*Table_NFI[[#This Row],[Shelter Tool kit]],Table_NFI[Shelter Tool kit])</f>
        <v>0</v>
      </c>
      <c r="AP1261" s="331">
        <f>IF(NFI_Expiration=1,IF($A1261&lt;VLOOKUP(V$5,NFI,5,0),1,0)*Table_NFI[[#This Row],[Tent]],Table_NFI[Tent])</f>
        <v>0</v>
      </c>
      <c r="AQ1261" s="473" t="str">
        <f>IFERROR(VLOOKUP(Table_NFI[[#This Row],[Camp Name]],CL,2,0),"")</f>
        <v/>
      </c>
      <c r="AR1261" s="468" t="str">
        <f ca="1">IF(Table_NFI[[#This Row],[Pcode]]="","",IF(OFFSET(CampList[Opening Date],MATCH(Table_NFI[[#This Row],[Pcode]],CampList[CP_Pcode],0)-1,0,1,1)&gt;=NFI_Monitor_Date,1,0))</f>
        <v/>
      </c>
      <c r="AS1261" s="473" t="str">
        <f>IFERROR(VLOOKUP(Table_NFI[[#This Row],[Camp Name]],CL,3,0),"")</f>
        <v/>
      </c>
      <c r="AT1261" s="294" t="str">
        <f ca="1">IF(Table_NFI[[#This Row],[Pcode]]="","",OFFSET(CampList[Priority],MATCH(Table_NFI[[#This Row],[Pcode]],CampList[CP_Pcode],0)-1,0,1,1))</f>
        <v/>
      </c>
      <c r="AU1261" s="293" t="str">
        <f>IFERROR(Table_NFI[[#This Row],[Kitchen Set]]/VLOOKUP(Table_NFI[[#This Row],[Camp Name]],CL,4,0),"")</f>
        <v/>
      </c>
      <c r="AV1261" s="471"/>
      <c r="AW1261" s="474"/>
    </row>
    <row r="1262" spans="1:49" ht="14.45" customHeight="1" x14ac:dyDescent="0.25">
      <c r="A1262" s="297" t="str">
        <f t="shared" si="19"/>
        <v/>
      </c>
      <c r="B1262" s="465"/>
      <c r="C1262" s="471"/>
      <c r="D1262" s="471"/>
      <c r="E1262" s="471"/>
      <c r="F1262" s="471"/>
      <c r="G1262" s="471"/>
      <c r="H1262" s="292"/>
      <c r="I1262" s="292"/>
      <c r="J1262" s="292"/>
      <c r="K1262" s="292"/>
      <c r="L1262" s="292"/>
      <c r="M1262" s="292"/>
      <c r="N1262" s="292"/>
      <c r="O1262" s="292"/>
      <c r="P1262" s="294"/>
      <c r="Q1262" s="294"/>
      <c r="R1262" s="294"/>
      <c r="S1262" s="294"/>
      <c r="T1262" s="294"/>
      <c r="U1262" s="294"/>
      <c r="V1262" s="431"/>
      <c r="W1262" s="331"/>
      <c r="X1262" s="331"/>
      <c r="Y1262" s="294">
        <f>IF(NFI_Expiration=1,IF($A1262&lt;VLOOKUP(H$5,NFI,5,0),1,0)*Table_NFI[[#This Row],[Hygiene Kit]],Table_NFI[Hygiene Kit])</f>
        <v>0</v>
      </c>
      <c r="Z1262" s="294">
        <f>IF(NFI_Expiration=1,IF($A1262&lt;VLOOKUP(I$5,NFI,5,0),1,0)*Table_NFI[[#This Row],[NFI Core Kit]],Table_NFI[NFI Core Kit])</f>
        <v>0</v>
      </c>
      <c r="AA1262" s="294">
        <f>IF(NFI_Expiration=1,IF($A1262&lt;VLOOKUP(J$5,NFI,5,0),1,0)*Table_NFI[[#This Row],[Sanitary Kit]],Table_NFI[Sanitary Kit])</f>
        <v>0</v>
      </c>
      <c r="AB1262" s="294">
        <f>IF(NFI_Expiration=1,IF($A1262&lt;VLOOKUP(K$5,NFI,5,0),1,0)*Table_NFI[[#This Row],[Mosquito net]],Table_NFI[Mosquito net])</f>
        <v>0</v>
      </c>
      <c r="AC1262" s="294">
        <f>IF(NFI_Expiration=1,IF($A1262&lt;VLOOKUP(L$5,NFI,5,0),1,0)*Table_NFI[[#This Row],[Tarpaulin]],Table_NFI[[#This Row],[Tarpaulin]])</f>
        <v>0</v>
      </c>
      <c r="AD1262" s="294">
        <f>IF(NFI_Expiration=1,IF($A1262&lt;VLOOKUP(M$5,NFI,5,0),1,0)*Table_NFI[[#This Row],[Blanket]],Table_NFI[[#This Row],[Blanket]])</f>
        <v>0</v>
      </c>
      <c r="AE1262" s="294">
        <f>IF(NFI_Expiration=1,IF($A1262&lt;VLOOKUP(N$5,NFI,5,0),1,0)*Table_NFI[[#This Row],[Kitchen Set]],Table_NFI[Kitchen Set])</f>
        <v>0</v>
      </c>
      <c r="AF1262" s="294">
        <f>IF(NFI_Expiration=1,IF($A1262&lt;VLOOKUP(O$5,NFI,5,0),1,0)*Table_NFI[[#This Row],[Clothes Kit]],Table_NFI[Clothes Kit])</f>
        <v>0</v>
      </c>
      <c r="AG1262" s="294">
        <f>IF(NFI_Expiration=1,IF($A1262&lt;VLOOKUP(P$5,NFI,5,0),1,0)*Table_NFI[[#This Row],[Plastic Bucket]],Table_NFI[Plastic Bucket])</f>
        <v>0</v>
      </c>
      <c r="AH1262" s="294">
        <f>IF(NFI_Expiration=1,IF($A1262&lt;VLOOKUP(Q$5,NFI,5,0),1,0)*Table_NFI[[#This Row],[Plastic Mat]],Table_NFI[Plastic Mat])*IF(Table_NFI[[#This Row],[Distribution Date]]&gt;"2014-04-01",1,2.5)</f>
        <v>0</v>
      </c>
      <c r="AI1262" s="294">
        <f>IF(NFI_Expiration=1,IF($A1262&lt;VLOOKUP(R$5,NFI,5,0),1,0)*Table_NFI[[#This Row],[Winter Clothes Adult]],Table_NFI[Winter Clothes Adult])</f>
        <v>0</v>
      </c>
      <c r="AJ1262" s="294">
        <f>IF(NFI_Expiration=1,IF($A1262&lt;VLOOKUP(S$5,NFI,5,0),1,0)*Table_NFI[[#This Row],[Winter Clothes Children]],Table_NFI[Winter Clothes Children])</f>
        <v>0</v>
      </c>
      <c r="AK1262" s="294">
        <f>IF(NFI_Expiration=1,IF($A1262&lt;VLOOKUP(T$5,NFI,5,0),1,0)*Table_NFI[[#This Row],[Winter Items Other]],Table_NFI[Winter Items Other])</f>
        <v>0</v>
      </c>
      <c r="AL1262" s="294">
        <f>IF(NFI_Expiration=1,IF($A1262&lt;VLOOKUP(M$5,NFI,5,0),1,0)*Table_NFI[[#This Row],[Winter Blanket]],Table_NFI[[#This Row],[Winter Blanket]])</f>
        <v>0</v>
      </c>
      <c r="AM1262" s="294">
        <f>IF(Table_NFI[[#This Row],[Winter Clothes Adult]]+Table_NFI[[#This Row],[Winter Clothes Children]]+Table_NFI[[#This Row],[Winter Items Other]]+Table_NFI[[#This Row],[Winter Blanket]]&gt;0,1,0)</f>
        <v>0</v>
      </c>
      <c r="AN1262" s="331">
        <f>IF(NFI_Expiration=1,IF($A1262&lt;VLOOKUP(V$5,NFI,5,0),1,0)*Table_NFI[[#This Row],[Jerry Can]],Table_NFI[Jerry Can])</f>
        <v>0</v>
      </c>
      <c r="AO1262" s="331">
        <f>IF(NFI_Expiration=1,IF($A1262&lt;VLOOKUP(V$5,NFI,5,0),1,0)*Table_NFI[[#This Row],[Shelter Tool kit]],Table_NFI[Shelter Tool kit])</f>
        <v>0</v>
      </c>
      <c r="AP1262" s="331">
        <f>IF(NFI_Expiration=1,IF($A1262&lt;VLOOKUP(V$5,NFI,5,0),1,0)*Table_NFI[[#This Row],[Tent]],Table_NFI[Tent])</f>
        <v>0</v>
      </c>
      <c r="AQ1262" s="473" t="str">
        <f>IFERROR(VLOOKUP(Table_NFI[[#This Row],[Camp Name]],CL,2,0),"")</f>
        <v/>
      </c>
      <c r="AR1262" s="468" t="str">
        <f ca="1">IF(Table_NFI[[#This Row],[Pcode]]="","",IF(OFFSET(CampList[Opening Date],MATCH(Table_NFI[[#This Row],[Pcode]],CampList[CP_Pcode],0)-1,0,1,1)&gt;=NFI_Monitor_Date,1,0))</f>
        <v/>
      </c>
      <c r="AS1262" s="473" t="str">
        <f>IFERROR(VLOOKUP(Table_NFI[[#This Row],[Camp Name]],CL,3,0),"")</f>
        <v/>
      </c>
      <c r="AT1262" s="294" t="str">
        <f ca="1">IF(Table_NFI[[#This Row],[Pcode]]="","",OFFSET(CampList[Priority],MATCH(Table_NFI[[#This Row],[Pcode]],CampList[CP_Pcode],0)-1,0,1,1))</f>
        <v/>
      </c>
      <c r="AU1262" s="293" t="str">
        <f>IFERROR(Table_NFI[[#This Row],[Kitchen Set]]/VLOOKUP(Table_NFI[[#This Row],[Camp Name]],CL,4,0),"")</f>
        <v/>
      </c>
      <c r="AV1262" s="471"/>
      <c r="AW1262" s="474"/>
    </row>
    <row r="1263" spans="1:49" ht="14.45" customHeight="1" x14ac:dyDescent="0.25">
      <c r="A1263" s="297" t="str">
        <f t="shared" si="19"/>
        <v/>
      </c>
      <c r="B1263" s="465"/>
      <c r="C1263" s="471"/>
      <c r="D1263" s="471"/>
      <c r="E1263" s="471"/>
      <c r="F1263" s="471"/>
      <c r="G1263" s="471"/>
      <c r="H1263" s="292"/>
      <c r="I1263" s="292"/>
      <c r="J1263" s="292"/>
      <c r="K1263" s="292"/>
      <c r="L1263" s="292"/>
      <c r="M1263" s="292"/>
      <c r="N1263" s="292"/>
      <c r="O1263" s="292"/>
      <c r="P1263" s="294"/>
      <c r="Q1263" s="294"/>
      <c r="R1263" s="294"/>
      <c r="S1263" s="294"/>
      <c r="T1263" s="294"/>
      <c r="U1263" s="294"/>
      <c r="V1263" s="431"/>
      <c r="W1263" s="331"/>
      <c r="X1263" s="331"/>
      <c r="Y1263" s="294">
        <f>IF(NFI_Expiration=1,IF($A1263&lt;VLOOKUP(H$5,NFI,5,0),1,0)*Table_NFI[[#This Row],[Hygiene Kit]],Table_NFI[Hygiene Kit])</f>
        <v>0</v>
      </c>
      <c r="Z1263" s="294">
        <f>IF(NFI_Expiration=1,IF($A1263&lt;VLOOKUP(I$5,NFI,5,0),1,0)*Table_NFI[[#This Row],[NFI Core Kit]],Table_NFI[NFI Core Kit])</f>
        <v>0</v>
      </c>
      <c r="AA1263" s="294">
        <f>IF(NFI_Expiration=1,IF($A1263&lt;VLOOKUP(J$5,NFI,5,0),1,0)*Table_NFI[[#This Row],[Sanitary Kit]],Table_NFI[Sanitary Kit])</f>
        <v>0</v>
      </c>
      <c r="AB1263" s="294">
        <f>IF(NFI_Expiration=1,IF($A1263&lt;VLOOKUP(K$5,NFI,5,0),1,0)*Table_NFI[[#This Row],[Mosquito net]],Table_NFI[Mosquito net])</f>
        <v>0</v>
      </c>
      <c r="AC1263" s="294">
        <f>IF(NFI_Expiration=1,IF($A1263&lt;VLOOKUP(L$5,NFI,5,0),1,0)*Table_NFI[[#This Row],[Tarpaulin]],Table_NFI[[#This Row],[Tarpaulin]])</f>
        <v>0</v>
      </c>
      <c r="AD1263" s="294">
        <f>IF(NFI_Expiration=1,IF($A1263&lt;VLOOKUP(M$5,NFI,5,0),1,0)*Table_NFI[[#This Row],[Blanket]],Table_NFI[[#This Row],[Blanket]])</f>
        <v>0</v>
      </c>
      <c r="AE1263" s="294">
        <f>IF(NFI_Expiration=1,IF($A1263&lt;VLOOKUP(N$5,NFI,5,0),1,0)*Table_NFI[[#This Row],[Kitchen Set]],Table_NFI[Kitchen Set])</f>
        <v>0</v>
      </c>
      <c r="AF1263" s="294">
        <f>IF(NFI_Expiration=1,IF($A1263&lt;VLOOKUP(O$5,NFI,5,0),1,0)*Table_NFI[[#This Row],[Clothes Kit]],Table_NFI[Clothes Kit])</f>
        <v>0</v>
      </c>
      <c r="AG1263" s="294">
        <f>IF(NFI_Expiration=1,IF($A1263&lt;VLOOKUP(P$5,NFI,5,0),1,0)*Table_NFI[[#This Row],[Plastic Bucket]],Table_NFI[Plastic Bucket])</f>
        <v>0</v>
      </c>
      <c r="AH1263" s="294">
        <f>IF(NFI_Expiration=1,IF($A1263&lt;VLOOKUP(Q$5,NFI,5,0),1,0)*Table_NFI[[#This Row],[Plastic Mat]],Table_NFI[Plastic Mat])*IF(Table_NFI[[#This Row],[Distribution Date]]&gt;"2014-04-01",1,2.5)</f>
        <v>0</v>
      </c>
      <c r="AI1263" s="294">
        <f>IF(NFI_Expiration=1,IF($A1263&lt;VLOOKUP(R$5,NFI,5,0),1,0)*Table_NFI[[#This Row],[Winter Clothes Adult]],Table_NFI[Winter Clothes Adult])</f>
        <v>0</v>
      </c>
      <c r="AJ1263" s="294">
        <f>IF(NFI_Expiration=1,IF($A1263&lt;VLOOKUP(S$5,NFI,5,0),1,0)*Table_NFI[[#This Row],[Winter Clothes Children]],Table_NFI[Winter Clothes Children])</f>
        <v>0</v>
      </c>
      <c r="AK1263" s="294">
        <f>IF(NFI_Expiration=1,IF($A1263&lt;VLOOKUP(T$5,NFI,5,0),1,0)*Table_NFI[[#This Row],[Winter Items Other]],Table_NFI[Winter Items Other])</f>
        <v>0</v>
      </c>
      <c r="AL1263" s="294">
        <f>IF(NFI_Expiration=1,IF($A1263&lt;VLOOKUP(M$5,NFI,5,0),1,0)*Table_NFI[[#This Row],[Winter Blanket]],Table_NFI[[#This Row],[Winter Blanket]])</f>
        <v>0</v>
      </c>
      <c r="AM1263" s="294">
        <f>IF(Table_NFI[[#This Row],[Winter Clothes Adult]]+Table_NFI[[#This Row],[Winter Clothes Children]]+Table_NFI[[#This Row],[Winter Items Other]]+Table_NFI[[#This Row],[Winter Blanket]]&gt;0,1,0)</f>
        <v>0</v>
      </c>
      <c r="AN1263" s="331">
        <f>IF(NFI_Expiration=1,IF($A1263&lt;VLOOKUP(V$5,NFI,5,0),1,0)*Table_NFI[[#This Row],[Jerry Can]],Table_NFI[Jerry Can])</f>
        <v>0</v>
      </c>
      <c r="AO1263" s="331">
        <f>IF(NFI_Expiration=1,IF($A1263&lt;VLOOKUP(V$5,NFI,5,0),1,0)*Table_NFI[[#This Row],[Shelter Tool kit]],Table_NFI[Shelter Tool kit])</f>
        <v>0</v>
      </c>
      <c r="AP1263" s="331">
        <f>IF(NFI_Expiration=1,IF($A1263&lt;VLOOKUP(V$5,NFI,5,0),1,0)*Table_NFI[[#This Row],[Tent]],Table_NFI[Tent])</f>
        <v>0</v>
      </c>
      <c r="AQ1263" s="473" t="str">
        <f>IFERROR(VLOOKUP(Table_NFI[[#This Row],[Camp Name]],CL,2,0),"")</f>
        <v/>
      </c>
      <c r="AR1263" s="468" t="str">
        <f ca="1">IF(Table_NFI[[#This Row],[Pcode]]="","",IF(OFFSET(CampList[Opening Date],MATCH(Table_NFI[[#This Row],[Pcode]],CampList[CP_Pcode],0)-1,0,1,1)&gt;=NFI_Monitor_Date,1,0))</f>
        <v/>
      </c>
      <c r="AS1263" s="473" t="str">
        <f>IFERROR(VLOOKUP(Table_NFI[[#This Row],[Camp Name]],CL,3,0),"")</f>
        <v/>
      </c>
      <c r="AT1263" s="294" t="str">
        <f ca="1">IF(Table_NFI[[#This Row],[Pcode]]="","",OFFSET(CampList[Priority],MATCH(Table_NFI[[#This Row],[Pcode]],CampList[CP_Pcode],0)-1,0,1,1))</f>
        <v/>
      </c>
      <c r="AU1263" s="293" t="str">
        <f>IFERROR(Table_NFI[[#This Row],[Kitchen Set]]/VLOOKUP(Table_NFI[[#This Row],[Camp Name]],CL,4,0),"")</f>
        <v/>
      </c>
      <c r="AV1263" s="471"/>
      <c r="AW1263" s="474"/>
    </row>
    <row r="1264" spans="1:49" ht="14.45" customHeight="1" x14ac:dyDescent="0.25">
      <c r="A1264" s="297" t="str">
        <f t="shared" si="19"/>
        <v/>
      </c>
      <c r="B1264" s="465"/>
      <c r="C1264" s="471"/>
      <c r="D1264" s="471"/>
      <c r="E1264" s="471"/>
      <c r="F1264" s="471"/>
      <c r="G1264" s="471"/>
      <c r="H1264" s="292"/>
      <c r="I1264" s="292"/>
      <c r="J1264" s="292"/>
      <c r="K1264" s="292"/>
      <c r="L1264" s="292"/>
      <c r="M1264" s="292"/>
      <c r="N1264" s="292"/>
      <c r="O1264" s="292"/>
      <c r="P1264" s="294"/>
      <c r="Q1264" s="294"/>
      <c r="R1264" s="294"/>
      <c r="S1264" s="294"/>
      <c r="T1264" s="294"/>
      <c r="U1264" s="294"/>
      <c r="V1264" s="431"/>
      <c r="W1264" s="331"/>
      <c r="X1264" s="331"/>
      <c r="Y1264" s="294">
        <f>IF(NFI_Expiration=1,IF($A1264&lt;VLOOKUP(H$5,NFI,5,0),1,0)*Table_NFI[[#This Row],[Hygiene Kit]],Table_NFI[Hygiene Kit])</f>
        <v>0</v>
      </c>
      <c r="Z1264" s="294">
        <f>IF(NFI_Expiration=1,IF($A1264&lt;VLOOKUP(I$5,NFI,5,0),1,0)*Table_NFI[[#This Row],[NFI Core Kit]],Table_NFI[NFI Core Kit])</f>
        <v>0</v>
      </c>
      <c r="AA1264" s="294">
        <f>IF(NFI_Expiration=1,IF($A1264&lt;VLOOKUP(J$5,NFI,5,0),1,0)*Table_NFI[[#This Row],[Sanitary Kit]],Table_NFI[Sanitary Kit])</f>
        <v>0</v>
      </c>
      <c r="AB1264" s="294">
        <f>IF(NFI_Expiration=1,IF($A1264&lt;VLOOKUP(K$5,NFI,5,0),1,0)*Table_NFI[[#This Row],[Mosquito net]],Table_NFI[Mosquito net])</f>
        <v>0</v>
      </c>
      <c r="AC1264" s="294">
        <f>IF(NFI_Expiration=1,IF($A1264&lt;VLOOKUP(L$5,NFI,5,0),1,0)*Table_NFI[[#This Row],[Tarpaulin]],Table_NFI[[#This Row],[Tarpaulin]])</f>
        <v>0</v>
      </c>
      <c r="AD1264" s="294">
        <f>IF(NFI_Expiration=1,IF($A1264&lt;VLOOKUP(M$5,NFI,5,0),1,0)*Table_NFI[[#This Row],[Blanket]],Table_NFI[[#This Row],[Blanket]])</f>
        <v>0</v>
      </c>
      <c r="AE1264" s="294">
        <f>IF(NFI_Expiration=1,IF($A1264&lt;VLOOKUP(N$5,NFI,5,0),1,0)*Table_NFI[[#This Row],[Kitchen Set]],Table_NFI[Kitchen Set])</f>
        <v>0</v>
      </c>
      <c r="AF1264" s="294">
        <f>IF(NFI_Expiration=1,IF($A1264&lt;VLOOKUP(O$5,NFI,5,0),1,0)*Table_NFI[[#This Row],[Clothes Kit]],Table_NFI[Clothes Kit])</f>
        <v>0</v>
      </c>
      <c r="AG1264" s="294">
        <f>IF(NFI_Expiration=1,IF($A1264&lt;VLOOKUP(P$5,NFI,5,0),1,0)*Table_NFI[[#This Row],[Plastic Bucket]],Table_NFI[Plastic Bucket])</f>
        <v>0</v>
      </c>
      <c r="AH1264" s="294">
        <f>IF(NFI_Expiration=1,IF($A1264&lt;VLOOKUP(Q$5,NFI,5,0),1,0)*Table_NFI[[#This Row],[Plastic Mat]],Table_NFI[Plastic Mat])*IF(Table_NFI[[#This Row],[Distribution Date]]&gt;"2014-04-01",1,2.5)</f>
        <v>0</v>
      </c>
      <c r="AI1264" s="294">
        <f>IF(NFI_Expiration=1,IF($A1264&lt;VLOOKUP(R$5,NFI,5,0),1,0)*Table_NFI[[#This Row],[Winter Clothes Adult]],Table_NFI[Winter Clothes Adult])</f>
        <v>0</v>
      </c>
      <c r="AJ1264" s="294">
        <f>IF(NFI_Expiration=1,IF($A1264&lt;VLOOKUP(S$5,NFI,5,0),1,0)*Table_NFI[[#This Row],[Winter Clothes Children]],Table_NFI[Winter Clothes Children])</f>
        <v>0</v>
      </c>
      <c r="AK1264" s="294">
        <f>IF(NFI_Expiration=1,IF($A1264&lt;VLOOKUP(T$5,NFI,5,0),1,0)*Table_NFI[[#This Row],[Winter Items Other]],Table_NFI[Winter Items Other])</f>
        <v>0</v>
      </c>
      <c r="AL1264" s="294">
        <f>IF(NFI_Expiration=1,IF($A1264&lt;VLOOKUP(M$5,NFI,5,0),1,0)*Table_NFI[[#This Row],[Winter Blanket]],Table_NFI[[#This Row],[Winter Blanket]])</f>
        <v>0</v>
      </c>
      <c r="AM1264" s="294">
        <f>IF(Table_NFI[[#This Row],[Winter Clothes Adult]]+Table_NFI[[#This Row],[Winter Clothes Children]]+Table_NFI[[#This Row],[Winter Items Other]]+Table_NFI[[#This Row],[Winter Blanket]]&gt;0,1,0)</f>
        <v>0</v>
      </c>
      <c r="AN1264" s="331">
        <f>IF(NFI_Expiration=1,IF($A1264&lt;VLOOKUP(V$5,NFI,5,0),1,0)*Table_NFI[[#This Row],[Jerry Can]],Table_NFI[Jerry Can])</f>
        <v>0</v>
      </c>
      <c r="AO1264" s="331">
        <f>IF(NFI_Expiration=1,IF($A1264&lt;VLOOKUP(V$5,NFI,5,0),1,0)*Table_NFI[[#This Row],[Shelter Tool kit]],Table_NFI[Shelter Tool kit])</f>
        <v>0</v>
      </c>
      <c r="AP1264" s="331">
        <f>IF(NFI_Expiration=1,IF($A1264&lt;VLOOKUP(V$5,NFI,5,0),1,0)*Table_NFI[[#This Row],[Tent]],Table_NFI[Tent])</f>
        <v>0</v>
      </c>
      <c r="AQ1264" s="473" t="str">
        <f>IFERROR(VLOOKUP(Table_NFI[[#This Row],[Camp Name]],CL,2,0),"")</f>
        <v/>
      </c>
      <c r="AR1264" s="468" t="str">
        <f ca="1">IF(Table_NFI[[#This Row],[Pcode]]="","",IF(OFFSET(CampList[Opening Date],MATCH(Table_NFI[[#This Row],[Pcode]],CampList[CP_Pcode],0)-1,0,1,1)&gt;=NFI_Monitor_Date,1,0))</f>
        <v/>
      </c>
      <c r="AS1264" s="473" t="str">
        <f>IFERROR(VLOOKUP(Table_NFI[[#This Row],[Camp Name]],CL,3,0),"")</f>
        <v/>
      </c>
      <c r="AT1264" s="294" t="str">
        <f ca="1">IF(Table_NFI[[#This Row],[Pcode]]="","",OFFSET(CampList[Priority],MATCH(Table_NFI[[#This Row],[Pcode]],CampList[CP_Pcode],0)-1,0,1,1))</f>
        <v/>
      </c>
      <c r="AU1264" s="293" t="str">
        <f>IFERROR(Table_NFI[[#This Row],[Kitchen Set]]/VLOOKUP(Table_NFI[[#This Row],[Camp Name]],CL,4,0),"")</f>
        <v/>
      </c>
      <c r="AV1264" s="471"/>
      <c r="AW1264" s="474"/>
    </row>
    <row r="1265" spans="1:49" ht="14.45" customHeight="1" x14ac:dyDescent="0.25">
      <c r="A1265" s="297" t="str">
        <f t="shared" si="19"/>
        <v/>
      </c>
      <c r="B1265" s="465"/>
      <c r="C1265" s="471"/>
      <c r="D1265" s="471"/>
      <c r="E1265" s="471"/>
      <c r="F1265" s="471"/>
      <c r="G1265" s="471"/>
      <c r="H1265" s="292"/>
      <c r="I1265" s="292"/>
      <c r="J1265" s="292"/>
      <c r="K1265" s="292"/>
      <c r="L1265" s="292"/>
      <c r="M1265" s="292"/>
      <c r="N1265" s="292"/>
      <c r="O1265" s="292"/>
      <c r="P1265" s="294"/>
      <c r="Q1265" s="294"/>
      <c r="R1265" s="294"/>
      <c r="S1265" s="294"/>
      <c r="T1265" s="294"/>
      <c r="U1265" s="294"/>
      <c r="V1265" s="431"/>
      <c r="W1265" s="331"/>
      <c r="X1265" s="331"/>
      <c r="Y1265" s="294">
        <f>IF(NFI_Expiration=1,IF($A1265&lt;VLOOKUP(H$5,NFI,5,0),1,0)*Table_NFI[[#This Row],[Hygiene Kit]],Table_NFI[Hygiene Kit])</f>
        <v>0</v>
      </c>
      <c r="Z1265" s="294">
        <f>IF(NFI_Expiration=1,IF($A1265&lt;VLOOKUP(I$5,NFI,5,0),1,0)*Table_NFI[[#This Row],[NFI Core Kit]],Table_NFI[NFI Core Kit])</f>
        <v>0</v>
      </c>
      <c r="AA1265" s="294">
        <f>IF(NFI_Expiration=1,IF($A1265&lt;VLOOKUP(J$5,NFI,5,0),1,0)*Table_NFI[[#This Row],[Sanitary Kit]],Table_NFI[Sanitary Kit])</f>
        <v>0</v>
      </c>
      <c r="AB1265" s="294">
        <f>IF(NFI_Expiration=1,IF($A1265&lt;VLOOKUP(K$5,NFI,5,0),1,0)*Table_NFI[[#This Row],[Mosquito net]],Table_NFI[Mosquito net])</f>
        <v>0</v>
      </c>
      <c r="AC1265" s="294">
        <f>IF(NFI_Expiration=1,IF($A1265&lt;VLOOKUP(L$5,NFI,5,0),1,0)*Table_NFI[[#This Row],[Tarpaulin]],Table_NFI[[#This Row],[Tarpaulin]])</f>
        <v>0</v>
      </c>
      <c r="AD1265" s="294">
        <f>IF(NFI_Expiration=1,IF($A1265&lt;VLOOKUP(M$5,NFI,5,0),1,0)*Table_NFI[[#This Row],[Blanket]],Table_NFI[[#This Row],[Blanket]])</f>
        <v>0</v>
      </c>
      <c r="AE1265" s="294">
        <f>IF(NFI_Expiration=1,IF($A1265&lt;VLOOKUP(N$5,NFI,5,0),1,0)*Table_NFI[[#This Row],[Kitchen Set]],Table_NFI[Kitchen Set])</f>
        <v>0</v>
      </c>
      <c r="AF1265" s="294">
        <f>IF(NFI_Expiration=1,IF($A1265&lt;VLOOKUP(O$5,NFI,5,0),1,0)*Table_NFI[[#This Row],[Clothes Kit]],Table_NFI[Clothes Kit])</f>
        <v>0</v>
      </c>
      <c r="AG1265" s="294">
        <f>IF(NFI_Expiration=1,IF($A1265&lt;VLOOKUP(P$5,NFI,5,0),1,0)*Table_NFI[[#This Row],[Plastic Bucket]],Table_NFI[Plastic Bucket])</f>
        <v>0</v>
      </c>
      <c r="AH1265" s="294">
        <f>IF(NFI_Expiration=1,IF($A1265&lt;VLOOKUP(Q$5,NFI,5,0),1,0)*Table_NFI[[#This Row],[Plastic Mat]],Table_NFI[Plastic Mat])*IF(Table_NFI[[#This Row],[Distribution Date]]&gt;"2014-04-01",1,2.5)</f>
        <v>0</v>
      </c>
      <c r="AI1265" s="294">
        <f>IF(NFI_Expiration=1,IF($A1265&lt;VLOOKUP(R$5,NFI,5,0),1,0)*Table_NFI[[#This Row],[Winter Clothes Adult]],Table_NFI[Winter Clothes Adult])</f>
        <v>0</v>
      </c>
      <c r="AJ1265" s="294">
        <f>IF(NFI_Expiration=1,IF($A1265&lt;VLOOKUP(S$5,NFI,5,0),1,0)*Table_NFI[[#This Row],[Winter Clothes Children]],Table_NFI[Winter Clothes Children])</f>
        <v>0</v>
      </c>
      <c r="AK1265" s="294">
        <f>IF(NFI_Expiration=1,IF($A1265&lt;VLOOKUP(T$5,NFI,5,0),1,0)*Table_NFI[[#This Row],[Winter Items Other]],Table_NFI[Winter Items Other])</f>
        <v>0</v>
      </c>
      <c r="AL1265" s="294">
        <f>IF(NFI_Expiration=1,IF($A1265&lt;VLOOKUP(M$5,NFI,5,0),1,0)*Table_NFI[[#This Row],[Winter Blanket]],Table_NFI[[#This Row],[Winter Blanket]])</f>
        <v>0</v>
      </c>
      <c r="AM1265" s="294">
        <f>IF(Table_NFI[[#This Row],[Winter Clothes Adult]]+Table_NFI[[#This Row],[Winter Clothes Children]]+Table_NFI[[#This Row],[Winter Items Other]]+Table_NFI[[#This Row],[Winter Blanket]]&gt;0,1,0)</f>
        <v>0</v>
      </c>
      <c r="AN1265" s="331">
        <f>IF(NFI_Expiration=1,IF($A1265&lt;VLOOKUP(V$5,NFI,5,0),1,0)*Table_NFI[[#This Row],[Jerry Can]],Table_NFI[Jerry Can])</f>
        <v>0</v>
      </c>
      <c r="AO1265" s="331">
        <f>IF(NFI_Expiration=1,IF($A1265&lt;VLOOKUP(V$5,NFI,5,0),1,0)*Table_NFI[[#This Row],[Shelter Tool kit]],Table_NFI[Shelter Tool kit])</f>
        <v>0</v>
      </c>
      <c r="AP1265" s="331">
        <f>IF(NFI_Expiration=1,IF($A1265&lt;VLOOKUP(V$5,NFI,5,0),1,0)*Table_NFI[[#This Row],[Tent]],Table_NFI[Tent])</f>
        <v>0</v>
      </c>
      <c r="AQ1265" s="473" t="str">
        <f>IFERROR(VLOOKUP(Table_NFI[[#This Row],[Camp Name]],CL,2,0),"")</f>
        <v/>
      </c>
      <c r="AR1265" s="468" t="str">
        <f ca="1">IF(Table_NFI[[#This Row],[Pcode]]="","",IF(OFFSET(CampList[Opening Date],MATCH(Table_NFI[[#This Row],[Pcode]],CampList[CP_Pcode],0)-1,0,1,1)&gt;=NFI_Monitor_Date,1,0))</f>
        <v/>
      </c>
      <c r="AS1265" s="473" t="str">
        <f>IFERROR(VLOOKUP(Table_NFI[[#This Row],[Camp Name]],CL,3,0),"")</f>
        <v/>
      </c>
      <c r="AT1265" s="294" t="str">
        <f ca="1">IF(Table_NFI[[#This Row],[Pcode]]="","",OFFSET(CampList[Priority],MATCH(Table_NFI[[#This Row],[Pcode]],CampList[CP_Pcode],0)-1,0,1,1))</f>
        <v/>
      </c>
      <c r="AU1265" s="293" t="str">
        <f>IFERROR(Table_NFI[[#This Row],[Kitchen Set]]/VLOOKUP(Table_NFI[[#This Row],[Camp Name]],CL,4,0),"")</f>
        <v/>
      </c>
      <c r="AV1265" s="471"/>
      <c r="AW1265" s="474"/>
    </row>
    <row r="1266" spans="1:49" ht="14.45" customHeight="1" x14ac:dyDescent="0.25">
      <c r="A1266" s="297" t="str">
        <f t="shared" si="19"/>
        <v/>
      </c>
      <c r="B1266" s="465"/>
      <c r="C1266" s="471"/>
      <c r="D1266" s="471"/>
      <c r="E1266" s="471"/>
      <c r="F1266" s="471"/>
      <c r="G1266" s="471"/>
      <c r="H1266" s="292"/>
      <c r="I1266" s="292"/>
      <c r="J1266" s="292"/>
      <c r="K1266" s="292"/>
      <c r="L1266" s="292"/>
      <c r="M1266" s="292"/>
      <c r="N1266" s="292"/>
      <c r="O1266" s="292"/>
      <c r="P1266" s="294"/>
      <c r="Q1266" s="294"/>
      <c r="R1266" s="294"/>
      <c r="S1266" s="294"/>
      <c r="T1266" s="294"/>
      <c r="U1266" s="294"/>
      <c r="V1266" s="431"/>
      <c r="W1266" s="331"/>
      <c r="X1266" s="331"/>
      <c r="Y1266" s="294">
        <f>IF(NFI_Expiration=1,IF($A1266&lt;VLOOKUP(H$5,NFI,5,0),1,0)*Table_NFI[[#This Row],[Hygiene Kit]],Table_NFI[Hygiene Kit])</f>
        <v>0</v>
      </c>
      <c r="Z1266" s="294">
        <f>IF(NFI_Expiration=1,IF($A1266&lt;VLOOKUP(I$5,NFI,5,0),1,0)*Table_NFI[[#This Row],[NFI Core Kit]],Table_NFI[NFI Core Kit])</f>
        <v>0</v>
      </c>
      <c r="AA1266" s="294">
        <f>IF(NFI_Expiration=1,IF($A1266&lt;VLOOKUP(J$5,NFI,5,0),1,0)*Table_NFI[[#This Row],[Sanitary Kit]],Table_NFI[Sanitary Kit])</f>
        <v>0</v>
      </c>
      <c r="AB1266" s="294">
        <f>IF(NFI_Expiration=1,IF($A1266&lt;VLOOKUP(K$5,NFI,5,0),1,0)*Table_NFI[[#This Row],[Mosquito net]],Table_NFI[Mosquito net])</f>
        <v>0</v>
      </c>
      <c r="AC1266" s="294">
        <f>IF(NFI_Expiration=1,IF($A1266&lt;VLOOKUP(L$5,NFI,5,0),1,0)*Table_NFI[[#This Row],[Tarpaulin]],Table_NFI[[#This Row],[Tarpaulin]])</f>
        <v>0</v>
      </c>
      <c r="AD1266" s="294">
        <f>IF(NFI_Expiration=1,IF($A1266&lt;VLOOKUP(M$5,NFI,5,0),1,0)*Table_NFI[[#This Row],[Blanket]],Table_NFI[[#This Row],[Blanket]])</f>
        <v>0</v>
      </c>
      <c r="AE1266" s="294">
        <f>IF(NFI_Expiration=1,IF($A1266&lt;VLOOKUP(N$5,NFI,5,0),1,0)*Table_NFI[[#This Row],[Kitchen Set]],Table_NFI[Kitchen Set])</f>
        <v>0</v>
      </c>
      <c r="AF1266" s="294">
        <f>IF(NFI_Expiration=1,IF($A1266&lt;VLOOKUP(O$5,NFI,5,0),1,0)*Table_NFI[[#This Row],[Clothes Kit]],Table_NFI[Clothes Kit])</f>
        <v>0</v>
      </c>
      <c r="AG1266" s="294">
        <f>IF(NFI_Expiration=1,IF($A1266&lt;VLOOKUP(P$5,NFI,5,0),1,0)*Table_NFI[[#This Row],[Plastic Bucket]],Table_NFI[Plastic Bucket])</f>
        <v>0</v>
      </c>
      <c r="AH1266" s="294">
        <f>IF(NFI_Expiration=1,IF($A1266&lt;VLOOKUP(Q$5,NFI,5,0),1,0)*Table_NFI[[#This Row],[Plastic Mat]],Table_NFI[Plastic Mat])*IF(Table_NFI[[#This Row],[Distribution Date]]&gt;"2014-04-01",1,2.5)</f>
        <v>0</v>
      </c>
      <c r="AI1266" s="294">
        <f>IF(NFI_Expiration=1,IF($A1266&lt;VLOOKUP(R$5,NFI,5,0),1,0)*Table_NFI[[#This Row],[Winter Clothes Adult]],Table_NFI[Winter Clothes Adult])</f>
        <v>0</v>
      </c>
      <c r="AJ1266" s="294">
        <f>IF(NFI_Expiration=1,IF($A1266&lt;VLOOKUP(S$5,NFI,5,0),1,0)*Table_NFI[[#This Row],[Winter Clothes Children]],Table_NFI[Winter Clothes Children])</f>
        <v>0</v>
      </c>
      <c r="AK1266" s="294">
        <f>IF(NFI_Expiration=1,IF($A1266&lt;VLOOKUP(T$5,NFI,5,0),1,0)*Table_NFI[[#This Row],[Winter Items Other]],Table_NFI[Winter Items Other])</f>
        <v>0</v>
      </c>
      <c r="AL1266" s="294">
        <f>IF(NFI_Expiration=1,IF($A1266&lt;VLOOKUP(M$5,NFI,5,0),1,0)*Table_NFI[[#This Row],[Winter Blanket]],Table_NFI[[#This Row],[Winter Blanket]])</f>
        <v>0</v>
      </c>
      <c r="AM1266" s="294">
        <f>IF(Table_NFI[[#This Row],[Winter Clothes Adult]]+Table_NFI[[#This Row],[Winter Clothes Children]]+Table_NFI[[#This Row],[Winter Items Other]]+Table_NFI[[#This Row],[Winter Blanket]]&gt;0,1,0)</f>
        <v>0</v>
      </c>
      <c r="AN1266" s="331">
        <f>IF(NFI_Expiration=1,IF($A1266&lt;VLOOKUP(V$5,NFI,5,0),1,0)*Table_NFI[[#This Row],[Jerry Can]],Table_NFI[Jerry Can])</f>
        <v>0</v>
      </c>
      <c r="AO1266" s="331">
        <f>IF(NFI_Expiration=1,IF($A1266&lt;VLOOKUP(V$5,NFI,5,0),1,0)*Table_NFI[[#This Row],[Shelter Tool kit]],Table_NFI[Shelter Tool kit])</f>
        <v>0</v>
      </c>
      <c r="AP1266" s="331">
        <f>IF(NFI_Expiration=1,IF($A1266&lt;VLOOKUP(V$5,NFI,5,0),1,0)*Table_NFI[[#This Row],[Tent]],Table_NFI[Tent])</f>
        <v>0</v>
      </c>
      <c r="AQ1266" s="473" t="str">
        <f>IFERROR(VLOOKUP(Table_NFI[[#This Row],[Camp Name]],CL,2,0),"")</f>
        <v/>
      </c>
      <c r="AR1266" s="468" t="str">
        <f ca="1">IF(Table_NFI[[#This Row],[Pcode]]="","",IF(OFFSET(CampList[Opening Date],MATCH(Table_NFI[[#This Row],[Pcode]],CampList[CP_Pcode],0)-1,0,1,1)&gt;=NFI_Monitor_Date,1,0))</f>
        <v/>
      </c>
      <c r="AS1266" s="473" t="str">
        <f>IFERROR(VLOOKUP(Table_NFI[[#This Row],[Camp Name]],CL,3,0),"")</f>
        <v/>
      </c>
      <c r="AT1266" s="294" t="str">
        <f ca="1">IF(Table_NFI[[#This Row],[Pcode]]="","",OFFSET(CampList[Priority],MATCH(Table_NFI[[#This Row],[Pcode]],CampList[CP_Pcode],0)-1,0,1,1))</f>
        <v/>
      </c>
      <c r="AU1266" s="293" t="str">
        <f>IFERROR(Table_NFI[[#This Row],[Kitchen Set]]/VLOOKUP(Table_NFI[[#This Row],[Camp Name]],CL,4,0),"")</f>
        <v/>
      </c>
      <c r="AV1266" s="471"/>
      <c r="AW1266" s="474"/>
    </row>
    <row r="1267" spans="1:49" ht="14.45" customHeight="1" x14ac:dyDescent="0.25">
      <c r="A1267" s="297" t="str">
        <f t="shared" si="19"/>
        <v/>
      </c>
      <c r="B1267" s="465"/>
      <c r="C1267" s="471"/>
      <c r="D1267" s="471"/>
      <c r="E1267" s="471"/>
      <c r="F1267" s="471"/>
      <c r="G1267" s="471"/>
      <c r="H1267" s="292"/>
      <c r="I1267" s="292"/>
      <c r="J1267" s="292"/>
      <c r="K1267" s="292"/>
      <c r="L1267" s="292"/>
      <c r="M1267" s="292"/>
      <c r="N1267" s="292"/>
      <c r="O1267" s="292"/>
      <c r="P1267" s="294"/>
      <c r="Q1267" s="294"/>
      <c r="R1267" s="294"/>
      <c r="S1267" s="294"/>
      <c r="T1267" s="294"/>
      <c r="U1267" s="294"/>
      <c r="V1267" s="431"/>
      <c r="W1267" s="331"/>
      <c r="X1267" s="331"/>
      <c r="Y1267" s="294">
        <f>IF(NFI_Expiration=1,IF($A1267&lt;VLOOKUP(H$5,NFI,5,0),1,0)*Table_NFI[[#This Row],[Hygiene Kit]],Table_NFI[Hygiene Kit])</f>
        <v>0</v>
      </c>
      <c r="Z1267" s="294">
        <f>IF(NFI_Expiration=1,IF($A1267&lt;VLOOKUP(I$5,NFI,5,0),1,0)*Table_NFI[[#This Row],[NFI Core Kit]],Table_NFI[NFI Core Kit])</f>
        <v>0</v>
      </c>
      <c r="AA1267" s="294">
        <f>IF(NFI_Expiration=1,IF($A1267&lt;VLOOKUP(J$5,NFI,5,0),1,0)*Table_NFI[[#This Row],[Sanitary Kit]],Table_NFI[Sanitary Kit])</f>
        <v>0</v>
      </c>
      <c r="AB1267" s="294">
        <f>IF(NFI_Expiration=1,IF($A1267&lt;VLOOKUP(K$5,NFI,5,0),1,0)*Table_NFI[[#This Row],[Mosquito net]],Table_NFI[Mosquito net])</f>
        <v>0</v>
      </c>
      <c r="AC1267" s="294">
        <f>IF(NFI_Expiration=1,IF($A1267&lt;VLOOKUP(L$5,NFI,5,0),1,0)*Table_NFI[[#This Row],[Tarpaulin]],Table_NFI[[#This Row],[Tarpaulin]])</f>
        <v>0</v>
      </c>
      <c r="AD1267" s="294">
        <f>IF(NFI_Expiration=1,IF($A1267&lt;VLOOKUP(M$5,NFI,5,0),1,0)*Table_NFI[[#This Row],[Blanket]],Table_NFI[[#This Row],[Blanket]])</f>
        <v>0</v>
      </c>
      <c r="AE1267" s="294">
        <f>IF(NFI_Expiration=1,IF($A1267&lt;VLOOKUP(N$5,NFI,5,0),1,0)*Table_NFI[[#This Row],[Kitchen Set]],Table_NFI[Kitchen Set])</f>
        <v>0</v>
      </c>
      <c r="AF1267" s="294">
        <f>IF(NFI_Expiration=1,IF($A1267&lt;VLOOKUP(O$5,NFI,5,0),1,0)*Table_NFI[[#This Row],[Clothes Kit]],Table_NFI[Clothes Kit])</f>
        <v>0</v>
      </c>
      <c r="AG1267" s="294">
        <f>IF(NFI_Expiration=1,IF($A1267&lt;VLOOKUP(P$5,NFI,5,0),1,0)*Table_NFI[[#This Row],[Plastic Bucket]],Table_NFI[Plastic Bucket])</f>
        <v>0</v>
      </c>
      <c r="AH1267" s="294">
        <f>IF(NFI_Expiration=1,IF($A1267&lt;VLOOKUP(Q$5,NFI,5,0),1,0)*Table_NFI[[#This Row],[Plastic Mat]],Table_NFI[Plastic Mat])*IF(Table_NFI[[#This Row],[Distribution Date]]&gt;"2014-04-01",1,2.5)</f>
        <v>0</v>
      </c>
      <c r="AI1267" s="294">
        <f>IF(NFI_Expiration=1,IF($A1267&lt;VLOOKUP(R$5,NFI,5,0),1,0)*Table_NFI[[#This Row],[Winter Clothes Adult]],Table_NFI[Winter Clothes Adult])</f>
        <v>0</v>
      </c>
      <c r="AJ1267" s="294">
        <f>IF(NFI_Expiration=1,IF($A1267&lt;VLOOKUP(S$5,NFI,5,0),1,0)*Table_NFI[[#This Row],[Winter Clothes Children]],Table_NFI[Winter Clothes Children])</f>
        <v>0</v>
      </c>
      <c r="AK1267" s="294">
        <f>IF(NFI_Expiration=1,IF($A1267&lt;VLOOKUP(T$5,NFI,5,0),1,0)*Table_NFI[[#This Row],[Winter Items Other]],Table_NFI[Winter Items Other])</f>
        <v>0</v>
      </c>
      <c r="AL1267" s="294">
        <f>IF(NFI_Expiration=1,IF($A1267&lt;VLOOKUP(M$5,NFI,5,0),1,0)*Table_NFI[[#This Row],[Winter Blanket]],Table_NFI[[#This Row],[Winter Blanket]])</f>
        <v>0</v>
      </c>
      <c r="AM1267" s="294">
        <f>IF(Table_NFI[[#This Row],[Winter Clothes Adult]]+Table_NFI[[#This Row],[Winter Clothes Children]]+Table_NFI[[#This Row],[Winter Items Other]]+Table_NFI[[#This Row],[Winter Blanket]]&gt;0,1,0)</f>
        <v>0</v>
      </c>
      <c r="AN1267" s="331">
        <f>IF(NFI_Expiration=1,IF($A1267&lt;VLOOKUP(V$5,NFI,5,0),1,0)*Table_NFI[[#This Row],[Jerry Can]],Table_NFI[Jerry Can])</f>
        <v>0</v>
      </c>
      <c r="AO1267" s="331">
        <f>IF(NFI_Expiration=1,IF($A1267&lt;VLOOKUP(V$5,NFI,5,0),1,0)*Table_NFI[[#This Row],[Shelter Tool kit]],Table_NFI[Shelter Tool kit])</f>
        <v>0</v>
      </c>
      <c r="AP1267" s="331">
        <f>IF(NFI_Expiration=1,IF($A1267&lt;VLOOKUP(V$5,NFI,5,0),1,0)*Table_NFI[[#This Row],[Tent]],Table_NFI[Tent])</f>
        <v>0</v>
      </c>
      <c r="AQ1267" s="473" t="str">
        <f>IFERROR(VLOOKUP(Table_NFI[[#This Row],[Camp Name]],CL,2,0),"")</f>
        <v/>
      </c>
      <c r="AR1267" s="468" t="str">
        <f ca="1">IF(Table_NFI[[#This Row],[Pcode]]="","",IF(OFFSET(CampList[Opening Date],MATCH(Table_NFI[[#This Row],[Pcode]],CampList[CP_Pcode],0)-1,0,1,1)&gt;=NFI_Monitor_Date,1,0))</f>
        <v/>
      </c>
      <c r="AS1267" s="473" t="str">
        <f>IFERROR(VLOOKUP(Table_NFI[[#This Row],[Camp Name]],CL,3,0),"")</f>
        <v/>
      </c>
      <c r="AT1267" s="294" t="str">
        <f ca="1">IF(Table_NFI[[#This Row],[Pcode]]="","",OFFSET(CampList[Priority],MATCH(Table_NFI[[#This Row],[Pcode]],CampList[CP_Pcode],0)-1,0,1,1))</f>
        <v/>
      </c>
      <c r="AU1267" s="293" t="str">
        <f>IFERROR(Table_NFI[[#This Row],[Kitchen Set]]/VLOOKUP(Table_NFI[[#This Row],[Camp Name]],CL,4,0),"")</f>
        <v/>
      </c>
      <c r="AV1267" s="471"/>
      <c r="AW1267" s="474"/>
    </row>
    <row r="1268" spans="1:49" ht="14.45" customHeight="1" x14ac:dyDescent="0.25">
      <c r="A1268" s="297" t="str">
        <f t="shared" si="19"/>
        <v/>
      </c>
      <c r="B1268" s="465"/>
      <c r="C1268" s="471"/>
      <c r="D1268" s="471"/>
      <c r="E1268" s="471"/>
      <c r="F1268" s="471"/>
      <c r="G1268" s="471"/>
      <c r="H1268" s="292"/>
      <c r="I1268" s="292"/>
      <c r="J1268" s="292"/>
      <c r="K1268" s="292"/>
      <c r="L1268" s="292"/>
      <c r="M1268" s="292"/>
      <c r="N1268" s="292"/>
      <c r="O1268" s="292"/>
      <c r="P1268" s="294"/>
      <c r="Q1268" s="294"/>
      <c r="R1268" s="294"/>
      <c r="S1268" s="294"/>
      <c r="T1268" s="294"/>
      <c r="U1268" s="294"/>
      <c r="V1268" s="431"/>
      <c r="W1268" s="331"/>
      <c r="X1268" s="331"/>
      <c r="Y1268" s="294">
        <f>IF(NFI_Expiration=1,IF($A1268&lt;VLOOKUP(H$5,NFI,5,0),1,0)*Table_NFI[[#This Row],[Hygiene Kit]],Table_NFI[Hygiene Kit])</f>
        <v>0</v>
      </c>
      <c r="Z1268" s="294">
        <f>IF(NFI_Expiration=1,IF($A1268&lt;VLOOKUP(I$5,NFI,5,0),1,0)*Table_NFI[[#This Row],[NFI Core Kit]],Table_NFI[NFI Core Kit])</f>
        <v>0</v>
      </c>
      <c r="AA1268" s="294">
        <f>IF(NFI_Expiration=1,IF($A1268&lt;VLOOKUP(J$5,NFI,5,0),1,0)*Table_NFI[[#This Row],[Sanitary Kit]],Table_NFI[Sanitary Kit])</f>
        <v>0</v>
      </c>
      <c r="AB1268" s="294">
        <f>IF(NFI_Expiration=1,IF($A1268&lt;VLOOKUP(K$5,NFI,5,0),1,0)*Table_NFI[[#This Row],[Mosquito net]],Table_NFI[Mosquito net])</f>
        <v>0</v>
      </c>
      <c r="AC1268" s="294">
        <f>IF(NFI_Expiration=1,IF($A1268&lt;VLOOKUP(L$5,NFI,5,0),1,0)*Table_NFI[[#This Row],[Tarpaulin]],Table_NFI[[#This Row],[Tarpaulin]])</f>
        <v>0</v>
      </c>
      <c r="AD1268" s="294">
        <f>IF(NFI_Expiration=1,IF($A1268&lt;VLOOKUP(M$5,NFI,5,0),1,0)*Table_NFI[[#This Row],[Blanket]],Table_NFI[[#This Row],[Blanket]])</f>
        <v>0</v>
      </c>
      <c r="AE1268" s="294">
        <f>IF(NFI_Expiration=1,IF($A1268&lt;VLOOKUP(N$5,NFI,5,0),1,0)*Table_NFI[[#This Row],[Kitchen Set]],Table_NFI[Kitchen Set])</f>
        <v>0</v>
      </c>
      <c r="AF1268" s="294">
        <f>IF(NFI_Expiration=1,IF($A1268&lt;VLOOKUP(O$5,NFI,5,0),1,0)*Table_NFI[[#This Row],[Clothes Kit]],Table_NFI[Clothes Kit])</f>
        <v>0</v>
      </c>
      <c r="AG1268" s="294">
        <f>IF(NFI_Expiration=1,IF($A1268&lt;VLOOKUP(P$5,NFI,5,0),1,0)*Table_NFI[[#This Row],[Plastic Bucket]],Table_NFI[Plastic Bucket])</f>
        <v>0</v>
      </c>
      <c r="AH1268" s="294">
        <f>IF(NFI_Expiration=1,IF($A1268&lt;VLOOKUP(Q$5,NFI,5,0),1,0)*Table_NFI[[#This Row],[Plastic Mat]],Table_NFI[Plastic Mat])*IF(Table_NFI[[#This Row],[Distribution Date]]&gt;"2014-04-01",1,2.5)</f>
        <v>0</v>
      </c>
      <c r="AI1268" s="294">
        <f>IF(NFI_Expiration=1,IF($A1268&lt;VLOOKUP(R$5,NFI,5,0),1,0)*Table_NFI[[#This Row],[Winter Clothes Adult]],Table_NFI[Winter Clothes Adult])</f>
        <v>0</v>
      </c>
      <c r="AJ1268" s="294">
        <f>IF(NFI_Expiration=1,IF($A1268&lt;VLOOKUP(S$5,NFI,5,0),1,0)*Table_NFI[[#This Row],[Winter Clothes Children]],Table_NFI[Winter Clothes Children])</f>
        <v>0</v>
      </c>
      <c r="AK1268" s="294">
        <f>IF(NFI_Expiration=1,IF($A1268&lt;VLOOKUP(T$5,NFI,5,0),1,0)*Table_NFI[[#This Row],[Winter Items Other]],Table_NFI[Winter Items Other])</f>
        <v>0</v>
      </c>
      <c r="AL1268" s="294">
        <f>IF(NFI_Expiration=1,IF($A1268&lt;VLOOKUP(M$5,NFI,5,0),1,0)*Table_NFI[[#This Row],[Winter Blanket]],Table_NFI[[#This Row],[Winter Blanket]])</f>
        <v>0</v>
      </c>
      <c r="AM1268" s="294">
        <f>IF(Table_NFI[[#This Row],[Winter Clothes Adult]]+Table_NFI[[#This Row],[Winter Clothes Children]]+Table_NFI[[#This Row],[Winter Items Other]]+Table_NFI[[#This Row],[Winter Blanket]]&gt;0,1,0)</f>
        <v>0</v>
      </c>
      <c r="AN1268" s="331">
        <f>IF(NFI_Expiration=1,IF($A1268&lt;VLOOKUP(V$5,NFI,5,0),1,0)*Table_NFI[[#This Row],[Jerry Can]],Table_NFI[Jerry Can])</f>
        <v>0</v>
      </c>
      <c r="AO1268" s="331">
        <f>IF(NFI_Expiration=1,IF($A1268&lt;VLOOKUP(V$5,NFI,5,0),1,0)*Table_NFI[[#This Row],[Shelter Tool kit]],Table_NFI[Shelter Tool kit])</f>
        <v>0</v>
      </c>
      <c r="AP1268" s="331">
        <f>IF(NFI_Expiration=1,IF($A1268&lt;VLOOKUP(V$5,NFI,5,0),1,0)*Table_NFI[[#This Row],[Tent]],Table_NFI[Tent])</f>
        <v>0</v>
      </c>
      <c r="AQ1268" s="473" t="str">
        <f>IFERROR(VLOOKUP(Table_NFI[[#This Row],[Camp Name]],CL,2,0),"")</f>
        <v/>
      </c>
      <c r="AR1268" s="468" t="str">
        <f ca="1">IF(Table_NFI[[#This Row],[Pcode]]="","",IF(OFFSET(CampList[Opening Date],MATCH(Table_NFI[[#This Row],[Pcode]],CampList[CP_Pcode],0)-1,0,1,1)&gt;=NFI_Monitor_Date,1,0))</f>
        <v/>
      </c>
      <c r="AS1268" s="473" t="str">
        <f>IFERROR(VLOOKUP(Table_NFI[[#This Row],[Camp Name]],CL,3,0),"")</f>
        <v/>
      </c>
      <c r="AT1268" s="294" t="str">
        <f ca="1">IF(Table_NFI[[#This Row],[Pcode]]="","",OFFSET(CampList[Priority],MATCH(Table_NFI[[#This Row],[Pcode]],CampList[CP_Pcode],0)-1,0,1,1))</f>
        <v/>
      </c>
      <c r="AU1268" s="293" t="str">
        <f>IFERROR(Table_NFI[[#This Row],[Kitchen Set]]/VLOOKUP(Table_NFI[[#This Row],[Camp Name]],CL,4,0),"")</f>
        <v/>
      </c>
      <c r="AV1268" s="471"/>
      <c r="AW1268" s="474"/>
    </row>
    <row r="1269" spans="1:49" ht="14.45" customHeight="1" x14ac:dyDescent="0.25">
      <c r="A1269" s="297" t="str">
        <f t="shared" si="19"/>
        <v/>
      </c>
      <c r="B1269" s="465"/>
      <c r="C1269" s="471"/>
      <c r="D1269" s="471"/>
      <c r="E1269" s="471"/>
      <c r="F1269" s="471"/>
      <c r="G1269" s="471"/>
      <c r="H1269" s="292"/>
      <c r="I1269" s="292"/>
      <c r="J1269" s="292"/>
      <c r="K1269" s="292"/>
      <c r="L1269" s="292"/>
      <c r="M1269" s="292"/>
      <c r="N1269" s="292"/>
      <c r="O1269" s="292"/>
      <c r="P1269" s="294"/>
      <c r="Q1269" s="294"/>
      <c r="R1269" s="294"/>
      <c r="S1269" s="294"/>
      <c r="T1269" s="294"/>
      <c r="U1269" s="294"/>
      <c r="V1269" s="431"/>
      <c r="W1269" s="331"/>
      <c r="X1269" s="331"/>
      <c r="Y1269" s="294">
        <f>IF(NFI_Expiration=1,IF($A1269&lt;VLOOKUP(H$5,NFI,5,0),1,0)*Table_NFI[[#This Row],[Hygiene Kit]],Table_NFI[Hygiene Kit])</f>
        <v>0</v>
      </c>
      <c r="Z1269" s="294">
        <f>IF(NFI_Expiration=1,IF($A1269&lt;VLOOKUP(I$5,NFI,5,0),1,0)*Table_NFI[[#This Row],[NFI Core Kit]],Table_NFI[NFI Core Kit])</f>
        <v>0</v>
      </c>
      <c r="AA1269" s="294">
        <f>IF(NFI_Expiration=1,IF($A1269&lt;VLOOKUP(J$5,NFI,5,0),1,0)*Table_NFI[[#This Row],[Sanitary Kit]],Table_NFI[Sanitary Kit])</f>
        <v>0</v>
      </c>
      <c r="AB1269" s="294">
        <f>IF(NFI_Expiration=1,IF($A1269&lt;VLOOKUP(K$5,NFI,5,0),1,0)*Table_NFI[[#This Row],[Mosquito net]],Table_NFI[Mosquito net])</f>
        <v>0</v>
      </c>
      <c r="AC1269" s="294">
        <f>IF(NFI_Expiration=1,IF($A1269&lt;VLOOKUP(L$5,NFI,5,0),1,0)*Table_NFI[[#This Row],[Tarpaulin]],Table_NFI[[#This Row],[Tarpaulin]])</f>
        <v>0</v>
      </c>
      <c r="AD1269" s="294">
        <f>IF(NFI_Expiration=1,IF($A1269&lt;VLOOKUP(M$5,NFI,5,0),1,0)*Table_NFI[[#This Row],[Blanket]],Table_NFI[[#This Row],[Blanket]])</f>
        <v>0</v>
      </c>
      <c r="AE1269" s="294">
        <f>IF(NFI_Expiration=1,IF($A1269&lt;VLOOKUP(N$5,NFI,5,0),1,0)*Table_NFI[[#This Row],[Kitchen Set]],Table_NFI[Kitchen Set])</f>
        <v>0</v>
      </c>
      <c r="AF1269" s="294">
        <f>IF(NFI_Expiration=1,IF($A1269&lt;VLOOKUP(O$5,NFI,5,0),1,0)*Table_NFI[[#This Row],[Clothes Kit]],Table_NFI[Clothes Kit])</f>
        <v>0</v>
      </c>
      <c r="AG1269" s="294">
        <f>IF(NFI_Expiration=1,IF($A1269&lt;VLOOKUP(P$5,NFI,5,0),1,0)*Table_NFI[[#This Row],[Plastic Bucket]],Table_NFI[Plastic Bucket])</f>
        <v>0</v>
      </c>
      <c r="AH1269" s="294">
        <f>IF(NFI_Expiration=1,IF($A1269&lt;VLOOKUP(Q$5,NFI,5,0),1,0)*Table_NFI[[#This Row],[Plastic Mat]],Table_NFI[Plastic Mat])*IF(Table_NFI[[#This Row],[Distribution Date]]&gt;"2014-04-01",1,2.5)</f>
        <v>0</v>
      </c>
      <c r="AI1269" s="294">
        <f>IF(NFI_Expiration=1,IF($A1269&lt;VLOOKUP(R$5,NFI,5,0),1,0)*Table_NFI[[#This Row],[Winter Clothes Adult]],Table_NFI[Winter Clothes Adult])</f>
        <v>0</v>
      </c>
      <c r="AJ1269" s="294">
        <f>IF(NFI_Expiration=1,IF($A1269&lt;VLOOKUP(S$5,NFI,5,0),1,0)*Table_NFI[[#This Row],[Winter Clothes Children]],Table_NFI[Winter Clothes Children])</f>
        <v>0</v>
      </c>
      <c r="AK1269" s="294">
        <f>IF(NFI_Expiration=1,IF($A1269&lt;VLOOKUP(T$5,NFI,5,0),1,0)*Table_NFI[[#This Row],[Winter Items Other]],Table_NFI[Winter Items Other])</f>
        <v>0</v>
      </c>
      <c r="AL1269" s="294">
        <f>IF(NFI_Expiration=1,IF($A1269&lt;VLOOKUP(M$5,NFI,5,0),1,0)*Table_NFI[[#This Row],[Winter Blanket]],Table_NFI[[#This Row],[Winter Blanket]])</f>
        <v>0</v>
      </c>
      <c r="AM1269" s="294">
        <f>IF(Table_NFI[[#This Row],[Winter Clothes Adult]]+Table_NFI[[#This Row],[Winter Clothes Children]]+Table_NFI[[#This Row],[Winter Items Other]]+Table_NFI[[#This Row],[Winter Blanket]]&gt;0,1,0)</f>
        <v>0</v>
      </c>
      <c r="AN1269" s="331">
        <f>IF(NFI_Expiration=1,IF($A1269&lt;VLOOKUP(V$5,NFI,5,0),1,0)*Table_NFI[[#This Row],[Jerry Can]],Table_NFI[Jerry Can])</f>
        <v>0</v>
      </c>
      <c r="AO1269" s="331">
        <f>IF(NFI_Expiration=1,IF($A1269&lt;VLOOKUP(V$5,NFI,5,0),1,0)*Table_NFI[[#This Row],[Shelter Tool kit]],Table_NFI[Shelter Tool kit])</f>
        <v>0</v>
      </c>
      <c r="AP1269" s="331">
        <f>IF(NFI_Expiration=1,IF($A1269&lt;VLOOKUP(V$5,NFI,5,0),1,0)*Table_NFI[[#This Row],[Tent]],Table_NFI[Tent])</f>
        <v>0</v>
      </c>
      <c r="AQ1269" s="473" t="str">
        <f>IFERROR(VLOOKUP(Table_NFI[[#This Row],[Camp Name]],CL,2,0),"")</f>
        <v/>
      </c>
      <c r="AR1269" s="468" t="str">
        <f ca="1">IF(Table_NFI[[#This Row],[Pcode]]="","",IF(OFFSET(CampList[Opening Date],MATCH(Table_NFI[[#This Row],[Pcode]],CampList[CP_Pcode],0)-1,0,1,1)&gt;=NFI_Monitor_Date,1,0))</f>
        <v/>
      </c>
      <c r="AS1269" s="473" t="str">
        <f>IFERROR(VLOOKUP(Table_NFI[[#This Row],[Camp Name]],CL,3,0),"")</f>
        <v/>
      </c>
      <c r="AT1269" s="294" t="str">
        <f ca="1">IF(Table_NFI[[#This Row],[Pcode]]="","",OFFSET(CampList[Priority],MATCH(Table_NFI[[#This Row],[Pcode]],CampList[CP_Pcode],0)-1,0,1,1))</f>
        <v/>
      </c>
      <c r="AU1269" s="293" t="str">
        <f>IFERROR(Table_NFI[[#This Row],[Kitchen Set]]/VLOOKUP(Table_NFI[[#This Row],[Camp Name]],CL,4,0),"")</f>
        <v/>
      </c>
      <c r="AV1269" s="471"/>
      <c r="AW1269" s="474"/>
    </row>
    <row r="1270" spans="1:49" ht="14.45" customHeight="1" x14ac:dyDescent="0.25">
      <c r="A1270" s="297" t="str">
        <f t="shared" si="19"/>
        <v/>
      </c>
      <c r="B1270" s="465"/>
      <c r="C1270" s="471"/>
      <c r="D1270" s="471"/>
      <c r="E1270" s="471"/>
      <c r="F1270" s="471"/>
      <c r="G1270" s="471"/>
      <c r="H1270" s="292"/>
      <c r="I1270" s="292"/>
      <c r="J1270" s="292"/>
      <c r="K1270" s="292"/>
      <c r="L1270" s="292"/>
      <c r="M1270" s="292"/>
      <c r="N1270" s="292"/>
      <c r="O1270" s="292"/>
      <c r="P1270" s="294"/>
      <c r="Q1270" s="294"/>
      <c r="R1270" s="294"/>
      <c r="S1270" s="294"/>
      <c r="T1270" s="294"/>
      <c r="U1270" s="294"/>
      <c r="V1270" s="431"/>
      <c r="W1270" s="331"/>
      <c r="X1270" s="331"/>
      <c r="Y1270" s="294">
        <f>IF(NFI_Expiration=1,IF($A1270&lt;VLOOKUP(H$5,NFI,5,0),1,0)*Table_NFI[[#This Row],[Hygiene Kit]],Table_NFI[Hygiene Kit])</f>
        <v>0</v>
      </c>
      <c r="Z1270" s="294">
        <f>IF(NFI_Expiration=1,IF($A1270&lt;VLOOKUP(I$5,NFI,5,0),1,0)*Table_NFI[[#This Row],[NFI Core Kit]],Table_NFI[NFI Core Kit])</f>
        <v>0</v>
      </c>
      <c r="AA1270" s="294">
        <f>IF(NFI_Expiration=1,IF($A1270&lt;VLOOKUP(J$5,NFI,5,0),1,0)*Table_NFI[[#This Row],[Sanitary Kit]],Table_NFI[Sanitary Kit])</f>
        <v>0</v>
      </c>
      <c r="AB1270" s="294">
        <f>IF(NFI_Expiration=1,IF($A1270&lt;VLOOKUP(K$5,NFI,5,0),1,0)*Table_NFI[[#This Row],[Mosquito net]],Table_NFI[Mosquito net])</f>
        <v>0</v>
      </c>
      <c r="AC1270" s="294">
        <f>IF(NFI_Expiration=1,IF($A1270&lt;VLOOKUP(L$5,NFI,5,0),1,0)*Table_NFI[[#This Row],[Tarpaulin]],Table_NFI[[#This Row],[Tarpaulin]])</f>
        <v>0</v>
      </c>
      <c r="AD1270" s="294">
        <f>IF(NFI_Expiration=1,IF($A1270&lt;VLOOKUP(M$5,NFI,5,0),1,0)*Table_NFI[[#This Row],[Blanket]],Table_NFI[[#This Row],[Blanket]])</f>
        <v>0</v>
      </c>
      <c r="AE1270" s="294">
        <f>IF(NFI_Expiration=1,IF($A1270&lt;VLOOKUP(N$5,NFI,5,0),1,0)*Table_NFI[[#This Row],[Kitchen Set]],Table_NFI[Kitchen Set])</f>
        <v>0</v>
      </c>
      <c r="AF1270" s="294">
        <f>IF(NFI_Expiration=1,IF($A1270&lt;VLOOKUP(O$5,NFI,5,0),1,0)*Table_NFI[[#This Row],[Clothes Kit]],Table_NFI[Clothes Kit])</f>
        <v>0</v>
      </c>
      <c r="AG1270" s="294">
        <f>IF(NFI_Expiration=1,IF($A1270&lt;VLOOKUP(P$5,NFI,5,0),1,0)*Table_NFI[[#This Row],[Plastic Bucket]],Table_NFI[Plastic Bucket])</f>
        <v>0</v>
      </c>
      <c r="AH1270" s="294">
        <f>IF(NFI_Expiration=1,IF($A1270&lt;VLOOKUP(Q$5,NFI,5,0),1,0)*Table_NFI[[#This Row],[Plastic Mat]],Table_NFI[Plastic Mat])*IF(Table_NFI[[#This Row],[Distribution Date]]&gt;"2014-04-01",1,2.5)</f>
        <v>0</v>
      </c>
      <c r="AI1270" s="294">
        <f>IF(NFI_Expiration=1,IF($A1270&lt;VLOOKUP(R$5,NFI,5,0),1,0)*Table_NFI[[#This Row],[Winter Clothes Adult]],Table_NFI[Winter Clothes Adult])</f>
        <v>0</v>
      </c>
      <c r="AJ1270" s="294">
        <f>IF(NFI_Expiration=1,IF($A1270&lt;VLOOKUP(S$5,NFI,5,0),1,0)*Table_NFI[[#This Row],[Winter Clothes Children]],Table_NFI[Winter Clothes Children])</f>
        <v>0</v>
      </c>
      <c r="AK1270" s="294">
        <f>IF(NFI_Expiration=1,IF($A1270&lt;VLOOKUP(T$5,NFI,5,0),1,0)*Table_NFI[[#This Row],[Winter Items Other]],Table_NFI[Winter Items Other])</f>
        <v>0</v>
      </c>
      <c r="AL1270" s="294">
        <f>IF(NFI_Expiration=1,IF($A1270&lt;VLOOKUP(M$5,NFI,5,0),1,0)*Table_NFI[[#This Row],[Winter Blanket]],Table_NFI[[#This Row],[Winter Blanket]])</f>
        <v>0</v>
      </c>
      <c r="AM1270" s="294">
        <f>IF(Table_NFI[[#This Row],[Winter Clothes Adult]]+Table_NFI[[#This Row],[Winter Clothes Children]]+Table_NFI[[#This Row],[Winter Items Other]]+Table_NFI[[#This Row],[Winter Blanket]]&gt;0,1,0)</f>
        <v>0</v>
      </c>
      <c r="AN1270" s="331">
        <f>IF(NFI_Expiration=1,IF($A1270&lt;VLOOKUP(V$5,NFI,5,0),1,0)*Table_NFI[[#This Row],[Jerry Can]],Table_NFI[Jerry Can])</f>
        <v>0</v>
      </c>
      <c r="AO1270" s="331">
        <f>IF(NFI_Expiration=1,IF($A1270&lt;VLOOKUP(V$5,NFI,5,0),1,0)*Table_NFI[[#This Row],[Shelter Tool kit]],Table_NFI[Shelter Tool kit])</f>
        <v>0</v>
      </c>
      <c r="AP1270" s="331">
        <f>IF(NFI_Expiration=1,IF($A1270&lt;VLOOKUP(V$5,NFI,5,0),1,0)*Table_NFI[[#This Row],[Tent]],Table_NFI[Tent])</f>
        <v>0</v>
      </c>
      <c r="AQ1270" s="473" t="str">
        <f>IFERROR(VLOOKUP(Table_NFI[[#This Row],[Camp Name]],CL,2,0),"")</f>
        <v/>
      </c>
      <c r="AR1270" s="468" t="str">
        <f ca="1">IF(Table_NFI[[#This Row],[Pcode]]="","",IF(OFFSET(CampList[Opening Date],MATCH(Table_NFI[[#This Row],[Pcode]],CampList[CP_Pcode],0)-1,0,1,1)&gt;=NFI_Monitor_Date,1,0))</f>
        <v/>
      </c>
      <c r="AS1270" s="473" t="str">
        <f>IFERROR(VLOOKUP(Table_NFI[[#This Row],[Camp Name]],CL,3,0),"")</f>
        <v/>
      </c>
      <c r="AT1270" s="294" t="str">
        <f ca="1">IF(Table_NFI[[#This Row],[Pcode]]="","",OFFSET(CampList[Priority],MATCH(Table_NFI[[#This Row],[Pcode]],CampList[CP_Pcode],0)-1,0,1,1))</f>
        <v/>
      </c>
      <c r="AU1270" s="293" t="str">
        <f>IFERROR(Table_NFI[[#This Row],[Kitchen Set]]/VLOOKUP(Table_NFI[[#This Row],[Camp Name]],CL,4,0),"")</f>
        <v/>
      </c>
      <c r="AV1270" s="471"/>
      <c r="AW1270" s="474"/>
    </row>
    <row r="1271" spans="1:49" ht="14.45" customHeight="1" x14ac:dyDescent="0.25">
      <c r="A1271" s="297" t="str">
        <f t="shared" si="19"/>
        <v/>
      </c>
      <c r="B1271" s="465"/>
      <c r="C1271" s="471"/>
      <c r="D1271" s="471"/>
      <c r="E1271" s="471"/>
      <c r="F1271" s="471"/>
      <c r="G1271" s="471"/>
      <c r="H1271" s="292"/>
      <c r="I1271" s="292"/>
      <c r="J1271" s="292"/>
      <c r="K1271" s="292"/>
      <c r="L1271" s="292"/>
      <c r="M1271" s="292"/>
      <c r="N1271" s="292"/>
      <c r="O1271" s="292"/>
      <c r="P1271" s="294"/>
      <c r="Q1271" s="294"/>
      <c r="R1271" s="294"/>
      <c r="S1271" s="294"/>
      <c r="T1271" s="294"/>
      <c r="U1271" s="294"/>
      <c r="V1271" s="431"/>
      <c r="W1271" s="331"/>
      <c r="X1271" s="331"/>
      <c r="Y1271" s="294">
        <f>IF(NFI_Expiration=1,IF($A1271&lt;VLOOKUP(H$5,NFI,5,0),1,0)*Table_NFI[[#This Row],[Hygiene Kit]],Table_NFI[Hygiene Kit])</f>
        <v>0</v>
      </c>
      <c r="Z1271" s="294">
        <f>IF(NFI_Expiration=1,IF($A1271&lt;VLOOKUP(I$5,NFI,5,0),1,0)*Table_NFI[[#This Row],[NFI Core Kit]],Table_NFI[NFI Core Kit])</f>
        <v>0</v>
      </c>
      <c r="AA1271" s="294">
        <f>IF(NFI_Expiration=1,IF($A1271&lt;VLOOKUP(J$5,NFI,5,0),1,0)*Table_NFI[[#This Row],[Sanitary Kit]],Table_NFI[Sanitary Kit])</f>
        <v>0</v>
      </c>
      <c r="AB1271" s="294">
        <f>IF(NFI_Expiration=1,IF($A1271&lt;VLOOKUP(K$5,NFI,5,0),1,0)*Table_NFI[[#This Row],[Mosquito net]],Table_NFI[Mosquito net])</f>
        <v>0</v>
      </c>
      <c r="AC1271" s="294">
        <f>IF(NFI_Expiration=1,IF($A1271&lt;VLOOKUP(L$5,NFI,5,0),1,0)*Table_NFI[[#This Row],[Tarpaulin]],Table_NFI[[#This Row],[Tarpaulin]])</f>
        <v>0</v>
      </c>
      <c r="AD1271" s="294">
        <f>IF(NFI_Expiration=1,IF($A1271&lt;VLOOKUP(M$5,NFI,5,0),1,0)*Table_NFI[[#This Row],[Blanket]],Table_NFI[[#This Row],[Blanket]])</f>
        <v>0</v>
      </c>
      <c r="AE1271" s="294">
        <f>IF(NFI_Expiration=1,IF($A1271&lt;VLOOKUP(N$5,NFI,5,0),1,0)*Table_NFI[[#This Row],[Kitchen Set]],Table_NFI[Kitchen Set])</f>
        <v>0</v>
      </c>
      <c r="AF1271" s="294">
        <f>IF(NFI_Expiration=1,IF($A1271&lt;VLOOKUP(O$5,NFI,5,0),1,0)*Table_NFI[[#This Row],[Clothes Kit]],Table_NFI[Clothes Kit])</f>
        <v>0</v>
      </c>
      <c r="AG1271" s="294">
        <f>IF(NFI_Expiration=1,IF($A1271&lt;VLOOKUP(P$5,NFI,5,0),1,0)*Table_NFI[[#This Row],[Plastic Bucket]],Table_NFI[Plastic Bucket])</f>
        <v>0</v>
      </c>
      <c r="AH1271" s="294">
        <f>IF(NFI_Expiration=1,IF($A1271&lt;VLOOKUP(Q$5,NFI,5,0),1,0)*Table_NFI[[#This Row],[Plastic Mat]],Table_NFI[Plastic Mat])*IF(Table_NFI[[#This Row],[Distribution Date]]&gt;"2014-04-01",1,2.5)</f>
        <v>0</v>
      </c>
      <c r="AI1271" s="294">
        <f>IF(NFI_Expiration=1,IF($A1271&lt;VLOOKUP(R$5,NFI,5,0),1,0)*Table_NFI[[#This Row],[Winter Clothes Adult]],Table_NFI[Winter Clothes Adult])</f>
        <v>0</v>
      </c>
      <c r="AJ1271" s="294">
        <f>IF(NFI_Expiration=1,IF($A1271&lt;VLOOKUP(S$5,NFI,5,0),1,0)*Table_NFI[[#This Row],[Winter Clothes Children]],Table_NFI[Winter Clothes Children])</f>
        <v>0</v>
      </c>
      <c r="AK1271" s="294">
        <f>IF(NFI_Expiration=1,IF($A1271&lt;VLOOKUP(T$5,NFI,5,0),1,0)*Table_NFI[[#This Row],[Winter Items Other]],Table_NFI[Winter Items Other])</f>
        <v>0</v>
      </c>
      <c r="AL1271" s="294">
        <f>IF(NFI_Expiration=1,IF($A1271&lt;VLOOKUP(M$5,NFI,5,0),1,0)*Table_NFI[[#This Row],[Winter Blanket]],Table_NFI[[#This Row],[Winter Blanket]])</f>
        <v>0</v>
      </c>
      <c r="AM1271" s="294">
        <f>IF(Table_NFI[[#This Row],[Winter Clothes Adult]]+Table_NFI[[#This Row],[Winter Clothes Children]]+Table_NFI[[#This Row],[Winter Items Other]]+Table_NFI[[#This Row],[Winter Blanket]]&gt;0,1,0)</f>
        <v>0</v>
      </c>
      <c r="AN1271" s="331">
        <f>IF(NFI_Expiration=1,IF($A1271&lt;VLOOKUP(V$5,NFI,5,0),1,0)*Table_NFI[[#This Row],[Jerry Can]],Table_NFI[Jerry Can])</f>
        <v>0</v>
      </c>
      <c r="AO1271" s="331">
        <f>IF(NFI_Expiration=1,IF($A1271&lt;VLOOKUP(V$5,NFI,5,0),1,0)*Table_NFI[[#This Row],[Shelter Tool kit]],Table_NFI[Shelter Tool kit])</f>
        <v>0</v>
      </c>
      <c r="AP1271" s="331">
        <f>IF(NFI_Expiration=1,IF($A1271&lt;VLOOKUP(V$5,NFI,5,0),1,0)*Table_NFI[[#This Row],[Tent]],Table_NFI[Tent])</f>
        <v>0</v>
      </c>
      <c r="AQ1271" s="473" t="str">
        <f>IFERROR(VLOOKUP(Table_NFI[[#This Row],[Camp Name]],CL,2,0),"")</f>
        <v/>
      </c>
      <c r="AR1271" s="468" t="str">
        <f ca="1">IF(Table_NFI[[#This Row],[Pcode]]="","",IF(OFFSET(CampList[Opening Date],MATCH(Table_NFI[[#This Row],[Pcode]],CampList[CP_Pcode],0)-1,0,1,1)&gt;=NFI_Monitor_Date,1,0))</f>
        <v/>
      </c>
      <c r="AS1271" s="473" t="str">
        <f>IFERROR(VLOOKUP(Table_NFI[[#This Row],[Camp Name]],CL,3,0),"")</f>
        <v/>
      </c>
      <c r="AT1271" s="294" t="str">
        <f ca="1">IF(Table_NFI[[#This Row],[Pcode]]="","",OFFSET(CampList[Priority],MATCH(Table_NFI[[#This Row],[Pcode]],CampList[CP_Pcode],0)-1,0,1,1))</f>
        <v/>
      </c>
      <c r="AU1271" s="293" t="str">
        <f>IFERROR(Table_NFI[[#This Row],[Kitchen Set]]/VLOOKUP(Table_NFI[[#This Row],[Camp Name]],CL,4,0),"")</f>
        <v/>
      </c>
      <c r="AV1271" s="471"/>
      <c r="AW1271" s="474"/>
    </row>
    <row r="1272" spans="1:49" ht="14.45" customHeight="1" x14ac:dyDescent="0.25">
      <c r="A1272" s="297" t="str">
        <f t="shared" si="19"/>
        <v/>
      </c>
      <c r="B1272" s="465"/>
      <c r="C1272" s="471"/>
      <c r="D1272" s="471"/>
      <c r="E1272" s="471"/>
      <c r="F1272" s="471"/>
      <c r="G1272" s="471"/>
      <c r="H1272" s="292"/>
      <c r="I1272" s="292"/>
      <c r="J1272" s="292"/>
      <c r="K1272" s="292"/>
      <c r="L1272" s="292"/>
      <c r="M1272" s="292"/>
      <c r="N1272" s="292"/>
      <c r="O1272" s="292"/>
      <c r="P1272" s="294"/>
      <c r="Q1272" s="294"/>
      <c r="R1272" s="294"/>
      <c r="S1272" s="294"/>
      <c r="T1272" s="294"/>
      <c r="U1272" s="294"/>
      <c r="V1272" s="431"/>
      <c r="W1272" s="331"/>
      <c r="X1272" s="331"/>
      <c r="Y1272" s="294">
        <f>IF(NFI_Expiration=1,IF($A1272&lt;VLOOKUP(H$5,NFI,5,0),1,0)*Table_NFI[[#This Row],[Hygiene Kit]],Table_NFI[Hygiene Kit])</f>
        <v>0</v>
      </c>
      <c r="Z1272" s="294">
        <f>IF(NFI_Expiration=1,IF($A1272&lt;VLOOKUP(I$5,NFI,5,0),1,0)*Table_NFI[[#This Row],[NFI Core Kit]],Table_NFI[NFI Core Kit])</f>
        <v>0</v>
      </c>
      <c r="AA1272" s="294">
        <f>IF(NFI_Expiration=1,IF($A1272&lt;VLOOKUP(J$5,NFI,5,0),1,0)*Table_NFI[[#This Row],[Sanitary Kit]],Table_NFI[Sanitary Kit])</f>
        <v>0</v>
      </c>
      <c r="AB1272" s="294">
        <f>IF(NFI_Expiration=1,IF($A1272&lt;VLOOKUP(K$5,NFI,5,0),1,0)*Table_NFI[[#This Row],[Mosquito net]],Table_NFI[Mosquito net])</f>
        <v>0</v>
      </c>
      <c r="AC1272" s="294">
        <f>IF(NFI_Expiration=1,IF($A1272&lt;VLOOKUP(L$5,NFI,5,0),1,0)*Table_NFI[[#This Row],[Tarpaulin]],Table_NFI[[#This Row],[Tarpaulin]])</f>
        <v>0</v>
      </c>
      <c r="AD1272" s="294">
        <f>IF(NFI_Expiration=1,IF($A1272&lt;VLOOKUP(M$5,NFI,5,0),1,0)*Table_NFI[[#This Row],[Blanket]],Table_NFI[[#This Row],[Blanket]])</f>
        <v>0</v>
      </c>
      <c r="AE1272" s="294">
        <f>IF(NFI_Expiration=1,IF($A1272&lt;VLOOKUP(N$5,NFI,5,0),1,0)*Table_NFI[[#This Row],[Kitchen Set]],Table_NFI[Kitchen Set])</f>
        <v>0</v>
      </c>
      <c r="AF1272" s="294">
        <f>IF(NFI_Expiration=1,IF($A1272&lt;VLOOKUP(O$5,NFI,5,0),1,0)*Table_NFI[[#This Row],[Clothes Kit]],Table_NFI[Clothes Kit])</f>
        <v>0</v>
      </c>
      <c r="AG1272" s="294">
        <f>IF(NFI_Expiration=1,IF($A1272&lt;VLOOKUP(P$5,NFI,5,0),1,0)*Table_NFI[[#This Row],[Plastic Bucket]],Table_NFI[Plastic Bucket])</f>
        <v>0</v>
      </c>
      <c r="AH1272" s="294">
        <f>IF(NFI_Expiration=1,IF($A1272&lt;VLOOKUP(Q$5,NFI,5,0),1,0)*Table_NFI[[#This Row],[Plastic Mat]],Table_NFI[Plastic Mat])*IF(Table_NFI[[#This Row],[Distribution Date]]&gt;"2014-04-01",1,2.5)</f>
        <v>0</v>
      </c>
      <c r="AI1272" s="294">
        <f>IF(NFI_Expiration=1,IF($A1272&lt;VLOOKUP(R$5,NFI,5,0),1,0)*Table_NFI[[#This Row],[Winter Clothes Adult]],Table_NFI[Winter Clothes Adult])</f>
        <v>0</v>
      </c>
      <c r="AJ1272" s="294">
        <f>IF(NFI_Expiration=1,IF($A1272&lt;VLOOKUP(S$5,NFI,5,0),1,0)*Table_NFI[[#This Row],[Winter Clothes Children]],Table_NFI[Winter Clothes Children])</f>
        <v>0</v>
      </c>
      <c r="AK1272" s="294">
        <f>IF(NFI_Expiration=1,IF($A1272&lt;VLOOKUP(T$5,NFI,5,0),1,0)*Table_NFI[[#This Row],[Winter Items Other]],Table_NFI[Winter Items Other])</f>
        <v>0</v>
      </c>
      <c r="AL1272" s="294">
        <f>IF(NFI_Expiration=1,IF($A1272&lt;VLOOKUP(M$5,NFI,5,0),1,0)*Table_NFI[[#This Row],[Winter Blanket]],Table_NFI[[#This Row],[Winter Blanket]])</f>
        <v>0</v>
      </c>
      <c r="AM1272" s="294">
        <f>IF(Table_NFI[[#This Row],[Winter Clothes Adult]]+Table_NFI[[#This Row],[Winter Clothes Children]]+Table_NFI[[#This Row],[Winter Items Other]]+Table_NFI[[#This Row],[Winter Blanket]]&gt;0,1,0)</f>
        <v>0</v>
      </c>
      <c r="AN1272" s="331">
        <f>IF(NFI_Expiration=1,IF($A1272&lt;VLOOKUP(V$5,NFI,5,0),1,0)*Table_NFI[[#This Row],[Jerry Can]],Table_NFI[Jerry Can])</f>
        <v>0</v>
      </c>
      <c r="AO1272" s="331">
        <f>IF(NFI_Expiration=1,IF($A1272&lt;VLOOKUP(V$5,NFI,5,0),1,0)*Table_NFI[[#This Row],[Shelter Tool kit]],Table_NFI[Shelter Tool kit])</f>
        <v>0</v>
      </c>
      <c r="AP1272" s="331">
        <f>IF(NFI_Expiration=1,IF($A1272&lt;VLOOKUP(V$5,NFI,5,0),1,0)*Table_NFI[[#This Row],[Tent]],Table_NFI[Tent])</f>
        <v>0</v>
      </c>
      <c r="AQ1272" s="473" t="str">
        <f>IFERROR(VLOOKUP(Table_NFI[[#This Row],[Camp Name]],CL,2,0),"")</f>
        <v/>
      </c>
      <c r="AR1272" s="468" t="str">
        <f ca="1">IF(Table_NFI[[#This Row],[Pcode]]="","",IF(OFFSET(CampList[Opening Date],MATCH(Table_NFI[[#This Row],[Pcode]],CampList[CP_Pcode],0)-1,0,1,1)&gt;=NFI_Monitor_Date,1,0))</f>
        <v/>
      </c>
      <c r="AS1272" s="473" t="str">
        <f>IFERROR(VLOOKUP(Table_NFI[[#This Row],[Camp Name]],CL,3,0),"")</f>
        <v/>
      </c>
      <c r="AT1272" s="294" t="str">
        <f ca="1">IF(Table_NFI[[#This Row],[Pcode]]="","",OFFSET(CampList[Priority],MATCH(Table_NFI[[#This Row],[Pcode]],CampList[CP_Pcode],0)-1,0,1,1))</f>
        <v/>
      </c>
      <c r="AU1272" s="293" t="str">
        <f>IFERROR(Table_NFI[[#This Row],[Kitchen Set]]/VLOOKUP(Table_NFI[[#This Row],[Camp Name]],CL,4,0),"")</f>
        <v/>
      </c>
      <c r="AV1272" s="471"/>
      <c r="AW1272" s="474"/>
    </row>
    <row r="1273" spans="1:49" ht="14.45" customHeight="1" x14ac:dyDescent="0.25">
      <c r="A1273" s="297" t="str">
        <f t="shared" si="19"/>
        <v/>
      </c>
      <c r="B1273" s="465"/>
      <c r="C1273" s="471"/>
      <c r="D1273" s="471"/>
      <c r="E1273" s="471"/>
      <c r="F1273" s="471"/>
      <c r="G1273" s="471"/>
      <c r="H1273" s="292"/>
      <c r="I1273" s="292"/>
      <c r="J1273" s="292"/>
      <c r="K1273" s="292"/>
      <c r="L1273" s="292"/>
      <c r="M1273" s="292"/>
      <c r="N1273" s="292"/>
      <c r="O1273" s="292"/>
      <c r="P1273" s="294"/>
      <c r="Q1273" s="294"/>
      <c r="R1273" s="294"/>
      <c r="S1273" s="294"/>
      <c r="T1273" s="294"/>
      <c r="U1273" s="294"/>
      <c r="V1273" s="431"/>
      <c r="W1273" s="331"/>
      <c r="X1273" s="331"/>
      <c r="Y1273" s="294">
        <f>IF(NFI_Expiration=1,IF($A1273&lt;VLOOKUP(H$5,NFI,5,0),1,0)*Table_NFI[[#This Row],[Hygiene Kit]],Table_NFI[Hygiene Kit])</f>
        <v>0</v>
      </c>
      <c r="Z1273" s="294">
        <f>IF(NFI_Expiration=1,IF($A1273&lt;VLOOKUP(I$5,NFI,5,0),1,0)*Table_NFI[[#This Row],[NFI Core Kit]],Table_NFI[NFI Core Kit])</f>
        <v>0</v>
      </c>
      <c r="AA1273" s="294">
        <f>IF(NFI_Expiration=1,IF($A1273&lt;VLOOKUP(J$5,NFI,5,0),1,0)*Table_NFI[[#This Row],[Sanitary Kit]],Table_NFI[Sanitary Kit])</f>
        <v>0</v>
      </c>
      <c r="AB1273" s="294">
        <f>IF(NFI_Expiration=1,IF($A1273&lt;VLOOKUP(K$5,NFI,5,0),1,0)*Table_NFI[[#This Row],[Mosquito net]],Table_NFI[Mosquito net])</f>
        <v>0</v>
      </c>
      <c r="AC1273" s="294">
        <f>IF(NFI_Expiration=1,IF($A1273&lt;VLOOKUP(L$5,NFI,5,0),1,0)*Table_NFI[[#This Row],[Tarpaulin]],Table_NFI[[#This Row],[Tarpaulin]])</f>
        <v>0</v>
      </c>
      <c r="AD1273" s="294">
        <f>IF(NFI_Expiration=1,IF($A1273&lt;VLOOKUP(M$5,NFI,5,0),1,0)*Table_NFI[[#This Row],[Blanket]],Table_NFI[[#This Row],[Blanket]])</f>
        <v>0</v>
      </c>
      <c r="AE1273" s="294">
        <f>IF(NFI_Expiration=1,IF($A1273&lt;VLOOKUP(N$5,NFI,5,0),1,0)*Table_NFI[[#This Row],[Kitchen Set]],Table_NFI[Kitchen Set])</f>
        <v>0</v>
      </c>
      <c r="AF1273" s="294">
        <f>IF(NFI_Expiration=1,IF($A1273&lt;VLOOKUP(O$5,NFI,5,0),1,0)*Table_NFI[[#This Row],[Clothes Kit]],Table_NFI[Clothes Kit])</f>
        <v>0</v>
      </c>
      <c r="AG1273" s="294">
        <f>IF(NFI_Expiration=1,IF($A1273&lt;VLOOKUP(P$5,NFI,5,0),1,0)*Table_NFI[[#This Row],[Plastic Bucket]],Table_NFI[Plastic Bucket])</f>
        <v>0</v>
      </c>
      <c r="AH1273" s="294">
        <f>IF(NFI_Expiration=1,IF($A1273&lt;VLOOKUP(Q$5,NFI,5,0),1,0)*Table_NFI[[#This Row],[Plastic Mat]],Table_NFI[Plastic Mat])*IF(Table_NFI[[#This Row],[Distribution Date]]&gt;"2014-04-01",1,2.5)</f>
        <v>0</v>
      </c>
      <c r="AI1273" s="294">
        <f>IF(NFI_Expiration=1,IF($A1273&lt;VLOOKUP(R$5,NFI,5,0),1,0)*Table_NFI[[#This Row],[Winter Clothes Adult]],Table_NFI[Winter Clothes Adult])</f>
        <v>0</v>
      </c>
      <c r="AJ1273" s="294">
        <f>IF(NFI_Expiration=1,IF($A1273&lt;VLOOKUP(S$5,NFI,5,0),1,0)*Table_NFI[[#This Row],[Winter Clothes Children]],Table_NFI[Winter Clothes Children])</f>
        <v>0</v>
      </c>
      <c r="AK1273" s="294">
        <f>IF(NFI_Expiration=1,IF($A1273&lt;VLOOKUP(T$5,NFI,5,0),1,0)*Table_NFI[[#This Row],[Winter Items Other]],Table_NFI[Winter Items Other])</f>
        <v>0</v>
      </c>
      <c r="AL1273" s="294">
        <f>IF(NFI_Expiration=1,IF($A1273&lt;VLOOKUP(M$5,NFI,5,0),1,0)*Table_NFI[[#This Row],[Winter Blanket]],Table_NFI[[#This Row],[Winter Blanket]])</f>
        <v>0</v>
      </c>
      <c r="AM1273" s="294">
        <f>IF(Table_NFI[[#This Row],[Winter Clothes Adult]]+Table_NFI[[#This Row],[Winter Clothes Children]]+Table_NFI[[#This Row],[Winter Items Other]]+Table_NFI[[#This Row],[Winter Blanket]]&gt;0,1,0)</f>
        <v>0</v>
      </c>
      <c r="AN1273" s="331">
        <f>IF(NFI_Expiration=1,IF($A1273&lt;VLOOKUP(V$5,NFI,5,0),1,0)*Table_NFI[[#This Row],[Jerry Can]],Table_NFI[Jerry Can])</f>
        <v>0</v>
      </c>
      <c r="AO1273" s="331">
        <f>IF(NFI_Expiration=1,IF($A1273&lt;VLOOKUP(V$5,NFI,5,0),1,0)*Table_NFI[[#This Row],[Shelter Tool kit]],Table_NFI[Shelter Tool kit])</f>
        <v>0</v>
      </c>
      <c r="AP1273" s="331">
        <f>IF(NFI_Expiration=1,IF($A1273&lt;VLOOKUP(V$5,NFI,5,0),1,0)*Table_NFI[[#This Row],[Tent]],Table_NFI[Tent])</f>
        <v>0</v>
      </c>
      <c r="AQ1273" s="473" t="str">
        <f>IFERROR(VLOOKUP(Table_NFI[[#This Row],[Camp Name]],CL,2,0),"")</f>
        <v/>
      </c>
      <c r="AR1273" s="468" t="str">
        <f ca="1">IF(Table_NFI[[#This Row],[Pcode]]="","",IF(OFFSET(CampList[Opening Date],MATCH(Table_NFI[[#This Row],[Pcode]],CampList[CP_Pcode],0)-1,0,1,1)&gt;=NFI_Monitor_Date,1,0))</f>
        <v/>
      </c>
      <c r="AS1273" s="473" t="str">
        <f>IFERROR(VLOOKUP(Table_NFI[[#This Row],[Camp Name]],CL,3,0),"")</f>
        <v/>
      </c>
      <c r="AT1273" s="294" t="str">
        <f ca="1">IF(Table_NFI[[#This Row],[Pcode]]="","",OFFSET(CampList[Priority],MATCH(Table_NFI[[#This Row],[Pcode]],CampList[CP_Pcode],0)-1,0,1,1))</f>
        <v/>
      </c>
      <c r="AU1273" s="293" t="str">
        <f>IFERROR(Table_NFI[[#This Row],[Kitchen Set]]/VLOOKUP(Table_NFI[[#This Row],[Camp Name]],CL,4,0),"")</f>
        <v/>
      </c>
      <c r="AV1273" s="471"/>
      <c r="AW1273" s="474"/>
    </row>
    <row r="1274" spans="1:49" ht="14.45" customHeight="1" x14ac:dyDescent="0.25">
      <c r="A1274" s="297" t="str">
        <f t="shared" si="19"/>
        <v/>
      </c>
      <c r="B1274" s="465"/>
      <c r="C1274" s="471"/>
      <c r="D1274" s="471"/>
      <c r="E1274" s="471"/>
      <c r="F1274" s="471"/>
      <c r="G1274" s="471"/>
      <c r="H1274" s="292"/>
      <c r="I1274" s="292"/>
      <c r="J1274" s="292"/>
      <c r="K1274" s="292"/>
      <c r="L1274" s="292"/>
      <c r="M1274" s="292"/>
      <c r="N1274" s="292"/>
      <c r="O1274" s="292"/>
      <c r="P1274" s="294"/>
      <c r="Q1274" s="294"/>
      <c r="R1274" s="294"/>
      <c r="S1274" s="294"/>
      <c r="T1274" s="294"/>
      <c r="U1274" s="294"/>
      <c r="V1274" s="431"/>
      <c r="W1274" s="331"/>
      <c r="X1274" s="331"/>
      <c r="Y1274" s="294">
        <f>IF(NFI_Expiration=1,IF($A1274&lt;VLOOKUP(H$5,NFI,5,0),1,0)*Table_NFI[[#This Row],[Hygiene Kit]],Table_NFI[Hygiene Kit])</f>
        <v>0</v>
      </c>
      <c r="Z1274" s="294">
        <f>IF(NFI_Expiration=1,IF($A1274&lt;VLOOKUP(I$5,NFI,5,0),1,0)*Table_NFI[[#This Row],[NFI Core Kit]],Table_NFI[NFI Core Kit])</f>
        <v>0</v>
      </c>
      <c r="AA1274" s="294">
        <f>IF(NFI_Expiration=1,IF($A1274&lt;VLOOKUP(J$5,NFI,5,0),1,0)*Table_NFI[[#This Row],[Sanitary Kit]],Table_NFI[Sanitary Kit])</f>
        <v>0</v>
      </c>
      <c r="AB1274" s="294">
        <f>IF(NFI_Expiration=1,IF($A1274&lt;VLOOKUP(K$5,NFI,5,0),1,0)*Table_NFI[[#This Row],[Mosquito net]],Table_NFI[Mosquito net])</f>
        <v>0</v>
      </c>
      <c r="AC1274" s="294">
        <f>IF(NFI_Expiration=1,IF($A1274&lt;VLOOKUP(L$5,NFI,5,0),1,0)*Table_NFI[[#This Row],[Tarpaulin]],Table_NFI[[#This Row],[Tarpaulin]])</f>
        <v>0</v>
      </c>
      <c r="AD1274" s="294">
        <f>IF(NFI_Expiration=1,IF($A1274&lt;VLOOKUP(M$5,NFI,5,0),1,0)*Table_NFI[[#This Row],[Blanket]],Table_NFI[[#This Row],[Blanket]])</f>
        <v>0</v>
      </c>
      <c r="AE1274" s="294">
        <f>IF(NFI_Expiration=1,IF($A1274&lt;VLOOKUP(N$5,NFI,5,0),1,0)*Table_NFI[[#This Row],[Kitchen Set]],Table_NFI[Kitchen Set])</f>
        <v>0</v>
      </c>
      <c r="AF1274" s="294">
        <f>IF(NFI_Expiration=1,IF($A1274&lt;VLOOKUP(O$5,NFI,5,0),1,0)*Table_NFI[[#This Row],[Clothes Kit]],Table_NFI[Clothes Kit])</f>
        <v>0</v>
      </c>
      <c r="AG1274" s="294">
        <f>IF(NFI_Expiration=1,IF($A1274&lt;VLOOKUP(P$5,NFI,5,0),1,0)*Table_NFI[[#This Row],[Plastic Bucket]],Table_NFI[Plastic Bucket])</f>
        <v>0</v>
      </c>
      <c r="AH1274" s="294">
        <f>IF(NFI_Expiration=1,IF($A1274&lt;VLOOKUP(Q$5,NFI,5,0),1,0)*Table_NFI[[#This Row],[Plastic Mat]],Table_NFI[Plastic Mat])*IF(Table_NFI[[#This Row],[Distribution Date]]&gt;"2014-04-01",1,2.5)</f>
        <v>0</v>
      </c>
      <c r="AI1274" s="294">
        <f>IF(NFI_Expiration=1,IF($A1274&lt;VLOOKUP(R$5,NFI,5,0),1,0)*Table_NFI[[#This Row],[Winter Clothes Adult]],Table_NFI[Winter Clothes Adult])</f>
        <v>0</v>
      </c>
      <c r="AJ1274" s="294">
        <f>IF(NFI_Expiration=1,IF($A1274&lt;VLOOKUP(S$5,NFI,5,0),1,0)*Table_NFI[[#This Row],[Winter Clothes Children]],Table_NFI[Winter Clothes Children])</f>
        <v>0</v>
      </c>
      <c r="AK1274" s="294">
        <f>IF(NFI_Expiration=1,IF($A1274&lt;VLOOKUP(T$5,NFI,5,0),1,0)*Table_NFI[[#This Row],[Winter Items Other]],Table_NFI[Winter Items Other])</f>
        <v>0</v>
      </c>
      <c r="AL1274" s="294">
        <f>IF(NFI_Expiration=1,IF($A1274&lt;VLOOKUP(M$5,NFI,5,0),1,0)*Table_NFI[[#This Row],[Winter Blanket]],Table_NFI[[#This Row],[Winter Blanket]])</f>
        <v>0</v>
      </c>
      <c r="AM1274" s="294">
        <f>IF(Table_NFI[[#This Row],[Winter Clothes Adult]]+Table_NFI[[#This Row],[Winter Clothes Children]]+Table_NFI[[#This Row],[Winter Items Other]]+Table_NFI[[#This Row],[Winter Blanket]]&gt;0,1,0)</f>
        <v>0</v>
      </c>
      <c r="AN1274" s="331">
        <f>IF(NFI_Expiration=1,IF($A1274&lt;VLOOKUP(V$5,NFI,5,0),1,0)*Table_NFI[[#This Row],[Jerry Can]],Table_NFI[Jerry Can])</f>
        <v>0</v>
      </c>
      <c r="AO1274" s="331">
        <f>IF(NFI_Expiration=1,IF($A1274&lt;VLOOKUP(V$5,NFI,5,0),1,0)*Table_NFI[[#This Row],[Shelter Tool kit]],Table_NFI[Shelter Tool kit])</f>
        <v>0</v>
      </c>
      <c r="AP1274" s="331">
        <f>IF(NFI_Expiration=1,IF($A1274&lt;VLOOKUP(V$5,NFI,5,0),1,0)*Table_NFI[[#This Row],[Tent]],Table_NFI[Tent])</f>
        <v>0</v>
      </c>
      <c r="AQ1274" s="473" t="str">
        <f>IFERROR(VLOOKUP(Table_NFI[[#This Row],[Camp Name]],CL,2,0),"")</f>
        <v/>
      </c>
      <c r="AR1274" s="468" t="str">
        <f ca="1">IF(Table_NFI[[#This Row],[Pcode]]="","",IF(OFFSET(CampList[Opening Date],MATCH(Table_NFI[[#This Row],[Pcode]],CampList[CP_Pcode],0)-1,0,1,1)&gt;=NFI_Monitor_Date,1,0))</f>
        <v/>
      </c>
      <c r="AS1274" s="473" t="str">
        <f>IFERROR(VLOOKUP(Table_NFI[[#This Row],[Camp Name]],CL,3,0),"")</f>
        <v/>
      </c>
      <c r="AT1274" s="294" t="str">
        <f ca="1">IF(Table_NFI[[#This Row],[Pcode]]="","",OFFSET(CampList[Priority],MATCH(Table_NFI[[#This Row],[Pcode]],CampList[CP_Pcode],0)-1,0,1,1))</f>
        <v/>
      </c>
      <c r="AU1274" s="293" t="str">
        <f>IFERROR(Table_NFI[[#This Row],[Kitchen Set]]/VLOOKUP(Table_NFI[[#This Row],[Camp Name]],CL,4,0),"")</f>
        <v/>
      </c>
      <c r="AV1274" s="471"/>
      <c r="AW1274" s="474"/>
    </row>
    <row r="1275" spans="1:49" ht="14.45" customHeight="1" x14ac:dyDescent="0.25">
      <c r="A1275" s="297" t="str">
        <f t="shared" si="19"/>
        <v/>
      </c>
      <c r="B1275" s="465"/>
      <c r="C1275" s="471"/>
      <c r="D1275" s="471"/>
      <c r="E1275" s="471"/>
      <c r="F1275" s="471"/>
      <c r="G1275" s="471"/>
      <c r="H1275" s="292"/>
      <c r="I1275" s="292"/>
      <c r="J1275" s="292"/>
      <c r="K1275" s="292"/>
      <c r="L1275" s="292"/>
      <c r="M1275" s="292"/>
      <c r="N1275" s="292"/>
      <c r="O1275" s="292"/>
      <c r="P1275" s="294"/>
      <c r="Q1275" s="294"/>
      <c r="R1275" s="294"/>
      <c r="S1275" s="294"/>
      <c r="T1275" s="294"/>
      <c r="U1275" s="294"/>
      <c r="V1275" s="431"/>
      <c r="W1275" s="331"/>
      <c r="X1275" s="331"/>
      <c r="Y1275" s="294">
        <f>IF(NFI_Expiration=1,IF($A1275&lt;VLOOKUP(H$5,NFI,5,0),1,0)*Table_NFI[[#This Row],[Hygiene Kit]],Table_NFI[Hygiene Kit])</f>
        <v>0</v>
      </c>
      <c r="Z1275" s="294">
        <f>IF(NFI_Expiration=1,IF($A1275&lt;VLOOKUP(I$5,NFI,5,0),1,0)*Table_NFI[[#This Row],[NFI Core Kit]],Table_NFI[NFI Core Kit])</f>
        <v>0</v>
      </c>
      <c r="AA1275" s="294">
        <f>IF(NFI_Expiration=1,IF($A1275&lt;VLOOKUP(J$5,NFI,5,0),1,0)*Table_NFI[[#This Row],[Sanitary Kit]],Table_NFI[Sanitary Kit])</f>
        <v>0</v>
      </c>
      <c r="AB1275" s="294">
        <f>IF(NFI_Expiration=1,IF($A1275&lt;VLOOKUP(K$5,NFI,5,0),1,0)*Table_NFI[[#This Row],[Mosquito net]],Table_NFI[Mosquito net])</f>
        <v>0</v>
      </c>
      <c r="AC1275" s="294">
        <f>IF(NFI_Expiration=1,IF($A1275&lt;VLOOKUP(L$5,NFI,5,0),1,0)*Table_NFI[[#This Row],[Tarpaulin]],Table_NFI[[#This Row],[Tarpaulin]])</f>
        <v>0</v>
      </c>
      <c r="AD1275" s="294">
        <f>IF(NFI_Expiration=1,IF($A1275&lt;VLOOKUP(M$5,NFI,5,0),1,0)*Table_NFI[[#This Row],[Blanket]],Table_NFI[[#This Row],[Blanket]])</f>
        <v>0</v>
      </c>
      <c r="AE1275" s="294">
        <f>IF(NFI_Expiration=1,IF($A1275&lt;VLOOKUP(N$5,NFI,5,0),1,0)*Table_NFI[[#This Row],[Kitchen Set]],Table_NFI[Kitchen Set])</f>
        <v>0</v>
      </c>
      <c r="AF1275" s="294">
        <f>IF(NFI_Expiration=1,IF($A1275&lt;VLOOKUP(O$5,NFI,5,0),1,0)*Table_NFI[[#This Row],[Clothes Kit]],Table_NFI[Clothes Kit])</f>
        <v>0</v>
      </c>
      <c r="AG1275" s="294">
        <f>IF(NFI_Expiration=1,IF($A1275&lt;VLOOKUP(P$5,NFI,5,0),1,0)*Table_NFI[[#This Row],[Plastic Bucket]],Table_NFI[Plastic Bucket])</f>
        <v>0</v>
      </c>
      <c r="AH1275" s="294">
        <f>IF(NFI_Expiration=1,IF($A1275&lt;VLOOKUP(Q$5,NFI,5,0),1,0)*Table_NFI[[#This Row],[Plastic Mat]],Table_NFI[Plastic Mat])*IF(Table_NFI[[#This Row],[Distribution Date]]&gt;"2014-04-01",1,2.5)</f>
        <v>0</v>
      </c>
      <c r="AI1275" s="294">
        <f>IF(NFI_Expiration=1,IF($A1275&lt;VLOOKUP(R$5,NFI,5,0),1,0)*Table_NFI[[#This Row],[Winter Clothes Adult]],Table_NFI[Winter Clothes Adult])</f>
        <v>0</v>
      </c>
      <c r="AJ1275" s="294">
        <f>IF(NFI_Expiration=1,IF($A1275&lt;VLOOKUP(S$5,NFI,5,0),1,0)*Table_NFI[[#This Row],[Winter Clothes Children]],Table_NFI[Winter Clothes Children])</f>
        <v>0</v>
      </c>
      <c r="AK1275" s="294">
        <f>IF(NFI_Expiration=1,IF($A1275&lt;VLOOKUP(T$5,NFI,5,0),1,0)*Table_NFI[[#This Row],[Winter Items Other]],Table_NFI[Winter Items Other])</f>
        <v>0</v>
      </c>
      <c r="AL1275" s="294">
        <f>IF(NFI_Expiration=1,IF($A1275&lt;VLOOKUP(M$5,NFI,5,0),1,0)*Table_NFI[[#This Row],[Winter Blanket]],Table_NFI[[#This Row],[Winter Blanket]])</f>
        <v>0</v>
      </c>
      <c r="AM1275" s="294">
        <f>IF(Table_NFI[[#This Row],[Winter Clothes Adult]]+Table_NFI[[#This Row],[Winter Clothes Children]]+Table_NFI[[#This Row],[Winter Items Other]]+Table_NFI[[#This Row],[Winter Blanket]]&gt;0,1,0)</f>
        <v>0</v>
      </c>
      <c r="AN1275" s="331">
        <f>IF(NFI_Expiration=1,IF($A1275&lt;VLOOKUP(V$5,NFI,5,0),1,0)*Table_NFI[[#This Row],[Jerry Can]],Table_NFI[Jerry Can])</f>
        <v>0</v>
      </c>
      <c r="AO1275" s="331">
        <f>IF(NFI_Expiration=1,IF($A1275&lt;VLOOKUP(V$5,NFI,5,0),1,0)*Table_NFI[[#This Row],[Shelter Tool kit]],Table_NFI[Shelter Tool kit])</f>
        <v>0</v>
      </c>
      <c r="AP1275" s="331">
        <f>IF(NFI_Expiration=1,IF($A1275&lt;VLOOKUP(V$5,NFI,5,0),1,0)*Table_NFI[[#This Row],[Tent]],Table_NFI[Tent])</f>
        <v>0</v>
      </c>
      <c r="AQ1275" s="473" t="str">
        <f>IFERROR(VLOOKUP(Table_NFI[[#This Row],[Camp Name]],CL,2,0),"")</f>
        <v/>
      </c>
      <c r="AR1275" s="468" t="str">
        <f ca="1">IF(Table_NFI[[#This Row],[Pcode]]="","",IF(OFFSET(CampList[Opening Date],MATCH(Table_NFI[[#This Row],[Pcode]],CampList[CP_Pcode],0)-1,0,1,1)&gt;=NFI_Monitor_Date,1,0))</f>
        <v/>
      </c>
      <c r="AS1275" s="473" t="str">
        <f>IFERROR(VLOOKUP(Table_NFI[[#This Row],[Camp Name]],CL,3,0),"")</f>
        <v/>
      </c>
      <c r="AT1275" s="294" t="str">
        <f ca="1">IF(Table_NFI[[#This Row],[Pcode]]="","",OFFSET(CampList[Priority],MATCH(Table_NFI[[#This Row],[Pcode]],CampList[CP_Pcode],0)-1,0,1,1))</f>
        <v/>
      </c>
      <c r="AU1275" s="293" t="str">
        <f>IFERROR(Table_NFI[[#This Row],[Kitchen Set]]/VLOOKUP(Table_NFI[[#This Row],[Camp Name]],CL,4,0),"")</f>
        <v/>
      </c>
      <c r="AV1275" s="471"/>
      <c r="AW1275" s="474"/>
    </row>
    <row r="1276" spans="1:49" ht="14.45" customHeight="1" x14ac:dyDescent="0.25">
      <c r="A1276" s="297" t="str">
        <f t="shared" si="19"/>
        <v/>
      </c>
      <c r="B1276" s="465"/>
      <c r="C1276" s="471"/>
      <c r="D1276" s="471"/>
      <c r="E1276" s="471"/>
      <c r="F1276" s="471"/>
      <c r="G1276" s="471"/>
      <c r="H1276" s="292"/>
      <c r="I1276" s="292"/>
      <c r="J1276" s="292"/>
      <c r="K1276" s="292"/>
      <c r="L1276" s="292"/>
      <c r="M1276" s="292"/>
      <c r="N1276" s="292"/>
      <c r="O1276" s="292"/>
      <c r="P1276" s="294"/>
      <c r="Q1276" s="294"/>
      <c r="R1276" s="294"/>
      <c r="S1276" s="294"/>
      <c r="T1276" s="294"/>
      <c r="U1276" s="294"/>
      <c r="V1276" s="431"/>
      <c r="W1276" s="331"/>
      <c r="X1276" s="331"/>
      <c r="Y1276" s="294">
        <f>IF(NFI_Expiration=1,IF($A1276&lt;VLOOKUP(H$5,NFI,5,0),1,0)*Table_NFI[[#This Row],[Hygiene Kit]],Table_NFI[Hygiene Kit])</f>
        <v>0</v>
      </c>
      <c r="Z1276" s="294">
        <f>IF(NFI_Expiration=1,IF($A1276&lt;VLOOKUP(I$5,NFI,5,0),1,0)*Table_NFI[[#This Row],[NFI Core Kit]],Table_NFI[NFI Core Kit])</f>
        <v>0</v>
      </c>
      <c r="AA1276" s="294">
        <f>IF(NFI_Expiration=1,IF($A1276&lt;VLOOKUP(J$5,NFI,5,0),1,0)*Table_NFI[[#This Row],[Sanitary Kit]],Table_NFI[Sanitary Kit])</f>
        <v>0</v>
      </c>
      <c r="AB1276" s="294">
        <f>IF(NFI_Expiration=1,IF($A1276&lt;VLOOKUP(K$5,NFI,5,0),1,0)*Table_NFI[[#This Row],[Mosquito net]],Table_NFI[Mosquito net])</f>
        <v>0</v>
      </c>
      <c r="AC1276" s="294">
        <f>IF(NFI_Expiration=1,IF($A1276&lt;VLOOKUP(L$5,NFI,5,0),1,0)*Table_NFI[[#This Row],[Tarpaulin]],Table_NFI[[#This Row],[Tarpaulin]])</f>
        <v>0</v>
      </c>
      <c r="AD1276" s="294">
        <f>IF(NFI_Expiration=1,IF($A1276&lt;VLOOKUP(M$5,NFI,5,0),1,0)*Table_NFI[[#This Row],[Blanket]],Table_NFI[[#This Row],[Blanket]])</f>
        <v>0</v>
      </c>
      <c r="AE1276" s="294">
        <f>IF(NFI_Expiration=1,IF($A1276&lt;VLOOKUP(N$5,NFI,5,0),1,0)*Table_NFI[[#This Row],[Kitchen Set]],Table_NFI[Kitchen Set])</f>
        <v>0</v>
      </c>
      <c r="AF1276" s="294">
        <f>IF(NFI_Expiration=1,IF($A1276&lt;VLOOKUP(O$5,NFI,5,0),1,0)*Table_NFI[[#This Row],[Clothes Kit]],Table_NFI[Clothes Kit])</f>
        <v>0</v>
      </c>
      <c r="AG1276" s="294">
        <f>IF(NFI_Expiration=1,IF($A1276&lt;VLOOKUP(P$5,NFI,5,0),1,0)*Table_NFI[[#This Row],[Plastic Bucket]],Table_NFI[Plastic Bucket])</f>
        <v>0</v>
      </c>
      <c r="AH1276" s="294">
        <f>IF(NFI_Expiration=1,IF($A1276&lt;VLOOKUP(Q$5,NFI,5,0),1,0)*Table_NFI[[#This Row],[Plastic Mat]],Table_NFI[Plastic Mat])*IF(Table_NFI[[#This Row],[Distribution Date]]&gt;"2014-04-01",1,2.5)</f>
        <v>0</v>
      </c>
      <c r="AI1276" s="294">
        <f>IF(NFI_Expiration=1,IF($A1276&lt;VLOOKUP(R$5,NFI,5,0),1,0)*Table_NFI[[#This Row],[Winter Clothes Adult]],Table_NFI[Winter Clothes Adult])</f>
        <v>0</v>
      </c>
      <c r="AJ1276" s="294">
        <f>IF(NFI_Expiration=1,IF($A1276&lt;VLOOKUP(S$5,NFI,5,0),1,0)*Table_NFI[[#This Row],[Winter Clothes Children]],Table_NFI[Winter Clothes Children])</f>
        <v>0</v>
      </c>
      <c r="AK1276" s="294">
        <f>IF(NFI_Expiration=1,IF($A1276&lt;VLOOKUP(T$5,NFI,5,0),1,0)*Table_NFI[[#This Row],[Winter Items Other]],Table_NFI[Winter Items Other])</f>
        <v>0</v>
      </c>
      <c r="AL1276" s="294">
        <f>IF(NFI_Expiration=1,IF($A1276&lt;VLOOKUP(M$5,NFI,5,0),1,0)*Table_NFI[[#This Row],[Winter Blanket]],Table_NFI[[#This Row],[Winter Blanket]])</f>
        <v>0</v>
      </c>
      <c r="AM1276" s="294">
        <f>IF(Table_NFI[[#This Row],[Winter Clothes Adult]]+Table_NFI[[#This Row],[Winter Clothes Children]]+Table_NFI[[#This Row],[Winter Items Other]]+Table_NFI[[#This Row],[Winter Blanket]]&gt;0,1,0)</f>
        <v>0</v>
      </c>
      <c r="AN1276" s="331">
        <f>IF(NFI_Expiration=1,IF($A1276&lt;VLOOKUP(V$5,NFI,5,0),1,0)*Table_NFI[[#This Row],[Jerry Can]],Table_NFI[Jerry Can])</f>
        <v>0</v>
      </c>
      <c r="AO1276" s="331">
        <f>IF(NFI_Expiration=1,IF($A1276&lt;VLOOKUP(V$5,NFI,5,0),1,0)*Table_NFI[[#This Row],[Shelter Tool kit]],Table_NFI[Shelter Tool kit])</f>
        <v>0</v>
      </c>
      <c r="AP1276" s="331">
        <f>IF(NFI_Expiration=1,IF($A1276&lt;VLOOKUP(V$5,NFI,5,0),1,0)*Table_NFI[[#This Row],[Tent]],Table_NFI[Tent])</f>
        <v>0</v>
      </c>
      <c r="AQ1276" s="473" t="str">
        <f>IFERROR(VLOOKUP(Table_NFI[[#This Row],[Camp Name]],CL,2,0),"")</f>
        <v/>
      </c>
      <c r="AR1276" s="468" t="str">
        <f ca="1">IF(Table_NFI[[#This Row],[Pcode]]="","",IF(OFFSET(CampList[Opening Date],MATCH(Table_NFI[[#This Row],[Pcode]],CampList[CP_Pcode],0)-1,0,1,1)&gt;=NFI_Monitor_Date,1,0))</f>
        <v/>
      </c>
      <c r="AS1276" s="473" t="str">
        <f>IFERROR(VLOOKUP(Table_NFI[[#This Row],[Camp Name]],CL,3,0),"")</f>
        <v/>
      </c>
      <c r="AT1276" s="294" t="str">
        <f ca="1">IF(Table_NFI[[#This Row],[Pcode]]="","",OFFSET(CampList[Priority],MATCH(Table_NFI[[#This Row],[Pcode]],CampList[CP_Pcode],0)-1,0,1,1))</f>
        <v/>
      </c>
      <c r="AU1276" s="293" t="str">
        <f>IFERROR(Table_NFI[[#This Row],[Kitchen Set]]/VLOOKUP(Table_NFI[[#This Row],[Camp Name]],CL,4,0),"")</f>
        <v/>
      </c>
      <c r="AV1276" s="471"/>
      <c r="AW1276" s="474"/>
    </row>
    <row r="1277" spans="1:49" ht="14.45" customHeight="1" x14ac:dyDescent="0.25">
      <c r="A1277" s="297" t="str">
        <f t="shared" si="19"/>
        <v/>
      </c>
      <c r="B1277" s="465"/>
      <c r="C1277" s="471"/>
      <c r="D1277" s="471"/>
      <c r="E1277" s="471"/>
      <c r="F1277" s="471"/>
      <c r="G1277" s="471"/>
      <c r="H1277" s="292"/>
      <c r="I1277" s="292"/>
      <c r="J1277" s="292"/>
      <c r="K1277" s="292"/>
      <c r="L1277" s="292"/>
      <c r="M1277" s="292"/>
      <c r="N1277" s="292"/>
      <c r="O1277" s="292"/>
      <c r="P1277" s="294"/>
      <c r="Q1277" s="294"/>
      <c r="R1277" s="294"/>
      <c r="S1277" s="294"/>
      <c r="T1277" s="294"/>
      <c r="U1277" s="294"/>
      <c r="V1277" s="431"/>
      <c r="W1277" s="331"/>
      <c r="X1277" s="331"/>
      <c r="Y1277" s="294">
        <f>IF(NFI_Expiration=1,IF($A1277&lt;VLOOKUP(H$5,NFI,5,0),1,0)*Table_NFI[[#This Row],[Hygiene Kit]],Table_NFI[Hygiene Kit])</f>
        <v>0</v>
      </c>
      <c r="Z1277" s="294">
        <f>IF(NFI_Expiration=1,IF($A1277&lt;VLOOKUP(I$5,NFI,5,0),1,0)*Table_NFI[[#This Row],[NFI Core Kit]],Table_NFI[NFI Core Kit])</f>
        <v>0</v>
      </c>
      <c r="AA1277" s="294">
        <f>IF(NFI_Expiration=1,IF($A1277&lt;VLOOKUP(J$5,NFI,5,0),1,0)*Table_NFI[[#This Row],[Sanitary Kit]],Table_NFI[Sanitary Kit])</f>
        <v>0</v>
      </c>
      <c r="AB1277" s="294">
        <f>IF(NFI_Expiration=1,IF($A1277&lt;VLOOKUP(K$5,NFI,5,0),1,0)*Table_NFI[[#This Row],[Mosquito net]],Table_NFI[Mosquito net])</f>
        <v>0</v>
      </c>
      <c r="AC1277" s="294">
        <f>IF(NFI_Expiration=1,IF($A1277&lt;VLOOKUP(L$5,NFI,5,0),1,0)*Table_NFI[[#This Row],[Tarpaulin]],Table_NFI[[#This Row],[Tarpaulin]])</f>
        <v>0</v>
      </c>
      <c r="AD1277" s="294">
        <f>IF(NFI_Expiration=1,IF($A1277&lt;VLOOKUP(M$5,NFI,5,0),1,0)*Table_NFI[[#This Row],[Blanket]],Table_NFI[[#This Row],[Blanket]])</f>
        <v>0</v>
      </c>
      <c r="AE1277" s="294">
        <f>IF(NFI_Expiration=1,IF($A1277&lt;VLOOKUP(N$5,NFI,5,0),1,0)*Table_NFI[[#This Row],[Kitchen Set]],Table_NFI[Kitchen Set])</f>
        <v>0</v>
      </c>
      <c r="AF1277" s="294">
        <f>IF(NFI_Expiration=1,IF($A1277&lt;VLOOKUP(O$5,NFI,5,0),1,0)*Table_NFI[[#This Row],[Clothes Kit]],Table_NFI[Clothes Kit])</f>
        <v>0</v>
      </c>
      <c r="AG1277" s="294">
        <f>IF(NFI_Expiration=1,IF($A1277&lt;VLOOKUP(P$5,NFI,5,0),1,0)*Table_NFI[[#This Row],[Plastic Bucket]],Table_NFI[Plastic Bucket])</f>
        <v>0</v>
      </c>
      <c r="AH1277" s="294">
        <f>IF(NFI_Expiration=1,IF($A1277&lt;VLOOKUP(Q$5,NFI,5,0),1,0)*Table_NFI[[#This Row],[Plastic Mat]],Table_NFI[Plastic Mat])*IF(Table_NFI[[#This Row],[Distribution Date]]&gt;"2014-04-01",1,2.5)</f>
        <v>0</v>
      </c>
      <c r="AI1277" s="294">
        <f>IF(NFI_Expiration=1,IF($A1277&lt;VLOOKUP(R$5,NFI,5,0),1,0)*Table_NFI[[#This Row],[Winter Clothes Adult]],Table_NFI[Winter Clothes Adult])</f>
        <v>0</v>
      </c>
      <c r="AJ1277" s="294">
        <f>IF(NFI_Expiration=1,IF($A1277&lt;VLOOKUP(S$5,NFI,5,0),1,0)*Table_NFI[[#This Row],[Winter Clothes Children]],Table_NFI[Winter Clothes Children])</f>
        <v>0</v>
      </c>
      <c r="AK1277" s="294">
        <f>IF(NFI_Expiration=1,IF($A1277&lt;VLOOKUP(T$5,NFI,5,0),1,0)*Table_NFI[[#This Row],[Winter Items Other]],Table_NFI[Winter Items Other])</f>
        <v>0</v>
      </c>
      <c r="AL1277" s="294">
        <f>IF(NFI_Expiration=1,IF($A1277&lt;VLOOKUP(M$5,NFI,5,0),1,0)*Table_NFI[[#This Row],[Winter Blanket]],Table_NFI[[#This Row],[Winter Blanket]])</f>
        <v>0</v>
      </c>
      <c r="AM1277" s="294">
        <f>IF(Table_NFI[[#This Row],[Winter Clothes Adult]]+Table_NFI[[#This Row],[Winter Clothes Children]]+Table_NFI[[#This Row],[Winter Items Other]]+Table_NFI[[#This Row],[Winter Blanket]]&gt;0,1,0)</f>
        <v>0</v>
      </c>
      <c r="AN1277" s="331">
        <f>IF(NFI_Expiration=1,IF($A1277&lt;VLOOKUP(V$5,NFI,5,0),1,0)*Table_NFI[[#This Row],[Jerry Can]],Table_NFI[Jerry Can])</f>
        <v>0</v>
      </c>
      <c r="AO1277" s="331">
        <f>IF(NFI_Expiration=1,IF($A1277&lt;VLOOKUP(V$5,NFI,5,0),1,0)*Table_NFI[[#This Row],[Shelter Tool kit]],Table_NFI[Shelter Tool kit])</f>
        <v>0</v>
      </c>
      <c r="AP1277" s="331">
        <f>IF(NFI_Expiration=1,IF($A1277&lt;VLOOKUP(V$5,NFI,5,0),1,0)*Table_NFI[[#This Row],[Tent]],Table_NFI[Tent])</f>
        <v>0</v>
      </c>
      <c r="AQ1277" s="473" t="str">
        <f>IFERROR(VLOOKUP(Table_NFI[[#This Row],[Camp Name]],CL,2,0),"")</f>
        <v/>
      </c>
      <c r="AR1277" s="468" t="str">
        <f ca="1">IF(Table_NFI[[#This Row],[Pcode]]="","",IF(OFFSET(CampList[Opening Date],MATCH(Table_NFI[[#This Row],[Pcode]],CampList[CP_Pcode],0)-1,0,1,1)&gt;=NFI_Monitor_Date,1,0))</f>
        <v/>
      </c>
      <c r="AS1277" s="473" t="str">
        <f>IFERROR(VLOOKUP(Table_NFI[[#This Row],[Camp Name]],CL,3,0),"")</f>
        <v/>
      </c>
      <c r="AT1277" s="294" t="str">
        <f ca="1">IF(Table_NFI[[#This Row],[Pcode]]="","",OFFSET(CampList[Priority],MATCH(Table_NFI[[#This Row],[Pcode]],CampList[CP_Pcode],0)-1,0,1,1))</f>
        <v/>
      </c>
      <c r="AU1277" s="293" t="str">
        <f>IFERROR(Table_NFI[[#This Row],[Kitchen Set]]/VLOOKUP(Table_NFI[[#This Row],[Camp Name]],CL,4,0),"")</f>
        <v/>
      </c>
      <c r="AV1277" s="471"/>
      <c r="AW1277" s="474"/>
    </row>
    <row r="1278" spans="1:49" ht="14.45" customHeight="1" x14ac:dyDescent="0.25">
      <c r="A1278" s="297" t="str">
        <f t="shared" si="19"/>
        <v/>
      </c>
      <c r="B1278" s="465"/>
      <c r="C1278" s="471"/>
      <c r="D1278" s="471"/>
      <c r="E1278" s="471"/>
      <c r="F1278" s="471"/>
      <c r="G1278" s="471"/>
      <c r="H1278" s="292"/>
      <c r="I1278" s="292"/>
      <c r="J1278" s="292"/>
      <c r="K1278" s="292"/>
      <c r="L1278" s="292"/>
      <c r="M1278" s="292"/>
      <c r="N1278" s="292"/>
      <c r="O1278" s="292"/>
      <c r="P1278" s="294"/>
      <c r="Q1278" s="294"/>
      <c r="R1278" s="294"/>
      <c r="S1278" s="294"/>
      <c r="T1278" s="294"/>
      <c r="U1278" s="294"/>
      <c r="V1278" s="431"/>
      <c r="W1278" s="331"/>
      <c r="X1278" s="331"/>
      <c r="Y1278" s="294">
        <f>IF(NFI_Expiration=1,IF($A1278&lt;VLOOKUP(H$5,NFI,5,0),1,0)*Table_NFI[[#This Row],[Hygiene Kit]],Table_NFI[Hygiene Kit])</f>
        <v>0</v>
      </c>
      <c r="Z1278" s="294">
        <f>IF(NFI_Expiration=1,IF($A1278&lt;VLOOKUP(I$5,NFI,5,0),1,0)*Table_NFI[[#This Row],[NFI Core Kit]],Table_NFI[NFI Core Kit])</f>
        <v>0</v>
      </c>
      <c r="AA1278" s="294">
        <f>IF(NFI_Expiration=1,IF($A1278&lt;VLOOKUP(J$5,NFI,5,0),1,0)*Table_NFI[[#This Row],[Sanitary Kit]],Table_NFI[Sanitary Kit])</f>
        <v>0</v>
      </c>
      <c r="AB1278" s="294">
        <f>IF(NFI_Expiration=1,IF($A1278&lt;VLOOKUP(K$5,NFI,5,0),1,0)*Table_NFI[[#This Row],[Mosquito net]],Table_NFI[Mosquito net])</f>
        <v>0</v>
      </c>
      <c r="AC1278" s="294">
        <f>IF(NFI_Expiration=1,IF($A1278&lt;VLOOKUP(L$5,NFI,5,0),1,0)*Table_NFI[[#This Row],[Tarpaulin]],Table_NFI[[#This Row],[Tarpaulin]])</f>
        <v>0</v>
      </c>
      <c r="AD1278" s="294">
        <f>IF(NFI_Expiration=1,IF($A1278&lt;VLOOKUP(M$5,NFI,5,0),1,0)*Table_NFI[[#This Row],[Blanket]],Table_NFI[[#This Row],[Blanket]])</f>
        <v>0</v>
      </c>
      <c r="AE1278" s="294">
        <f>IF(NFI_Expiration=1,IF($A1278&lt;VLOOKUP(N$5,NFI,5,0),1,0)*Table_NFI[[#This Row],[Kitchen Set]],Table_NFI[Kitchen Set])</f>
        <v>0</v>
      </c>
      <c r="AF1278" s="294">
        <f>IF(NFI_Expiration=1,IF($A1278&lt;VLOOKUP(O$5,NFI,5,0),1,0)*Table_NFI[[#This Row],[Clothes Kit]],Table_NFI[Clothes Kit])</f>
        <v>0</v>
      </c>
      <c r="AG1278" s="294">
        <f>IF(NFI_Expiration=1,IF($A1278&lt;VLOOKUP(P$5,NFI,5,0),1,0)*Table_NFI[[#This Row],[Plastic Bucket]],Table_NFI[Plastic Bucket])</f>
        <v>0</v>
      </c>
      <c r="AH1278" s="294">
        <f>IF(NFI_Expiration=1,IF($A1278&lt;VLOOKUP(Q$5,NFI,5,0),1,0)*Table_NFI[[#This Row],[Plastic Mat]],Table_NFI[Plastic Mat])*IF(Table_NFI[[#This Row],[Distribution Date]]&gt;"2014-04-01",1,2.5)</f>
        <v>0</v>
      </c>
      <c r="AI1278" s="294">
        <f>IF(NFI_Expiration=1,IF($A1278&lt;VLOOKUP(R$5,NFI,5,0),1,0)*Table_NFI[[#This Row],[Winter Clothes Adult]],Table_NFI[Winter Clothes Adult])</f>
        <v>0</v>
      </c>
      <c r="AJ1278" s="294">
        <f>IF(NFI_Expiration=1,IF($A1278&lt;VLOOKUP(S$5,NFI,5,0),1,0)*Table_NFI[[#This Row],[Winter Clothes Children]],Table_NFI[Winter Clothes Children])</f>
        <v>0</v>
      </c>
      <c r="AK1278" s="294">
        <f>IF(NFI_Expiration=1,IF($A1278&lt;VLOOKUP(T$5,NFI,5,0),1,0)*Table_NFI[[#This Row],[Winter Items Other]],Table_NFI[Winter Items Other])</f>
        <v>0</v>
      </c>
      <c r="AL1278" s="294">
        <f>IF(NFI_Expiration=1,IF($A1278&lt;VLOOKUP(M$5,NFI,5,0),1,0)*Table_NFI[[#This Row],[Winter Blanket]],Table_NFI[[#This Row],[Winter Blanket]])</f>
        <v>0</v>
      </c>
      <c r="AM1278" s="294">
        <f>IF(Table_NFI[[#This Row],[Winter Clothes Adult]]+Table_NFI[[#This Row],[Winter Clothes Children]]+Table_NFI[[#This Row],[Winter Items Other]]+Table_NFI[[#This Row],[Winter Blanket]]&gt;0,1,0)</f>
        <v>0</v>
      </c>
      <c r="AN1278" s="331">
        <f>IF(NFI_Expiration=1,IF($A1278&lt;VLOOKUP(V$5,NFI,5,0),1,0)*Table_NFI[[#This Row],[Jerry Can]],Table_NFI[Jerry Can])</f>
        <v>0</v>
      </c>
      <c r="AO1278" s="331">
        <f>IF(NFI_Expiration=1,IF($A1278&lt;VLOOKUP(V$5,NFI,5,0),1,0)*Table_NFI[[#This Row],[Shelter Tool kit]],Table_NFI[Shelter Tool kit])</f>
        <v>0</v>
      </c>
      <c r="AP1278" s="331">
        <f>IF(NFI_Expiration=1,IF($A1278&lt;VLOOKUP(V$5,NFI,5,0),1,0)*Table_NFI[[#This Row],[Tent]],Table_NFI[Tent])</f>
        <v>0</v>
      </c>
      <c r="AQ1278" s="473" t="str">
        <f>IFERROR(VLOOKUP(Table_NFI[[#This Row],[Camp Name]],CL,2,0),"")</f>
        <v/>
      </c>
      <c r="AR1278" s="468" t="str">
        <f ca="1">IF(Table_NFI[[#This Row],[Pcode]]="","",IF(OFFSET(CampList[Opening Date],MATCH(Table_NFI[[#This Row],[Pcode]],CampList[CP_Pcode],0)-1,0,1,1)&gt;=NFI_Monitor_Date,1,0))</f>
        <v/>
      </c>
      <c r="AS1278" s="473" t="str">
        <f>IFERROR(VLOOKUP(Table_NFI[[#This Row],[Camp Name]],CL,3,0),"")</f>
        <v/>
      </c>
      <c r="AT1278" s="294" t="str">
        <f ca="1">IF(Table_NFI[[#This Row],[Pcode]]="","",OFFSET(CampList[Priority],MATCH(Table_NFI[[#This Row],[Pcode]],CampList[CP_Pcode],0)-1,0,1,1))</f>
        <v/>
      </c>
      <c r="AU1278" s="293" t="str">
        <f>IFERROR(Table_NFI[[#This Row],[Kitchen Set]]/VLOOKUP(Table_NFI[[#This Row],[Camp Name]],CL,4,0),"")</f>
        <v/>
      </c>
      <c r="AV1278" s="471"/>
      <c r="AW1278" s="474"/>
    </row>
    <row r="1279" spans="1:49" ht="14.45" customHeight="1" x14ac:dyDescent="0.25">
      <c r="A1279" s="297" t="str">
        <f t="shared" si="19"/>
        <v/>
      </c>
      <c r="B1279" s="465"/>
      <c r="C1279" s="471"/>
      <c r="D1279" s="471"/>
      <c r="E1279" s="471"/>
      <c r="F1279" s="471"/>
      <c r="G1279" s="471"/>
      <c r="H1279" s="292"/>
      <c r="I1279" s="292"/>
      <c r="J1279" s="292"/>
      <c r="K1279" s="292"/>
      <c r="L1279" s="292"/>
      <c r="M1279" s="292"/>
      <c r="N1279" s="292"/>
      <c r="O1279" s="292"/>
      <c r="P1279" s="294"/>
      <c r="Q1279" s="294"/>
      <c r="R1279" s="294"/>
      <c r="S1279" s="294"/>
      <c r="T1279" s="294"/>
      <c r="U1279" s="294"/>
      <c r="V1279" s="431"/>
      <c r="W1279" s="331"/>
      <c r="X1279" s="331"/>
      <c r="Y1279" s="294">
        <f>IF(NFI_Expiration=1,IF($A1279&lt;VLOOKUP(H$5,NFI,5,0),1,0)*Table_NFI[[#This Row],[Hygiene Kit]],Table_NFI[Hygiene Kit])</f>
        <v>0</v>
      </c>
      <c r="Z1279" s="294">
        <f>IF(NFI_Expiration=1,IF($A1279&lt;VLOOKUP(I$5,NFI,5,0),1,0)*Table_NFI[[#This Row],[NFI Core Kit]],Table_NFI[NFI Core Kit])</f>
        <v>0</v>
      </c>
      <c r="AA1279" s="294">
        <f>IF(NFI_Expiration=1,IF($A1279&lt;VLOOKUP(J$5,NFI,5,0),1,0)*Table_NFI[[#This Row],[Sanitary Kit]],Table_NFI[Sanitary Kit])</f>
        <v>0</v>
      </c>
      <c r="AB1279" s="294">
        <f>IF(NFI_Expiration=1,IF($A1279&lt;VLOOKUP(K$5,NFI,5,0),1,0)*Table_NFI[[#This Row],[Mosquito net]],Table_NFI[Mosquito net])</f>
        <v>0</v>
      </c>
      <c r="AC1279" s="294">
        <f>IF(NFI_Expiration=1,IF($A1279&lt;VLOOKUP(L$5,NFI,5,0),1,0)*Table_NFI[[#This Row],[Tarpaulin]],Table_NFI[[#This Row],[Tarpaulin]])</f>
        <v>0</v>
      </c>
      <c r="AD1279" s="294">
        <f>IF(NFI_Expiration=1,IF($A1279&lt;VLOOKUP(M$5,NFI,5,0),1,0)*Table_NFI[[#This Row],[Blanket]],Table_NFI[[#This Row],[Blanket]])</f>
        <v>0</v>
      </c>
      <c r="AE1279" s="294">
        <f>IF(NFI_Expiration=1,IF($A1279&lt;VLOOKUP(N$5,NFI,5,0),1,0)*Table_NFI[[#This Row],[Kitchen Set]],Table_NFI[Kitchen Set])</f>
        <v>0</v>
      </c>
      <c r="AF1279" s="294">
        <f>IF(NFI_Expiration=1,IF($A1279&lt;VLOOKUP(O$5,NFI,5,0),1,0)*Table_NFI[[#This Row],[Clothes Kit]],Table_NFI[Clothes Kit])</f>
        <v>0</v>
      </c>
      <c r="AG1279" s="294">
        <f>IF(NFI_Expiration=1,IF($A1279&lt;VLOOKUP(P$5,NFI,5,0),1,0)*Table_NFI[[#This Row],[Plastic Bucket]],Table_NFI[Plastic Bucket])</f>
        <v>0</v>
      </c>
      <c r="AH1279" s="294">
        <f>IF(NFI_Expiration=1,IF($A1279&lt;VLOOKUP(Q$5,NFI,5,0),1,0)*Table_NFI[[#This Row],[Plastic Mat]],Table_NFI[Plastic Mat])*IF(Table_NFI[[#This Row],[Distribution Date]]&gt;"2014-04-01",1,2.5)</f>
        <v>0</v>
      </c>
      <c r="AI1279" s="294">
        <f>IF(NFI_Expiration=1,IF($A1279&lt;VLOOKUP(R$5,NFI,5,0),1,0)*Table_NFI[[#This Row],[Winter Clothes Adult]],Table_NFI[Winter Clothes Adult])</f>
        <v>0</v>
      </c>
      <c r="AJ1279" s="294">
        <f>IF(NFI_Expiration=1,IF($A1279&lt;VLOOKUP(S$5,NFI,5,0),1,0)*Table_NFI[[#This Row],[Winter Clothes Children]],Table_NFI[Winter Clothes Children])</f>
        <v>0</v>
      </c>
      <c r="AK1279" s="294">
        <f>IF(NFI_Expiration=1,IF($A1279&lt;VLOOKUP(T$5,NFI,5,0),1,0)*Table_NFI[[#This Row],[Winter Items Other]],Table_NFI[Winter Items Other])</f>
        <v>0</v>
      </c>
      <c r="AL1279" s="294">
        <f>IF(NFI_Expiration=1,IF($A1279&lt;VLOOKUP(M$5,NFI,5,0),1,0)*Table_NFI[[#This Row],[Winter Blanket]],Table_NFI[[#This Row],[Winter Blanket]])</f>
        <v>0</v>
      </c>
      <c r="AM1279" s="294">
        <f>IF(Table_NFI[[#This Row],[Winter Clothes Adult]]+Table_NFI[[#This Row],[Winter Clothes Children]]+Table_NFI[[#This Row],[Winter Items Other]]+Table_NFI[[#This Row],[Winter Blanket]]&gt;0,1,0)</f>
        <v>0</v>
      </c>
      <c r="AN1279" s="331">
        <f>IF(NFI_Expiration=1,IF($A1279&lt;VLOOKUP(V$5,NFI,5,0),1,0)*Table_NFI[[#This Row],[Jerry Can]],Table_NFI[Jerry Can])</f>
        <v>0</v>
      </c>
      <c r="AO1279" s="331">
        <f>IF(NFI_Expiration=1,IF($A1279&lt;VLOOKUP(V$5,NFI,5,0),1,0)*Table_NFI[[#This Row],[Shelter Tool kit]],Table_NFI[Shelter Tool kit])</f>
        <v>0</v>
      </c>
      <c r="AP1279" s="331">
        <f>IF(NFI_Expiration=1,IF($A1279&lt;VLOOKUP(V$5,NFI,5,0),1,0)*Table_NFI[[#This Row],[Tent]],Table_NFI[Tent])</f>
        <v>0</v>
      </c>
      <c r="AQ1279" s="473" t="str">
        <f>IFERROR(VLOOKUP(Table_NFI[[#This Row],[Camp Name]],CL,2,0),"")</f>
        <v/>
      </c>
      <c r="AR1279" s="468" t="str">
        <f ca="1">IF(Table_NFI[[#This Row],[Pcode]]="","",IF(OFFSET(CampList[Opening Date],MATCH(Table_NFI[[#This Row],[Pcode]],CampList[CP_Pcode],0)-1,0,1,1)&gt;=NFI_Monitor_Date,1,0))</f>
        <v/>
      </c>
      <c r="AS1279" s="473" t="str">
        <f>IFERROR(VLOOKUP(Table_NFI[[#This Row],[Camp Name]],CL,3,0),"")</f>
        <v/>
      </c>
      <c r="AT1279" s="294" t="str">
        <f ca="1">IF(Table_NFI[[#This Row],[Pcode]]="","",OFFSET(CampList[Priority],MATCH(Table_NFI[[#This Row],[Pcode]],CampList[CP_Pcode],0)-1,0,1,1))</f>
        <v/>
      </c>
      <c r="AU1279" s="293" t="str">
        <f>IFERROR(Table_NFI[[#This Row],[Kitchen Set]]/VLOOKUP(Table_NFI[[#This Row],[Camp Name]],CL,4,0),"")</f>
        <v/>
      </c>
      <c r="AV1279" s="471"/>
      <c r="AW1279" s="474"/>
    </row>
    <row r="1280" spans="1:49" ht="14.45" customHeight="1" x14ac:dyDescent="0.25">
      <c r="A1280" s="297" t="str">
        <f t="shared" si="19"/>
        <v/>
      </c>
      <c r="B1280" s="465"/>
      <c r="C1280" s="471"/>
      <c r="D1280" s="471"/>
      <c r="E1280" s="471"/>
      <c r="F1280" s="471"/>
      <c r="G1280" s="471"/>
      <c r="H1280" s="292"/>
      <c r="I1280" s="292"/>
      <c r="J1280" s="292"/>
      <c r="K1280" s="292"/>
      <c r="L1280" s="292"/>
      <c r="M1280" s="292"/>
      <c r="N1280" s="292"/>
      <c r="O1280" s="292"/>
      <c r="P1280" s="294"/>
      <c r="Q1280" s="294"/>
      <c r="R1280" s="294"/>
      <c r="S1280" s="294"/>
      <c r="T1280" s="294"/>
      <c r="U1280" s="294"/>
      <c r="V1280" s="431"/>
      <c r="W1280" s="331"/>
      <c r="X1280" s="331"/>
      <c r="Y1280" s="294">
        <f>IF(NFI_Expiration=1,IF($A1280&lt;VLOOKUP(H$5,NFI,5,0),1,0)*Table_NFI[[#This Row],[Hygiene Kit]],Table_NFI[Hygiene Kit])</f>
        <v>0</v>
      </c>
      <c r="Z1280" s="294">
        <f>IF(NFI_Expiration=1,IF($A1280&lt;VLOOKUP(I$5,NFI,5,0),1,0)*Table_NFI[[#This Row],[NFI Core Kit]],Table_NFI[NFI Core Kit])</f>
        <v>0</v>
      </c>
      <c r="AA1280" s="294">
        <f>IF(NFI_Expiration=1,IF($A1280&lt;VLOOKUP(J$5,NFI,5,0),1,0)*Table_NFI[[#This Row],[Sanitary Kit]],Table_NFI[Sanitary Kit])</f>
        <v>0</v>
      </c>
      <c r="AB1280" s="294">
        <f>IF(NFI_Expiration=1,IF($A1280&lt;VLOOKUP(K$5,NFI,5,0),1,0)*Table_NFI[[#This Row],[Mosquito net]],Table_NFI[Mosquito net])</f>
        <v>0</v>
      </c>
      <c r="AC1280" s="294">
        <f>IF(NFI_Expiration=1,IF($A1280&lt;VLOOKUP(L$5,NFI,5,0),1,0)*Table_NFI[[#This Row],[Tarpaulin]],Table_NFI[[#This Row],[Tarpaulin]])</f>
        <v>0</v>
      </c>
      <c r="AD1280" s="294">
        <f>IF(NFI_Expiration=1,IF($A1280&lt;VLOOKUP(M$5,NFI,5,0),1,0)*Table_NFI[[#This Row],[Blanket]],Table_NFI[[#This Row],[Blanket]])</f>
        <v>0</v>
      </c>
      <c r="AE1280" s="294">
        <f>IF(NFI_Expiration=1,IF($A1280&lt;VLOOKUP(N$5,NFI,5,0),1,0)*Table_NFI[[#This Row],[Kitchen Set]],Table_NFI[Kitchen Set])</f>
        <v>0</v>
      </c>
      <c r="AF1280" s="294">
        <f>IF(NFI_Expiration=1,IF($A1280&lt;VLOOKUP(O$5,NFI,5,0),1,0)*Table_NFI[[#This Row],[Clothes Kit]],Table_NFI[Clothes Kit])</f>
        <v>0</v>
      </c>
      <c r="AG1280" s="294">
        <f>IF(NFI_Expiration=1,IF($A1280&lt;VLOOKUP(P$5,NFI,5,0),1,0)*Table_NFI[[#This Row],[Plastic Bucket]],Table_NFI[Plastic Bucket])</f>
        <v>0</v>
      </c>
      <c r="AH1280" s="294">
        <f>IF(NFI_Expiration=1,IF($A1280&lt;VLOOKUP(Q$5,NFI,5,0),1,0)*Table_NFI[[#This Row],[Plastic Mat]],Table_NFI[Plastic Mat])*IF(Table_NFI[[#This Row],[Distribution Date]]&gt;"2014-04-01",1,2.5)</f>
        <v>0</v>
      </c>
      <c r="AI1280" s="294">
        <f>IF(NFI_Expiration=1,IF($A1280&lt;VLOOKUP(R$5,NFI,5,0),1,0)*Table_NFI[[#This Row],[Winter Clothes Adult]],Table_NFI[Winter Clothes Adult])</f>
        <v>0</v>
      </c>
      <c r="AJ1280" s="294">
        <f>IF(NFI_Expiration=1,IF($A1280&lt;VLOOKUP(S$5,NFI,5,0),1,0)*Table_NFI[[#This Row],[Winter Clothes Children]],Table_NFI[Winter Clothes Children])</f>
        <v>0</v>
      </c>
      <c r="AK1280" s="294">
        <f>IF(NFI_Expiration=1,IF($A1280&lt;VLOOKUP(T$5,NFI,5,0),1,0)*Table_NFI[[#This Row],[Winter Items Other]],Table_NFI[Winter Items Other])</f>
        <v>0</v>
      </c>
      <c r="AL1280" s="294">
        <f>IF(NFI_Expiration=1,IF($A1280&lt;VLOOKUP(M$5,NFI,5,0),1,0)*Table_NFI[[#This Row],[Winter Blanket]],Table_NFI[[#This Row],[Winter Blanket]])</f>
        <v>0</v>
      </c>
      <c r="AM1280" s="294">
        <f>IF(Table_NFI[[#This Row],[Winter Clothes Adult]]+Table_NFI[[#This Row],[Winter Clothes Children]]+Table_NFI[[#This Row],[Winter Items Other]]+Table_NFI[[#This Row],[Winter Blanket]]&gt;0,1,0)</f>
        <v>0</v>
      </c>
      <c r="AN1280" s="331">
        <f>IF(NFI_Expiration=1,IF($A1280&lt;VLOOKUP(V$5,NFI,5,0),1,0)*Table_NFI[[#This Row],[Jerry Can]],Table_NFI[Jerry Can])</f>
        <v>0</v>
      </c>
      <c r="AO1280" s="331">
        <f>IF(NFI_Expiration=1,IF($A1280&lt;VLOOKUP(V$5,NFI,5,0),1,0)*Table_NFI[[#This Row],[Shelter Tool kit]],Table_NFI[Shelter Tool kit])</f>
        <v>0</v>
      </c>
      <c r="AP1280" s="331">
        <f>IF(NFI_Expiration=1,IF($A1280&lt;VLOOKUP(V$5,NFI,5,0),1,0)*Table_NFI[[#This Row],[Tent]],Table_NFI[Tent])</f>
        <v>0</v>
      </c>
      <c r="AQ1280" s="473" t="str">
        <f>IFERROR(VLOOKUP(Table_NFI[[#This Row],[Camp Name]],CL,2,0),"")</f>
        <v/>
      </c>
      <c r="AR1280" s="468" t="str">
        <f ca="1">IF(Table_NFI[[#This Row],[Pcode]]="","",IF(OFFSET(CampList[Opening Date],MATCH(Table_NFI[[#This Row],[Pcode]],CampList[CP_Pcode],0)-1,0,1,1)&gt;=NFI_Monitor_Date,1,0))</f>
        <v/>
      </c>
      <c r="AS1280" s="473" t="str">
        <f>IFERROR(VLOOKUP(Table_NFI[[#This Row],[Camp Name]],CL,3,0),"")</f>
        <v/>
      </c>
      <c r="AT1280" s="294" t="str">
        <f ca="1">IF(Table_NFI[[#This Row],[Pcode]]="","",OFFSET(CampList[Priority],MATCH(Table_NFI[[#This Row],[Pcode]],CampList[CP_Pcode],0)-1,0,1,1))</f>
        <v/>
      </c>
      <c r="AU1280" s="293" t="str">
        <f>IFERROR(Table_NFI[[#This Row],[Kitchen Set]]/VLOOKUP(Table_NFI[[#This Row],[Camp Name]],CL,4,0),"")</f>
        <v/>
      </c>
      <c r="AV1280" s="471"/>
      <c r="AW1280" s="474"/>
    </row>
    <row r="1281" spans="1:49" ht="14.45" customHeight="1" x14ac:dyDescent="0.25">
      <c r="A1281" s="297" t="str">
        <f t="shared" si="19"/>
        <v/>
      </c>
      <c r="B1281" s="465"/>
      <c r="C1281" s="471"/>
      <c r="D1281" s="471"/>
      <c r="E1281" s="471"/>
      <c r="F1281" s="471"/>
      <c r="G1281" s="471"/>
      <c r="H1281" s="292"/>
      <c r="I1281" s="292"/>
      <c r="J1281" s="292"/>
      <c r="K1281" s="292"/>
      <c r="L1281" s="292"/>
      <c r="M1281" s="292"/>
      <c r="N1281" s="292"/>
      <c r="O1281" s="292"/>
      <c r="P1281" s="294"/>
      <c r="Q1281" s="294"/>
      <c r="R1281" s="294"/>
      <c r="S1281" s="294"/>
      <c r="T1281" s="294"/>
      <c r="U1281" s="294"/>
      <c r="V1281" s="431"/>
      <c r="W1281" s="331"/>
      <c r="X1281" s="331"/>
      <c r="Y1281" s="294">
        <f>IF(NFI_Expiration=1,IF($A1281&lt;VLOOKUP(H$5,NFI,5,0),1,0)*Table_NFI[[#This Row],[Hygiene Kit]],Table_NFI[Hygiene Kit])</f>
        <v>0</v>
      </c>
      <c r="Z1281" s="294">
        <f>IF(NFI_Expiration=1,IF($A1281&lt;VLOOKUP(I$5,NFI,5,0),1,0)*Table_NFI[[#This Row],[NFI Core Kit]],Table_NFI[NFI Core Kit])</f>
        <v>0</v>
      </c>
      <c r="AA1281" s="294">
        <f>IF(NFI_Expiration=1,IF($A1281&lt;VLOOKUP(J$5,NFI,5,0),1,0)*Table_NFI[[#This Row],[Sanitary Kit]],Table_NFI[Sanitary Kit])</f>
        <v>0</v>
      </c>
      <c r="AB1281" s="294">
        <f>IF(NFI_Expiration=1,IF($A1281&lt;VLOOKUP(K$5,NFI,5,0),1,0)*Table_NFI[[#This Row],[Mosquito net]],Table_NFI[Mosquito net])</f>
        <v>0</v>
      </c>
      <c r="AC1281" s="294">
        <f>IF(NFI_Expiration=1,IF($A1281&lt;VLOOKUP(L$5,NFI,5,0),1,0)*Table_NFI[[#This Row],[Tarpaulin]],Table_NFI[[#This Row],[Tarpaulin]])</f>
        <v>0</v>
      </c>
      <c r="AD1281" s="294">
        <f>IF(NFI_Expiration=1,IF($A1281&lt;VLOOKUP(M$5,NFI,5,0),1,0)*Table_NFI[[#This Row],[Blanket]],Table_NFI[[#This Row],[Blanket]])</f>
        <v>0</v>
      </c>
      <c r="AE1281" s="294">
        <f>IF(NFI_Expiration=1,IF($A1281&lt;VLOOKUP(N$5,NFI,5,0),1,0)*Table_NFI[[#This Row],[Kitchen Set]],Table_NFI[Kitchen Set])</f>
        <v>0</v>
      </c>
      <c r="AF1281" s="294">
        <f>IF(NFI_Expiration=1,IF($A1281&lt;VLOOKUP(O$5,NFI,5,0),1,0)*Table_NFI[[#This Row],[Clothes Kit]],Table_NFI[Clothes Kit])</f>
        <v>0</v>
      </c>
      <c r="AG1281" s="294">
        <f>IF(NFI_Expiration=1,IF($A1281&lt;VLOOKUP(P$5,NFI,5,0),1,0)*Table_NFI[[#This Row],[Plastic Bucket]],Table_NFI[Plastic Bucket])</f>
        <v>0</v>
      </c>
      <c r="AH1281" s="294">
        <f>IF(NFI_Expiration=1,IF($A1281&lt;VLOOKUP(Q$5,NFI,5,0),1,0)*Table_NFI[[#This Row],[Plastic Mat]],Table_NFI[Plastic Mat])*IF(Table_NFI[[#This Row],[Distribution Date]]&gt;"2014-04-01",1,2.5)</f>
        <v>0</v>
      </c>
      <c r="AI1281" s="294">
        <f>IF(NFI_Expiration=1,IF($A1281&lt;VLOOKUP(R$5,NFI,5,0),1,0)*Table_NFI[[#This Row],[Winter Clothes Adult]],Table_NFI[Winter Clothes Adult])</f>
        <v>0</v>
      </c>
      <c r="AJ1281" s="294">
        <f>IF(NFI_Expiration=1,IF($A1281&lt;VLOOKUP(S$5,NFI,5,0),1,0)*Table_NFI[[#This Row],[Winter Clothes Children]],Table_NFI[Winter Clothes Children])</f>
        <v>0</v>
      </c>
      <c r="AK1281" s="294">
        <f>IF(NFI_Expiration=1,IF($A1281&lt;VLOOKUP(T$5,NFI,5,0),1,0)*Table_NFI[[#This Row],[Winter Items Other]],Table_NFI[Winter Items Other])</f>
        <v>0</v>
      </c>
      <c r="AL1281" s="294">
        <f>IF(NFI_Expiration=1,IF($A1281&lt;VLOOKUP(M$5,NFI,5,0),1,0)*Table_NFI[[#This Row],[Winter Blanket]],Table_NFI[[#This Row],[Winter Blanket]])</f>
        <v>0</v>
      </c>
      <c r="AM1281" s="294">
        <f>IF(Table_NFI[[#This Row],[Winter Clothes Adult]]+Table_NFI[[#This Row],[Winter Clothes Children]]+Table_NFI[[#This Row],[Winter Items Other]]+Table_NFI[[#This Row],[Winter Blanket]]&gt;0,1,0)</f>
        <v>0</v>
      </c>
      <c r="AN1281" s="331">
        <f>IF(NFI_Expiration=1,IF($A1281&lt;VLOOKUP(V$5,NFI,5,0),1,0)*Table_NFI[[#This Row],[Jerry Can]],Table_NFI[Jerry Can])</f>
        <v>0</v>
      </c>
      <c r="AO1281" s="331">
        <f>IF(NFI_Expiration=1,IF($A1281&lt;VLOOKUP(V$5,NFI,5,0),1,0)*Table_NFI[[#This Row],[Shelter Tool kit]],Table_NFI[Shelter Tool kit])</f>
        <v>0</v>
      </c>
      <c r="AP1281" s="331">
        <f>IF(NFI_Expiration=1,IF($A1281&lt;VLOOKUP(V$5,NFI,5,0),1,0)*Table_NFI[[#This Row],[Tent]],Table_NFI[Tent])</f>
        <v>0</v>
      </c>
      <c r="AQ1281" s="473" t="str">
        <f>IFERROR(VLOOKUP(Table_NFI[[#This Row],[Camp Name]],CL,2,0),"")</f>
        <v/>
      </c>
      <c r="AR1281" s="468" t="str">
        <f ca="1">IF(Table_NFI[[#This Row],[Pcode]]="","",IF(OFFSET(CampList[Opening Date],MATCH(Table_NFI[[#This Row],[Pcode]],CampList[CP_Pcode],0)-1,0,1,1)&gt;=NFI_Monitor_Date,1,0))</f>
        <v/>
      </c>
      <c r="AS1281" s="473" t="str">
        <f>IFERROR(VLOOKUP(Table_NFI[[#This Row],[Camp Name]],CL,3,0),"")</f>
        <v/>
      </c>
      <c r="AT1281" s="294" t="str">
        <f ca="1">IF(Table_NFI[[#This Row],[Pcode]]="","",OFFSET(CampList[Priority],MATCH(Table_NFI[[#This Row],[Pcode]],CampList[CP_Pcode],0)-1,0,1,1))</f>
        <v/>
      </c>
      <c r="AU1281" s="293" t="str">
        <f>IFERROR(Table_NFI[[#This Row],[Kitchen Set]]/VLOOKUP(Table_NFI[[#This Row],[Camp Name]],CL,4,0),"")</f>
        <v/>
      </c>
      <c r="AV1281" s="471"/>
      <c r="AW1281" s="474"/>
    </row>
    <row r="1282" spans="1:49" ht="14.45" customHeight="1" x14ac:dyDescent="0.25">
      <c r="A1282" s="297" t="str">
        <f t="shared" si="19"/>
        <v/>
      </c>
      <c r="B1282" s="465"/>
      <c r="C1282" s="471"/>
      <c r="D1282" s="471"/>
      <c r="E1282" s="471"/>
      <c r="F1282" s="471"/>
      <c r="G1282" s="471"/>
      <c r="H1282" s="292"/>
      <c r="I1282" s="292"/>
      <c r="J1282" s="292"/>
      <c r="K1282" s="292"/>
      <c r="L1282" s="292"/>
      <c r="M1282" s="292"/>
      <c r="N1282" s="292"/>
      <c r="O1282" s="292"/>
      <c r="P1282" s="294"/>
      <c r="Q1282" s="294"/>
      <c r="R1282" s="294"/>
      <c r="S1282" s="294"/>
      <c r="T1282" s="294"/>
      <c r="U1282" s="294"/>
      <c r="V1282" s="431"/>
      <c r="W1282" s="331"/>
      <c r="X1282" s="331"/>
      <c r="Y1282" s="294">
        <f>IF(NFI_Expiration=1,IF($A1282&lt;VLOOKUP(H$5,NFI,5,0),1,0)*Table_NFI[[#This Row],[Hygiene Kit]],Table_NFI[Hygiene Kit])</f>
        <v>0</v>
      </c>
      <c r="Z1282" s="294">
        <f>IF(NFI_Expiration=1,IF($A1282&lt;VLOOKUP(I$5,NFI,5,0),1,0)*Table_NFI[[#This Row],[NFI Core Kit]],Table_NFI[NFI Core Kit])</f>
        <v>0</v>
      </c>
      <c r="AA1282" s="294">
        <f>IF(NFI_Expiration=1,IF($A1282&lt;VLOOKUP(J$5,NFI,5,0),1,0)*Table_NFI[[#This Row],[Sanitary Kit]],Table_NFI[Sanitary Kit])</f>
        <v>0</v>
      </c>
      <c r="AB1282" s="294">
        <f>IF(NFI_Expiration=1,IF($A1282&lt;VLOOKUP(K$5,NFI,5,0),1,0)*Table_NFI[[#This Row],[Mosquito net]],Table_NFI[Mosquito net])</f>
        <v>0</v>
      </c>
      <c r="AC1282" s="294">
        <f>IF(NFI_Expiration=1,IF($A1282&lt;VLOOKUP(L$5,NFI,5,0),1,0)*Table_NFI[[#This Row],[Tarpaulin]],Table_NFI[[#This Row],[Tarpaulin]])</f>
        <v>0</v>
      </c>
      <c r="AD1282" s="294">
        <f>IF(NFI_Expiration=1,IF($A1282&lt;VLOOKUP(M$5,NFI,5,0),1,0)*Table_NFI[[#This Row],[Blanket]],Table_NFI[[#This Row],[Blanket]])</f>
        <v>0</v>
      </c>
      <c r="AE1282" s="294">
        <f>IF(NFI_Expiration=1,IF($A1282&lt;VLOOKUP(N$5,NFI,5,0),1,0)*Table_NFI[[#This Row],[Kitchen Set]],Table_NFI[Kitchen Set])</f>
        <v>0</v>
      </c>
      <c r="AF1282" s="294">
        <f>IF(NFI_Expiration=1,IF($A1282&lt;VLOOKUP(O$5,NFI,5,0),1,0)*Table_NFI[[#This Row],[Clothes Kit]],Table_NFI[Clothes Kit])</f>
        <v>0</v>
      </c>
      <c r="AG1282" s="294">
        <f>IF(NFI_Expiration=1,IF($A1282&lt;VLOOKUP(P$5,NFI,5,0),1,0)*Table_NFI[[#This Row],[Plastic Bucket]],Table_NFI[Plastic Bucket])</f>
        <v>0</v>
      </c>
      <c r="AH1282" s="294">
        <f>IF(NFI_Expiration=1,IF($A1282&lt;VLOOKUP(Q$5,NFI,5,0),1,0)*Table_NFI[[#This Row],[Plastic Mat]],Table_NFI[Plastic Mat])*IF(Table_NFI[[#This Row],[Distribution Date]]&gt;"2014-04-01",1,2.5)</f>
        <v>0</v>
      </c>
      <c r="AI1282" s="294">
        <f>IF(NFI_Expiration=1,IF($A1282&lt;VLOOKUP(R$5,NFI,5,0),1,0)*Table_NFI[[#This Row],[Winter Clothes Adult]],Table_NFI[Winter Clothes Adult])</f>
        <v>0</v>
      </c>
      <c r="AJ1282" s="294">
        <f>IF(NFI_Expiration=1,IF($A1282&lt;VLOOKUP(S$5,NFI,5,0),1,0)*Table_NFI[[#This Row],[Winter Clothes Children]],Table_NFI[Winter Clothes Children])</f>
        <v>0</v>
      </c>
      <c r="AK1282" s="294">
        <f>IF(NFI_Expiration=1,IF($A1282&lt;VLOOKUP(T$5,NFI,5,0),1,0)*Table_NFI[[#This Row],[Winter Items Other]],Table_NFI[Winter Items Other])</f>
        <v>0</v>
      </c>
      <c r="AL1282" s="294">
        <f>IF(NFI_Expiration=1,IF($A1282&lt;VLOOKUP(M$5,NFI,5,0),1,0)*Table_NFI[[#This Row],[Winter Blanket]],Table_NFI[[#This Row],[Winter Blanket]])</f>
        <v>0</v>
      </c>
      <c r="AM1282" s="294">
        <f>IF(Table_NFI[[#This Row],[Winter Clothes Adult]]+Table_NFI[[#This Row],[Winter Clothes Children]]+Table_NFI[[#This Row],[Winter Items Other]]+Table_NFI[[#This Row],[Winter Blanket]]&gt;0,1,0)</f>
        <v>0</v>
      </c>
      <c r="AN1282" s="331">
        <f>IF(NFI_Expiration=1,IF($A1282&lt;VLOOKUP(V$5,NFI,5,0),1,0)*Table_NFI[[#This Row],[Jerry Can]],Table_NFI[Jerry Can])</f>
        <v>0</v>
      </c>
      <c r="AO1282" s="331">
        <f>IF(NFI_Expiration=1,IF($A1282&lt;VLOOKUP(V$5,NFI,5,0),1,0)*Table_NFI[[#This Row],[Shelter Tool kit]],Table_NFI[Shelter Tool kit])</f>
        <v>0</v>
      </c>
      <c r="AP1282" s="331">
        <f>IF(NFI_Expiration=1,IF($A1282&lt;VLOOKUP(V$5,NFI,5,0),1,0)*Table_NFI[[#This Row],[Tent]],Table_NFI[Tent])</f>
        <v>0</v>
      </c>
      <c r="AQ1282" s="473" t="str">
        <f>IFERROR(VLOOKUP(Table_NFI[[#This Row],[Camp Name]],CL,2,0),"")</f>
        <v/>
      </c>
      <c r="AR1282" s="468" t="str">
        <f ca="1">IF(Table_NFI[[#This Row],[Pcode]]="","",IF(OFFSET(CampList[Opening Date],MATCH(Table_NFI[[#This Row],[Pcode]],CampList[CP_Pcode],0)-1,0,1,1)&gt;=NFI_Monitor_Date,1,0))</f>
        <v/>
      </c>
      <c r="AS1282" s="473" t="str">
        <f>IFERROR(VLOOKUP(Table_NFI[[#This Row],[Camp Name]],CL,3,0),"")</f>
        <v/>
      </c>
      <c r="AT1282" s="294" t="str">
        <f ca="1">IF(Table_NFI[[#This Row],[Pcode]]="","",OFFSET(CampList[Priority],MATCH(Table_NFI[[#This Row],[Pcode]],CampList[CP_Pcode],0)-1,0,1,1))</f>
        <v/>
      </c>
      <c r="AU1282" s="293" t="str">
        <f>IFERROR(Table_NFI[[#This Row],[Kitchen Set]]/VLOOKUP(Table_NFI[[#This Row],[Camp Name]],CL,4,0),"")</f>
        <v/>
      </c>
      <c r="AV1282" s="471"/>
      <c r="AW1282" s="474"/>
    </row>
    <row r="1283" spans="1:49" ht="14.45" customHeight="1" x14ac:dyDescent="0.25">
      <c r="A1283" s="297" t="str">
        <f t="shared" si="19"/>
        <v/>
      </c>
      <c r="B1283" s="465"/>
      <c r="C1283" s="471"/>
      <c r="D1283" s="471"/>
      <c r="E1283" s="471"/>
      <c r="F1283" s="471"/>
      <c r="G1283" s="471"/>
      <c r="H1283" s="292"/>
      <c r="I1283" s="292"/>
      <c r="J1283" s="292"/>
      <c r="K1283" s="292"/>
      <c r="L1283" s="292"/>
      <c r="M1283" s="292"/>
      <c r="N1283" s="292"/>
      <c r="O1283" s="292"/>
      <c r="P1283" s="294"/>
      <c r="Q1283" s="294"/>
      <c r="R1283" s="294"/>
      <c r="S1283" s="294"/>
      <c r="T1283" s="294"/>
      <c r="U1283" s="294"/>
      <c r="V1283" s="431"/>
      <c r="W1283" s="331"/>
      <c r="X1283" s="331"/>
      <c r="Y1283" s="294">
        <f>IF(NFI_Expiration=1,IF($A1283&lt;VLOOKUP(H$5,NFI,5,0),1,0)*Table_NFI[[#This Row],[Hygiene Kit]],Table_NFI[Hygiene Kit])</f>
        <v>0</v>
      </c>
      <c r="Z1283" s="294">
        <f>IF(NFI_Expiration=1,IF($A1283&lt;VLOOKUP(I$5,NFI,5,0),1,0)*Table_NFI[[#This Row],[NFI Core Kit]],Table_NFI[NFI Core Kit])</f>
        <v>0</v>
      </c>
      <c r="AA1283" s="294">
        <f>IF(NFI_Expiration=1,IF($A1283&lt;VLOOKUP(J$5,NFI,5,0),1,0)*Table_NFI[[#This Row],[Sanitary Kit]],Table_NFI[Sanitary Kit])</f>
        <v>0</v>
      </c>
      <c r="AB1283" s="294">
        <f>IF(NFI_Expiration=1,IF($A1283&lt;VLOOKUP(K$5,NFI,5,0),1,0)*Table_NFI[[#This Row],[Mosquito net]],Table_NFI[Mosquito net])</f>
        <v>0</v>
      </c>
      <c r="AC1283" s="294">
        <f>IF(NFI_Expiration=1,IF($A1283&lt;VLOOKUP(L$5,NFI,5,0),1,0)*Table_NFI[[#This Row],[Tarpaulin]],Table_NFI[[#This Row],[Tarpaulin]])</f>
        <v>0</v>
      </c>
      <c r="AD1283" s="294">
        <f>IF(NFI_Expiration=1,IF($A1283&lt;VLOOKUP(M$5,NFI,5,0),1,0)*Table_NFI[[#This Row],[Blanket]],Table_NFI[[#This Row],[Blanket]])</f>
        <v>0</v>
      </c>
      <c r="AE1283" s="294">
        <f>IF(NFI_Expiration=1,IF($A1283&lt;VLOOKUP(N$5,NFI,5,0),1,0)*Table_NFI[[#This Row],[Kitchen Set]],Table_NFI[Kitchen Set])</f>
        <v>0</v>
      </c>
      <c r="AF1283" s="294">
        <f>IF(NFI_Expiration=1,IF($A1283&lt;VLOOKUP(O$5,NFI,5,0),1,0)*Table_NFI[[#This Row],[Clothes Kit]],Table_NFI[Clothes Kit])</f>
        <v>0</v>
      </c>
      <c r="AG1283" s="294">
        <f>IF(NFI_Expiration=1,IF($A1283&lt;VLOOKUP(P$5,NFI,5,0),1,0)*Table_NFI[[#This Row],[Plastic Bucket]],Table_NFI[Plastic Bucket])</f>
        <v>0</v>
      </c>
      <c r="AH1283" s="294">
        <f>IF(NFI_Expiration=1,IF($A1283&lt;VLOOKUP(Q$5,NFI,5,0),1,0)*Table_NFI[[#This Row],[Plastic Mat]],Table_NFI[Plastic Mat])*IF(Table_NFI[[#This Row],[Distribution Date]]&gt;"2014-04-01",1,2.5)</f>
        <v>0</v>
      </c>
      <c r="AI1283" s="294">
        <f>IF(NFI_Expiration=1,IF($A1283&lt;VLOOKUP(R$5,NFI,5,0),1,0)*Table_NFI[[#This Row],[Winter Clothes Adult]],Table_NFI[Winter Clothes Adult])</f>
        <v>0</v>
      </c>
      <c r="AJ1283" s="294">
        <f>IF(NFI_Expiration=1,IF($A1283&lt;VLOOKUP(S$5,NFI,5,0),1,0)*Table_NFI[[#This Row],[Winter Clothes Children]],Table_NFI[Winter Clothes Children])</f>
        <v>0</v>
      </c>
      <c r="AK1283" s="294">
        <f>IF(NFI_Expiration=1,IF($A1283&lt;VLOOKUP(T$5,NFI,5,0),1,0)*Table_NFI[[#This Row],[Winter Items Other]],Table_NFI[Winter Items Other])</f>
        <v>0</v>
      </c>
      <c r="AL1283" s="294">
        <f>IF(NFI_Expiration=1,IF($A1283&lt;VLOOKUP(M$5,NFI,5,0),1,0)*Table_NFI[[#This Row],[Winter Blanket]],Table_NFI[[#This Row],[Winter Blanket]])</f>
        <v>0</v>
      </c>
      <c r="AM1283" s="294">
        <f>IF(Table_NFI[[#This Row],[Winter Clothes Adult]]+Table_NFI[[#This Row],[Winter Clothes Children]]+Table_NFI[[#This Row],[Winter Items Other]]+Table_NFI[[#This Row],[Winter Blanket]]&gt;0,1,0)</f>
        <v>0</v>
      </c>
      <c r="AN1283" s="331">
        <f>IF(NFI_Expiration=1,IF($A1283&lt;VLOOKUP(V$5,NFI,5,0),1,0)*Table_NFI[[#This Row],[Jerry Can]],Table_NFI[Jerry Can])</f>
        <v>0</v>
      </c>
      <c r="AO1283" s="331">
        <f>IF(NFI_Expiration=1,IF($A1283&lt;VLOOKUP(V$5,NFI,5,0),1,0)*Table_NFI[[#This Row],[Shelter Tool kit]],Table_NFI[Shelter Tool kit])</f>
        <v>0</v>
      </c>
      <c r="AP1283" s="331">
        <f>IF(NFI_Expiration=1,IF($A1283&lt;VLOOKUP(V$5,NFI,5,0),1,0)*Table_NFI[[#This Row],[Tent]],Table_NFI[Tent])</f>
        <v>0</v>
      </c>
      <c r="AQ1283" s="473" t="str">
        <f>IFERROR(VLOOKUP(Table_NFI[[#This Row],[Camp Name]],CL,2,0),"")</f>
        <v/>
      </c>
      <c r="AR1283" s="468" t="str">
        <f ca="1">IF(Table_NFI[[#This Row],[Pcode]]="","",IF(OFFSET(CampList[Opening Date],MATCH(Table_NFI[[#This Row],[Pcode]],CampList[CP_Pcode],0)-1,0,1,1)&gt;=NFI_Monitor_Date,1,0))</f>
        <v/>
      </c>
      <c r="AS1283" s="473" t="str">
        <f>IFERROR(VLOOKUP(Table_NFI[[#This Row],[Camp Name]],CL,3,0),"")</f>
        <v/>
      </c>
      <c r="AT1283" s="294" t="str">
        <f ca="1">IF(Table_NFI[[#This Row],[Pcode]]="","",OFFSET(CampList[Priority],MATCH(Table_NFI[[#This Row],[Pcode]],CampList[CP_Pcode],0)-1,0,1,1))</f>
        <v/>
      </c>
      <c r="AU1283" s="293" t="str">
        <f>IFERROR(Table_NFI[[#This Row],[Kitchen Set]]/VLOOKUP(Table_NFI[[#This Row],[Camp Name]],CL,4,0),"")</f>
        <v/>
      </c>
      <c r="AV1283" s="471"/>
      <c r="AW1283" s="474"/>
    </row>
    <row r="1284" spans="1:49" ht="14.45" customHeight="1" x14ac:dyDescent="0.25">
      <c r="A1284" s="297" t="str">
        <f t="shared" si="19"/>
        <v/>
      </c>
      <c r="B1284" s="465"/>
      <c r="C1284" s="471"/>
      <c r="D1284" s="471"/>
      <c r="E1284" s="471"/>
      <c r="F1284" s="471"/>
      <c r="G1284" s="471"/>
      <c r="H1284" s="292"/>
      <c r="I1284" s="292"/>
      <c r="J1284" s="292"/>
      <c r="K1284" s="292"/>
      <c r="L1284" s="292"/>
      <c r="M1284" s="292"/>
      <c r="N1284" s="292"/>
      <c r="O1284" s="292"/>
      <c r="P1284" s="294"/>
      <c r="Q1284" s="294"/>
      <c r="R1284" s="294"/>
      <c r="S1284" s="294"/>
      <c r="T1284" s="294"/>
      <c r="U1284" s="294"/>
      <c r="V1284" s="431"/>
      <c r="W1284" s="331"/>
      <c r="X1284" s="331"/>
      <c r="Y1284" s="294">
        <f>IF(NFI_Expiration=1,IF($A1284&lt;VLOOKUP(H$5,NFI,5,0),1,0)*Table_NFI[[#This Row],[Hygiene Kit]],Table_NFI[Hygiene Kit])</f>
        <v>0</v>
      </c>
      <c r="Z1284" s="294">
        <f>IF(NFI_Expiration=1,IF($A1284&lt;VLOOKUP(I$5,NFI,5,0),1,0)*Table_NFI[[#This Row],[NFI Core Kit]],Table_NFI[NFI Core Kit])</f>
        <v>0</v>
      </c>
      <c r="AA1284" s="294">
        <f>IF(NFI_Expiration=1,IF($A1284&lt;VLOOKUP(J$5,NFI,5,0),1,0)*Table_NFI[[#This Row],[Sanitary Kit]],Table_NFI[Sanitary Kit])</f>
        <v>0</v>
      </c>
      <c r="AB1284" s="294">
        <f>IF(NFI_Expiration=1,IF($A1284&lt;VLOOKUP(K$5,NFI,5,0),1,0)*Table_NFI[[#This Row],[Mosquito net]],Table_NFI[Mosquito net])</f>
        <v>0</v>
      </c>
      <c r="AC1284" s="294">
        <f>IF(NFI_Expiration=1,IF($A1284&lt;VLOOKUP(L$5,NFI,5,0),1,0)*Table_NFI[[#This Row],[Tarpaulin]],Table_NFI[[#This Row],[Tarpaulin]])</f>
        <v>0</v>
      </c>
      <c r="AD1284" s="294">
        <f>IF(NFI_Expiration=1,IF($A1284&lt;VLOOKUP(M$5,NFI,5,0),1,0)*Table_NFI[[#This Row],[Blanket]],Table_NFI[[#This Row],[Blanket]])</f>
        <v>0</v>
      </c>
      <c r="AE1284" s="294">
        <f>IF(NFI_Expiration=1,IF($A1284&lt;VLOOKUP(N$5,NFI,5,0),1,0)*Table_NFI[[#This Row],[Kitchen Set]],Table_NFI[Kitchen Set])</f>
        <v>0</v>
      </c>
      <c r="AF1284" s="294">
        <f>IF(NFI_Expiration=1,IF($A1284&lt;VLOOKUP(O$5,NFI,5,0),1,0)*Table_NFI[[#This Row],[Clothes Kit]],Table_NFI[Clothes Kit])</f>
        <v>0</v>
      </c>
      <c r="AG1284" s="294">
        <f>IF(NFI_Expiration=1,IF($A1284&lt;VLOOKUP(P$5,NFI,5,0),1,0)*Table_NFI[[#This Row],[Plastic Bucket]],Table_NFI[Plastic Bucket])</f>
        <v>0</v>
      </c>
      <c r="AH1284" s="294">
        <f>IF(NFI_Expiration=1,IF($A1284&lt;VLOOKUP(Q$5,NFI,5,0),1,0)*Table_NFI[[#This Row],[Plastic Mat]],Table_NFI[Plastic Mat])*IF(Table_NFI[[#This Row],[Distribution Date]]&gt;"2014-04-01",1,2.5)</f>
        <v>0</v>
      </c>
      <c r="AI1284" s="294">
        <f>IF(NFI_Expiration=1,IF($A1284&lt;VLOOKUP(R$5,NFI,5,0),1,0)*Table_NFI[[#This Row],[Winter Clothes Adult]],Table_NFI[Winter Clothes Adult])</f>
        <v>0</v>
      </c>
      <c r="AJ1284" s="294">
        <f>IF(NFI_Expiration=1,IF($A1284&lt;VLOOKUP(S$5,NFI,5,0),1,0)*Table_NFI[[#This Row],[Winter Clothes Children]],Table_NFI[Winter Clothes Children])</f>
        <v>0</v>
      </c>
      <c r="AK1284" s="294">
        <f>IF(NFI_Expiration=1,IF($A1284&lt;VLOOKUP(T$5,NFI,5,0),1,0)*Table_NFI[[#This Row],[Winter Items Other]],Table_NFI[Winter Items Other])</f>
        <v>0</v>
      </c>
      <c r="AL1284" s="294">
        <f>IF(NFI_Expiration=1,IF($A1284&lt;VLOOKUP(M$5,NFI,5,0),1,0)*Table_NFI[[#This Row],[Winter Blanket]],Table_NFI[[#This Row],[Winter Blanket]])</f>
        <v>0</v>
      </c>
      <c r="AM1284" s="294">
        <f>IF(Table_NFI[[#This Row],[Winter Clothes Adult]]+Table_NFI[[#This Row],[Winter Clothes Children]]+Table_NFI[[#This Row],[Winter Items Other]]+Table_NFI[[#This Row],[Winter Blanket]]&gt;0,1,0)</f>
        <v>0</v>
      </c>
      <c r="AN1284" s="331">
        <f>IF(NFI_Expiration=1,IF($A1284&lt;VLOOKUP(V$5,NFI,5,0),1,0)*Table_NFI[[#This Row],[Jerry Can]],Table_NFI[Jerry Can])</f>
        <v>0</v>
      </c>
      <c r="AO1284" s="331">
        <f>IF(NFI_Expiration=1,IF($A1284&lt;VLOOKUP(V$5,NFI,5,0),1,0)*Table_NFI[[#This Row],[Shelter Tool kit]],Table_NFI[Shelter Tool kit])</f>
        <v>0</v>
      </c>
      <c r="AP1284" s="331">
        <f>IF(NFI_Expiration=1,IF($A1284&lt;VLOOKUP(V$5,NFI,5,0),1,0)*Table_NFI[[#This Row],[Tent]],Table_NFI[Tent])</f>
        <v>0</v>
      </c>
      <c r="AQ1284" s="473" t="str">
        <f>IFERROR(VLOOKUP(Table_NFI[[#This Row],[Camp Name]],CL,2,0),"")</f>
        <v/>
      </c>
      <c r="AR1284" s="468" t="str">
        <f ca="1">IF(Table_NFI[[#This Row],[Pcode]]="","",IF(OFFSET(CampList[Opening Date],MATCH(Table_NFI[[#This Row],[Pcode]],CampList[CP_Pcode],0)-1,0,1,1)&gt;=NFI_Monitor_Date,1,0))</f>
        <v/>
      </c>
      <c r="AS1284" s="473" t="str">
        <f>IFERROR(VLOOKUP(Table_NFI[[#This Row],[Camp Name]],CL,3,0),"")</f>
        <v/>
      </c>
      <c r="AT1284" s="294" t="str">
        <f ca="1">IF(Table_NFI[[#This Row],[Pcode]]="","",OFFSET(CampList[Priority],MATCH(Table_NFI[[#This Row],[Pcode]],CampList[CP_Pcode],0)-1,0,1,1))</f>
        <v/>
      </c>
      <c r="AU1284" s="293" t="str">
        <f>IFERROR(Table_NFI[[#This Row],[Kitchen Set]]/VLOOKUP(Table_NFI[[#This Row],[Camp Name]],CL,4,0),"")</f>
        <v/>
      </c>
      <c r="AV1284" s="471"/>
      <c r="AW1284" s="474"/>
    </row>
    <row r="1285" spans="1:49" ht="14.45" customHeight="1" x14ac:dyDescent="0.25">
      <c r="A1285" s="297" t="str">
        <f t="shared" si="19"/>
        <v/>
      </c>
      <c r="B1285" s="465"/>
      <c r="C1285" s="471"/>
      <c r="D1285" s="471"/>
      <c r="E1285" s="471"/>
      <c r="F1285" s="471"/>
      <c r="G1285" s="471"/>
      <c r="H1285" s="292"/>
      <c r="I1285" s="292"/>
      <c r="J1285" s="292"/>
      <c r="K1285" s="292"/>
      <c r="L1285" s="292"/>
      <c r="M1285" s="292"/>
      <c r="N1285" s="292"/>
      <c r="O1285" s="292"/>
      <c r="P1285" s="294"/>
      <c r="Q1285" s="294"/>
      <c r="R1285" s="294"/>
      <c r="S1285" s="294"/>
      <c r="T1285" s="294"/>
      <c r="U1285" s="294"/>
      <c r="V1285" s="431"/>
      <c r="W1285" s="331"/>
      <c r="X1285" s="331"/>
      <c r="Y1285" s="294">
        <f>IF(NFI_Expiration=1,IF($A1285&lt;VLOOKUP(H$5,NFI,5,0),1,0)*Table_NFI[[#This Row],[Hygiene Kit]],Table_NFI[Hygiene Kit])</f>
        <v>0</v>
      </c>
      <c r="Z1285" s="294">
        <f>IF(NFI_Expiration=1,IF($A1285&lt;VLOOKUP(I$5,NFI,5,0),1,0)*Table_NFI[[#This Row],[NFI Core Kit]],Table_NFI[NFI Core Kit])</f>
        <v>0</v>
      </c>
      <c r="AA1285" s="294">
        <f>IF(NFI_Expiration=1,IF($A1285&lt;VLOOKUP(J$5,NFI,5,0),1,0)*Table_NFI[[#This Row],[Sanitary Kit]],Table_NFI[Sanitary Kit])</f>
        <v>0</v>
      </c>
      <c r="AB1285" s="294">
        <f>IF(NFI_Expiration=1,IF($A1285&lt;VLOOKUP(K$5,NFI,5,0),1,0)*Table_NFI[[#This Row],[Mosquito net]],Table_NFI[Mosquito net])</f>
        <v>0</v>
      </c>
      <c r="AC1285" s="294">
        <f>IF(NFI_Expiration=1,IF($A1285&lt;VLOOKUP(L$5,NFI,5,0),1,0)*Table_NFI[[#This Row],[Tarpaulin]],Table_NFI[[#This Row],[Tarpaulin]])</f>
        <v>0</v>
      </c>
      <c r="AD1285" s="294">
        <f>IF(NFI_Expiration=1,IF($A1285&lt;VLOOKUP(M$5,NFI,5,0),1,0)*Table_NFI[[#This Row],[Blanket]],Table_NFI[[#This Row],[Blanket]])</f>
        <v>0</v>
      </c>
      <c r="AE1285" s="294">
        <f>IF(NFI_Expiration=1,IF($A1285&lt;VLOOKUP(N$5,NFI,5,0),1,0)*Table_NFI[[#This Row],[Kitchen Set]],Table_NFI[Kitchen Set])</f>
        <v>0</v>
      </c>
      <c r="AF1285" s="294">
        <f>IF(NFI_Expiration=1,IF($A1285&lt;VLOOKUP(O$5,NFI,5,0),1,0)*Table_NFI[[#This Row],[Clothes Kit]],Table_NFI[Clothes Kit])</f>
        <v>0</v>
      </c>
      <c r="AG1285" s="294">
        <f>IF(NFI_Expiration=1,IF($A1285&lt;VLOOKUP(P$5,NFI,5,0),1,0)*Table_NFI[[#This Row],[Plastic Bucket]],Table_NFI[Plastic Bucket])</f>
        <v>0</v>
      </c>
      <c r="AH1285" s="294">
        <f>IF(NFI_Expiration=1,IF($A1285&lt;VLOOKUP(Q$5,NFI,5,0),1,0)*Table_NFI[[#This Row],[Plastic Mat]],Table_NFI[Plastic Mat])*IF(Table_NFI[[#This Row],[Distribution Date]]&gt;"2014-04-01",1,2.5)</f>
        <v>0</v>
      </c>
      <c r="AI1285" s="294">
        <f>IF(NFI_Expiration=1,IF($A1285&lt;VLOOKUP(R$5,NFI,5,0),1,0)*Table_NFI[[#This Row],[Winter Clothes Adult]],Table_NFI[Winter Clothes Adult])</f>
        <v>0</v>
      </c>
      <c r="AJ1285" s="294">
        <f>IF(NFI_Expiration=1,IF($A1285&lt;VLOOKUP(S$5,NFI,5,0),1,0)*Table_NFI[[#This Row],[Winter Clothes Children]],Table_NFI[Winter Clothes Children])</f>
        <v>0</v>
      </c>
      <c r="AK1285" s="294">
        <f>IF(NFI_Expiration=1,IF($A1285&lt;VLOOKUP(T$5,NFI,5,0),1,0)*Table_NFI[[#This Row],[Winter Items Other]],Table_NFI[Winter Items Other])</f>
        <v>0</v>
      </c>
      <c r="AL1285" s="294">
        <f>IF(NFI_Expiration=1,IF($A1285&lt;VLOOKUP(M$5,NFI,5,0),1,0)*Table_NFI[[#This Row],[Winter Blanket]],Table_NFI[[#This Row],[Winter Blanket]])</f>
        <v>0</v>
      </c>
      <c r="AM1285" s="294">
        <f>IF(Table_NFI[[#This Row],[Winter Clothes Adult]]+Table_NFI[[#This Row],[Winter Clothes Children]]+Table_NFI[[#This Row],[Winter Items Other]]+Table_NFI[[#This Row],[Winter Blanket]]&gt;0,1,0)</f>
        <v>0</v>
      </c>
      <c r="AN1285" s="331">
        <f>IF(NFI_Expiration=1,IF($A1285&lt;VLOOKUP(V$5,NFI,5,0),1,0)*Table_NFI[[#This Row],[Jerry Can]],Table_NFI[Jerry Can])</f>
        <v>0</v>
      </c>
      <c r="AO1285" s="331">
        <f>IF(NFI_Expiration=1,IF($A1285&lt;VLOOKUP(V$5,NFI,5,0),1,0)*Table_NFI[[#This Row],[Shelter Tool kit]],Table_NFI[Shelter Tool kit])</f>
        <v>0</v>
      </c>
      <c r="AP1285" s="331">
        <f>IF(NFI_Expiration=1,IF($A1285&lt;VLOOKUP(V$5,NFI,5,0),1,0)*Table_NFI[[#This Row],[Tent]],Table_NFI[Tent])</f>
        <v>0</v>
      </c>
      <c r="AQ1285" s="473" t="str">
        <f>IFERROR(VLOOKUP(Table_NFI[[#This Row],[Camp Name]],CL,2,0),"")</f>
        <v/>
      </c>
      <c r="AR1285" s="468" t="str">
        <f ca="1">IF(Table_NFI[[#This Row],[Pcode]]="","",IF(OFFSET(CampList[Opening Date],MATCH(Table_NFI[[#This Row],[Pcode]],CampList[CP_Pcode],0)-1,0,1,1)&gt;=NFI_Monitor_Date,1,0))</f>
        <v/>
      </c>
      <c r="AS1285" s="473" t="str">
        <f>IFERROR(VLOOKUP(Table_NFI[[#This Row],[Camp Name]],CL,3,0),"")</f>
        <v/>
      </c>
      <c r="AT1285" s="294" t="str">
        <f ca="1">IF(Table_NFI[[#This Row],[Pcode]]="","",OFFSET(CampList[Priority],MATCH(Table_NFI[[#This Row],[Pcode]],CampList[CP_Pcode],0)-1,0,1,1))</f>
        <v/>
      </c>
      <c r="AU1285" s="293" t="str">
        <f>IFERROR(Table_NFI[[#This Row],[Kitchen Set]]/VLOOKUP(Table_NFI[[#This Row],[Camp Name]],CL,4,0),"")</f>
        <v/>
      </c>
      <c r="AV1285" s="471"/>
      <c r="AW1285" s="474"/>
    </row>
    <row r="1286" spans="1:49" ht="14.45" customHeight="1" x14ac:dyDescent="0.25">
      <c r="A1286" s="297" t="str">
        <f t="shared" ref="A1286:A1339" si="20">IF(ISBLANK(B1286),"",(Report_Date-B1286)/30)</f>
        <v/>
      </c>
      <c r="B1286" s="465"/>
      <c r="C1286" s="471"/>
      <c r="D1286" s="471"/>
      <c r="E1286" s="471"/>
      <c r="F1286" s="471"/>
      <c r="G1286" s="471"/>
      <c r="H1286" s="292"/>
      <c r="I1286" s="292"/>
      <c r="J1286" s="292"/>
      <c r="K1286" s="292"/>
      <c r="L1286" s="292"/>
      <c r="M1286" s="292"/>
      <c r="N1286" s="292"/>
      <c r="O1286" s="292"/>
      <c r="P1286" s="294"/>
      <c r="Q1286" s="294"/>
      <c r="R1286" s="294"/>
      <c r="S1286" s="294"/>
      <c r="T1286" s="294"/>
      <c r="U1286" s="294"/>
      <c r="V1286" s="431"/>
      <c r="W1286" s="331"/>
      <c r="X1286" s="331"/>
      <c r="Y1286" s="294">
        <f>IF(NFI_Expiration=1,IF($A1286&lt;VLOOKUP(H$5,NFI,5,0),1,0)*Table_NFI[[#This Row],[Hygiene Kit]],Table_NFI[Hygiene Kit])</f>
        <v>0</v>
      </c>
      <c r="Z1286" s="294">
        <f>IF(NFI_Expiration=1,IF($A1286&lt;VLOOKUP(I$5,NFI,5,0),1,0)*Table_NFI[[#This Row],[NFI Core Kit]],Table_NFI[NFI Core Kit])</f>
        <v>0</v>
      </c>
      <c r="AA1286" s="294">
        <f>IF(NFI_Expiration=1,IF($A1286&lt;VLOOKUP(J$5,NFI,5,0),1,0)*Table_NFI[[#This Row],[Sanitary Kit]],Table_NFI[Sanitary Kit])</f>
        <v>0</v>
      </c>
      <c r="AB1286" s="294">
        <f>IF(NFI_Expiration=1,IF($A1286&lt;VLOOKUP(K$5,NFI,5,0),1,0)*Table_NFI[[#This Row],[Mosquito net]],Table_NFI[Mosquito net])</f>
        <v>0</v>
      </c>
      <c r="AC1286" s="294">
        <f>IF(NFI_Expiration=1,IF($A1286&lt;VLOOKUP(L$5,NFI,5,0),1,0)*Table_NFI[[#This Row],[Tarpaulin]],Table_NFI[[#This Row],[Tarpaulin]])</f>
        <v>0</v>
      </c>
      <c r="AD1286" s="294">
        <f>IF(NFI_Expiration=1,IF($A1286&lt;VLOOKUP(M$5,NFI,5,0),1,0)*Table_NFI[[#This Row],[Blanket]],Table_NFI[[#This Row],[Blanket]])</f>
        <v>0</v>
      </c>
      <c r="AE1286" s="294">
        <f>IF(NFI_Expiration=1,IF($A1286&lt;VLOOKUP(N$5,NFI,5,0),1,0)*Table_NFI[[#This Row],[Kitchen Set]],Table_NFI[Kitchen Set])</f>
        <v>0</v>
      </c>
      <c r="AF1286" s="294">
        <f>IF(NFI_Expiration=1,IF($A1286&lt;VLOOKUP(O$5,NFI,5,0),1,0)*Table_NFI[[#This Row],[Clothes Kit]],Table_NFI[Clothes Kit])</f>
        <v>0</v>
      </c>
      <c r="AG1286" s="294">
        <f>IF(NFI_Expiration=1,IF($A1286&lt;VLOOKUP(P$5,NFI,5,0),1,0)*Table_NFI[[#This Row],[Plastic Bucket]],Table_NFI[Plastic Bucket])</f>
        <v>0</v>
      </c>
      <c r="AH1286" s="294">
        <f>IF(NFI_Expiration=1,IF($A1286&lt;VLOOKUP(Q$5,NFI,5,0),1,0)*Table_NFI[[#This Row],[Plastic Mat]],Table_NFI[Plastic Mat])*IF(Table_NFI[[#This Row],[Distribution Date]]&gt;"2014-04-01",1,2.5)</f>
        <v>0</v>
      </c>
      <c r="AI1286" s="294">
        <f>IF(NFI_Expiration=1,IF($A1286&lt;VLOOKUP(R$5,NFI,5,0),1,0)*Table_NFI[[#This Row],[Winter Clothes Adult]],Table_NFI[Winter Clothes Adult])</f>
        <v>0</v>
      </c>
      <c r="AJ1286" s="294">
        <f>IF(NFI_Expiration=1,IF($A1286&lt;VLOOKUP(S$5,NFI,5,0),1,0)*Table_NFI[[#This Row],[Winter Clothes Children]],Table_NFI[Winter Clothes Children])</f>
        <v>0</v>
      </c>
      <c r="AK1286" s="294">
        <f>IF(NFI_Expiration=1,IF($A1286&lt;VLOOKUP(T$5,NFI,5,0),1,0)*Table_NFI[[#This Row],[Winter Items Other]],Table_NFI[Winter Items Other])</f>
        <v>0</v>
      </c>
      <c r="AL1286" s="294">
        <f>IF(NFI_Expiration=1,IF($A1286&lt;VLOOKUP(M$5,NFI,5,0),1,0)*Table_NFI[[#This Row],[Winter Blanket]],Table_NFI[[#This Row],[Winter Blanket]])</f>
        <v>0</v>
      </c>
      <c r="AM1286" s="294">
        <f>IF(Table_NFI[[#This Row],[Winter Clothes Adult]]+Table_NFI[[#This Row],[Winter Clothes Children]]+Table_NFI[[#This Row],[Winter Items Other]]+Table_NFI[[#This Row],[Winter Blanket]]&gt;0,1,0)</f>
        <v>0</v>
      </c>
      <c r="AN1286" s="331">
        <f>IF(NFI_Expiration=1,IF($A1286&lt;VLOOKUP(V$5,NFI,5,0),1,0)*Table_NFI[[#This Row],[Jerry Can]],Table_NFI[Jerry Can])</f>
        <v>0</v>
      </c>
      <c r="AO1286" s="331">
        <f>IF(NFI_Expiration=1,IF($A1286&lt;VLOOKUP(V$5,NFI,5,0),1,0)*Table_NFI[[#This Row],[Shelter Tool kit]],Table_NFI[Shelter Tool kit])</f>
        <v>0</v>
      </c>
      <c r="AP1286" s="331">
        <f>IF(NFI_Expiration=1,IF($A1286&lt;VLOOKUP(V$5,NFI,5,0),1,0)*Table_NFI[[#This Row],[Tent]],Table_NFI[Tent])</f>
        <v>0</v>
      </c>
      <c r="AQ1286" s="473" t="str">
        <f>IFERROR(VLOOKUP(Table_NFI[[#This Row],[Camp Name]],CL,2,0),"")</f>
        <v/>
      </c>
      <c r="AR1286" s="468" t="str">
        <f ca="1">IF(Table_NFI[[#This Row],[Pcode]]="","",IF(OFFSET(CampList[Opening Date],MATCH(Table_NFI[[#This Row],[Pcode]],CampList[CP_Pcode],0)-1,0,1,1)&gt;=NFI_Monitor_Date,1,0))</f>
        <v/>
      </c>
      <c r="AS1286" s="473" t="str">
        <f>IFERROR(VLOOKUP(Table_NFI[[#This Row],[Camp Name]],CL,3,0),"")</f>
        <v/>
      </c>
      <c r="AT1286" s="294" t="str">
        <f ca="1">IF(Table_NFI[[#This Row],[Pcode]]="","",OFFSET(CampList[Priority],MATCH(Table_NFI[[#This Row],[Pcode]],CampList[CP_Pcode],0)-1,0,1,1))</f>
        <v/>
      </c>
      <c r="AU1286" s="293" t="str">
        <f>IFERROR(Table_NFI[[#This Row],[Kitchen Set]]/VLOOKUP(Table_NFI[[#This Row],[Camp Name]],CL,4,0),"")</f>
        <v/>
      </c>
      <c r="AV1286" s="471"/>
      <c r="AW1286" s="474"/>
    </row>
    <row r="1287" spans="1:49" ht="14.45" customHeight="1" x14ac:dyDescent="0.25">
      <c r="A1287" s="297" t="str">
        <f t="shared" si="20"/>
        <v/>
      </c>
      <c r="B1287" s="465"/>
      <c r="C1287" s="471"/>
      <c r="D1287" s="471"/>
      <c r="E1287" s="471"/>
      <c r="F1287" s="471"/>
      <c r="G1287" s="471"/>
      <c r="H1287" s="292"/>
      <c r="I1287" s="292"/>
      <c r="J1287" s="292"/>
      <c r="K1287" s="292"/>
      <c r="L1287" s="292"/>
      <c r="M1287" s="292"/>
      <c r="N1287" s="292"/>
      <c r="O1287" s="292"/>
      <c r="P1287" s="294"/>
      <c r="Q1287" s="294"/>
      <c r="R1287" s="294"/>
      <c r="S1287" s="294"/>
      <c r="T1287" s="294"/>
      <c r="U1287" s="294"/>
      <c r="V1287" s="431"/>
      <c r="W1287" s="331"/>
      <c r="X1287" s="331"/>
      <c r="Y1287" s="294">
        <f>IF(NFI_Expiration=1,IF($A1287&lt;VLOOKUP(H$5,NFI,5,0),1,0)*Table_NFI[[#This Row],[Hygiene Kit]],Table_NFI[Hygiene Kit])</f>
        <v>0</v>
      </c>
      <c r="Z1287" s="294">
        <f>IF(NFI_Expiration=1,IF($A1287&lt;VLOOKUP(I$5,NFI,5,0),1,0)*Table_NFI[[#This Row],[NFI Core Kit]],Table_NFI[NFI Core Kit])</f>
        <v>0</v>
      </c>
      <c r="AA1287" s="294">
        <f>IF(NFI_Expiration=1,IF($A1287&lt;VLOOKUP(J$5,NFI,5,0),1,0)*Table_NFI[[#This Row],[Sanitary Kit]],Table_NFI[Sanitary Kit])</f>
        <v>0</v>
      </c>
      <c r="AB1287" s="294">
        <f>IF(NFI_Expiration=1,IF($A1287&lt;VLOOKUP(K$5,NFI,5,0),1,0)*Table_NFI[[#This Row],[Mosquito net]],Table_NFI[Mosquito net])</f>
        <v>0</v>
      </c>
      <c r="AC1287" s="294">
        <f>IF(NFI_Expiration=1,IF($A1287&lt;VLOOKUP(L$5,NFI,5,0),1,0)*Table_NFI[[#This Row],[Tarpaulin]],Table_NFI[[#This Row],[Tarpaulin]])</f>
        <v>0</v>
      </c>
      <c r="AD1287" s="294">
        <f>IF(NFI_Expiration=1,IF($A1287&lt;VLOOKUP(M$5,NFI,5,0),1,0)*Table_NFI[[#This Row],[Blanket]],Table_NFI[[#This Row],[Blanket]])</f>
        <v>0</v>
      </c>
      <c r="AE1287" s="294">
        <f>IF(NFI_Expiration=1,IF($A1287&lt;VLOOKUP(N$5,NFI,5,0),1,0)*Table_NFI[[#This Row],[Kitchen Set]],Table_NFI[Kitchen Set])</f>
        <v>0</v>
      </c>
      <c r="AF1287" s="294">
        <f>IF(NFI_Expiration=1,IF($A1287&lt;VLOOKUP(O$5,NFI,5,0),1,0)*Table_NFI[[#This Row],[Clothes Kit]],Table_NFI[Clothes Kit])</f>
        <v>0</v>
      </c>
      <c r="AG1287" s="294">
        <f>IF(NFI_Expiration=1,IF($A1287&lt;VLOOKUP(P$5,NFI,5,0),1,0)*Table_NFI[[#This Row],[Plastic Bucket]],Table_NFI[Plastic Bucket])</f>
        <v>0</v>
      </c>
      <c r="AH1287" s="294">
        <f>IF(NFI_Expiration=1,IF($A1287&lt;VLOOKUP(Q$5,NFI,5,0),1,0)*Table_NFI[[#This Row],[Plastic Mat]],Table_NFI[Plastic Mat])*IF(Table_NFI[[#This Row],[Distribution Date]]&gt;"2014-04-01",1,2.5)</f>
        <v>0</v>
      </c>
      <c r="AI1287" s="294">
        <f>IF(NFI_Expiration=1,IF($A1287&lt;VLOOKUP(R$5,NFI,5,0),1,0)*Table_NFI[[#This Row],[Winter Clothes Adult]],Table_NFI[Winter Clothes Adult])</f>
        <v>0</v>
      </c>
      <c r="AJ1287" s="294">
        <f>IF(NFI_Expiration=1,IF($A1287&lt;VLOOKUP(S$5,NFI,5,0),1,0)*Table_NFI[[#This Row],[Winter Clothes Children]],Table_NFI[Winter Clothes Children])</f>
        <v>0</v>
      </c>
      <c r="AK1287" s="294">
        <f>IF(NFI_Expiration=1,IF($A1287&lt;VLOOKUP(T$5,NFI,5,0),1,0)*Table_NFI[[#This Row],[Winter Items Other]],Table_NFI[Winter Items Other])</f>
        <v>0</v>
      </c>
      <c r="AL1287" s="294">
        <f>IF(NFI_Expiration=1,IF($A1287&lt;VLOOKUP(M$5,NFI,5,0),1,0)*Table_NFI[[#This Row],[Winter Blanket]],Table_NFI[[#This Row],[Winter Blanket]])</f>
        <v>0</v>
      </c>
      <c r="AM1287" s="294">
        <f>IF(Table_NFI[[#This Row],[Winter Clothes Adult]]+Table_NFI[[#This Row],[Winter Clothes Children]]+Table_NFI[[#This Row],[Winter Items Other]]+Table_NFI[[#This Row],[Winter Blanket]]&gt;0,1,0)</f>
        <v>0</v>
      </c>
      <c r="AN1287" s="331">
        <f>IF(NFI_Expiration=1,IF($A1287&lt;VLOOKUP(V$5,NFI,5,0),1,0)*Table_NFI[[#This Row],[Jerry Can]],Table_NFI[Jerry Can])</f>
        <v>0</v>
      </c>
      <c r="AO1287" s="331">
        <f>IF(NFI_Expiration=1,IF($A1287&lt;VLOOKUP(V$5,NFI,5,0),1,0)*Table_NFI[[#This Row],[Shelter Tool kit]],Table_NFI[Shelter Tool kit])</f>
        <v>0</v>
      </c>
      <c r="AP1287" s="331">
        <f>IF(NFI_Expiration=1,IF($A1287&lt;VLOOKUP(V$5,NFI,5,0),1,0)*Table_NFI[[#This Row],[Tent]],Table_NFI[Tent])</f>
        <v>0</v>
      </c>
      <c r="AQ1287" s="473" t="str">
        <f>IFERROR(VLOOKUP(Table_NFI[[#This Row],[Camp Name]],CL,2,0),"")</f>
        <v/>
      </c>
      <c r="AR1287" s="468" t="str">
        <f ca="1">IF(Table_NFI[[#This Row],[Pcode]]="","",IF(OFFSET(CampList[Opening Date],MATCH(Table_NFI[[#This Row],[Pcode]],CampList[CP_Pcode],0)-1,0,1,1)&gt;=NFI_Monitor_Date,1,0))</f>
        <v/>
      </c>
      <c r="AS1287" s="473" t="str">
        <f>IFERROR(VLOOKUP(Table_NFI[[#This Row],[Camp Name]],CL,3,0),"")</f>
        <v/>
      </c>
      <c r="AT1287" s="294" t="str">
        <f ca="1">IF(Table_NFI[[#This Row],[Pcode]]="","",OFFSET(CampList[Priority],MATCH(Table_NFI[[#This Row],[Pcode]],CampList[CP_Pcode],0)-1,0,1,1))</f>
        <v/>
      </c>
      <c r="AU1287" s="293" t="str">
        <f>IFERROR(Table_NFI[[#This Row],[Kitchen Set]]/VLOOKUP(Table_NFI[[#This Row],[Camp Name]],CL,4,0),"")</f>
        <v/>
      </c>
      <c r="AV1287" s="471"/>
      <c r="AW1287" s="474"/>
    </row>
    <row r="1288" spans="1:49" ht="14.45" customHeight="1" x14ac:dyDescent="0.25">
      <c r="A1288" s="297" t="str">
        <f t="shared" si="20"/>
        <v/>
      </c>
      <c r="B1288" s="465"/>
      <c r="C1288" s="471"/>
      <c r="D1288" s="471"/>
      <c r="E1288" s="471"/>
      <c r="F1288" s="471"/>
      <c r="G1288" s="471"/>
      <c r="H1288" s="292"/>
      <c r="I1288" s="292"/>
      <c r="J1288" s="292"/>
      <c r="K1288" s="292"/>
      <c r="L1288" s="292"/>
      <c r="M1288" s="292"/>
      <c r="N1288" s="292"/>
      <c r="O1288" s="292"/>
      <c r="P1288" s="294"/>
      <c r="Q1288" s="294"/>
      <c r="R1288" s="294"/>
      <c r="S1288" s="294"/>
      <c r="T1288" s="294"/>
      <c r="U1288" s="294"/>
      <c r="V1288" s="431"/>
      <c r="W1288" s="331"/>
      <c r="X1288" s="331"/>
      <c r="Y1288" s="294">
        <f>IF(NFI_Expiration=1,IF($A1288&lt;VLOOKUP(H$5,NFI,5,0),1,0)*Table_NFI[[#This Row],[Hygiene Kit]],Table_NFI[Hygiene Kit])</f>
        <v>0</v>
      </c>
      <c r="Z1288" s="294">
        <f>IF(NFI_Expiration=1,IF($A1288&lt;VLOOKUP(I$5,NFI,5,0),1,0)*Table_NFI[[#This Row],[NFI Core Kit]],Table_NFI[NFI Core Kit])</f>
        <v>0</v>
      </c>
      <c r="AA1288" s="294">
        <f>IF(NFI_Expiration=1,IF($A1288&lt;VLOOKUP(J$5,NFI,5,0),1,0)*Table_NFI[[#This Row],[Sanitary Kit]],Table_NFI[Sanitary Kit])</f>
        <v>0</v>
      </c>
      <c r="AB1288" s="294">
        <f>IF(NFI_Expiration=1,IF($A1288&lt;VLOOKUP(K$5,NFI,5,0),1,0)*Table_NFI[[#This Row],[Mosquito net]],Table_NFI[Mosquito net])</f>
        <v>0</v>
      </c>
      <c r="AC1288" s="294">
        <f>IF(NFI_Expiration=1,IF($A1288&lt;VLOOKUP(L$5,NFI,5,0),1,0)*Table_NFI[[#This Row],[Tarpaulin]],Table_NFI[[#This Row],[Tarpaulin]])</f>
        <v>0</v>
      </c>
      <c r="AD1288" s="294">
        <f>IF(NFI_Expiration=1,IF($A1288&lt;VLOOKUP(M$5,NFI,5,0),1,0)*Table_NFI[[#This Row],[Blanket]],Table_NFI[[#This Row],[Blanket]])</f>
        <v>0</v>
      </c>
      <c r="AE1288" s="294">
        <f>IF(NFI_Expiration=1,IF($A1288&lt;VLOOKUP(N$5,NFI,5,0),1,0)*Table_NFI[[#This Row],[Kitchen Set]],Table_NFI[Kitchen Set])</f>
        <v>0</v>
      </c>
      <c r="AF1288" s="294">
        <f>IF(NFI_Expiration=1,IF($A1288&lt;VLOOKUP(O$5,NFI,5,0),1,0)*Table_NFI[[#This Row],[Clothes Kit]],Table_NFI[Clothes Kit])</f>
        <v>0</v>
      </c>
      <c r="AG1288" s="294">
        <f>IF(NFI_Expiration=1,IF($A1288&lt;VLOOKUP(P$5,NFI,5,0),1,0)*Table_NFI[[#This Row],[Plastic Bucket]],Table_NFI[Plastic Bucket])</f>
        <v>0</v>
      </c>
      <c r="AH1288" s="294">
        <f>IF(NFI_Expiration=1,IF($A1288&lt;VLOOKUP(Q$5,NFI,5,0),1,0)*Table_NFI[[#This Row],[Plastic Mat]],Table_NFI[Plastic Mat])*IF(Table_NFI[[#This Row],[Distribution Date]]&gt;"2014-04-01",1,2.5)</f>
        <v>0</v>
      </c>
      <c r="AI1288" s="294">
        <f>IF(NFI_Expiration=1,IF($A1288&lt;VLOOKUP(R$5,NFI,5,0),1,0)*Table_NFI[[#This Row],[Winter Clothes Adult]],Table_NFI[Winter Clothes Adult])</f>
        <v>0</v>
      </c>
      <c r="AJ1288" s="294">
        <f>IF(NFI_Expiration=1,IF($A1288&lt;VLOOKUP(S$5,NFI,5,0),1,0)*Table_NFI[[#This Row],[Winter Clothes Children]],Table_NFI[Winter Clothes Children])</f>
        <v>0</v>
      </c>
      <c r="AK1288" s="294">
        <f>IF(NFI_Expiration=1,IF($A1288&lt;VLOOKUP(T$5,NFI,5,0),1,0)*Table_NFI[[#This Row],[Winter Items Other]],Table_NFI[Winter Items Other])</f>
        <v>0</v>
      </c>
      <c r="AL1288" s="294">
        <f>IF(NFI_Expiration=1,IF($A1288&lt;VLOOKUP(M$5,NFI,5,0),1,0)*Table_NFI[[#This Row],[Winter Blanket]],Table_NFI[[#This Row],[Winter Blanket]])</f>
        <v>0</v>
      </c>
      <c r="AM1288" s="294">
        <f>IF(Table_NFI[[#This Row],[Winter Clothes Adult]]+Table_NFI[[#This Row],[Winter Clothes Children]]+Table_NFI[[#This Row],[Winter Items Other]]+Table_NFI[[#This Row],[Winter Blanket]]&gt;0,1,0)</f>
        <v>0</v>
      </c>
      <c r="AN1288" s="331">
        <f>IF(NFI_Expiration=1,IF($A1288&lt;VLOOKUP(V$5,NFI,5,0),1,0)*Table_NFI[[#This Row],[Jerry Can]],Table_NFI[Jerry Can])</f>
        <v>0</v>
      </c>
      <c r="AO1288" s="331">
        <f>IF(NFI_Expiration=1,IF($A1288&lt;VLOOKUP(V$5,NFI,5,0),1,0)*Table_NFI[[#This Row],[Shelter Tool kit]],Table_NFI[Shelter Tool kit])</f>
        <v>0</v>
      </c>
      <c r="AP1288" s="331">
        <f>IF(NFI_Expiration=1,IF($A1288&lt;VLOOKUP(V$5,NFI,5,0),1,0)*Table_NFI[[#This Row],[Tent]],Table_NFI[Tent])</f>
        <v>0</v>
      </c>
      <c r="AQ1288" s="473" t="str">
        <f>IFERROR(VLOOKUP(Table_NFI[[#This Row],[Camp Name]],CL,2,0),"")</f>
        <v/>
      </c>
      <c r="AR1288" s="468" t="str">
        <f ca="1">IF(Table_NFI[[#This Row],[Pcode]]="","",IF(OFFSET(CampList[Opening Date],MATCH(Table_NFI[[#This Row],[Pcode]],CampList[CP_Pcode],0)-1,0,1,1)&gt;=NFI_Monitor_Date,1,0))</f>
        <v/>
      </c>
      <c r="AS1288" s="473" t="str">
        <f>IFERROR(VLOOKUP(Table_NFI[[#This Row],[Camp Name]],CL,3,0),"")</f>
        <v/>
      </c>
      <c r="AT1288" s="294" t="str">
        <f ca="1">IF(Table_NFI[[#This Row],[Pcode]]="","",OFFSET(CampList[Priority],MATCH(Table_NFI[[#This Row],[Pcode]],CampList[CP_Pcode],0)-1,0,1,1))</f>
        <v/>
      </c>
      <c r="AU1288" s="293" t="str">
        <f>IFERROR(Table_NFI[[#This Row],[Kitchen Set]]/VLOOKUP(Table_NFI[[#This Row],[Camp Name]],CL,4,0),"")</f>
        <v/>
      </c>
      <c r="AV1288" s="471"/>
      <c r="AW1288" s="474"/>
    </row>
    <row r="1289" spans="1:49" ht="14.45" customHeight="1" x14ac:dyDescent="0.25">
      <c r="A1289" s="297" t="str">
        <f t="shared" si="20"/>
        <v/>
      </c>
      <c r="B1289" s="465"/>
      <c r="C1289" s="471"/>
      <c r="D1289" s="471"/>
      <c r="E1289" s="471"/>
      <c r="F1289" s="471"/>
      <c r="G1289" s="471"/>
      <c r="H1289" s="292"/>
      <c r="I1289" s="292"/>
      <c r="J1289" s="292"/>
      <c r="K1289" s="292"/>
      <c r="L1289" s="292"/>
      <c r="M1289" s="292"/>
      <c r="N1289" s="292"/>
      <c r="O1289" s="292"/>
      <c r="P1289" s="294"/>
      <c r="Q1289" s="294"/>
      <c r="R1289" s="294"/>
      <c r="S1289" s="294"/>
      <c r="T1289" s="294"/>
      <c r="U1289" s="294"/>
      <c r="V1289" s="431"/>
      <c r="W1289" s="331"/>
      <c r="X1289" s="331"/>
      <c r="Y1289" s="294">
        <f>IF(NFI_Expiration=1,IF($A1289&lt;VLOOKUP(H$5,NFI,5,0),1,0)*Table_NFI[[#This Row],[Hygiene Kit]],Table_NFI[Hygiene Kit])</f>
        <v>0</v>
      </c>
      <c r="Z1289" s="294">
        <f>IF(NFI_Expiration=1,IF($A1289&lt;VLOOKUP(I$5,NFI,5,0),1,0)*Table_NFI[[#This Row],[NFI Core Kit]],Table_NFI[NFI Core Kit])</f>
        <v>0</v>
      </c>
      <c r="AA1289" s="294">
        <f>IF(NFI_Expiration=1,IF($A1289&lt;VLOOKUP(J$5,NFI,5,0),1,0)*Table_NFI[[#This Row],[Sanitary Kit]],Table_NFI[Sanitary Kit])</f>
        <v>0</v>
      </c>
      <c r="AB1289" s="294">
        <f>IF(NFI_Expiration=1,IF($A1289&lt;VLOOKUP(K$5,NFI,5,0),1,0)*Table_NFI[[#This Row],[Mosquito net]],Table_NFI[Mosquito net])</f>
        <v>0</v>
      </c>
      <c r="AC1289" s="294">
        <f>IF(NFI_Expiration=1,IF($A1289&lt;VLOOKUP(L$5,NFI,5,0),1,0)*Table_NFI[[#This Row],[Tarpaulin]],Table_NFI[[#This Row],[Tarpaulin]])</f>
        <v>0</v>
      </c>
      <c r="AD1289" s="294">
        <f>IF(NFI_Expiration=1,IF($A1289&lt;VLOOKUP(M$5,NFI,5,0),1,0)*Table_NFI[[#This Row],[Blanket]],Table_NFI[[#This Row],[Blanket]])</f>
        <v>0</v>
      </c>
      <c r="AE1289" s="294">
        <f>IF(NFI_Expiration=1,IF($A1289&lt;VLOOKUP(N$5,NFI,5,0),1,0)*Table_NFI[[#This Row],[Kitchen Set]],Table_NFI[Kitchen Set])</f>
        <v>0</v>
      </c>
      <c r="AF1289" s="294">
        <f>IF(NFI_Expiration=1,IF($A1289&lt;VLOOKUP(O$5,NFI,5,0),1,0)*Table_NFI[[#This Row],[Clothes Kit]],Table_NFI[Clothes Kit])</f>
        <v>0</v>
      </c>
      <c r="AG1289" s="294">
        <f>IF(NFI_Expiration=1,IF($A1289&lt;VLOOKUP(P$5,NFI,5,0),1,0)*Table_NFI[[#This Row],[Plastic Bucket]],Table_NFI[Plastic Bucket])</f>
        <v>0</v>
      </c>
      <c r="AH1289" s="294">
        <f>IF(NFI_Expiration=1,IF($A1289&lt;VLOOKUP(Q$5,NFI,5,0),1,0)*Table_NFI[[#This Row],[Plastic Mat]],Table_NFI[Plastic Mat])*IF(Table_NFI[[#This Row],[Distribution Date]]&gt;"2014-04-01",1,2.5)</f>
        <v>0</v>
      </c>
      <c r="AI1289" s="294">
        <f>IF(NFI_Expiration=1,IF($A1289&lt;VLOOKUP(R$5,NFI,5,0),1,0)*Table_NFI[[#This Row],[Winter Clothes Adult]],Table_NFI[Winter Clothes Adult])</f>
        <v>0</v>
      </c>
      <c r="AJ1289" s="294">
        <f>IF(NFI_Expiration=1,IF($A1289&lt;VLOOKUP(S$5,NFI,5,0),1,0)*Table_NFI[[#This Row],[Winter Clothes Children]],Table_NFI[Winter Clothes Children])</f>
        <v>0</v>
      </c>
      <c r="AK1289" s="294">
        <f>IF(NFI_Expiration=1,IF($A1289&lt;VLOOKUP(T$5,NFI,5,0),1,0)*Table_NFI[[#This Row],[Winter Items Other]],Table_NFI[Winter Items Other])</f>
        <v>0</v>
      </c>
      <c r="AL1289" s="294">
        <f>IF(NFI_Expiration=1,IF($A1289&lt;VLOOKUP(M$5,NFI,5,0),1,0)*Table_NFI[[#This Row],[Winter Blanket]],Table_NFI[[#This Row],[Winter Blanket]])</f>
        <v>0</v>
      </c>
      <c r="AM1289" s="294">
        <f>IF(Table_NFI[[#This Row],[Winter Clothes Adult]]+Table_NFI[[#This Row],[Winter Clothes Children]]+Table_NFI[[#This Row],[Winter Items Other]]+Table_NFI[[#This Row],[Winter Blanket]]&gt;0,1,0)</f>
        <v>0</v>
      </c>
      <c r="AN1289" s="331">
        <f>IF(NFI_Expiration=1,IF($A1289&lt;VLOOKUP(V$5,NFI,5,0),1,0)*Table_NFI[[#This Row],[Jerry Can]],Table_NFI[Jerry Can])</f>
        <v>0</v>
      </c>
      <c r="AO1289" s="331">
        <f>IF(NFI_Expiration=1,IF($A1289&lt;VLOOKUP(V$5,NFI,5,0),1,0)*Table_NFI[[#This Row],[Shelter Tool kit]],Table_NFI[Shelter Tool kit])</f>
        <v>0</v>
      </c>
      <c r="AP1289" s="331">
        <f>IF(NFI_Expiration=1,IF($A1289&lt;VLOOKUP(V$5,NFI,5,0),1,0)*Table_NFI[[#This Row],[Tent]],Table_NFI[Tent])</f>
        <v>0</v>
      </c>
      <c r="AQ1289" s="473" t="str">
        <f>IFERROR(VLOOKUP(Table_NFI[[#This Row],[Camp Name]],CL,2,0),"")</f>
        <v/>
      </c>
      <c r="AR1289" s="468" t="str">
        <f ca="1">IF(Table_NFI[[#This Row],[Pcode]]="","",IF(OFFSET(CampList[Opening Date],MATCH(Table_NFI[[#This Row],[Pcode]],CampList[CP_Pcode],0)-1,0,1,1)&gt;=NFI_Monitor_Date,1,0))</f>
        <v/>
      </c>
      <c r="AS1289" s="473" t="str">
        <f>IFERROR(VLOOKUP(Table_NFI[[#This Row],[Camp Name]],CL,3,0),"")</f>
        <v/>
      </c>
      <c r="AT1289" s="294" t="str">
        <f ca="1">IF(Table_NFI[[#This Row],[Pcode]]="","",OFFSET(CampList[Priority],MATCH(Table_NFI[[#This Row],[Pcode]],CampList[CP_Pcode],0)-1,0,1,1))</f>
        <v/>
      </c>
      <c r="AU1289" s="293" t="str">
        <f>IFERROR(Table_NFI[[#This Row],[Kitchen Set]]/VLOOKUP(Table_NFI[[#This Row],[Camp Name]],CL,4,0),"")</f>
        <v/>
      </c>
      <c r="AV1289" s="471"/>
      <c r="AW1289" s="474"/>
    </row>
    <row r="1290" spans="1:49" ht="14.45" customHeight="1" x14ac:dyDescent="0.25">
      <c r="A1290" s="297" t="str">
        <f t="shared" si="20"/>
        <v/>
      </c>
      <c r="B1290" s="465"/>
      <c r="C1290" s="471"/>
      <c r="D1290" s="471"/>
      <c r="E1290" s="471"/>
      <c r="F1290" s="471"/>
      <c r="G1290" s="471"/>
      <c r="H1290" s="292"/>
      <c r="I1290" s="292"/>
      <c r="J1290" s="292"/>
      <c r="K1290" s="292"/>
      <c r="L1290" s="292"/>
      <c r="M1290" s="292"/>
      <c r="N1290" s="292"/>
      <c r="O1290" s="292"/>
      <c r="P1290" s="294"/>
      <c r="Q1290" s="294"/>
      <c r="R1290" s="294"/>
      <c r="S1290" s="294"/>
      <c r="T1290" s="294"/>
      <c r="U1290" s="294"/>
      <c r="V1290" s="431"/>
      <c r="W1290" s="331"/>
      <c r="X1290" s="331"/>
      <c r="Y1290" s="294">
        <f>IF(NFI_Expiration=1,IF($A1290&lt;VLOOKUP(H$5,NFI,5,0),1,0)*Table_NFI[[#This Row],[Hygiene Kit]],Table_NFI[Hygiene Kit])</f>
        <v>0</v>
      </c>
      <c r="Z1290" s="294">
        <f>IF(NFI_Expiration=1,IF($A1290&lt;VLOOKUP(I$5,NFI,5,0),1,0)*Table_NFI[[#This Row],[NFI Core Kit]],Table_NFI[NFI Core Kit])</f>
        <v>0</v>
      </c>
      <c r="AA1290" s="294">
        <f>IF(NFI_Expiration=1,IF($A1290&lt;VLOOKUP(J$5,NFI,5,0),1,0)*Table_NFI[[#This Row],[Sanitary Kit]],Table_NFI[Sanitary Kit])</f>
        <v>0</v>
      </c>
      <c r="AB1290" s="294">
        <f>IF(NFI_Expiration=1,IF($A1290&lt;VLOOKUP(K$5,NFI,5,0),1,0)*Table_NFI[[#This Row],[Mosquito net]],Table_NFI[Mosquito net])</f>
        <v>0</v>
      </c>
      <c r="AC1290" s="294">
        <f>IF(NFI_Expiration=1,IF($A1290&lt;VLOOKUP(L$5,NFI,5,0),1,0)*Table_NFI[[#This Row],[Tarpaulin]],Table_NFI[[#This Row],[Tarpaulin]])</f>
        <v>0</v>
      </c>
      <c r="AD1290" s="294">
        <f>IF(NFI_Expiration=1,IF($A1290&lt;VLOOKUP(M$5,NFI,5,0),1,0)*Table_NFI[[#This Row],[Blanket]],Table_NFI[[#This Row],[Blanket]])</f>
        <v>0</v>
      </c>
      <c r="AE1290" s="294">
        <f>IF(NFI_Expiration=1,IF($A1290&lt;VLOOKUP(N$5,NFI,5,0),1,0)*Table_NFI[[#This Row],[Kitchen Set]],Table_NFI[Kitchen Set])</f>
        <v>0</v>
      </c>
      <c r="AF1290" s="294">
        <f>IF(NFI_Expiration=1,IF($A1290&lt;VLOOKUP(O$5,NFI,5,0),1,0)*Table_NFI[[#This Row],[Clothes Kit]],Table_NFI[Clothes Kit])</f>
        <v>0</v>
      </c>
      <c r="AG1290" s="294">
        <f>IF(NFI_Expiration=1,IF($A1290&lt;VLOOKUP(P$5,NFI,5,0),1,0)*Table_NFI[[#This Row],[Plastic Bucket]],Table_NFI[Plastic Bucket])</f>
        <v>0</v>
      </c>
      <c r="AH1290" s="294">
        <f>IF(NFI_Expiration=1,IF($A1290&lt;VLOOKUP(Q$5,NFI,5,0),1,0)*Table_NFI[[#This Row],[Plastic Mat]],Table_NFI[Plastic Mat])*IF(Table_NFI[[#This Row],[Distribution Date]]&gt;"2014-04-01",1,2.5)</f>
        <v>0</v>
      </c>
      <c r="AI1290" s="294">
        <f>IF(NFI_Expiration=1,IF($A1290&lt;VLOOKUP(R$5,NFI,5,0),1,0)*Table_NFI[[#This Row],[Winter Clothes Adult]],Table_NFI[Winter Clothes Adult])</f>
        <v>0</v>
      </c>
      <c r="AJ1290" s="294">
        <f>IF(NFI_Expiration=1,IF($A1290&lt;VLOOKUP(S$5,NFI,5,0),1,0)*Table_NFI[[#This Row],[Winter Clothes Children]],Table_NFI[Winter Clothes Children])</f>
        <v>0</v>
      </c>
      <c r="AK1290" s="294">
        <f>IF(NFI_Expiration=1,IF($A1290&lt;VLOOKUP(T$5,NFI,5,0),1,0)*Table_NFI[[#This Row],[Winter Items Other]],Table_NFI[Winter Items Other])</f>
        <v>0</v>
      </c>
      <c r="AL1290" s="294">
        <f>IF(NFI_Expiration=1,IF($A1290&lt;VLOOKUP(M$5,NFI,5,0),1,0)*Table_NFI[[#This Row],[Winter Blanket]],Table_NFI[[#This Row],[Winter Blanket]])</f>
        <v>0</v>
      </c>
      <c r="AM1290" s="294">
        <f>IF(Table_NFI[[#This Row],[Winter Clothes Adult]]+Table_NFI[[#This Row],[Winter Clothes Children]]+Table_NFI[[#This Row],[Winter Items Other]]+Table_NFI[[#This Row],[Winter Blanket]]&gt;0,1,0)</f>
        <v>0</v>
      </c>
      <c r="AN1290" s="331">
        <f>IF(NFI_Expiration=1,IF($A1290&lt;VLOOKUP(V$5,NFI,5,0),1,0)*Table_NFI[[#This Row],[Jerry Can]],Table_NFI[Jerry Can])</f>
        <v>0</v>
      </c>
      <c r="AO1290" s="331">
        <f>IF(NFI_Expiration=1,IF($A1290&lt;VLOOKUP(V$5,NFI,5,0),1,0)*Table_NFI[[#This Row],[Shelter Tool kit]],Table_NFI[Shelter Tool kit])</f>
        <v>0</v>
      </c>
      <c r="AP1290" s="331">
        <f>IF(NFI_Expiration=1,IF($A1290&lt;VLOOKUP(V$5,NFI,5,0),1,0)*Table_NFI[[#This Row],[Tent]],Table_NFI[Tent])</f>
        <v>0</v>
      </c>
      <c r="AQ1290" s="473" t="str">
        <f>IFERROR(VLOOKUP(Table_NFI[[#This Row],[Camp Name]],CL,2,0),"")</f>
        <v/>
      </c>
      <c r="AR1290" s="468" t="str">
        <f ca="1">IF(Table_NFI[[#This Row],[Pcode]]="","",IF(OFFSET(CampList[Opening Date],MATCH(Table_NFI[[#This Row],[Pcode]],CampList[CP_Pcode],0)-1,0,1,1)&gt;=NFI_Monitor_Date,1,0))</f>
        <v/>
      </c>
      <c r="AS1290" s="473" t="str">
        <f>IFERROR(VLOOKUP(Table_NFI[[#This Row],[Camp Name]],CL,3,0),"")</f>
        <v/>
      </c>
      <c r="AT1290" s="294" t="str">
        <f ca="1">IF(Table_NFI[[#This Row],[Pcode]]="","",OFFSET(CampList[Priority],MATCH(Table_NFI[[#This Row],[Pcode]],CampList[CP_Pcode],0)-1,0,1,1))</f>
        <v/>
      </c>
      <c r="AU1290" s="293" t="str">
        <f>IFERROR(Table_NFI[[#This Row],[Kitchen Set]]/VLOOKUP(Table_NFI[[#This Row],[Camp Name]],CL,4,0),"")</f>
        <v/>
      </c>
      <c r="AV1290" s="471"/>
      <c r="AW1290" s="474"/>
    </row>
    <row r="1291" spans="1:49" ht="14.45" customHeight="1" x14ac:dyDescent="0.25">
      <c r="A1291" s="297" t="str">
        <f t="shared" si="20"/>
        <v/>
      </c>
      <c r="B1291" s="465"/>
      <c r="C1291" s="471"/>
      <c r="D1291" s="471"/>
      <c r="E1291" s="471"/>
      <c r="F1291" s="471"/>
      <c r="G1291" s="471"/>
      <c r="H1291" s="292"/>
      <c r="I1291" s="292"/>
      <c r="J1291" s="292"/>
      <c r="K1291" s="292"/>
      <c r="L1291" s="292"/>
      <c r="M1291" s="292"/>
      <c r="N1291" s="292"/>
      <c r="O1291" s="292"/>
      <c r="P1291" s="294"/>
      <c r="Q1291" s="294"/>
      <c r="R1291" s="294"/>
      <c r="S1291" s="294"/>
      <c r="T1291" s="294"/>
      <c r="U1291" s="294"/>
      <c r="V1291" s="431"/>
      <c r="W1291" s="331"/>
      <c r="X1291" s="331"/>
      <c r="Y1291" s="294">
        <f>IF(NFI_Expiration=1,IF($A1291&lt;VLOOKUP(H$5,NFI,5,0),1,0)*Table_NFI[[#This Row],[Hygiene Kit]],Table_NFI[Hygiene Kit])</f>
        <v>0</v>
      </c>
      <c r="Z1291" s="294">
        <f>IF(NFI_Expiration=1,IF($A1291&lt;VLOOKUP(I$5,NFI,5,0),1,0)*Table_NFI[[#This Row],[NFI Core Kit]],Table_NFI[NFI Core Kit])</f>
        <v>0</v>
      </c>
      <c r="AA1291" s="294">
        <f>IF(NFI_Expiration=1,IF($A1291&lt;VLOOKUP(J$5,NFI,5,0),1,0)*Table_NFI[[#This Row],[Sanitary Kit]],Table_NFI[Sanitary Kit])</f>
        <v>0</v>
      </c>
      <c r="AB1291" s="294">
        <f>IF(NFI_Expiration=1,IF($A1291&lt;VLOOKUP(K$5,NFI,5,0),1,0)*Table_NFI[[#This Row],[Mosquito net]],Table_NFI[Mosquito net])</f>
        <v>0</v>
      </c>
      <c r="AC1291" s="294">
        <f>IF(NFI_Expiration=1,IF($A1291&lt;VLOOKUP(L$5,NFI,5,0),1,0)*Table_NFI[[#This Row],[Tarpaulin]],Table_NFI[[#This Row],[Tarpaulin]])</f>
        <v>0</v>
      </c>
      <c r="AD1291" s="294">
        <f>IF(NFI_Expiration=1,IF($A1291&lt;VLOOKUP(M$5,NFI,5,0),1,0)*Table_NFI[[#This Row],[Blanket]],Table_NFI[[#This Row],[Blanket]])</f>
        <v>0</v>
      </c>
      <c r="AE1291" s="294">
        <f>IF(NFI_Expiration=1,IF($A1291&lt;VLOOKUP(N$5,NFI,5,0),1,0)*Table_NFI[[#This Row],[Kitchen Set]],Table_NFI[Kitchen Set])</f>
        <v>0</v>
      </c>
      <c r="AF1291" s="294">
        <f>IF(NFI_Expiration=1,IF($A1291&lt;VLOOKUP(O$5,NFI,5,0),1,0)*Table_NFI[[#This Row],[Clothes Kit]],Table_NFI[Clothes Kit])</f>
        <v>0</v>
      </c>
      <c r="AG1291" s="294">
        <f>IF(NFI_Expiration=1,IF($A1291&lt;VLOOKUP(P$5,NFI,5,0),1,0)*Table_NFI[[#This Row],[Plastic Bucket]],Table_NFI[Plastic Bucket])</f>
        <v>0</v>
      </c>
      <c r="AH1291" s="294">
        <f>IF(NFI_Expiration=1,IF($A1291&lt;VLOOKUP(Q$5,NFI,5,0),1,0)*Table_NFI[[#This Row],[Plastic Mat]],Table_NFI[Plastic Mat])*IF(Table_NFI[[#This Row],[Distribution Date]]&gt;"2014-04-01",1,2.5)</f>
        <v>0</v>
      </c>
      <c r="AI1291" s="294">
        <f>IF(NFI_Expiration=1,IF($A1291&lt;VLOOKUP(R$5,NFI,5,0),1,0)*Table_NFI[[#This Row],[Winter Clothes Adult]],Table_NFI[Winter Clothes Adult])</f>
        <v>0</v>
      </c>
      <c r="AJ1291" s="294">
        <f>IF(NFI_Expiration=1,IF($A1291&lt;VLOOKUP(S$5,NFI,5,0),1,0)*Table_NFI[[#This Row],[Winter Clothes Children]],Table_NFI[Winter Clothes Children])</f>
        <v>0</v>
      </c>
      <c r="AK1291" s="294">
        <f>IF(NFI_Expiration=1,IF($A1291&lt;VLOOKUP(T$5,NFI,5,0),1,0)*Table_NFI[[#This Row],[Winter Items Other]],Table_NFI[Winter Items Other])</f>
        <v>0</v>
      </c>
      <c r="AL1291" s="294">
        <f>IF(NFI_Expiration=1,IF($A1291&lt;VLOOKUP(M$5,NFI,5,0),1,0)*Table_NFI[[#This Row],[Winter Blanket]],Table_NFI[[#This Row],[Winter Blanket]])</f>
        <v>0</v>
      </c>
      <c r="AM1291" s="294">
        <f>IF(Table_NFI[[#This Row],[Winter Clothes Adult]]+Table_NFI[[#This Row],[Winter Clothes Children]]+Table_NFI[[#This Row],[Winter Items Other]]+Table_NFI[[#This Row],[Winter Blanket]]&gt;0,1,0)</f>
        <v>0</v>
      </c>
      <c r="AN1291" s="331">
        <f>IF(NFI_Expiration=1,IF($A1291&lt;VLOOKUP(V$5,NFI,5,0),1,0)*Table_NFI[[#This Row],[Jerry Can]],Table_NFI[Jerry Can])</f>
        <v>0</v>
      </c>
      <c r="AO1291" s="331">
        <f>IF(NFI_Expiration=1,IF($A1291&lt;VLOOKUP(V$5,NFI,5,0),1,0)*Table_NFI[[#This Row],[Shelter Tool kit]],Table_NFI[Shelter Tool kit])</f>
        <v>0</v>
      </c>
      <c r="AP1291" s="331">
        <f>IF(NFI_Expiration=1,IF($A1291&lt;VLOOKUP(V$5,NFI,5,0),1,0)*Table_NFI[[#This Row],[Tent]],Table_NFI[Tent])</f>
        <v>0</v>
      </c>
      <c r="AQ1291" s="473" t="str">
        <f>IFERROR(VLOOKUP(Table_NFI[[#This Row],[Camp Name]],CL,2,0),"")</f>
        <v/>
      </c>
      <c r="AR1291" s="468" t="str">
        <f ca="1">IF(Table_NFI[[#This Row],[Pcode]]="","",IF(OFFSET(CampList[Opening Date],MATCH(Table_NFI[[#This Row],[Pcode]],CampList[CP_Pcode],0)-1,0,1,1)&gt;=NFI_Monitor_Date,1,0))</f>
        <v/>
      </c>
      <c r="AS1291" s="473" t="str">
        <f>IFERROR(VLOOKUP(Table_NFI[[#This Row],[Camp Name]],CL,3,0),"")</f>
        <v/>
      </c>
      <c r="AT1291" s="294" t="str">
        <f ca="1">IF(Table_NFI[[#This Row],[Pcode]]="","",OFFSET(CampList[Priority],MATCH(Table_NFI[[#This Row],[Pcode]],CampList[CP_Pcode],0)-1,0,1,1))</f>
        <v/>
      </c>
      <c r="AU1291" s="293" t="str">
        <f>IFERROR(Table_NFI[[#This Row],[Kitchen Set]]/VLOOKUP(Table_NFI[[#This Row],[Camp Name]],CL,4,0),"")</f>
        <v/>
      </c>
      <c r="AV1291" s="471"/>
      <c r="AW1291" s="474"/>
    </row>
    <row r="1292" spans="1:49" ht="14.45" customHeight="1" x14ac:dyDescent="0.25">
      <c r="A1292" s="297" t="str">
        <f t="shared" si="20"/>
        <v/>
      </c>
      <c r="B1292" s="465"/>
      <c r="C1292" s="471"/>
      <c r="D1292" s="471"/>
      <c r="E1292" s="471"/>
      <c r="F1292" s="471"/>
      <c r="G1292" s="471"/>
      <c r="H1292" s="292"/>
      <c r="I1292" s="292"/>
      <c r="J1292" s="292"/>
      <c r="K1292" s="292"/>
      <c r="L1292" s="292"/>
      <c r="M1292" s="292"/>
      <c r="N1292" s="292"/>
      <c r="O1292" s="292"/>
      <c r="P1292" s="294"/>
      <c r="Q1292" s="294"/>
      <c r="R1292" s="294"/>
      <c r="S1292" s="294"/>
      <c r="T1292" s="294"/>
      <c r="U1292" s="294"/>
      <c r="V1292" s="431"/>
      <c r="W1292" s="331"/>
      <c r="X1292" s="331"/>
      <c r="Y1292" s="294">
        <f>IF(NFI_Expiration=1,IF($A1292&lt;VLOOKUP(H$5,NFI,5,0),1,0)*Table_NFI[[#This Row],[Hygiene Kit]],Table_NFI[Hygiene Kit])</f>
        <v>0</v>
      </c>
      <c r="Z1292" s="294">
        <f>IF(NFI_Expiration=1,IF($A1292&lt;VLOOKUP(I$5,NFI,5,0),1,0)*Table_NFI[[#This Row],[NFI Core Kit]],Table_NFI[NFI Core Kit])</f>
        <v>0</v>
      </c>
      <c r="AA1292" s="294">
        <f>IF(NFI_Expiration=1,IF($A1292&lt;VLOOKUP(J$5,NFI,5,0),1,0)*Table_NFI[[#This Row],[Sanitary Kit]],Table_NFI[Sanitary Kit])</f>
        <v>0</v>
      </c>
      <c r="AB1292" s="294">
        <f>IF(NFI_Expiration=1,IF($A1292&lt;VLOOKUP(K$5,NFI,5,0),1,0)*Table_NFI[[#This Row],[Mosquito net]],Table_NFI[Mosquito net])</f>
        <v>0</v>
      </c>
      <c r="AC1292" s="294">
        <f>IF(NFI_Expiration=1,IF($A1292&lt;VLOOKUP(L$5,NFI,5,0),1,0)*Table_NFI[[#This Row],[Tarpaulin]],Table_NFI[[#This Row],[Tarpaulin]])</f>
        <v>0</v>
      </c>
      <c r="AD1292" s="294">
        <f>IF(NFI_Expiration=1,IF($A1292&lt;VLOOKUP(M$5,NFI,5,0),1,0)*Table_NFI[[#This Row],[Blanket]],Table_NFI[[#This Row],[Blanket]])</f>
        <v>0</v>
      </c>
      <c r="AE1292" s="294">
        <f>IF(NFI_Expiration=1,IF($A1292&lt;VLOOKUP(N$5,NFI,5,0),1,0)*Table_NFI[[#This Row],[Kitchen Set]],Table_NFI[Kitchen Set])</f>
        <v>0</v>
      </c>
      <c r="AF1292" s="294">
        <f>IF(NFI_Expiration=1,IF($A1292&lt;VLOOKUP(O$5,NFI,5,0),1,0)*Table_NFI[[#This Row],[Clothes Kit]],Table_NFI[Clothes Kit])</f>
        <v>0</v>
      </c>
      <c r="AG1292" s="294">
        <f>IF(NFI_Expiration=1,IF($A1292&lt;VLOOKUP(P$5,NFI,5,0),1,0)*Table_NFI[[#This Row],[Plastic Bucket]],Table_NFI[Plastic Bucket])</f>
        <v>0</v>
      </c>
      <c r="AH1292" s="294">
        <f>IF(NFI_Expiration=1,IF($A1292&lt;VLOOKUP(Q$5,NFI,5,0),1,0)*Table_NFI[[#This Row],[Plastic Mat]],Table_NFI[Plastic Mat])*IF(Table_NFI[[#This Row],[Distribution Date]]&gt;"2014-04-01",1,2.5)</f>
        <v>0</v>
      </c>
      <c r="AI1292" s="294">
        <f>IF(NFI_Expiration=1,IF($A1292&lt;VLOOKUP(R$5,NFI,5,0),1,0)*Table_NFI[[#This Row],[Winter Clothes Adult]],Table_NFI[Winter Clothes Adult])</f>
        <v>0</v>
      </c>
      <c r="AJ1292" s="294">
        <f>IF(NFI_Expiration=1,IF($A1292&lt;VLOOKUP(S$5,NFI,5,0),1,0)*Table_NFI[[#This Row],[Winter Clothes Children]],Table_NFI[Winter Clothes Children])</f>
        <v>0</v>
      </c>
      <c r="AK1292" s="294">
        <f>IF(NFI_Expiration=1,IF($A1292&lt;VLOOKUP(T$5,NFI,5,0),1,0)*Table_NFI[[#This Row],[Winter Items Other]],Table_NFI[Winter Items Other])</f>
        <v>0</v>
      </c>
      <c r="AL1292" s="294">
        <f>IF(NFI_Expiration=1,IF($A1292&lt;VLOOKUP(M$5,NFI,5,0),1,0)*Table_NFI[[#This Row],[Winter Blanket]],Table_NFI[[#This Row],[Winter Blanket]])</f>
        <v>0</v>
      </c>
      <c r="AM1292" s="294">
        <f>IF(Table_NFI[[#This Row],[Winter Clothes Adult]]+Table_NFI[[#This Row],[Winter Clothes Children]]+Table_NFI[[#This Row],[Winter Items Other]]+Table_NFI[[#This Row],[Winter Blanket]]&gt;0,1,0)</f>
        <v>0</v>
      </c>
      <c r="AN1292" s="331">
        <f>IF(NFI_Expiration=1,IF($A1292&lt;VLOOKUP(V$5,NFI,5,0),1,0)*Table_NFI[[#This Row],[Jerry Can]],Table_NFI[Jerry Can])</f>
        <v>0</v>
      </c>
      <c r="AO1292" s="331">
        <f>IF(NFI_Expiration=1,IF($A1292&lt;VLOOKUP(V$5,NFI,5,0),1,0)*Table_NFI[[#This Row],[Shelter Tool kit]],Table_NFI[Shelter Tool kit])</f>
        <v>0</v>
      </c>
      <c r="AP1292" s="331">
        <f>IF(NFI_Expiration=1,IF($A1292&lt;VLOOKUP(V$5,NFI,5,0),1,0)*Table_NFI[[#This Row],[Tent]],Table_NFI[Tent])</f>
        <v>0</v>
      </c>
      <c r="AQ1292" s="473" t="str">
        <f>IFERROR(VLOOKUP(Table_NFI[[#This Row],[Camp Name]],CL,2,0),"")</f>
        <v/>
      </c>
      <c r="AR1292" s="468" t="str">
        <f ca="1">IF(Table_NFI[[#This Row],[Pcode]]="","",IF(OFFSET(CampList[Opening Date],MATCH(Table_NFI[[#This Row],[Pcode]],CampList[CP_Pcode],0)-1,0,1,1)&gt;=NFI_Monitor_Date,1,0))</f>
        <v/>
      </c>
      <c r="AS1292" s="473" t="str">
        <f>IFERROR(VLOOKUP(Table_NFI[[#This Row],[Camp Name]],CL,3,0),"")</f>
        <v/>
      </c>
      <c r="AT1292" s="294" t="str">
        <f ca="1">IF(Table_NFI[[#This Row],[Pcode]]="","",OFFSET(CampList[Priority],MATCH(Table_NFI[[#This Row],[Pcode]],CampList[CP_Pcode],0)-1,0,1,1))</f>
        <v/>
      </c>
      <c r="AU1292" s="293" t="str">
        <f>IFERROR(Table_NFI[[#This Row],[Kitchen Set]]/VLOOKUP(Table_NFI[[#This Row],[Camp Name]],CL,4,0),"")</f>
        <v/>
      </c>
      <c r="AV1292" s="471"/>
      <c r="AW1292" s="474"/>
    </row>
    <row r="1293" spans="1:49" ht="14.45" customHeight="1" x14ac:dyDescent="0.25">
      <c r="A1293" s="297" t="str">
        <f t="shared" si="20"/>
        <v/>
      </c>
      <c r="B1293" s="465"/>
      <c r="C1293" s="471"/>
      <c r="D1293" s="471"/>
      <c r="E1293" s="471"/>
      <c r="F1293" s="471"/>
      <c r="G1293" s="471"/>
      <c r="H1293" s="292"/>
      <c r="I1293" s="292"/>
      <c r="J1293" s="292"/>
      <c r="K1293" s="292"/>
      <c r="L1293" s="292"/>
      <c r="M1293" s="292"/>
      <c r="N1293" s="292"/>
      <c r="O1293" s="292"/>
      <c r="P1293" s="294"/>
      <c r="Q1293" s="294"/>
      <c r="R1293" s="294"/>
      <c r="S1293" s="294"/>
      <c r="T1293" s="294"/>
      <c r="U1293" s="294"/>
      <c r="V1293" s="431"/>
      <c r="W1293" s="331"/>
      <c r="X1293" s="331"/>
      <c r="Y1293" s="294">
        <f>IF(NFI_Expiration=1,IF($A1293&lt;VLOOKUP(H$5,NFI,5,0),1,0)*Table_NFI[[#This Row],[Hygiene Kit]],Table_NFI[Hygiene Kit])</f>
        <v>0</v>
      </c>
      <c r="Z1293" s="294">
        <f>IF(NFI_Expiration=1,IF($A1293&lt;VLOOKUP(I$5,NFI,5,0),1,0)*Table_NFI[[#This Row],[NFI Core Kit]],Table_NFI[NFI Core Kit])</f>
        <v>0</v>
      </c>
      <c r="AA1293" s="294">
        <f>IF(NFI_Expiration=1,IF($A1293&lt;VLOOKUP(J$5,NFI,5,0),1,0)*Table_NFI[[#This Row],[Sanitary Kit]],Table_NFI[Sanitary Kit])</f>
        <v>0</v>
      </c>
      <c r="AB1293" s="294">
        <f>IF(NFI_Expiration=1,IF($A1293&lt;VLOOKUP(K$5,NFI,5,0),1,0)*Table_NFI[[#This Row],[Mosquito net]],Table_NFI[Mosquito net])</f>
        <v>0</v>
      </c>
      <c r="AC1293" s="294">
        <f>IF(NFI_Expiration=1,IF($A1293&lt;VLOOKUP(L$5,NFI,5,0),1,0)*Table_NFI[[#This Row],[Tarpaulin]],Table_NFI[[#This Row],[Tarpaulin]])</f>
        <v>0</v>
      </c>
      <c r="AD1293" s="294">
        <f>IF(NFI_Expiration=1,IF($A1293&lt;VLOOKUP(M$5,NFI,5,0),1,0)*Table_NFI[[#This Row],[Blanket]],Table_NFI[[#This Row],[Blanket]])</f>
        <v>0</v>
      </c>
      <c r="AE1293" s="294">
        <f>IF(NFI_Expiration=1,IF($A1293&lt;VLOOKUP(N$5,NFI,5,0),1,0)*Table_NFI[[#This Row],[Kitchen Set]],Table_NFI[Kitchen Set])</f>
        <v>0</v>
      </c>
      <c r="AF1293" s="294">
        <f>IF(NFI_Expiration=1,IF($A1293&lt;VLOOKUP(O$5,NFI,5,0),1,0)*Table_NFI[[#This Row],[Clothes Kit]],Table_NFI[Clothes Kit])</f>
        <v>0</v>
      </c>
      <c r="AG1293" s="294">
        <f>IF(NFI_Expiration=1,IF($A1293&lt;VLOOKUP(P$5,NFI,5,0),1,0)*Table_NFI[[#This Row],[Plastic Bucket]],Table_NFI[Plastic Bucket])</f>
        <v>0</v>
      </c>
      <c r="AH1293" s="294">
        <f>IF(NFI_Expiration=1,IF($A1293&lt;VLOOKUP(Q$5,NFI,5,0),1,0)*Table_NFI[[#This Row],[Plastic Mat]],Table_NFI[Plastic Mat])*IF(Table_NFI[[#This Row],[Distribution Date]]&gt;"2014-04-01",1,2.5)</f>
        <v>0</v>
      </c>
      <c r="AI1293" s="294">
        <f>IF(NFI_Expiration=1,IF($A1293&lt;VLOOKUP(R$5,NFI,5,0),1,0)*Table_NFI[[#This Row],[Winter Clothes Adult]],Table_NFI[Winter Clothes Adult])</f>
        <v>0</v>
      </c>
      <c r="AJ1293" s="294">
        <f>IF(NFI_Expiration=1,IF($A1293&lt;VLOOKUP(S$5,NFI,5,0),1,0)*Table_NFI[[#This Row],[Winter Clothes Children]],Table_NFI[Winter Clothes Children])</f>
        <v>0</v>
      </c>
      <c r="AK1293" s="294">
        <f>IF(NFI_Expiration=1,IF($A1293&lt;VLOOKUP(T$5,NFI,5,0),1,0)*Table_NFI[[#This Row],[Winter Items Other]],Table_NFI[Winter Items Other])</f>
        <v>0</v>
      </c>
      <c r="AL1293" s="294">
        <f>IF(NFI_Expiration=1,IF($A1293&lt;VLOOKUP(M$5,NFI,5,0),1,0)*Table_NFI[[#This Row],[Winter Blanket]],Table_NFI[[#This Row],[Winter Blanket]])</f>
        <v>0</v>
      </c>
      <c r="AM1293" s="294">
        <f>IF(Table_NFI[[#This Row],[Winter Clothes Adult]]+Table_NFI[[#This Row],[Winter Clothes Children]]+Table_NFI[[#This Row],[Winter Items Other]]+Table_NFI[[#This Row],[Winter Blanket]]&gt;0,1,0)</f>
        <v>0</v>
      </c>
      <c r="AN1293" s="331">
        <f>IF(NFI_Expiration=1,IF($A1293&lt;VLOOKUP(V$5,NFI,5,0),1,0)*Table_NFI[[#This Row],[Jerry Can]],Table_NFI[Jerry Can])</f>
        <v>0</v>
      </c>
      <c r="AO1293" s="331">
        <f>IF(NFI_Expiration=1,IF($A1293&lt;VLOOKUP(V$5,NFI,5,0),1,0)*Table_NFI[[#This Row],[Shelter Tool kit]],Table_NFI[Shelter Tool kit])</f>
        <v>0</v>
      </c>
      <c r="AP1293" s="331">
        <f>IF(NFI_Expiration=1,IF($A1293&lt;VLOOKUP(V$5,NFI,5,0),1,0)*Table_NFI[[#This Row],[Tent]],Table_NFI[Tent])</f>
        <v>0</v>
      </c>
      <c r="AQ1293" s="473" t="str">
        <f>IFERROR(VLOOKUP(Table_NFI[[#This Row],[Camp Name]],CL,2,0),"")</f>
        <v/>
      </c>
      <c r="AR1293" s="468" t="str">
        <f ca="1">IF(Table_NFI[[#This Row],[Pcode]]="","",IF(OFFSET(CampList[Opening Date],MATCH(Table_NFI[[#This Row],[Pcode]],CampList[CP_Pcode],0)-1,0,1,1)&gt;=NFI_Monitor_Date,1,0))</f>
        <v/>
      </c>
      <c r="AS1293" s="473" t="str">
        <f>IFERROR(VLOOKUP(Table_NFI[[#This Row],[Camp Name]],CL,3,0),"")</f>
        <v/>
      </c>
      <c r="AT1293" s="294" t="str">
        <f ca="1">IF(Table_NFI[[#This Row],[Pcode]]="","",OFFSET(CampList[Priority],MATCH(Table_NFI[[#This Row],[Pcode]],CampList[CP_Pcode],0)-1,0,1,1))</f>
        <v/>
      </c>
      <c r="AU1293" s="293" t="str">
        <f>IFERROR(Table_NFI[[#This Row],[Kitchen Set]]/VLOOKUP(Table_NFI[[#This Row],[Camp Name]],CL,4,0),"")</f>
        <v/>
      </c>
      <c r="AV1293" s="471"/>
      <c r="AW1293" s="474"/>
    </row>
    <row r="1294" spans="1:49" ht="14.45" customHeight="1" x14ac:dyDescent="0.25">
      <c r="A1294" s="297" t="str">
        <f t="shared" si="20"/>
        <v/>
      </c>
      <c r="B1294" s="465"/>
      <c r="C1294" s="471"/>
      <c r="D1294" s="471"/>
      <c r="E1294" s="471"/>
      <c r="F1294" s="471"/>
      <c r="G1294" s="471"/>
      <c r="H1294" s="292"/>
      <c r="I1294" s="292"/>
      <c r="J1294" s="292"/>
      <c r="K1294" s="292"/>
      <c r="L1294" s="292"/>
      <c r="M1294" s="292"/>
      <c r="N1294" s="292"/>
      <c r="O1294" s="292"/>
      <c r="P1294" s="294"/>
      <c r="Q1294" s="294"/>
      <c r="R1294" s="294"/>
      <c r="S1294" s="294"/>
      <c r="T1294" s="294"/>
      <c r="U1294" s="294"/>
      <c r="V1294" s="431"/>
      <c r="W1294" s="331"/>
      <c r="X1294" s="331"/>
      <c r="Y1294" s="294">
        <f>IF(NFI_Expiration=1,IF($A1294&lt;VLOOKUP(H$5,NFI,5,0),1,0)*Table_NFI[[#This Row],[Hygiene Kit]],Table_NFI[Hygiene Kit])</f>
        <v>0</v>
      </c>
      <c r="Z1294" s="294">
        <f>IF(NFI_Expiration=1,IF($A1294&lt;VLOOKUP(I$5,NFI,5,0),1,0)*Table_NFI[[#This Row],[NFI Core Kit]],Table_NFI[NFI Core Kit])</f>
        <v>0</v>
      </c>
      <c r="AA1294" s="294">
        <f>IF(NFI_Expiration=1,IF($A1294&lt;VLOOKUP(J$5,NFI,5,0),1,0)*Table_NFI[[#This Row],[Sanitary Kit]],Table_NFI[Sanitary Kit])</f>
        <v>0</v>
      </c>
      <c r="AB1294" s="294">
        <f>IF(NFI_Expiration=1,IF($A1294&lt;VLOOKUP(K$5,NFI,5,0),1,0)*Table_NFI[[#This Row],[Mosquito net]],Table_NFI[Mosquito net])</f>
        <v>0</v>
      </c>
      <c r="AC1294" s="294">
        <f>IF(NFI_Expiration=1,IF($A1294&lt;VLOOKUP(L$5,NFI,5,0),1,0)*Table_NFI[[#This Row],[Tarpaulin]],Table_NFI[[#This Row],[Tarpaulin]])</f>
        <v>0</v>
      </c>
      <c r="AD1294" s="294">
        <f>IF(NFI_Expiration=1,IF($A1294&lt;VLOOKUP(M$5,NFI,5,0),1,0)*Table_NFI[[#This Row],[Blanket]],Table_NFI[[#This Row],[Blanket]])</f>
        <v>0</v>
      </c>
      <c r="AE1294" s="294">
        <f>IF(NFI_Expiration=1,IF($A1294&lt;VLOOKUP(N$5,NFI,5,0),1,0)*Table_NFI[[#This Row],[Kitchen Set]],Table_NFI[Kitchen Set])</f>
        <v>0</v>
      </c>
      <c r="AF1294" s="294">
        <f>IF(NFI_Expiration=1,IF($A1294&lt;VLOOKUP(O$5,NFI,5,0),1,0)*Table_NFI[[#This Row],[Clothes Kit]],Table_NFI[Clothes Kit])</f>
        <v>0</v>
      </c>
      <c r="AG1294" s="294">
        <f>IF(NFI_Expiration=1,IF($A1294&lt;VLOOKUP(P$5,NFI,5,0),1,0)*Table_NFI[[#This Row],[Plastic Bucket]],Table_NFI[Plastic Bucket])</f>
        <v>0</v>
      </c>
      <c r="AH1294" s="294">
        <f>IF(NFI_Expiration=1,IF($A1294&lt;VLOOKUP(Q$5,NFI,5,0),1,0)*Table_NFI[[#This Row],[Plastic Mat]],Table_NFI[Plastic Mat])*IF(Table_NFI[[#This Row],[Distribution Date]]&gt;"2014-04-01",1,2.5)</f>
        <v>0</v>
      </c>
      <c r="AI1294" s="294">
        <f>IF(NFI_Expiration=1,IF($A1294&lt;VLOOKUP(R$5,NFI,5,0),1,0)*Table_NFI[[#This Row],[Winter Clothes Adult]],Table_NFI[Winter Clothes Adult])</f>
        <v>0</v>
      </c>
      <c r="AJ1294" s="294">
        <f>IF(NFI_Expiration=1,IF($A1294&lt;VLOOKUP(S$5,NFI,5,0),1,0)*Table_NFI[[#This Row],[Winter Clothes Children]],Table_NFI[Winter Clothes Children])</f>
        <v>0</v>
      </c>
      <c r="AK1294" s="294">
        <f>IF(NFI_Expiration=1,IF($A1294&lt;VLOOKUP(T$5,NFI,5,0),1,0)*Table_NFI[[#This Row],[Winter Items Other]],Table_NFI[Winter Items Other])</f>
        <v>0</v>
      </c>
      <c r="AL1294" s="294">
        <f>IF(NFI_Expiration=1,IF($A1294&lt;VLOOKUP(M$5,NFI,5,0),1,0)*Table_NFI[[#This Row],[Winter Blanket]],Table_NFI[[#This Row],[Winter Blanket]])</f>
        <v>0</v>
      </c>
      <c r="AM1294" s="294">
        <f>IF(Table_NFI[[#This Row],[Winter Clothes Adult]]+Table_NFI[[#This Row],[Winter Clothes Children]]+Table_NFI[[#This Row],[Winter Items Other]]+Table_NFI[[#This Row],[Winter Blanket]]&gt;0,1,0)</f>
        <v>0</v>
      </c>
      <c r="AN1294" s="331">
        <f>IF(NFI_Expiration=1,IF($A1294&lt;VLOOKUP(V$5,NFI,5,0),1,0)*Table_NFI[[#This Row],[Jerry Can]],Table_NFI[Jerry Can])</f>
        <v>0</v>
      </c>
      <c r="AO1294" s="331">
        <f>IF(NFI_Expiration=1,IF($A1294&lt;VLOOKUP(V$5,NFI,5,0),1,0)*Table_NFI[[#This Row],[Shelter Tool kit]],Table_NFI[Shelter Tool kit])</f>
        <v>0</v>
      </c>
      <c r="AP1294" s="331">
        <f>IF(NFI_Expiration=1,IF($A1294&lt;VLOOKUP(V$5,NFI,5,0),1,0)*Table_NFI[[#This Row],[Tent]],Table_NFI[Tent])</f>
        <v>0</v>
      </c>
      <c r="AQ1294" s="473" t="str">
        <f>IFERROR(VLOOKUP(Table_NFI[[#This Row],[Camp Name]],CL,2,0),"")</f>
        <v/>
      </c>
      <c r="AR1294" s="468" t="str">
        <f ca="1">IF(Table_NFI[[#This Row],[Pcode]]="","",IF(OFFSET(CampList[Opening Date],MATCH(Table_NFI[[#This Row],[Pcode]],CampList[CP_Pcode],0)-1,0,1,1)&gt;=NFI_Monitor_Date,1,0))</f>
        <v/>
      </c>
      <c r="AS1294" s="473" t="str">
        <f>IFERROR(VLOOKUP(Table_NFI[[#This Row],[Camp Name]],CL,3,0),"")</f>
        <v/>
      </c>
      <c r="AT1294" s="294" t="str">
        <f ca="1">IF(Table_NFI[[#This Row],[Pcode]]="","",OFFSET(CampList[Priority],MATCH(Table_NFI[[#This Row],[Pcode]],CampList[CP_Pcode],0)-1,0,1,1))</f>
        <v/>
      </c>
      <c r="AU1294" s="293" t="str">
        <f>IFERROR(Table_NFI[[#This Row],[Kitchen Set]]/VLOOKUP(Table_NFI[[#This Row],[Camp Name]],CL,4,0),"")</f>
        <v/>
      </c>
      <c r="AV1294" s="471"/>
      <c r="AW1294" s="474"/>
    </row>
    <row r="1295" spans="1:49" ht="14.45" customHeight="1" x14ac:dyDescent="0.25">
      <c r="A1295" s="297" t="str">
        <f t="shared" si="20"/>
        <v/>
      </c>
      <c r="B1295" s="465"/>
      <c r="C1295" s="471"/>
      <c r="D1295" s="471"/>
      <c r="E1295" s="471"/>
      <c r="F1295" s="471"/>
      <c r="G1295" s="471"/>
      <c r="H1295" s="292"/>
      <c r="I1295" s="292"/>
      <c r="J1295" s="292"/>
      <c r="K1295" s="292"/>
      <c r="L1295" s="292"/>
      <c r="M1295" s="292"/>
      <c r="N1295" s="292"/>
      <c r="O1295" s="292"/>
      <c r="P1295" s="294"/>
      <c r="Q1295" s="294"/>
      <c r="R1295" s="294"/>
      <c r="S1295" s="294"/>
      <c r="T1295" s="294"/>
      <c r="U1295" s="294"/>
      <c r="V1295" s="431"/>
      <c r="W1295" s="331"/>
      <c r="X1295" s="331"/>
      <c r="Y1295" s="294">
        <f>IF(NFI_Expiration=1,IF($A1295&lt;VLOOKUP(H$5,NFI,5,0),1,0)*Table_NFI[[#This Row],[Hygiene Kit]],Table_NFI[Hygiene Kit])</f>
        <v>0</v>
      </c>
      <c r="Z1295" s="294">
        <f>IF(NFI_Expiration=1,IF($A1295&lt;VLOOKUP(I$5,NFI,5,0),1,0)*Table_NFI[[#This Row],[NFI Core Kit]],Table_NFI[NFI Core Kit])</f>
        <v>0</v>
      </c>
      <c r="AA1295" s="294">
        <f>IF(NFI_Expiration=1,IF($A1295&lt;VLOOKUP(J$5,NFI,5,0),1,0)*Table_NFI[[#This Row],[Sanitary Kit]],Table_NFI[Sanitary Kit])</f>
        <v>0</v>
      </c>
      <c r="AB1295" s="294">
        <f>IF(NFI_Expiration=1,IF($A1295&lt;VLOOKUP(K$5,NFI,5,0),1,0)*Table_NFI[[#This Row],[Mosquito net]],Table_NFI[Mosquito net])</f>
        <v>0</v>
      </c>
      <c r="AC1295" s="294">
        <f>IF(NFI_Expiration=1,IF($A1295&lt;VLOOKUP(L$5,NFI,5,0),1,0)*Table_NFI[[#This Row],[Tarpaulin]],Table_NFI[[#This Row],[Tarpaulin]])</f>
        <v>0</v>
      </c>
      <c r="AD1295" s="294">
        <f>IF(NFI_Expiration=1,IF($A1295&lt;VLOOKUP(M$5,NFI,5,0),1,0)*Table_NFI[[#This Row],[Blanket]],Table_NFI[[#This Row],[Blanket]])</f>
        <v>0</v>
      </c>
      <c r="AE1295" s="294">
        <f>IF(NFI_Expiration=1,IF($A1295&lt;VLOOKUP(N$5,NFI,5,0),1,0)*Table_NFI[[#This Row],[Kitchen Set]],Table_NFI[Kitchen Set])</f>
        <v>0</v>
      </c>
      <c r="AF1295" s="294">
        <f>IF(NFI_Expiration=1,IF($A1295&lt;VLOOKUP(O$5,NFI,5,0),1,0)*Table_NFI[[#This Row],[Clothes Kit]],Table_NFI[Clothes Kit])</f>
        <v>0</v>
      </c>
      <c r="AG1295" s="294">
        <f>IF(NFI_Expiration=1,IF($A1295&lt;VLOOKUP(P$5,NFI,5,0),1,0)*Table_NFI[[#This Row],[Plastic Bucket]],Table_NFI[Plastic Bucket])</f>
        <v>0</v>
      </c>
      <c r="AH1295" s="294">
        <f>IF(NFI_Expiration=1,IF($A1295&lt;VLOOKUP(Q$5,NFI,5,0),1,0)*Table_NFI[[#This Row],[Plastic Mat]],Table_NFI[Plastic Mat])*IF(Table_NFI[[#This Row],[Distribution Date]]&gt;"2014-04-01",1,2.5)</f>
        <v>0</v>
      </c>
      <c r="AI1295" s="294">
        <f>IF(NFI_Expiration=1,IF($A1295&lt;VLOOKUP(R$5,NFI,5,0),1,0)*Table_NFI[[#This Row],[Winter Clothes Adult]],Table_NFI[Winter Clothes Adult])</f>
        <v>0</v>
      </c>
      <c r="AJ1295" s="294">
        <f>IF(NFI_Expiration=1,IF($A1295&lt;VLOOKUP(S$5,NFI,5,0),1,0)*Table_NFI[[#This Row],[Winter Clothes Children]],Table_NFI[Winter Clothes Children])</f>
        <v>0</v>
      </c>
      <c r="AK1295" s="294">
        <f>IF(NFI_Expiration=1,IF($A1295&lt;VLOOKUP(T$5,NFI,5,0),1,0)*Table_NFI[[#This Row],[Winter Items Other]],Table_NFI[Winter Items Other])</f>
        <v>0</v>
      </c>
      <c r="AL1295" s="294">
        <f>IF(NFI_Expiration=1,IF($A1295&lt;VLOOKUP(M$5,NFI,5,0),1,0)*Table_NFI[[#This Row],[Winter Blanket]],Table_NFI[[#This Row],[Winter Blanket]])</f>
        <v>0</v>
      </c>
      <c r="AM1295" s="294">
        <f>IF(Table_NFI[[#This Row],[Winter Clothes Adult]]+Table_NFI[[#This Row],[Winter Clothes Children]]+Table_NFI[[#This Row],[Winter Items Other]]+Table_NFI[[#This Row],[Winter Blanket]]&gt;0,1,0)</f>
        <v>0</v>
      </c>
      <c r="AN1295" s="331">
        <f>IF(NFI_Expiration=1,IF($A1295&lt;VLOOKUP(V$5,NFI,5,0),1,0)*Table_NFI[[#This Row],[Jerry Can]],Table_NFI[Jerry Can])</f>
        <v>0</v>
      </c>
      <c r="AO1295" s="331">
        <f>IF(NFI_Expiration=1,IF($A1295&lt;VLOOKUP(V$5,NFI,5,0),1,0)*Table_NFI[[#This Row],[Shelter Tool kit]],Table_NFI[Shelter Tool kit])</f>
        <v>0</v>
      </c>
      <c r="AP1295" s="331">
        <f>IF(NFI_Expiration=1,IF($A1295&lt;VLOOKUP(V$5,NFI,5,0),1,0)*Table_NFI[[#This Row],[Tent]],Table_NFI[Tent])</f>
        <v>0</v>
      </c>
      <c r="AQ1295" s="473" t="str">
        <f>IFERROR(VLOOKUP(Table_NFI[[#This Row],[Camp Name]],CL,2,0),"")</f>
        <v/>
      </c>
      <c r="AR1295" s="468" t="str">
        <f ca="1">IF(Table_NFI[[#This Row],[Pcode]]="","",IF(OFFSET(CampList[Opening Date],MATCH(Table_NFI[[#This Row],[Pcode]],CampList[CP_Pcode],0)-1,0,1,1)&gt;=NFI_Monitor_Date,1,0))</f>
        <v/>
      </c>
      <c r="AS1295" s="473" t="str">
        <f>IFERROR(VLOOKUP(Table_NFI[[#This Row],[Camp Name]],CL,3,0),"")</f>
        <v/>
      </c>
      <c r="AT1295" s="294" t="str">
        <f ca="1">IF(Table_NFI[[#This Row],[Pcode]]="","",OFFSET(CampList[Priority],MATCH(Table_NFI[[#This Row],[Pcode]],CampList[CP_Pcode],0)-1,0,1,1))</f>
        <v/>
      </c>
      <c r="AU1295" s="293" t="str">
        <f>IFERROR(Table_NFI[[#This Row],[Kitchen Set]]/VLOOKUP(Table_NFI[[#This Row],[Camp Name]],CL,4,0),"")</f>
        <v/>
      </c>
      <c r="AV1295" s="471"/>
      <c r="AW1295" s="474"/>
    </row>
    <row r="1296" spans="1:49" ht="14.45" customHeight="1" x14ac:dyDescent="0.25">
      <c r="A1296" s="297" t="str">
        <f t="shared" si="20"/>
        <v/>
      </c>
      <c r="B1296" s="465"/>
      <c r="C1296" s="471"/>
      <c r="D1296" s="471"/>
      <c r="E1296" s="471"/>
      <c r="F1296" s="471"/>
      <c r="G1296" s="471"/>
      <c r="H1296" s="292"/>
      <c r="I1296" s="292"/>
      <c r="J1296" s="292"/>
      <c r="K1296" s="292"/>
      <c r="L1296" s="292"/>
      <c r="M1296" s="292"/>
      <c r="N1296" s="292"/>
      <c r="O1296" s="292"/>
      <c r="P1296" s="294"/>
      <c r="Q1296" s="294"/>
      <c r="R1296" s="294"/>
      <c r="S1296" s="294"/>
      <c r="T1296" s="294"/>
      <c r="U1296" s="294"/>
      <c r="V1296" s="431"/>
      <c r="W1296" s="331"/>
      <c r="X1296" s="331"/>
      <c r="Y1296" s="294">
        <f>IF(NFI_Expiration=1,IF($A1296&lt;VLOOKUP(H$5,NFI,5,0),1,0)*Table_NFI[[#This Row],[Hygiene Kit]],Table_NFI[Hygiene Kit])</f>
        <v>0</v>
      </c>
      <c r="Z1296" s="294">
        <f>IF(NFI_Expiration=1,IF($A1296&lt;VLOOKUP(I$5,NFI,5,0),1,0)*Table_NFI[[#This Row],[NFI Core Kit]],Table_NFI[NFI Core Kit])</f>
        <v>0</v>
      </c>
      <c r="AA1296" s="294">
        <f>IF(NFI_Expiration=1,IF($A1296&lt;VLOOKUP(J$5,NFI,5,0),1,0)*Table_NFI[[#This Row],[Sanitary Kit]],Table_NFI[Sanitary Kit])</f>
        <v>0</v>
      </c>
      <c r="AB1296" s="294">
        <f>IF(NFI_Expiration=1,IF($A1296&lt;VLOOKUP(K$5,NFI,5,0),1,0)*Table_NFI[[#This Row],[Mosquito net]],Table_NFI[Mosquito net])</f>
        <v>0</v>
      </c>
      <c r="AC1296" s="294">
        <f>IF(NFI_Expiration=1,IF($A1296&lt;VLOOKUP(L$5,NFI,5,0),1,0)*Table_NFI[[#This Row],[Tarpaulin]],Table_NFI[[#This Row],[Tarpaulin]])</f>
        <v>0</v>
      </c>
      <c r="AD1296" s="294">
        <f>IF(NFI_Expiration=1,IF($A1296&lt;VLOOKUP(M$5,NFI,5,0),1,0)*Table_NFI[[#This Row],[Blanket]],Table_NFI[[#This Row],[Blanket]])</f>
        <v>0</v>
      </c>
      <c r="AE1296" s="294">
        <f>IF(NFI_Expiration=1,IF($A1296&lt;VLOOKUP(N$5,NFI,5,0),1,0)*Table_NFI[[#This Row],[Kitchen Set]],Table_NFI[Kitchen Set])</f>
        <v>0</v>
      </c>
      <c r="AF1296" s="294">
        <f>IF(NFI_Expiration=1,IF($A1296&lt;VLOOKUP(O$5,NFI,5,0),1,0)*Table_NFI[[#This Row],[Clothes Kit]],Table_NFI[Clothes Kit])</f>
        <v>0</v>
      </c>
      <c r="AG1296" s="294">
        <f>IF(NFI_Expiration=1,IF($A1296&lt;VLOOKUP(P$5,NFI,5,0),1,0)*Table_NFI[[#This Row],[Plastic Bucket]],Table_NFI[Plastic Bucket])</f>
        <v>0</v>
      </c>
      <c r="AH1296" s="294">
        <f>IF(NFI_Expiration=1,IF($A1296&lt;VLOOKUP(Q$5,NFI,5,0),1,0)*Table_NFI[[#This Row],[Plastic Mat]],Table_NFI[Plastic Mat])*IF(Table_NFI[[#This Row],[Distribution Date]]&gt;"2014-04-01",1,2.5)</f>
        <v>0</v>
      </c>
      <c r="AI1296" s="294">
        <f>IF(NFI_Expiration=1,IF($A1296&lt;VLOOKUP(R$5,NFI,5,0),1,0)*Table_NFI[[#This Row],[Winter Clothes Adult]],Table_NFI[Winter Clothes Adult])</f>
        <v>0</v>
      </c>
      <c r="AJ1296" s="294">
        <f>IF(NFI_Expiration=1,IF($A1296&lt;VLOOKUP(S$5,NFI,5,0),1,0)*Table_NFI[[#This Row],[Winter Clothes Children]],Table_NFI[Winter Clothes Children])</f>
        <v>0</v>
      </c>
      <c r="AK1296" s="294">
        <f>IF(NFI_Expiration=1,IF($A1296&lt;VLOOKUP(T$5,NFI,5,0),1,0)*Table_NFI[[#This Row],[Winter Items Other]],Table_NFI[Winter Items Other])</f>
        <v>0</v>
      </c>
      <c r="AL1296" s="294">
        <f>IF(NFI_Expiration=1,IF($A1296&lt;VLOOKUP(M$5,NFI,5,0),1,0)*Table_NFI[[#This Row],[Winter Blanket]],Table_NFI[[#This Row],[Winter Blanket]])</f>
        <v>0</v>
      </c>
      <c r="AM1296" s="294">
        <f>IF(Table_NFI[[#This Row],[Winter Clothes Adult]]+Table_NFI[[#This Row],[Winter Clothes Children]]+Table_NFI[[#This Row],[Winter Items Other]]+Table_NFI[[#This Row],[Winter Blanket]]&gt;0,1,0)</f>
        <v>0</v>
      </c>
      <c r="AN1296" s="331">
        <f>IF(NFI_Expiration=1,IF($A1296&lt;VLOOKUP(V$5,NFI,5,0),1,0)*Table_NFI[[#This Row],[Jerry Can]],Table_NFI[Jerry Can])</f>
        <v>0</v>
      </c>
      <c r="AO1296" s="331">
        <f>IF(NFI_Expiration=1,IF($A1296&lt;VLOOKUP(V$5,NFI,5,0),1,0)*Table_NFI[[#This Row],[Shelter Tool kit]],Table_NFI[Shelter Tool kit])</f>
        <v>0</v>
      </c>
      <c r="AP1296" s="331">
        <f>IF(NFI_Expiration=1,IF($A1296&lt;VLOOKUP(V$5,NFI,5,0),1,0)*Table_NFI[[#This Row],[Tent]],Table_NFI[Tent])</f>
        <v>0</v>
      </c>
      <c r="AQ1296" s="473" t="str">
        <f>IFERROR(VLOOKUP(Table_NFI[[#This Row],[Camp Name]],CL,2,0),"")</f>
        <v/>
      </c>
      <c r="AR1296" s="468" t="str">
        <f ca="1">IF(Table_NFI[[#This Row],[Pcode]]="","",IF(OFFSET(CampList[Opening Date],MATCH(Table_NFI[[#This Row],[Pcode]],CampList[CP_Pcode],0)-1,0,1,1)&gt;=NFI_Monitor_Date,1,0))</f>
        <v/>
      </c>
      <c r="AS1296" s="473" t="str">
        <f>IFERROR(VLOOKUP(Table_NFI[[#This Row],[Camp Name]],CL,3,0),"")</f>
        <v/>
      </c>
      <c r="AT1296" s="294" t="str">
        <f ca="1">IF(Table_NFI[[#This Row],[Pcode]]="","",OFFSET(CampList[Priority],MATCH(Table_NFI[[#This Row],[Pcode]],CampList[CP_Pcode],0)-1,0,1,1))</f>
        <v/>
      </c>
      <c r="AU1296" s="293" t="str">
        <f>IFERROR(Table_NFI[[#This Row],[Kitchen Set]]/VLOOKUP(Table_NFI[[#This Row],[Camp Name]],CL,4,0),"")</f>
        <v/>
      </c>
      <c r="AV1296" s="471"/>
      <c r="AW1296" s="474"/>
    </row>
    <row r="1297" spans="1:49" ht="14.45" customHeight="1" x14ac:dyDescent="0.25">
      <c r="A1297" s="297" t="str">
        <f t="shared" si="20"/>
        <v/>
      </c>
      <c r="B1297" s="465"/>
      <c r="C1297" s="471"/>
      <c r="D1297" s="471"/>
      <c r="E1297" s="471"/>
      <c r="F1297" s="471"/>
      <c r="G1297" s="471"/>
      <c r="H1297" s="292"/>
      <c r="I1297" s="292"/>
      <c r="J1297" s="292"/>
      <c r="K1297" s="292"/>
      <c r="L1297" s="292"/>
      <c r="M1297" s="292"/>
      <c r="N1297" s="292"/>
      <c r="O1297" s="292"/>
      <c r="P1297" s="294"/>
      <c r="Q1297" s="294"/>
      <c r="R1297" s="294"/>
      <c r="S1297" s="294"/>
      <c r="T1297" s="294"/>
      <c r="U1297" s="294"/>
      <c r="V1297" s="431"/>
      <c r="W1297" s="331"/>
      <c r="X1297" s="331"/>
      <c r="Y1297" s="294">
        <f>IF(NFI_Expiration=1,IF($A1297&lt;VLOOKUP(H$5,NFI,5,0),1,0)*Table_NFI[[#This Row],[Hygiene Kit]],Table_NFI[Hygiene Kit])</f>
        <v>0</v>
      </c>
      <c r="Z1297" s="294">
        <f>IF(NFI_Expiration=1,IF($A1297&lt;VLOOKUP(I$5,NFI,5,0),1,0)*Table_NFI[[#This Row],[NFI Core Kit]],Table_NFI[NFI Core Kit])</f>
        <v>0</v>
      </c>
      <c r="AA1297" s="294">
        <f>IF(NFI_Expiration=1,IF($A1297&lt;VLOOKUP(J$5,NFI,5,0),1,0)*Table_NFI[[#This Row],[Sanitary Kit]],Table_NFI[Sanitary Kit])</f>
        <v>0</v>
      </c>
      <c r="AB1297" s="294">
        <f>IF(NFI_Expiration=1,IF($A1297&lt;VLOOKUP(K$5,NFI,5,0),1,0)*Table_NFI[[#This Row],[Mosquito net]],Table_NFI[Mosquito net])</f>
        <v>0</v>
      </c>
      <c r="AC1297" s="294">
        <f>IF(NFI_Expiration=1,IF($A1297&lt;VLOOKUP(L$5,NFI,5,0),1,0)*Table_NFI[[#This Row],[Tarpaulin]],Table_NFI[[#This Row],[Tarpaulin]])</f>
        <v>0</v>
      </c>
      <c r="AD1297" s="294">
        <f>IF(NFI_Expiration=1,IF($A1297&lt;VLOOKUP(M$5,NFI,5,0),1,0)*Table_NFI[[#This Row],[Blanket]],Table_NFI[[#This Row],[Blanket]])</f>
        <v>0</v>
      </c>
      <c r="AE1297" s="294">
        <f>IF(NFI_Expiration=1,IF($A1297&lt;VLOOKUP(N$5,NFI,5,0),1,0)*Table_NFI[[#This Row],[Kitchen Set]],Table_NFI[Kitchen Set])</f>
        <v>0</v>
      </c>
      <c r="AF1297" s="294">
        <f>IF(NFI_Expiration=1,IF($A1297&lt;VLOOKUP(O$5,NFI,5,0),1,0)*Table_NFI[[#This Row],[Clothes Kit]],Table_NFI[Clothes Kit])</f>
        <v>0</v>
      </c>
      <c r="AG1297" s="294">
        <f>IF(NFI_Expiration=1,IF($A1297&lt;VLOOKUP(P$5,NFI,5,0),1,0)*Table_NFI[[#This Row],[Plastic Bucket]],Table_NFI[Plastic Bucket])</f>
        <v>0</v>
      </c>
      <c r="AH1297" s="294">
        <f>IF(NFI_Expiration=1,IF($A1297&lt;VLOOKUP(Q$5,NFI,5,0),1,0)*Table_NFI[[#This Row],[Plastic Mat]],Table_NFI[Plastic Mat])*IF(Table_NFI[[#This Row],[Distribution Date]]&gt;"2014-04-01",1,2.5)</f>
        <v>0</v>
      </c>
      <c r="AI1297" s="294">
        <f>IF(NFI_Expiration=1,IF($A1297&lt;VLOOKUP(R$5,NFI,5,0),1,0)*Table_NFI[[#This Row],[Winter Clothes Adult]],Table_NFI[Winter Clothes Adult])</f>
        <v>0</v>
      </c>
      <c r="AJ1297" s="294">
        <f>IF(NFI_Expiration=1,IF($A1297&lt;VLOOKUP(S$5,NFI,5,0),1,0)*Table_NFI[[#This Row],[Winter Clothes Children]],Table_NFI[Winter Clothes Children])</f>
        <v>0</v>
      </c>
      <c r="AK1297" s="294">
        <f>IF(NFI_Expiration=1,IF($A1297&lt;VLOOKUP(T$5,NFI,5,0),1,0)*Table_NFI[[#This Row],[Winter Items Other]],Table_NFI[Winter Items Other])</f>
        <v>0</v>
      </c>
      <c r="AL1297" s="294">
        <f>IF(NFI_Expiration=1,IF($A1297&lt;VLOOKUP(M$5,NFI,5,0),1,0)*Table_NFI[[#This Row],[Winter Blanket]],Table_NFI[[#This Row],[Winter Blanket]])</f>
        <v>0</v>
      </c>
      <c r="AM1297" s="294">
        <f>IF(Table_NFI[[#This Row],[Winter Clothes Adult]]+Table_NFI[[#This Row],[Winter Clothes Children]]+Table_NFI[[#This Row],[Winter Items Other]]+Table_NFI[[#This Row],[Winter Blanket]]&gt;0,1,0)</f>
        <v>0</v>
      </c>
      <c r="AN1297" s="331">
        <f>IF(NFI_Expiration=1,IF($A1297&lt;VLOOKUP(V$5,NFI,5,0),1,0)*Table_NFI[[#This Row],[Jerry Can]],Table_NFI[Jerry Can])</f>
        <v>0</v>
      </c>
      <c r="AO1297" s="331">
        <f>IF(NFI_Expiration=1,IF($A1297&lt;VLOOKUP(V$5,NFI,5,0),1,0)*Table_NFI[[#This Row],[Shelter Tool kit]],Table_NFI[Shelter Tool kit])</f>
        <v>0</v>
      </c>
      <c r="AP1297" s="331">
        <f>IF(NFI_Expiration=1,IF($A1297&lt;VLOOKUP(V$5,NFI,5,0),1,0)*Table_NFI[[#This Row],[Tent]],Table_NFI[Tent])</f>
        <v>0</v>
      </c>
      <c r="AQ1297" s="473" t="str">
        <f>IFERROR(VLOOKUP(Table_NFI[[#This Row],[Camp Name]],CL,2,0),"")</f>
        <v/>
      </c>
      <c r="AR1297" s="468" t="str">
        <f ca="1">IF(Table_NFI[[#This Row],[Pcode]]="","",IF(OFFSET(CampList[Opening Date],MATCH(Table_NFI[[#This Row],[Pcode]],CampList[CP_Pcode],0)-1,0,1,1)&gt;=NFI_Monitor_Date,1,0))</f>
        <v/>
      </c>
      <c r="AS1297" s="473" t="str">
        <f>IFERROR(VLOOKUP(Table_NFI[[#This Row],[Camp Name]],CL,3,0),"")</f>
        <v/>
      </c>
      <c r="AT1297" s="294" t="str">
        <f ca="1">IF(Table_NFI[[#This Row],[Pcode]]="","",OFFSET(CampList[Priority],MATCH(Table_NFI[[#This Row],[Pcode]],CampList[CP_Pcode],0)-1,0,1,1))</f>
        <v/>
      </c>
      <c r="AU1297" s="293" t="str">
        <f>IFERROR(Table_NFI[[#This Row],[Kitchen Set]]/VLOOKUP(Table_NFI[[#This Row],[Camp Name]],CL,4,0),"")</f>
        <v/>
      </c>
      <c r="AV1297" s="471"/>
      <c r="AW1297" s="474"/>
    </row>
    <row r="1298" spans="1:49" ht="14.45" customHeight="1" x14ac:dyDescent="0.25">
      <c r="A1298" s="297" t="str">
        <f t="shared" si="20"/>
        <v/>
      </c>
      <c r="B1298" s="465"/>
      <c r="C1298" s="471"/>
      <c r="D1298" s="471"/>
      <c r="E1298" s="471"/>
      <c r="F1298" s="471"/>
      <c r="G1298" s="471"/>
      <c r="H1298" s="292"/>
      <c r="I1298" s="292"/>
      <c r="J1298" s="292"/>
      <c r="K1298" s="292"/>
      <c r="L1298" s="292"/>
      <c r="M1298" s="292"/>
      <c r="N1298" s="292"/>
      <c r="O1298" s="292"/>
      <c r="P1298" s="294"/>
      <c r="Q1298" s="294"/>
      <c r="R1298" s="294"/>
      <c r="S1298" s="294"/>
      <c r="T1298" s="294"/>
      <c r="U1298" s="294"/>
      <c r="V1298" s="431"/>
      <c r="W1298" s="331"/>
      <c r="X1298" s="331"/>
      <c r="Y1298" s="294">
        <f>IF(NFI_Expiration=1,IF($A1298&lt;VLOOKUP(H$5,NFI,5,0),1,0)*Table_NFI[[#This Row],[Hygiene Kit]],Table_NFI[Hygiene Kit])</f>
        <v>0</v>
      </c>
      <c r="Z1298" s="294">
        <f>IF(NFI_Expiration=1,IF($A1298&lt;VLOOKUP(I$5,NFI,5,0),1,0)*Table_NFI[[#This Row],[NFI Core Kit]],Table_NFI[NFI Core Kit])</f>
        <v>0</v>
      </c>
      <c r="AA1298" s="294">
        <f>IF(NFI_Expiration=1,IF($A1298&lt;VLOOKUP(J$5,NFI,5,0),1,0)*Table_NFI[[#This Row],[Sanitary Kit]],Table_NFI[Sanitary Kit])</f>
        <v>0</v>
      </c>
      <c r="AB1298" s="294">
        <f>IF(NFI_Expiration=1,IF($A1298&lt;VLOOKUP(K$5,NFI,5,0),1,0)*Table_NFI[[#This Row],[Mosquito net]],Table_NFI[Mosquito net])</f>
        <v>0</v>
      </c>
      <c r="AC1298" s="294">
        <f>IF(NFI_Expiration=1,IF($A1298&lt;VLOOKUP(L$5,NFI,5,0),1,0)*Table_NFI[[#This Row],[Tarpaulin]],Table_NFI[[#This Row],[Tarpaulin]])</f>
        <v>0</v>
      </c>
      <c r="AD1298" s="294">
        <f>IF(NFI_Expiration=1,IF($A1298&lt;VLOOKUP(M$5,NFI,5,0),1,0)*Table_NFI[[#This Row],[Blanket]],Table_NFI[[#This Row],[Blanket]])</f>
        <v>0</v>
      </c>
      <c r="AE1298" s="294">
        <f>IF(NFI_Expiration=1,IF($A1298&lt;VLOOKUP(N$5,NFI,5,0),1,0)*Table_NFI[[#This Row],[Kitchen Set]],Table_NFI[Kitchen Set])</f>
        <v>0</v>
      </c>
      <c r="AF1298" s="294">
        <f>IF(NFI_Expiration=1,IF($A1298&lt;VLOOKUP(O$5,NFI,5,0),1,0)*Table_NFI[[#This Row],[Clothes Kit]],Table_NFI[Clothes Kit])</f>
        <v>0</v>
      </c>
      <c r="AG1298" s="294">
        <f>IF(NFI_Expiration=1,IF($A1298&lt;VLOOKUP(P$5,NFI,5,0),1,0)*Table_NFI[[#This Row],[Plastic Bucket]],Table_NFI[Plastic Bucket])</f>
        <v>0</v>
      </c>
      <c r="AH1298" s="294">
        <f>IF(NFI_Expiration=1,IF($A1298&lt;VLOOKUP(Q$5,NFI,5,0),1,0)*Table_NFI[[#This Row],[Plastic Mat]],Table_NFI[Plastic Mat])*IF(Table_NFI[[#This Row],[Distribution Date]]&gt;"2014-04-01",1,2.5)</f>
        <v>0</v>
      </c>
      <c r="AI1298" s="294">
        <f>IF(NFI_Expiration=1,IF($A1298&lt;VLOOKUP(R$5,NFI,5,0),1,0)*Table_NFI[[#This Row],[Winter Clothes Adult]],Table_NFI[Winter Clothes Adult])</f>
        <v>0</v>
      </c>
      <c r="AJ1298" s="294">
        <f>IF(NFI_Expiration=1,IF($A1298&lt;VLOOKUP(S$5,NFI,5,0),1,0)*Table_NFI[[#This Row],[Winter Clothes Children]],Table_NFI[Winter Clothes Children])</f>
        <v>0</v>
      </c>
      <c r="AK1298" s="294">
        <f>IF(NFI_Expiration=1,IF($A1298&lt;VLOOKUP(T$5,NFI,5,0),1,0)*Table_NFI[[#This Row],[Winter Items Other]],Table_NFI[Winter Items Other])</f>
        <v>0</v>
      </c>
      <c r="AL1298" s="294">
        <f>IF(NFI_Expiration=1,IF($A1298&lt;VLOOKUP(M$5,NFI,5,0),1,0)*Table_NFI[[#This Row],[Winter Blanket]],Table_NFI[[#This Row],[Winter Blanket]])</f>
        <v>0</v>
      </c>
      <c r="AM1298" s="294">
        <f>IF(Table_NFI[[#This Row],[Winter Clothes Adult]]+Table_NFI[[#This Row],[Winter Clothes Children]]+Table_NFI[[#This Row],[Winter Items Other]]+Table_NFI[[#This Row],[Winter Blanket]]&gt;0,1,0)</f>
        <v>0</v>
      </c>
      <c r="AN1298" s="331">
        <f>IF(NFI_Expiration=1,IF($A1298&lt;VLOOKUP(V$5,NFI,5,0),1,0)*Table_NFI[[#This Row],[Jerry Can]],Table_NFI[Jerry Can])</f>
        <v>0</v>
      </c>
      <c r="AO1298" s="331">
        <f>IF(NFI_Expiration=1,IF($A1298&lt;VLOOKUP(V$5,NFI,5,0),1,0)*Table_NFI[[#This Row],[Shelter Tool kit]],Table_NFI[Shelter Tool kit])</f>
        <v>0</v>
      </c>
      <c r="AP1298" s="331">
        <f>IF(NFI_Expiration=1,IF($A1298&lt;VLOOKUP(V$5,NFI,5,0),1,0)*Table_NFI[[#This Row],[Tent]],Table_NFI[Tent])</f>
        <v>0</v>
      </c>
      <c r="AQ1298" s="473" t="str">
        <f>IFERROR(VLOOKUP(Table_NFI[[#This Row],[Camp Name]],CL,2,0),"")</f>
        <v/>
      </c>
      <c r="AR1298" s="468" t="str">
        <f ca="1">IF(Table_NFI[[#This Row],[Pcode]]="","",IF(OFFSET(CampList[Opening Date],MATCH(Table_NFI[[#This Row],[Pcode]],CampList[CP_Pcode],0)-1,0,1,1)&gt;=NFI_Monitor_Date,1,0))</f>
        <v/>
      </c>
      <c r="AS1298" s="473" t="str">
        <f>IFERROR(VLOOKUP(Table_NFI[[#This Row],[Camp Name]],CL,3,0),"")</f>
        <v/>
      </c>
      <c r="AT1298" s="294" t="str">
        <f ca="1">IF(Table_NFI[[#This Row],[Pcode]]="","",OFFSET(CampList[Priority],MATCH(Table_NFI[[#This Row],[Pcode]],CampList[CP_Pcode],0)-1,0,1,1))</f>
        <v/>
      </c>
      <c r="AU1298" s="293" t="str">
        <f>IFERROR(Table_NFI[[#This Row],[Kitchen Set]]/VLOOKUP(Table_NFI[[#This Row],[Camp Name]],CL,4,0),"")</f>
        <v/>
      </c>
      <c r="AV1298" s="471"/>
      <c r="AW1298" s="474"/>
    </row>
    <row r="1299" spans="1:49" ht="14.45" customHeight="1" x14ac:dyDescent="0.25">
      <c r="A1299" s="297" t="str">
        <f t="shared" si="20"/>
        <v/>
      </c>
      <c r="B1299" s="465"/>
      <c r="C1299" s="471"/>
      <c r="D1299" s="471"/>
      <c r="E1299" s="471"/>
      <c r="F1299" s="471"/>
      <c r="G1299" s="471"/>
      <c r="H1299" s="292"/>
      <c r="I1299" s="292"/>
      <c r="J1299" s="292"/>
      <c r="K1299" s="292"/>
      <c r="L1299" s="292"/>
      <c r="M1299" s="292"/>
      <c r="N1299" s="292"/>
      <c r="O1299" s="292"/>
      <c r="P1299" s="294"/>
      <c r="Q1299" s="294"/>
      <c r="R1299" s="294"/>
      <c r="S1299" s="294"/>
      <c r="T1299" s="294"/>
      <c r="U1299" s="294"/>
      <c r="V1299" s="431"/>
      <c r="W1299" s="331"/>
      <c r="X1299" s="331"/>
      <c r="Y1299" s="294">
        <f>IF(NFI_Expiration=1,IF($A1299&lt;VLOOKUP(H$5,NFI,5,0),1,0)*Table_NFI[[#This Row],[Hygiene Kit]],Table_NFI[Hygiene Kit])</f>
        <v>0</v>
      </c>
      <c r="Z1299" s="294">
        <f>IF(NFI_Expiration=1,IF($A1299&lt;VLOOKUP(I$5,NFI,5,0),1,0)*Table_NFI[[#This Row],[NFI Core Kit]],Table_NFI[NFI Core Kit])</f>
        <v>0</v>
      </c>
      <c r="AA1299" s="294">
        <f>IF(NFI_Expiration=1,IF($A1299&lt;VLOOKUP(J$5,NFI,5,0),1,0)*Table_NFI[[#This Row],[Sanitary Kit]],Table_NFI[Sanitary Kit])</f>
        <v>0</v>
      </c>
      <c r="AB1299" s="294">
        <f>IF(NFI_Expiration=1,IF($A1299&lt;VLOOKUP(K$5,NFI,5,0),1,0)*Table_NFI[[#This Row],[Mosquito net]],Table_NFI[Mosquito net])</f>
        <v>0</v>
      </c>
      <c r="AC1299" s="294">
        <f>IF(NFI_Expiration=1,IF($A1299&lt;VLOOKUP(L$5,NFI,5,0),1,0)*Table_NFI[[#This Row],[Tarpaulin]],Table_NFI[[#This Row],[Tarpaulin]])</f>
        <v>0</v>
      </c>
      <c r="AD1299" s="294">
        <f>IF(NFI_Expiration=1,IF($A1299&lt;VLOOKUP(M$5,NFI,5,0),1,0)*Table_NFI[[#This Row],[Blanket]],Table_NFI[[#This Row],[Blanket]])</f>
        <v>0</v>
      </c>
      <c r="AE1299" s="294">
        <f>IF(NFI_Expiration=1,IF($A1299&lt;VLOOKUP(N$5,NFI,5,0),1,0)*Table_NFI[[#This Row],[Kitchen Set]],Table_NFI[Kitchen Set])</f>
        <v>0</v>
      </c>
      <c r="AF1299" s="294">
        <f>IF(NFI_Expiration=1,IF($A1299&lt;VLOOKUP(O$5,NFI,5,0),1,0)*Table_NFI[[#This Row],[Clothes Kit]],Table_NFI[Clothes Kit])</f>
        <v>0</v>
      </c>
      <c r="AG1299" s="294">
        <f>IF(NFI_Expiration=1,IF($A1299&lt;VLOOKUP(P$5,NFI,5,0),1,0)*Table_NFI[[#This Row],[Plastic Bucket]],Table_NFI[Plastic Bucket])</f>
        <v>0</v>
      </c>
      <c r="AH1299" s="294">
        <f>IF(NFI_Expiration=1,IF($A1299&lt;VLOOKUP(Q$5,NFI,5,0),1,0)*Table_NFI[[#This Row],[Plastic Mat]],Table_NFI[Plastic Mat])*IF(Table_NFI[[#This Row],[Distribution Date]]&gt;"2014-04-01",1,2.5)</f>
        <v>0</v>
      </c>
      <c r="AI1299" s="294">
        <f>IF(NFI_Expiration=1,IF($A1299&lt;VLOOKUP(R$5,NFI,5,0),1,0)*Table_NFI[[#This Row],[Winter Clothes Adult]],Table_NFI[Winter Clothes Adult])</f>
        <v>0</v>
      </c>
      <c r="AJ1299" s="294">
        <f>IF(NFI_Expiration=1,IF($A1299&lt;VLOOKUP(S$5,NFI,5,0),1,0)*Table_NFI[[#This Row],[Winter Clothes Children]],Table_NFI[Winter Clothes Children])</f>
        <v>0</v>
      </c>
      <c r="AK1299" s="294">
        <f>IF(NFI_Expiration=1,IF($A1299&lt;VLOOKUP(T$5,NFI,5,0),1,0)*Table_NFI[[#This Row],[Winter Items Other]],Table_NFI[Winter Items Other])</f>
        <v>0</v>
      </c>
      <c r="AL1299" s="294">
        <f>IF(NFI_Expiration=1,IF($A1299&lt;VLOOKUP(M$5,NFI,5,0),1,0)*Table_NFI[[#This Row],[Winter Blanket]],Table_NFI[[#This Row],[Winter Blanket]])</f>
        <v>0</v>
      </c>
      <c r="AM1299" s="294">
        <f>IF(Table_NFI[[#This Row],[Winter Clothes Adult]]+Table_NFI[[#This Row],[Winter Clothes Children]]+Table_NFI[[#This Row],[Winter Items Other]]+Table_NFI[[#This Row],[Winter Blanket]]&gt;0,1,0)</f>
        <v>0</v>
      </c>
      <c r="AN1299" s="331">
        <f>IF(NFI_Expiration=1,IF($A1299&lt;VLOOKUP(V$5,NFI,5,0),1,0)*Table_NFI[[#This Row],[Jerry Can]],Table_NFI[Jerry Can])</f>
        <v>0</v>
      </c>
      <c r="AO1299" s="331">
        <f>IF(NFI_Expiration=1,IF($A1299&lt;VLOOKUP(V$5,NFI,5,0),1,0)*Table_NFI[[#This Row],[Shelter Tool kit]],Table_NFI[Shelter Tool kit])</f>
        <v>0</v>
      </c>
      <c r="AP1299" s="331">
        <f>IF(NFI_Expiration=1,IF($A1299&lt;VLOOKUP(V$5,NFI,5,0),1,0)*Table_NFI[[#This Row],[Tent]],Table_NFI[Tent])</f>
        <v>0</v>
      </c>
      <c r="AQ1299" s="473" t="str">
        <f>IFERROR(VLOOKUP(Table_NFI[[#This Row],[Camp Name]],CL,2,0),"")</f>
        <v/>
      </c>
      <c r="AR1299" s="468" t="str">
        <f ca="1">IF(Table_NFI[[#This Row],[Pcode]]="","",IF(OFFSET(CampList[Opening Date],MATCH(Table_NFI[[#This Row],[Pcode]],CampList[CP_Pcode],0)-1,0,1,1)&gt;=NFI_Monitor_Date,1,0))</f>
        <v/>
      </c>
      <c r="AS1299" s="473" t="str">
        <f>IFERROR(VLOOKUP(Table_NFI[[#This Row],[Camp Name]],CL,3,0),"")</f>
        <v/>
      </c>
      <c r="AT1299" s="294" t="str">
        <f ca="1">IF(Table_NFI[[#This Row],[Pcode]]="","",OFFSET(CampList[Priority],MATCH(Table_NFI[[#This Row],[Pcode]],CampList[CP_Pcode],0)-1,0,1,1))</f>
        <v/>
      </c>
      <c r="AU1299" s="293" t="str">
        <f>IFERROR(Table_NFI[[#This Row],[Kitchen Set]]/VLOOKUP(Table_NFI[[#This Row],[Camp Name]],CL,4,0),"")</f>
        <v/>
      </c>
      <c r="AV1299" s="471"/>
      <c r="AW1299" s="474"/>
    </row>
    <row r="1300" spans="1:49" ht="14.45" customHeight="1" x14ac:dyDescent="0.25">
      <c r="A1300" s="297" t="str">
        <f t="shared" si="20"/>
        <v/>
      </c>
      <c r="B1300" s="465"/>
      <c r="C1300" s="471"/>
      <c r="D1300" s="471"/>
      <c r="E1300" s="471"/>
      <c r="F1300" s="471"/>
      <c r="G1300" s="471"/>
      <c r="H1300" s="292"/>
      <c r="I1300" s="292"/>
      <c r="J1300" s="292"/>
      <c r="K1300" s="292"/>
      <c r="L1300" s="292"/>
      <c r="M1300" s="292"/>
      <c r="N1300" s="292"/>
      <c r="O1300" s="292"/>
      <c r="P1300" s="294"/>
      <c r="Q1300" s="294"/>
      <c r="R1300" s="294"/>
      <c r="S1300" s="294"/>
      <c r="T1300" s="294"/>
      <c r="U1300" s="294"/>
      <c r="V1300" s="431"/>
      <c r="W1300" s="331"/>
      <c r="X1300" s="331"/>
      <c r="Y1300" s="294">
        <f>IF(NFI_Expiration=1,IF($A1300&lt;VLOOKUP(H$5,NFI,5,0),1,0)*Table_NFI[[#This Row],[Hygiene Kit]],Table_NFI[Hygiene Kit])</f>
        <v>0</v>
      </c>
      <c r="Z1300" s="294">
        <f>IF(NFI_Expiration=1,IF($A1300&lt;VLOOKUP(I$5,NFI,5,0),1,0)*Table_NFI[[#This Row],[NFI Core Kit]],Table_NFI[NFI Core Kit])</f>
        <v>0</v>
      </c>
      <c r="AA1300" s="294">
        <f>IF(NFI_Expiration=1,IF($A1300&lt;VLOOKUP(J$5,NFI,5,0),1,0)*Table_NFI[[#This Row],[Sanitary Kit]],Table_NFI[Sanitary Kit])</f>
        <v>0</v>
      </c>
      <c r="AB1300" s="294">
        <f>IF(NFI_Expiration=1,IF($A1300&lt;VLOOKUP(K$5,NFI,5,0),1,0)*Table_NFI[[#This Row],[Mosquito net]],Table_NFI[Mosquito net])</f>
        <v>0</v>
      </c>
      <c r="AC1300" s="294">
        <f>IF(NFI_Expiration=1,IF($A1300&lt;VLOOKUP(L$5,NFI,5,0),1,0)*Table_NFI[[#This Row],[Tarpaulin]],Table_NFI[[#This Row],[Tarpaulin]])</f>
        <v>0</v>
      </c>
      <c r="AD1300" s="294">
        <f>IF(NFI_Expiration=1,IF($A1300&lt;VLOOKUP(M$5,NFI,5,0),1,0)*Table_NFI[[#This Row],[Blanket]],Table_NFI[[#This Row],[Blanket]])</f>
        <v>0</v>
      </c>
      <c r="AE1300" s="294">
        <f>IF(NFI_Expiration=1,IF($A1300&lt;VLOOKUP(N$5,NFI,5,0),1,0)*Table_NFI[[#This Row],[Kitchen Set]],Table_NFI[Kitchen Set])</f>
        <v>0</v>
      </c>
      <c r="AF1300" s="294">
        <f>IF(NFI_Expiration=1,IF($A1300&lt;VLOOKUP(O$5,NFI,5,0),1,0)*Table_NFI[[#This Row],[Clothes Kit]],Table_NFI[Clothes Kit])</f>
        <v>0</v>
      </c>
      <c r="AG1300" s="294">
        <f>IF(NFI_Expiration=1,IF($A1300&lt;VLOOKUP(P$5,NFI,5,0),1,0)*Table_NFI[[#This Row],[Plastic Bucket]],Table_NFI[Plastic Bucket])</f>
        <v>0</v>
      </c>
      <c r="AH1300" s="294">
        <f>IF(NFI_Expiration=1,IF($A1300&lt;VLOOKUP(Q$5,NFI,5,0),1,0)*Table_NFI[[#This Row],[Plastic Mat]],Table_NFI[Plastic Mat])*IF(Table_NFI[[#This Row],[Distribution Date]]&gt;"2014-04-01",1,2.5)</f>
        <v>0</v>
      </c>
      <c r="AI1300" s="294">
        <f>IF(NFI_Expiration=1,IF($A1300&lt;VLOOKUP(R$5,NFI,5,0),1,0)*Table_NFI[[#This Row],[Winter Clothes Adult]],Table_NFI[Winter Clothes Adult])</f>
        <v>0</v>
      </c>
      <c r="AJ1300" s="294">
        <f>IF(NFI_Expiration=1,IF($A1300&lt;VLOOKUP(S$5,NFI,5,0),1,0)*Table_NFI[[#This Row],[Winter Clothes Children]],Table_NFI[Winter Clothes Children])</f>
        <v>0</v>
      </c>
      <c r="AK1300" s="294">
        <f>IF(NFI_Expiration=1,IF($A1300&lt;VLOOKUP(T$5,NFI,5,0),1,0)*Table_NFI[[#This Row],[Winter Items Other]],Table_NFI[Winter Items Other])</f>
        <v>0</v>
      </c>
      <c r="AL1300" s="294">
        <f>IF(NFI_Expiration=1,IF($A1300&lt;VLOOKUP(M$5,NFI,5,0),1,0)*Table_NFI[[#This Row],[Winter Blanket]],Table_NFI[[#This Row],[Winter Blanket]])</f>
        <v>0</v>
      </c>
      <c r="AM1300" s="294">
        <f>IF(Table_NFI[[#This Row],[Winter Clothes Adult]]+Table_NFI[[#This Row],[Winter Clothes Children]]+Table_NFI[[#This Row],[Winter Items Other]]+Table_NFI[[#This Row],[Winter Blanket]]&gt;0,1,0)</f>
        <v>0</v>
      </c>
      <c r="AN1300" s="331">
        <f>IF(NFI_Expiration=1,IF($A1300&lt;VLOOKUP(V$5,NFI,5,0),1,0)*Table_NFI[[#This Row],[Jerry Can]],Table_NFI[Jerry Can])</f>
        <v>0</v>
      </c>
      <c r="AO1300" s="331">
        <f>IF(NFI_Expiration=1,IF($A1300&lt;VLOOKUP(V$5,NFI,5,0),1,0)*Table_NFI[[#This Row],[Shelter Tool kit]],Table_NFI[Shelter Tool kit])</f>
        <v>0</v>
      </c>
      <c r="AP1300" s="331">
        <f>IF(NFI_Expiration=1,IF($A1300&lt;VLOOKUP(V$5,NFI,5,0),1,0)*Table_NFI[[#This Row],[Tent]],Table_NFI[Tent])</f>
        <v>0</v>
      </c>
      <c r="AQ1300" s="473" t="str">
        <f>IFERROR(VLOOKUP(Table_NFI[[#This Row],[Camp Name]],CL,2,0),"")</f>
        <v/>
      </c>
      <c r="AR1300" s="468" t="str">
        <f ca="1">IF(Table_NFI[[#This Row],[Pcode]]="","",IF(OFFSET(CampList[Opening Date],MATCH(Table_NFI[[#This Row],[Pcode]],CampList[CP_Pcode],0)-1,0,1,1)&gt;=NFI_Monitor_Date,1,0))</f>
        <v/>
      </c>
      <c r="AS1300" s="473" t="str">
        <f>IFERROR(VLOOKUP(Table_NFI[[#This Row],[Camp Name]],CL,3,0),"")</f>
        <v/>
      </c>
      <c r="AT1300" s="294" t="str">
        <f ca="1">IF(Table_NFI[[#This Row],[Pcode]]="","",OFFSET(CampList[Priority],MATCH(Table_NFI[[#This Row],[Pcode]],CampList[CP_Pcode],0)-1,0,1,1))</f>
        <v/>
      </c>
      <c r="AU1300" s="293" t="str">
        <f>IFERROR(Table_NFI[[#This Row],[Kitchen Set]]/VLOOKUP(Table_NFI[[#This Row],[Camp Name]],CL,4,0),"")</f>
        <v/>
      </c>
      <c r="AV1300" s="471"/>
      <c r="AW1300" s="474"/>
    </row>
    <row r="1301" spans="1:49" ht="14.45" customHeight="1" x14ac:dyDescent="0.25">
      <c r="A1301" s="297" t="str">
        <f t="shared" si="20"/>
        <v/>
      </c>
      <c r="B1301" s="465"/>
      <c r="C1301" s="471"/>
      <c r="D1301" s="471"/>
      <c r="E1301" s="471"/>
      <c r="F1301" s="471"/>
      <c r="G1301" s="471"/>
      <c r="H1301" s="292"/>
      <c r="I1301" s="292"/>
      <c r="J1301" s="292"/>
      <c r="K1301" s="292"/>
      <c r="L1301" s="292"/>
      <c r="M1301" s="292"/>
      <c r="N1301" s="292"/>
      <c r="O1301" s="292"/>
      <c r="P1301" s="294"/>
      <c r="Q1301" s="294"/>
      <c r="R1301" s="294"/>
      <c r="S1301" s="294"/>
      <c r="T1301" s="294"/>
      <c r="U1301" s="294"/>
      <c r="V1301" s="431"/>
      <c r="W1301" s="331"/>
      <c r="X1301" s="331"/>
      <c r="Y1301" s="294">
        <f>IF(NFI_Expiration=1,IF($A1301&lt;VLOOKUP(H$5,NFI,5,0),1,0)*Table_NFI[[#This Row],[Hygiene Kit]],Table_NFI[Hygiene Kit])</f>
        <v>0</v>
      </c>
      <c r="Z1301" s="294">
        <f>IF(NFI_Expiration=1,IF($A1301&lt;VLOOKUP(I$5,NFI,5,0),1,0)*Table_NFI[[#This Row],[NFI Core Kit]],Table_NFI[NFI Core Kit])</f>
        <v>0</v>
      </c>
      <c r="AA1301" s="294">
        <f>IF(NFI_Expiration=1,IF($A1301&lt;VLOOKUP(J$5,NFI,5,0),1,0)*Table_NFI[[#This Row],[Sanitary Kit]],Table_NFI[Sanitary Kit])</f>
        <v>0</v>
      </c>
      <c r="AB1301" s="294">
        <f>IF(NFI_Expiration=1,IF($A1301&lt;VLOOKUP(K$5,NFI,5,0),1,0)*Table_NFI[[#This Row],[Mosquito net]],Table_NFI[Mosquito net])</f>
        <v>0</v>
      </c>
      <c r="AC1301" s="294">
        <f>IF(NFI_Expiration=1,IF($A1301&lt;VLOOKUP(L$5,NFI,5,0),1,0)*Table_NFI[[#This Row],[Tarpaulin]],Table_NFI[[#This Row],[Tarpaulin]])</f>
        <v>0</v>
      </c>
      <c r="AD1301" s="294">
        <f>IF(NFI_Expiration=1,IF($A1301&lt;VLOOKUP(M$5,NFI,5,0),1,0)*Table_NFI[[#This Row],[Blanket]],Table_NFI[[#This Row],[Blanket]])</f>
        <v>0</v>
      </c>
      <c r="AE1301" s="294">
        <f>IF(NFI_Expiration=1,IF($A1301&lt;VLOOKUP(N$5,NFI,5,0),1,0)*Table_NFI[[#This Row],[Kitchen Set]],Table_NFI[Kitchen Set])</f>
        <v>0</v>
      </c>
      <c r="AF1301" s="294">
        <f>IF(NFI_Expiration=1,IF($A1301&lt;VLOOKUP(O$5,NFI,5,0),1,0)*Table_NFI[[#This Row],[Clothes Kit]],Table_NFI[Clothes Kit])</f>
        <v>0</v>
      </c>
      <c r="AG1301" s="294">
        <f>IF(NFI_Expiration=1,IF($A1301&lt;VLOOKUP(P$5,NFI,5,0),1,0)*Table_NFI[[#This Row],[Plastic Bucket]],Table_NFI[Plastic Bucket])</f>
        <v>0</v>
      </c>
      <c r="AH1301" s="294">
        <f>IF(NFI_Expiration=1,IF($A1301&lt;VLOOKUP(Q$5,NFI,5,0),1,0)*Table_NFI[[#This Row],[Plastic Mat]],Table_NFI[Plastic Mat])*IF(Table_NFI[[#This Row],[Distribution Date]]&gt;"2014-04-01",1,2.5)</f>
        <v>0</v>
      </c>
      <c r="AI1301" s="294">
        <f>IF(NFI_Expiration=1,IF($A1301&lt;VLOOKUP(R$5,NFI,5,0),1,0)*Table_NFI[[#This Row],[Winter Clothes Adult]],Table_NFI[Winter Clothes Adult])</f>
        <v>0</v>
      </c>
      <c r="AJ1301" s="294">
        <f>IF(NFI_Expiration=1,IF($A1301&lt;VLOOKUP(S$5,NFI,5,0),1,0)*Table_NFI[[#This Row],[Winter Clothes Children]],Table_NFI[Winter Clothes Children])</f>
        <v>0</v>
      </c>
      <c r="AK1301" s="294">
        <f>IF(NFI_Expiration=1,IF($A1301&lt;VLOOKUP(T$5,NFI,5,0),1,0)*Table_NFI[[#This Row],[Winter Items Other]],Table_NFI[Winter Items Other])</f>
        <v>0</v>
      </c>
      <c r="AL1301" s="294">
        <f>IF(NFI_Expiration=1,IF($A1301&lt;VLOOKUP(M$5,NFI,5,0),1,0)*Table_NFI[[#This Row],[Winter Blanket]],Table_NFI[[#This Row],[Winter Blanket]])</f>
        <v>0</v>
      </c>
      <c r="AM1301" s="294">
        <f>IF(Table_NFI[[#This Row],[Winter Clothes Adult]]+Table_NFI[[#This Row],[Winter Clothes Children]]+Table_NFI[[#This Row],[Winter Items Other]]+Table_NFI[[#This Row],[Winter Blanket]]&gt;0,1,0)</f>
        <v>0</v>
      </c>
      <c r="AN1301" s="331">
        <f>IF(NFI_Expiration=1,IF($A1301&lt;VLOOKUP(V$5,NFI,5,0),1,0)*Table_NFI[[#This Row],[Jerry Can]],Table_NFI[Jerry Can])</f>
        <v>0</v>
      </c>
      <c r="AO1301" s="331">
        <f>IF(NFI_Expiration=1,IF($A1301&lt;VLOOKUP(V$5,NFI,5,0),1,0)*Table_NFI[[#This Row],[Shelter Tool kit]],Table_NFI[Shelter Tool kit])</f>
        <v>0</v>
      </c>
      <c r="AP1301" s="331">
        <f>IF(NFI_Expiration=1,IF($A1301&lt;VLOOKUP(V$5,NFI,5,0),1,0)*Table_NFI[[#This Row],[Tent]],Table_NFI[Tent])</f>
        <v>0</v>
      </c>
      <c r="AQ1301" s="473" t="str">
        <f>IFERROR(VLOOKUP(Table_NFI[[#This Row],[Camp Name]],CL,2,0),"")</f>
        <v/>
      </c>
      <c r="AR1301" s="468" t="str">
        <f ca="1">IF(Table_NFI[[#This Row],[Pcode]]="","",IF(OFFSET(CampList[Opening Date],MATCH(Table_NFI[[#This Row],[Pcode]],CampList[CP_Pcode],0)-1,0,1,1)&gt;=NFI_Monitor_Date,1,0))</f>
        <v/>
      </c>
      <c r="AS1301" s="473" t="str">
        <f>IFERROR(VLOOKUP(Table_NFI[[#This Row],[Camp Name]],CL,3,0),"")</f>
        <v/>
      </c>
      <c r="AT1301" s="294" t="str">
        <f ca="1">IF(Table_NFI[[#This Row],[Pcode]]="","",OFFSET(CampList[Priority],MATCH(Table_NFI[[#This Row],[Pcode]],CampList[CP_Pcode],0)-1,0,1,1))</f>
        <v/>
      </c>
      <c r="AU1301" s="293" t="str">
        <f>IFERROR(Table_NFI[[#This Row],[Kitchen Set]]/VLOOKUP(Table_NFI[[#This Row],[Camp Name]],CL,4,0),"")</f>
        <v/>
      </c>
      <c r="AV1301" s="471"/>
      <c r="AW1301" s="474"/>
    </row>
    <row r="1302" spans="1:49" ht="14.45" customHeight="1" x14ac:dyDescent="0.25">
      <c r="A1302" s="297" t="str">
        <f t="shared" si="20"/>
        <v/>
      </c>
      <c r="B1302" s="465"/>
      <c r="C1302" s="471"/>
      <c r="D1302" s="471"/>
      <c r="E1302" s="471"/>
      <c r="F1302" s="471"/>
      <c r="G1302" s="471"/>
      <c r="H1302" s="292"/>
      <c r="I1302" s="292"/>
      <c r="J1302" s="292"/>
      <c r="K1302" s="292"/>
      <c r="L1302" s="292"/>
      <c r="M1302" s="292"/>
      <c r="N1302" s="292"/>
      <c r="O1302" s="292"/>
      <c r="P1302" s="294"/>
      <c r="Q1302" s="294"/>
      <c r="R1302" s="294"/>
      <c r="S1302" s="294"/>
      <c r="T1302" s="294"/>
      <c r="U1302" s="294"/>
      <c r="V1302" s="431"/>
      <c r="W1302" s="331"/>
      <c r="X1302" s="331"/>
      <c r="Y1302" s="294">
        <f>IF(NFI_Expiration=1,IF($A1302&lt;VLOOKUP(H$5,NFI,5,0),1,0)*Table_NFI[[#This Row],[Hygiene Kit]],Table_NFI[Hygiene Kit])</f>
        <v>0</v>
      </c>
      <c r="Z1302" s="294">
        <f>IF(NFI_Expiration=1,IF($A1302&lt;VLOOKUP(I$5,NFI,5,0),1,0)*Table_NFI[[#This Row],[NFI Core Kit]],Table_NFI[NFI Core Kit])</f>
        <v>0</v>
      </c>
      <c r="AA1302" s="294">
        <f>IF(NFI_Expiration=1,IF($A1302&lt;VLOOKUP(J$5,NFI,5,0),1,0)*Table_NFI[[#This Row],[Sanitary Kit]],Table_NFI[Sanitary Kit])</f>
        <v>0</v>
      </c>
      <c r="AB1302" s="294">
        <f>IF(NFI_Expiration=1,IF($A1302&lt;VLOOKUP(K$5,NFI,5,0),1,0)*Table_NFI[[#This Row],[Mosquito net]],Table_NFI[Mosquito net])</f>
        <v>0</v>
      </c>
      <c r="AC1302" s="294">
        <f>IF(NFI_Expiration=1,IF($A1302&lt;VLOOKUP(L$5,NFI,5,0),1,0)*Table_NFI[[#This Row],[Tarpaulin]],Table_NFI[[#This Row],[Tarpaulin]])</f>
        <v>0</v>
      </c>
      <c r="AD1302" s="294">
        <f>IF(NFI_Expiration=1,IF($A1302&lt;VLOOKUP(M$5,NFI,5,0),1,0)*Table_NFI[[#This Row],[Blanket]],Table_NFI[[#This Row],[Blanket]])</f>
        <v>0</v>
      </c>
      <c r="AE1302" s="294">
        <f>IF(NFI_Expiration=1,IF($A1302&lt;VLOOKUP(N$5,NFI,5,0),1,0)*Table_NFI[[#This Row],[Kitchen Set]],Table_NFI[Kitchen Set])</f>
        <v>0</v>
      </c>
      <c r="AF1302" s="294">
        <f>IF(NFI_Expiration=1,IF($A1302&lt;VLOOKUP(O$5,NFI,5,0),1,0)*Table_NFI[[#This Row],[Clothes Kit]],Table_NFI[Clothes Kit])</f>
        <v>0</v>
      </c>
      <c r="AG1302" s="294">
        <f>IF(NFI_Expiration=1,IF($A1302&lt;VLOOKUP(P$5,NFI,5,0),1,0)*Table_NFI[[#This Row],[Plastic Bucket]],Table_NFI[Plastic Bucket])</f>
        <v>0</v>
      </c>
      <c r="AH1302" s="294">
        <f>IF(NFI_Expiration=1,IF($A1302&lt;VLOOKUP(Q$5,NFI,5,0),1,0)*Table_NFI[[#This Row],[Plastic Mat]],Table_NFI[Plastic Mat])*IF(Table_NFI[[#This Row],[Distribution Date]]&gt;"2014-04-01",1,2.5)</f>
        <v>0</v>
      </c>
      <c r="AI1302" s="294">
        <f>IF(NFI_Expiration=1,IF($A1302&lt;VLOOKUP(R$5,NFI,5,0),1,0)*Table_NFI[[#This Row],[Winter Clothes Adult]],Table_NFI[Winter Clothes Adult])</f>
        <v>0</v>
      </c>
      <c r="AJ1302" s="294">
        <f>IF(NFI_Expiration=1,IF($A1302&lt;VLOOKUP(S$5,NFI,5,0),1,0)*Table_NFI[[#This Row],[Winter Clothes Children]],Table_NFI[Winter Clothes Children])</f>
        <v>0</v>
      </c>
      <c r="AK1302" s="294">
        <f>IF(NFI_Expiration=1,IF($A1302&lt;VLOOKUP(T$5,NFI,5,0),1,0)*Table_NFI[[#This Row],[Winter Items Other]],Table_NFI[Winter Items Other])</f>
        <v>0</v>
      </c>
      <c r="AL1302" s="294">
        <f>IF(NFI_Expiration=1,IF($A1302&lt;VLOOKUP(M$5,NFI,5,0),1,0)*Table_NFI[[#This Row],[Winter Blanket]],Table_NFI[[#This Row],[Winter Blanket]])</f>
        <v>0</v>
      </c>
      <c r="AM1302" s="294">
        <f>IF(Table_NFI[[#This Row],[Winter Clothes Adult]]+Table_NFI[[#This Row],[Winter Clothes Children]]+Table_NFI[[#This Row],[Winter Items Other]]+Table_NFI[[#This Row],[Winter Blanket]]&gt;0,1,0)</f>
        <v>0</v>
      </c>
      <c r="AN1302" s="331">
        <f>IF(NFI_Expiration=1,IF($A1302&lt;VLOOKUP(V$5,NFI,5,0),1,0)*Table_NFI[[#This Row],[Jerry Can]],Table_NFI[Jerry Can])</f>
        <v>0</v>
      </c>
      <c r="AO1302" s="331">
        <f>IF(NFI_Expiration=1,IF($A1302&lt;VLOOKUP(V$5,NFI,5,0),1,0)*Table_NFI[[#This Row],[Shelter Tool kit]],Table_NFI[Shelter Tool kit])</f>
        <v>0</v>
      </c>
      <c r="AP1302" s="331">
        <f>IF(NFI_Expiration=1,IF($A1302&lt;VLOOKUP(V$5,NFI,5,0),1,0)*Table_NFI[[#This Row],[Tent]],Table_NFI[Tent])</f>
        <v>0</v>
      </c>
      <c r="AQ1302" s="473" t="str">
        <f>IFERROR(VLOOKUP(Table_NFI[[#This Row],[Camp Name]],CL,2,0),"")</f>
        <v/>
      </c>
      <c r="AR1302" s="468" t="str">
        <f ca="1">IF(Table_NFI[[#This Row],[Pcode]]="","",IF(OFFSET(CampList[Opening Date],MATCH(Table_NFI[[#This Row],[Pcode]],CampList[CP_Pcode],0)-1,0,1,1)&gt;=NFI_Monitor_Date,1,0))</f>
        <v/>
      </c>
      <c r="AS1302" s="473" t="str">
        <f>IFERROR(VLOOKUP(Table_NFI[[#This Row],[Camp Name]],CL,3,0),"")</f>
        <v/>
      </c>
      <c r="AT1302" s="294" t="str">
        <f ca="1">IF(Table_NFI[[#This Row],[Pcode]]="","",OFFSET(CampList[Priority],MATCH(Table_NFI[[#This Row],[Pcode]],CampList[CP_Pcode],0)-1,0,1,1))</f>
        <v/>
      </c>
      <c r="AU1302" s="293" t="str">
        <f>IFERROR(Table_NFI[[#This Row],[Kitchen Set]]/VLOOKUP(Table_NFI[[#This Row],[Camp Name]],CL,4,0),"")</f>
        <v/>
      </c>
      <c r="AV1302" s="471"/>
      <c r="AW1302" s="474"/>
    </row>
    <row r="1303" spans="1:49" ht="14.45" customHeight="1" x14ac:dyDescent="0.25">
      <c r="A1303" s="297" t="str">
        <f t="shared" si="20"/>
        <v/>
      </c>
      <c r="B1303" s="465"/>
      <c r="C1303" s="471"/>
      <c r="D1303" s="471"/>
      <c r="E1303" s="471"/>
      <c r="F1303" s="471"/>
      <c r="G1303" s="471"/>
      <c r="H1303" s="292"/>
      <c r="I1303" s="292"/>
      <c r="J1303" s="292"/>
      <c r="K1303" s="292"/>
      <c r="L1303" s="292"/>
      <c r="M1303" s="292"/>
      <c r="N1303" s="292"/>
      <c r="O1303" s="292"/>
      <c r="P1303" s="294"/>
      <c r="Q1303" s="294"/>
      <c r="R1303" s="294"/>
      <c r="S1303" s="294"/>
      <c r="T1303" s="294"/>
      <c r="U1303" s="294"/>
      <c r="V1303" s="431"/>
      <c r="W1303" s="331"/>
      <c r="X1303" s="331"/>
      <c r="Y1303" s="294">
        <f>IF(NFI_Expiration=1,IF($A1303&lt;VLOOKUP(H$5,NFI,5,0),1,0)*Table_NFI[[#This Row],[Hygiene Kit]],Table_NFI[Hygiene Kit])</f>
        <v>0</v>
      </c>
      <c r="Z1303" s="294">
        <f>IF(NFI_Expiration=1,IF($A1303&lt;VLOOKUP(I$5,NFI,5,0),1,0)*Table_NFI[[#This Row],[NFI Core Kit]],Table_NFI[NFI Core Kit])</f>
        <v>0</v>
      </c>
      <c r="AA1303" s="294">
        <f>IF(NFI_Expiration=1,IF($A1303&lt;VLOOKUP(J$5,NFI,5,0),1,0)*Table_NFI[[#This Row],[Sanitary Kit]],Table_NFI[Sanitary Kit])</f>
        <v>0</v>
      </c>
      <c r="AB1303" s="294">
        <f>IF(NFI_Expiration=1,IF($A1303&lt;VLOOKUP(K$5,NFI,5,0),1,0)*Table_NFI[[#This Row],[Mosquito net]],Table_NFI[Mosquito net])</f>
        <v>0</v>
      </c>
      <c r="AC1303" s="294">
        <f>IF(NFI_Expiration=1,IF($A1303&lt;VLOOKUP(L$5,NFI,5,0),1,0)*Table_NFI[[#This Row],[Tarpaulin]],Table_NFI[[#This Row],[Tarpaulin]])</f>
        <v>0</v>
      </c>
      <c r="AD1303" s="294">
        <f>IF(NFI_Expiration=1,IF($A1303&lt;VLOOKUP(M$5,NFI,5,0),1,0)*Table_NFI[[#This Row],[Blanket]],Table_NFI[[#This Row],[Blanket]])</f>
        <v>0</v>
      </c>
      <c r="AE1303" s="294">
        <f>IF(NFI_Expiration=1,IF($A1303&lt;VLOOKUP(N$5,NFI,5,0),1,0)*Table_NFI[[#This Row],[Kitchen Set]],Table_NFI[Kitchen Set])</f>
        <v>0</v>
      </c>
      <c r="AF1303" s="294">
        <f>IF(NFI_Expiration=1,IF($A1303&lt;VLOOKUP(O$5,NFI,5,0),1,0)*Table_NFI[[#This Row],[Clothes Kit]],Table_NFI[Clothes Kit])</f>
        <v>0</v>
      </c>
      <c r="AG1303" s="294">
        <f>IF(NFI_Expiration=1,IF($A1303&lt;VLOOKUP(P$5,NFI,5,0),1,0)*Table_NFI[[#This Row],[Plastic Bucket]],Table_NFI[Plastic Bucket])</f>
        <v>0</v>
      </c>
      <c r="AH1303" s="294">
        <f>IF(NFI_Expiration=1,IF($A1303&lt;VLOOKUP(Q$5,NFI,5,0),1,0)*Table_NFI[[#This Row],[Plastic Mat]],Table_NFI[Plastic Mat])*IF(Table_NFI[[#This Row],[Distribution Date]]&gt;"2014-04-01",1,2.5)</f>
        <v>0</v>
      </c>
      <c r="AI1303" s="294">
        <f>IF(NFI_Expiration=1,IF($A1303&lt;VLOOKUP(R$5,NFI,5,0),1,0)*Table_NFI[[#This Row],[Winter Clothes Adult]],Table_NFI[Winter Clothes Adult])</f>
        <v>0</v>
      </c>
      <c r="AJ1303" s="294">
        <f>IF(NFI_Expiration=1,IF($A1303&lt;VLOOKUP(S$5,NFI,5,0),1,0)*Table_NFI[[#This Row],[Winter Clothes Children]],Table_NFI[Winter Clothes Children])</f>
        <v>0</v>
      </c>
      <c r="AK1303" s="294">
        <f>IF(NFI_Expiration=1,IF($A1303&lt;VLOOKUP(T$5,NFI,5,0),1,0)*Table_NFI[[#This Row],[Winter Items Other]],Table_NFI[Winter Items Other])</f>
        <v>0</v>
      </c>
      <c r="AL1303" s="294">
        <f>IF(NFI_Expiration=1,IF($A1303&lt;VLOOKUP(M$5,NFI,5,0),1,0)*Table_NFI[[#This Row],[Winter Blanket]],Table_NFI[[#This Row],[Winter Blanket]])</f>
        <v>0</v>
      </c>
      <c r="AM1303" s="294">
        <f>IF(Table_NFI[[#This Row],[Winter Clothes Adult]]+Table_NFI[[#This Row],[Winter Clothes Children]]+Table_NFI[[#This Row],[Winter Items Other]]+Table_NFI[[#This Row],[Winter Blanket]]&gt;0,1,0)</f>
        <v>0</v>
      </c>
      <c r="AN1303" s="331">
        <f>IF(NFI_Expiration=1,IF($A1303&lt;VLOOKUP(V$5,NFI,5,0),1,0)*Table_NFI[[#This Row],[Jerry Can]],Table_NFI[Jerry Can])</f>
        <v>0</v>
      </c>
      <c r="AO1303" s="331">
        <f>IF(NFI_Expiration=1,IF($A1303&lt;VLOOKUP(V$5,NFI,5,0),1,0)*Table_NFI[[#This Row],[Shelter Tool kit]],Table_NFI[Shelter Tool kit])</f>
        <v>0</v>
      </c>
      <c r="AP1303" s="331">
        <f>IF(NFI_Expiration=1,IF($A1303&lt;VLOOKUP(V$5,NFI,5,0),1,0)*Table_NFI[[#This Row],[Tent]],Table_NFI[Tent])</f>
        <v>0</v>
      </c>
      <c r="AQ1303" s="473" t="str">
        <f>IFERROR(VLOOKUP(Table_NFI[[#This Row],[Camp Name]],CL,2,0),"")</f>
        <v/>
      </c>
      <c r="AR1303" s="468" t="str">
        <f ca="1">IF(Table_NFI[[#This Row],[Pcode]]="","",IF(OFFSET(CampList[Opening Date],MATCH(Table_NFI[[#This Row],[Pcode]],CampList[CP_Pcode],0)-1,0,1,1)&gt;=NFI_Monitor_Date,1,0))</f>
        <v/>
      </c>
      <c r="AS1303" s="473" t="str">
        <f>IFERROR(VLOOKUP(Table_NFI[[#This Row],[Camp Name]],CL,3,0),"")</f>
        <v/>
      </c>
      <c r="AT1303" s="294" t="str">
        <f ca="1">IF(Table_NFI[[#This Row],[Pcode]]="","",OFFSET(CampList[Priority],MATCH(Table_NFI[[#This Row],[Pcode]],CampList[CP_Pcode],0)-1,0,1,1))</f>
        <v/>
      </c>
      <c r="AU1303" s="293" t="str">
        <f>IFERROR(Table_NFI[[#This Row],[Kitchen Set]]/VLOOKUP(Table_NFI[[#This Row],[Camp Name]],CL,4,0),"")</f>
        <v/>
      </c>
      <c r="AV1303" s="471"/>
      <c r="AW1303" s="474"/>
    </row>
    <row r="1304" spans="1:49" ht="14.45" customHeight="1" x14ac:dyDescent="0.25">
      <c r="A1304" s="297" t="str">
        <f t="shared" si="20"/>
        <v/>
      </c>
      <c r="B1304" s="465"/>
      <c r="C1304" s="471"/>
      <c r="D1304" s="471"/>
      <c r="E1304" s="471"/>
      <c r="F1304" s="471"/>
      <c r="G1304" s="471"/>
      <c r="H1304" s="292"/>
      <c r="I1304" s="292"/>
      <c r="J1304" s="292"/>
      <c r="K1304" s="292"/>
      <c r="L1304" s="292"/>
      <c r="M1304" s="292"/>
      <c r="N1304" s="292"/>
      <c r="O1304" s="292"/>
      <c r="P1304" s="294"/>
      <c r="Q1304" s="294"/>
      <c r="R1304" s="294"/>
      <c r="S1304" s="294"/>
      <c r="T1304" s="294"/>
      <c r="U1304" s="294"/>
      <c r="V1304" s="431"/>
      <c r="W1304" s="331"/>
      <c r="X1304" s="331"/>
      <c r="Y1304" s="294">
        <f>IF(NFI_Expiration=1,IF($A1304&lt;VLOOKUP(H$5,NFI,5,0),1,0)*Table_NFI[[#This Row],[Hygiene Kit]],Table_NFI[Hygiene Kit])</f>
        <v>0</v>
      </c>
      <c r="Z1304" s="294">
        <f>IF(NFI_Expiration=1,IF($A1304&lt;VLOOKUP(I$5,NFI,5,0),1,0)*Table_NFI[[#This Row],[NFI Core Kit]],Table_NFI[NFI Core Kit])</f>
        <v>0</v>
      </c>
      <c r="AA1304" s="294">
        <f>IF(NFI_Expiration=1,IF($A1304&lt;VLOOKUP(J$5,NFI,5,0),1,0)*Table_NFI[[#This Row],[Sanitary Kit]],Table_NFI[Sanitary Kit])</f>
        <v>0</v>
      </c>
      <c r="AB1304" s="294">
        <f>IF(NFI_Expiration=1,IF($A1304&lt;VLOOKUP(K$5,NFI,5,0),1,0)*Table_NFI[[#This Row],[Mosquito net]],Table_NFI[Mosquito net])</f>
        <v>0</v>
      </c>
      <c r="AC1304" s="294">
        <f>IF(NFI_Expiration=1,IF($A1304&lt;VLOOKUP(L$5,NFI,5,0),1,0)*Table_NFI[[#This Row],[Tarpaulin]],Table_NFI[[#This Row],[Tarpaulin]])</f>
        <v>0</v>
      </c>
      <c r="AD1304" s="294">
        <f>IF(NFI_Expiration=1,IF($A1304&lt;VLOOKUP(M$5,NFI,5,0),1,0)*Table_NFI[[#This Row],[Blanket]],Table_NFI[[#This Row],[Blanket]])</f>
        <v>0</v>
      </c>
      <c r="AE1304" s="294">
        <f>IF(NFI_Expiration=1,IF($A1304&lt;VLOOKUP(N$5,NFI,5,0),1,0)*Table_NFI[[#This Row],[Kitchen Set]],Table_NFI[Kitchen Set])</f>
        <v>0</v>
      </c>
      <c r="AF1304" s="294">
        <f>IF(NFI_Expiration=1,IF($A1304&lt;VLOOKUP(O$5,NFI,5,0),1,0)*Table_NFI[[#This Row],[Clothes Kit]],Table_NFI[Clothes Kit])</f>
        <v>0</v>
      </c>
      <c r="AG1304" s="294">
        <f>IF(NFI_Expiration=1,IF($A1304&lt;VLOOKUP(P$5,NFI,5,0),1,0)*Table_NFI[[#This Row],[Plastic Bucket]],Table_NFI[Plastic Bucket])</f>
        <v>0</v>
      </c>
      <c r="AH1304" s="294">
        <f>IF(NFI_Expiration=1,IF($A1304&lt;VLOOKUP(Q$5,NFI,5,0),1,0)*Table_NFI[[#This Row],[Plastic Mat]],Table_NFI[Plastic Mat])*IF(Table_NFI[[#This Row],[Distribution Date]]&gt;"2014-04-01",1,2.5)</f>
        <v>0</v>
      </c>
      <c r="AI1304" s="294">
        <f>IF(NFI_Expiration=1,IF($A1304&lt;VLOOKUP(R$5,NFI,5,0),1,0)*Table_NFI[[#This Row],[Winter Clothes Adult]],Table_NFI[Winter Clothes Adult])</f>
        <v>0</v>
      </c>
      <c r="AJ1304" s="294">
        <f>IF(NFI_Expiration=1,IF($A1304&lt;VLOOKUP(S$5,NFI,5,0),1,0)*Table_NFI[[#This Row],[Winter Clothes Children]],Table_NFI[Winter Clothes Children])</f>
        <v>0</v>
      </c>
      <c r="AK1304" s="294">
        <f>IF(NFI_Expiration=1,IF($A1304&lt;VLOOKUP(T$5,NFI,5,0),1,0)*Table_NFI[[#This Row],[Winter Items Other]],Table_NFI[Winter Items Other])</f>
        <v>0</v>
      </c>
      <c r="AL1304" s="294">
        <f>IF(NFI_Expiration=1,IF($A1304&lt;VLOOKUP(M$5,NFI,5,0),1,0)*Table_NFI[[#This Row],[Winter Blanket]],Table_NFI[[#This Row],[Winter Blanket]])</f>
        <v>0</v>
      </c>
      <c r="AM1304" s="294">
        <f>IF(Table_NFI[[#This Row],[Winter Clothes Adult]]+Table_NFI[[#This Row],[Winter Clothes Children]]+Table_NFI[[#This Row],[Winter Items Other]]+Table_NFI[[#This Row],[Winter Blanket]]&gt;0,1,0)</f>
        <v>0</v>
      </c>
      <c r="AN1304" s="331">
        <f>IF(NFI_Expiration=1,IF($A1304&lt;VLOOKUP(V$5,NFI,5,0),1,0)*Table_NFI[[#This Row],[Jerry Can]],Table_NFI[Jerry Can])</f>
        <v>0</v>
      </c>
      <c r="AO1304" s="331">
        <f>IF(NFI_Expiration=1,IF($A1304&lt;VLOOKUP(V$5,NFI,5,0),1,0)*Table_NFI[[#This Row],[Shelter Tool kit]],Table_NFI[Shelter Tool kit])</f>
        <v>0</v>
      </c>
      <c r="AP1304" s="331">
        <f>IF(NFI_Expiration=1,IF($A1304&lt;VLOOKUP(V$5,NFI,5,0),1,0)*Table_NFI[[#This Row],[Tent]],Table_NFI[Tent])</f>
        <v>0</v>
      </c>
      <c r="AQ1304" s="473" t="str">
        <f>IFERROR(VLOOKUP(Table_NFI[[#This Row],[Camp Name]],CL,2,0),"")</f>
        <v/>
      </c>
      <c r="AR1304" s="468" t="str">
        <f ca="1">IF(Table_NFI[[#This Row],[Pcode]]="","",IF(OFFSET(CampList[Opening Date],MATCH(Table_NFI[[#This Row],[Pcode]],CampList[CP_Pcode],0)-1,0,1,1)&gt;=NFI_Monitor_Date,1,0))</f>
        <v/>
      </c>
      <c r="AS1304" s="473" t="str">
        <f>IFERROR(VLOOKUP(Table_NFI[[#This Row],[Camp Name]],CL,3,0),"")</f>
        <v/>
      </c>
      <c r="AT1304" s="294" t="str">
        <f ca="1">IF(Table_NFI[[#This Row],[Pcode]]="","",OFFSET(CampList[Priority],MATCH(Table_NFI[[#This Row],[Pcode]],CampList[CP_Pcode],0)-1,0,1,1))</f>
        <v/>
      </c>
      <c r="AU1304" s="293" t="str">
        <f>IFERROR(Table_NFI[[#This Row],[Kitchen Set]]/VLOOKUP(Table_NFI[[#This Row],[Camp Name]],CL,4,0),"")</f>
        <v/>
      </c>
      <c r="AV1304" s="471"/>
      <c r="AW1304" s="474"/>
    </row>
    <row r="1305" spans="1:49" ht="14.45" customHeight="1" x14ac:dyDescent="0.25">
      <c r="A1305" s="297" t="str">
        <f t="shared" si="20"/>
        <v/>
      </c>
      <c r="B1305" s="465"/>
      <c r="C1305" s="471"/>
      <c r="D1305" s="471"/>
      <c r="E1305" s="471"/>
      <c r="F1305" s="471"/>
      <c r="G1305" s="471"/>
      <c r="H1305" s="292"/>
      <c r="I1305" s="292"/>
      <c r="J1305" s="292"/>
      <c r="K1305" s="292"/>
      <c r="L1305" s="292"/>
      <c r="M1305" s="292"/>
      <c r="N1305" s="292"/>
      <c r="O1305" s="292"/>
      <c r="P1305" s="294"/>
      <c r="Q1305" s="294"/>
      <c r="R1305" s="294"/>
      <c r="S1305" s="294"/>
      <c r="T1305" s="294"/>
      <c r="U1305" s="294"/>
      <c r="V1305" s="431"/>
      <c r="W1305" s="331"/>
      <c r="X1305" s="331"/>
      <c r="Y1305" s="294">
        <f>IF(NFI_Expiration=1,IF($A1305&lt;VLOOKUP(H$5,NFI,5,0),1,0)*Table_NFI[[#This Row],[Hygiene Kit]],Table_NFI[Hygiene Kit])</f>
        <v>0</v>
      </c>
      <c r="Z1305" s="294">
        <f>IF(NFI_Expiration=1,IF($A1305&lt;VLOOKUP(I$5,NFI,5,0),1,0)*Table_NFI[[#This Row],[NFI Core Kit]],Table_NFI[NFI Core Kit])</f>
        <v>0</v>
      </c>
      <c r="AA1305" s="294">
        <f>IF(NFI_Expiration=1,IF($A1305&lt;VLOOKUP(J$5,NFI,5,0),1,0)*Table_NFI[[#This Row],[Sanitary Kit]],Table_NFI[Sanitary Kit])</f>
        <v>0</v>
      </c>
      <c r="AB1305" s="294">
        <f>IF(NFI_Expiration=1,IF($A1305&lt;VLOOKUP(K$5,NFI,5,0),1,0)*Table_NFI[[#This Row],[Mosquito net]],Table_NFI[Mosquito net])</f>
        <v>0</v>
      </c>
      <c r="AC1305" s="294">
        <f>IF(NFI_Expiration=1,IF($A1305&lt;VLOOKUP(L$5,NFI,5,0),1,0)*Table_NFI[[#This Row],[Tarpaulin]],Table_NFI[[#This Row],[Tarpaulin]])</f>
        <v>0</v>
      </c>
      <c r="AD1305" s="294">
        <f>IF(NFI_Expiration=1,IF($A1305&lt;VLOOKUP(M$5,NFI,5,0),1,0)*Table_NFI[[#This Row],[Blanket]],Table_NFI[[#This Row],[Blanket]])</f>
        <v>0</v>
      </c>
      <c r="AE1305" s="294">
        <f>IF(NFI_Expiration=1,IF($A1305&lt;VLOOKUP(N$5,NFI,5,0),1,0)*Table_NFI[[#This Row],[Kitchen Set]],Table_NFI[Kitchen Set])</f>
        <v>0</v>
      </c>
      <c r="AF1305" s="294">
        <f>IF(NFI_Expiration=1,IF($A1305&lt;VLOOKUP(O$5,NFI,5,0),1,0)*Table_NFI[[#This Row],[Clothes Kit]],Table_NFI[Clothes Kit])</f>
        <v>0</v>
      </c>
      <c r="AG1305" s="294">
        <f>IF(NFI_Expiration=1,IF($A1305&lt;VLOOKUP(P$5,NFI,5,0),1,0)*Table_NFI[[#This Row],[Plastic Bucket]],Table_NFI[Plastic Bucket])</f>
        <v>0</v>
      </c>
      <c r="AH1305" s="294">
        <f>IF(NFI_Expiration=1,IF($A1305&lt;VLOOKUP(Q$5,NFI,5,0),1,0)*Table_NFI[[#This Row],[Plastic Mat]],Table_NFI[Plastic Mat])*IF(Table_NFI[[#This Row],[Distribution Date]]&gt;"2014-04-01",1,2.5)</f>
        <v>0</v>
      </c>
      <c r="AI1305" s="294">
        <f>IF(NFI_Expiration=1,IF($A1305&lt;VLOOKUP(R$5,NFI,5,0),1,0)*Table_NFI[[#This Row],[Winter Clothes Adult]],Table_NFI[Winter Clothes Adult])</f>
        <v>0</v>
      </c>
      <c r="AJ1305" s="294">
        <f>IF(NFI_Expiration=1,IF($A1305&lt;VLOOKUP(S$5,NFI,5,0),1,0)*Table_NFI[[#This Row],[Winter Clothes Children]],Table_NFI[Winter Clothes Children])</f>
        <v>0</v>
      </c>
      <c r="AK1305" s="294">
        <f>IF(NFI_Expiration=1,IF($A1305&lt;VLOOKUP(T$5,NFI,5,0),1,0)*Table_NFI[[#This Row],[Winter Items Other]],Table_NFI[Winter Items Other])</f>
        <v>0</v>
      </c>
      <c r="AL1305" s="294">
        <f>IF(NFI_Expiration=1,IF($A1305&lt;VLOOKUP(M$5,NFI,5,0),1,0)*Table_NFI[[#This Row],[Winter Blanket]],Table_NFI[[#This Row],[Winter Blanket]])</f>
        <v>0</v>
      </c>
      <c r="AM1305" s="294">
        <f>IF(Table_NFI[[#This Row],[Winter Clothes Adult]]+Table_NFI[[#This Row],[Winter Clothes Children]]+Table_NFI[[#This Row],[Winter Items Other]]+Table_NFI[[#This Row],[Winter Blanket]]&gt;0,1,0)</f>
        <v>0</v>
      </c>
      <c r="AN1305" s="331">
        <f>IF(NFI_Expiration=1,IF($A1305&lt;VLOOKUP(V$5,NFI,5,0),1,0)*Table_NFI[[#This Row],[Jerry Can]],Table_NFI[Jerry Can])</f>
        <v>0</v>
      </c>
      <c r="AO1305" s="331">
        <f>IF(NFI_Expiration=1,IF($A1305&lt;VLOOKUP(V$5,NFI,5,0),1,0)*Table_NFI[[#This Row],[Shelter Tool kit]],Table_NFI[Shelter Tool kit])</f>
        <v>0</v>
      </c>
      <c r="AP1305" s="331">
        <f>IF(NFI_Expiration=1,IF($A1305&lt;VLOOKUP(V$5,NFI,5,0),1,0)*Table_NFI[[#This Row],[Tent]],Table_NFI[Tent])</f>
        <v>0</v>
      </c>
      <c r="AQ1305" s="473" t="str">
        <f>IFERROR(VLOOKUP(Table_NFI[[#This Row],[Camp Name]],CL,2,0),"")</f>
        <v/>
      </c>
      <c r="AR1305" s="468" t="str">
        <f ca="1">IF(Table_NFI[[#This Row],[Pcode]]="","",IF(OFFSET(CampList[Opening Date],MATCH(Table_NFI[[#This Row],[Pcode]],CampList[CP_Pcode],0)-1,0,1,1)&gt;=NFI_Monitor_Date,1,0))</f>
        <v/>
      </c>
      <c r="AS1305" s="473" t="str">
        <f>IFERROR(VLOOKUP(Table_NFI[[#This Row],[Camp Name]],CL,3,0),"")</f>
        <v/>
      </c>
      <c r="AT1305" s="294" t="str">
        <f ca="1">IF(Table_NFI[[#This Row],[Pcode]]="","",OFFSET(CampList[Priority],MATCH(Table_NFI[[#This Row],[Pcode]],CampList[CP_Pcode],0)-1,0,1,1))</f>
        <v/>
      </c>
      <c r="AU1305" s="293" t="str">
        <f>IFERROR(Table_NFI[[#This Row],[Kitchen Set]]/VLOOKUP(Table_NFI[[#This Row],[Camp Name]],CL,4,0),"")</f>
        <v/>
      </c>
      <c r="AV1305" s="471"/>
      <c r="AW1305" s="474"/>
    </row>
    <row r="1306" spans="1:49" ht="14.45" customHeight="1" x14ac:dyDescent="0.25">
      <c r="A1306" s="297" t="str">
        <f t="shared" si="20"/>
        <v/>
      </c>
      <c r="B1306" s="465"/>
      <c r="C1306" s="471"/>
      <c r="D1306" s="471"/>
      <c r="E1306" s="471"/>
      <c r="F1306" s="471"/>
      <c r="G1306" s="471"/>
      <c r="H1306" s="292"/>
      <c r="I1306" s="292"/>
      <c r="J1306" s="292"/>
      <c r="K1306" s="292"/>
      <c r="L1306" s="292"/>
      <c r="M1306" s="292"/>
      <c r="N1306" s="292"/>
      <c r="O1306" s="292"/>
      <c r="P1306" s="294"/>
      <c r="Q1306" s="294"/>
      <c r="R1306" s="294"/>
      <c r="S1306" s="294"/>
      <c r="T1306" s="294"/>
      <c r="U1306" s="294"/>
      <c r="V1306" s="431"/>
      <c r="W1306" s="331"/>
      <c r="X1306" s="331"/>
      <c r="Y1306" s="294">
        <f>IF(NFI_Expiration=1,IF($A1306&lt;VLOOKUP(H$5,NFI,5,0),1,0)*Table_NFI[[#This Row],[Hygiene Kit]],Table_NFI[Hygiene Kit])</f>
        <v>0</v>
      </c>
      <c r="Z1306" s="294">
        <f>IF(NFI_Expiration=1,IF($A1306&lt;VLOOKUP(I$5,NFI,5,0),1,0)*Table_NFI[[#This Row],[NFI Core Kit]],Table_NFI[NFI Core Kit])</f>
        <v>0</v>
      </c>
      <c r="AA1306" s="294">
        <f>IF(NFI_Expiration=1,IF($A1306&lt;VLOOKUP(J$5,NFI,5,0),1,0)*Table_NFI[[#This Row],[Sanitary Kit]],Table_NFI[Sanitary Kit])</f>
        <v>0</v>
      </c>
      <c r="AB1306" s="294">
        <f>IF(NFI_Expiration=1,IF($A1306&lt;VLOOKUP(K$5,NFI,5,0),1,0)*Table_NFI[[#This Row],[Mosquito net]],Table_NFI[Mosquito net])</f>
        <v>0</v>
      </c>
      <c r="AC1306" s="294">
        <f>IF(NFI_Expiration=1,IF($A1306&lt;VLOOKUP(L$5,NFI,5,0),1,0)*Table_NFI[[#This Row],[Tarpaulin]],Table_NFI[[#This Row],[Tarpaulin]])</f>
        <v>0</v>
      </c>
      <c r="AD1306" s="294">
        <f>IF(NFI_Expiration=1,IF($A1306&lt;VLOOKUP(M$5,NFI,5,0),1,0)*Table_NFI[[#This Row],[Blanket]],Table_NFI[[#This Row],[Blanket]])</f>
        <v>0</v>
      </c>
      <c r="AE1306" s="294">
        <f>IF(NFI_Expiration=1,IF($A1306&lt;VLOOKUP(N$5,NFI,5,0),1,0)*Table_NFI[[#This Row],[Kitchen Set]],Table_NFI[Kitchen Set])</f>
        <v>0</v>
      </c>
      <c r="AF1306" s="294">
        <f>IF(NFI_Expiration=1,IF($A1306&lt;VLOOKUP(O$5,NFI,5,0),1,0)*Table_NFI[[#This Row],[Clothes Kit]],Table_NFI[Clothes Kit])</f>
        <v>0</v>
      </c>
      <c r="AG1306" s="294">
        <f>IF(NFI_Expiration=1,IF($A1306&lt;VLOOKUP(P$5,NFI,5,0),1,0)*Table_NFI[[#This Row],[Plastic Bucket]],Table_NFI[Plastic Bucket])</f>
        <v>0</v>
      </c>
      <c r="AH1306" s="294">
        <f>IF(NFI_Expiration=1,IF($A1306&lt;VLOOKUP(Q$5,NFI,5,0),1,0)*Table_NFI[[#This Row],[Plastic Mat]],Table_NFI[Plastic Mat])*IF(Table_NFI[[#This Row],[Distribution Date]]&gt;"2014-04-01",1,2.5)</f>
        <v>0</v>
      </c>
      <c r="AI1306" s="294">
        <f>IF(NFI_Expiration=1,IF($A1306&lt;VLOOKUP(R$5,NFI,5,0),1,0)*Table_NFI[[#This Row],[Winter Clothes Adult]],Table_NFI[Winter Clothes Adult])</f>
        <v>0</v>
      </c>
      <c r="AJ1306" s="294">
        <f>IF(NFI_Expiration=1,IF($A1306&lt;VLOOKUP(S$5,NFI,5,0),1,0)*Table_NFI[[#This Row],[Winter Clothes Children]],Table_NFI[Winter Clothes Children])</f>
        <v>0</v>
      </c>
      <c r="AK1306" s="294">
        <f>IF(NFI_Expiration=1,IF($A1306&lt;VLOOKUP(T$5,NFI,5,0),1,0)*Table_NFI[[#This Row],[Winter Items Other]],Table_NFI[Winter Items Other])</f>
        <v>0</v>
      </c>
      <c r="AL1306" s="294">
        <f>IF(NFI_Expiration=1,IF($A1306&lt;VLOOKUP(M$5,NFI,5,0),1,0)*Table_NFI[[#This Row],[Winter Blanket]],Table_NFI[[#This Row],[Winter Blanket]])</f>
        <v>0</v>
      </c>
      <c r="AM1306" s="294">
        <f>IF(Table_NFI[[#This Row],[Winter Clothes Adult]]+Table_NFI[[#This Row],[Winter Clothes Children]]+Table_NFI[[#This Row],[Winter Items Other]]+Table_NFI[[#This Row],[Winter Blanket]]&gt;0,1,0)</f>
        <v>0</v>
      </c>
      <c r="AN1306" s="331">
        <f>IF(NFI_Expiration=1,IF($A1306&lt;VLOOKUP(V$5,NFI,5,0),1,0)*Table_NFI[[#This Row],[Jerry Can]],Table_NFI[Jerry Can])</f>
        <v>0</v>
      </c>
      <c r="AO1306" s="331">
        <f>IF(NFI_Expiration=1,IF($A1306&lt;VLOOKUP(V$5,NFI,5,0),1,0)*Table_NFI[[#This Row],[Shelter Tool kit]],Table_NFI[Shelter Tool kit])</f>
        <v>0</v>
      </c>
      <c r="AP1306" s="331">
        <f>IF(NFI_Expiration=1,IF($A1306&lt;VLOOKUP(V$5,NFI,5,0),1,0)*Table_NFI[[#This Row],[Tent]],Table_NFI[Tent])</f>
        <v>0</v>
      </c>
      <c r="AQ1306" s="473" t="str">
        <f>IFERROR(VLOOKUP(Table_NFI[[#This Row],[Camp Name]],CL,2,0),"")</f>
        <v/>
      </c>
      <c r="AR1306" s="468" t="str">
        <f ca="1">IF(Table_NFI[[#This Row],[Pcode]]="","",IF(OFFSET(CampList[Opening Date],MATCH(Table_NFI[[#This Row],[Pcode]],CampList[CP_Pcode],0)-1,0,1,1)&gt;=NFI_Monitor_Date,1,0))</f>
        <v/>
      </c>
      <c r="AS1306" s="473" t="str">
        <f>IFERROR(VLOOKUP(Table_NFI[[#This Row],[Camp Name]],CL,3,0),"")</f>
        <v/>
      </c>
      <c r="AT1306" s="294" t="str">
        <f ca="1">IF(Table_NFI[[#This Row],[Pcode]]="","",OFFSET(CampList[Priority],MATCH(Table_NFI[[#This Row],[Pcode]],CampList[CP_Pcode],0)-1,0,1,1))</f>
        <v/>
      </c>
      <c r="AU1306" s="293" t="str">
        <f>IFERROR(Table_NFI[[#This Row],[Kitchen Set]]/VLOOKUP(Table_NFI[[#This Row],[Camp Name]],CL,4,0),"")</f>
        <v/>
      </c>
      <c r="AV1306" s="471"/>
      <c r="AW1306" s="474"/>
    </row>
    <row r="1307" spans="1:49" ht="14.45" customHeight="1" x14ac:dyDescent="0.25">
      <c r="A1307" s="297" t="str">
        <f t="shared" si="20"/>
        <v/>
      </c>
      <c r="B1307" s="465"/>
      <c r="C1307" s="471"/>
      <c r="D1307" s="471"/>
      <c r="E1307" s="471"/>
      <c r="F1307" s="471"/>
      <c r="G1307" s="471"/>
      <c r="H1307" s="292"/>
      <c r="I1307" s="292"/>
      <c r="J1307" s="292"/>
      <c r="K1307" s="292"/>
      <c r="L1307" s="292"/>
      <c r="M1307" s="292"/>
      <c r="N1307" s="292"/>
      <c r="O1307" s="292"/>
      <c r="P1307" s="294"/>
      <c r="Q1307" s="294"/>
      <c r="R1307" s="294"/>
      <c r="S1307" s="294"/>
      <c r="T1307" s="294"/>
      <c r="U1307" s="294"/>
      <c r="V1307" s="431"/>
      <c r="W1307" s="331"/>
      <c r="X1307" s="331"/>
      <c r="Y1307" s="294">
        <f>IF(NFI_Expiration=1,IF($A1307&lt;VLOOKUP(H$5,NFI,5,0),1,0)*Table_NFI[[#This Row],[Hygiene Kit]],Table_NFI[Hygiene Kit])</f>
        <v>0</v>
      </c>
      <c r="Z1307" s="294">
        <f>IF(NFI_Expiration=1,IF($A1307&lt;VLOOKUP(I$5,NFI,5,0),1,0)*Table_NFI[[#This Row],[NFI Core Kit]],Table_NFI[NFI Core Kit])</f>
        <v>0</v>
      </c>
      <c r="AA1307" s="294">
        <f>IF(NFI_Expiration=1,IF($A1307&lt;VLOOKUP(J$5,NFI,5,0),1,0)*Table_NFI[[#This Row],[Sanitary Kit]],Table_NFI[Sanitary Kit])</f>
        <v>0</v>
      </c>
      <c r="AB1307" s="294">
        <f>IF(NFI_Expiration=1,IF($A1307&lt;VLOOKUP(K$5,NFI,5,0),1,0)*Table_NFI[[#This Row],[Mosquito net]],Table_NFI[Mosquito net])</f>
        <v>0</v>
      </c>
      <c r="AC1307" s="294">
        <f>IF(NFI_Expiration=1,IF($A1307&lt;VLOOKUP(L$5,NFI,5,0),1,0)*Table_NFI[[#This Row],[Tarpaulin]],Table_NFI[[#This Row],[Tarpaulin]])</f>
        <v>0</v>
      </c>
      <c r="AD1307" s="294">
        <f>IF(NFI_Expiration=1,IF($A1307&lt;VLOOKUP(M$5,NFI,5,0),1,0)*Table_NFI[[#This Row],[Blanket]],Table_NFI[[#This Row],[Blanket]])</f>
        <v>0</v>
      </c>
      <c r="AE1307" s="294">
        <f>IF(NFI_Expiration=1,IF($A1307&lt;VLOOKUP(N$5,NFI,5,0),1,0)*Table_NFI[[#This Row],[Kitchen Set]],Table_NFI[Kitchen Set])</f>
        <v>0</v>
      </c>
      <c r="AF1307" s="294">
        <f>IF(NFI_Expiration=1,IF($A1307&lt;VLOOKUP(O$5,NFI,5,0),1,0)*Table_NFI[[#This Row],[Clothes Kit]],Table_NFI[Clothes Kit])</f>
        <v>0</v>
      </c>
      <c r="AG1307" s="294">
        <f>IF(NFI_Expiration=1,IF($A1307&lt;VLOOKUP(P$5,NFI,5,0),1,0)*Table_NFI[[#This Row],[Plastic Bucket]],Table_NFI[Plastic Bucket])</f>
        <v>0</v>
      </c>
      <c r="AH1307" s="294">
        <f>IF(NFI_Expiration=1,IF($A1307&lt;VLOOKUP(Q$5,NFI,5,0),1,0)*Table_NFI[[#This Row],[Plastic Mat]],Table_NFI[Plastic Mat])*IF(Table_NFI[[#This Row],[Distribution Date]]&gt;"2014-04-01",1,2.5)</f>
        <v>0</v>
      </c>
      <c r="AI1307" s="294">
        <f>IF(NFI_Expiration=1,IF($A1307&lt;VLOOKUP(R$5,NFI,5,0),1,0)*Table_NFI[[#This Row],[Winter Clothes Adult]],Table_NFI[Winter Clothes Adult])</f>
        <v>0</v>
      </c>
      <c r="AJ1307" s="294">
        <f>IF(NFI_Expiration=1,IF($A1307&lt;VLOOKUP(S$5,NFI,5,0),1,0)*Table_NFI[[#This Row],[Winter Clothes Children]],Table_NFI[Winter Clothes Children])</f>
        <v>0</v>
      </c>
      <c r="AK1307" s="294">
        <f>IF(NFI_Expiration=1,IF($A1307&lt;VLOOKUP(T$5,NFI,5,0),1,0)*Table_NFI[[#This Row],[Winter Items Other]],Table_NFI[Winter Items Other])</f>
        <v>0</v>
      </c>
      <c r="AL1307" s="294">
        <f>IF(NFI_Expiration=1,IF($A1307&lt;VLOOKUP(M$5,NFI,5,0),1,0)*Table_NFI[[#This Row],[Winter Blanket]],Table_NFI[[#This Row],[Winter Blanket]])</f>
        <v>0</v>
      </c>
      <c r="AM1307" s="294">
        <f>IF(Table_NFI[[#This Row],[Winter Clothes Adult]]+Table_NFI[[#This Row],[Winter Clothes Children]]+Table_NFI[[#This Row],[Winter Items Other]]+Table_NFI[[#This Row],[Winter Blanket]]&gt;0,1,0)</f>
        <v>0</v>
      </c>
      <c r="AN1307" s="331">
        <f>IF(NFI_Expiration=1,IF($A1307&lt;VLOOKUP(V$5,NFI,5,0),1,0)*Table_NFI[[#This Row],[Jerry Can]],Table_NFI[Jerry Can])</f>
        <v>0</v>
      </c>
      <c r="AO1307" s="331">
        <f>IF(NFI_Expiration=1,IF($A1307&lt;VLOOKUP(V$5,NFI,5,0),1,0)*Table_NFI[[#This Row],[Shelter Tool kit]],Table_NFI[Shelter Tool kit])</f>
        <v>0</v>
      </c>
      <c r="AP1307" s="331">
        <f>IF(NFI_Expiration=1,IF($A1307&lt;VLOOKUP(V$5,NFI,5,0),1,0)*Table_NFI[[#This Row],[Tent]],Table_NFI[Tent])</f>
        <v>0</v>
      </c>
      <c r="AQ1307" s="473" t="str">
        <f>IFERROR(VLOOKUP(Table_NFI[[#This Row],[Camp Name]],CL,2,0),"")</f>
        <v/>
      </c>
      <c r="AR1307" s="468" t="str">
        <f ca="1">IF(Table_NFI[[#This Row],[Pcode]]="","",IF(OFFSET(CampList[Opening Date],MATCH(Table_NFI[[#This Row],[Pcode]],CampList[CP_Pcode],0)-1,0,1,1)&gt;=NFI_Monitor_Date,1,0))</f>
        <v/>
      </c>
      <c r="AS1307" s="473" t="str">
        <f>IFERROR(VLOOKUP(Table_NFI[[#This Row],[Camp Name]],CL,3,0),"")</f>
        <v/>
      </c>
      <c r="AT1307" s="294" t="str">
        <f ca="1">IF(Table_NFI[[#This Row],[Pcode]]="","",OFFSET(CampList[Priority],MATCH(Table_NFI[[#This Row],[Pcode]],CampList[CP_Pcode],0)-1,0,1,1))</f>
        <v/>
      </c>
      <c r="AU1307" s="293" t="str">
        <f>IFERROR(Table_NFI[[#This Row],[Kitchen Set]]/VLOOKUP(Table_NFI[[#This Row],[Camp Name]],CL,4,0),"")</f>
        <v/>
      </c>
      <c r="AV1307" s="471"/>
      <c r="AW1307" s="474"/>
    </row>
    <row r="1308" spans="1:49" ht="14.45" customHeight="1" x14ac:dyDescent="0.25">
      <c r="A1308" s="297" t="str">
        <f t="shared" si="20"/>
        <v/>
      </c>
      <c r="B1308" s="465"/>
      <c r="C1308" s="471"/>
      <c r="D1308" s="471"/>
      <c r="E1308" s="471"/>
      <c r="F1308" s="471"/>
      <c r="G1308" s="471"/>
      <c r="H1308" s="292"/>
      <c r="I1308" s="292"/>
      <c r="J1308" s="292"/>
      <c r="K1308" s="292"/>
      <c r="L1308" s="292"/>
      <c r="M1308" s="292"/>
      <c r="N1308" s="292"/>
      <c r="O1308" s="292"/>
      <c r="P1308" s="294"/>
      <c r="Q1308" s="294"/>
      <c r="R1308" s="294"/>
      <c r="S1308" s="294"/>
      <c r="T1308" s="294"/>
      <c r="U1308" s="294"/>
      <c r="V1308" s="431"/>
      <c r="W1308" s="331"/>
      <c r="X1308" s="331"/>
      <c r="Y1308" s="294">
        <f>IF(NFI_Expiration=1,IF($A1308&lt;VLOOKUP(H$5,NFI,5,0),1,0)*Table_NFI[[#This Row],[Hygiene Kit]],Table_NFI[Hygiene Kit])</f>
        <v>0</v>
      </c>
      <c r="Z1308" s="294">
        <f>IF(NFI_Expiration=1,IF($A1308&lt;VLOOKUP(I$5,NFI,5,0),1,0)*Table_NFI[[#This Row],[NFI Core Kit]],Table_NFI[NFI Core Kit])</f>
        <v>0</v>
      </c>
      <c r="AA1308" s="294">
        <f>IF(NFI_Expiration=1,IF($A1308&lt;VLOOKUP(J$5,NFI,5,0),1,0)*Table_NFI[[#This Row],[Sanitary Kit]],Table_NFI[Sanitary Kit])</f>
        <v>0</v>
      </c>
      <c r="AB1308" s="294">
        <f>IF(NFI_Expiration=1,IF($A1308&lt;VLOOKUP(K$5,NFI,5,0),1,0)*Table_NFI[[#This Row],[Mosquito net]],Table_NFI[Mosquito net])</f>
        <v>0</v>
      </c>
      <c r="AC1308" s="294">
        <f>IF(NFI_Expiration=1,IF($A1308&lt;VLOOKUP(L$5,NFI,5,0),1,0)*Table_NFI[[#This Row],[Tarpaulin]],Table_NFI[[#This Row],[Tarpaulin]])</f>
        <v>0</v>
      </c>
      <c r="AD1308" s="294">
        <f>IF(NFI_Expiration=1,IF($A1308&lt;VLOOKUP(M$5,NFI,5,0),1,0)*Table_NFI[[#This Row],[Blanket]],Table_NFI[[#This Row],[Blanket]])</f>
        <v>0</v>
      </c>
      <c r="AE1308" s="294">
        <f>IF(NFI_Expiration=1,IF($A1308&lt;VLOOKUP(N$5,NFI,5,0),1,0)*Table_NFI[[#This Row],[Kitchen Set]],Table_NFI[Kitchen Set])</f>
        <v>0</v>
      </c>
      <c r="AF1308" s="294">
        <f>IF(NFI_Expiration=1,IF($A1308&lt;VLOOKUP(O$5,NFI,5,0),1,0)*Table_NFI[[#This Row],[Clothes Kit]],Table_NFI[Clothes Kit])</f>
        <v>0</v>
      </c>
      <c r="AG1308" s="294">
        <f>IF(NFI_Expiration=1,IF($A1308&lt;VLOOKUP(P$5,NFI,5,0),1,0)*Table_NFI[[#This Row],[Plastic Bucket]],Table_NFI[Plastic Bucket])</f>
        <v>0</v>
      </c>
      <c r="AH1308" s="294">
        <f>IF(NFI_Expiration=1,IF($A1308&lt;VLOOKUP(Q$5,NFI,5,0),1,0)*Table_NFI[[#This Row],[Plastic Mat]],Table_NFI[Plastic Mat])*IF(Table_NFI[[#This Row],[Distribution Date]]&gt;"2014-04-01",1,2.5)</f>
        <v>0</v>
      </c>
      <c r="AI1308" s="294">
        <f>IF(NFI_Expiration=1,IF($A1308&lt;VLOOKUP(R$5,NFI,5,0),1,0)*Table_NFI[[#This Row],[Winter Clothes Adult]],Table_NFI[Winter Clothes Adult])</f>
        <v>0</v>
      </c>
      <c r="AJ1308" s="294">
        <f>IF(NFI_Expiration=1,IF($A1308&lt;VLOOKUP(S$5,NFI,5,0),1,0)*Table_NFI[[#This Row],[Winter Clothes Children]],Table_NFI[Winter Clothes Children])</f>
        <v>0</v>
      </c>
      <c r="AK1308" s="294">
        <f>IF(NFI_Expiration=1,IF($A1308&lt;VLOOKUP(T$5,NFI,5,0),1,0)*Table_NFI[[#This Row],[Winter Items Other]],Table_NFI[Winter Items Other])</f>
        <v>0</v>
      </c>
      <c r="AL1308" s="294">
        <f>IF(NFI_Expiration=1,IF($A1308&lt;VLOOKUP(M$5,NFI,5,0),1,0)*Table_NFI[[#This Row],[Winter Blanket]],Table_NFI[[#This Row],[Winter Blanket]])</f>
        <v>0</v>
      </c>
      <c r="AM1308" s="294">
        <f>IF(Table_NFI[[#This Row],[Winter Clothes Adult]]+Table_NFI[[#This Row],[Winter Clothes Children]]+Table_NFI[[#This Row],[Winter Items Other]]+Table_NFI[[#This Row],[Winter Blanket]]&gt;0,1,0)</f>
        <v>0</v>
      </c>
      <c r="AN1308" s="331">
        <f>IF(NFI_Expiration=1,IF($A1308&lt;VLOOKUP(V$5,NFI,5,0),1,0)*Table_NFI[[#This Row],[Jerry Can]],Table_NFI[Jerry Can])</f>
        <v>0</v>
      </c>
      <c r="AO1308" s="331">
        <f>IF(NFI_Expiration=1,IF($A1308&lt;VLOOKUP(V$5,NFI,5,0),1,0)*Table_NFI[[#This Row],[Shelter Tool kit]],Table_NFI[Shelter Tool kit])</f>
        <v>0</v>
      </c>
      <c r="AP1308" s="331">
        <f>IF(NFI_Expiration=1,IF($A1308&lt;VLOOKUP(V$5,NFI,5,0),1,0)*Table_NFI[[#This Row],[Tent]],Table_NFI[Tent])</f>
        <v>0</v>
      </c>
      <c r="AQ1308" s="473" t="str">
        <f>IFERROR(VLOOKUP(Table_NFI[[#This Row],[Camp Name]],CL,2,0),"")</f>
        <v/>
      </c>
      <c r="AR1308" s="468" t="str">
        <f ca="1">IF(Table_NFI[[#This Row],[Pcode]]="","",IF(OFFSET(CampList[Opening Date],MATCH(Table_NFI[[#This Row],[Pcode]],CampList[CP_Pcode],0)-1,0,1,1)&gt;=NFI_Monitor_Date,1,0))</f>
        <v/>
      </c>
      <c r="AS1308" s="473" t="str">
        <f>IFERROR(VLOOKUP(Table_NFI[[#This Row],[Camp Name]],CL,3,0),"")</f>
        <v/>
      </c>
      <c r="AT1308" s="294" t="str">
        <f ca="1">IF(Table_NFI[[#This Row],[Pcode]]="","",OFFSET(CampList[Priority],MATCH(Table_NFI[[#This Row],[Pcode]],CampList[CP_Pcode],0)-1,0,1,1))</f>
        <v/>
      </c>
      <c r="AU1308" s="293" t="str">
        <f>IFERROR(Table_NFI[[#This Row],[Kitchen Set]]/VLOOKUP(Table_NFI[[#This Row],[Camp Name]],CL,4,0),"")</f>
        <v/>
      </c>
      <c r="AV1308" s="471"/>
      <c r="AW1308" s="474"/>
    </row>
    <row r="1309" spans="1:49" ht="14.45" customHeight="1" x14ac:dyDescent="0.25">
      <c r="A1309" s="297" t="str">
        <f t="shared" si="20"/>
        <v/>
      </c>
      <c r="B1309" s="465"/>
      <c r="C1309" s="471"/>
      <c r="D1309" s="471"/>
      <c r="E1309" s="471"/>
      <c r="F1309" s="471"/>
      <c r="G1309" s="471"/>
      <c r="H1309" s="292"/>
      <c r="I1309" s="292"/>
      <c r="J1309" s="292"/>
      <c r="K1309" s="292"/>
      <c r="L1309" s="292"/>
      <c r="M1309" s="292"/>
      <c r="N1309" s="292"/>
      <c r="O1309" s="292"/>
      <c r="P1309" s="294"/>
      <c r="Q1309" s="294"/>
      <c r="R1309" s="294"/>
      <c r="S1309" s="294"/>
      <c r="T1309" s="294"/>
      <c r="U1309" s="294"/>
      <c r="V1309" s="431"/>
      <c r="W1309" s="331"/>
      <c r="X1309" s="331"/>
      <c r="Y1309" s="294">
        <f>IF(NFI_Expiration=1,IF($A1309&lt;VLOOKUP(H$5,NFI,5,0),1,0)*Table_NFI[[#This Row],[Hygiene Kit]],Table_NFI[Hygiene Kit])</f>
        <v>0</v>
      </c>
      <c r="Z1309" s="294">
        <f>IF(NFI_Expiration=1,IF($A1309&lt;VLOOKUP(I$5,NFI,5,0),1,0)*Table_NFI[[#This Row],[NFI Core Kit]],Table_NFI[NFI Core Kit])</f>
        <v>0</v>
      </c>
      <c r="AA1309" s="294">
        <f>IF(NFI_Expiration=1,IF($A1309&lt;VLOOKUP(J$5,NFI,5,0),1,0)*Table_NFI[[#This Row],[Sanitary Kit]],Table_NFI[Sanitary Kit])</f>
        <v>0</v>
      </c>
      <c r="AB1309" s="294">
        <f>IF(NFI_Expiration=1,IF($A1309&lt;VLOOKUP(K$5,NFI,5,0),1,0)*Table_NFI[[#This Row],[Mosquito net]],Table_NFI[Mosquito net])</f>
        <v>0</v>
      </c>
      <c r="AC1309" s="294">
        <f>IF(NFI_Expiration=1,IF($A1309&lt;VLOOKUP(L$5,NFI,5,0),1,0)*Table_NFI[[#This Row],[Tarpaulin]],Table_NFI[[#This Row],[Tarpaulin]])</f>
        <v>0</v>
      </c>
      <c r="AD1309" s="294">
        <f>IF(NFI_Expiration=1,IF($A1309&lt;VLOOKUP(M$5,NFI,5,0),1,0)*Table_NFI[[#This Row],[Blanket]],Table_NFI[[#This Row],[Blanket]])</f>
        <v>0</v>
      </c>
      <c r="AE1309" s="294">
        <f>IF(NFI_Expiration=1,IF($A1309&lt;VLOOKUP(N$5,NFI,5,0),1,0)*Table_NFI[[#This Row],[Kitchen Set]],Table_NFI[Kitchen Set])</f>
        <v>0</v>
      </c>
      <c r="AF1309" s="294">
        <f>IF(NFI_Expiration=1,IF($A1309&lt;VLOOKUP(O$5,NFI,5,0),1,0)*Table_NFI[[#This Row],[Clothes Kit]],Table_NFI[Clothes Kit])</f>
        <v>0</v>
      </c>
      <c r="AG1309" s="294">
        <f>IF(NFI_Expiration=1,IF($A1309&lt;VLOOKUP(P$5,NFI,5,0),1,0)*Table_NFI[[#This Row],[Plastic Bucket]],Table_NFI[Plastic Bucket])</f>
        <v>0</v>
      </c>
      <c r="AH1309" s="294">
        <f>IF(NFI_Expiration=1,IF($A1309&lt;VLOOKUP(Q$5,NFI,5,0),1,0)*Table_NFI[[#This Row],[Plastic Mat]],Table_NFI[Plastic Mat])*IF(Table_NFI[[#This Row],[Distribution Date]]&gt;"2014-04-01",1,2.5)</f>
        <v>0</v>
      </c>
      <c r="AI1309" s="294">
        <f>IF(NFI_Expiration=1,IF($A1309&lt;VLOOKUP(R$5,NFI,5,0),1,0)*Table_NFI[[#This Row],[Winter Clothes Adult]],Table_NFI[Winter Clothes Adult])</f>
        <v>0</v>
      </c>
      <c r="AJ1309" s="294">
        <f>IF(NFI_Expiration=1,IF($A1309&lt;VLOOKUP(S$5,NFI,5,0),1,0)*Table_NFI[[#This Row],[Winter Clothes Children]],Table_NFI[Winter Clothes Children])</f>
        <v>0</v>
      </c>
      <c r="AK1309" s="294">
        <f>IF(NFI_Expiration=1,IF($A1309&lt;VLOOKUP(T$5,NFI,5,0),1,0)*Table_NFI[[#This Row],[Winter Items Other]],Table_NFI[Winter Items Other])</f>
        <v>0</v>
      </c>
      <c r="AL1309" s="294">
        <f>IF(NFI_Expiration=1,IF($A1309&lt;VLOOKUP(M$5,NFI,5,0),1,0)*Table_NFI[[#This Row],[Winter Blanket]],Table_NFI[[#This Row],[Winter Blanket]])</f>
        <v>0</v>
      </c>
      <c r="AM1309" s="294">
        <f>IF(Table_NFI[[#This Row],[Winter Clothes Adult]]+Table_NFI[[#This Row],[Winter Clothes Children]]+Table_NFI[[#This Row],[Winter Items Other]]+Table_NFI[[#This Row],[Winter Blanket]]&gt;0,1,0)</f>
        <v>0</v>
      </c>
      <c r="AN1309" s="331">
        <f>IF(NFI_Expiration=1,IF($A1309&lt;VLOOKUP(V$5,NFI,5,0),1,0)*Table_NFI[[#This Row],[Jerry Can]],Table_NFI[Jerry Can])</f>
        <v>0</v>
      </c>
      <c r="AO1309" s="331">
        <f>IF(NFI_Expiration=1,IF($A1309&lt;VLOOKUP(V$5,NFI,5,0),1,0)*Table_NFI[[#This Row],[Shelter Tool kit]],Table_NFI[Shelter Tool kit])</f>
        <v>0</v>
      </c>
      <c r="AP1309" s="331">
        <f>IF(NFI_Expiration=1,IF($A1309&lt;VLOOKUP(V$5,NFI,5,0),1,0)*Table_NFI[[#This Row],[Tent]],Table_NFI[Tent])</f>
        <v>0</v>
      </c>
      <c r="AQ1309" s="473" t="str">
        <f>IFERROR(VLOOKUP(Table_NFI[[#This Row],[Camp Name]],CL,2,0),"")</f>
        <v/>
      </c>
      <c r="AR1309" s="468" t="str">
        <f ca="1">IF(Table_NFI[[#This Row],[Pcode]]="","",IF(OFFSET(CampList[Opening Date],MATCH(Table_NFI[[#This Row],[Pcode]],CampList[CP_Pcode],0)-1,0,1,1)&gt;=NFI_Monitor_Date,1,0))</f>
        <v/>
      </c>
      <c r="AS1309" s="473" t="str">
        <f>IFERROR(VLOOKUP(Table_NFI[[#This Row],[Camp Name]],CL,3,0),"")</f>
        <v/>
      </c>
      <c r="AT1309" s="294" t="str">
        <f ca="1">IF(Table_NFI[[#This Row],[Pcode]]="","",OFFSET(CampList[Priority],MATCH(Table_NFI[[#This Row],[Pcode]],CampList[CP_Pcode],0)-1,0,1,1))</f>
        <v/>
      </c>
      <c r="AU1309" s="293" t="str">
        <f>IFERROR(Table_NFI[[#This Row],[Kitchen Set]]/VLOOKUP(Table_NFI[[#This Row],[Camp Name]],CL,4,0),"")</f>
        <v/>
      </c>
      <c r="AV1309" s="471"/>
      <c r="AW1309" s="474"/>
    </row>
    <row r="1310" spans="1:49" ht="14.45" customHeight="1" x14ac:dyDescent="0.25">
      <c r="A1310" s="297" t="str">
        <f t="shared" si="20"/>
        <v/>
      </c>
      <c r="B1310" s="465"/>
      <c r="C1310" s="471"/>
      <c r="D1310" s="471"/>
      <c r="E1310" s="471"/>
      <c r="F1310" s="471"/>
      <c r="G1310" s="471"/>
      <c r="H1310" s="292"/>
      <c r="I1310" s="292"/>
      <c r="J1310" s="292"/>
      <c r="K1310" s="292"/>
      <c r="L1310" s="292"/>
      <c r="M1310" s="292"/>
      <c r="N1310" s="292"/>
      <c r="O1310" s="292"/>
      <c r="P1310" s="294"/>
      <c r="Q1310" s="294"/>
      <c r="R1310" s="294"/>
      <c r="S1310" s="294"/>
      <c r="T1310" s="294"/>
      <c r="U1310" s="294"/>
      <c r="V1310" s="431"/>
      <c r="W1310" s="331"/>
      <c r="X1310" s="331"/>
      <c r="Y1310" s="294">
        <f>IF(NFI_Expiration=1,IF($A1310&lt;VLOOKUP(H$5,NFI,5,0),1,0)*Table_NFI[[#This Row],[Hygiene Kit]],Table_NFI[Hygiene Kit])</f>
        <v>0</v>
      </c>
      <c r="Z1310" s="294">
        <f>IF(NFI_Expiration=1,IF($A1310&lt;VLOOKUP(I$5,NFI,5,0),1,0)*Table_NFI[[#This Row],[NFI Core Kit]],Table_NFI[NFI Core Kit])</f>
        <v>0</v>
      </c>
      <c r="AA1310" s="294">
        <f>IF(NFI_Expiration=1,IF($A1310&lt;VLOOKUP(J$5,NFI,5,0),1,0)*Table_NFI[[#This Row],[Sanitary Kit]],Table_NFI[Sanitary Kit])</f>
        <v>0</v>
      </c>
      <c r="AB1310" s="294">
        <f>IF(NFI_Expiration=1,IF($A1310&lt;VLOOKUP(K$5,NFI,5,0),1,0)*Table_NFI[[#This Row],[Mosquito net]],Table_NFI[Mosquito net])</f>
        <v>0</v>
      </c>
      <c r="AC1310" s="294">
        <f>IF(NFI_Expiration=1,IF($A1310&lt;VLOOKUP(L$5,NFI,5,0),1,0)*Table_NFI[[#This Row],[Tarpaulin]],Table_NFI[[#This Row],[Tarpaulin]])</f>
        <v>0</v>
      </c>
      <c r="AD1310" s="294">
        <f>IF(NFI_Expiration=1,IF($A1310&lt;VLOOKUP(M$5,NFI,5,0),1,0)*Table_NFI[[#This Row],[Blanket]],Table_NFI[[#This Row],[Blanket]])</f>
        <v>0</v>
      </c>
      <c r="AE1310" s="294">
        <f>IF(NFI_Expiration=1,IF($A1310&lt;VLOOKUP(N$5,NFI,5,0),1,0)*Table_NFI[[#This Row],[Kitchen Set]],Table_NFI[Kitchen Set])</f>
        <v>0</v>
      </c>
      <c r="AF1310" s="294">
        <f>IF(NFI_Expiration=1,IF($A1310&lt;VLOOKUP(O$5,NFI,5,0),1,0)*Table_NFI[[#This Row],[Clothes Kit]],Table_NFI[Clothes Kit])</f>
        <v>0</v>
      </c>
      <c r="AG1310" s="294">
        <f>IF(NFI_Expiration=1,IF($A1310&lt;VLOOKUP(P$5,NFI,5,0),1,0)*Table_NFI[[#This Row],[Plastic Bucket]],Table_NFI[Plastic Bucket])</f>
        <v>0</v>
      </c>
      <c r="AH1310" s="294">
        <f>IF(NFI_Expiration=1,IF($A1310&lt;VLOOKUP(Q$5,NFI,5,0),1,0)*Table_NFI[[#This Row],[Plastic Mat]],Table_NFI[Plastic Mat])*IF(Table_NFI[[#This Row],[Distribution Date]]&gt;"2014-04-01",1,2.5)</f>
        <v>0</v>
      </c>
      <c r="AI1310" s="294">
        <f>IF(NFI_Expiration=1,IF($A1310&lt;VLOOKUP(R$5,NFI,5,0),1,0)*Table_NFI[[#This Row],[Winter Clothes Adult]],Table_NFI[Winter Clothes Adult])</f>
        <v>0</v>
      </c>
      <c r="AJ1310" s="294">
        <f>IF(NFI_Expiration=1,IF($A1310&lt;VLOOKUP(S$5,NFI,5,0),1,0)*Table_NFI[[#This Row],[Winter Clothes Children]],Table_NFI[Winter Clothes Children])</f>
        <v>0</v>
      </c>
      <c r="AK1310" s="294">
        <f>IF(NFI_Expiration=1,IF($A1310&lt;VLOOKUP(T$5,NFI,5,0),1,0)*Table_NFI[[#This Row],[Winter Items Other]],Table_NFI[Winter Items Other])</f>
        <v>0</v>
      </c>
      <c r="AL1310" s="294">
        <f>IF(NFI_Expiration=1,IF($A1310&lt;VLOOKUP(M$5,NFI,5,0),1,0)*Table_NFI[[#This Row],[Winter Blanket]],Table_NFI[[#This Row],[Winter Blanket]])</f>
        <v>0</v>
      </c>
      <c r="AM1310" s="294">
        <f>IF(Table_NFI[[#This Row],[Winter Clothes Adult]]+Table_NFI[[#This Row],[Winter Clothes Children]]+Table_NFI[[#This Row],[Winter Items Other]]+Table_NFI[[#This Row],[Winter Blanket]]&gt;0,1,0)</f>
        <v>0</v>
      </c>
      <c r="AN1310" s="331">
        <f>IF(NFI_Expiration=1,IF($A1310&lt;VLOOKUP(V$5,NFI,5,0),1,0)*Table_NFI[[#This Row],[Jerry Can]],Table_NFI[Jerry Can])</f>
        <v>0</v>
      </c>
      <c r="AO1310" s="331">
        <f>IF(NFI_Expiration=1,IF($A1310&lt;VLOOKUP(V$5,NFI,5,0),1,0)*Table_NFI[[#This Row],[Shelter Tool kit]],Table_NFI[Shelter Tool kit])</f>
        <v>0</v>
      </c>
      <c r="AP1310" s="331">
        <f>IF(NFI_Expiration=1,IF($A1310&lt;VLOOKUP(V$5,NFI,5,0),1,0)*Table_NFI[[#This Row],[Tent]],Table_NFI[Tent])</f>
        <v>0</v>
      </c>
      <c r="AQ1310" s="473" t="str">
        <f>IFERROR(VLOOKUP(Table_NFI[[#This Row],[Camp Name]],CL,2,0),"")</f>
        <v/>
      </c>
      <c r="AR1310" s="468" t="str">
        <f ca="1">IF(Table_NFI[[#This Row],[Pcode]]="","",IF(OFFSET(CampList[Opening Date],MATCH(Table_NFI[[#This Row],[Pcode]],CampList[CP_Pcode],0)-1,0,1,1)&gt;=NFI_Monitor_Date,1,0))</f>
        <v/>
      </c>
      <c r="AS1310" s="473" t="str">
        <f>IFERROR(VLOOKUP(Table_NFI[[#This Row],[Camp Name]],CL,3,0),"")</f>
        <v/>
      </c>
      <c r="AT1310" s="294" t="str">
        <f ca="1">IF(Table_NFI[[#This Row],[Pcode]]="","",OFFSET(CampList[Priority],MATCH(Table_NFI[[#This Row],[Pcode]],CampList[CP_Pcode],0)-1,0,1,1))</f>
        <v/>
      </c>
      <c r="AU1310" s="293" t="str">
        <f>IFERROR(Table_NFI[[#This Row],[Kitchen Set]]/VLOOKUP(Table_NFI[[#This Row],[Camp Name]],CL,4,0),"")</f>
        <v/>
      </c>
      <c r="AV1310" s="471"/>
      <c r="AW1310" s="474"/>
    </row>
    <row r="1311" spans="1:49" ht="14.45" customHeight="1" x14ac:dyDescent="0.25">
      <c r="A1311" s="297" t="str">
        <f t="shared" si="20"/>
        <v/>
      </c>
      <c r="B1311" s="465"/>
      <c r="C1311" s="471"/>
      <c r="D1311" s="471"/>
      <c r="E1311" s="471"/>
      <c r="F1311" s="471"/>
      <c r="G1311" s="471"/>
      <c r="H1311" s="292"/>
      <c r="I1311" s="292"/>
      <c r="J1311" s="292"/>
      <c r="K1311" s="292"/>
      <c r="L1311" s="292"/>
      <c r="M1311" s="292"/>
      <c r="N1311" s="292"/>
      <c r="O1311" s="292"/>
      <c r="P1311" s="294"/>
      <c r="Q1311" s="294"/>
      <c r="R1311" s="294"/>
      <c r="S1311" s="294"/>
      <c r="T1311" s="294"/>
      <c r="U1311" s="294"/>
      <c r="V1311" s="431"/>
      <c r="W1311" s="331"/>
      <c r="X1311" s="331"/>
      <c r="Y1311" s="294">
        <f>IF(NFI_Expiration=1,IF($A1311&lt;VLOOKUP(H$5,NFI,5,0),1,0)*Table_NFI[[#This Row],[Hygiene Kit]],Table_NFI[Hygiene Kit])</f>
        <v>0</v>
      </c>
      <c r="Z1311" s="294">
        <f>IF(NFI_Expiration=1,IF($A1311&lt;VLOOKUP(I$5,NFI,5,0),1,0)*Table_NFI[[#This Row],[NFI Core Kit]],Table_NFI[NFI Core Kit])</f>
        <v>0</v>
      </c>
      <c r="AA1311" s="294">
        <f>IF(NFI_Expiration=1,IF($A1311&lt;VLOOKUP(J$5,NFI,5,0),1,0)*Table_NFI[[#This Row],[Sanitary Kit]],Table_NFI[Sanitary Kit])</f>
        <v>0</v>
      </c>
      <c r="AB1311" s="294">
        <f>IF(NFI_Expiration=1,IF($A1311&lt;VLOOKUP(K$5,NFI,5,0),1,0)*Table_NFI[[#This Row],[Mosquito net]],Table_NFI[Mosquito net])</f>
        <v>0</v>
      </c>
      <c r="AC1311" s="294">
        <f>IF(NFI_Expiration=1,IF($A1311&lt;VLOOKUP(L$5,NFI,5,0),1,0)*Table_NFI[[#This Row],[Tarpaulin]],Table_NFI[[#This Row],[Tarpaulin]])</f>
        <v>0</v>
      </c>
      <c r="AD1311" s="294">
        <f>IF(NFI_Expiration=1,IF($A1311&lt;VLOOKUP(M$5,NFI,5,0),1,0)*Table_NFI[[#This Row],[Blanket]],Table_NFI[[#This Row],[Blanket]])</f>
        <v>0</v>
      </c>
      <c r="AE1311" s="294">
        <f>IF(NFI_Expiration=1,IF($A1311&lt;VLOOKUP(N$5,NFI,5,0),1,0)*Table_NFI[[#This Row],[Kitchen Set]],Table_NFI[Kitchen Set])</f>
        <v>0</v>
      </c>
      <c r="AF1311" s="294">
        <f>IF(NFI_Expiration=1,IF($A1311&lt;VLOOKUP(O$5,NFI,5,0),1,0)*Table_NFI[[#This Row],[Clothes Kit]],Table_NFI[Clothes Kit])</f>
        <v>0</v>
      </c>
      <c r="AG1311" s="294">
        <f>IF(NFI_Expiration=1,IF($A1311&lt;VLOOKUP(P$5,NFI,5,0),1,0)*Table_NFI[[#This Row],[Plastic Bucket]],Table_NFI[Plastic Bucket])</f>
        <v>0</v>
      </c>
      <c r="AH1311" s="294">
        <f>IF(NFI_Expiration=1,IF($A1311&lt;VLOOKUP(Q$5,NFI,5,0),1,0)*Table_NFI[[#This Row],[Plastic Mat]],Table_NFI[Plastic Mat])*IF(Table_NFI[[#This Row],[Distribution Date]]&gt;"2014-04-01",1,2.5)</f>
        <v>0</v>
      </c>
      <c r="AI1311" s="294">
        <f>IF(NFI_Expiration=1,IF($A1311&lt;VLOOKUP(R$5,NFI,5,0),1,0)*Table_NFI[[#This Row],[Winter Clothes Adult]],Table_NFI[Winter Clothes Adult])</f>
        <v>0</v>
      </c>
      <c r="AJ1311" s="294">
        <f>IF(NFI_Expiration=1,IF($A1311&lt;VLOOKUP(S$5,NFI,5,0),1,0)*Table_NFI[[#This Row],[Winter Clothes Children]],Table_NFI[Winter Clothes Children])</f>
        <v>0</v>
      </c>
      <c r="AK1311" s="294">
        <f>IF(NFI_Expiration=1,IF($A1311&lt;VLOOKUP(T$5,NFI,5,0),1,0)*Table_NFI[[#This Row],[Winter Items Other]],Table_NFI[Winter Items Other])</f>
        <v>0</v>
      </c>
      <c r="AL1311" s="294">
        <f>IF(NFI_Expiration=1,IF($A1311&lt;VLOOKUP(M$5,NFI,5,0),1,0)*Table_NFI[[#This Row],[Winter Blanket]],Table_NFI[[#This Row],[Winter Blanket]])</f>
        <v>0</v>
      </c>
      <c r="AM1311" s="294">
        <f>IF(Table_NFI[[#This Row],[Winter Clothes Adult]]+Table_NFI[[#This Row],[Winter Clothes Children]]+Table_NFI[[#This Row],[Winter Items Other]]+Table_NFI[[#This Row],[Winter Blanket]]&gt;0,1,0)</f>
        <v>0</v>
      </c>
      <c r="AN1311" s="331">
        <f>IF(NFI_Expiration=1,IF($A1311&lt;VLOOKUP(V$5,NFI,5,0),1,0)*Table_NFI[[#This Row],[Jerry Can]],Table_NFI[Jerry Can])</f>
        <v>0</v>
      </c>
      <c r="AO1311" s="331">
        <f>IF(NFI_Expiration=1,IF($A1311&lt;VLOOKUP(V$5,NFI,5,0),1,0)*Table_NFI[[#This Row],[Shelter Tool kit]],Table_NFI[Shelter Tool kit])</f>
        <v>0</v>
      </c>
      <c r="AP1311" s="331">
        <f>IF(NFI_Expiration=1,IF($A1311&lt;VLOOKUP(V$5,NFI,5,0),1,0)*Table_NFI[[#This Row],[Tent]],Table_NFI[Tent])</f>
        <v>0</v>
      </c>
      <c r="AQ1311" s="473" t="str">
        <f>IFERROR(VLOOKUP(Table_NFI[[#This Row],[Camp Name]],CL,2,0),"")</f>
        <v/>
      </c>
      <c r="AR1311" s="468" t="str">
        <f ca="1">IF(Table_NFI[[#This Row],[Pcode]]="","",IF(OFFSET(CampList[Opening Date],MATCH(Table_NFI[[#This Row],[Pcode]],CampList[CP_Pcode],0)-1,0,1,1)&gt;=NFI_Monitor_Date,1,0))</f>
        <v/>
      </c>
      <c r="AS1311" s="473" t="str">
        <f>IFERROR(VLOOKUP(Table_NFI[[#This Row],[Camp Name]],CL,3,0),"")</f>
        <v/>
      </c>
      <c r="AT1311" s="294" t="str">
        <f ca="1">IF(Table_NFI[[#This Row],[Pcode]]="","",OFFSET(CampList[Priority],MATCH(Table_NFI[[#This Row],[Pcode]],CampList[CP_Pcode],0)-1,0,1,1))</f>
        <v/>
      </c>
      <c r="AU1311" s="293" t="str">
        <f>IFERROR(Table_NFI[[#This Row],[Kitchen Set]]/VLOOKUP(Table_NFI[[#This Row],[Camp Name]],CL,4,0),"")</f>
        <v/>
      </c>
      <c r="AV1311" s="471"/>
      <c r="AW1311" s="474"/>
    </row>
    <row r="1312" spans="1:49" ht="14.45" customHeight="1" x14ac:dyDescent="0.25">
      <c r="A1312" s="297" t="str">
        <f t="shared" si="20"/>
        <v/>
      </c>
      <c r="B1312" s="465"/>
      <c r="C1312" s="471"/>
      <c r="D1312" s="471"/>
      <c r="E1312" s="471"/>
      <c r="F1312" s="471"/>
      <c r="G1312" s="471"/>
      <c r="H1312" s="292"/>
      <c r="I1312" s="292"/>
      <c r="J1312" s="292"/>
      <c r="K1312" s="292"/>
      <c r="L1312" s="292"/>
      <c r="M1312" s="292"/>
      <c r="N1312" s="292"/>
      <c r="O1312" s="292"/>
      <c r="P1312" s="294"/>
      <c r="Q1312" s="294"/>
      <c r="R1312" s="294"/>
      <c r="S1312" s="294"/>
      <c r="T1312" s="294"/>
      <c r="U1312" s="294"/>
      <c r="V1312" s="431"/>
      <c r="W1312" s="331"/>
      <c r="X1312" s="331"/>
      <c r="Y1312" s="294">
        <f>IF(NFI_Expiration=1,IF($A1312&lt;VLOOKUP(H$5,NFI,5,0),1,0)*Table_NFI[[#This Row],[Hygiene Kit]],Table_NFI[Hygiene Kit])</f>
        <v>0</v>
      </c>
      <c r="Z1312" s="294">
        <f>IF(NFI_Expiration=1,IF($A1312&lt;VLOOKUP(I$5,NFI,5,0),1,0)*Table_NFI[[#This Row],[NFI Core Kit]],Table_NFI[NFI Core Kit])</f>
        <v>0</v>
      </c>
      <c r="AA1312" s="294">
        <f>IF(NFI_Expiration=1,IF($A1312&lt;VLOOKUP(J$5,NFI,5,0),1,0)*Table_NFI[[#This Row],[Sanitary Kit]],Table_NFI[Sanitary Kit])</f>
        <v>0</v>
      </c>
      <c r="AB1312" s="294">
        <f>IF(NFI_Expiration=1,IF($A1312&lt;VLOOKUP(K$5,NFI,5,0),1,0)*Table_NFI[[#This Row],[Mosquito net]],Table_NFI[Mosquito net])</f>
        <v>0</v>
      </c>
      <c r="AC1312" s="294">
        <f>IF(NFI_Expiration=1,IF($A1312&lt;VLOOKUP(L$5,NFI,5,0),1,0)*Table_NFI[[#This Row],[Tarpaulin]],Table_NFI[[#This Row],[Tarpaulin]])</f>
        <v>0</v>
      </c>
      <c r="AD1312" s="294">
        <f>IF(NFI_Expiration=1,IF($A1312&lt;VLOOKUP(M$5,NFI,5,0),1,0)*Table_NFI[[#This Row],[Blanket]],Table_NFI[[#This Row],[Blanket]])</f>
        <v>0</v>
      </c>
      <c r="AE1312" s="294">
        <f>IF(NFI_Expiration=1,IF($A1312&lt;VLOOKUP(N$5,NFI,5,0),1,0)*Table_NFI[[#This Row],[Kitchen Set]],Table_NFI[Kitchen Set])</f>
        <v>0</v>
      </c>
      <c r="AF1312" s="294">
        <f>IF(NFI_Expiration=1,IF($A1312&lt;VLOOKUP(O$5,NFI,5,0),1,0)*Table_NFI[[#This Row],[Clothes Kit]],Table_NFI[Clothes Kit])</f>
        <v>0</v>
      </c>
      <c r="AG1312" s="294">
        <f>IF(NFI_Expiration=1,IF($A1312&lt;VLOOKUP(P$5,NFI,5,0),1,0)*Table_NFI[[#This Row],[Plastic Bucket]],Table_NFI[Plastic Bucket])</f>
        <v>0</v>
      </c>
      <c r="AH1312" s="294">
        <f>IF(NFI_Expiration=1,IF($A1312&lt;VLOOKUP(Q$5,NFI,5,0),1,0)*Table_NFI[[#This Row],[Plastic Mat]],Table_NFI[Plastic Mat])*IF(Table_NFI[[#This Row],[Distribution Date]]&gt;"2014-04-01",1,2.5)</f>
        <v>0</v>
      </c>
      <c r="AI1312" s="294">
        <f>IF(NFI_Expiration=1,IF($A1312&lt;VLOOKUP(R$5,NFI,5,0),1,0)*Table_NFI[[#This Row],[Winter Clothes Adult]],Table_NFI[Winter Clothes Adult])</f>
        <v>0</v>
      </c>
      <c r="AJ1312" s="294">
        <f>IF(NFI_Expiration=1,IF($A1312&lt;VLOOKUP(S$5,NFI,5,0),1,0)*Table_NFI[[#This Row],[Winter Clothes Children]],Table_NFI[Winter Clothes Children])</f>
        <v>0</v>
      </c>
      <c r="AK1312" s="294">
        <f>IF(NFI_Expiration=1,IF($A1312&lt;VLOOKUP(T$5,NFI,5,0),1,0)*Table_NFI[[#This Row],[Winter Items Other]],Table_NFI[Winter Items Other])</f>
        <v>0</v>
      </c>
      <c r="AL1312" s="294">
        <f>IF(NFI_Expiration=1,IF($A1312&lt;VLOOKUP(M$5,NFI,5,0),1,0)*Table_NFI[[#This Row],[Winter Blanket]],Table_NFI[[#This Row],[Winter Blanket]])</f>
        <v>0</v>
      </c>
      <c r="AM1312" s="294">
        <f>IF(Table_NFI[[#This Row],[Winter Clothes Adult]]+Table_NFI[[#This Row],[Winter Clothes Children]]+Table_NFI[[#This Row],[Winter Items Other]]+Table_NFI[[#This Row],[Winter Blanket]]&gt;0,1,0)</f>
        <v>0</v>
      </c>
      <c r="AN1312" s="331">
        <f>IF(NFI_Expiration=1,IF($A1312&lt;VLOOKUP(V$5,NFI,5,0),1,0)*Table_NFI[[#This Row],[Jerry Can]],Table_NFI[Jerry Can])</f>
        <v>0</v>
      </c>
      <c r="AO1312" s="331">
        <f>IF(NFI_Expiration=1,IF($A1312&lt;VLOOKUP(V$5,NFI,5,0),1,0)*Table_NFI[[#This Row],[Shelter Tool kit]],Table_NFI[Shelter Tool kit])</f>
        <v>0</v>
      </c>
      <c r="AP1312" s="331">
        <f>IF(NFI_Expiration=1,IF($A1312&lt;VLOOKUP(V$5,NFI,5,0),1,0)*Table_NFI[[#This Row],[Tent]],Table_NFI[Tent])</f>
        <v>0</v>
      </c>
      <c r="AQ1312" s="473" t="str">
        <f>IFERROR(VLOOKUP(Table_NFI[[#This Row],[Camp Name]],CL,2,0),"")</f>
        <v/>
      </c>
      <c r="AR1312" s="468" t="str">
        <f ca="1">IF(Table_NFI[[#This Row],[Pcode]]="","",IF(OFFSET(CampList[Opening Date],MATCH(Table_NFI[[#This Row],[Pcode]],CampList[CP_Pcode],0)-1,0,1,1)&gt;=NFI_Monitor_Date,1,0))</f>
        <v/>
      </c>
      <c r="AS1312" s="473" t="str">
        <f>IFERROR(VLOOKUP(Table_NFI[[#This Row],[Camp Name]],CL,3,0),"")</f>
        <v/>
      </c>
      <c r="AT1312" s="294" t="str">
        <f ca="1">IF(Table_NFI[[#This Row],[Pcode]]="","",OFFSET(CampList[Priority],MATCH(Table_NFI[[#This Row],[Pcode]],CampList[CP_Pcode],0)-1,0,1,1))</f>
        <v/>
      </c>
      <c r="AU1312" s="293" t="str">
        <f>IFERROR(Table_NFI[[#This Row],[Kitchen Set]]/VLOOKUP(Table_NFI[[#This Row],[Camp Name]],CL,4,0),"")</f>
        <v/>
      </c>
      <c r="AV1312" s="471"/>
      <c r="AW1312" s="474"/>
    </row>
    <row r="1313" spans="1:49" ht="14.45" customHeight="1" x14ac:dyDescent="0.25">
      <c r="A1313" s="297" t="str">
        <f t="shared" si="20"/>
        <v/>
      </c>
      <c r="B1313" s="465"/>
      <c r="C1313" s="471"/>
      <c r="D1313" s="471"/>
      <c r="E1313" s="471"/>
      <c r="F1313" s="471"/>
      <c r="G1313" s="471"/>
      <c r="H1313" s="292"/>
      <c r="I1313" s="292"/>
      <c r="J1313" s="292"/>
      <c r="K1313" s="292"/>
      <c r="L1313" s="292"/>
      <c r="M1313" s="292"/>
      <c r="N1313" s="292"/>
      <c r="O1313" s="292"/>
      <c r="P1313" s="294"/>
      <c r="Q1313" s="294"/>
      <c r="R1313" s="294"/>
      <c r="S1313" s="294"/>
      <c r="T1313" s="294"/>
      <c r="U1313" s="294"/>
      <c r="V1313" s="431"/>
      <c r="W1313" s="331"/>
      <c r="X1313" s="331"/>
      <c r="Y1313" s="294">
        <f>IF(NFI_Expiration=1,IF($A1313&lt;VLOOKUP(H$5,NFI,5,0),1,0)*Table_NFI[[#This Row],[Hygiene Kit]],Table_NFI[Hygiene Kit])</f>
        <v>0</v>
      </c>
      <c r="Z1313" s="294">
        <f>IF(NFI_Expiration=1,IF($A1313&lt;VLOOKUP(I$5,NFI,5,0),1,0)*Table_NFI[[#This Row],[NFI Core Kit]],Table_NFI[NFI Core Kit])</f>
        <v>0</v>
      </c>
      <c r="AA1313" s="294">
        <f>IF(NFI_Expiration=1,IF($A1313&lt;VLOOKUP(J$5,NFI,5,0),1,0)*Table_NFI[[#This Row],[Sanitary Kit]],Table_NFI[Sanitary Kit])</f>
        <v>0</v>
      </c>
      <c r="AB1313" s="294">
        <f>IF(NFI_Expiration=1,IF($A1313&lt;VLOOKUP(K$5,NFI,5,0),1,0)*Table_NFI[[#This Row],[Mosquito net]],Table_NFI[Mosquito net])</f>
        <v>0</v>
      </c>
      <c r="AC1313" s="294">
        <f>IF(NFI_Expiration=1,IF($A1313&lt;VLOOKUP(L$5,NFI,5,0),1,0)*Table_NFI[[#This Row],[Tarpaulin]],Table_NFI[[#This Row],[Tarpaulin]])</f>
        <v>0</v>
      </c>
      <c r="AD1313" s="294">
        <f>IF(NFI_Expiration=1,IF($A1313&lt;VLOOKUP(M$5,NFI,5,0),1,0)*Table_NFI[[#This Row],[Blanket]],Table_NFI[[#This Row],[Blanket]])</f>
        <v>0</v>
      </c>
      <c r="AE1313" s="294">
        <f>IF(NFI_Expiration=1,IF($A1313&lt;VLOOKUP(N$5,NFI,5,0),1,0)*Table_NFI[[#This Row],[Kitchen Set]],Table_NFI[Kitchen Set])</f>
        <v>0</v>
      </c>
      <c r="AF1313" s="294">
        <f>IF(NFI_Expiration=1,IF($A1313&lt;VLOOKUP(O$5,NFI,5,0),1,0)*Table_NFI[[#This Row],[Clothes Kit]],Table_NFI[Clothes Kit])</f>
        <v>0</v>
      </c>
      <c r="AG1313" s="294">
        <f>IF(NFI_Expiration=1,IF($A1313&lt;VLOOKUP(P$5,NFI,5,0),1,0)*Table_NFI[[#This Row],[Plastic Bucket]],Table_NFI[Plastic Bucket])</f>
        <v>0</v>
      </c>
      <c r="AH1313" s="294">
        <f>IF(NFI_Expiration=1,IF($A1313&lt;VLOOKUP(Q$5,NFI,5,0),1,0)*Table_NFI[[#This Row],[Plastic Mat]],Table_NFI[Plastic Mat])*IF(Table_NFI[[#This Row],[Distribution Date]]&gt;"2014-04-01",1,2.5)</f>
        <v>0</v>
      </c>
      <c r="AI1313" s="294">
        <f>IF(NFI_Expiration=1,IF($A1313&lt;VLOOKUP(R$5,NFI,5,0),1,0)*Table_NFI[[#This Row],[Winter Clothes Adult]],Table_NFI[Winter Clothes Adult])</f>
        <v>0</v>
      </c>
      <c r="AJ1313" s="294">
        <f>IF(NFI_Expiration=1,IF($A1313&lt;VLOOKUP(S$5,NFI,5,0),1,0)*Table_NFI[[#This Row],[Winter Clothes Children]],Table_NFI[Winter Clothes Children])</f>
        <v>0</v>
      </c>
      <c r="AK1313" s="294">
        <f>IF(NFI_Expiration=1,IF($A1313&lt;VLOOKUP(T$5,NFI,5,0),1,0)*Table_NFI[[#This Row],[Winter Items Other]],Table_NFI[Winter Items Other])</f>
        <v>0</v>
      </c>
      <c r="AL1313" s="294">
        <f>IF(NFI_Expiration=1,IF($A1313&lt;VLOOKUP(M$5,NFI,5,0),1,0)*Table_NFI[[#This Row],[Winter Blanket]],Table_NFI[[#This Row],[Winter Blanket]])</f>
        <v>0</v>
      </c>
      <c r="AM1313" s="294">
        <f>IF(Table_NFI[[#This Row],[Winter Clothes Adult]]+Table_NFI[[#This Row],[Winter Clothes Children]]+Table_NFI[[#This Row],[Winter Items Other]]+Table_NFI[[#This Row],[Winter Blanket]]&gt;0,1,0)</f>
        <v>0</v>
      </c>
      <c r="AN1313" s="331">
        <f>IF(NFI_Expiration=1,IF($A1313&lt;VLOOKUP(V$5,NFI,5,0),1,0)*Table_NFI[[#This Row],[Jerry Can]],Table_NFI[Jerry Can])</f>
        <v>0</v>
      </c>
      <c r="AO1313" s="331">
        <f>IF(NFI_Expiration=1,IF($A1313&lt;VLOOKUP(V$5,NFI,5,0),1,0)*Table_NFI[[#This Row],[Shelter Tool kit]],Table_NFI[Shelter Tool kit])</f>
        <v>0</v>
      </c>
      <c r="AP1313" s="331">
        <f>IF(NFI_Expiration=1,IF($A1313&lt;VLOOKUP(V$5,NFI,5,0),1,0)*Table_NFI[[#This Row],[Tent]],Table_NFI[Tent])</f>
        <v>0</v>
      </c>
      <c r="AQ1313" s="473" t="str">
        <f>IFERROR(VLOOKUP(Table_NFI[[#This Row],[Camp Name]],CL,2,0),"")</f>
        <v/>
      </c>
      <c r="AR1313" s="468" t="str">
        <f ca="1">IF(Table_NFI[[#This Row],[Pcode]]="","",IF(OFFSET(CampList[Opening Date],MATCH(Table_NFI[[#This Row],[Pcode]],CampList[CP_Pcode],0)-1,0,1,1)&gt;=NFI_Monitor_Date,1,0))</f>
        <v/>
      </c>
      <c r="AS1313" s="473" t="str">
        <f>IFERROR(VLOOKUP(Table_NFI[[#This Row],[Camp Name]],CL,3,0),"")</f>
        <v/>
      </c>
      <c r="AT1313" s="294" t="str">
        <f ca="1">IF(Table_NFI[[#This Row],[Pcode]]="","",OFFSET(CampList[Priority],MATCH(Table_NFI[[#This Row],[Pcode]],CampList[CP_Pcode],0)-1,0,1,1))</f>
        <v/>
      </c>
      <c r="AU1313" s="293" t="str">
        <f>IFERROR(Table_NFI[[#This Row],[Kitchen Set]]/VLOOKUP(Table_NFI[[#This Row],[Camp Name]],CL,4,0),"")</f>
        <v/>
      </c>
      <c r="AV1313" s="471"/>
      <c r="AW1313" s="474"/>
    </row>
    <row r="1314" spans="1:49" ht="14.45" customHeight="1" x14ac:dyDescent="0.25">
      <c r="A1314" s="297" t="str">
        <f t="shared" si="20"/>
        <v/>
      </c>
      <c r="B1314" s="465"/>
      <c r="C1314" s="471"/>
      <c r="D1314" s="471"/>
      <c r="E1314" s="471"/>
      <c r="F1314" s="471"/>
      <c r="G1314" s="471"/>
      <c r="H1314" s="292"/>
      <c r="I1314" s="292"/>
      <c r="J1314" s="292"/>
      <c r="K1314" s="292"/>
      <c r="L1314" s="292"/>
      <c r="M1314" s="292"/>
      <c r="N1314" s="292"/>
      <c r="O1314" s="292"/>
      <c r="P1314" s="294"/>
      <c r="Q1314" s="294"/>
      <c r="R1314" s="294"/>
      <c r="S1314" s="294"/>
      <c r="T1314" s="294"/>
      <c r="U1314" s="294"/>
      <c r="V1314" s="431"/>
      <c r="W1314" s="331"/>
      <c r="X1314" s="331"/>
      <c r="Y1314" s="294">
        <f>IF(NFI_Expiration=1,IF($A1314&lt;VLOOKUP(H$5,NFI,5,0),1,0)*Table_NFI[[#This Row],[Hygiene Kit]],Table_NFI[Hygiene Kit])</f>
        <v>0</v>
      </c>
      <c r="Z1314" s="294">
        <f>IF(NFI_Expiration=1,IF($A1314&lt;VLOOKUP(I$5,NFI,5,0),1,0)*Table_NFI[[#This Row],[NFI Core Kit]],Table_NFI[NFI Core Kit])</f>
        <v>0</v>
      </c>
      <c r="AA1314" s="294">
        <f>IF(NFI_Expiration=1,IF($A1314&lt;VLOOKUP(J$5,NFI,5,0),1,0)*Table_NFI[[#This Row],[Sanitary Kit]],Table_NFI[Sanitary Kit])</f>
        <v>0</v>
      </c>
      <c r="AB1314" s="294">
        <f>IF(NFI_Expiration=1,IF($A1314&lt;VLOOKUP(K$5,NFI,5,0),1,0)*Table_NFI[[#This Row],[Mosquito net]],Table_NFI[Mosquito net])</f>
        <v>0</v>
      </c>
      <c r="AC1314" s="294">
        <f>IF(NFI_Expiration=1,IF($A1314&lt;VLOOKUP(L$5,NFI,5,0),1,0)*Table_NFI[[#This Row],[Tarpaulin]],Table_NFI[[#This Row],[Tarpaulin]])</f>
        <v>0</v>
      </c>
      <c r="AD1314" s="294">
        <f>IF(NFI_Expiration=1,IF($A1314&lt;VLOOKUP(M$5,NFI,5,0),1,0)*Table_NFI[[#This Row],[Blanket]],Table_NFI[[#This Row],[Blanket]])</f>
        <v>0</v>
      </c>
      <c r="AE1314" s="294">
        <f>IF(NFI_Expiration=1,IF($A1314&lt;VLOOKUP(N$5,NFI,5,0),1,0)*Table_NFI[[#This Row],[Kitchen Set]],Table_NFI[Kitchen Set])</f>
        <v>0</v>
      </c>
      <c r="AF1314" s="294">
        <f>IF(NFI_Expiration=1,IF($A1314&lt;VLOOKUP(O$5,NFI,5,0),1,0)*Table_NFI[[#This Row],[Clothes Kit]],Table_NFI[Clothes Kit])</f>
        <v>0</v>
      </c>
      <c r="AG1314" s="294">
        <f>IF(NFI_Expiration=1,IF($A1314&lt;VLOOKUP(P$5,NFI,5,0),1,0)*Table_NFI[[#This Row],[Plastic Bucket]],Table_NFI[Plastic Bucket])</f>
        <v>0</v>
      </c>
      <c r="AH1314" s="294">
        <f>IF(NFI_Expiration=1,IF($A1314&lt;VLOOKUP(Q$5,NFI,5,0),1,0)*Table_NFI[[#This Row],[Plastic Mat]],Table_NFI[Plastic Mat])*IF(Table_NFI[[#This Row],[Distribution Date]]&gt;"2014-04-01",1,2.5)</f>
        <v>0</v>
      </c>
      <c r="AI1314" s="294">
        <f>IF(NFI_Expiration=1,IF($A1314&lt;VLOOKUP(R$5,NFI,5,0),1,0)*Table_NFI[[#This Row],[Winter Clothes Adult]],Table_NFI[Winter Clothes Adult])</f>
        <v>0</v>
      </c>
      <c r="AJ1314" s="294">
        <f>IF(NFI_Expiration=1,IF($A1314&lt;VLOOKUP(S$5,NFI,5,0),1,0)*Table_NFI[[#This Row],[Winter Clothes Children]],Table_NFI[Winter Clothes Children])</f>
        <v>0</v>
      </c>
      <c r="AK1314" s="294">
        <f>IF(NFI_Expiration=1,IF($A1314&lt;VLOOKUP(T$5,NFI,5,0),1,0)*Table_NFI[[#This Row],[Winter Items Other]],Table_NFI[Winter Items Other])</f>
        <v>0</v>
      </c>
      <c r="AL1314" s="294">
        <f>IF(NFI_Expiration=1,IF($A1314&lt;VLOOKUP(M$5,NFI,5,0),1,0)*Table_NFI[[#This Row],[Winter Blanket]],Table_NFI[[#This Row],[Winter Blanket]])</f>
        <v>0</v>
      </c>
      <c r="AM1314" s="294">
        <f>IF(Table_NFI[[#This Row],[Winter Clothes Adult]]+Table_NFI[[#This Row],[Winter Clothes Children]]+Table_NFI[[#This Row],[Winter Items Other]]+Table_NFI[[#This Row],[Winter Blanket]]&gt;0,1,0)</f>
        <v>0</v>
      </c>
      <c r="AN1314" s="331">
        <f>IF(NFI_Expiration=1,IF($A1314&lt;VLOOKUP(V$5,NFI,5,0),1,0)*Table_NFI[[#This Row],[Jerry Can]],Table_NFI[Jerry Can])</f>
        <v>0</v>
      </c>
      <c r="AO1314" s="331">
        <f>IF(NFI_Expiration=1,IF($A1314&lt;VLOOKUP(V$5,NFI,5,0),1,0)*Table_NFI[[#This Row],[Shelter Tool kit]],Table_NFI[Shelter Tool kit])</f>
        <v>0</v>
      </c>
      <c r="AP1314" s="331">
        <f>IF(NFI_Expiration=1,IF($A1314&lt;VLOOKUP(V$5,NFI,5,0),1,0)*Table_NFI[[#This Row],[Tent]],Table_NFI[Tent])</f>
        <v>0</v>
      </c>
      <c r="AQ1314" s="473" t="str">
        <f>IFERROR(VLOOKUP(Table_NFI[[#This Row],[Camp Name]],CL,2,0),"")</f>
        <v/>
      </c>
      <c r="AR1314" s="468" t="str">
        <f ca="1">IF(Table_NFI[[#This Row],[Pcode]]="","",IF(OFFSET(CampList[Opening Date],MATCH(Table_NFI[[#This Row],[Pcode]],CampList[CP_Pcode],0)-1,0,1,1)&gt;=NFI_Monitor_Date,1,0))</f>
        <v/>
      </c>
      <c r="AS1314" s="473" t="str">
        <f>IFERROR(VLOOKUP(Table_NFI[[#This Row],[Camp Name]],CL,3,0),"")</f>
        <v/>
      </c>
      <c r="AT1314" s="294" t="str">
        <f ca="1">IF(Table_NFI[[#This Row],[Pcode]]="","",OFFSET(CampList[Priority],MATCH(Table_NFI[[#This Row],[Pcode]],CampList[CP_Pcode],0)-1,0,1,1))</f>
        <v/>
      </c>
      <c r="AU1314" s="293" t="str">
        <f>IFERROR(Table_NFI[[#This Row],[Kitchen Set]]/VLOOKUP(Table_NFI[[#This Row],[Camp Name]],CL,4,0),"")</f>
        <v/>
      </c>
      <c r="AV1314" s="471"/>
      <c r="AW1314" s="474"/>
    </row>
    <row r="1315" spans="1:49" ht="14.45" customHeight="1" x14ac:dyDescent="0.25">
      <c r="A1315" s="297" t="str">
        <f t="shared" si="20"/>
        <v/>
      </c>
      <c r="B1315" s="465"/>
      <c r="C1315" s="471"/>
      <c r="D1315" s="471"/>
      <c r="E1315" s="471"/>
      <c r="F1315" s="471"/>
      <c r="G1315" s="471"/>
      <c r="H1315" s="292"/>
      <c r="I1315" s="292"/>
      <c r="J1315" s="292"/>
      <c r="K1315" s="292"/>
      <c r="L1315" s="292"/>
      <c r="M1315" s="292"/>
      <c r="N1315" s="292"/>
      <c r="O1315" s="292"/>
      <c r="P1315" s="294"/>
      <c r="Q1315" s="294"/>
      <c r="R1315" s="294"/>
      <c r="S1315" s="294"/>
      <c r="T1315" s="294"/>
      <c r="U1315" s="294"/>
      <c r="V1315" s="431"/>
      <c r="W1315" s="331"/>
      <c r="X1315" s="331"/>
      <c r="Y1315" s="294">
        <f>IF(NFI_Expiration=1,IF($A1315&lt;VLOOKUP(H$5,NFI,5,0),1,0)*Table_NFI[[#This Row],[Hygiene Kit]],Table_NFI[Hygiene Kit])</f>
        <v>0</v>
      </c>
      <c r="Z1315" s="294">
        <f>IF(NFI_Expiration=1,IF($A1315&lt;VLOOKUP(I$5,NFI,5,0),1,0)*Table_NFI[[#This Row],[NFI Core Kit]],Table_NFI[NFI Core Kit])</f>
        <v>0</v>
      </c>
      <c r="AA1315" s="294">
        <f>IF(NFI_Expiration=1,IF($A1315&lt;VLOOKUP(J$5,NFI,5,0),1,0)*Table_NFI[[#This Row],[Sanitary Kit]],Table_NFI[Sanitary Kit])</f>
        <v>0</v>
      </c>
      <c r="AB1315" s="294">
        <f>IF(NFI_Expiration=1,IF($A1315&lt;VLOOKUP(K$5,NFI,5,0),1,0)*Table_NFI[[#This Row],[Mosquito net]],Table_NFI[Mosquito net])</f>
        <v>0</v>
      </c>
      <c r="AC1315" s="294">
        <f>IF(NFI_Expiration=1,IF($A1315&lt;VLOOKUP(L$5,NFI,5,0),1,0)*Table_NFI[[#This Row],[Tarpaulin]],Table_NFI[[#This Row],[Tarpaulin]])</f>
        <v>0</v>
      </c>
      <c r="AD1315" s="294">
        <f>IF(NFI_Expiration=1,IF($A1315&lt;VLOOKUP(M$5,NFI,5,0),1,0)*Table_NFI[[#This Row],[Blanket]],Table_NFI[[#This Row],[Blanket]])</f>
        <v>0</v>
      </c>
      <c r="AE1315" s="294">
        <f>IF(NFI_Expiration=1,IF($A1315&lt;VLOOKUP(N$5,NFI,5,0),1,0)*Table_NFI[[#This Row],[Kitchen Set]],Table_NFI[Kitchen Set])</f>
        <v>0</v>
      </c>
      <c r="AF1315" s="294">
        <f>IF(NFI_Expiration=1,IF($A1315&lt;VLOOKUP(O$5,NFI,5,0),1,0)*Table_NFI[[#This Row],[Clothes Kit]],Table_NFI[Clothes Kit])</f>
        <v>0</v>
      </c>
      <c r="AG1315" s="294">
        <f>IF(NFI_Expiration=1,IF($A1315&lt;VLOOKUP(P$5,NFI,5,0),1,0)*Table_NFI[[#This Row],[Plastic Bucket]],Table_NFI[Plastic Bucket])</f>
        <v>0</v>
      </c>
      <c r="AH1315" s="294">
        <f>IF(NFI_Expiration=1,IF($A1315&lt;VLOOKUP(Q$5,NFI,5,0),1,0)*Table_NFI[[#This Row],[Plastic Mat]],Table_NFI[Plastic Mat])*IF(Table_NFI[[#This Row],[Distribution Date]]&gt;"2014-04-01",1,2.5)</f>
        <v>0</v>
      </c>
      <c r="AI1315" s="294">
        <f>IF(NFI_Expiration=1,IF($A1315&lt;VLOOKUP(R$5,NFI,5,0),1,0)*Table_NFI[[#This Row],[Winter Clothes Adult]],Table_NFI[Winter Clothes Adult])</f>
        <v>0</v>
      </c>
      <c r="AJ1315" s="294">
        <f>IF(NFI_Expiration=1,IF($A1315&lt;VLOOKUP(S$5,NFI,5,0),1,0)*Table_NFI[[#This Row],[Winter Clothes Children]],Table_NFI[Winter Clothes Children])</f>
        <v>0</v>
      </c>
      <c r="AK1315" s="294">
        <f>IF(NFI_Expiration=1,IF($A1315&lt;VLOOKUP(T$5,NFI,5,0),1,0)*Table_NFI[[#This Row],[Winter Items Other]],Table_NFI[Winter Items Other])</f>
        <v>0</v>
      </c>
      <c r="AL1315" s="294">
        <f>IF(NFI_Expiration=1,IF($A1315&lt;VLOOKUP(M$5,NFI,5,0),1,0)*Table_NFI[[#This Row],[Winter Blanket]],Table_NFI[[#This Row],[Winter Blanket]])</f>
        <v>0</v>
      </c>
      <c r="AM1315" s="294">
        <f>IF(Table_NFI[[#This Row],[Winter Clothes Adult]]+Table_NFI[[#This Row],[Winter Clothes Children]]+Table_NFI[[#This Row],[Winter Items Other]]+Table_NFI[[#This Row],[Winter Blanket]]&gt;0,1,0)</f>
        <v>0</v>
      </c>
      <c r="AN1315" s="331">
        <f>IF(NFI_Expiration=1,IF($A1315&lt;VLOOKUP(V$5,NFI,5,0),1,0)*Table_NFI[[#This Row],[Jerry Can]],Table_NFI[Jerry Can])</f>
        <v>0</v>
      </c>
      <c r="AO1315" s="331">
        <f>IF(NFI_Expiration=1,IF($A1315&lt;VLOOKUP(V$5,NFI,5,0),1,0)*Table_NFI[[#This Row],[Shelter Tool kit]],Table_NFI[Shelter Tool kit])</f>
        <v>0</v>
      </c>
      <c r="AP1315" s="331">
        <f>IF(NFI_Expiration=1,IF($A1315&lt;VLOOKUP(V$5,NFI,5,0),1,0)*Table_NFI[[#This Row],[Tent]],Table_NFI[Tent])</f>
        <v>0</v>
      </c>
      <c r="AQ1315" s="473" t="str">
        <f>IFERROR(VLOOKUP(Table_NFI[[#This Row],[Camp Name]],CL,2,0),"")</f>
        <v/>
      </c>
      <c r="AR1315" s="468" t="str">
        <f ca="1">IF(Table_NFI[[#This Row],[Pcode]]="","",IF(OFFSET(CampList[Opening Date],MATCH(Table_NFI[[#This Row],[Pcode]],CampList[CP_Pcode],0)-1,0,1,1)&gt;=NFI_Monitor_Date,1,0))</f>
        <v/>
      </c>
      <c r="AS1315" s="473" t="str">
        <f>IFERROR(VLOOKUP(Table_NFI[[#This Row],[Camp Name]],CL,3,0),"")</f>
        <v/>
      </c>
      <c r="AT1315" s="294" t="str">
        <f ca="1">IF(Table_NFI[[#This Row],[Pcode]]="","",OFFSET(CampList[Priority],MATCH(Table_NFI[[#This Row],[Pcode]],CampList[CP_Pcode],0)-1,0,1,1))</f>
        <v/>
      </c>
      <c r="AU1315" s="293" t="str">
        <f>IFERROR(Table_NFI[[#This Row],[Kitchen Set]]/VLOOKUP(Table_NFI[[#This Row],[Camp Name]],CL,4,0),"")</f>
        <v/>
      </c>
      <c r="AV1315" s="471"/>
      <c r="AW1315" s="474"/>
    </row>
    <row r="1316" spans="1:49" ht="14.45" customHeight="1" x14ac:dyDescent="0.25">
      <c r="A1316" s="297" t="str">
        <f t="shared" si="20"/>
        <v/>
      </c>
      <c r="B1316" s="465"/>
      <c r="C1316" s="471"/>
      <c r="D1316" s="471"/>
      <c r="E1316" s="471"/>
      <c r="F1316" s="471"/>
      <c r="G1316" s="471"/>
      <c r="H1316" s="292"/>
      <c r="I1316" s="292"/>
      <c r="J1316" s="292"/>
      <c r="K1316" s="292"/>
      <c r="L1316" s="292"/>
      <c r="M1316" s="292"/>
      <c r="N1316" s="292"/>
      <c r="O1316" s="292"/>
      <c r="P1316" s="294"/>
      <c r="Q1316" s="294"/>
      <c r="R1316" s="294"/>
      <c r="S1316" s="294"/>
      <c r="T1316" s="294"/>
      <c r="U1316" s="294"/>
      <c r="V1316" s="431"/>
      <c r="W1316" s="331"/>
      <c r="X1316" s="331"/>
      <c r="Y1316" s="294">
        <f>IF(NFI_Expiration=1,IF($A1316&lt;VLOOKUP(H$5,NFI,5,0),1,0)*Table_NFI[[#This Row],[Hygiene Kit]],Table_NFI[Hygiene Kit])</f>
        <v>0</v>
      </c>
      <c r="Z1316" s="294">
        <f>IF(NFI_Expiration=1,IF($A1316&lt;VLOOKUP(I$5,NFI,5,0),1,0)*Table_NFI[[#This Row],[NFI Core Kit]],Table_NFI[NFI Core Kit])</f>
        <v>0</v>
      </c>
      <c r="AA1316" s="294">
        <f>IF(NFI_Expiration=1,IF($A1316&lt;VLOOKUP(J$5,NFI,5,0),1,0)*Table_NFI[[#This Row],[Sanitary Kit]],Table_NFI[Sanitary Kit])</f>
        <v>0</v>
      </c>
      <c r="AB1316" s="294">
        <f>IF(NFI_Expiration=1,IF($A1316&lt;VLOOKUP(K$5,NFI,5,0),1,0)*Table_NFI[[#This Row],[Mosquito net]],Table_NFI[Mosquito net])</f>
        <v>0</v>
      </c>
      <c r="AC1316" s="294">
        <f>IF(NFI_Expiration=1,IF($A1316&lt;VLOOKUP(L$5,NFI,5,0),1,0)*Table_NFI[[#This Row],[Tarpaulin]],Table_NFI[[#This Row],[Tarpaulin]])</f>
        <v>0</v>
      </c>
      <c r="AD1316" s="294">
        <f>IF(NFI_Expiration=1,IF($A1316&lt;VLOOKUP(M$5,NFI,5,0),1,0)*Table_NFI[[#This Row],[Blanket]],Table_NFI[[#This Row],[Blanket]])</f>
        <v>0</v>
      </c>
      <c r="AE1316" s="294">
        <f>IF(NFI_Expiration=1,IF($A1316&lt;VLOOKUP(N$5,NFI,5,0),1,0)*Table_NFI[[#This Row],[Kitchen Set]],Table_NFI[Kitchen Set])</f>
        <v>0</v>
      </c>
      <c r="AF1316" s="294">
        <f>IF(NFI_Expiration=1,IF($A1316&lt;VLOOKUP(O$5,NFI,5,0),1,0)*Table_NFI[[#This Row],[Clothes Kit]],Table_NFI[Clothes Kit])</f>
        <v>0</v>
      </c>
      <c r="AG1316" s="294">
        <f>IF(NFI_Expiration=1,IF($A1316&lt;VLOOKUP(P$5,NFI,5,0),1,0)*Table_NFI[[#This Row],[Plastic Bucket]],Table_NFI[Plastic Bucket])</f>
        <v>0</v>
      </c>
      <c r="AH1316" s="294">
        <f>IF(NFI_Expiration=1,IF($A1316&lt;VLOOKUP(Q$5,NFI,5,0),1,0)*Table_NFI[[#This Row],[Plastic Mat]],Table_NFI[Plastic Mat])*IF(Table_NFI[[#This Row],[Distribution Date]]&gt;"2014-04-01",1,2.5)</f>
        <v>0</v>
      </c>
      <c r="AI1316" s="294">
        <f>IF(NFI_Expiration=1,IF($A1316&lt;VLOOKUP(R$5,NFI,5,0),1,0)*Table_NFI[[#This Row],[Winter Clothes Adult]],Table_NFI[Winter Clothes Adult])</f>
        <v>0</v>
      </c>
      <c r="AJ1316" s="294">
        <f>IF(NFI_Expiration=1,IF($A1316&lt;VLOOKUP(S$5,NFI,5,0),1,0)*Table_NFI[[#This Row],[Winter Clothes Children]],Table_NFI[Winter Clothes Children])</f>
        <v>0</v>
      </c>
      <c r="AK1316" s="294">
        <f>IF(NFI_Expiration=1,IF($A1316&lt;VLOOKUP(T$5,NFI,5,0),1,0)*Table_NFI[[#This Row],[Winter Items Other]],Table_NFI[Winter Items Other])</f>
        <v>0</v>
      </c>
      <c r="AL1316" s="294">
        <f>IF(NFI_Expiration=1,IF($A1316&lt;VLOOKUP(M$5,NFI,5,0),1,0)*Table_NFI[[#This Row],[Winter Blanket]],Table_NFI[[#This Row],[Winter Blanket]])</f>
        <v>0</v>
      </c>
      <c r="AM1316" s="294">
        <f>IF(Table_NFI[[#This Row],[Winter Clothes Adult]]+Table_NFI[[#This Row],[Winter Clothes Children]]+Table_NFI[[#This Row],[Winter Items Other]]+Table_NFI[[#This Row],[Winter Blanket]]&gt;0,1,0)</f>
        <v>0</v>
      </c>
      <c r="AN1316" s="331">
        <f>IF(NFI_Expiration=1,IF($A1316&lt;VLOOKUP(V$5,NFI,5,0),1,0)*Table_NFI[[#This Row],[Jerry Can]],Table_NFI[Jerry Can])</f>
        <v>0</v>
      </c>
      <c r="AO1316" s="331">
        <f>IF(NFI_Expiration=1,IF($A1316&lt;VLOOKUP(V$5,NFI,5,0),1,0)*Table_NFI[[#This Row],[Shelter Tool kit]],Table_NFI[Shelter Tool kit])</f>
        <v>0</v>
      </c>
      <c r="AP1316" s="331">
        <f>IF(NFI_Expiration=1,IF($A1316&lt;VLOOKUP(V$5,NFI,5,0),1,0)*Table_NFI[[#This Row],[Tent]],Table_NFI[Tent])</f>
        <v>0</v>
      </c>
      <c r="AQ1316" s="473" t="str">
        <f>IFERROR(VLOOKUP(Table_NFI[[#This Row],[Camp Name]],CL,2,0),"")</f>
        <v/>
      </c>
      <c r="AR1316" s="468" t="str">
        <f ca="1">IF(Table_NFI[[#This Row],[Pcode]]="","",IF(OFFSET(CampList[Opening Date],MATCH(Table_NFI[[#This Row],[Pcode]],CampList[CP_Pcode],0)-1,0,1,1)&gt;=NFI_Monitor_Date,1,0))</f>
        <v/>
      </c>
      <c r="AS1316" s="473" t="str">
        <f>IFERROR(VLOOKUP(Table_NFI[[#This Row],[Camp Name]],CL,3,0),"")</f>
        <v/>
      </c>
      <c r="AT1316" s="294" t="str">
        <f ca="1">IF(Table_NFI[[#This Row],[Pcode]]="","",OFFSET(CampList[Priority],MATCH(Table_NFI[[#This Row],[Pcode]],CampList[CP_Pcode],0)-1,0,1,1))</f>
        <v/>
      </c>
      <c r="AU1316" s="293" t="str">
        <f>IFERROR(Table_NFI[[#This Row],[Kitchen Set]]/VLOOKUP(Table_NFI[[#This Row],[Camp Name]],CL,4,0),"")</f>
        <v/>
      </c>
      <c r="AV1316" s="471"/>
      <c r="AW1316" s="474"/>
    </row>
    <row r="1317" spans="1:49" ht="14.45" customHeight="1" x14ac:dyDescent="0.25">
      <c r="A1317" s="297" t="str">
        <f t="shared" si="20"/>
        <v/>
      </c>
      <c r="B1317" s="465"/>
      <c r="C1317" s="471"/>
      <c r="D1317" s="471"/>
      <c r="E1317" s="471"/>
      <c r="F1317" s="471"/>
      <c r="G1317" s="471"/>
      <c r="H1317" s="292"/>
      <c r="I1317" s="292"/>
      <c r="J1317" s="292"/>
      <c r="K1317" s="292"/>
      <c r="L1317" s="292"/>
      <c r="M1317" s="292"/>
      <c r="N1317" s="292"/>
      <c r="O1317" s="292"/>
      <c r="P1317" s="294"/>
      <c r="Q1317" s="294"/>
      <c r="R1317" s="294"/>
      <c r="S1317" s="294"/>
      <c r="T1317" s="294"/>
      <c r="U1317" s="294"/>
      <c r="V1317" s="431"/>
      <c r="W1317" s="331"/>
      <c r="X1317" s="331"/>
      <c r="Y1317" s="294">
        <f>IF(NFI_Expiration=1,IF($A1317&lt;VLOOKUP(H$5,NFI,5,0),1,0)*Table_NFI[[#This Row],[Hygiene Kit]],Table_NFI[Hygiene Kit])</f>
        <v>0</v>
      </c>
      <c r="Z1317" s="294">
        <f>IF(NFI_Expiration=1,IF($A1317&lt;VLOOKUP(I$5,NFI,5,0),1,0)*Table_NFI[[#This Row],[NFI Core Kit]],Table_NFI[NFI Core Kit])</f>
        <v>0</v>
      </c>
      <c r="AA1317" s="294">
        <f>IF(NFI_Expiration=1,IF($A1317&lt;VLOOKUP(J$5,NFI,5,0),1,0)*Table_NFI[[#This Row],[Sanitary Kit]],Table_NFI[Sanitary Kit])</f>
        <v>0</v>
      </c>
      <c r="AB1317" s="294">
        <f>IF(NFI_Expiration=1,IF($A1317&lt;VLOOKUP(K$5,NFI,5,0),1,0)*Table_NFI[[#This Row],[Mosquito net]],Table_NFI[Mosquito net])</f>
        <v>0</v>
      </c>
      <c r="AC1317" s="294">
        <f>IF(NFI_Expiration=1,IF($A1317&lt;VLOOKUP(L$5,NFI,5,0),1,0)*Table_NFI[[#This Row],[Tarpaulin]],Table_NFI[[#This Row],[Tarpaulin]])</f>
        <v>0</v>
      </c>
      <c r="AD1317" s="294">
        <f>IF(NFI_Expiration=1,IF($A1317&lt;VLOOKUP(M$5,NFI,5,0),1,0)*Table_NFI[[#This Row],[Blanket]],Table_NFI[[#This Row],[Blanket]])</f>
        <v>0</v>
      </c>
      <c r="AE1317" s="294">
        <f>IF(NFI_Expiration=1,IF($A1317&lt;VLOOKUP(N$5,NFI,5,0),1,0)*Table_NFI[[#This Row],[Kitchen Set]],Table_NFI[Kitchen Set])</f>
        <v>0</v>
      </c>
      <c r="AF1317" s="294">
        <f>IF(NFI_Expiration=1,IF($A1317&lt;VLOOKUP(O$5,NFI,5,0),1,0)*Table_NFI[[#This Row],[Clothes Kit]],Table_NFI[Clothes Kit])</f>
        <v>0</v>
      </c>
      <c r="AG1317" s="294">
        <f>IF(NFI_Expiration=1,IF($A1317&lt;VLOOKUP(P$5,NFI,5,0),1,0)*Table_NFI[[#This Row],[Plastic Bucket]],Table_NFI[Plastic Bucket])</f>
        <v>0</v>
      </c>
      <c r="AH1317" s="294">
        <f>IF(NFI_Expiration=1,IF($A1317&lt;VLOOKUP(Q$5,NFI,5,0),1,0)*Table_NFI[[#This Row],[Plastic Mat]],Table_NFI[Plastic Mat])*IF(Table_NFI[[#This Row],[Distribution Date]]&gt;"2014-04-01",1,2.5)</f>
        <v>0</v>
      </c>
      <c r="AI1317" s="294">
        <f>IF(NFI_Expiration=1,IF($A1317&lt;VLOOKUP(R$5,NFI,5,0),1,0)*Table_NFI[[#This Row],[Winter Clothes Adult]],Table_NFI[Winter Clothes Adult])</f>
        <v>0</v>
      </c>
      <c r="AJ1317" s="294">
        <f>IF(NFI_Expiration=1,IF($A1317&lt;VLOOKUP(S$5,NFI,5,0),1,0)*Table_NFI[[#This Row],[Winter Clothes Children]],Table_NFI[Winter Clothes Children])</f>
        <v>0</v>
      </c>
      <c r="AK1317" s="294">
        <f>IF(NFI_Expiration=1,IF($A1317&lt;VLOOKUP(T$5,NFI,5,0),1,0)*Table_NFI[[#This Row],[Winter Items Other]],Table_NFI[Winter Items Other])</f>
        <v>0</v>
      </c>
      <c r="AL1317" s="294">
        <f>IF(NFI_Expiration=1,IF($A1317&lt;VLOOKUP(M$5,NFI,5,0),1,0)*Table_NFI[[#This Row],[Winter Blanket]],Table_NFI[[#This Row],[Winter Blanket]])</f>
        <v>0</v>
      </c>
      <c r="AM1317" s="294">
        <f>IF(Table_NFI[[#This Row],[Winter Clothes Adult]]+Table_NFI[[#This Row],[Winter Clothes Children]]+Table_NFI[[#This Row],[Winter Items Other]]+Table_NFI[[#This Row],[Winter Blanket]]&gt;0,1,0)</f>
        <v>0</v>
      </c>
      <c r="AN1317" s="331">
        <f>IF(NFI_Expiration=1,IF($A1317&lt;VLOOKUP(V$5,NFI,5,0),1,0)*Table_NFI[[#This Row],[Jerry Can]],Table_NFI[Jerry Can])</f>
        <v>0</v>
      </c>
      <c r="AO1317" s="331">
        <f>IF(NFI_Expiration=1,IF($A1317&lt;VLOOKUP(V$5,NFI,5,0),1,0)*Table_NFI[[#This Row],[Shelter Tool kit]],Table_NFI[Shelter Tool kit])</f>
        <v>0</v>
      </c>
      <c r="AP1317" s="331">
        <f>IF(NFI_Expiration=1,IF($A1317&lt;VLOOKUP(V$5,NFI,5,0),1,0)*Table_NFI[[#This Row],[Tent]],Table_NFI[Tent])</f>
        <v>0</v>
      </c>
      <c r="AQ1317" s="473" t="str">
        <f>IFERROR(VLOOKUP(Table_NFI[[#This Row],[Camp Name]],CL,2,0),"")</f>
        <v/>
      </c>
      <c r="AR1317" s="468" t="str">
        <f ca="1">IF(Table_NFI[[#This Row],[Pcode]]="","",IF(OFFSET(CampList[Opening Date],MATCH(Table_NFI[[#This Row],[Pcode]],CampList[CP_Pcode],0)-1,0,1,1)&gt;=NFI_Monitor_Date,1,0))</f>
        <v/>
      </c>
      <c r="AS1317" s="473" t="str">
        <f>IFERROR(VLOOKUP(Table_NFI[[#This Row],[Camp Name]],CL,3,0),"")</f>
        <v/>
      </c>
      <c r="AT1317" s="294" t="str">
        <f ca="1">IF(Table_NFI[[#This Row],[Pcode]]="","",OFFSET(CampList[Priority],MATCH(Table_NFI[[#This Row],[Pcode]],CampList[CP_Pcode],0)-1,0,1,1))</f>
        <v/>
      </c>
      <c r="AU1317" s="293" t="str">
        <f>IFERROR(Table_NFI[[#This Row],[Kitchen Set]]/VLOOKUP(Table_NFI[[#This Row],[Camp Name]],CL,4,0),"")</f>
        <v/>
      </c>
      <c r="AV1317" s="471"/>
      <c r="AW1317" s="474"/>
    </row>
    <row r="1318" spans="1:49" ht="14.45" customHeight="1" x14ac:dyDescent="0.25">
      <c r="A1318" s="297" t="str">
        <f t="shared" si="20"/>
        <v/>
      </c>
      <c r="B1318" s="465"/>
      <c r="C1318" s="471"/>
      <c r="D1318" s="471"/>
      <c r="E1318" s="471"/>
      <c r="F1318" s="471"/>
      <c r="G1318" s="471"/>
      <c r="H1318" s="292"/>
      <c r="I1318" s="292"/>
      <c r="J1318" s="292"/>
      <c r="K1318" s="292"/>
      <c r="L1318" s="292"/>
      <c r="M1318" s="292"/>
      <c r="N1318" s="292"/>
      <c r="O1318" s="292"/>
      <c r="P1318" s="294"/>
      <c r="Q1318" s="294"/>
      <c r="R1318" s="294"/>
      <c r="S1318" s="294"/>
      <c r="T1318" s="294"/>
      <c r="U1318" s="294"/>
      <c r="V1318" s="431"/>
      <c r="W1318" s="331"/>
      <c r="X1318" s="331"/>
      <c r="Y1318" s="294">
        <f>IF(NFI_Expiration=1,IF($A1318&lt;VLOOKUP(H$5,NFI,5,0),1,0)*Table_NFI[[#This Row],[Hygiene Kit]],Table_NFI[Hygiene Kit])</f>
        <v>0</v>
      </c>
      <c r="Z1318" s="294">
        <f>IF(NFI_Expiration=1,IF($A1318&lt;VLOOKUP(I$5,NFI,5,0),1,0)*Table_NFI[[#This Row],[NFI Core Kit]],Table_NFI[NFI Core Kit])</f>
        <v>0</v>
      </c>
      <c r="AA1318" s="294">
        <f>IF(NFI_Expiration=1,IF($A1318&lt;VLOOKUP(J$5,NFI,5,0),1,0)*Table_NFI[[#This Row],[Sanitary Kit]],Table_NFI[Sanitary Kit])</f>
        <v>0</v>
      </c>
      <c r="AB1318" s="294">
        <f>IF(NFI_Expiration=1,IF($A1318&lt;VLOOKUP(K$5,NFI,5,0),1,0)*Table_NFI[[#This Row],[Mosquito net]],Table_NFI[Mosquito net])</f>
        <v>0</v>
      </c>
      <c r="AC1318" s="294">
        <f>IF(NFI_Expiration=1,IF($A1318&lt;VLOOKUP(L$5,NFI,5,0),1,0)*Table_NFI[[#This Row],[Tarpaulin]],Table_NFI[[#This Row],[Tarpaulin]])</f>
        <v>0</v>
      </c>
      <c r="AD1318" s="294">
        <f>IF(NFI_Expiration=1,IF($A1318&lt;VLOOKUP(M$5,NFI,5,0),1,0)*Table_NFI[[#This Row],[Blanket]],Table_NFI[[#This Row],[Blanket]])</f>
        <v>0</v>
      </c>
      <c r="AE1318" s="294">
        <f>IF(NFI_Expiration=1,IF($A1318&lt;VLOOKUP(N$5,NFI,5,0),1,0)*Table_NFI[[#This Row],[Kitchen Set]],Table_NFI[Kitchen Set])</f>
        <v>0</v>
      </c>
      <c r="AF1318" s="294">
        <f>IF(NFI_Expiration=1,IF($A1318&lt;VLOOKUP(O$5,NFI,5,0),1,0)*Table_NFI[[#This Row],[Clothes Kit]],Table_NFI[Clothes Kit])</f>
        <v>0</v>
      </c>
      <c r="AG1318" s="294">
        <f>IF(NFI_Expiration=1,IF($A1318&lt;VLOOKUP(P$5,NFI,5,0),1,0)*Table_NFI[[#This Row],[Plastic Bucket]],Table_NFI[Plastic Bucket])</f>
        <v>0</v>
      </c>
      <c r="AH1318" s="294">
        <f>IF(NFI_Expiration=1,IF($A1318&lt;VLOOKUP(Q$5,NFI,5,0),1,0)*Table_NFI[[#This Row],[Plastic Mat]],Table_NFI[Plastic Mat])*IF(Table_NFI[[#This Row],[Distribution Date]]&gt;"2014-04-01",1,2.5)</f>
        <v>0</v>
      </c>
      <c r="AI1318" s="294">
        <f>IF(NFI_Expiration=1,IF($A1318&lt;VLOOKUP(R$5,NFI,5,0),1,0)*Table_NFI[[#This Row],[Winter Clothes Adult]],Table_NFI[Winter Clothes Adult])</f>
        <v>0</v>
      </c>
      <c r="AJ1318" s="294">
        <f>IF(NFI_Expiration=1,IF($A1318&lt;VLOOKUP(S$5,NFI,5,0),1,0)*Table_NFI[[#This Row],[Winter Clothes Children]],Table_NFI[Winter Clothes Children])</f>
        <v>0</v>
      </c>
      <c r="AK1318" s="294">
        <f>IF(NFI_Expiration=1,IF($A1318&lt;VLOOKUP(T$5,NFI,5,0),1,0)*Table_NFI[[#This Row],[Winter Items Other]],Table_NFI[Winter Items Other])</f>
        <v>0</v>
      </c>
      <c r="AL1318" s="294">
        <f>IF(NFI_Expiration=1,IF($A1318&lt;VLOOKUP(M$5,NFI,5,0),1,0)*Table_NFI[[#This Row],[Winter Blanket]],Table_NFI[[#This Row],[Winter Blanket]])</f>
        <v>0</v>
      </c>
      <c r="AM1318" s="294">
        <f>IF(Table_NFI[[#This Row],[Winter Clothes Adult]]+Table_NFI[[#This Row],[Winter Clothes Children]]+Table_NFI[[#This Row],[Winter Items Other]]+Table_NFI[[#This Row],[Winter Blanket]]&gt;0,1,0)</f>
        <v>0</v>
      </c>
      <c r="AN1318" s="331">
        <f>IF(NFI_Expiration=1,IF($A1318&lt;VLOOKUP(V$5,NFI,5,0),1,0)*Table_NFI[[#This Row],[Jerry Can]],Table_NFI[Jerry Can])</f>
        <v>0</v>
      </c>
      <c r="AO1318" s="331">
        <f>IF(NFI_Expiration=1,IF($A1318&lt;VLOOKUP(V$5,NFI,5,0),1,0)*Table_NFI[[#This Row],[Shelter Tool kit]],Table_NFI[Shelter Tool kit])</f>
        <v>0</v>
      </c>
      <c r="AP1318" s="331">
        <f>IF(NFI_Expiration=1,IF($A1318&lt;VLOOKUP(V$5,NFI,5,0),1,0)*Table_NFI[[#This Row],[Tent]],Table_NFI[Tent])</f>
        <v>0</v>
      </c>
      <c r="AQ1318" s="473" t="str">
        <f>IFERROR(VLOOKUP(Table_NFI[[#This Row],[Camp Name]],CL,2,0),"")</f>
        <v/>
      </c>
      <c r="AR1318" s="468" t="str">
        <f ca="1">IF(Table_NFI[[#This Row],[Pcode]]="","",IF(OFFSET(CampList[Opening Date],MATCH(Table_NFI[[#This Row],[Pcode]],CampList[CP_Pcode],0)-1,0,1,1)&gt;=NFI_Monitor_Date,1,0))</f>
        <v/>
      </c>
      <c r="AS1318" s="473" t="str">
        <f>IFERROR(VLOOKUP(Table_NFI[[#This Row],[Camp Name]],CL,3,0),"")</f>
        <v/>
      </c>
      <c r="AT1318" s="294" t="str">
        <f ca="1">IF(Table_NFI[[#This Row],[Pcode]]="","",OFFSET(CampList[Priority],MATCH(Table_NFI[[#This Row],[Pcode]],CampList[CP_Pcode],0)-1,0,1,1))</f>
        <v/>
      </c>
      <c r="AU1318" s="293" t="str">
        <f>IFERROR(Table_NFI[[#This Row],[Kitchen Set]]/VLOOKUP(Table_NFI[[#This Row],[Camp Name]],CL,4,0),"")</f>
        <v/>
      </c>
      <c r="AV1318" s="471"/>
      <c r="AW1318" s="474"/>
    </row>
    <row r="1319" spans="1:49" ht="14.45" customHeight="1" x14ac:dyDescent="0.25">
      <c r="A1319" s="297" t="str">
        <f t="shared" si="20"/>
        <v/>
      </c>
      <c r="B1319" s="465"/>
      <c r="C1319" s="471"/>
      <c r="D1319" s="471"/>
      <c r="E1319" s="471"/>
      <c r="F1319" s="471"/>
      <c r="G1319" s="471"/>
      <c r="H1319" s="292"/>
      <c r="I1319" s="292"/>
      <c r="J1319" s="292"/>
      <c r="K1319" s="292"/>
      <c r="L1319" s="292"/>
      <c r="M1319" s="292"/>
      <c r="N1319" s="292"/>
      <c r="O1319" s="292"/>
      <c r="P1319" s="294"/>
      <c r="Q1319" s="294"/>
      <c r="R1319" s="294"/>
      <c r="S1319" s="294"/>
      <c r="T1319" s="294"/>
      <c r="U1319" s="294"/>
      <c r="V1319" s="431"/>
      <c r="W1319" s="331"/>
      <c r="X1319" s="331"/>
      <c r="Y1319" s="294">
        <f>IF(NFI_Expiration=1,IF($A1319&lt;VLOOKUP(H$5,NFI,5,0),1,0)*Table_NFI[[#This Row],[Hygiene Kit]],Table_NFI[Hygiene Kit])</f>
        <v>0</v>
      </c>
      <c r="Z1319" s="294">
        <f>IF(NFI_Expiration=1,IF($A1319&lt;VLOOKUP(I$5,NFI,5,0),1,0)*Table_NFI[[#This Row],[NFI Core Kit]],Table_NFI[NFI Core Kit])</f>
        <v>0</v>
      </c>
      <c r="AA1319" s="294">
        <f>IF(NFI_Expiration=1,IF($A1319&lt;VLOOKUP(J$5,NFI,5,0),1,0)*Table_NFI[[#This Row],[Sanitary Kit]],Table_NFI[Sanitary Kit])</f>
        <v>0</v>
      </c>
      <c r="AB1319" s="294">
        <f>IF(NFI_Expiration=1,IF($A1319&lt;VLOOKUP(K$5,NFI,5,0),1,0)*Table_NFI[[#This Row],[Mosquito net]],Table_NFI[Mosquito net])</f>
        <v>0</v>
      </c>
      <c r="AC1319" s="294">
        <f>IF(NFI_Expiration=1,IF($A1319&lt;VLOOKUP(L$5,NFI,5,0),1,0)*Table_NFI[[#This Row],[Tarpaulin]],Table_NFI[[#This Row],[Tarpaulin]])</f>
        <v>0</v>
      </c>
      <c r="AD1319" s="294">
        <f>IF(NFI_Expiration=1,IF($A1319&lt;VLOOKUP(M$5,NFI,5,0),1,0)*Table_NFI[[#This Row],[Blanket]],Table_NFI[[#This Row],[Blanket]])</f>
        <v>0</v>
      </c>
      <c r="AE1319" s="294">
        <f>IF(NFI_Expiration=1,IF($A1319&lt;VLOOKUP(N$5,NFI,5,0),1,0)*Table_NFI[[#This Row],[Kitchen Set]],Table_NFI[Kitchen Set])</f>
        <v>0</v>
      </c>
      <c r="AF1319" s="294">
        <f>IF(NFI_Expiration=1,IF($A1319&lt;VLOOKUP(O$5,NFI,5,0),1,0)*Table_NFI[[#This Row],[Clothes Kit]],Table_NFI[Clothes Kit])</f>
        <v>0</v>
      </c>
      <c r="AG1319" s="294">
        <f>IF(NFI_Expiration=1,IF($A1319&lt;VLOOKUP(P$5,NFI,5,0),1,0)*Table_NFI[[#This Row],[Plastic Bucket]],Table_NFI[Plastic Bucket])</f>
        <v>0</v>
      </c>
      <c r="AH1319" s="294">
        <f>IF(NFI_Expiration=1,IF($A1319&lt;VLOOKUP(Q$5,NFI,5,0),1,0)*Table_NFI[[#This Row],[Plastic Mat]],Table_NFI[Plastic Mat])*IF(Table_NFI[[#This Row],[Distribution Date]]&gt;"2014-04-01",1,2.5)</f>
        <v>0</v>
      </c>
      <c r="AI1319" s="294">
        <f>IF(NFI_Expiration=1,IF($A1319&lt;VLOOKUP(R$5,NFI,5,0),1,0)*Table_NFI[[#This Row],[Winter Clothes Adult]],Table_NFI[Winter Clothes Adult])</f>
        <v>0</v>
      </c>
      <c r="AJ1319" s="294">
        <f>IF(NFI_Expiration=1,IF($A1319&lt;VLOOKUP(S$5,NFI,5,0),1,0)*Table_NFI[[#This Row],[Winter Clothes Children]],Table_NFI[Winter Clothes Children])</f>
        <v>0</v>
      </c>
      <c r="AK1319" s="294">
        <f>IF(NFI_Expiration=1,IF($A1319&lt;VLOOKUP(T$5,NFI,5,0),1,0)*Table_NFI[[#This Row],[Winter Items Other]],Table_NFI[Winter Items Other])</f>
        <v>0</v>
      </c>
      <c r="AL1319" s="294">
        <f>IF(NFI_Expiration=1,IF($A1319&lt;VLOOKUP(M$5,NFI,5,0),1,0)*Table_NFI[[#This Row],[Winter Blanket]],Table_NFI[[#This Row],[Winter Blanket]])</f>
        <v>0</v>
      </c>
      <c r="AM1319" s="294">
        <f>IF(Table_NFI[[#This Row],[Winter Clothes Adult]]+Table_NFI[[#This Row],[Winter Clothes Children]]+Table_NFI[[#This Row],[Winter Items Other]]+Table_NFI[[#This Row],[Winter Blanket]]&gt;0,1,0)</f>
        <v>0</v>
      </c>
      <c r="AN1319" s="331">
        <f>IF(NFI_Expiration=1,IF($A1319&lt;VLOOKUP(V$5,NFI,5,0),1,0)*Table_NFI[[#This Row],[Jerry Can]],Table_NFI[Jerry Can])</f>
        <v>0</v>
      </c>
      <c r="AO1319" s="331">
        <f>IF(NFI_Expiration=1,IF($A1319&lt;VLOOKUP(V$5,NFI,5,0),1,0)*Table_NFI[[#This Row],[Shelter Tool kit]],Table_NFI[Shelter Tool kit])</f>
        <v>0</v>
      </c>
      <c r="AP1319" s="331">
        <f>IF(NFI_Expiration=1,IF($A1319&lt;VLOOKUP(V$5,NFI,5,0),1,0)*Table_NFI[[#This Row],[Tent]],Table_NFI[Tent])</f>
        <v>0</v>
      </c>
      <c r="AQ1319" s="473" t="str">
        <f>IFERROR(VLOOKUP(Table_NFI[[#This Row],[Camp Name]],CL,2,0),"")</f>
        <v/>
      </c>
      <c r="AR1319" s="468" t="str">
        <f ca="1">IF(Table_NFI[[#This Row],[Pcode]]="","",IF(OFFSET(CampList[Opening Date],MATCH(Table_NFI[[#This Row],[Pcode]],CampList[CP_Pcode],0)-1,0,1,1)&gt;=NFI_Monitor_Date,1,0))</f>
        <v/>
      </c>
      <c r="AS1319" s="473" t="str">
        <f>IFERROR(VLOOKUP(Table_NFI[[#This Row],[Camp Name]],CL,3,0),"")</f>
        <v/>
      </c>
      <c r="AT1319" s="294" t="str">
        <f ca="1">IF(Table_NFI[[#This Row],[Pcode]]="","",OFFSET(CampList[Priority],MATCH(Table_NFI[[#This Row],[Pcode]],CampList[CP_Pcode],0)-1,0,1,1))</f>
        <v/>
      </c>
      <c r="AU1319" s="293" t="str">
        <f>IFERROR(Table_NFI[[#This Row],[Kitchen Set]]/VLOOKUP(Table_NFI[[#This Row],[Camp Name]],CL,4,0),"")</f>
        <v/>
      </c>
      <c r="AV1319" s="471"/>
      <c r="AW1319" s="474"/>
    </row>
    <row r="1320" spans="1:49" ht="14.45" customHeight="1" x14ac:dyDescent="0.25">
      <c r="A1320" s="297" t="str">
        <f t="shared" si="20"/>
        <v/>
      </c>
      <c r="B1320" s="465"/>
      <c r="C1320" s="471"/>
      <c r="D1320" s="471"/>
      <c r="E1320" s="471"/>
      <c r="F1320" s="471"/>
      <c r="G1320" s="471"/>
      <c r="H1320" s="292"/>
      <c r="I1320" s="292"/>
      <c r="J1320" s="292"/>
      <c r="K1320" s="292"/>
      <c r="L1320" s="292"/>
      <c r="M1320" s="292"/>
      <c r="N1320" s="292"/>
      <c r="O1320" s="292"/>
      <c r="P1320" s="294"/>
      <c r="Q1320" s="294"/>
      <c r="R1320" s="294"/>
      <c r="S1320" s="294"/>
      <c r="T1320" s="294"/>
      <c r="U1320" s="294"/>
      <c r="V1320" s="431"/>
      <c r="W1320" s="331"/>
      <c r="X1320" s="331"/>
      <c r="Y1320" s="294">
        <f>IF(NFI_Expiration=1,IF($A1320&lt;VLOOKUP(H$5,NFI,5,0),1,0)*Table_NFI[[#This Row],[Hygiene Kit]],Table_NFI[Hygiene Kit])</f>
        <v>0</v>
      </c>
      <c r="Z1320" s="294">
        <f>IF(NFI_Expiration=1,IF($A1320&lt;VLOOKUP(I$5,NFI,5,0),1,0)*Table_NFI[[#This Row],[NFI Core Kit]],Table_NFI[NFI Core Kit])</f>
        <v>0</v>
      </c>
      <c r="AA1320" s="294">
        <f>IF(NFI_Expiration=1,IF($A1320&lt;VLOOKUP(J$5,NFI,5,0),1,0)*Table_NFI[[#This Row],[Sanitary Kit]],Table_NFI[Sanitary Kit])</f>
        <v>0</v>
      </c>
      <c r="AB1320" s="294">
        <f>IF(NFI_Expiration=1,IF($A1320&lt;VLOOKUP(K$5,NFI,5,0),1,0)*Table_NFI[[#This Row],[Mosquito net]],Table_NFI[Mosquito net])</f>
        <v>0</v>
      </c>
      <c r="AC1320" s="294">
        <f>IF(NFI_Expiration=1,IF($A1320&lt;VLOOKUP(L$5,NFI,5,0),1,0)*Table_NFI[[#This Row],[Tarpaulin]],Table_NFI[[#This Row],[Tarpaulin]])</f>
        <v>0</v>
      </c>
      <c r="AD1320" s="294">
        <f>IF(NFI_Expiration=1,IF($A1320&lt;VLOOKUP(M$5,NFI,5,0),1,0)*Table_NFI[[#This Row],[Blanket]],Table_NFI[[#This Row],[Blanket]])</f>
        <v>0</v>
      </c>
      <c r="AE1320" s="294">
        <f>IF(NFI_Expiration=1,IF($A1320&lt;VLOOKUP(N$5,NFI,5,0),1,0)*Table_NFI[[#This Row],[Kitchen Set]],Table_NFI[Kitchen Set])</f>
        <v>0</v>
      </c>
      <c r="AF1320" s="294">
        <f>IF(NFI_Expiration=1,IF($A1320&lt;VLOOKUP(O$5,NFI,5,0),1,0)*Table_NFI[[#This Row],[Clothes Kit]],Table_NFI[Clothes Kit])</f>
        <v>0</v>
      </c>
      <c r="AG1320" s="294">
        <f>IF(NFI_Expiration=1,IF($A1320&lt;VLOOKUP(P$5,NFI,5,0),1,0)*Table_NFI[[#This Row],[Plastic Bucket]],Table_NFI[Plastic Bucket])</f>
        <v>0</v>
      </c>
      <c r="AH1320" s="294">
        <f>IF(NFI_Expiration=1,IF($A1320&lt;VLOOKUP(Q$5,NFI,5,0),1,0)*Table_NFI[[#This Row],[Plastic Mat]],Table_NFI[Plastic Mat])*IF(Table_NFI[[#This Row],[Distribution Date]]&gt;"2014-04-01",1,2.5)</f>
        <v>0</v>
      </c>
      <c r="AI1320" s="294">
        <f>IF(NFI_Expiration=1,IF($A1320&lt;VLOOKUP(R$5,NFI,5,0),1,0)*Table_NFI[[#This Row],[Winter Clothes Adult]],Table_NFI[Winter Clothes Adult])</f>
        <v>0</v>
      </c>
      <c r="AJ1320" s="294">
        <f>IF(NFI_Expiration=1,IF($A1320&lt;VLOOKUP(S$5,NFI,5,0),1,0)*Table_NFI[[#This Row],[Winter Clothes Children]],Table_NFI[Winter Clothes Children])</f>
        <v>0</v>
      </c>
      <c r="AK1320" s="294">
        <f>IF(NFI_Expiration=1,IF($A1320&lt;VLOOKUP(T$5,NFI,5,0),1,0)*Table_NFI[[#This Row],[Winter Items Other]],Table_NFI[Winter Items Other])</f>
        <v>0</v>
      </c>
      <c r="AL1320" s="294">
        <f>IF(NFI_Expiration=1,IF($A1320&lt;VLOOKUP(M$5,NFI,5,0),1,0)*Table_NFI[[#This Row],[Winter Blanket]],Table_NFI[[#This Row],[Winter Blanket]])</f>
        <v>0</v>
      </c>
      <c r="AM1320" s="294">
        <f>IF(Table_NFI[[#This Row],[Winter Clothes Adult]]+Table_NFI[[#This Row],[Winter Clothes Children]]+Table_NFI[[#This Row],[Winter Items Other]]+Table_NFI[[#This Row],[Winter Blanket]]&gt;0,1,0)</f>
        <v>0</v>
      </c>
      <c r="AN1320" s="331">
        <f>IF(NFI_Expiration=1,IF($A1320&lt;VLOOKUP(V$5,NFI,5,0),1,0)*Table_NFI[[#This Row],[Jerry Can]],Table_NFI[Jerry Can])</f>
        <v>0</v>
      </c>
      <c r="AO1320" s="331">
        <f>IF(NFI_Expiration=1,IF($A1320&lt;VLOOKUP(V$5,NFI,5,0),1,0)*Table_NFI[[#This Row],[Shelter Tool kit]],Table_NFI[Shelter Tool kit])</f>
        <v>0</v>
      </c>
      <c r="AP1320" s="331">
        <f>IF(NFI_Expiration=1,IF($A1320&lt;VLOOKUP(V$5,NFI,5,0),1,0)*Table_NFI[[#This Row],[Tent]],Table_NFI[Tent])</f>
        <v>0</v>
      </c>
      <c r="AQ1320" s="473" t="str">
        <f>IFERROR(VLOOKUP(Table_NFI[[#This Row],[Camp Name]],CL,2,0),"")</f>
        <v/>
      </c>
      <c r="AR1320" s="468" t="str">
        <f ca="1">IF(Table_NFI[[#This Row],[Pcode]]="","",IF(OFFSET(CampList[Opening Date],MATCH(Table_NFI[[#This Row],[Pcode]],CampList[CP_Pcode],0)-1,0,1,1)&gt;=NFI_Monitor_Date,1,0))</f>
        <v/>
      </c>
      <c r="AS1320" s="473" t="str">
        <f>IFERROR(VLOOKUP(Table_NFI[[#This Row],[Camp Name]],CL,3,0),"")</f>
        <v/>
      </c>
      <c r="AT1320" s="294" t="str">
        <f ca="1">IF(Table_NFI[[#This Row],[Pcode]]="","",OFFSET(CampList[Priority],MATCH(Table_NFI[[#This Row],[Pcode]],CampList[CP_Pcode],0)-1,0,1,1))</f>
        <v/>
      </c>
      <c r="AU1320" s="293" t="str">
        <f>IFERROR(Table_NFI[[#This Row],[Kitchen Set]]/VLOOKUP(Table_NFI[[#This Row],[Camp Name]],CL,4,0),"")</f>
        <v/>
      </c>
      <c r="AV1320" s="471"/>
      <c r="AW1320" s="474"/>
    </row>
    <row r="1321" spans="1:49" ht="14.45" customHeight="1" x14ac:dyDescent="0.25">
      <c r="A1321" s="297" t="str">
        <f t="shared" si="20"/>
        <v/>
      </c>
      <c r="B1321" s="465"/>
      <c r="C1321" s="471"/>
      <c r="D1321" s="471"/>
      <c r="E1321" s="471"/>
      <c r="F1321" s="471"/>
      <c r="G1321" s="471"/>
      <c r="H1321" s="292"/>
      <c r="I1321" s="292"/>
      <c r="J1321" s="292"/>
      <c r="K1321" s="292"/>
      <c r="L1321" s="292"/>
      <c r="M1321" s="292"/>
      <c r="N1321" s="292"/>
      <c r="O1321" s="292"/>
      <c r="P1321" s="294"/>
      <c r="Q1321" s="294"/>
      <c r="R1321" s="294"/>
      <c r="S1321" s="294"/>
      <c r="T1321" s="294"/>
      <c r="U1321" s="294"/>
      <c r="V1321" s="431"/>
      <c r="W1321" s="331"/>
      <c r="X1321" s="331"/>
      <c r="Y1321" s="294">
        <f>IF(NFI_Expiration=1,IF($A1321&lt;VLOOKUP(H$5,NFI,5,0),1,0)*Table_NFI[[#This Row],[Hygiene Kit]],Table_NFI[Hygiene Kit])</f>
        <v>0</v>
      </c>
      <c r="Z1321" s="294">
        <f>IF(NFI_Expiration=1,IF($A1321&lt;VLOOKUP(I$5,NFI,5,0),1,0)*Table_NFI[[#This Row],[NFI Core Kit]],Table_NFI[NFI Core Kit])</f>
        <v>0</v>
      </c>
      <c r="AA1321" s="294">
        <f>IF(NFI_Expiration=1,IF($A1321&lt;VLOOKUP(J$5,NFI,5,0),1,0)*Table_NFI[[#This Row],[Sanitary Kit]],Table_NFI[Sanitary Kit])</f>
        <v>0</v>
      </c>
      <c r="AB1321" s="294">
        <f>IF(NFI_Expiration=1,IF($A1321&lt;VLOOKUP(K$5,NFI,5,0),1,0)*Table_NFI[[#This Row],[Mosquito net]],Table_NFI[Mosquito net])</f>
        <v>0</v>
      </c>
      <c r="AC1321" s="294">
        <f>IF(NFI_Expiration=1,IF($A1321&lt;VLOOKUP(L$5,NFI,5,0),1,0)*Table_NFI[[#This Row],[Tarpaulin]],Table_NFI[[#This Row],[Tarpaulin]])</f>
        <v>0</v>
      </c>
      <c r="AD1321" s="294">
        <f>IF(NFI_Expiration=1,IF($A1321&lt;VLOOKUP(M$5,NFI,5,0),1,0)*Table_NFI[[#This Row],[Blanket]],Table_NFI[[#This Row],[Blanket]])</f>
        <v>0</v>
      </c>
      <c r="AE1321" s="294">
        <f>IF(NFI_Expiration=1,IF($A1321&lt;VLOOKUP(N$5,NFI,5,0),1,0)*Table_NFI[[#This Row],[Kitchen Set]],Table_NFI[Kitchen Set])</f>
        <v>0</v>
      </c>
      <c r="AF1321" s="294">
        <f>IF(NFI_Expiration=1,IF($A1321&lt;VLOOKUP(O$5,NFI,5,0),1,0)*Table_NFI[[#This Row],[Clothes Kit]],Table_NFI[Clothes Kit])</f>
        <v>0</v>
      </c>
      <c r="AG1321" s="294">
        <f>IF(NFI_Expiration=1,IF($A1321&lt;VLOOKUP(P$5,NFI,5,0),1,0)*Table_NFI[[#This Row],[Plastic Bucket]],Table_NFI[Plastic Bucket])</f>
        <v>0</v>
      </c>
      <c r="AH1321" s="294">
        <f>IF(NFI_Expiration=1,IF($A1321&lt;VLOOKUP(Q$5,NFI,5,0),1,0)*Table_NFI[[#This Row],[Plastic Mat]],Table_NFI[Plastic Mat])*IF(Table_NFI[[#This Row],[Distribution Date]]&gt;"2014-04-01",1,2.5)</f>
        <v>0</v>
      </c>
      <c r="AI1321" s="294">
        <f>IF(NFI_Expiration=1,IF($A1321&lt;VLOOKUP(R$5,NFI,5,0),1,0)*Table_NFI[[#This Row],[Winter Clothes Adult]],Table_NFI[Winter Clothes Adult])</f>
        <v>0</v>
      </c>
      <c r="AJ1321" s="294">
        <f>IF(NFI_Expiration=1,IF($A1321&lt;VLOOKUP(S$5,NFI,5,0),1,0)*Table_NFI[[#This Row],[Winter Clothes Children]],Table_NFI[Winter Clothes Children])</f>
        <v>0</v>
      </c>
      <c r="AK1321" s="294">
        <f>IF(NFI_Expiration=1,IF($A1321&lt;VLOOKUP(T$5,NFI,5,0),1,0)*Table_NFI[[#This Row],[Winter Items Other]],Table_NFI[Winter Items Other])</f>
        <v>0</v>
      </c>
      <c r="AL1321" s="294">
        <f>IF(NFI_Expiration=1,IF($A1321&lt;VLOOKUP(M$5,NFI,5,0),1,0)*Table_NFI[[#This Row],[Winter Blanket]],Table_NFI[[#This Row],[Winter Blanket]])</f>
        <v>0</v>
      </c>
      <c r="AM1321" s="294">
        <f>IF(Table_NFI[[#This Row],[Winter Clothes Adult]]+Table_NFI[[#This Row],[Winter Clothes Children]]+Table_NFI[[#This Row],[Winter Items Other]]+Table_NFI[[#This Row],[Winter Blanket]]&gt;0,1,0)</f>
        <v>0</v>
      </c>
      <c r="AN1321" s="331">
        <f>IF(NFI_Expiration=1,IF($A1321&lt;VLOOKUP(V$5,NFI,5,0),1,0)*Table_NFI[[#This Row],[Jerry Can]],Table_NFI[Jerry Can])</f>
        <v>0</v>
      </c>
      <c r="AO1321" s="331">
        <f>IF(NFI_Expiration=1,IF($A1321&lt;VLOOKUP(V$5,NFI,5,0),1,0)*Table_NFI[[#This Row],[Shelter Tool kit]],Table_NFI[Shelter Tool kit])</f>
        <v>0</v>
      </c>
      <c r="AP1321" s="331">
        <f>IF(NFI_Expiration=1,IF($A1321&lt;VLOOKUP(V$5,NFI,5,0),1,0)*Table_NFI[[#This Row],[Tent]],Table_NFI[Tent])</f>
        <v>0</v>
      </c>
      <c r="AQ1321" s="473" t="str">
        <f>IFERROR(VLOOKUP(Table_NFI[[#This Row],[Camp Name]],CL,2,0),"")</f>
        <v/>
      </c>
      <c r="AR1321" s="468" t="str">
        <f ca="1">IF(Table_NFI[[#This Row],[Pcode]]="","",IF(OFFSET(CampList[Opening Date],MATCH(Table_NFI[[#This Row],[Pcode]],CampList[CP_Pcode],0)-1,0,1,1)&gt;=NFI_Monitor_Date,1,0))</f>
        <v/>
      </c>
      <c r="AS1321" s="473" t="str">
        <f>IFERROR(VLOOKUP(Table_NFI[[#This Row],[Camp Name]],CL,3,0),"")</f>
        <v/>
      </c>
      <c r="AT1321" s="294" t="str">
        <f ca="1">IF(Table_NFI[[#This Row],[Pcode]]="","",OFFSET(CampList[Priority],MATCH(Table_NFI[[#This Row],[Pcode]],CampList[CP_Pcode],0)-1,0,1,1))</f>
        <v/>
      </c>
      <c r="AU1321" s="293" t="str">
        <f>IFERROR(Table_NFI[[#This Row],[Kitchen Set]]/VLOOKUP(Table_NFI[[#This Row],[Camp Name]],CL,4,0),"")</f>
        <v/>
      </c>
      <c r="AV1321" s="471"/>
      <c r="AW1321" s="474"/>
    </row>
    <row r="1322" spans="1:49" ht="14.45" customHeight="1" x14ac:dyDescent="0.25">
      <c r="A1322" s="297" t="str">
        <f t="shared" si="20"/>
        <v/>
      </c>
      <c r="B1322" s="465"/>
      <c r="C1322" s="471"/>
      <c r="D1322" s="471"/>
      <c r="E1322" s="471"/>
      <c r="F1322" s="471"/>
      <c r="G1322" s="471"/>
      <c r="H1322" s="292"/>
      <c r="I1322" s="292"/>
      <c r="J1322" s="292"/>
      <c r="K1322" s="292"/>
      <c r="L1322" s="292"/>
      <c r="M1322" s="292"/>
      <c r="N1322" s="292"/>
      <c r="O1322" s="292"/>
      <c r="P1322" s="294"/>
      <c r="Q1322" s="294"/>
      <c r="R1322" s="294"/>
      <c r="S1322" s="294"/>
      <c r="T1322" s="294"/>
      <c r="U1322" s="294"/>
      <c r="V1322" s="431"/>
      <c r="W1322" s="331"/>
      <c r="X1322" s="331"/>
      <c r="Y1322" s="294">
        <f>IF(NFI_Expiration=1,IF($A1322&lt;VLOOKUP(H$5,NFI,5,0),1,0)*Table_NFI[[#This Row],[Hygiene Kit]],Table_NFI[Hygiene Kit])</f>
        <v>0</v>
      </c>
      <c r="Z1322" s="294">
        <f>IF(NFI_Expiration=1,IF($A1322&lt;VLOOKUP(I$5,NFI,5,0),1,0)*Table_NFI[[#This Row],[NFI Core Kit]],Table_NFI[NFI Core Kit])</f>
        <v>0</v>
      </c>
      <c r="AA1322" s="294">
        <f>IF(NFI_Expiration=1,IF($A1322&lt;VLOOKUP(J$5,NFI,5,0),1,0)*Table_NFI[[#This Row],[Sanitary Kit]],Table_NFI[Sanitary Kit])</f>
        <v>0</v>
      </c>
      <c r="AB1322" s="294">
        <f>IF(NFI_Expiration=1,IF($A1322&lt;VLOOKUP(K$5,NFI,5,0),1,0)*Table_NFI[[#This Row],[Mosquito net]],Table_NFI[Mosquito net])</f>
        <v>0</v>
      </c>
      <c r="AC1322" s="294">
        <f>IF(NFI_Expiration=1,IF($A1322&lt;VLOOKUP(L$5,NFI,5,0),1,0)*Table_NFI[[#This Row],[Tarpaulin]],Table_NFI[[#This Row],[Tarpaulin]])</f>
        <v>0</v>
      </c>
      <c r="AD1322" s="294">
        <f>IF(NFI_Expiration=1,IF($A1322&lt;VLOOKUP(M$5,NFI,5,0),1,0)*Table_NFI[[#This Row],[Blanket]],Table_NFI[[#This Row],[Blanket]])</f>
        <v>0</v>
      </c>
      <c r="AE1322" s="294">
        <f>IF(NFI_Expiration=1,IF($A1322&lt;VLOOKUP(N$5,NFI,5,0),1,0)*Table_NFI[[#This Row],[Kitchen Set]],Table_NFI[Kitchen Set])</f>
        <v>0</v>
      </c>
      <c r="AF1322" s="294">
        <f>IF(NFI_Expiration=1,IF($A1322&lt;VLOOKUP(O$5,NFI,5,0),1,0)*Table_NFI[[#This Row],[Clothes Kit]],Table_NFI[Clothes Kit])</f>
        <v>0</v>
      </c>
      <c r="AG1322" s="294">
        <f>IF(NFI_Expiration=1,IF($A1322&lt;VLOOKUP(P$5,NFI,5,0),1,0)*Table_NFI[[#This Row],[Plastic Bucket]],Table_NFI[Plastic Bucket])</f>
        <v>0</v>
      </c>
      <c r="AH1322" s="294">
        <f>IF(NFI_Expiration=1,IF($A1322&lt;VLOOKUP(Q$5,NFI,5,0),1,0)*Table_NFI[[#This Row],[Plastic Mat]],Table_NFI[Plastic Mat])*IF(Table_NFI[[#This Row],[Distribution Date]]&gt;"2014-04-01",1,2.5)</f>
        <v>0</v>
      </c>
      <c r="AI1322" s="294">
        <f>IF(NFI_Expiration=1,IF($A1322&lt;VLOOKUP(R$5,NFI,5,0),1,0)*Table_NFI[[#This Row],[Winter Clothes Adult]],Table_NFI[Winter Clothes Adult])</f>
        <v>0</v>
      </c>
      <c r="AJ1322" s="294">
        <f>IF(NFI_Expiration=1,IF($A1322&lt;VLOOKUP(S$5,NFI,5,0),1,0)*Table_NFI[[#This Row],[Winter Clothes Children]],Table_NFI[Winter Clothes Children])</f>
        <v>0</v>
      </c>
      <c r="AK1322" s="294">
        <f>IF(NFI_Expiration=1,IF($A1322&lt;VLOOKUP(T$5,NFI,5,0),1,0)*Table_NFI[[#This Row],[Winter Items Other]],Table_NFI[Winter Items Other])</f>
        <v>0</v>
      </c>
      <c r="AL1322" s="294">
        <f>IF(NFI_Expiration=1,IF($A1322&lt;VLOOKUP(M$5,NFI,5,0),1,0)*Table_NFI[[#This Row],[Winter Blanket]],Table_NFI[[#This Row],[Winter Blanket]])</f>
        <v>0</v>
      </c>
      <c r="AM1322" s="294">
        <f>IF(Table_NFI[[#This Row],[Winter Clothes Adult]]+Table_NFI[[#This Row],[Winter Clothes Children]]+Table_NFI[[#This Row],[Winter Items Other]]+Table_NFI[[#This Row],[Winter Blanket]]&gt;0,1,0)</f>
        <v>0</v>
      </c>
      <c r="AN1322" s="331">
        <f>IF(NFI_Expiration=1,IF($A1322&lt;VLOOKUP(V$5,NFI,5,0),1,0)*Table_NFI[[#This Row],[Jerry Can]],Table_NFI[Jerry Can])</f>
        <v>0</v>
      </c>
      <c r="AO1322" s="331">
        <f>IF(NFI_Expiration=1,IF($A1322&lt;VLOOKUP(V$5,NFI,5,0),1,0)*Table_NFI[[#This Row],[Shelter Tool kit]],Table_NFI[Shelter Tool kit])</f>
        <v>0</v>
      </c>
      <c r="AP1322" s="331">
        <f>IF(NFI_Expiration=1,IF($A1322&lt;VLOOKUP(V$5,NFI,5,0),1,0)*Table_NFI[[#This Row],[Tent]],Table_NFI[Tent])</f>
        <v>0</v>
      </c>
      <c r="AQ1322" s="473" t="str">
        <f>IFERROR(VLOOKUP(Table_NFI[[#This Row],[Camp Name]],CL,2,0),"")</f>
        <v/>
      </c>
      <c r="AR1322" s="468" t="str">
        <f ca="1">IF(Table_NFI[[#This Row],[Pcode]]="","",IF(OFFSET(CampList[Opening Date],MATCH(Table_NFI[[#This Row],[Pcode]],CampList[CP_Pcode],0)-1,0,1,1)&gt;=NFI_Monitor_Date,1,0))</f>
        <v/>
      </c>
      <c r="AS1322" s="473" t="str">
        <f>IFERROR(VLOOKUP(Table_NFI[[#This Row],[Camp Name]],CL,3,0),"")</f>
        <v/>
      </c>
      <c r="AT1322" s="294" t="str">
        <f ca="1">IF(Table_NFI[[#This Row],[Pcode]]="","",OFFSET(CampList[Priority],MATCH(Table_NFI[[#This Row],[Pcode]],CampList[CP_Pcode],0)-1,0,1,1))</f>
        <v/>
      </c>
      <c r="AU1322" s="293" t="str">
        <f>IFERROR(Table_NFI[[#This Row],[Kitchen Set]]/VLOOKUP(Table_NFI[[#This Row],[Camp Name]],CL,4,0),"")</f>
        <v/>
      </c>
      <c r="AV1322" s="471"/>
      <c r="AW1322" s="474"/>
    </row>
    <row r="1323" spans="1:49" ht="14.45" customHeight="1" x14ac:dyDescent="0.25">
      <c r="A1323" s="297" t="str">
        <f t="shared" si="20"/>
        <v/>
      </c>
      <c r="B1323" s="465"/>
      <c r="C1323" s="471"/>
      <c r="D1323" s="471"/>
      <c r="E1323" s="471"/>
      <c r="F1323" s="471"/>
      <c r="G1323" s="471"/>
      <c r="H1323" s="292"/>
      <c r="I1323" s="292"/>
      <c r="J1323" s="292"/>
      <c r="K1323" s="292"/>
      <c r="L1323" s="292"/>
      <c r="M1323" s="292"/>
      <c r="N1323" s="292"/>
      <c r="O1323" s="292"/>
      <c r="P1323" s="294"/>
      <c r="Q1323" s="294"/>
      <c r="R1323" s="294"/>
      <c r="S1323" s="294"/>
      <c r="T1323" s="294"/>
      <c r="U1323" s="294"/>
      <c r="V1323" s="431"/>
      <c r="W1323" s="331"/>
      <c r="X1323" s="331"/>
      <c r="Y1323" s="294">
        <f>IF(NFI_Expiration=1,IF($A1323&lt;VLOOKUP(H$5,NFI,5,0),1,0)*Table_NFI[[#This Row],[Hygiene Kit]],Table_NFI[Hygiene Kit])</f>
        <v>0</v>
      </c>
      <c r="Z1323" s="294">
        <f>IF(NFI_Expiration=1,IF($A1323&lt;VLOOKUP(I$5,NFI,5,0),1,0)*Table_NFI[[#This Row],[NFI Core Kit]],Table_NFI[NFI Core Kit])</f>
        <v>0</v>
      </c>
      <c r="AA1323" s="294">
        <f>IF(NFI_Expiration=1,IF($A1323&lt;VLOOKUP(J$5,NFI,5,0),1,0)*Table_NFI[[#This Row],[Sanitary Kit]],Table_NFI[Sanitary Kit])</f>
        <v>0</v>
      </c>
      <c r="AB1323" s="294">
        <f>IF(NFI_Expiration=1,IF($A1323&lt;VLOOKUP(K$5,NFI,5,0),1,0)*Table_NFI[[#This Row],[Mosquito net]],Table_NFI[Mosquito net])</f>
        <v>0</v>
      </c>
      <c r="AC1323" s="294">
        <f>IF(NFI_Expiration=1,IF($A1323&lt;VLOOKUP(L$5,NFI,5,0),1,0)*Table_NFI[[#This Row],[Tarpaulin]],Table_NFI[[#This Row],[Tarpaulin]])</f>
        <v>0</v>
      </c>
      <c r="AD1323" s="294">
        <f>IF(NFI_Expiration=1,IF($A1323&lt;VLOOKUP(M$5,NFI,5,0),1,0)*Table_NFI[[#This Row],[Blanket]],Table_NFI[[#This Row],[Blanket]])</f>
        <v>0</v>
      </c>
      <c r="AE1323" s="294">
        <f>IF(NFI_Expiration=1,IF($A1323&lt;VLOOKUP(N$5,NFI,5,0),1,0)*Table_NFI[[#This Row],[Kitchen Set]],Table_NFI[Kitchen Set])</f>
        <v>0</v>
      </c>
      <c r="AF1323" s="294">
        <f>IF(NFI_Expiration=1,IF($A1323&lt;VLOOKUP(O$5,NFI,5,0),1,0)*Table_NFI[[#This Row],[Clothes Kit]],Table_NFI[Clothes Kit])</f>
        <v>0</v>
      </c>
      <c r="AG1323" s="294">
        <f>IF(NFI_Expiration=1,IF($A1323&lt;VLOOKUP(P$5,NFI,5,0),1,0)*Table_NFI[[#This Row],[Plastic Bucket]],Table_NFI[Plastic Bucket])</f>
        <v>0</v>
      </c>
      <c r="AH1323" s="294">
        <f>IF(NFI_Expiration=1,IF($A1323&lt;VLOOKUP(Q$5,NFI,5,0),1,0)*Table_NFI[[#This Row],[Plastic Mat]],Table_NFI[Plastic Mat])*IF(Table_NFI[[#This Row],[Distribution Date]]&gt;"2014-04-01",1,2.5)</f>
        <v>0</v>
      </c>
      <c r="AI1323" s="294">
        <f>IF(NFI_Expiration=1,IF($A1323&lt;VLOOKUP(R$5,NFI,5,0),1,0)*Table_NFI[[#This Row],[Winter Clothes Adult]],Table_NFI[Winter Clothes Adult])</f>
        <v>0</v>
      </c>
      <c r="AJ1323" s="294">
        <f>IF(NFI_Expiration=1,IF($A1323&lt;VLOOKUP(S$5,NFI,5,0),1,0)*Table_NFI[[#This Row],[Winter Clothes Children]],Table_NFI[Winter Clothes Children])</f>
        <v>0</v>
      </c>
      <c r="AK1323" s="294">
        <f>IF(NFI_Expiration=1,IF($A1323&lt;VLOOKUP(T$5,NFI,5,0),1,0)*Table_NFI[[#This Row],[Winter Items Other]],Table_NFI[Winter Items Other])</f>
        <v>0</v>
      </c>
      <c r="AL1323" s="294">
        <f>IF(NFI_Expiration=1,IF($A1323&lt;VLOOKUP(M$5,NFI,5,0),1,0)*Table_NFI[[#This Row],[Winter Blanket]],Table_NFI[[#This Row],[Winter Blanket]])</f>
        <v>0</v>
      </c>
      <c r="AM1323" s="294">
        <f>IF(Table_NFI[[#This Row],[Winter Clothes Adult]]+Table_NFI[[#This Row],[Winter Clothes Children]]+Table_NFI[[#This Row],[Winter Items Other]]+Table_NFI[[#This Row],[Winter Blanket]]&gt;0,1,0)</f>
        <v>0</v>
      </c>
      <c r="AN1323" s="331">
        <f>IF(NFI_Expiration=1,IF($A1323&lt;VLOOKUP(V$5,NFI,5,0),1,0)*Table_NFI[[#This Row],[Jerry Can]],Table_NFI[Jerry Can])</f>
        <v>0</v>
      </c>
      <c r="AO1323" s="331">
        <f>IF(NFI_Expiration=1,IF($A1323&lt;VLOOKUP(V$5,NFI,5,0),1,0)*Table_NFI[[#This Row],[Shelter Tool kit]],Table_NFI[Shelter Tool kit])</f>
        <v>0</v>
      </c>
      <c r="AP1323" s="331">
        <f>IF(NFI_Expiration=1,IF($A1323&lt;VLOOKUP(V$5,NFI,5,0),1,0)*Table_NFI[[#This Row],[Tent]],Table_NFI[Tent])</f>
        <v>0</v>
      </c>
      <c r="AQ1323" s="473" t="str">
        <f>IFERROR(VLOOKUP(Table_NFI[[#This Row],[Camp Name]],CL,2,0),"")</f>
        <v/>
      </c>
      <c r="AR1323" s="468" t="str">
        <f ca="1">IF(Table_NFI[[#This Row],[Pcode]]="","",IF(OFFSET(CampList[Opening Date],MATCH(Table_NFI[[#This Row],[Pcode]],CampList[CP_Pcode],0)-1,0,1,1)&gt;=NFI_Monitor_Date,1,0))</f>
        <v/>
      </c>
      <c r="AS1323" s="473" t="str">
        <f>IFERROR(VLOOKUP(Table_NFI[[#This Row],[Camp Name]],CL,3,0),"")</f>
        <v/>
      </c>
      <c r="AT1323" s="294" t="str">
        <f ca="1">IF(Table_NFI[[#This Row],[Pcode]]="","",OFFSET(CampList[Priority],MATCH(Table_NFI[[#This Row],[Pcode]],CampList[CP_Pcode],0)-1,0,1,1))</f>
        <v/>
      </c>
      <c r="AU1323" s="293" t="str">
        <f>IFERROR(Table_NFI[[#This Row],[Kitchen Set]]/VLOOKUP(Table_NFI[[#This Row],[Camp Name]],CL,4,0),"")</f>
        <v/>
      </c>
      <c r="AV1323" s="471"/>
      <c r="AW1323" s="474"/>
    </row>
    <row r="1324" spans="1:49" ht="14.45" customHeight="1" x14ac:dyDescent="0.25">
      <c r="A1324" s="297" t="str">
        <f t="shared" si="20"/>
        <v/>
      </c>
      <c r="B1324" s="465"/>
      <c r="C1324" s="471"/>
      <c r="D1324" s="471"/>
      <c r="E1324" s="471"/>
      <c r="F1324" s="471"/>
      <c r="G1324" s="471"/>
      <c r="H1324" s="292"/>
      <c r="I1324" s="292"/>
      <c r="J1324" s="292"/>
      <c r="K1324" s="292"/>
      <c r="L1324" s="292"/>
      <c r="M1324" s="292"/>
      <c r="N1324" s="292"/>
      <c r="O1324" s="292"/>
      <c r="P1324" s="294"/>
      <c r="Q1324" s="294"/>
      <c r="R1324" s="294"/>
      <c r="S1324" s="294"/>
      <c r="T1324" s="294"/>
      <c r="U1324" s="294"/>
      <c r="V1324" s="431"/>
      <c r="W1324" s="331"/>
      <c r="X1324" s="331"/>
      <c r="Y1324" s="294">
        <f>IF(NFI_Expiration=1,IF($A1324&lt;VLOOKUP(H$5,NFI,5,0),1,0)*Table_NFI[[#This Row],[Hygiene Kit]],Table_NFI[Hygiene Kit])</f>
        <v>0</v>
      </c>
      <c r="Z1324" s="294">
        <f>IF(NFI_Expiration=1,IF($A1324&lt;VLOOKUP(I$5,NFI,5,0),1,0)*Table_NFI[[#This Row],[NFI Core Kit]],Table_NFI[NFI Core Kit])</f>
        <v>0</v>
      </c>
      <c r="AA1324" s="294">
        <f>IF(NFI_Expiration=1,IF($A1324&lt;VLOOKUP(J$5,NFI,5,0),1,0)*Table_NFI[[#This Row],[Sanitary Kit]],Table_NFI[Sanitary Kit])</f>
        <v>0</v>
      </c>
      <c r="AB1324" s="294">
        <f>IF(NFI_Expiration=1,IF($A1324&lt;VLOOKUP(K$5,NFI,5,0),1,0)*Table_NFI[[#This Row],[Mosquito net]],Table_NFI[Mosquito net])</f>
        <v>0</v>
      </c>
      <c r="AC1324" s="294">
        <f>IF(NFI_Expiration=1,IF($A1324&lt;VLOOKUP(L$5,NFI,5,0),1,0)*Table_NFI[[#This Row],[Tarpaulin]],Table_NFI[[#This Row],[Tarpaulin]])</f>
        <v>0</v>
      </c>
      <c r="AD1324" s="294">
        <f>IF(NFI_Expiration=1,IF($A1324&lt;VLOOKUP(M$5,NFI,5,0),1,0)*Table_NFI[[#This Row],[Blanket]],Table_NFI[[#This Row],[Blanket]])</f>
        <v>0</v>
      </c>
      <c r="AE1324" s="294">
        <f>IF(NFI_Expiration=1,IF($A1324&lt;VLOOKUP(N$5,NFI,5,0),1,0)*Table_NFI[[#This Row],[Kitchen Set]],Table_NFI[Kitchen Set])</f>
        <v>0</v>
      </c>
      <c r="AF1324" s="294">
        <f>IF(NFI_Expiration=1,IF($A1324&lt;VLOOKUP(O$5,NFI,5,0),1,0)*Table_NFI[[#This Row],[Clothes Kit]],Table_NFI[Clothes Kit])</f>
        <v>0</v>
      </c>
      <c r="AG1324" s="294">
        <f>IF(NFI_Expiration=1,IF($A1324&lt;VLOOKUP(P$5,NFI,5,0),1,0)*Table_NFI[[#This Row],[Plastic Bucket]],Table_NFI[Plastic Bucket])</f>
        <v>0</v>
      </c>
      <c r="AH1324" s="294">
        <f>IF(NFI_Expiration=1,IF($A1324&lt;VLOOKUP(Q$5,NFI,5,0),1,0)*Table_NFI[[#This Row],[Plastic Mat]],Table_NFI[Plastic Mat])*IF(Table_NFI[[#This Row],[Distribution Date]]&gt;"2014-04-01",1,2.5)</f>
        <v>0</v>
      </c>
      <c r="AI1324" s="294">
        <f>IF(NFI_Expiration=1,IF($A1324&lt;VLOOKUP(R$5,NFI,5,0),1,0)*Table_NFI[[#This Row],[Winter Clothes Adult]],Table_NFI[Winter Clothes Adult])</f>
        <v>0</v>
      </c>
      <c r="AJ1324" s="294">
        <f>IF(NFI_Expiration=1,IF($A1324&lt;VLOOKUP(S$5,NFI,5,0),1,0)*Table_NFI[[#This Row],[Winter Clothes Children]],Table_NFI[Winter Clothes Children])</f>
        <v>0</v>
      </c>
      <c r="AK1324" s="294">
        <f>IF(NFI_Expiration=1,IF($A1324&lt;VLOOKUP(T$5,NFI,5,0),1,0)*Table_NFI[[#This Row],[Winter Items Other]],Table_NFI[Winter Items Other])</f>
        <v>0</v>
      </c>
      <c r="AL1324" s="294">
        <f>IF(NFI_Expiration=1,IF($A1324&lt;VLOOKUP(M$5,NFI,5,0),1,0)*Table_NFI[[#This Row],[Winter Blanket]],Table_NFI[[#This Row],[Winter Blanket]])</f>
        <v>0</v>
      </c>
      <c r="AM1324" s="294">
        <f>IF(Table_NFI[[#This Row],[Winter Clothes Adult]]+Table_NFI[[#This Row],[Winter Clothes Children]]+Table_NFI[[#This Row],[Winter Items Other]]+Table_NFI[[#This Row],[Winter Blanket]]&gt;0,1,0)</f>
        <v>0</v>
      </c>
      <c r="AN1324" s="331">
        <f>IF(NFI_Expiration=1,IF($A1324&lt;VLOOKUP(V$5,NFI,5,0),1,0)*Table_NFI[[#This Row],[Jerry Can]],Table_NFI[Jerry Can])</f>
        <v>0</v>
      </c>
      <c r="AO1324" s="331">
        <f>IF(NFI_Expiration=1,IF($A1324&lt;VLOOKUP(V$5,NFI,5,0),1,0)*Table_NFI[[#This Row],[Shelter Tool kit]],Table_NFI[Shelter Tool kit])</f>
        <v>0</v>
      </c>
      <c r="AP1324" s="331">
        <f>IF(NFI_Expiration=1,IF($A1324&lt;VLOOKUP(V$5,NFI,5,0),1,0)*Table_NFI[[#This Row],[Tent]],Table_NFI[Tent])</f>
        <v>0</v>
      </c>
      <c r="AQ1324" s="473" t="str">
        <f>IFERROR(VLOOKUP(Table_NFI[[#This Row],[Camp Name]],CL,2,0),"")</f>
        <v/>
      </c>
      <c r="AR1324" s="468" t="str">
        <f ca="1">IF(Table_NFI[[#This Row],[Pcode]]="","",IF(OFFSET(CampList[Opening Date],MATCH(Table_NFI[[#This Row],[Pcode]],CampList[CP_Pcode],0)-1,0,1,1)&gt;=NFI_Monitor_Date,1,0))</f>
        <v/>
      </c>
      <c r="AS1324" s="473" t="str">
        <f>IFERROR(VLOOKUP(Table_NFI[[#This Row],[Camp Name]],CL,3,0),"")</f>
        <v/>
      </c>
      <c r="AT1324" s="294" t="str">
        <f ca="1">IF(Table_NFI[[#This Row],[Pcode]]="","",OFFSET(CampList[Priority],MATCH(Table_NFI[[#This Row],[Pcode]],CampList[CP_Pcode],0)-1,0,1,1))</f>
        <v/>
      </c>
      <c r="AU1324" s="293" t="str">
        <f>IFERROR(Table_NFI[[#This Row],[Kitchen Set]]/VLOOKUP(Table_NFI[[#This Row],[Camp Name]],CL,4,0),"")</f>
        <v/>
      </c>
      <c r="AV1324" s="471"/>
      <c r="AW1324" s="474"/>
    </row>
    <row r="1325" spans="1:49" ht="14.45" customHeight="1" x14ac:dyDescent="0.25">
      <c r="A1325" s="297" t="str">
        <f t="shared" si="20"/>
        <v/>
      </c>
      <c r="B1325" s="465"/>
      <c r="C1325" s="471"/>
      <c r="D1325" s="471"/>
      <c r="E1325" s="471"/>
      <c r="F1325" s="471"/>
      <c r="G1325" s="471"/>
      <c r="H1325" s="292"/>
      <c r="I1325" s="292"/>
      <c r="J1325" s="292"/>
      <c r="K1325" s="292"/>
      <c r="L1325" s="292"/>
      <c r="M1325" s="292"/>
      <c r="N1325" s="292"/>
      <c r="O1325" s="292"/>
      <c r="P1325" s="294"/>
      <c r="Q1325" s="294"/>
      <c r="R1325" s="294"/>
      <c r="S1325" s="294"/>
      <c r="T1325" s="294"/>
      <c r="U1325" s="294"/>
      <c r="V1325" s="431"/>
      <c r="W1325" s="331"/>
      <c r="X1325" s="331"/>
      <c r="Y1325" s="294">
        <f>IF(NFI_Expiration=1,IF($A1325&lt;VLOOKUP(H$5,NFI,5,0),1,0)*Table_NFI[[#This Row],[Hygiene Kit]],Table_NFI[Hygiene Kit])</f>
        <v>0</v>
      </c>
      <c r="Z1325" s="294">
        <f>IF(NFI_Expiration=1,IF($A1325&lt;VLOOKUP(I$5,NFI,5,0),1,0)*Table_NFI[[#This Row],[NFI Core Kit]],Table_NFI[NFI Core Kit])</f>
        <v>0</v>
      </c>
      <c r="AA1325" s="294">
        <f>IF(NFI_Expiration=1,IF($A1325&lt;VLOOKUP(J$5,NFI,5,0),1,0)*Table_NFI[[#This Row],[Sanitary Kit]],Table_NFI[Sanitary Kit])</f>
        <v>0</v>
      </c>
      <c r="AB1325" s="294">
        <f>IF(NFI_Expiration=1,IF($A1325&lt;VLOOKUP(K$5,NFI,5,0),1,0)*Table_NFI[[#This Row],[Mosquito net]],Table_NFI[Mosquito net])</f>
        <v>0</v>
      </c>
      <c r="AC1325" s="294">
        <f>IF(NFI_Expiration=1,IF($A1325&lt;VLOOKUP(L$5,NFI,5,0),1,0)*Table_NFI[[#This Row],[Tarpaulin]],Table_NFI[[#This Row],[Tarpaulin]])</f>
        <v>0</v>
      </c>
      <c r="AD1325" s="294">
        <f>IF(NFI_Expiration=1,IF($A1325&lt;VLOOKUP(M$5,NFI,5,0),1,0)*Table_NFI[[#This Row],[Blanket]],Table_NFI[[#This Row],[Blanket]])</f>
        <v>0</v>
      </c>
      <c r="AE1325" s="294">
        <f>IF(NFI_Expiration=1,IF($A1325&lt;VLOOKUP(N$5,NFI,5,0),1,0)*Table_NFI[[#This Row],[Kitchen Set]],Table_NFI[Kitchen Set])</f>
        <v>0</v>
      </c>
      <c r="AF1325" s="294">
        <f>IF(NFI_Expiration=1,IF($A1325&lt;VLOOKUP(O$5,NFI,5,0),1,0)*Table_NFI[[#This Row],[Clothes Kit]],Table_NFI[Clothes Kit])</f>
        <v>0</v>
      </c>
      <c r="AG1325" s="294">
        <f>IF(NFI_Expiration=1,IF($A1325&lt;VLOOKUP(P$5,NFI,5,0),1,0)*Table_NFI[[#This Row],[Plastic Bucket]],Table_NFI[Plastic Bucket])</f>
        <v>0</v>
      </c>
      <c r="AH1325" s="294">
        <f>IF(NFI_Expiration=1,IF($A1325&lt;VLOOKUP(Q$5,NFI,5,0),1,0)*Table_NFI[[#This Row],[Plastic Mat]],Table_NFI[Plastic Mat])*IF(Table_NFI[[#This Row],[Distribution Date]]&gt;"2014-04-01",1,2.5)</f>
        <v>0</v>
      </c>
      <c r="AI1325" s="294">
        <f>IF(NFI_Expiration=1,IF($A1325&lt;VLOOKUP(R$5,NFI,5,0),1,0)*Table_NFI[[#This Row],[Winter Clothes Adult]],Table_NFI[Winter Clothes Adult])</f>
        <v>0</v>
      </c>
      <c r="AJ1325" s="294">
        <f>IF(NFI_Expiration=1,IF($A1325&lt;VLOOKUP(S$5,NFI,5,0),1,0)*Table_NFI[[#This Row],[Winter Clothes Children]],Table_NFI[Winter Clothes Children])</f>
        <v>0</v>
      </c>
      <c r="AK1325" s="294">
        <f>IF(NFI_Expiration=1,IF($A1325&lt;VLOOKUP(T$5,NFI,5,0),1,0)*Table_NFI[[#This Row],[Winter Items Other]],Table_NFI[Winter Items Other])</f>
        <v>0</v>
      </c>
      <c r="AL1325" s="294">
        <f>IF(NFI_Expiration=1,IF($A1325&lt;VLOOKUP(M$5,NFI,5,0),1,0)*Table_NFI[[#This Row],[Winter Blanket]],Table_NFI[[#This Row],[Winter Blanket]])</f>
        <v>0</v>
      </c>
      <c r="AM1325" s="294">
        <f>IF(Table_NFI[[#This Row],[Winter Clothes Adult]]+Table_NFI[[#This Row],[Winter Clothes Children]]+Table_NFI[[#This Row],[Winter Items Other]]+Table_NFI[[#This Row],[Winter Blanket]]&gt;0,1,0)</f>
        <v>0</v>
      </c>
      <c r="AN1325" s="331">
        <f>IF(NFI_Expiration=1,IF($A1325&lt;VLOOKUP(V$5,NFI,5,0),1,0)*Table_NFI[[#This Row],[Jerry Can]],Table_NFI[Jerry Can])</f>
        <v>0</v>
      </c>
      <c r="AO1325" s="331">
        <f>IF(NFI_Expiration=1,IF($A1325&lt;VLOOKUP(V$5,NFI,5,0),1,0)*Table_NFI[[#This Row],[Shelter Tool kit]],Table_NFI[Shelter Tool kit])</f>
        <v>0</v>
      </c>
      <c r="AP1325" s="331">
        <f>IF(NFI_Expiration=1,IF($A1325&lt;VLOOKUP(V$5,NFI,5,0),1,0)*Table_NFI[[#This Row],[Tent]],Table_NFI[Tent])</f>
        <v>0</v>
      </c>
      <c r="AQ1325" s="473" t="str">
        <f>IFERROR(VLOOKUP(Table_NFI[[#This Row],[Camp Name]],CL,2,0),"")</f>
        <v/>
      </c>
      <c r="AR1325" s="468" t="str">
        <f ca="1">IF(Table_NFI[[#This Row],[Pcode]]="","",IF(OFFSET(CampList[Opening Date],MATCH(Table_NFI[[#This Row],[Pcode]],CampList[CP_Pcode],0)-1,0,1,1)&gt;=NFI_Monitor_Date,1,0))</f>
        <v/>
      </c>
      <c r="AS1325" s="473" t="str">
        <f>IFERROR(VLOOKUP(Table_NFI[[#This Row],[Camp Name]],CL,3,0),"")</f>
        <v/>
      </c>
      <c r="AT1325" s="294" t="str">
        <f ca="1">IF(Table_NFI[[#This Row],[Pcode]]="","",OFFSET(CampList[Priority],MATCH(Table_NFI[[#This Row],[Pcode]],CampList[CP_Pcode],0)-1,0,1,1))</f>
        <v/>
      </c>
      <c r="AU1325" s="293" t="str">
        <f>IFERROR(Table_NFI[[#This Row],[Kitchen Set]]/VLOOKUP(Table_NFI[[#This Row],[Camp Name]],CL,4,0),"")</f>
        <v/>
      </c>
      <c r="AV1325" s="471"/>
      <c r="AW1325" s="474"/>
    </row>
    <row r="1326" spans="1:49" ht="14.45" customHeight="1" x14ac:dyDescent="0.25">
      <c r="A1326" s="297" t="str">
        <f t="shared" si="20"/>
        <v/>
      </c>
      <c r="B1326" s="465"/>
      <c r="C1326" s="471"/>
      <c r="D1326" s="471"/>
      <c r="E1326" s="471"/>
      <c r="F1326" s="471"/>
      <c r="G1326" s="471"/>
      <c r="H1326" s="292"/>
      <c r="I1326" s="292"/>
      <c r="J1326" s="292"/>
      <c r="K1326" s="292"/>
      <c r="L1326" s="292"/>
      <c r="M1326" s="292"/>
      <c r="N1326" s="292"/>
      <c r="O1326" s="292"/>
      <c r="P1326" s="294"/>
      <c r="Q1326" s="294"/>
      <c r="R1326" s="294"/>
      <c r="S1326" s="294"/>
      <c r="T1326" s="294"/>
      <c r="U1326" s="294"/>
      <c r="V1326" s="431"/>
      <c r="W1326" s="331"/>
      <c r="X1326" s="331"/>
      <c r="Y1326" s="294">
        <f>IF(NFI_Expiration=1,IF($A1326&lt;VLOOKUP(H$5,NFI,5,0),1,0)*Table_NFI[[#This Row],[Hygiene Kit]],Table_NFI[Hygiene Kit])</f>
        <v>0</v>
      </c>
      <c r="Z1326" s="294">
        <f>IF(NFI_Expiration=1,IF($A1326&lt;VLOOKUP(I$5,NFI,5,0),1,0)*Table_NFI[[#This Row],[NFI Core Kit]],Table_NFI[NFI Core Kit])</f>
        <v>0</v>
      </c>
      <c r="AA1326" s="294">
        <f>IF(NFI_Expiration=1,IF($A1326&lt;VLOOKUP(J$5,NFI,5,0),1,0)*Table_NFI[[#This Row],[Sanitary Kit]],Table_NFI[Sanitary Kit])</f>
        <v>0</v>
      </c>
      <c r="AB1326" s="294">
        <f>IF(NFI_Expiration=1,IF($A1326&lt;VLOOKUP(K$5,NFI,5,0),1,0)*Table_NFI[[#This Row],[Mosquito net]],Table_NFI[Mosquito net])</f>
        <v>0</v>
      </c>
      <c r="AC1326" s="294">
        <f>IF(NFI_Expiration=1,IF($A1326&lt;VLOOKUP(L$5,NFI,5,0),1,0)*Table_NFI[[#This Row],[Tarpaulin]],Table_NFI[[#This Row],[Tarpaulin]])</f>
        <v>0</v>
      </c>
      <c r="AD1326" s="294">
        <f>IF(NFI_Expiration=1,IF($A1326&lt;VLOOKUP(M$5,NFI,5,0),1,0)*Table_NFI[[#This Row],[Blanket]],Table_NFI[[#This Row],[Blanket]])</f>
        <v>0</v>
      </c>
      <c r="AE1326" s="294">
        <f>IF(NFI_Expiration=1,IF($A1326&lt;VLOOKUP(N$5,NFI,5,0),1,0)*Table_NFI[[#This Row],[Kitchen Set]],Table_NFI[Kitchen Set])</f>
        <v>0</v>
      </c>
      <c r="AF1326" s="294">
        <f>IF(NFI_Expiration=1,IF($A1326&lt;VLOOKUP(O$5,NFI,5,0),1,0)*Table_NFI[[#This Row],[Clothes Kit]],Table_NFI[Clothes Kit])</f>
        <v>0</v>
      </c>
      <c r="AG1326" s="294">
        <f>IF(NFI_Expiration=1,IF($A1326&lt;VLOOKUP(P$5,NFI,5,0),1,0)*Table_NFI[[#This Row],[Plastic Bucket]],Table_NFI[Plastic Bucket])</f>
        <v>0</v>
      </c>
      <c r="AH1326" s="294">
        <f>IF(NFI_Expiration=1,IF($A1326&lt;VLOOKUP(Q$5,NFI,5,0),1,0)*Table_NFI[[#This Row],[Plastic Mat]],Table_NFI[Plastic Mat])*IF(Table_NFI[[#This Row],[Distribution Date]]&gt;"2014-04-01",1,2.5)</f>
        <v>0</v>
      </c>
      <c r="AI1326" s="294">
        <f>IF(NFI_Expiration=1,IF($A1326&lt;VLOOKUP(R$5,NFI,5,0),1,0)*Table_NFI[[#This Row],[Winter Clothes Adult]],Table_NFI[Winter Clothes Adult])</f>
        <v>0</v>
      </c>
      <c r="AJ1326" s="294">
        <f>IF(NFI_Expiration=1,IF($A1326&lt;VLOOKUP(S$5,NFI,5,0),1,0)*Table_NFI[[#This Row],[Winter Clothes Children]],Table_NFI[Winter Clothes Children])</f>
        <v>0</v>
      </c>
      <c r="AK1326" s="294">
        <f>IF(NFI_Expiration=1,IF($A1326&lt;VLOOKUP(T$5,NFI,5,0),1,0)*Table_NFI[[#This Row],[Winter Items Other]],Table_NFI[Winter Items Other])</f>
        <v>0</v>
      </c>
      <c r="AL1326" s="294">
        <f>IF(NFI_Expiration=1,IF($A1326&lt;VLOOKUP(M$5,NFI,5,0),1,0)*Table_NFI[[#This Row],[Winter Blanket]],Table_NFI[[#This Row],[Winter Blanket]])</f>
        <v>0</v>
      </c>
      <c r="AM1326" s="294">
        <f>IF(Table_NFI[[#This Row],[Winter Clothes Adult]]+Table_NFI[[#This Row],[Winter Clothes Children]]+Table_NFI[[#This Row],[Winter Items Other]]+Table_NFI[[#This Row],[Winter Blanket]]&gt;0,1,0)</f>
        <v>0</v>
      </c>
      <c r="AN1326" s="331">
        <f>IF(NFI_Expiration=1,IF($A1326&lt;VLOOKUP(V$5,NFI,5,0),1,0)*Table_NFI[[#This Row],[Jerry Can]],Table_NFI[Jerry Can])</f>
        <v>0</v>
      </c>
      <c r="AO1326" s="331">
        <f>IF(NFI_Expiration=1,IF($A1326&lt;VLOOKUP(V$5,NFI,5,0),1,0)*Table_NFI[[#This Row],[Shelter Tool kit]],Table_NFI[Shelter Tool kit])</f>
        <v>0</v>
      </c>
      <c r="AP1326" s="331">
        <f>IF(NFI_Expiration=1,IF($A1326&lt;VLOOKUP(V$5,NFI,5,0),1,0)*Table_NFI[[#This Row],[Tent]],Table_NFI[Tent])</f>
        <v>0</v>
      </c>
      <c r="AQ1326" s="473" t="str">
        <f>IFERROR(VLOOKUP(Table_NFI[[#This Row],[Camp Name]],CL,2,0),"")</f>
        <v/>
      </c>
      <c r="AR1326" s="468" t="str">
        <f ca="1">IF(Table_NFI[[#This Row],[Pcode]]="","",IF(OFFSET(CampList[Opening Date],MATCH(Table_NFI[[#This Row],[Pcode]],CampList[CP_Pcode],0)-1,0,1,1)&gt;=NFI_Monitor_Date,1,0))</f>
        <v/>
      </c>
      <c r="AS1326" s="473" t="str">
        <f>IFERROR(VLOOKUP(Table_NFI[[#This Row],[Camp Name]],CL,3,0),"")</f>
        <v/>
      </c>
      <c r="AT1326" s="294" t="str">
        <f ca="1">IF(Table_NFI[[#This Row],[Pcode]]="","",OFFSET(CampList[Priority],MATCH(Table_NFI[[#This Row],[Pcode]],CampList[CP_Pcode],0)-1,0,1,1))</f>
        <v/>
      </c>
      <c r="AU1326" s="293" t="str">
        <f>IFERROR(Table_NFI[[#This Row],[Kitchen Set]]/VLOOKUP(Table_NFI[[#This Row],[Camp Name]],CL,4,0),"")</f>
        <v/>
      </c>
      <c r="AV1326" s="471"/>
      <c r="AW1326" s="474"/>
    </row>
    <row r="1327" spans="1:49" ht="14.45" customHeight="1" x14ac:dyDescent="0.25">
      <c r="A1327" s="297" t="str">
        <f t="shared" si="20"/>
        <v/>
      </c>
      <c r="B1327" s="465"/>
      <c r="C1327" s="471"/>
      <c r="D1327" s="471"/>
      <c r="E1327" s="471"/>
      <c r="F1327" s="471"/>
      <c r="G1327" s="471"/>
      <c r="H1327" s="292"/>
      <c r="I1327" s="292"/>
      <c r="J1327" s="292"/>
      <c r="K1327" s="292"/>
      <c r="L1327" s="292"/>
      <c r="M1327" s="292"/>
      <c r="N1327" s="292"/>
      <c r="O1327" s="292"/>
      <c r="P1327" s="294"/>
      <c r="Q1327" s="294"/>
      <c r="R1327" s="294"/>
      <c r="S1327" s="294"/>
      <c r="T1327" s="294"/>
      <c r="U1327" s="294"/>
      <c r="V1327" s="431"/>
      <c r="W1327" s="331"/>
      <c r="X1327" s="331"/>
      <c r="Y1327" s="294">
        <f>IF(NFI_Expiration=1,IF($A1327&lt;VLOOKUP(H$5,NFI,5,0),1,0)*Table_NFI[[#This Row],[Hygiene Kit]],Table_NFI[Hygiene Kit])</f>
        <v>0</v>
      </c>
      <c r="Z1327" s="294">
        <f>IF(NFI_Expiration=1,IF($A1327&lt;VLOOKUP(I$5,NFI,5,0),1,0)*Table_NFI[[#This Row],[NFI Core Kit]],Table_NFI[NFI Core Kit])</f>
        <v>0</v>
      </c>
      <c r="AA1327" s="294">
        <f>IF(NFI_Expiration=1,IF($A1327&lt;VLOOKUP(J$5,NFI,5,0),1,0)*Table_NFI[[#This Row],[Sanitary Kit]],Table_NFI[Sanitary Kit])</f>
        <v>0</v>
      </c>
      <c r="AB1327" s="294">
        <f>IF(NFI_Expiration=1,IF($A1327&lt;VLOOKUP(K$5,NFI,5,0),1,0)*Table_NFI[[#This Row],[Mosquito net]],Table_NFI[Mosquito net])</f>
        <v>0</v>
      </c>
      <c r="AC1327" s="294">
        <f>IF(NFI_Expiration=1,IF($A1327&lt;VLOOKUP(L$5,NFI,5,0),1,0)*Table_NFI[[#This Row],[Tarpaulin]],Table_NFI[[#This Row],[Tarpaulin]])</f>
        <v>0</v>
      </c>
      <c r="AD1327" s="294">
        <f>IF(NFI_Expiration=1,IF($A1327&lt;VLOOKUP(M$5,NFI,5,0),1,0)*Table_NFI[[#This Row],[Blanket]],Table_NFI[[#This Row],[Blanket]])</f>
        <v>0</v>
      </c>
      <c r="AE1327" s="294">
        <f>IF(NFI_Expiration=1,IF($A1327&lt;VLOOKUP(N$5,NFI,5,0),1,0)*Table_NFI[[#This Row],[Kitchen Set]],Table_NFI[Kitchen Set])</f>
        <v>0</v>
      </c>
      <c r="AF1327" s="294">
        <f>IF(NFI_Expiration=1,IF($A1327&lt;VLOOKUP(O$5,NFI,5,0),1,0)*Table_NFI[[#This Row],[Clothes Kit]],Table_NFI[Clothes Kit])</f>
        <v>0</v>
      </c>
      <c r="AG1327" s="294">
        <f>IF(NFI_Expiration=1,IF($A1327&lt;VLOOKUP(P$5,NFI,5,0),1,0)*Table_NFI[[#This Row],[Plastic Bucket]],Table_NFI[Plastic Bucket])</f>
        <v>0</v>
      </c>
      <c r="AH1327" s="294">
        <f>IF(NFI_Expiration=1,IF($A1327&lt;VLOOKUP(Q$5,NFI,5,0),1,0)*Table_NFI[[#This Row],[Plastic Mat]],Table_NFI[Plastic Mat])*IF(Table_NFI[[#This Row],[Distribution Date]]&gt;"2014-04-01",1,2.5)</f>
        <v>0</v>
      </c>
      <c r="AI1327" s="294">
        <f>IF(NFI_Expiration=1,IF($A1327&lt;VLOOKUP(R$5,NFI,5,0),1,0)*Table_NFI[[#This Row],[Winter Clothes Adult]],Table_NFI[Winter Clothes Adult])</f>
        <v>0</v>
      </c>
      <c r="AJ1327" s="294">
        <f>IF(NFI_Expiration=1,IF($A1327&lt;VLOOKUP(S$5,NFI,5,0),1,0)*Table_NFI[[#This Row],[Winter Clothes Children]],Table_NFI[Winter Clothes Children])</f>
        <v>0</v>
      </c>
      <c r="AK1327" s="294">
        <f>IF(NFI_Expiration=1,IF($A1327&lt;VLOOKUP(T$5,NFI,5,0),1,0)*Table_NFI[[#This Row],[Winter Items Other]],Table_NFI[Winter Items Other])</f>
        <v>0</v>
      </c>
      <c r="AL1327" s="294">
        <f>IF(NFI_Expiration=1,IF($A1327&lt;VLOOKUP(M$5,NFI,5,0),1,0)*Table_NFI[[#This Row],[Winter Blanket]],Table_NFI[[#This Row],[Winter Blanket]])</f>
        <v>0</v>
      </c>
      <c r="AM1327" s="294">
        <f>IF(Table_NFI[[#This Row],[Winter Clothes Adult]]+Table_NFI[[#This Row],[Winter Clothes Children]]+Table_NFI[[#This Row],[Winter Items Other]]+Table_NFI[[#This Row],[Winter Blanket]]&gt;0,1,0)</f>
        <v>0</v>
      </c>
      <c r="AN1327" s="331">
        <f>IF(NFI_Expiration=1,IF($A1327&lt;VLOOKUP(V$5,NFI,5,0),1,0)*Table_NFI[[#This Row],[Jerry Can]],Table_NFI[Jerry Can])</f>
        <v>0</v>
      </c>
      <c r="AO1327" s="331">
        <f>IF(NFI_Expiration=1,IF($A1327&lt;VLOOKUP(V$5,NFI,5,0),1,0)*Table_NFI[[#This Row],[Shelter Tool kit]],Table_NFI[Shelter Tool kit])</f>
        <v>0</v>
      </c>
      <c r="AP1327" s="331">
        <f>IF(NFI_Expiration=1,IF($A1327&lt;VLOOKUP(V$5,NFI,5,0),1,0)*Table_NFI[[#This Row],[Tent]],Table_NFI[Tent])</f>
        <v>0</v>
      </c>
      <c r="AQ1327" s="473" t="str">
        <f>IFERROR(VLOOKUP(Table_NFI[[#This Row],[Camp Name]],CL,2,0),"")</f>
        <v/>
      </c>
      <c r="AR1327" s="468" t="str">
        <f ca="1">IF(Table_NFI[[#This Row],[Pcode]]="","",IF(OFFSET(CampList[Opening Date],MATCH(Table_NFI[[#This Row],[Pcode]],CampList[CP_Pcode],0)-1,0,1,1)&gt;=NFI_Monitor_Date,1,0))</f>
        <v/>
      </c>
      <c r="AS1327" s="473" t="str">
        <f>IFERROR(VLOOKUP(Table_NFI[[#This Row],[Camp Name]],CL,3,0),"")</f>
        <v/>
      </c>
      <c r="AT1327" s="294" t="str">
        <f ca="1">IF(Table_NFI[[#This Row],[Pcode]]="","",OFFSET(CampList[Priority],MATCH(Table_NFI[[#This Row],[Pcode]],CampList[CP_Pcode],0)-1,0,1,1))</f>
        <v/>
      </c>
      <c r="AU1327" s="293" t="str">
        <f>IFERROR(Table_NFI[[#This Row],[Kitchen Set]]/VLOOKUP(Table_NFI[[#This Row],[Camp Name]],CL,4,0),"")</f>
        <v/>
      </c>
      <c r="AV1327" s="471"/>
      <c r="AW1327" s="474"/>
    </row>
    <row r="1328" spans="1:49" ht="14.45" customHeight="1" x14ac:dyDescent="0.25">
      <c r="A1328" s="297" t="str">
        <f t="shared" si="20"/>
        <v/>
      </c>
      <c r="B1328" s="465"/>
      <c r="C1328" s="471"/>
      <c r="D1328" s="471"/>
      <c r="E1328" s="471"/>
      <c r="F1328" s="471"/>
      <c r="G1328" s="471"/>
      <c r="H1328" s="292"/>
      <c r="I1328" s="292"/>
      <c r="J1328" s="292"/>
      <c r="K1328" s="292"/>
      <c r="L1328" s="292"/>
      <c r="M1328" s="292"/>
      <c r="N1328" s="292"/>
      <c r="O1328" s="292"/>
      <c r="P1328" s="294"/>
      <c r="Q1328" s="294"/>
      <c r="R1328" s="294"/>
      <c r="S1328" s="294"/>
      <c r="T1328" s="294"/>
      <c r="U1328" s="294"/>
      <c r="V1328" s="431"/>
      <c r="W1328" s="331"/>
      <c r="X1328" s="331"/>
      <c r="Y1328" s="294">
        <f>IF(NFI_Expiration=1,IF($A1328&lt;VLOOKUP(H$5,NFI,5,0),1,0)*Table_NFI[[#This Row],[Hygiene Kit]],Table_NFI[Hygiene Kit])</f>
        <v>0</v>
      </c>
      <c r="Z1328" s="294">
        <f>IF(NFI_Expiration=1,IF($A1328&lt;VLOOKUP(I$5,NFI,5,0),1,0)*Table_NFI[[#This Row],[NFI Core Kit]],Table_NFI[NFI Core Kit])</f>
        <v>0</v>
      </c>
      <c r="AA1328" s="294">
        <f>IF(NFI_Expiration=1,IF($A1328&lt;VLOOKUP(J$5,NFI,5,0),1,0)*Table_NFI[[#This Row],[Sanitary Kit]],Table_NFI[Sanitary Kit])</f>
        <v>0</v>
      </c>
      <c r="AB1328" s="294">
        <f>IF(NFI_Expiration=1,IF($A1328&lt;VLOOKUP(K$5,NFI,5,0),1,0)*Table_NFI[[#This Row],[Mosquito net]],Table_NFI[Mosquito net])</f>
        <v>0</v>
      </c>
      <c r="AC1328" s="294">
        <f>IF(NFI_Expiration=1,IF($A1328&lt;VLOOKUP(L$5,NFI,5,0),1,0)*Table_NFI[[#This Row],[Tarpaulin]],Table_NFI[[#This Row],[Tarpaulin]])</f>
        <v>0</v>
      </c>
      <c r="AD1328" s="294">
        <f>IF(NFI_Expiration=1,IF($A1328&lt;VLOOKUP(M$5,NFI,5,0),1,0)*Table_NFI[[#This Row],[Blanket]],Table_NFI[[#This Row],[Blanket]])</f>
        <v>0</v>
      </c>
      <c r="AE1328" s="294">
        <f>IF(NFI_Expiration=1,IF($A1328&lt;VLOOKUP(N$5,NFI,5,0),1,0)*Table_NFI[[#This Row],[Kitchen Set]],Table_NFI[Kitchen Set])</f>
        <v>0</v>
      </c>
      <c r="AF1328" s="294">
        <f>IF(NFI_Expiration=1,IF($A1328&lt;VLOOKUP(O$5,NFI,5,0),1,0)*Table_NFI[[#This Row],[Clothes Kit]],Table_NFI[Clothes Kit])</f>
        <v>0</v>
      </c>
      <c r="AG1328" s="294">
        <f>IF(NFI_Expiration=1,IF($A1328&lt;VLOOKUP(P$5,NFI,5,0),1,0)*Table_NFI[[#This Row],[Plastic Bucket]],Table_NFI[Plastic Bucket])</f>
        <v>0</v>
      </c>
      <c r="AH1328" s="294">
        <f>IF(NFI_Expiration=1,IF($A1328&lt;VLOOKUP(Q$5,NFI,5,0),1,0)*Table_NFI[[#This Row],[Plastic Mat]],Table_NFI[Plastic Mat])*IF(Table_NFI[[#This Row],[Distribution Date]]&gt;"2014-04-01",1,2.5)</f>
        <v>0</v>
      </c>
      <c r="AI1328" s="294">
        <f>IF(NFI_Expiration=1,IF($A1328&lt;VLOOKUP(R$5,NFI,5,0),1,0)*Table_NFI[[#This Row],[Winter Clothes Adult]],Table_NFI[Winter Clothes Adult])</f>
        <v>0</v>
      </c>
      <c r="AJ1328" s="294">
        <f>IF(NFI_Expiration=1,IF($A1328&lt;VLOOKUP(S$5,NFI,5,0),1,0)*Table_NFI[[#This Row],[Winter Clothes Children]],Table_NFI[Winter Clothes Children])</f>
        <v>0</v>
      </c>
      <c r="AK1328" s="294">
        <f>IF(NFI_Expiration=1,IF($A1328&lt;VLOOKUP(T$5,NFI,5,0),1,0)*Table_NFI[[#This Row],[Winter Items Other]],Table_NFI[Winter Items Other])</f>
        <v>0</v>
      </c>
      <c r="AL1328" s="294">
        <f>IF(NFI_Expiration=1,IF($A1328&lt;VLOOKUP(M$5,NFI,5,0),1,0)*Table_NFI[[#This Row],[Winter Blanket]],Table_NFI[[#This Row],[Winter Blanket]])</f>
        <v>0</v>
      </c>
      <c r="AM1328" s="294">
        <f>IF(Table_NFI[[#This Row],[Winter Clothes Adult]]+Table_NFI[[#This Row],[Winter Clothes Children]]+Table_NFI[[#This Row],[Winter Items Other]]+Table_NFI[[#This Row],[Winter Blanket]]&gt;0,1,0)</f>
        <v>0</v>
      </c>
      <c r="AN1328" s="331">
        <f>IF(NFI_Expiration=1,IF($A1328&lt;VLOOKUP(V$5,NFI,5,0),1,0)*Table_NFI[[#This Row],[Jerry Can]],Table_NFI[Jerry Can])</f>
        <v>0</v>
      </c>
      <c r="AO1328" s="331">
        <f>IF(NFI_Expiration=1,IF($A1328&lt;VLOOKUP(V$5,NFI,5,0),1,0)*Table_NFI[[#This Row],[Shelter Tool kit]],Table_NFI[Shelter Tool kit])</f>
        <v>0</v>
      </c>
      <c r="AP1328" s="331">
        <f>IF(NFI_Expiration=1,IF($A1328&lt;VLOOKUP(V$5,NFI,5,0),1,0)*Table_NFI[[#This Row],[Tent]],Table_NFI[Tent])</f>
        <v>0</v>
      </c>
      <c r="AQ1328" s="473" t="str">
        <f>IFERROR(VLOOKUP(Table_NFI[[#This Row],[Camp Name]],CL,2,0),"")</f>
        <v/>
      </c>
      <c r="AR1328" s="468" t="str">
        <f ca="1">IF(Table_NFI[[#This Row],[Pcode]]="","",IF(OFFSET(CampList[Opening Date],MATCH(Table_NFI[[#This Row],[Pcode]],CampList[CP_Pcode],0)-1,0,1,1)&gt;=NFI_Monitor_Date,1,0))</f>
        <v/>
      </c>
      <c r="AS1328" s="473" t="str">
        <f>IFERROR(VLOOKUP(Table_NFI[[#This Row],[Camp Name]],CL,3,0),"")</f>
        <v/>
      </c>
      <c r="AT1328" s="294" t="str">
        <f ca="1">IF(Table_NFI[[#This Row],[Pcode]]="","",OFFSET(CampList[Priority],MATCH(Table_NFI[[#This Row],[Pcode]],CampList[CP_Pcode],0)-1,0,1,1))</f>
        <v/>
      </c>
      <c r="AU1328" s="293" t="str">
        <f>IFERROR(Table_NFI[[#This Row],[Kitchen Set]]/VLOOKUP(Table_NFI[[#This Row],[Camp Name]],CL,4,0),"")</f>
        <v/>
      </c>
      <c r="AV1328" s="471"/>
      <c r="AW1328" s="474"/>
    </row>
    <row r="1329" spans="1:49" ht="14.45" customHeight="1" x14ac:dyDescent="0.25">
      <c r="A1329" s="297" t="str">
        <f t="shared" si="20"/>
        <v/>
      </c>
      <c r="B1329" s="465"/>
      <c r="C1329" s="471"/>
      <c r="D1329" s="471"/>
      <c r="E1329" s="471"/>
      <c r="F1329" s="471"/>
      <c r="G1329" s="471"/>
      <c r="H1329" s="292"/>
      <c r="I1329" s="292"/>
      <c r="J1329" s="292"/>
      <c r="K1329" s="292"/>
      <c r="L1329" s="292"/>
      <c r="M1329" s="292"/>
      <c r="N1329" s="292"/>
      <c r="O1329" s="292"/>
      <c r="P1329" s="294"/>
      <c r="Q1329" s="294"/>
      <c r="R1329" s="294"/>
      <c r="S1329" s="294"/>
      <c r="T1329" s="294"/>
      <c r="U1329" s="294"/>
      <c r="V1329" s="431"/>
      <c r="W1329" s="331"/>
      <c r="X1329" s="331"/>
      <c r="Y1329" s="294">
        <f>IF(NFI_Expiration=1,IF($A1329&lt;VLOOKUP(H$5,NFI,5,0),1,0)*Table_NFI[[#This Row],[Hygiene Kit]],Table_NFI[Hygiene Kit])</f>
        <v>0</v>
      </c>
      <c r="Z1329" s="294">
        <f>IF(NFI_Expiration=1,IF($A1329&lt;VLOOKUP(I$5,NFI,5,0),1,0)*Table_NFI[[#This Row],[NFI Core Kit]],Table_NFI[NFI Core Kit])</f>
        <v>0</v>
      </c>
      <c r="AA1329" s="294">
        <f>IF(NFI_Expiration=1,IF($A1329&lt;VLOOKUP(J$5,NFI,5,0),1,0)*Table_NFI[[#This Row],[Sanitary Kit]],Table_NFI[Sanitary Kit])</f>
        <v>0</v>
      </c>
      <c r="AB1329" s="294">
        <f>IF(NFI_Expiration=1,IF($A1329&lt;VLOOKUP(K$5,NFI,5,0),1,0)*Table_NFI[[#This Row],[Mosquito net]],Table_NFI[Mosquito net])</f>
        <v>0</v>
      </c>
      <c r="AC1329" s="294">
        <f>IF(NFI_Expiration=1,IF($A1329&lt;VLOOKUP(L$5,NFI,5,0),1,0)*Table_NFI[[#This Row],[Tarpaulin]],Table_NFI[[#This Row],[Tarpaulin]])</f>
        <v>0</v>
      </c>
      <c r="AD1329" s="294">
        <f>IF(NFI_Expiration=1,IF($A1329&lt;VLOOKUP(M$5,NFI,5,0),1,0)*Table_NFI[[#This Row],[Blanket]],Table_NFI[[#This Row],[Blanket]])</f>
        <v>0</v>
      </c>
      <c r="AE1329" s="294">
        <f>IF(NFI_Expiration=1,IF($A1329&lt;VLOOKUP(N$5,NFI,5,0),1,0)*Table_NFI[[#This Row],[Kitchen Set]],Table_NFI[Kitchen Set])</f>
        <v>0</v>
      </c>
      <c r="AF1329" s="294">
        <f>IF(NFI_Expiration=1,IF($A1329&lt;VLOOKUP(O$5,NFI,5,0),1,0)*Table_NFI[[#This Row],[Clothes Kit]],Table_NFI[Clothes Kit])</f>
        <v>0</v>
      </c>
      <c r="AG1329" s="294">
        <f>IF(NFI_Expiration=1,IF($A1329&lt;VLOOKUP(P$5,NFI,5,0),1,0)*Table_NFI[[#This Row],[Plastic Bucket]],Table_NFI[Plastic Bucket])</f>
        <v>0</v>
      </c>
      <c r="AH1329" s="294">
        <f>IF(NFI_Expiration=1,IF($A1329&lt;VLOOKUP(Q$5,NFI,5,0),1,0)*Table_NFI[[#This Row],[Plastic Mat]],Table_NFI[Plastic Mat])*IF(Table_NFI[[#This Row],[Distribution Date]]&gt;"2014-04-01",1,2.5)</f>
        <v>0</v>
      </c>
      <c r="AI1329" s="294">
        <f>IF(NFI_Expiration=1,IF($A1329&lt;VLOOKUP(R$5,NFI,5,0),1,0)*Table_NFI[[#This Row],[Winter Clothes Adult]],Table_NFI[Winter Clothes Adult])</f>
        <v>0</v>
      </c>
      <c r="AJ1329" s="294">
        <f>IF(NFI_Expiration=1,IF($A1329&lt;VLOOKUP(S$5,NFI,5,0),1,0)*Table_NFI[[#This Row],[Winter Clothes Children]],Table_NFI[Winter Clothes Children])</f>
        <v>0</v>
      </c>
      <c r="AK1329" s="294">
        <f>IF(NFI_Expiration=1,IF($A1329&lt;VLOOKUP(T$5,NFI,5,0),1,0)*Table_NFI[[#This Row],[Winter Items Other]],Table_NFI[Winter Items Other])</f>
        <v>0</v>
      </c>
      <c r="AL1329" s="294">
        <f>IF(NFI_Expiration=1,IF($A1329&lt;VLOOKUP(M$5,NFI,5,0),1,0)*Table_NFI[[#This Row],[Winter Blanket]],Table_NFI[[#This Row],[Winter Blanket]])</f>
        <v>0</v>
      </c>
      <c r="AM1329" s="294">
        <f>IF(Table_NFI[[#This Row],[Winter Clothes Adult]]+Table_NFI[[#This Row],[Winter Clothes Children]]+Table_NFI[[#This Row],[Winter Items Other]]+Table_NFI[[#This Row],[Winter Blanket]]&gt;0,1,0)</f>
        <v>0</v>
      </c>
      <c r="AN1329" s="331">
        <f>IF(NFI_Expiration=1,IF($A1329&lt;VLOOKUP(V$5,NFI,5,0),1,0)*Table_NFI[[#This Row],[Jerry Can]],Table_NFI[Jerry Can])</f>
        <v>0</v>
      </c>
      <c r="AO1329" s="331">
        <f>IF(NFI_Expiration=1,IF($A1329&lt;VLOOKUP(V$5,NFI,5,0),1,0)*Table_NFI[[#This Row],[Shelter Tool kit]],Table_NFI[Shelter Tool kit])</f>
        <v>0</v>
      </c>
      <c r="AP1329" s="331">
        <f>IF(NFI_Expiration=1,IF($A1329&lt;VLOOKUP(V$5,NFI,5,0),1,0)*Table_NFI[[#This Row],[Tent]],Table_NFI[Tent])</f>
        <v>0</v>
      </c>
      <c r="AQ1329" s="473" t="str">
        <f>IFERROR(VLOOKUP(Table_NFI[[#This Row],[Camp Name]],CL,2,0),"")</f>
        <v/>
      </c>
      <c r="AR1329" s="468" t="str">
        <f ca="1">IF(Table_NFI[[#This Row],[Pcode]]="","",IF(OFFSET(CampList[Opening Date],MATCH(Table_NFI[[#This Row],[Pcode]],CampList[CP_Pcode],0)-1,0,1,1)&gt;=NFI_Monitor_Date,1,0))</f>
        <v/>
      </c>
      <c r="AS1329" s="473" t="str">
        <f>IFERROR(VLOOKUP(Table_NFI[[#This Row],[Camp Name]],CL,3,0),"")</f>
        <v/>
      </c>
      <c r="AT1329" s="294" t="str">
        <f ca="1">IF(Table_NFI[[#This Row],[Pcode]]="","",OFFSET(CampList[Priority],MATCH(Table_NFI[[#This Row],[Pcode]],CampList[CP_Pcode],0)-1,0,1,1))</f>
        <v/>
      </c>
      <c r="AU1329" s="293" t="str">
        <f>IFERROR(Table_NFI[[#This Row],[Kitchen Set]]/VLOOKUP(Table_NFI[[#This Row],[Camp Name]],CL,4,0),"")</f>
        <v/>
      </c>
      <c r="AV1329" s="471"/>
      <c r="AW1329" s="474"/>
    </row>
    <row r="1330" spans="1:49" ht="14.45" customHeight="1" x14ac:dyDescent="0.25">
      <c r="A1330" s="297" t="str">
        <f t="shared" si="20"/>
        <v/>
      </c>
      <c r="B1330" s="465"/>
      <c r="C1330" s="471"/>
      <c r="D1330" s="471"/>
      <c r="E1330" s="471"/>
      <c r="F1330" s="471"/>
      <c r="G1330" s="471"/>
      <c r="H1330" s="292"/>
      <c r="I1330" s="292"/>
      <c r="J1330" s="292"/>
      <c r="K1330" s="292"/>
      <c r="L1330" s="292"/>
      <c r="M1330" s="292"/>
      <c r="N1330" s="292"/>
      <c r="O1330" s="292"/>
      <c r="P1330" s="294"/>
      <c r="Q1330" s="294"/>
      <c r="R1330" s="294"/>
      <c r="S1330" s="294"/>
      <c r="T1330" s="294"/>
      <c r="U1330" s="294"/>
      <c r="V1330" s="431"/>
      <c r="W1330" s="331"/>
      <c r="X1330" s="331"/>
      <c r="Y1330" s="294">
        <f>IF(NFI_Expiration=1,IF($A1330&lt;VLOOKUP(H$5,NFI,5,0),1,0)*Table_NFI[[#This Row],[Hygiene Kit]],Table_NFI[Hygiene Kit])</f>
        <v>0</v>
      </c>
      <c r="Z1330" s="294">
        <f>IF(NFI_Expiration=1,IF($A1330&lt;VLOOKUP(I$5,NFI,5,0),1,0)*Table_NFI[[#This Row],[NFI Core Kit]],Table_NFI[NFI Core Kit])</f>
        <v>0</v>
      </c>
      <c r="AA1330" s="294">
        <f>IF(NFI_Expiration=1,IF($A1330&lt;VLOOKUP(J$5,NFI,5,0),1,0)*Table_NFI[[#This Row],[Sanitary Kit]],Table_NFI[Sanitary Kit])</f>
        <v>0</v>
      </c>
      <c r="AB1330" s="294">
        <f>IF(NFI_Expiration=1,IF($A1330&lt;VLOOKUP(K$5,NFI,5,0),1,0)*Table_NFI[[#This Row],[Mosquito net]],Table_NFI[Mosquito net])</f>
        <v>0</v>
      </c>
      <c r="AC1330" s="294">
        <f>IF(NFI_Expiration=1,IF($A1330&lt;VLOOKUP(L$5,NFI,5,0),1,0)*Table_NFI[[#This Row],[Tarpaulin]],Table_NFI[[#This Row],[Tarpaulin]])</f>
        <v>0</v>
      </c>
      <c r="AD1330" s="294">
        <f>IF(NFI_Expiration=1,IF($A1330&lt;VLOOKUP(M$5,NFI,5,0),1,0)*Table_NFI[[#This Row],[Blanket]],Table_NFI[[#This Row],[Blanket]])</f>
        <v>0</v>
      </c>
      <c r="AE1330" s="294">
        <f>IF(NFI_Expiration=1,IF($A1330&lt;VLOOKUP(N$5,NFI,5,0),1,0)*Table_NFI[[#This Row],[Kitchen Set]],Table_NFI[Kitchen Set])</f>
        <v>0</v>
      </c>
      <c r="AF1330" s="294">
        <f>IF(NFI_Expiration=1,IF($A1330&lt;VLOOKUP(O$5,NFI,5,0),1,0)*Table_NFI[[#This Row],[Clothes Kit]],Table_NFI[Clothes Kit])</f>
        <v>0</v>
      </c>
      <c r="AG1330" s="294">
        <f>IF(NFI_Expiration=1,IF($A1330&lt;VLOOKUP(P$5,NFI,5,0),1,0)*Table_NFI[[#This Row],[Plastic Bucket]],Table_NFI[Plastic Bucket])</f>
        <v>0</v>
      </c>
      <c r="AH1330" s="294">
        <f>IF(NFI_Expiration=1,IF($A1330&lt;VLOOKUP(Q$5,NFI,5,0),1,0)*Table_NFI[[#This Row],[Plastic Mat]],Table_NFI[Plastic Mat])*IF(Table_NFI[[#This Row],[Distribution Date]]&gt;"2014-04-01",1,2.5)</f>
        <v>0</v>
      </c>
      <c r="AI1330" s="294">
        <f>IF(NFI_Expiration=1,IF($A1330&lt;VLOOKUP(R$5,NFI,5,0),1,0)*Table_NFI[[#This Row],[Winter Clothes Adult]],Table_NFI[Winter Clothes Adult])</f>
        <v>0</v>
      </c>
      <c r="AJ1330" s="294">
        <f>IF(NFI_Expiration=1,IF($A1330&lt;VLOOKUP(S$5,NFI,5,0),1,0)*Table_NFI[[#This Row],[Winter Clothes Children]],Table_NFI[Winter Clothes Children])</f>
        <v>0</v>
      </c>
      <c r="AK1330" s="294">
        <f>IF(NFI_Expiration=1,IF($A1330&lt;VLOOKUP(T$5,NFI,5,0),1,0)*Table_NFI[[#This Row],[Winter Items Other]],Table_NFI[Winter Items Other])</f>
        <v>0</v>
      </c>
      <c r="AL1330" s="294">
        <f>IF(NFI_Expiration=1,IF($A1330&lt;VLOOKUP(M$5,NFI,5,0),1,0)*Table_NFI[[#This Row],[Winter Blanket]],Table_NFI[[#This Row],[Winter Blanket]])</f>
        <v>0</v>
      </c>
      <c r="AM1330" s="294">
        <f>IF(Table_NFI[[#This Row],[Winter Clothes Adult]]+Table_NFI[[#This Row],[Winter Clothes Children]]+Table_NFI[[#This Row],[Winter Items Other]]+Table_NFI[[#This Row],[Winter Blanket]]&gt;0,1,0)</f>
        <v>0</v>
      </c>
      <c r="AN1330" s="331">
        <f>IF(NFI_Expiration=1,IF($A1330&lt;VLOOKUP(V$5,NFI,5,0),1,0)*Table_NFI[[#This Row],[Jerry Can]],Table_NFI[Jerry Can])</f>
        <v>0</v>
      </c>
      <c r="AO1330" s="331">
        <f>IF(NFI_Expiration=1,IF($A1330&lt;VLOOKUP(V$5,NFI,5,0),1,0)*Table_NFI[[#This Row],[Shelter Tool kit]],Table_NFI[Shelter Tool kit])</f>
        <v>0</v>
      </c>
      <c r="AP1330" s="331">
        <f>IF(NFI_Expiration=1,IF($A1330&lt;VLOOKUP(V$5,NFI,5,0),1,0)*Table_NFI[[#This Row],[Tent]],Table_NFI[Tent])</f>
        <v>0</v>
      </c>
      <c r="AQ1330" s="473" t="str">
        <f>IFERROR(VLOOKUP(Table_NFI[[#This Row],[Camp Name]],CL,2,0),"")</f>
        <v/>
      </c>
      <c r="AR1330" s="468" t="str">
        <f ca="1">IF(Table_NFI[[#This Row],[Pcode]]="","",IF(OFFSET(CampList[Opening Date],MATCH(Table_NFI[[#This Row],[Pcode]],CampList[CP_Pcode],0)-1,0,1,1)&gt;=NFI_Monitor_Date,1,0))</f>
        <v/>
      </c>
      <c r="AS1330" s="473" t="str">
        <f>IFERROR(VLOOKUP(Table_NFI[[#This Row],[Camp Name]],CL,3,0),"")</f>
        <v/>
      </c>
      <c r="AT1330" s="294" t="str">
        <f ca="1">IF(Table_NFI[[#This Row],[Pcode]]="","",OFFSET(CampList[Priority],MATCH(Table_NFI[[#This Row],[Pcode]],CampList[CP_Pcode],0)-1,0,1,1))</f>
        <v/>
      </c>
      <c r="AU1330" s="293" t="str">
        <f>IFERROR(Table_NFI[[#This Row],[Kitchen Set]]/VLOOKUP(Table_NFI[[#This Row],[Camp Name]],CL,4,0),"")</f>
        <v/>
      </c>
      <c r="AV1330" s="471"/>
      <c r="AW1330" s="474"/>
    </row>
    <row r="1331" spans="1:49" ht="14.45" customHeight="1" x14ac:dyDescent="0.25">
      <c r="A1331" s="297" t="str">
        <f t="shared" si="20"/>
        <v/>
      </c>
      <c r="B1331" s="465"/>
      <c r="C1331" s="471"/>
      <c r="D1331" s="471"/>
      <c r="E1331" s="471"/>
      <c r="F1331" s="471"/>
      <c r="G1331" s="471"/>
      <c r="H1331" s="292"/>
      <c r="I1331" s="292"/>
      <c r="J1331" s="292"/>
      <c r="K1331" s="292"/>
      <c r="L1331" s="292"/>
      <c r="M1331" s="292"/>
      <c r="N1331" s="292"/>
      <c r="O1331" s="292"/>
      <c r="P1331" s="294"/>
      <c r="Q1331" s="294"/>
      <c r="R1331" s="294"/>
      <c r="S1331" s="294"/>
      <c r="T1331" s="294"/>
      <c r="U1331" s="294"/>
      <c r="V1331" s="431"/>
      <c r="W1331" s="331"/>
      <c r="X1331" s="331"/>
      <c r="Y1331" s="294">
        <f>IF(NFI_Expiration=1,IF($A1331&lt;VLOOKUP(H$5,NFI,5,0),1,0)*Table_NFI[[#This Row],[Hygiene Kit]],Table_NFI[Hygiene Kit])</f>
        <v>0</v>
      </c>
      <c r="Z1331" s="294">
        <f>IF(NFI_Expiration=1,IF($A1331&lt;VLOOKUP(I$5,NFI,5,0),1,0)*Table_NFI[[#This Row],[NFI Core Kit]],Table_NFI[NFI Core Kit])</f>
        <v>0</v>
      </c>
      <c r="AA1331" s="294">
        <f>IF(NFI_Expiration=1,IF($A1331&lt;VLOOKUP(J$5,NFI,5,0),1,0)*Table_NFI[[#This Row],[Sanitary Kit]],Table_NFI[Sanitary Kit])</f>
        <v>0</v>
      </c>
      <c r="AB1331" s="294">
        <f>IF(NFI_Expiration=1,IF($A1331&lt;VLOOKUP(K$5,NFI,5,0),1,0)*Table_NFI[[#This Row],[Mosquito net]],Table_NFI[Mosquito net])</f>
        <v>0</v>
      </c>
      <c r="AC1331" s="294">
        <f>IF(NFI_Expiration=1,IF($A1331&lt;VLOOKUP(L$5,NFI,5,0),1,0)*Table_NFI[[#This Row],[Tarpaulin]],Table_NFI[[#This Row],[Tarpaulin]])</f>
        <v>0</v>
      </c>
      <c r="AD1331" s="294">
        <f>IF(NFI_Expiration=1,IF($A1331&lt;VLOOKUP(M$5,NFI,5,0),1,0)*Table_NFI[[#This Row],[Blanket]],Table_NFI[[#This Row],[Blanket]])</f>
        <v>0</v>
      </c>
      <c r="AE1331" s="294">
        <f>IF(NFI_Expiration=1,IF($A1331&lt;VLOOKUP(N$5,NFI,5,0),1,0)*Table_NFI[[#This Row],[Kitchen Set]],Table_NFI[Kitchen Set])</f>
        <v>0</v>
      </c>
      <c r="AF1331" s="294">
        <f>IF(NFI_Expiration=1,IF($A1331&lt;VLOOKUP(O$5,NFI,5,0),1,0)*Table_NFI[[#This Row],[Clothes Kit]],Table_NFI[Clothes Kit])</f>
        <v>0</v>
      </c>
      <c r="AG1331" s="294">
        <f>IF(NFI_Expiration=1,IF($A1331&lt;VLOOKUP(P$5,NFI,5,0),1,0)*Table_NFI[[#This Row],[Plastic Bucket]],Table_NFI[Plastic Bucket])</f>
        <v>0</v>
      </c>
      <c r="AH1331" s="294">
        <f>IF(NFI_Expiration=1,IF($A1331&lt;VLOOKUP(Q$5,NFI,5,0),1,0)*Table_NFI[[#This Row],[Plastic Mat]],Table_NFI[Plastic Mat])*IF(Table_NFI[[#This Row],[Distribution Date]]&gt;"2014-04-01",1,2.5)</f>
        <v>0</v>
      </c>
      <c r="AI1331" s="294">
        <f>IF(NFI_Expiration=1,IF($A1331&lt;VLOOKUP(R$5,NFI,5,0),1,0)*Table_NFI[[#This Row],[Winter Clothes Adult]],Table_NFI[Winter Clothes Adult])</f>
        <v>0</v>
      </c>
      <c r="AJ1331" s="294">
        <f>IF(NFI_Expiration=1,IF($A1331&lt;VLOOKUP(S$5,NFI,5,0),1,0)*Table_NFI[[#This Row],[Winter Clothes Children]],Table_NFI[Winter Clothes Children])</f>
        <v>0</v>
      </c>
      <c r="AK1331" s="294">
        <f>IF(NFI_Expiration=1,IF($A1331&lt;VLOOKUP(T$5,NFI,5,0),1,0)*Table_NFI[[#This Row],[Winter Items Other]],Table_NFI[Winter Items Other])</f>
        <v>0</v>
      </c>
      <c r="AL1331" s="294">
        <f>IF(NFI_Expiration=1,IF($A1331&lt;VLOOKUP(M$5,NFI,5,0),1,0)*Table_NFI[[#This Row],[Winter Blanket]],Table_NFI[[#This Row],[Winter Blanket]])</f>
        <v>0</v>
      </c>
      <c r="AM1331" s="294">
        <f>IF(Table_NFI[[#This Row],[Winter Clothes Adult]]+Table_NFI[[#This Row],[Winter Clothes Children]]+Table_NFI[[#This Row],[Winter Items Other]]+Table_NFI[[#This Row],[Winter Blanket]]&gt;0,1,0)</f>
        <v>0</v>
      </c>
      <c r="AN1331" s="331">
        <f>IF(NFI_Expiration=1,IF($A1331&lt;VLOOKUP(V$5,NFI,5,0),1,0)*Table_NFI[[#This Row],[Jerry Can]],Table_NFI[Jerry Can])</f>
        <v>0</v>
      </c>
      <c r="AO1331" s="331">
        <f>IF(NFI_Expiration=1,IF($A1331&lt;VLOOKUP(V$5,NFI,5,0),1,0)*Table_NFI[[#This Row],[Shelter Tool kit]],Table_NFI[Shelter Tool kit])</f>
        <v>0</v>
      </c>
      <c r="AP1331" s="331">
        <f>IF(NFI_Expiration=1,IF($A1331&lt;VLOOKUP(V$5,NFI,5,0),1,0)*Table_NFI[[#This Row],[Tent]],Table_NFI[Tent])</f>
        <v>0</v>
      </c>
      <c r="AQ1331" s="473" t="str">
        <f>IFERROR(VLOOKUP(Table_NFI[[#This Row],[Camp Name]],CL,2,0),"")</f>
        <v/>
      </c>
      <c r="AR1331" s="468" t="str">
        <f ca="1">IF(Table_NFI[[#This Row],[Pcode]]="","",IF(OFFSET(CampList[Opening Date],MATCH(Table_NFI[[#This Row],[Pcode]],CampList[CP_Pcode],0)-1,0,1,1)&gt;=NFI_Monitor_Date,1,0))</f>
        <v/>
      </c>
      <c r="AS1331" s="473" t="str">
        <f>IFERROR(VLOOKUP(Table_NFI[[#This Row],[Camp Name]],CL,3,0),"")</f>
        <v/>
      </c>
      <c r="AT1331" s="294" t="str">
        <f ca="1">IF(Table_NFI[[#This Row],[Pcode]]="","",OFFSET(CampList[Priority],MATCH(Table_NFI[[#This Row],[Pcode]],CampList[CP_Pcode],0)-1,0,1,1))</f>
        <v/>
      </c>
      <c r="AU1331" s="293" t="str">
        <f>IFERROR(Table_NFI[[#This Row],[Kitchen Set]]/VLOOKUP(Table_NFI[[#This Row],[Camp Name]],CL,4,0),"")</f>
        <v/>
      </c>
      <c r="AV1331" s="471"/>
      <c r="AW1331" s="474"/>
    </row>
    <row r="1332" spans="1:49" ht="14.45" customHeight="1" x14ac:dyDescent="0.25">
      <c r="A1332" s="297" t="str">
        <f t="shared" si="20"/>
        <v/>
      </c>
      <c r="B1332" s="465"/>
      <c r="C1332" s="471"/>
      <c r="D1332" s="471"/>
      <c r="E1332" s="471"/>
      <c r="F1332" s="471"/>
      <c r="G1332" s="471"/>
      <c r="H1332" s="292"/>
      <c r="I1332" s="292"/>
      <c r="J1332" s="292"/>
      <c r="K1332" s="292"/>
      <c r="L1332" s="292"/>
      <c r="M1332" s="292"/>
      <c r="N1332" s="292"/>
      <c r="O1332" s="292"/>
      <c r="P1332" s="294"/>
      <c r="Q1332" s="294"/>
      <c r="R1332" s="294"/>
      <c r="S1332" s="294"/>
      <c r="T1332" s="294"/>
      <c r="U1332" s="294"/>
      <c r="V1332" s="431"/>
      <c r="W1332" s="331"/>
      <c r="X1332" s="331"/>
      <c r="Y1332" s="294">
        <f>IF(NFI_Expiration=1,IF($A1332&lt;VLOOKUP(H$5,NFI,5,0),1,0)*Table_NFI[[#This Row],[Hygiene Kit]],Table_NFI[Hygiene Kit])</f>
        <v>0</v>
      </c>
      <c r="Z1332" s="294">
        <f>IF(NFI_Expiration=1,IF($A1332&lt;VLOOKUP(I$5,NFI,5,0),1,0)*Table_NFI[[#This Row],[NFI Core Kit]],Table_NFI[NFI Core Kit])</f>
        <v>0</v>
      </c>
      <c r="AA1332" s="294">
        <f>IF(NFI_Expiration=1,IF($A1332&lt;VLOOKUP(J$5,NFI,5,0),1,0)*Table_NFI[[#This Row],[Sanitary Kit]],Table_NFI[Sanitary Kit])</f>
        <v>0</v>
      </c>
      <c r="AB1332" s="294">
        <f>IF(NFI_Expiration=1,IF($A1332&lt;VLOOKUP(K$5,NFI,5,0),1,0)*Table_NFI[[#This Row],[Mosquito net]],Table_NFI[Mosquito net])</f>
        <v>0</v>
      </c>
      <c r="AC1332" s="294">
        <f>IF(NFI_Expiration=1,IF($A1332&lt;VLOOKUP(L$5,NFI,5,0),1,0)*Table_NFI[[#This Row],[Tarpaulin]],Table_NFI[[#This Row],[Tarpaulin]])</f>
        <v>0</v>
      </c>
      <c r="AD1332" s="294">
        <f>IF(NFI_Expiration=1,IF($A1332&lt;VLOOKUP(M$5,NFI,5,0),1,0)*Table_NFI[[#This Row],[Blanket]],Table_NFI[[#This Row],[Blanket]])</f>
        <v>0</v>
      </c>
      <c r="AE1332" s="294">
        <f>IF(NFI_Expiration=1,IF($A1332&lt;VLOOKUP(N$5,NFI,5,0),1,0)*Table_NFI[[#This Row],[Kitchen Set]],Table_NFI[Kitchen Set])</f>
        <v>0</v>
      </c>
      <c r="AF1332" s="294">
        <f>IF(NFI_Expiration=1,IF($A1332&lt;VLOOKUP(O$5,NFI,5,0),1,0)*Table_NFI[[#This Row],[Clothes Kit]],Table_NFI[Clothes Kit])</f>
        <v>0</v>
      </c>
      <c r="AG1332" s="294">
        <f>IF(NFI_Expiration=1,IF($A1332&lt;VLOOKUP(P$5,NFI,5,0),1,0)*Table_NFI[[#This Row],[Plastic Bucket]],Table_NFI[Plastic Bucket])</f>
        <v>0</v>
      </c>
      <c r="AH1332" s="294">
        <f>IF(NFI_Expiration=1,IF($A1332&lt;VLOOKUP(Q$5,NFI,5,0),1,0)*Table_NFI[[#This Row],[Plastic Mat]],Table_NFI[Plastic Mat])*IF(Table_NFI[[#This Row],[Distribution Date]]&gt;"2014-04-01",1,2.5)</f>
        <v>0</v>
      </c>
      <c r="AI1332" s="294">
        <f>IF(NFI_Expiration=1,IF($A1332&lt;VLOOKUP(R$5,NFI,5,0),1,0)*Table_NFI[[#This Row],[Winter Clothes Adult]],Table_NFI[Winter Clothes Adult])</f>
        <v>0</v>
      </c>
      <c r="AJ1332" s="294">
        <f>IF(NFI_Expiration=1,IF($A1332&lt;VLOOKUP(S$5,NFI,5,0),1,0)*Table_NFI[[#This Row],[Winter Clothes Children]],Table_NFI[Winter Clothes Children])</f>
        <v>0</v>
      </c>
      <c r="AK1332" s="294">
        <f>IF(NFI_Expiration=1,IF($A1332&lt;VLOOKUP(T$5,NFI,5,0),1,0)*Table_NFI[[#This Row],[Winter Items Other]],Table_NFI[Winter Items Other])</f>
        <v>0</v>
      </c>
      <c r="AL1332" s="294">
        <f>IF(NFI_Expiration=1,IF($A1332&lt;VLOOKUP(M$5,NFI,5,0),1,0)*Table_NFI[[#This Row],[Winter Blanket]],Table_NFI[[#This Row],[Winter Blanket]])</f>
        <v>0</v>
      </c>
      <c r="AM1332" s="294">
        <f>IF(Table_NFI[[#This Row],[Winter Clothes Adult]]+Table_NFI[[#This Row],[Winter Clothes Children]]+Table_NFI[[#This Row],[Winter Items Other]]+Table_NFI[[#This Row],[Winter Blanket]]&gt;0,1,0)</f>
        <v>0</v>
      </c>
      <c r="AN1332" s="331">
        <f>IF(NFI_Expiration=1,IF($A1332&lt;VLOOKUP(V$5,NFI,5,0),1,0)*Table_NFI[[#This Row],[Jerry Can]],Table_NFI[Jerry Can])</f>
        <v>0</v>
      </c>
      <c r="AO1332" s="331">
        <f>IF(NFI_Expiration=1,IF($A1332&lt;VLOOKUP(V$5,NFI,5,0),1,0)*Table_NFI[[#This Row],[Shelter Tool kit]],Table_NFI[Shelter Tool kit])</f>
        <v>0</v>
      </c>
      <c r="AP1332" s="331">
        <f>IF(NFI_Expiration=1,IF($A1332&lt;VLOOKUP(V$5,NFI,5,0),1,0)*Table_NFI[[#This Row],[Tent]],Table_NFI[Tent])</f>
        <v>0</v>
      </c>
      <c r="AQ1332" s="473" t="str">
        <f>IFERROR(VLOOKUP(Table_NFI[[#This Row],[Camp Name]],CL,2,0),"")</f>
        <v/>
      </c>
      <c r="AR1332" s="468" t="str">
        <f ca="1">IF(Table_NFI[[#This Row],[Pcode]]="","",IF(OFFSET(CampList[Opening Date],MATCH(Table_NFI[[#This Row],[Pcode]],CampList[CP_Pcode],0)-1,0,1,1)&gt;=NFI_Monitor_Date,1,0))</f>
        <v/>
      </c>
      <c r="AS1332" s="473" t="str">
        <f>IFERROR(VLOOKUP(Table_NFI[[#This Row],[Camp Name]],CL,3,0),"")</f>
        <v/>
      </c>
      <c r="AT1332" s="294" t="str">
        <f ca="1">IF(Table_NFI[[#This Row],[Pcode]]="","",OFFSET(CampList[Priority],MATCH(Table_NFI[[#This Row],[Pcode]],CampList[CP_Pcode],0)-1,0,1,1))</f>
        <v/>
      </c>
      <c r="AU1332" s="293" t="str">
        <f>IFERROR(Table_NFI[[#This Row],[Kitchen Set]]/VLOOKUP(Table_NFI[[#This Row],[Camp Name]],CL,4,0),"")</f>
        <v/>
      </c>
      <c r="AV1332" s="471"/>
      <c r="AW1332" s="474"/>
    </row>
    <row r="1333" spans="1:49" ht="14.45" customHeight="1" x14ac:dyDescent="0.25">
      <c r="A1333" s="297" t="str">
        <f t="shared" si="20"/>
        <v/>
      </c>
      <c r="B1333" s="465"/>
      <c r="C1333" s="471"/>
      <c r="D1333" s="471"/>
      <c r="E1333" s="471"/>
      <c r="F1333" s="471"/>
      <c r="G1333" s="471"/>
      <c r="H1333" s="292"/>
      <c r="I1333" s="292"/>
      <c r="J1333" s="292"/>
      <c r="K1333" s="292"/>
      <c r="L1333" s="292"/>
      <c r="M1333" s="292"/>
      <c r="N1333" s="292"/>
      <c r="O1333" s="292"/>
      <c r="P1333" s="294"/>
      <c r="Q1333" s="294"/>
      <c r="R1333" s="294"/>
      <c r="S1333" s="294"/>
      <c r="T1333" s="294"/>
      <c r="U1333" s="294"/>
      <c r="V1333" s="431"/>
      <c r="W1333" s="331"/>
      <c r="X1333" s="331"/>
      <c r="Y1333" s="294">
        <f>IF(NFI_Expiration=1,IF($A1333&lt;VLOOKUP(H$5,NFI,5,0),1,0)*Table_NFI[[#This Row],[Hygiene Kit]],Table_NFI[Hygiene Kit])</f>
        <v>0</v>
      </c>
      <c r="Z1333" s="294">
        <f>IF(NFI_Expiration=1,IF($A1333&lt;VLOOKUP(I$5,NFI,5,0),1,0)*Table_NFI[[#This Row],[NFI Core Kit]],Table_NFI[NFI Core Kit])</f>
        <v>0</v>
      </c>
      <c r="AA1333" s="294">
        <f>IF(NFI_Expiration=1,IF($A1333&lt;VLOOKUP(J$5,NFI,5,0),1,0)*Table_NFI[[#This Row],[Sanitary Kit]],Table_NFI[Sanitary Kit])</f>
        <v>0</v>
      </c>
      <c r="AB1333" s="294">
        <f>IF(NFI_Expiration=1,IF($A1333&lt;VLOOKUP(K$5,NFI,5,0),1,0)*Table_NFI[[#This Row],[Mosquito net]],Table_NFI[Mosquito net])</f>
        <v>0</v>
      </c>
      <c r="AC1333" s="294">
        <f>IF(NFI_Expiration=1,IF($A1333&lt;VLOOKUP(L$5,NFI,5,0),1,0)*Table_NFI[[#This Row],[Tarpaulin]],Table_NFI[[#This Row],[Tarpaulin]])</f>
        <v>0</v>
      </c>
      <c r="AD1333" s="294">
        <f>IF(NFI_Expiration=1,IF($A1333&lt;VLOOKUP(M$5,NFI,5,0),1,0)*Table_NFI[[#This Row],[Blanket]],Table_NFI[[#This Row],[Blanket]])</f>
        <v>0</v>
      </c>
      <c r="AE1333" s="294">
        <f>IF(NFI_Expiration=1,IF($A1333&lt;VLOOKUP(N$5,NFI,5,0),1,0)*Table_NFI[[#This Row],[Kitchen Set]],Table_NFI[Kitchen Set])</f>
        <v>0</v>
      </c>
      <c r="AF1333" s="294">
        <f>IF(NFI_Expiration=1,IF($A1333&lt;VLOOKUP(O$5,NFI,5,0),1,0)*Table_NFI[[#This Row],[Clothes Kit]],Table_NFI[Clothes Kit])</f>
        <v>0</v>
      </c>
      <c r="AG1333" s="294">
        <f>IF(NFI_Expiration=1,IF($A1333&lt;VLOOKUP(P$5,NFI,5,0),1,0)*Table_NFI[[#This Row],[Plastic Bucket]],Table_NFI[Plastic Bucket])</f>
        <v>0</v>
      </c>
      <c r="AH1333" s="294">
        <f>IF(NFI_Expiration=1,IF($A1333&lt;VLOOKUP(Q$5,NFI,5,0),1,0)*Table_NFI[[#This Row],[Plastic Mat]],Table_NFI[Plastic Mat])*IF(Table_NFI[[#This Row],[Distribution Date]]&gt;"2014-04-01",1,2.5)</f>
        <v>0</v>
      </c>
      <c r="AI1333" s="294">
        <f>IF(NFI_Expiration=1,IF($A1333&lt;VLOOKUP(R$5,NFI,5,0),1,0)*Table_NFI[[#This Row],[Winter Clothes Adult]],Table_NFI[Winter Clothes Adult])</f>
        <v>0</v>
      </c>
      <c r="AJ1333" s="294">
        <f>IF(NFI_Expiration=1,IF($A1333&lt;VLOOKUP(S$5,NFI,5,0),1,0)*Table_NFI[[#This Row],[Winter Clothes Children]],Table_NFI[Winter Clothes Children])</f>
        <v>0</v>
      </c>
      <c r="AK1333" s="294">
        <f>IF(NFI_Expiration=1,IF($A1333&lt;VLOOKUP(T$5,NFI,5,0),1,0)*Table_NFI[[#This Row],[Winter Items Other]],Table_NFI[Winter Items Other])</f>
        <v>0</v>
      </c>
      <c r="AL1333" s="294">
        <f>IF(NFI_Expiration=1,IF($A1333&lt;VLOOKUP(M$5,NFI,5,0),1,0)*Table_NFI[[#This Row],[Winter Blanket]],Table_NFI[[#This Row],[Winter Blanket]])</f>
        <v>0</v>
      </c>
      <c r="AM1333" s="294">
        <f>IF(Table_NFI[[#This Row],[Winter Clothes Adult]]+Table_NFI[[#This Row],[Winter Clothes Children]]+Table_NFI[[#This Row],[Winter Items Other]]+Table_NFI[[#This Row],[Winter Blanket]]&gt;0,1,0)</f>
        <v>0</v>
      </c>
      <c r="AN1333" s="331">
        <f>IF(NFI_Expiration=1,IF($A1333&lt;VLOOKUP(V$5,NFI,5,0),1,0)*Table_NFI[[#This Row],[Jerry Can]],Table_NFI[Jerry Can])</f>
        <v>0</v>
      </c>
      <c r="AO1333" s="331">
        <f>IF(NFI_Expiration=1,IF($A1333&lt;VLOOKUP(V$5,NFI,5,0),1,0)*Table_NFI[[#This Row],[Shelter Tool kit]],Table_NFI[Shelter Tool kit])</f>
        <v>0</v>
      </c>
      <c r="AP1333" s="331">
        <f>IF(NFI_Expiration=1,IF($A1333&lt;VLOOKUP(V$5,NFI,5,0),1,0)*Table_NFI[[#This Row],[Tent]],Table_NFI[Tent])</f>
        <v>0</v>
      </c>
      <c r="AQ1333" s="473" t="str">
        <f>IFERROR(VLOOKUP(Table_NFI[[#This Row],[Camp Name]],CL,2,0),"")</f>
        <v/>
      </c>
      <c r="AR1333" s="468" t="str">
        <f ca="1">IF(Table_NFI[[#This Row],[Pcode]]="","",IF(OFFSET(CampList[Opening Date],MATCH(Table_NFI[[#This Row],[Pcode]],CampList[CP_Pcode],0)-1,0,1,1)&gt;=NFI_Monitor_Date,1,0))</f>
        <v/>
      </c>
      <c r="AS1333" s="473" t="str">
        <f>IFERROR(VLOOKUP(Table_NFI[[#This Row],[Camp Name]],CL,3,0),"")</f>
        <v/>
      </c>
      <c r="AT1333" s="294" t="str">
        <f ca="1">IF(Table_NFI[[#This Row],[Pcode]]="","",OFFSET(CampList[Priority],MATCH(Table_NFI[[#This Row],[Pcode]],CampList[CP_Pcode],0)-1,0,1,1))</f>
        <v/>
      </c>
      <c r="AU1333" s="293" t="str">
        <f>IFERROR(Table_NFI[[#This Row],[Kitchen Set]]/VLOOKUP(Table_NFI[[#This Row],[Camp Name]],CL,4,0),"")</f>
        <v/>
      </c>
      <c r="AV1333" s="471"/>
      <c r="AW1333" s="474"/>
    </row>
    <row r="1334" spans="1:49" ht="14.45" customHeight="1" x14ac:dyDescent="0.25">
      <c r="A1334" s="297" t="str">
        <f t="shared" si="20"/>
        <v/>
      </c>
      <c r="B1334" s="465"/>
      <c r="C1334" s="471"/>
      <c r="D1334" s="471"/>
      <c r="E1334" s="471"/>
      <c r="F1334" s="471"/>
      <c r="G1334" s="471"/>
      <c r="H1334" s="292"/>
      <c r="I1334" s="292"/>
      <c r="J1334" s="292"/>
      <c r="K1334" s="292"/>
      <c r="L1334" s="292"/>
      <c r="M1334" s="292"/>
      <c r="N1334" s="292"/>
      <c r="O1334" s="292"/>
      <c r="P1334" s="294"/>
      <c r="Q1334" s="294"/>
      <c r="R1334" s="294"/>
      <c r="S1334" s="294"/>
      <c r="T1334" s="294"/>
      <c r="U1334" s="294"/>
      <c r="V1334" s="431"/>
      <c r="W1334" s="331"/>
      <c r="X1334" s="331"/>
      <c r="Y1334" s="294">
        <f>IF(NFI_Expiration=1,IF($A1334&lt;VLOOKUP(H$5,NFI,5,0),1,0)*Table_NFI[[#This Row],[Hygiene Kit]],Table_NFI[Hygiene Kit])</f>
        <v>0</v>
      </c>
      <c r="Z1334" s="294">
        <f>IF(NFI_Expiration=1,IF($A1334&lt;VLOOKUP(I$5,NFI,5,0),1,0)*Table_NFI[[#This Row],[NFI Core Kit]],Table_NFI[NFI Core Kit])</f>
        <v>0</v>
      </c>
      <c r="AA1334" s="294">
        <f>IF(NFI_Expiration=1,IF($A1334&lt;VLOOKUP(J$5,NFI,5,0),1,0)*Table_NFI[[#This Row],[Sanitary Kit]],Table_NFI[Sanitary Kit])</f>
        <v>0</v>
      </c>
      <c r="AB1334" s="294">
        <f>IF(NFI_Expiration=1,IF($A1334&lt;VLOOKUP(K$5,NFI,5,0),1,0)*Table_NFI[[#This Row],[Mosquito net]],Table_NFI[Mosquito net])</f>
        <v>0</v>
      </c>
      <c r="AC1334" s="294">
        <f>IF(NFI_Expiration=1,IF($A1334&lt;VLOOKUP(L$5,NFI,5,0),1,0)*Table_NFI[[#This Row],[Tarpaulin]],Table_NFI[[#This Row],[Tarpaulin]])</f>
        <v>0</v>
      </c>
      <c r="AD1334" s="294">
        <f>IF(NFI_Expiration=1,IF($A1334&lt;VLOOKUP(M$5,NFI,5,0),1,0)*Table_NFI[[#This Row],[Blanket]],Table_NFI[[#This Row],[Blanket]])</f>
        <v>0</v>
      </c>
      <c r="AE1334" s="294">
        <f>IF(NFI_Expiration=1,IF($A1334&lt;VLOOKUP(N$5,NFI,5,0),1,0)*Table_NFI[[#This Row],[Kitchen Set]],Table_NFI[Kitchen Set])</f>
        <v>0</v>
      </c>
      <c r="AF1334" s="294">
        <f>IF(NFI_Expiration=1,IF($A1334&lt;VLOOKUP(O$5,NFI,5,0),1,0)*Table_NFI[[#This Row],[Clothes Kit]],Table_NFI[Clothes Kit])</f>
        <v>0</v>
      </c>
      <c r="AG1334" s="294">
        <f>IF(NFI_Expiration=1,IF($A1334&lt;VLOOKUP(P$5,NFI,5,0),1,0)*Table_NFI[[#This Row],[Plastic Bucket]],Table_NFI[Plastic Bucket])</f>
        <v>0</v>
      </c>
      <c r="AH1334" s="294">
        <f>IF(NFI_Expiration=1,IF($A1334&lt;VLOOKUP(Q$5,NFI,5,0),1,0)*Table_NFI[[#This Row],[Plastic Mat]],Table_NFI[Plastic Mat])*IF(Table_NFI[[#This Row],[Distribution Date]]&gt;"2014-04-01",1,2.5)</f>
        <v>0</v>
      </c>
      <c r="AI1334" s="294">
        <f>IF(NFI_Expiration=1,IF($A1334&lt;VLOOKUP(R$5,NFI,5,0),1,0)*Table_NFI[[#This Row],[Winter Clothes Adult]],Table_NFI[Winter Clothes Adult])</f>
        <v>0</v>
      </c>
      <c r="AJ1334" s="294">
        <f>IF(NFI_Expiration=1,IF($A1334&lt;VLOOKUP(S$5,NFI,5,0),1,0)*Table_NFI[[#This Row],[Winter Clothes Children]],Table_NFI[Winter Clothes Children])</f>
        <v>0</v>
      </c>
      <c r="AK1334" s="294">
        <f>IF(NFI_Expiration=1,IF($A1334&lt;VLOOKUP(T$5,NFI,5,0),1,0)*Table_NFI[[#This Row],[Winter Items Other]],Table_NFI[Winter Items Other])</f>
        <v>0</v>
      </c>
      <c r="AL1334" s="294">
        <f>IF(NFI_Expiration=1,IF($A1334&lt;VLOOKUP(M$5,NFI,5,0),1,0)*Table_NFI[[#This Row],[Winter Blanket]],Table_NFI[[#This Row],[Winter Blanket]])</f>
        <v>0</v>
      </c>
      <c r="AM1334" s="294">
        <f>IF(Table_NFI[[#This Row],[Winter Clothes Adult]]+Table_NFI[[#This Row],[Winter Clothes Children]]+Table_NFI[[#This Row],[Winter Items Other]]+Table_NFI[[#This Row],[Winter Blanket]]&gt;0,1,0)</f>
        <v>0</v>
      </c>
      <c r="AN1334" s="331">
        <f>IF(NFI_Expiration=1,IF($A1334&lt;VLOOKUP(V$5,NFI,5,0),1,0)*Table_NFI[[#This Row],[Jerry Can]],Table_NFI[Jerry Can])</f>
        <v>0</v>
      </c>
      <c r="AO1334" s="331">
        <f>IF(NFI_Expiration=1,IF($A1334&lt;VLOOKUP(V$5,NFI,5,0),1,0)*Table_NFI[[#This Row],[Shelter Tool kit]],Table_NFI[Shelter Tool kit])</f>
        <v>0</v>
      </c>
      <c r="AP1334" s="331">
        <f>IF(NFI_Expiration=1,IF($A1334&lt;VLOOKUP(V$5,NFI,5,0),1,0)*Table_NFI[[#This Row],[Tent]],Table_NFI[Tent])</f>
        <v>0</v>
      </c>
      <c r="AQ1334" s="473" t="str">
        <f>IFERROR(VLOOKUP(Table_NFI[[#This Row],[Camp Name]],CL,2,0),"")</f>
        <v/>
      </c>
      <c r="AR1334" s="468" t="str">
        <f ca="1">IF(Table_NFI[[#This Row],[Pcode]]="","",IF(OFFSET(CampList[Opening Date],MATCH(Table_NFI[[#This Row],[Pcode]],CampList[CP_Pcode],0)-1,0,1,1)&gt;=NFI_Monitor_Date,1,0))</f>
        <v/>
      </c>
      <c r="AS1334" s="473" t="str">
        <f>IFERROR(VLOOKUP(Table_NFI[[#This Row],[Camp Name]],CL,3,0),"")</f>
        <v/>
      </c>
      <c r="AT1334" s="294" t="str">
        <f ca="1">IF(Table_NFI[[#This Row],[Pcode]]="","",OFFSET(CampList[Priority],MATCH(Table_NFI[[#This Row],[Pcode]],CampList[CP_Pcode],0)-1,0,1,1))</f>
        <v/>
      </c>
      <c r="AU1334" s="293" t="str">
        <f>IFERROR(Table_NFI[[#This Row],[Kitchen Set]]/VLOOKUP(Table_NFI[[#This Row],[Camp Name]],CL,4,0),"")</f>
        <v/>
      </c>
      <c r="AV1334" s="471"/>
      <c r="AW1334" s="474"/>
    </row>
    <row r="1335" spans="1:49" ht="14.45" customHeight="1" x14ac:dyDescent="0.25">
      <c r="A1335" s="297" t="str">
        <f t="shared" si="20"/>
        <v/>
      </c>
      <c r="B1335" s="465"/>
      <c r="C1335" s="471"/>
      <c r="D1335" s="471"/>
      <c r="E1335" s="471"/>
      <c r="F1335" s="471"/>
      <c r="G1335" s="471"/>
      <c r="H1335" s="292"/>
      <c r="I1335" s="292"/>
      <c r="J1335" s="292"/>
      <c r="K1335" s="292"/>
      <c r="L1335" s="292"/>
      <c r="M1335" s="292"/>
      <c r="N1335" s="292"/>
      <c r="O1335" s="292"/>
      <c r="P1335" s="294"/>
      <c r="Q1335" s="294"/>
      <c r="R1335" s="294"/>
      <c r="S1335" s="294"/>
      <c r="T1335" s="294"/>
      <c r="U1335" s="294"/>
      <c r="V1335" s="431"/>
      <c r="W1335" s="331"/>
      <c r="X1335" s="331"/>
      <c r="Y1335" s="294">
        <f>IF(NFI_Expiration=1,IF($A1335&lt;VLOOKUP(H$5,NFI,5,0),1,0)*Table_NFI[[#This Row],[Hygiene Kit]],Table_NFI[Hygiene Kit])</f>
        <v>0</v>
      </c>
      <c r="Z1335" s="294">
        <f>IF(NFI_Expiration=1,IF($A1335&lt;VLOOKUP(I$5,NFI,5,0),1,0)*Table_NFI[[#This Row],[NFI Core Kit]],Table_NFI[NFI Core Kit])</f>
        <v>0</v>
      </c>
      <c r="AA1335" s="294">
        <f>IF(NFI_Expiration=1,IF($A1335&lt;VLOOKUP(J$5,NFI,5,0),1,0)*Table_NFI[[#This Row],[Sanitary Kit]],Table_NFI[Sanitary Kit])</f>
        <v>0</v>
      </c>
      <c r="AB1335" s="294">
        <f>IF(NFI_Expiration=1,IF($A1335&lt;VLOOKUP(K$5,NFI,5,0),1,0)*Table_NFI[[#This Row],[Mosquito net]],Table_NFI[Mosquito net])</f>
        <v>0</v>
      </c>
      <c r="AC1335" s="294">
        <f>IF(NFI_Expiration=1,IF($A1335&lt;VLOOKUP(L$5,NFI,5,0),1,0)*Table_NFI[[#This Row],[Tarpaulin]],Table_NFI[[#This Row],[Tarpaulin]])</f>
        <v>0</v>
      </c>
      <c r="AD1335" s="294">
        <f>IF(NFI_Expiration=1,IF($A1335&lt;VLOOKUP(M$5,NFI,5,0),1,0)*Table_NFI[[#This Row],[Blanket]],Table_NFI[[#This Row],[Blanket]])</f>
        <v>0</v>
      </c>
      <c r="AE1335" s="294">
        <f>IF(NFI_Expiration=1,IF($A1335&lt;VLOOKUP(N$5,NFI,5,0),1,0)*Table_NFI[[#This Row],[Kitchen Set]],Table_NFI[Kitchen Set])</f>
        <v>0</v>
      </c>
      <c r="AF1335" s="294">
        <f>IF(NFI_Expiration=1,IF($A1335&lt;VLOOKUP(O$5,NFI,5,0),1,0)*Table_NFI[[#This Row],[Clothes Kit]],Table_NFI[Clothes Kit])</f>
        <v>0</v>
      </c>
      <c r="AG1335" s="294">
        <f>IF(NFI_Expiration=1,IF($A1335&lt;VLOOKUP(P$5,NFI,5,0),1,0)*Table_NFI[[#This Row],[Plastic Bucket]],Table_NFI[Plastic Bucket])</f>
        <v>0</v>
      </c>
      <c r="AH1335" s="294">
        <f>IF(NFI_Expiration=1,IF($A1335&lt;VLOOKUP(Q$5,NFI,5,0),1,0)*Table_NFI[[#This Row],[Plastic Mat]],Table_NFI[Plastic Mat])*IF(Table_NFI[[#This Row],[Distribution Date]]&gt;"2014-04-01",1,2.5)</f>
        <v>0</v>
      </c>
      <c r="AI1335" s="294">
        <f>IF(NFI_Expiration=1,IF($A1335&lt;VLOOKUP(R$5,NFI,5,0),1,0)*Table_NFI[[#This Row],[Winter Clothes Adult]],Table_NFI[Winter Clothes Adult])</f>
        <v>0</v>
      </c>
      <c r="AJ1335" s="294">
        <f>IF(NFI_Expiration=1,IF($A1335&lt;VLOOKUP(S$5,NFI,5,0),1,0)*Table_NFI[[#This Row],[Winter Clothes Children]],Table_NFI[Winter Clothes Children])</f>
        <v>0</v>
      </c>
      <c r="AK1335" s="294">
        <f>IF(NFI_Expiration=1,IF($A1335&lt;VLOOKUP(T$5,NFI,5,0),1,0)*Table_NFI[[#This Row],[Winter Items Other]],Table_NFI[Winter Items Other])</f>
        <v>0</v>
      </c>
      <c r="AL1335" s="294">
        <f>IF(NFI_Expiration=1,IF($A1335&lt;VLOOKUP(M$5,NFI,5,0),1,0)*Table_NFI[[#This Row],[Winter Blanket]],Table_NFI[[#This Row],[Winter Blanket]])</f>
        <v>0</v>
      </c>
      <c r="AM1335" s="294">
        <f>IF(Table_NFI[[#This Row],[Winter Clothes Adult]]+Table_NFI[[#This Row],[Winter Clothes Children]]+Table_NFI[[#This Row],[Winter Items Other]]+Table_NFI[[#This Row],[Winter Blanket]]&gt;0,1,0)</f>
        <v>0</v>
      </c>
      <c r="AN1335" s="331">
        <f>IF(NFI_Expiration=1,IF($A1335&lt;VLOOKUP(V$5,NFI,5,0),1,0)*Table_NFI[[#This Row],[Jerry Can]],Table_NFI[Jerry Can])</f>
        <v>0</v>
      </c>
      <c r="AO1335" s="331">
        <f>IF(NFI_Expiration=1,IF($A1335&lt;VLOOKUP(V$5,NFI,5,0),1,0)*Table_NFI[[#This Row],[Shelter Tool kit]],Table_NFI[Shelter Tool kit])</f>
        <v>0</v>
      </c>
      <c r="AP1335" s="331">
        <f>IF(NFI_Expiration=1,IF($A1335&lt;VLOOKUP(V$5,NFI,5,0),1,0)*Table_NFI[[#This Row],[Tent]],Table_NFI[Tent])</f>
        <v>0</v>
      </c>
      <c r="AQ1335" s="473" t="str">
        <f>IFERROR(VLOOKUP(Table_NFI[[#This Row],[Camp Name]],CL,2,0),"")</f>
        <v/>
      </c>
      <c r="AR1335" s="468" t="str">
        <f ca="1">IF(Table_NFI[[#This Row],[Pcode]]="","",IF(OFFSET(CampList[Opening Date],MATCH(Table_NFI[[#This Row],[Pcode]],CampList[CP_Pcode],0)-1,0,1,1)&gt;=NFI_Monitor_Date,1,0))</f>
        <v/>
      </c>
      <c r="AS1335" s="473" t="str">
        <f>IFERROR(VLOOKUP(Table_NFI[[#This Row],[Camp Name]],CL,3,0),"")</f>
        <v/>
      </c>
      <c r="AT1335" s="294" t="str">
        <f ca="1">IF(Table_NFI[[#This Row],[Pcode]]="","",OFFSET(CampList[Priority],MATCH(Table_NFI[[#This Row],[Pcode]],CampList[CP_Pcode],0)-1,0,1,1))</f>
        <v/>
      </c>
      <c r="AU1335" s="293" t="str">
        <f>IFERROR(Table_NFI[[#This Row],[Kitchen Set]]/VLOOKUP(Table_NFI[[#This Row],[Camp Name]],CL,4,0),"")</f>
        <v/>
      </c>
      <c r="AV1335" s="471"/>
      <c r="AW1335" s="474"/>
    </row>
    <row r="1336" spans="1:49" ht="14.45" customHeight="1" x14ac:dyDescent="0.25">
      <c r="A1336" s="329" t="str">
        <f t="shared" si="20"/>
        <v/>
      </c>
      <c r="B1336" s="475"/>
      <c r="C1336" s="477"/>
      <c r="D1336" s="477"/>
      <c r="E1336" s="477"/>
      <c r="F1336" s="477"/>
      <c r="G1336" s="477"/>
      <c r="H1336" s="330"/>
      <c r="I1336" s="330"/>
      <c r="J1336" s="330"/>
      <c r="K1336" s="330"/>
      <c r="L1336" s="330"/>
      <c r="M1336" s="330"/>
      <c r="N1336" s="330"/>
      <c r="O1336" s="330"/>
      <c r="P1336" s="331"/>
      <c r="Q1336" s="331"/>
      <c r="R1336" s="331"/>
      <c r="S1336" s="331"/>
      <c r="T1336" s="331"/>
      <c r="U1336" s="331"/>
      <c r="V1336" s="431"/>
      <c r="W1336" s="331"/>
      <c r="X1336" s="331"/>
      <c r="Y1336" s="331">
        <f>IF(NFI_Expiration=1,IF($A1336&lt;VLOOKUP(H$5,NFI,5,0),1,0)*Table_NFI[[#This Row],[Hygiene Kit]],Table_NFI[Hygiene Kit])</f>
        <v>0</v>
      </c>
      <c r="Z1336" s="331">
        <f>IF(NFI_Expiration=1,IF($A1336&lt;VLOOKUP(I$5,NFI,5,0),1,0)*Table_NFI[[#This Row],[NFI Core Kit]],Table_NFI[NFI Core Kit])</f>
        <v>0</v>
      </c>
      <c r="AA1336" s="331">
        <f>IF(NFI_Expiration=1,IF($A1336&lt;VLOOKUP(J$5,NFI,5,0),1,0)*Table_NFI[[#This Row],[Sanitary Kit]],Table_NFI[Sanitary Kit])</f>
        <v>0</v>
      </c>
      <c r="AB1336" s="331">
        <f>IF(NFI_Expiration=1,IF($A1336&lt;VLOOKUP(K$5,NFI,5,0),1,0)*Table_NFI[[#This Row],[Mosquito net]],Table_NFI[Mosquito net])</f>
        <v>0</v>
      </c>
      <c r="AC1336" s="331">
        <f>IF(NFI_Expiration=1,IF($A1336&lt;VLOOKUP(L$5,NFI,5,0),1,0)*Table_NFI[[#This Row],[Tarpaulin]],Table_NFI[[#This Row],[Tarpaulin]])</f>
        <v>0</v>
      </c>
      <c r="AD1336" s="331">
        <f>IF(NFI_Expiration=1,IF($A1336&lt;VLOOKUP(M$5,NFI,5,0),1,0)*Table_NFI[[#This Row],[Blanket]],Table_NFI[[#This Row],[Blanket]])</f>
        <v>0</v>
      </c>
      <c r="AE1336" s="331">
        <f>IF(NFI_Expiration=1,IF($A1336&lt;VLOOKUP(N$5,NFI,5,0),1,0)*Table_NFI[[#This Row],[Kitchen Set]],Table_NFI[Kitchen Set])</f>
        <v>0</v>
      </c>
      <c r="AF1336" s="331">
        <f>IF(NFI_Expiration=1,IF($A1336&lt;VLOOKUP(O$5,NFI,5,0),1,0)*Table_NFI[[#This Row],[Clothes Kit]],Table_NFI[Clothes Kit])</f>
        <v>0</v>
      </c>
      <c r="AG1336" s="331">
        <f>IF(NFI_Expiration=1,IF($A1336&lt;VLOOKUP(P$5,NFI,5,0),1,0)*Table_NFI[[#This Row],[Plastic Bucket]],Table_NFI[Plastic Bucket])</f>
        <v>0</v>
      </c>
      <c r="AH1336" s="331">
        <f>IF(NFI_Expiration=1,IF($A1336&lt;VLOOKUP(Q$5,NFI,5,0),1,0)*Table_NFI[[#This Row],[Plastic Mat]],Table_NFI[Plastic Mat])*IF(Table_NFI[[#This Row],[Distribution Date]]&gt;"2014-04-01",1,2.5)</f>
        <v>0</v>
      </c>
      <c r="AI1336" s="331">
        <f>IF(NFI_Expiration=1,IF($A1336&lt;VLOOKUP(R$5,NFI,5,0),1,0)*Table_NFI[[#This Row],[Winter Clothes Adult]],Table_NFI[Winter Clothes Adult])</f>
        <v>0</v>
      </c>
      <c r="AJ1336" s="331">
        <f>IF(NFI_Expiration=1,IF($A1336&lt;VLOOKUP(S$5,NFI,5,0),1,0)*Table_NFI[[#This Row],[Winter Clothes Children]],Table_NFI[Winter Clothes Children])</f>
        <v>0</v>
      </c>
      <c r="AK1336" s="331">
        <f>IF(NFI_Expiration=1,IF($A1336&lt;VLOOKUP(T$5,NFI,5,0),1,0)*Table_NFI[[#This Row],[Winter Items Other]],Table_NFI[Winter Items Other])</f>
        <v>0</v>
      </c>
      <c r="AL1336" s="331">
        <f>IF(NFI_Expiration=1,IF($A1336&lt;VLOOKUP(M$5,NFI,5,0),1,0)*Table_NFI[[#This Row],[Winter Blanket]],Table_NFI[[#This Row],[Winter Blanket]])</f>
        <v>0</v>
      </c>
      <c r="AM1336" s="331">
        <f>IF(Table_NFI[[#This Row],[Winter Clothes Adult]]+Table_NFI[[#This Row],[Winter Clothes Children]]+Table_NFI[[#This Row],[Winter Items Other]]+Table_NFI[[#This Row],[Winter Blanket]]&gt;0,1,0)</f>
        <v>0</v>
      </c>
      <c r="AN1336" s="331">
        <f>IF(NFI_Expiration=1,IF($A1336&lt;VLOOKUP(V$5,NFI,5,0),1,0)*Table_NFI[[#This Row],[Jerry Can]],Table_NFI[Jerry Can])</f>
        <v>0</v>
      </c>
      <c r="AO1336" s="331">
        <f>IF(NFI_Expiration=1,IF($A1336&lt;VLOOKUP(V$5,NFI,5,0),1,0)*Table_NFI[[#This Row],[Shelter Tool kit]],Table_NFI[Shelter Tool kit])</f>
        <v>0</v>
      </c>
      <c r="AP1336" s="331">
        <f>IF(NFI_Expiration=1,IF($A1336&lt;VLOOKUP(V$5,NFI,5,0),1,0)*Table_NFI[[#This Row],[Tent]],Table_NFI[Tent])</f>
        <v>0</v>
      </c>
      <c r="AQ1336" s="484" t="str">
        <f>IFERROR(VLOOKUP(Table_NFI[[#This Row],[Camp Name]],CL,2,0),"")</f>
        <v/>
      </c>
      <c r="AR1336" s="478" t="str">
        <f ca="1">IF(Table_NFI[[#This Row],[Pcode]]="","",IF(OFFSET(CampList[Opening Date],MATCH(Table_NFI[[#This Row],[Pcode]],CampList[CP_Pcode],0)-1,0,1,1)&gt;=NFI_Monitor_Date,1,0))</f>
        <v/>
      </c>
      <c r="AS1336" s="484" t="str">
        <f>IFERROR(VLOOKUP(Table_NFI[[#This Row],[Camp Name]],CL,3,0),"")</f>
        <v/>
      </c>
      <c r="AT1336" s="331" t="str">
        <f ca="1">IF(Table_NFI[[#This Row],[Pcode]]="","",OFFSET(CampList[Priority],MATCH(Table_NFI[[#This Row],[Pcode]],CampList[CP_Pcode],0)-1,0,1,1))</f>
        <v/>
      </c>
      <c r="AU1336" s="332" t="str">
        <f>IFERROR(Table_NFI[[#This Row],[Kitchen Set]]/VLOOKUP(Table_NFI[[#This Row],[Camp Name]],CL,4,0),"")</f>
        <v/>
      </c>
      <c r="AV1336" s="477"/>
      <c r="AW1336" s="485"/>
    </row>
    <row r="1337" spans="1:49" ht="14.45" customHeight="1" x14ac:dyDescent="0.25">
      <c r="A1337" s="329" t="str">
        <f t="shared" si="20"/>
        <v/>
      </c>
      <c r="B1337" s="475"/>
      <c r="C1337" s="477"/>
      <c r="D1337" s="477"/>
      <c r="E1337" s="477"/>
      <c r="F1337" s="477"/>
      <c r="G1337" s="477"/>
      <c r="H1337" s="330"/>
      <c r="I1337" s="330"/>
      <c r="J1337" s="330"/>
      <c r="K1337" s="330"/>
      <c r="L1337" s="330"/>
      <c r="M1337" s="330"/>
      <c r="N1337" s="330"/>
      <c r="O1337" s="330"/>
      <c r="P1337" s="331"/>
      <c r="Q1337" s="331"/>
      <c r="R1337" s="331"/>
      <c r="S1337" s="331"/>
      <c r="T1337" s="331"/>
      <c r="U1337" s="331"/>
      <c r="V1337" s="431"/>
      <c r="W1337" s="331"/>
      <c r="X1337" s="331"/>
      <c r="Y1337" s="331">
        <f>IF(NFI_Expiration=1,IF($A1337&lt;VLOOKUP(H$5,NFI,5,0),1,0)*Table_NFI[[#This Row],[Hygiene Kit]],Table_NFI[Hygiene Kit])</f>
        <v>0</v>
      </c>
      <c r="Z1337" s="331">
        <f>IF(NFI_Expiration=1,IF($A1337&lt;VLOOKUP(I$5,NFI,5,0),1,0)*Table_NFI[[#This Row],[NFI Core Kit]],Table_NFI[NFI Core Kit])</f>
        <v>0</v>
      </c>
      <c r="AA1337" s="331">
        <f>IF(NFI_Expiration=1,IF($A1337&lt;VLOOKUP(J$5,NFI,5,0),1,0)*Table_NFI[[#This Row],[Sanitary Kit]],Table_NFI[Sanitary Kit])</f>
        <v>0</v>
      </c>
      <c r="AB1337" s="331">
        <f>IF(NFI_Expiration=1,IF($A1337&lt;VLOOKUP(K$5,NFI,5,0),1,0)*Table_NFI[[#This Row],[Mosquito net]],Table_NFI[Mosquito net])</f>
        <v>0</v>
      </c>
      <c r="AC1337" s="331">
        <f>IF(NFI_Expiration=1,IF($A1337&lt;VLOOKUP(L$5,NFI,5,0),1,0)*Table_NFI[[#This Row],[Tarpaulin]],Table_NFI[[#This Row],[Tarpaulin]])</f>
        <v>0</v>
      </c>
      <c r="AD1337" s="331">
        <f>IF(NFI_Expiration=1,IF($A1337&lt;VLOOKUP(M$5,NFI,5,0),1,0)*Table_NFI[[#This Row],[Blanket]],Table_NFI[[#This Row],[Blanket]])</f>
        <v>0</v>
      </c>
      <c r="AE1337" s="331">
        <f>IF(NFI_Expiration=1,IF($A1337&lt;VLOOKUP(N$5,NFI,5,0),1,0)*Table_NFI[[#This Row],[Kitchen Set]],Table_NFI[Kitchen Set])</f>
        <v>0</v>
      </c>
      <c r="AF1337" s="331">
        <f>IF(NFI_Expiration=1,IF($A1337&lt;VLOOKUP(O$5,NFI,5,0),1,0)*Table_NFI[[#This Row],[Clothes Kit]],Table_NFI[Clothes Kit])</f>
        <v>0</v>
      </c>
      <c r="AG1337" s="331">
        <f>IF(NFI_Expiration=1,IF($A1337&lt;VLOOKUP(P$5,NFI,5,0),1,0)*Table_NFI[[#This Row],[Plastic Bucket]],Table_NFI[Plastic Bucket])</f>
        <v>0</v>
      </c>
      <c r="AH1337" s="331">
        <f>IF(NFI_Expiration=1,IF($A1337&lt;VLOOKUP(Q$5,NFI,5,0),1,0)*Table_NFI[[#This Row],[Plastic Mat]],Table_NFI[Plastic Mat])*IF(Table_NFI[[#This Row],[Distribution Date]]&gt;"2014-04-01",1,2.5)</f>
        <v>0</v>
      </c>
      <c r="AI1337" s="331">
        <f>IF(NFI_Expiration=1,IF($A1337&lt;VLOOKUP(R$5,NFI,5,0),1,0)*Table_NFI[[#This Row],[Winter Clothes Adult]],Table_NFI[Winter Clothes Adult])</f>
        <v>0</v>
      </c>
      <c r="AJ1337" s="331">
        <f>IF(NFI_Expiration=1,IF($A1337&lt;VLOOKUP(S$5,NFI,5,0),1,0)*Table_NFI[[#This Row],[Winter Clothes Children]],Table_NFI[Winter Clothes Children])</f>
        <v>0</v>
      </c>
      <c r="AK1337" s="331">
        <f>IF(NFI_Expiration=1,IF($A1337&lt;VLOOKUP(T$5,NFI,5,0),1,0)*Table_NFI[[#This Row],[Winter Items Other]],Table_NFI[Winter Items Other])</f>
        <v>0</v>
      </c>
      <c r="AL1337" s="331">
        <f>IF(NFI_Expiration=1,IF($A1337&lt;VLOOKUP(M$5,NFI,5,0),1,0)*Table_NFI[[#This Row],[Winter Blanket]],Table_NFI[[#This Row],[Winter Blanket]])</f>
        <v>0</v>
      </c>
      <c r="AM1337" s="331">
        <f>IF(Table_NFI[[#This Row],[Winter Clothes Adult]]+Table_NFI[[#This Row],[Winter Clothes Children]]+Table_NFI[[#This Row],[Winter Items Other]]+Table_NFI[[#This Row],[Winter Blanket]]&gt;0,1,0)</f>
        <v>0</v>
      </c>
      <c r="AN1337" s="331">
        <f>IF(NFI_Expiration=1,IF($A1337&lt;VLOOKUP(V$5,NFI,5,0),1,0)*Table_NFI[[#This Row],[Jerry Can]],Table_NFI[Jerry Can])</f>
        <v>0</v>
      </c>
      <c r="AO1337" s="331">
        <f>IF(NFI_Expiration=1,IF($A1337&lt;VLOOKUP(V$5,NFI,5,0),1,0)*Table_NFI[[#This Row],[Shelter Tool kit]],Table_NFI[Shelter Tool kit])</f>
        <v>0</v>
      </c>
      <c r="AP1337" s="331">
        <f>IF(NFI_Expiration=1,IF($A1337&lt;VLOOKUP(V$5,NFI,5,0),1,0)*Table_NFI[[#This Row],[Tent]],Table_NFI[Tent])</f>
        <v>0</v>
      </c>
      <c r="AQ1337" s="484" t="str">
        <f>IFERROR(VLOOKUP(Table_NFI[[#This Row],[Camp Name]],CL,2,0),"")</f>
        <v/>
      </c>
      <c r="AR1337" s="478" t="str">
        <f ca="1">IF(Table_NFI[[#This Row],[Pcode]]="","",IF(OFFSET(CampList[Opening Date],MATCH(Table_NFI[[#This Row],[Pcode]],CampList[CP_Pcode],0)-1,0,1,1)&gt;=NFI_Monitor_Date,1,0))</f>
        <v/>
      </c>
      <c r="AS1337" s="484" t="str">
        <f>IFERROR(VLOOKUP(Table_NFI[[#This Row],[Camp Name]],CL,3,0),"")</f>
        <v/>
      </c>
      <c r="AT1337" s="331" t="str">
        <f ca="1">IF(Table_NFI[[#This Row],[Pcode]]="","",OFFSET(CampList[Priority],MATCH(Table_NFI[[#This Row],[Pcode]],CampList[CP_Pcode],0)-1,0,1,1))</f>
        <v/>
      </c>
      <c r="AU1337" s="293" t="str">
        <f>IFERROR(Table_NFI[[#This Row],[Kitchen Set]]/VLOOKUP(Table_NFI[[#This Row],[Camp Name]],CL,4,0),"")</f>
        <v/>
      </c>
      <c r="AV1337" s="477"/>
      <c r="AW1337" s="485"/>
    </row>
    <row r="1338" spans="1:49" ht="14.45" customHeight="1" x14ac:dyDescent="0.25">
      <c r="A1338" s="297" t="str">
        <f t="shared" si="20"/>
        <v/>
      </c>
      <c r="B1338" s="465"/>
      <c r="C1338" s="471"/>
      <c r="D1338" s="471"/>
      <c r="E1338" s="471"/>
      <c r="F1338" s="471"/>
      <c r="G1338" s="471"/>
      <c r="H1338" s="292"/>
      <c r="I1338" s="292"/>
      <c r="J1338" s="292"/>
      <c r="K1338" s="292"/>
      <c r="L1338" s="292"/>
      <c r="M1338" s="292"/>
      <c r="N1338" s="292"/>
      <c r="O1338" s="292"/>
      <c r="P1338" s="294"/>
      <c r="Q1338" s="294"/>
      <c r="R1338" s="294"/>
      <c r="S1338" s="294"/>
      <c r="T1338" s="294"/>
      <c r="U1338" s="294"/>
      <c r="V1338" s="431"/>
      <c r="W1338" s="331"/>
      <c r="X1338" s="331"/>
      <c r="Y1338" s="294">
        <f>IF(NFI_Expiration=1,IF($A1338&lt;VLOOKUP(H$5,NFI,5,0),1,0)*Table_NFI[[#This Row],[Hygiene Kit]],Table_NFI[Hygiene Kit])</f>
        <v>0</v>
      </c>
      <c r="Z1338" s="294">
        <f>IF(NFI_Expiration=1,IF($A1338&lt;VLOOKUP(I$5,NFI,5,0),1,0)*Table_NFI[[#This Row],[NFI Core Kit]],Table_NFI[NFI Core Kit])</f>
        <v>0</v>
      </c>
      <c r="AA1338" s="294">
        <f>IF(NFI_Expiration=1,IF($A1338&lt;VLOOKUP(J$5,NFI,5,0),1,0)*Table_NFI[[#This Row],[Sanitary Kit]],Table_NFI[Sanitary Kit])</f>
        <v>0</v>
      </c>
      <c r="AB1338" s="294">
        <f>IF(NFI_Expiration=1,IF($A1338&lt;VLOOKUP(K$5,NFI,5,0),1,0)*Table_NFI[[#This Row],[Mosquito net]],Table_NFI[Mosquito net])</f>
        <v>0</v>
      </c>
      <c r="AC1338" s="294">
        <f>IF(NFI_Expiration=1,IF($A1338&lt;VLOOKUP(L$5,NFI,5,0),1,0)*Table_NFI[[#This Row],[Tarpaulin]],Table_NFI[[#This Row],[Tarpaulin]])</f>
        <v>0</v>
      </c>
      <c r="AD1338" s="294">
        <f>IF(NFI_Expiration=1,IF($A1338&lt;VLOOKUP(M$5,NFI,5,0),1,0)*Table_NFI[[#This Row],[Blanket]],Table_NFI[[#This Row],[Blanket]])</f>
        <v>0</v>
      </c>
      <c r="AE1338" s="294">
        <f>IF(NFI_Expiration=1,IF($A1338&lt;VLOOKUP(N$5,NFI,5,0),1,0)*Table_NFI[[#This Row],[Kitchen Set]],Table_NFI[Kitchen Set])</f>
        <v>0</v>
      </c>
      <c r="AF1338" s="294">
        <f>IF(NFI_Expiration=1,IF($A1338&lt;VLOOKUP(O$5,NFI,5,0),1,0)*Table_NFI[[#This Row],[Clothes Kit]],Table_NFI[Clothes Kit])</f>
        <v>0</v>
      </c>
      <c r="AG1338" s="294">
        <f>IF(NFI_Expiration=1,IF($A1338&lt;VLOOKUP(P$5,NFI,5,0),1,0)*Table_NFI[[#This Row],[Plastic Bucket]],Table_NFI[Plastic Bucket])</f>
        <v>0</v>
      </c>
      <c r="AH1338" s="294">
        <f>IF(NFI_Expiration=1,IF($A1338&lt;VLOOKUP(Q$5,NFI,5,0),1,0)*Table_NFI[[#This Row],[Plastic Mat]],Table_NFI[Plastic Mat])*IF(Table_NFI[[#This Row],[Distribution Date]]&gt;"2014-04-01",1,2.5)</f>
        <v>0</v>
      </c>
      <c r="AI1338" s="294">
        <f>IF(NFI_Expiration=1,IF($A1338&lt;VLOOKUP(R$5,NFI,5,0),1,0)*Table_NFI[[#This Row],[Winter Clothes Adult]],Table_NFI[Winter Clothes Adult])</f>
        <v>0</v>
      </c>
      <c r="AJ1338" s="294">
        <f>IF(NFI_Expiration=1,IF($A1338&lt;VLOOKUP(S$5,NFI,5,0),1,0)*Table_NFI[[#This Row],[Winter Clothes Children]],Table_NFI[Winter Clothes Children])</f>
        <v>0</v>
      </c>
      <c r="AK1338" s="294">
        <f>IF(NFI_Expiration=1,IF($A1338&lt;VLOOKUP(T$5,NFI,5,0),1,0)*Table_NFI[[#This Row],[Winter Items Other]],Table_NFI[Winter Items Other])</f>
        <v>0</v>
      </c>
      <c r="AL1338" s="294">
        <f>IF(NFI_Expiration=1,IF($A1338&lt;VLOOKUP(M$5,NFI,5,0),1,0)*Table_NFI[[#This Row],[Winter Blanket]],Table_NFI[[#This Row],[Winter Blanket]])</f>
        <v>0</v>
      </c>
      <c r="AM1338" s="294">
        <f>IF(Table_NFI[[#This Row],[Winter Clothes Adult]]+Table_NFI[[#This Row],[Winter Clothes Children]]+Table_NFI[[#This Row],[Winter Items Other]]+Table_NFI[[#This Row],[Winter Blanket]]&gt;0,1,0)</f>
        <v>0</v>
      </c>
      <c r="AN1338" s="331">
        <f>IF(NFI_Expiration=1,IF($A1338&lt;VLOOKUP(V$5,NFI,5,0),1,0)*Table_NFI[[#This Row],[Jerry Can]],Table_NFI[Jerry Can])</f>
        <v>0</v>
      </c>
      <c r="AO1338" s="331">
        <f>IF(NFI_Expiration=1,IF($A1338&lt;VLOOKUP(V$5,NFI,5,0),1,0)*Table_NFI[[#This Row],[Shelter Tool kit]],Table_NFI[Shelter Tool kit])</f>
        <v>0</v>
      </c>
      <c r="AP1338" s="331">
        <f>IF(NFI_Expiration=1,IF($A1338&lt;VLOOKUP(V$5,NFI,5,0),1,0)*Table_NFI[[#This Row],[Tent]],Table_NFI[Tent])</f>
        <v>0</v>
      </c>
      <c r="AQ1338" s="473" t="str">
        <f>IFERROR(VLOOKUP(Table_NFI[[#This Row],[Camp Name]],CL,2,0),"")</f>
        <v/>
      </c>
      <c r="AR1338" s="468" t="str">
        <f ca="1">IF(Table_NFI[[#This Row],[Pcode]]="","",IF(OFFSET(CampList[Opening Date],MATCH(Table_NFI[[#This Row],[Pcode]],CampList[CP_Pcode],0)-1,0,1,1)&gt;=NFI_Monitor_Date,1,0))</f>
        <v/>
      </c>
      <c r="AS1338" s="473" t="str">
        <f>IFERROR(VLOOKUP(Table_NFI[[#This Row],[Camp Name]],CL,3,0),"")</f>
        <v/>
      </c>
      <c r="AT1338" s="294" t="str">
        <f ca="1">IF(Table_NFI[[#This Row],[Pcode]]="","",OFFSET(CampList[Priority],MATCH(Table_NFI[[#This Row],[Pcode]],CampList[CP_Pcode],0)-1,0,1,1))</f>
        <v/>
      </c>
      <c r="AU1338" s="293" t="str">
        <f>IFERROR(Table_NFI[[#This Row],[Kitchen Set]]/VLOOKUP(Table_NFI[[#This Row],[Camp Name]],CL,4,0),"")</f>
        <v/>
      </c>
      <c r="AV1338" s="471"/>
      <c r="AW1338" s="474"/>
    </row>
    <row r="1339" spans="1:49" x14ac:dyDescent="0.25">
      <c r="A1339" s="329" t="str">
        <f t="shared" si="20"/>
        <v/>
      </c>
      <c r="B1339" s="475"/>
      <c r="C1339" s="477"/>
      <c r="D1339" s="477"/>
      <c r="E1339" s="476"/>
      <c r="F1339" s="476"/>
      <c r="G1339" s="471"/>
      <c r="H1339" s="330"/>
      <c r="I1339" s="330"/>
      <c r="J1339" s="330"/>
      <c r="K1339" s="330"/>
      <c r="L1339" s="330"/>
      <c r="M1339" s="330"/>
      <c r="N1339" s="330"/>
      <c r="O1339" s="330"/>
      <c r="P1339" s="331"/>
      <c r="Q1339" s="331"/>
      <c r="R1339" s="331"/>
      <c r="S1339" s="331"/>
      <c r="T1339" s="331"/>
      <c r="U1339" s="331"/>
      <c r="V1339" s="431"/>
      <c r="W1339" s="331"/>
      <c r="X1339" s="331"/>
      <c r="Y1339" s="331">
        <f>IF(NFI_Expiration=1,IF($A1339&lt;VLOOKUP(H$5,NFI,5,0),1,0)*Table_NFI[[#This Row],[Hygiene Kit]],Table_NFI[Hygiene Kit])</f>
        <v>0</v>
      </c>
      <c r="Z1339" s="331">
        <f>IF(NFI_Expiration=1,IF($A1339&lt;VLOOKUP(I$5,NFI,5,0),1,0)*Table_NFI[[#This Row],[NFI Core Kit]],Table_NFI[NFI Core Kit])</f>
        <v>0</v>
      </c>
      <c r="AA1339" s="331">
        <f>IF(NFI_Expiration=1,IF($A1339&lt;VLOOKUP(J$5,NFI,5,0),1,0)*Table_NFI[[#This Row],[Sanitary Kit]],Table_NFI[Sanitary Kit])</f>
        <v>0</v>
      </c>
      <c r="AB1339" s="331">
        <f>IF(NFI_Expiration=1,IF($A1339&lt;VLOOKUP(K$5,NFI,5,0),1,0)*Table_NFI[[#This Row],[Mosquito net]],Table_NFI[Mosquito net])</f>
        <v>0</v>
      </c>
      <c r="AC1339" s="331">
        <f>IF(NFI_Expiration=1,IF($A1339&lt;VLOOKUP(L$5,NFI,5,0),1,0)*Table_NFI[[#This Row],[Tarpaulin]],Table_NFI[[#This Row],[Tarpaulin]])</f>
        <v>0</v>
      </c>
      <c r="AD1339" s="331">
        <f>IF(NFI_Expiration=1,IF($A1339&lt;VLOOKUP(M$5,NFI,5,0),1,0)*Table_NFI[[#This Row],[Blanket]],Table_NFI[[#This Row],[Blanket]])</f>
        <v>0</v>
      </c>
      <c r="AE1339" s="331">
        <f>IF(NFI_Expiration=1,IF($A1339&lt;VLOOKUP(N$5,NFI,5,0),1,0)*Table_NFI[[#This Row],[Kitchen Set]],Table_NFI[Kitchen Set])</f>
        <v>0</v>
      </c>
      <c r="AF1339" s="331">
        <f>IF(NFI_Expiration=1,IF($A1339&lt;VLOOKUP(O$5,NFI,5,0),1,0)*Table_NFI[[#This Row],[Clothes Kit]],Table_NFI[Clothes Kit])</f>
        <v>0</v>
      </c>
      <c r="AG1339" s="331">
        <f>IF(NFI_Expiration=1,IF($A1339&lt;VLOOKUP(P$5,NFI,5,0),1,0)*Table_NFI[[#This Row],[Plastic Bucket]],Table_NFI[Plastic Bucket])</f>
        <v>0</v>
      </c>
      <c r="AH1339" s="331">
        <f>IF(NFI_Expiration=1,IF($A1339&lt;VLOOKUP(Q$5,NFI,5,0),1,0)*Table_NFI[[#This Row],[Plastic Mat]],Table_NFI[Plastic Mat])*IF(Table_NFI[[#This Row],[Distribution Date]]&gt;"2014-04-01",1,2.5)</f>
        <v>0</v>
      </c>
      <c r="AI1339" s="331">
        <f>IF(NFI_Expiration=1,IF($A1339&lt;VLOOKUP(R$5,NFI,5,0),1,0)*Table_NFI[[#This Row],[Winter Clothes Adult]],Table_NFI[Winter Clothes Adult])</f>
        <v>0</v>
      </c>
      <c r="AJ1339" s="331">
        <f>IF(NFI_Expiration=1,IF($A1339&lt;VLOOKUP(S$5,NFI,5,0),1,0)*Table_NFI[[#This Row],[Winter Clothes Children]],Table_NFI[Winter Clothes Children])</f>
        <v>0</v>
      </c>
      <c r="AK1339" s="331">
        <f>IF(NFI_Expiration=1,IF($A1339&lt;VLOOKUP(T$5,NFI,5,0),1,0)*Table_NFI[[#This Row],[Winter Items Other]],Table_NFI[Winter Items Other])</f>
        <v>0</v>
      </c>
      <c r="AL1339" s="331">
        <f>IF(NFI_Expiration=1,IF($A1339&lt;VLOOKUP(M$5,NFI,5,0),1,0)*Table_NFI[[#This Row],[Winter Blanket]],Table_NFI[[#This Row],[Winter Blanket]])</f>
        <v>0</v>
      </c>
      <c r="AM1339" s="331">
        <f>IF(Table_NFI[[#This Row],[Winter Clothes Adult]]+Table_NFI[[#This Row],[Winter Clothes Children]]+Table_NFI[[#This Row],[Winter Items Other]]+Table_NFI[[#This Row],[Winter Blanket]]&gt;0,1,0)</f>
        <v>0</v>
      </c>
      <c r="AN1339" s="331">
        <f>IF(NFI_Expiration=1,IF($A1339&lt;VLOOKUP(V$5,NFI,5,0),1,0)*Table_NFI[[#This Row],[Jerry Can]],Table_NFI[Jerry Can])</f>
        <v>0</v>
      </c>
      <c r="AO1339" s="331">
        <f>IF(NFI_Expiration=1,IF($A1339&lt;VLOOKUP(V$5,NFI,5,0),1,0)*Table_NFI[[#This Row],[Shelter Tool kit]],Table_NFI[Shelter Tool kit])</f>
        <v>0</v>
      </c>
      <c r="AP1339" s="331">
        <f>IF(NFI_Expiration=1,IF($A1339&lt;VLOOKUP(V$5,NFI,5,0),1,0)*Table_NFI[[#This Row],[Tent]],Table_NFI[Tent])</f>
        <v>0</v>
      </c>
      <c r="AQ1339" s="484" t="str">
        <f>IFERROR(VLOOKUP(Table_NFI[[#This Row],[Camp Name]],CL,2,0),"")</f>
        <v/>
      </c>
      <c r="AR1339" s="478" t="str">
        <f ca="1">IF(Table_NFI[[#This Row],[Pcode]]="","",IF(OFFSET(CampList[Opening Date],MATCH(Table_NFI[[#This Row],[Pcode]],CampList[CP_Pcode],0)-1,0,1,1)&gt;=NFI_Monitor_Date,1,0))</f>
        <v/>
      </c>
      <c r="AS1339" s="484" t="str">
        <f>IFERROR(VLOOKUP(Table_NFI[[#This Row],[Camp Name]],CL,3,0),"")</f>
        <v/>
      </c>
      <c r="AT1339" s="331" t="str">
        <f ca="1">IF(Table_NFI[[#This Row],[Pcode]]="","",OFFSET(CampList[Priority],MATCH(Table_NFI[[#This Row],[Pcode]],CampList[CP_Pcode],0)-1,0,1,1))</f>
        <v/>
      </c>
      <c r="AU1339" s="332" t="str">
        <f>IFERROR(Table_NFI[[#This Row],[Kitchen Set]]/VLOOKUP(Table_NFI[[#This Row],[Camp Name]],CL,4,0),"")</f>
        <v/>
      </c>
      <c r="AV1339" s="477"/>
      <c r="AW1339" s="485"/>
    </row>
  </sheetData>
  <sortState ref="A873:G911">
    <sortCondition descending="1" ref="A8"/>
  </sortState>
  <mergeCells count="3">
    <mergeCell ref="A4:C4"/>
    <mergeCell ref="A2:H2"/>
    <mergeCell ref="A3:H3"/>
  </mergeCells>
  <conditionalFormatting sqref="AQ824:AR904 AQ908:AR930 AQ22:AS45 AQ11:AR21 AQ47:AS823 AQ46:AR46 AS824:AS1083">
    <cfRule type="containsText" dxfId="897" priority="59" operator="containsText" text="close">
      <formula>NOT(ISERROR(SEARCH("close",AQ11)))</formula>
    </cfRule>
    <cfRule type="containsText" dxfId="896" priority="60" operator="containsText" text="open">
      <formula>NOT(ISERROR(SEARCH("open",AQ11)))</formula>
    </cfRule>
  </conditionalFormatting>
  <conditionalFormatting sqref="AQ905:AR907">
    <cfRule type="containsText" dxfId="895" priority="55" operator="containsText" text="close">
      <formula>NOT(ISERROR(SEARCH("close",AQ905)))</formula>
    </cfRule>
    <cfRule type="containsText" dxfId="894" priority="56" operator="containsText" text="open">
      <formula>NOT(ISERROR(SEARCH("open",AQ905)))</formula>
    </cfRule>
  </conditionalFormatting>
  <conditionalFormatting sqref="AQ999:AR1054">
    <cfRule type="containsText" dxfId="893" priority="17" operator="containsText" text="close">
      <formula>NOT(ISERROR(SEARCH("close",AQ999)))</formula>
    </cfRule>
    <cfRule type="containsText" dxfId="892" priority="18" operator="containsText" text="open">
      <formula>NOT(ISERROR(SEARCH("open",AQ999)))</formula>
    </cfRule>
  </conditionalFormatting>
  <conditionalFormatting sqref="AS21">
    <cfRule type="containsText" dxfId="891" priority="15" operator="containsText" text="close">
      <formula>NOT(ISERROR(SEARCH("close",AS21)))</formula>
    </cfRule>
    <cfRule type="containsText" dxfId="890" priority="16" operator="containsText" text="open">
      <formula>NOT(ISERROR(SEARCH("open",AS21)))</formula>
    </cfRule>
  </conditionalFormatting>
  <conditionalFormatting sqref="AS8">
    <cfRule type="containsText" dxfId="889" priority="13" operator="containsText" text="close">
      <formula>NOT(ISERROR(SEARCH("close",AS8)))</formula>
    </cfRule>
    <cfRule type="containsText" dxfId="888" priority="14" operator="containsText" text="open">
      <formula>NOT(ISERROR(SEARCH("open",AS8)))</formula>
    </cfRule>
  </conditionalFormatting>
  <conditionalFormatting sqref="AS6">
    <cfRule type="containsText" dxfId="887" priority="11" operator="containsText" text="close">
      <formula>NOT(ISERROR(SEARCH("close",AS6)))</formula>
    </cfRule>
    <cfRule type="containsText" dxfId="886" priority="12" operator="containsText" text="open">
      <formula>NOT(ISERROR(SEARCH("open",AS6)))</formula>
    </cfRule>
  </conditionalFormatting>
  <conditionalFormatting sqref="AS11:AS19">
    <cfRule type="containsText" dxfId="885" priority="9" operator="containsText" text="close">
      <formula>NOT(ISERROR(SEARCH("close",AS11)))</formula>
    </cfRule>
    <cfRule type="containsText" dxfId="884" priority="10" operator="containsText" text="open">
      <formula>NOT(ISERROR(SEARCH("open",AS11)))</formula>
    </cfRule>
  </conditionalFormatting>
  <conditionalFormatting sqref="AS7">
    <cfRule type="containsText" dxfId="883" priority="7" operator="containsText" text="close">
      <formula>NOT(ISERROR(SEARCH("close",AS7)))</formula>
    </cfRule>
    <cfRule type="containsText" dxfId="882" priority="8" operator="containsText" text="open">
      <formula>NOT(ISERROR(SEARCH("open",AS7)))</formula>
    </cfRule>
  </conditionalFormatting>
  <conditionalFormatting sqref="AS9">
    <cfRule type="containsText" dxfId="881" priority="5" operator="containsText" text="close">
      <formula>NOT(ISERROR(SEARCH("close",AS9)))</formula>
    </cfRule>
    <cfRule type="containsText" dxfId="880" priority="6" operator="containsText" text="open">
      <formula>NOT(ISERROR(SEARCH("open",AS9)))</formula>
    </cfRule>
  </conditionalFormatting>
  <conditionalFormatting sqref="AS46">
    <cfRule type="containsText" dxfId="879" priority="3" operator="containsText" text="close">
      <formula>NOT(ISERROR(SEARCH("close",AS46)))</formula>
    </cfRule>
    <cfRule type="containsText" dxfId="878" priority="4" operator="containsText" text="open">
      <formula>NOT(ISERROR(SEARCH("open",AS46)))</formula>
    </cfRule>
  </conditionalFormatting>
  <dataValidations count="3">
    <dataValidation type="list" allowBlank="1" showInputMessage="1" showErrorMessage="1" sqref="G6:G1051 G1339 G1053:G1194">
      <formula1>OFFSET(TCL_T1,MATCH(F6,TCL_T,0)-1,1,COUNTIF(TCL_T,F6),1)</formula1>
    </dataValidation>
    <dataValidation type="list" allowBlank="1" showInputMessage="1" showErrorMessage="1" sqref="E1337:E1338 E6:E1194">
      <formula1>State</formula1>
    </dataValidation>
    <dataValidation type="list" showInputMessage="1" showErrorMessage="1" sqref="F1337:F1338 F6:F1194">
      <formula1>INDIRECT(E6)</formula1>
    </dataValidation>
  </dataValidations>
  <printOptions gridLines="1"/>
  <pageMargins left="0.25" right="0.25" top="0.75" bottom="0.75" header="0.3" footer="0.3"/>
  <pageSetup paperSize="9" scale="70"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containsText" priority="1" operator="containsText" id="{CB8B7960-D170-4028-938C-C6E3F05FD96F}">
            <xm:f>NOT(ISERROR(SEARCH($AS$501,AS1)))</xm:f>
            <xm:f>$AS$501</xm:f>
            <x14:dxf>
              <fill>
                <patternFill>
                  <bgColor rgb="FFFF0000"/>
                </patternFill>
              </fill>
            </x14:dxf>
          </x14:cfRule>
          <x14:cfRule type="containsText" priority="2" operator="containsText" id="{03B24ED1-56BC-4755-B8C1-72AAA54F21F6}">
            <xm:f>NOT(ISERROR(SEARCH($AS$994,AS1)))</xm:f>
            <xm:f>$AS$994</xm:f>
            <x14:dxf>
              <fill>
                <patternFill>
                  <bgColor rgb="FF92D050"/>
                </patternFill>
              </fill>
            </x14:dxf>
          </x14:cfRule>
          <xm:sqref>AS1:AS1048576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P402"/>
  <sheetViews>
    <sheetView showZeros="0" zoomScale="80" zoomScaleNormal="80" workbookViewId="0">
      <selection activeCell="B8" sqref="B8"/>
    </sheetView>
  </sheetViews>
  <sheetFormatPr defaultColWidth="5" defaultRowHeight="51.75" customHeight="1" x14ac:dyDescent="0.25"/>
  <cols>
    <col min="1" max="1" width="10.85546875" customWidth="1"/>
    <col min="2" max="2" width="8.85546875" customWidth="1"/>
    <col min="3" max="3" width="9.140625" customWidth="1"/>
    <col min="4" max="4" width="8.28515625" customWidth="1"/>
    <col min="5" max="5" width="10.140625" customWidth="1"/>
    <col min="6" max="6" width="6.140625" style="36" customWidth="1"/>
    <col min="7" max="7" width="6.140625" style="1" customWidth="1"/>
    <col min="8" max="8" width="6.140625" style="37" customWidth="1"/>
    <col min="9" max="9" width="6.140625" style="36" customWidth="1"/>
    <col min="10" max="10" width="6.140625" style="1" customWidth="1"/>
    <col min="11" max="11" width="6.140625" style="37" customWidth="1"/>
    <col min="12" max="12" width="6.140625" style="36" customWidth="1"/>
    <col min="13" max="13" width="6.140625" style="1" customWidth="1"/>
    <col min="14" max="14" width="6.140625" style="37" customWidth="1"/>
    <col min="15" max="15" width="9.7109375" style="36" customWidth="1"/>
    <col min="16" max="16" width="9.140625" style="1" customWidth="1"/>
    <col min="17" max="17" width="6.5703125" style="1" customWidth="1"/>
    <col min="18" max="18" width="8.85546875" style="36" customWidth="1"/>
    <col min="19" max="19" width="9.7109375" style="1" customWidth="1"/>
    <col min="20" max="20" width="6.140625" style="37" bestFit="1" customWidth="1"/>
    <col min="21" max="21" width="8.85546875" customWidth="1"/>
    <col min="22" max="22" width="9.140625" style="27" customWidth="1"/>
    <col min="23" max="23" width="6.140625" style="27" bestFit="1" customWidth="1"/>
    <col min="24" max="24" width="8.85546875" style="36" customWidth="1"/>
    <col min="25" max="25" width="10" style="1" customWidth="1"/>
    <col min="26" max="26" width="6.140625" style="37" bestFit="1" customWidth="1"/>
    <col min="27" max="27" width="9" style="36" customWidth="1"/>
    <col min="28" max="28" width="9.28515625" style="1" customWidth="1"/>
    <col min="29" max="29" width="6.140625" style="37" bestFit="1" customWidth="1"/>
    <col min="30" max="30" width="8.7109375" style="36" customWidth="1"/>
    <col min="31" max="31" width="9.42578125" style="1" customWidth="1"/>
    <col min="32" max="32" width="6.140625" style="37" bestFit="1" customWidth="1"/>
    <col min="33" max="33" width="8.85546875" style="36" customWidth="1"/>
    <col min="34" max="34" width="9.28515625" style="1" customWidth="1"/>
    <col min="35" max="35" width="6.7109375" style="37" customWidth="1"/>
    <col min="36" max="38" width="6.7109375" style="334" customWidth="1"/>
    <col min="39" max="39" width="8.85546875" style="36" customWidth="1"/>
    <col min="40" max="40" width="9.42578125" style="1" customWidth="1"/>
    <col min="41" max="41" width="7.5703125" style="37" customWidth="1"/>
    <col min="42" max="42" width="8.85546875" style="36" customWidth="1"/>
    <col min="43" max="43" width="9.5703125" style="1" customWidth="1"/>
    <col min="44" max="44" width="8.85546875" style="37" customWidth="1"/>
    <col min="45" max="45" width="8.85546875" style="36" customWidth="1"/>
    <col min="46" max="46" width="9.7109375" style="1" customWidth="1"/>
    <col min="47" max="47" width="8.85546875" style="37" customWidth="1"/>
    <col min="48" max="48" width="8.85546875" style="36" customWidth="1"/>
    <col min="49" max="49" width="9.28515625" style="1" customWidth="1"/>
    <col min="50" max="50" width="8.85546875" style="37" customWidth="1"/>
  </cols>
  <sheetData>
    <row r="1" spans="1:68" s="1" customFormat="1" ht="36" x14ac:dyDescent="0.25">
      <c r="A1" s="231"/>
      <c r="B1" s="232"/>
      <c r="C1" s="232"/>
      <c r="D1" s="232"/>
      <c r="E1" s="232"/>
      <c r="F1" s="232"/>
      <c r="G1" s="232"/>
      <c r="H1" s="232"/>
      <c r="I1" s="237"/>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8"/>
      <c r="AV1" s="189"/>
      <c r="AW1" s="189"/>
      <c r="AX1" s="190"/>
      <c r="BO1" s="46"/>
      <c r="BP1" s="46"/>
    </row>
    <row r="2" spans="1:68" s="1" customFormat="1" ht="66" customHeight="1" x14ac:dyDescent="0.25">
      <c r="A2" s="298" t="s">
        <v>509</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172"/>
      <c r="AW2" s="172"/>
      <c r="AX2" s="191"/>
      <c r="BO2" s="46"/>
      <c r="BP2" s="46"/>
    </row>
    <row r="3" spans="1:68" s="15" customFormat="1" ht="18" customHeight="1" thickBot="1" x14ac:dyDescent="0.3">
      <c r="A3" s="847">
        <f>Definition!B23</f>
        <v>42675</v>
      </c>
      <c r="B3" s="848"/>
      <c r="C3" s="848"/>
      <c r="D3" s="278"/>
      <c r="E3" s="278"/>
      <c r="F3" s="278"/>
      <c r="G3" s="278"/>
      <c r="H3" s="278"/>
      <c r="I3" s="278"/>
      <c r="J3" s="278"/>
      <c r="K3" s="193"/>
      <c r="L3" s="278"/>
      <c r="M3" s="278"/>
      <c r="N3" s="278"/>
      <c r="O3" s="278"/>
      <c r="P3" s="278"/>
      <c r="Q3" s="278"/>
      <c r="R3" s="278"/>
      <c r="S3" s="299"/>
      <c r="T3" s="278"/>
      <c r="U3" s="278"/>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BO3" s="47"/>
      <c r="BP3" s="47"/>
    </row>
    <row r="4" spans="1:68" s="38" customFormat="1" ht="16.5" hidden="1" customHeight="1" thickBot="1" x14ac:dyDescent="0.3">
      <c r="AA4" s="65"/>
      <c r="AB4" s="65"/>
      <c r="AC4" s="65"/>
      <c r="AD4" s="65"/>
      <c r="AE4" s="65"/>
      <c r="AF4" s="65"/>
      <c r="AJ4" s="333"/>
      <c r="AK4" s="333"/>
      <c r="AL4" s="333"/>
      <c r="AM4" s="92"/>
      <c r="AN4" s="92"/>
      <c r="AO4" s="92"/>
      <c r="AP4" s="92"/>
      <c r="AQ4" s="92"/>
      <c r="AR4" s="92"/>
      <c r="AS4" s="92"/>
      <c r="AT4" s="92"/>
      <c r="AU4" s="92"/>
      <c r="AV4" s="92"/>
      <c r="AW4" s="92"/>
      <c r="AX4" s="92"/>
    </row>
    <row r="5" spans="1:68" s="32" customFormat="1" ht="47.25" customHeight="1" thickBot="1" x14ac:dyDescent="0.3">
      <c r="A5" s="866" t="s">
        <v>409</v>
      </c>
      <c r="B5" s="862" t="s">
        <v>402</v>
      </c>
      <c r="C5" s="862" t="s">
        <v>413</v>
      </c>
      <c r="D5" s="864" t="s">
        <v>395</v>
      </c>
      <c r="E5" s="862" t="s">
        <v>0</v>
      </c>
      <c r="F5" s="873" t="s">
        <v>403</v>
      </c>
      <c r="G5" s="873"/>
      <c r="H5" s="873"/>
      <c r="I5" s="874" t="s">
        <v>404</v>
      </c>
      <c r="J5" s="874"/>
      <c r="K5" s="874"/>
      <c r="L5" s="872" t="s">
        <v>405</v>
      </c>
      <c r="M5" s="872"/>
      <c r="N5" s="872"/>
      <c r="O5" s="871" t="s">
        <v>406</v>
      </c>
      <c r="P5" s="871"/>
      <c r="Q5" s="871"/>
      <c r="R5" s="868" t="s">
        <v>407</v>
      </c>
      <c r="S5" s="869"/>
      <c r="T5" s="870"/>
      <c r="U5" s="859" t="s">
        <v>435</v>
      </c>
      <c r="V5" s="860"/>
      <c r="W5" s="861"/>
      <c r="X5" s="856" t="s">
        <v>436</v>
      </c>
      <c r="Y5" s="857"/>
      <c r="Z5" s="858"/>
      <c r="AA5" s="878" t="s">
        <v>1223</v>
      </c>
      <c r="AB5" s="879"/>
      <c r="AC5" s="880"/>
      <c r="AD5" s="875" t="s">
        <v>577</v>
      </c>
      <c r="AE5" s="876"/>
      <c r="AF5" s="877"/>
      <c r="AG5" s="853" t="s">
        <v>578</v>
      </c>
      <c r="AH5" s="854"/>
      <c r="AI5" s="855"/>
      <c r="AJ5" s="853" t="s">
        <v>1358</v>
      </c>
      <c r="AK5" s="854"/>
      <c r="AL5" s="855"/>
      <c r="AM5" s="878" t="s">
        <v>987</v>
      </c>
      <c r="AN5" s="879"/>
      <c r="AO5" s="880"/>
      <c r="AP5" s="875" t="s">
        <v>991</v>
      </c>
      <c r="AQ5" s="876"/>
      <c r="AR5" s="877"/>
      <c r="AS5" s="853" t="s">
        <v>995</v>
      </c>
      <c r="AT5" s="854"/>
      <c r="AU5" s="855"/>
      <c r="AV5" s="853" t="s">
        <v>1111</v>
      </c>
      <c r="AW5" s="854"/>
      <c r="AX5" s="855"/>
    </row>
    <row r="6" spans="1:68" s="32" customFormat="1" ht="75.75" customHeight="1" thickBot="1" x14ac:dyDescent="0.3">
      <c r="A6" s="867"/>
      <c r="B6" s="863"/>
      <c r="C6" s="863"/>
      <c r="D6" s="865"/>
      <c r="E6" s="863"/>
      <c r="F6" s="481" t="s">
        <v>408</v>
      </c>
      <c r="G6" s="481" t="s">
        <v>410</v>
      </c>
      <c r="H6" s="481" t="s">
        <v>411</v>
      </c>
      <c r="I6" s="481" t="s">
        <v>408</v>
      </c>
      <c r="J6" s="481" t="s">
        <v>410</v>
      </c>
      <c r="K6" s="481" t="s">
        <v>411</v>
      </c>
      <c r="L6" s="481" t="s">
        <v>408</v>
      </c>
      <c r="M6" s="481" t="s">
        <v>410</v>
      </c>
      <c r="N6" s="481" t="s">
        <v>411</v>
      </c>
      <c r="O6" s="301" t="s">
        <v>408</v>
      </c>
      <c r="P6" s="301" t="s">
        <v>410</v>
      </c>
      <c r="Q6" s="301" t="s">
        <v>411</v>
      </c>
      <c r="R6" s="300" t="s">
        <v>408</v>
      </c>
      <c r="S6" s="301" t="s">
        <v>410</v>
      </c>
      <c r="T6" s="303" t="s">
        <v>411</v>
      </c>
      <c r="U6" s="302" t="s">
        <v>408</v>
      </c>
      <c r="V6" s="301" t="s">
        <v>410</v>
      </c>
      <c r="W6" s="302" t="s">
        <v>411</v>
      </c>
      <c r="X6" s="300" t="s">
        <v>408</v>
      </c>
      <c r="Y6" s="301" t="s">
        <v>410</v>
      </c>
      <c r="Z6" s="303" t="s">
        <v>411</v>
      </c>
      <c r="AA6" s="300" t="s">
        <v>408</v>
      </c>
      <c r="AB6" s="301" t="s">
        <v>410</v>
      </c>
      <c r="AC6" s="303" t="s">
        <v>411</v>
      </c>
      <c r="AD6" s="300" t="s">
        <v>408</v>
      </c>
      <c r="AE6" s="301" t="s">
        <v>410</v>
      </c>
      <c r="AF6" s="303" t="s">
        <v>411</v>
      </c>
      <c r="AG6" s="300" t="s">
        <v>408</v>
      </c>
      <c r="AH6" s="301" t="s">
        <v>410</v>
      </c>
      <c r="AI6" s="303" t="s">
        <v>411</v>
      </c>
      <c r="AJ6" s="300" t="s">
        <v>408</v>
      </c>
      <c r="AK6" s="301" t="s">
        <v>410</v>
      </c>
      <c r="AL6" s="303" t="s">
        <v>411</v>
      </c>
      <c r="AM6" s="300" t="s">
        <v>408</v>
      </c>
      <c r="AN6" s="301" t="s">
        <v>410</v>
      </c>
      <c r="AO6" s="303" t="s">
        <v>411</v>
      </c>
      <c r="AP6" s="300" t="s">
        <v>408</v>
      </c>
      <c r="AQ6" s="301" t="s">
        <v>410</v>
      </c>
      <c r="AR6" s="303" t="s">
        <v>411</v>
      </c>
      <c r="AS6" s="300" t="s">
        <v>408</v>
      </c>
      <c r="AT6" s="301" t="s">
        <v>410</v>
      </c>
      <c r="AU6" s="303" t="s">
        <v>411</v>
      </c>
      <c r="AV6" s="300" t="s">
        <v>408</v>
      </c>
      <c r="AW6" s="301" t="s">
        <v>410</v>
      </c>
      <c r="AX6" s="303" t="s">
        <v>411</v>
      </c>
    </row>
    <row r="7" spans="1:68" s="4" customFormat="1" ht="23.25" customHeight="1" x14ac:dyDescent="0.25">
      <c r="A7" s="437">
        <v>42601</v>
      </c>
      <c r="B7" s="4" t="s">
        <v>452</v>
      </c>
      <c r="C7" s="4" t="s">
        <v>460</v>
      </c>
      <c r="D7" s="4" t="s">
        <v>380</v>
      </c>
      <c r="E7" s="4" t="s">
        <v>237</v>
      </c>
      <c r="F7" s="435"/>
      <c r="G7" s="340"/>
      <c r="H7" s="436"/>
      <c r="I7" s="435">
        <v>7</v>
      </c>
      <c r="J7" s="340"/>
      <c r="K7" s="436"/>
      <c r="L7" s="435"/>
      <c r="M7" s="340"/>
      <c r="N7" s="436"/>
      <c r="O7" s="435">
        <v>200</v>
      </c>
      <c r="P7" s="340"/>
      <c r="Q7" s="340"/>
      <c r="R7" s="435">
        <v>1</v>
      </c>
      <c r="S7" s="340"/>
      <c r="T7" s="436"/>
      <c r="U7" s="4">
        <v>15</v>
      </c>
      <c r="X7" s="435">
        <v>107</v>
      </c>
      <c r="Y7" s="340"/>
      <c r="Z7" s="436"/>
      <c r="AA7" s="435"/>
      <c r="AB7" s="340"/>
      <c r="AC7" s="436"/>
      <c r="AD7" s="435">
        <v>16</v>
      </c>
      <c r="AE7" s="340"/>
      <c r="AF7" s="436"/>
      <c r="AG7" s="435">
        <v>32</v>
      </c>
      <c r="AH7" s="340"/>
      <c r="AI7" s="436"/>
      <c r="AJ7" s="435"/>
      <c r="AK7" s="340"/>
      <c r="AL7" s="436"/>
      <c r="AM7" s="435"/>
      <c r="AN7" s="340"/>
      <c r="AO7" s="436"/>
      <c r="AP7" s="435"/>
      <c r="AQ7" s="340"/>
      <c r="AR7" s="436"/>
      <c r="AS7" s="435"/>
      <c r="AT7" s="340"/>
      <c r="AU7" s="436"/>
      <c r="AV7" s="435"/>
      <c r="AW7" s="340"/>
      <c r="AX7" s="436"/>
    </row>
    <row r="8" spans="1:68" s="4" customFormat="1" ht="23.25" customHeight="1" x14ac:dyDescent="0.25">
      <c r="A8" s="437">
        <v>42601</v>
      </c>
      <c r="B8" s="4" t="s">
        <v>452</v>
      </c>
      <c r="C8" s="4" t="s">
        <v>460</v>
      </c>
      <c r="D8" s="4" t="s">
        <v>1355</v>
      </c>
      <c r="E8" s="4" t="s">
        <v>230</v>
      </c>
      <c r="F8" s="435"/>
      <c r="G8" s="340"/>
      <c r="H8" s="436"/>
      <c r="I8" s="435">
        <v>156</v>
      </c>
      <c r="J8" s="340"/>
      <c r="K8" s="436"/>
      <c r="L8" s="435"/>
      <c r="M8" s="340"/>
      <c r="N8" s="436"/>
      <c r="O8" s="435">
        <v>584</v>
      </c>
      <c r="P8" s="340"/>
      <c r="Q8" s="340"/>
      <c r="R8" s="435">
        <v>57</v>
      </c>
      <c r="S8" s="340"/>
      <c r="T8" s="436"/>
      <c r="U8" s="4">
        <v>674</v>
      </c>
      <c r="X8" s="435">
        <v>32</v>
      </c>
      <c r="Y8" s="340"/>
      <c r="Z8" s="436"/>
      <c r="AA8" s="435"/>
      <c r="AB8" s="340"/>
      <c r="AC8" s="436"/>
      <c r="AD8" s="435">
        <v>247</v>
      </c>
      <c r="AE8" s="340"/>
      <c r="AF8" s="436"/>
      <c r="AG8" s="435">
        <v>777</v>
      </c>
      <c r="AH8" s="340"/>
      <c r="AI8" s="436"/>
      <c r="AJ8" s="435">
        <v>33</v>
      </c>
      <c r="AK8" s="340"/>
      <c r="AL8" s="436"/>
      <c r="AM8" s="435"/>
      <c r="AN8" s="340"/>
      <c r="AO8" s="436"/>
      <c r="AP8" s="435">
        <v>465</v>
      </c>
      <c r="AQ8" s="340"/>
      <c r="AR8" s="436"/>
      <c r="AS8" s="435"/>
      <c r="AT8" s="340"/>
      <c r="AU8" s="436"/>
      <c r="AV8" s="435"/>
      <c r="AW8" s="340"/>
      <c r="AX8" s="436"/>
    </row>
    <row r="9" spans="1:68" s="4" customFormat="1" ht="23.25" customHeight="1" x14ac:dyDescent="0.25">
      <c r="A9" s="437">
        <v>42601</v>
      </c>
      <c r="B9" s="4" t="s">
        <v>452</v>
      </c>
      <c r="C9" s="4" t="s">
        <v>460</v>
      </c>
      <c r="D9" s="4" t="s">
        <v>1356</v>
      </c>
      <c r="E9" s="4" t="s">
        <v>1357</v>
      </c>
      <c r="F9" s="435"/>
      <c r="G9" s="340"/>
      <c r="H9" s="436"/>
      <c r="I9" s="435">
        <v>20</v>
      </c>
      <c r="J9" s="340"/>
      <c r="K9" s="436"/>
      <c r="L9" s="435"/>
      <c r="M9" s="340"/>
      <c r="N9" s="436"/>
      <c r="O9" s="435">
        <v>32</v>
      </c>
      <c r="P9" s="340"/>
      <c r="Q9" s="340"/>
      <c r="R9" s="435">
        <v>1</v>
      </c>
      <c r="S9" s="340"/>
      <c r="T9" s="436"/>
      <c r="U9" s="4">
        <v>411</v>
      </c>
      <c r="X9" s="435">
        <v>17</v>
      </c>
      <c r="Y9" s="340"/>
      <c r="Z9" s="436"/>
      <c r="AA9" s="435"/>
      <c r="AB9" s="340"/>
      <c r="AC9" s="436"/>
      <c r="AD9" s="435">
        <v>24</v>
      </c>
      <c r="AE9" s="340"/>
      <c r="AF9" s="436"/>
      <c r="AG9" s="435">
        <v>596</v>
      </c>
      <c r="AH9" s="340"/>
      <c r="AI9" s="436"/>
      <c r="AJ9" s="435">
        <v>0</v>
      </c>
      <c r="AK9" s="340"/>
      <c r="AL9" s="436"/>
      <c r="AM9" s="435"/>
      <c r="AN9" s="340"/>
      <c r="AO9" s="436"/>
      <c r="AP9" s="435"/>
      <c r="AQ9" s="340"/>
      <c r="AR9" s="436"/>
      <c r="AS9" s="435"/>
      <c r="AT9" s="340"/>
      <c r="AU9" s="436"/>
      <c r="AV9" s="435"/>
      <c r="AW9" s="340"/>
      <c r="AX9" s="436"/>
    </row>
    <row r="10" spans="1:68" s="4" customFormat="1" ht="23.25" customHeight="1" x14ac:dyDescent="0.25">
      <c r="A10" s="437">
        <v>42689</v>
      </c>
      <c r="B10" s="4" t="s">
        <v>452</v>
      </c>
      <c r="C10" s="4" t="s">
        <v>452</v>
      </c>
      <c r="D10" s="4" t="s">
        <v>380</v>
      </c>
      <c r="E10" s="4" t="s">
        <v>237</v>
      </c>
      <c r="F10" s="435"/>
      <c r="G10" s="340"/>
      <c r="H10" s="436"/>
      <c r="I10" s="435">
        <v>744</v>
      </c>
      <c r="J10" s="340"/>
      <c r="K10" s="436"/>
      <c r="L10" s="435">
        <v>89</v>
      </c>
      <c r="M10" s="340"/>
      <c r="N10" s="436"/>
      <c r="O10" s="435">
        <v>1679</v>
      </c>
      <c r="P10" s="340"/>
      <c r="Q10" s="340"/>
      <c r="R10" s="435">
        <v>906</v>
      </c>
      <c r="S10" s="340"/>
      <c r="T10" s="436"/>
      <c r="U10" s="4">
        <v>3843</v>
      </c>
      <c r="X10" s="435">
        <v>824</v>
      </c>
      <c r="Y10" s="340"/>
      <c r="Z10" s="436"/>
      <c r="AA10" s="435"/>
      <c r="AB10" s="340"/>
      <c r="AC10" s="436"/>
      <c r="AD10" s="435">
        <v>706</v>
      </c>
      <c r="AE10" s="340"/>
      <c r="AF10" s="436"/>
      <c r="AG10" s="435">
        <v>3794</v>
      </c>
      <c r="AH10" s="340"/>
      <c r="AI10" s="436"/>
      <c r="AJ10" s="435">
        <v>129</v>
      </c>
      <c r="AK10" s="340"/>
      <c r="AL10" s="340"/>
      <c r="AM10" s="435"/>
      <c r="AN10" s="340"/>
      <c r="AO10" s="436"/>
      <c r="AP10" s="435"/>
      <c r="AQ10" s="340"/>
      <c r="AR10" s="436"/>
      <c r="AS10" s="435"/>
      <c r="AT10" s="340"/>
      <c r="AU10" s="436"/>
      <c r="AV10" s="435">
        <v>52</v>
      </c>
      <c r="AW10" s="340"/>
      <c r="AX10" s="436"/>
    </row>
    <row r="11" spans="1:68" s="4" customFormat="1" ht="23.25" customHeight="1" x14ac:dyDescent="0.25">
      <c r="A11" s="437">
        <v>42601</v>
      </c>
      <c r="B11" s="4" t="s">
        <v>452</v>
      </c>
      <c r="C11" s="4" t="s">
        <v>452</v>
      </c>
      <c r="D11" s="4" t="s">
        <v>380</v>
      </c>
      <c r="E11" s="4" t="s">
        <v>5</v>
      </c>
      <c r="F11" s="435"/>
      <c r="G11" s="340"/>
      <c r="H11" s="436"/>
      <c r="I11" s="435">
        <v>141</v>
      </c>
      <c r="J11" s="340"/>
      <c r="K11" s="436"/>
      <c r="L11" s="435">
        <v>0</v>
      </c>
      <c r="M11" s="340"/>
      <c r="N11" s="436"/>
      <c r="O11" s="435">
        <v>431</v>
      </c>
      <c r="P11" s="340"/>
      <c r="Q11" s="340"/>
      <c r="R11" s="435">
        <v>91</v>
      </c>
      <c r="S11" s="340"/>
      <c r="T11" s="436"/>
      <c r="U11" s="4">
        <v>484</v>
      </c>
      <c r="X11" s="435">
        <v>173</v>
      </c>
      <c r="Y11" s="340"/>
      <c r="Z11" s="436"/>
      <c r="AA11" s="435"/>
      <c r="AB11" s="340"/>
      <c r="AC11" s="436"/>
      <c r="AD11" s="435">
        <v>99</v>
      </c>
      <c r="AE11" s="340"/>
      <c r="AF11" s="436"/>
      <c r="AG11" s="435">
        <v>654</v>
      </c>
      <c r="AH11" s="340"/>
      <c r="AI11" s="436"/>
      <c r="AJ11" s="340">
        <v>47</v>
      </c>
      <c r="AK11" s="340"/>
      <c r="AL11" s="340"/>
      <c r="AM11" s="435"/>
      <c r="AN11" s="340"/>
      <c r="AO11" s="436"/>
      <c r="AP11" s="435"/>
      <c r="AQ11" s="340"/>
      <c r="AR11" s="436"/>
      <c r="AS11" s="435"/>
      <c r="AT11" s="340"/>
      <c r="AU11" s="436"/>
      <c r="AV11" s="435">
        <v>600</v>
      </c>
      <c r="AW11" s="340"/>
      <c r="AX11" s="436"/>
    </row>
    <row r="12" spans="1:68" ht="23.25" customHeight="1" x14ac:dyDescent="0.25">
      <c r="A12" s="437">
        <v>42601</v>
      </c>
      <c r="B12" s="92" t="s">
        <v>452</v>
      </c>
      <c r="C12" s="92" t="s">
        <v>452</v>
      </c>
      <c r="D12" s="92" t="s">
        <v>380</v>
      </c>
      <c r="E12" s="92"/>
      <c r="I12" s="435"/>
      <c r="J12" s="340"/>
      <c r="K12" s="436"/>
      <c r="L12" s="435"/>
      <c r="M12" s="340"/>
      <c r="N12" s="436"/>
      <c r="O12" s="435"/>
      <c r="P12" s="340">
        <v>20000</v>
      </c>
      <c r="Q12" s="340"/>
      <c r="R12" s="435"/>
      <c r="S12" s="340">
        <v>10000</v>
      </c>
      <c r="T12" s="436"/>
      <c r="U12" s="4"/>
      <c r="V12" s="4">
        <v>20000</v>
      </c>
      <c r="W12" s="4"/>
      <c r="X12" s="435"/>
      <c r="Y12" s="340">
        <v>10000</v>
      </c>
      <c r="Z12" s="436"/>
      <c r="AA12" s="435"/>
      <c r="AB12" s="340">
        <v>10000</v>
      </c>
      <c r="AC12" s="436"/>
      <c r="AD12" s="435"/>
      <c r="AE12" s="340">
        <v>10000</v>
      </c>
      <c r="AF12" s="436"/>
      <c r="AG12" s="435"/>
      <c r="AH12" s="340">
        <v>50000</v>
      </c>
      <c r="AI12" s="436"/>
      <c r="AJ12" s="340"/>
      <c r="AK12" s="340"/>
      <c r="AL12" s="340"/>
      <c r="AM12" s="435"/>
      <c r="AN12" s="340"/>
      <c r="AO12" s="436"/>
      <c r="AP12" s="435"/>
      <c r="AQ12" s="340"/>
      <c r="AR12" s="436"/>
      <c r="AS12" s="435"/>
      <c r="AT12" s="340"/>
      <c r="AU12" s="436"/>
      <c r="AV12" s="435"/>
      <c r="AW12" s="340"/>
      <c r="AX12" s="436"/>
      <c r="AY12" s="4"/>
      <c r="AZ12" s="4"/>
    </row>
    <row r="13" spans="1:68" ht="23.25" customHeight="1" x14ac:dyDescent="0.25">
      <c r="I13" s="435"/>
      <c r="J13" s="340"/>
      <c r="K13" s="436"/>
      <c r="L13" s="435"/>
      <c r="M13" s="340"/>
      <c r="N13" s="436"/>
      <c r="O13" s="435"/>
      <c r="P13" s="340"/>
      <c r="Q13" s="340"/>
      <c r="R13" s="435"/>
      <c r="S13" s="340"/>
      <c r="T13" s="436"/>
      <c r="U13" s="4"/>
      <c r="V13" s="4"/>
      <c r="W13" s="4"/>
      <c r="X13" s="435"/>
      <c r="Y13" s="340"/>
      <c r="Z13" s="436"/>
      <c r="AA13" s="435"/>
      <c r="AB13" s="340"/>
      <c r="AC13" s="436"/>
      <c r="AD13" s="435"/>
      <c r="AE13" s="340"/>
      <c r="AF13" s="436"/>
      <c r="AG13" s="435"/>
      <c r="AH13" s="340"/>
      <c r="AI13" s="436"/>
      <c r="AJ13" s="340"/>
      <c r="AK13" s="340"/>
      <c r="AL13" s="340"/>
      <c r="AM13" s="435"/>
      <c r="AN13" s="340"/>
      <c r="AO13" s="436"/>
      <c r="AP13" s="435"/>
      <c r="AQ13" s="340"/>
      <c r="AR13" s="436"/>
      <c r="AS13" s="435"/>
      <c r="AT13" s="340"/>
      <c r="AU13" s="436"/>
      <c r="AV13" s="435"/>
      <c r="AW13" s="340"/>
      <c r="AX13" s="436"/>
      <c r="AY13" s="4"/>
      <c r="AZ13" s="4"/>
    </row>
    <row r="14" spans="1:68" ht="23.25" customHeight="1" x14ac:dyDescent="0.25"/>
    <row r="15" spans="1:68" ht="23.25" customHeight="1" x14ac:dyDescent="0.25"/>
    <row r="16" spans="1:68" ht="23.25" customHeight="1" x14ac:dyDescent="0.25"/>
    <row r="17" ht="23.25" customHeight="1" x14ac:dyDescent="0.25"/>
    <row r="18" ht="23.25" customHeight="1" x14ac:dyDescent="0.25"/>
    <row r="19" ht="23.25" customHeight="1" x14ac:dyDescent="0.25"/>
    <row r="20" ht="23.25" customHeight="1" x14ac:dyDescent="0.25"/>
    <row r="21" ht="23.25" customHeight="1" x14ac:dyDescent="0.25"/>
    <row r="22" ht="23.25" customHeight="1" x14ac:dyDescent="0.25"/>
    <row r="23" ht="23.25" customHeight="1" x14ac:dyDescent="0.25"/>
    <row r="24" ht="23.25" customHeight="1" x14ac:dyDescent="0.25"/>
    <row r="25" ht="23.25" customHeight="1" x14ac:dyDescent="0.25"/>
    <row r="26" ht="23.25" customHeight="1" x14ac:dyDescent="0.25"/>
    <row r="27" ht="23.25" customHeight="1" x14ac:dyDescent="0.25"/>
    <row r="28" ht="23.25" customHeight="1" x14ac:dyDescent="0.25"/>
    <row r="29" ht="23.25" customHeight="1" x14ac:dyDescent="0.25"/>
    <row r="30" ht="23.25" customHeight="1" x14ac:dyDescent="0.25"/>
    <row r="31" ht="23.25" customHeight="1" x14ac:dyDescent="0.25"/>
    <row r="32" ht="23.25" customHeight="1" x14ac:dyDescent="0.25"/>
    <row r="33" ht="23.25" customHeight="1" x14ac:dyDescent="0.25"/>
    <row r="34" ht="23.25" customHeight="1" x14ac:dyDescent="0.25"/>
    <row r="35" ht="23.25" customHeight="1" x14ac:dyDescent="0.25"/>
    <row r="36" ht="23.25" customHeight="1" x14ac:dyDescent="0.25"/>
    <row r="37" ht="23.25" customHeight="1" x14ac:dyDescent="0.25"/>
    <row r="38" ht="23.25" customHeight="1" x14ac:dyDescent="0.25"/>
    <row r="39" ht="23.25" customHeight="1" x14ac:dyDescent="0.25"/>
    <row r="40" ht="23.25" customHeight="1" x14ac:dyDescent="0.25"/>
    <row r="41" ht="23.25" customHeight="1" x14ac:dyDescent="0.25"/>
    <row r="42" ht="23.25" customHeight="1" x14ac:dyDescent="0.25"/>
    <row r="43" ht="23.25" customHeight="1" x14ac:dyDescent="0.25"/>
    <row r="44" ht="23.25" customHeight="1" x14ac:dyDescent="0.25"/>
    <row r="45" ht="23.25" customHeight="1" x14ac:dyDescent="0.25"/>
    <row r="46" ht="23.25" customHeight="1" x14ac:dyDescent="0.25"/>
    <row r="47" ht="23.25" customHeight="1" x14ac:dyDescent="0.25"/>
    <row r="48" ht="23.25" customHeight="1" x14ac:dyDescent="0.25"/>
    <row r="49" ht="23.25" customHeight="1" x14ac:dyDescent="0.25"/>
    <row r="50" ht="23.25" customHeight="1" x14ac:dyDescent="0.25"/>
    <row r="51" ht="23.25" customHeight="1" x14ac:dyDescent="0.25"/>
    <row r="52" ht="23.25" customHeight="1" x14ac:dyDescent="0.25"/>
    <row r="53" ht="23.25" customHeight="1" x14ac:dyDescent="0.25"/>
    <row r="54" ht="23.25" customHeight="1" x14ac:dyDescent="0.25"/>
    <row r="55" ht="23.25" customHeight="1" x14ac:dyDescent="0.25"/>
    <row r="56" ht="23.25" customHeight="1" x14ac:dyDescent="0.25"/>
    <row r="57" ht="23.25" customHeight="1" x14ac:dyDescent="0.25"/>
    <row r="58" ht="23.25" customHeight="1" x14ac:dyDescent="0.25"/>
    <row r="59" ht="23.25" customHeight="1" x14ac:dyDescent="0.25"/>
    <row r="60" ht="23.25" customHeight="1" x14ac:dyDescent="0.25"/>
    <row r="61" ht="23.25" customHeight="1" x14ac:dyDescent="0.25"/>
    <row r="62" ht="23.25" customHeight="1" x14ac:dyDescent="0.25"/>
    <row r="63" ht="23.25" customHeight="1" x14ac:dyDescent="0.25"/>
    <row r="64" ht="23.25" customHeight="1" x14ac:dyDescent="0.25"/>
    <row r="65" ht="23.25" customHeight="1" x14ac:dyDescent="0.25"/>
    <row r="66" ht="23.25" customHeight="1" x14ac:dyDescent="0.25"/>
    <row r="67" ht="23.25" customHeight="1" x14ac:dyDescent="0.25"/>
    <row r="68" ht="23.25" customHeight="1" x14ac:dyDescent="0.25"/>
    <row r="69" ht="23.25" customHeight="1" x14ac:dyDescent="0.25"/>
    <row r="70" ht="23.25" customHeight="1" x14ac:dyDescent="0.25"/>
    <row r="71" ht="23.25" customHeight="1" x14ac:dyDescent="0.25"/>
    <row r="72" ht="23.25" customHeight="1" x14ac:dyDescent="0.25"/>
    <row r="73" ht="23.25" customHeight="1" x14ac:dyDescent="0.25"/>
    <row r="74" ht="23.25" customHeight="1" x14ac:dyDescent="0.25"/>
    <row r="75" ht="23.25" customHeight="1" x14ac:dyDescent="0.25"/>
    <row r="76" ht="23.25" customHeight="1" x14ac:dyDescent="0.25"/>
    <row r="77" ht="23.25" customHeight="1" x14ac:dyDescent="0.25"/>
    <row r="78" ht="23.25" customHeight="1" x14ac:dyDescent="0.25"/>
    <row r="79" ht="23.25" customHeight="1" x14ac:dyDescent="0.25"/>
    <row r="80" ht="23.25" customHeight="1" x14ac:dyDescent="0.25"/>
    <row r="81" ht="23.25" customHeight="1" x14ac:dyDescent="0.25"/>
    <row r="82" ht="23.25" customHeight="1" x14ac:dyDescent="0.25"/>
    <row r="83" ht="23.25" customHeight="1" x14ac:dyDescent="0.25"/>
    <row r="84" ht="23.25" customHeight="1" x14ac:dyDescent="0.25"/>
    <row r="85" ht="23.25" customHeight="1" x14ac:dyDescent="0.25"/>
    <row r="86" ht="23.25" customHeight="1" x14ac:dyDescent="0.25"/>
    <row r="87" ht="23.25" customHeight="1" x14ac:dyDescent="0.25"/>
    <row r="88" ht="23.25" customHeight="1" x14ac:dyDescent="0.25"/>
    <row r="89" ht="23.25" customHeight="1" x14ac:dyDescent="0.25"/>
    <row r="90" ht="23.25" customHeight="1" x14ac:dyDescent="0.25"/>
    <row r="91" ht="23.25" customHeight="1" x14ac:dyDescent="0.25"/>
    <row r="92" ht="23.25" customHeight="1" x14ac:dyDescent="0.25"/>
    <row r="93" ht="23.25" customHeight="1" x14ac:dyDescent="0.25"/>
    <row r="94" ht="23.25" customHeight="1" x14ac:dyDescent="0.25"/>
    <row r="95" ht="23.25" customHeight="1" x14ac:dyDescent="0.25"/>
    <row r="96" ht="23.25" customHeight="1" x14ac:dyDescent="0.25"/>
    <row r="97" ht="23.25" customHeight="1" x14ac:dyDescent="0.25"/>
    <row r="98" ht="23.25" customHeight="1" x14ac:dyDescent="0.25"/>
    <row r="99" ht="23.25" customHeight="1" x14ac:dyDescent="0.25"/>
    <row r="100" ht="23.25" customHeight="1" x14ac:dyDescent="0.25"/>
    <row r="101" ht="23.25" customHeight="1" x14ac:dyDescent="0.25"/>
    <row r="102" ht="23.25" customHeight="1" x14ac:dyDescent="0.25"/>
    <row r="103" ht="23.25" customHeight="1" x14ac:dyDescent="0.25"/>
    <row r="104" ht="23.25" customHeight="1" x14ac:dyDescent="0.25"/>
    <row r="105" ht="23.25" customHeight="1" x14ac:dyDescent="0.25"/>
    <row r="106" ht="23.25" customHeight="1" x14ac:dyDescent="0.25"/>
    <row r="107" ht="23.25" customHeight="1" x14ac:dyDescent="0.25"/>
    <row r="108" ht="23.25" customHeight="1" x14ac:dyDescent="0.25"/>
    <row r="109" ht="23.25" customHeight="1" x14ac:dyDescent="0.25"/>
    <row r="110" ht="23.25" customHeight="1" x14ac:dyDescent="0.25"/>
    <row r="111" ht="23.25" customHeight="1" x14ac:dyDescent="0.25"/>
    <row r="112" ht="23.25" customHeight="1" x14ac:dyDescent="0.25"/>
    <row r="113" ht="23.25" customHeight="1" x14ac:dyDescent="0.25"/>
    <row r="114" ht="23.25" customHeight="1" x14ac:dyDescent="0.25"/>
    <row r="115" ht="23.25" customHeight="1" x14ac:dyDescent="0.25"/>
    <row r="116" ht="23.25" customHeight="1" x14ac:dyDescent="0.25"/>
    <row r="117" ht="23.25" customHeight="1" x14ac:dyDescent="0.25"/>
    <row r="118" ht="23.25" customHeight="1" x14ac:dyDescent="0.25"/>
    <row r="119" ht="23.25" customHeight="1" x14ac:dyDescent="0.25"/>
    <row r="120" ht="23.25" customHeight="1" x14ac:dyDescent="0.25"/>
    <row r="121" ht="23.25" customHeight="1" x14ac:dyDescent="0.25"/>
    <row r="122" ht="23.25" customHeight="1" x14ac:dyDescent="0.25"/>
    <row r="123" ht="23.25" customHeight="1" x14ac:dyDescent="0.25"/>
    <row r="124" ht="23.25" customHeight="1" x14ac:dyDescent="0.25"/>
    <row r="125" ht="23.25" customHeight="1" x14ac:dyDescent="0.25"/>
    <row r="126" ht="23.25" customHeight="1" x14ac:dyDescent="0.25"/>
    <row r="127" ht="23.25" customHeight="1" x14ac:dyDescent="0.25"/>
    <row r="128" ht="23.25" customHeight="1" x14ac:dyDescent="0.25"/>
    <row r="129" ht="23.25" customHeight="1" x14ac:dyDescent="0.25"/>
    <row r="130" ht="23.25" customHeight="1" x14ac:dyDescent="0.25"/>
    <row r="131" ht="23.25" customHeight="1" x14ac:dyDescent="0.25"/>
    <row r="132" ht="23.25" customHeight="1" x14ac:dyDescent="0.25"/>
    <row r="133" ht="23.25" customHeight="1" x14ac:dyDescent="0.25"/>
    <row r="134" ht="23.25" customHeight="1" x14ac:dyDescent="0.25"/>
    <row r="135" ht="23.25" customHeight="1" x14ac:dyDescent="0.25"/>
    <row r="136" ht="23.25" customHeight="1" x14ac:dyDescent="0.25"/>
    <row r="137" ht="23.25" customHeight="1" x14ac:dyDescent="0.25"/>
    <row r="138" ht="23.25" customHeight="1" x14ac:dyDescent="0.25"/>
    <row r="139" ht="23.25" customHeight="1" x14ac:dyDescent="0.25"/>
    <row r="140" ht="23.25" customHeight="1" x14ac:dyDescent="0.25"/>
    <row r="141" ht="23.25" customHeight="1" x14ac:dyDescent="0.25"/>
    <row r="142" ht="23.25" customHeight="1" x14ac:dyDescent="0.25"/>
    <row r="143" ht="23.25" customHeight="1" x14ac:dyDescent="0.25"/>
    <row r="144" ht="23.25" customHeight="1" x14ac:dyDescent="0.25"/>
    <row r="145" ht="23.25" customHeight="1" x14ac:dyDescent="0.25"/>
    <row r="146" ht="23.25" customHeight="1" x14ac:dyDescent="0.25"/>
    <row r="147" ht="23.25" customHeight="1" x14ac:dyDescent="0.25"/>
    <row r="148" ht="23.25" customHeight="1" x14ac:dyDescent="0.25"/>
    <row r="149" ht="23.25" customHeight="1" x14ac:dyDescent="0.25"/>
    <row r="150" ht="23.25" customHeight="1" x14ac:dyDescent="0.25"/>
    <row r="151" ht="23.25" customHeight="1" x14ac:dyDescent="0.25"/>
    <row r="152" ht="23.25" customHeight="1" x14ac:dyDescent="0.25"/>
    <row r="153" ht="23.25" customHeight="1" x14ac:dyDescent="0.25"/>
    <row r="154" ht="23.25" customHeight="1" x14ac:dyDescent="0.25"/>
    <row r="155" ht="23.25" customHeight="1" x14ac:dyDescent="0.25"/>
    <row r="156" ht="23.25" customHeight="1" x14ac:dyDescent="0.25"/>
    <row r="157" ht="23.25" customHeight="1" x14ac:dyDescent="0.25"/>
    <row r="158" ht="23.25" customHeight="1" x14ac:dyDescent="0.25"/>
    <row r="159" ht="23.25" customHeight="1" x14ac:dyDescent="0.25"/>
    <row r="160" ht="23.25" customHeight="1" x14ac:dyDescent="0.25"/>
    <row r="161" ht="23.25" customHeight="1" x14ac:dyDescent="0.25"/>
    <row r="162" ht="23.25" customHeight="1" x14ac:dyDescent="0.25"/>
    <row r="163" ht="23.25" customHeight="1" x14ac:dyDescent="0.25"/>
    <row r="164" ht="23.25" customHeight="1" x14ac:dyDescent="0.25"/>
    <row r="165" ht="23.25" customHeight="1" x14ac:dyDescent="0.25"/>
    <row r="166" ht="23.25" customHeight="1" x14ac:dyDescent="0.25"/>
    <row r="167" ht="23.25" customHeight="1" x14ac:dyDescent="0.25"/>
    <row r="168" ht="23.25" customHeight="1" x14ac:dyDescent="0.25"/>
    <row r="169" ht="23.25" customHeight="1" x14ac:dyDescent="0.25"/>
    <row r="170" ht="23.25" customHeight="1" x14ac:dyDescent="0.25"/>
    <row r="171" ht="23.25" customHeight="1" x14ac:dyDescent="0.25"/>
    <row r="172" ht="23.25" customHeight="1" x14ac:dyDescent="0.25"/>
    <row r="173" ht="23.25" customHeight="1" x14ac:dyDescent="0.25"/>
    <row r="174" ht="23.25" customHeight="1" x14ac:dyDescent="0.25"/>
    <row r="175" ht="23.25" customHeight="1" x14ac:dyDescent="0.25"/>
    <row r="176" ht="23.25" customHeight="1" x14ac:dyDescent="0.25"/>
    <row r="177" ht="23.25" customHeight="1" x14ac:dyDescent="0.25"/>
    <row r="178" ht="23.25" customHeight="1" x14ac:dyDescent="0.25"/>
    <row r="179" ht="23.25" customHeight="1" x14ac:dyDescent="0.25"/>
    <row r="180" ht="23.25" customHeight="1" x14ac:dyDescent="0.25"/>
    <row r="181" ht="23.25" customHeight="1" x14ac:dyDescent="0.25"/>
    <row r="182" ht="23.25" customHeight="1" x14ac:dyDescent="0.25"/>
    <row r="183" ht="23.25" customHeight="1" x14ac:dyDescent="0.25"/>
    <row r="184" ht="23.25" customHeight="1" x14ac:dyDescent="0.25"/>
    <row r="185" ht="23.25" customHeight="1" x14ac:dyDescent="0.25"/>
    <row r="186" ht="23.25" customHeight="1" x14ac:dyDescent="0.25"/>
    <row r="187" ht="23.25" customHeight="1" x14ac:dyDescent="0.25"/>
    <row r="188" ht="23.25" customHeight="1" x14ac:dyDescent="0.25"/>
    <row r="189" ht="23.25" customHeight="1" x14ac:dyDescent="0.25"/>
    <row r="190" ht="23.25" customHeight="1" x14ac:dyDescent="0.25"/>
    <row r="191" ht="23.25" customHeight="1" x14ac:dyDescent="0.25"/>
    <row r="192" ht="23.25" customHeight="1" x14ac:dyDescent="0.25"/>
    <row r="193" ht="23.25" customHeight="1" x14ac:dyDescent="0.25"/>
    <row r="194" ht="23.25" customHeight="1" x14ac:dyDescent="0.25"/>
    <row r="195" ht="23.25" customHeight="1" x14ac:dyDescent="0.25"/>
    <row r="196" ht="23.25" customHeight="1" x14ac:dyDescent="0.25"/>
    <row r="197" ht="23.25" customHeight="1" x14ac:dyDescent="0.25"/>
    <row r="198" ht="23.25" customHeight="1" x14ac:dyDescent="0.25"/>
    <row r="199" ht="23.25" customHeight="1" x14ac:dyDescent="0.25"/>
    <row r="200" ht="23.25" customHeight="1" x14ac:dyDescent="0.25"/>
    <row r="201" ht="23.25" customHeight="1" x14ac:dyDescent="0.25"/>
    <row r="202" ht="23.25" customHeight="1" x14ac:dyDescent="0.25"/>
    <row r="203" ht="23.25" customHeight="1" x14ac:dyDescent="0.25"/>
    <row r="204" ht="23.25" customHeight="1" x14ac:dyDescent="0.25"/>
    <row r="205" ht="23.25" customHeight="1" x14ac:dyDescent="0.25"/>
    <row r="206" ht="23.25" customHeight="1" x14ac:dyDescent="0.25"/>
    <row r="207" ht="23.25" customHeight="1" x14ac:dyDescent="0.25"/>
    <row r="208" ht="23.25" customHeight="1" x14ac:dyDescent="0.25"/>
    <row r="209" ht="23.25" customHeight="1" x14ac:dyDescent="0.25"/>
    <row r="210" ht="23.25" customHeight="1" x14ac:dyDescent="0.25"/>
    <row r="211" ht="23.25" customHeight="1" x14ac:dyDescent="0.25"/>
    <row r="212" ht="23.25" customHeight="1" x14ac:dyDescent="0.25"/>
    <row r="213" ht="23.25" customHeight="1" x14ac:dyDescent="0.25"/>
    <row r="214" ht="23.25" customHeight="1" x14ac:dyDescent="0.25"/>
    <row r="215" ht="23.25" customHeight="1" x14ac:dyDescent="0.25"/>
    <row r="216" ht="23.25" customHeight="1" x14ac:dyDescent="0.25"/>
    <row r="217" ht="23.25" customHeight="1" x14ac:dyDescent="0.25"/>
    <row r="218" ht="23.25" customHeight="1" x14ac:dyDescent="0.25"/>
    <row r="219" ht="23.25" customHeight="1" x14ac:dyDescent="0.25"/>
    <row r="220" ht="23.25" customHeight="1" x14ac:dyDescent="0.25"/>
    <row r="221" ht="23.25" customHeight="1" x14ac:dyDescent="0.25"/>
    <row r="222" ht="23.25" customHeight="1" x14ac:dyDescent="0.25"/>
    <row r="223" ht="23.25" customHeight="1" x14ac:dyDescent="0.25"/>
    <row r="224" ht="23.25" customHeight="1" x14ac:dyDescent="0.25"/>
    <row r="225" ht="23.25" customHeight="1" x14ac:dyDescent="0.25"/>
    <row r="226" ht="23.25" customHeight="1" x14ac:dyDescent="0.25"/>
    <row r="227" ht="23.25" customHeight="1" x14ac:dyDescent="0.25"/>
    <row r="228" ht="23.25" customHeight="1" x14ac:dyDescent="0.25"/>
    <row r="229" ht="23.25" customHeight="1" x14ac:dyDescent="0.25"/>
    <row r="230" ht="23.25" customHeight="1" x14ac:dyDescent="0.25"/>
    <row r="231" ht="23.25" customHeight="1" x14ac:dyDescent="0.25"/>
    <row r="232" ht="23.25" customHeight="1" x14ac:dyDescent="0.25"/>
    <row r="233" ht="23.25" customHeight="1" x14ac:dyDescent="0.25"/>
    <row r="234" ht="23.25" customHeight="1" x14ac:dyDescent="0.25"/>
    <row r="235" ht="23.25" customHeight="1" x14ac:dyDescent="0.25"/>
    <row r="236" ht="23.25" customHeight="1" x14ac:dyDescent="0.25"/>
    <row r="237" ht="23.25" customHeight="1" x14ac:dyDescent="0.25"/>
    <row r="238" ht="23.25" customHeight="1" x14ac:dyDescent="0.25"/>
    <row r="239" ht="23.25" customHeight="1" x14ac:dyDescent="0.25"/>
    <row r="240" ht="23.25" customHeight="1" x14ac:dyDescent="0.25"/>
    <row r="241" ht="23.25" customHeight="1" x14ac:dyDescent="0.25"/>
    <row r="242" ht="23.25" customHeight="1" x14ac:dyDescent="0.25"/>
    <row r="243" ht="23.25" customHeight="1" x14ac:dyDescent="0.25"/>
    <row r="244" ht="23.25" customHeight="1" x14ac:dyDescent="0.25"/>
    <row r="245" ht="23.25" customHeight="1" x14ac:dyDescent="0.25"/>
    <row r="246" ht="23.25" customHeight="1" x14ac:dyDescent="0.25"/>
    <row r="247" ht="23.25" customHeight="1" x14ac:dyDescent="0.25"/>
    <row r="248" ht="23.25" customHeight="1" x14ac:dyDescent="0.25"/>
    <row r="249" ht="23.25" customHeight="1" x14ac:dyDescent="0.25"/>
    <row r="250" ht="23.25" customHeight="1" x14ac:dyDescent="0.25"/>
    <row r="251" ht="23.25" customHeight="1" x14ac:dyDescent="0.25"/>
    <row r="252" ht="23.25" customHeight="1" x14ac:dyDescent="0.25"/>
    <row r="253" ht="23.25" customHeight="1" x14ac:dyDescent="0.25"/>
    <row r="254" ht="23.25" customHeight="1" x14ac:dyDescent="0.25"/>
    <row r="255" ht="23.25" customHeight="1" x14ac:dyDescent="0.25"/>
    <row r="256" ht="23.25" customHeight="1" x14ac:dyDescent="0.25"/>
    <row r="257" ht="23.25" customHeight="1" x14ac:dyDescent="0.25"/>
    <row r="258" ht="23.25" customHeight="1" x14ac:dyDescent="0.25"/>
    <row r="259" ht="23.25" customHeight="1" x14ac:dyDescent="0.25"/>
    <row r="260" ht="23.25" customHeight="1" x14ac:dyDescent="0.25"/>
    <row r="261" ht="23.25" customHeight="1" x14ac:dyDescent="0.25"/>
    <row r="262" ht="23.25" customHeight="1" x14ac:dyDescent="0.25"/>
    <row r="263" ht="23.25" customHeight="1" x14ac:dyDescent="0.25"/>
    <row r="264" ht="23.25" customHeight="1" x14ac:dyDescent="0.25"/>
    <row r="265" ht="23.25" customHeight="1" x14ac:dyDescent="0.25"/>
    <row r="266" ht="23.25" customHeight="1" x14ac:dyDescent="0.25"/>
    <row r="267" ht="23.25" customHeight="1" x14ac:dyDescent="0.25"/>
    <row r="268" ht="23.25" customHeight="1" x14ac:dyDescent="0.25"/>
    <row r="269" ht="23.25" customHeight="1" x14ac:dyDescent="0.25"/>
    <row r="270" ht="23.25" customHeight="1" x14ac:dyDescent="0.25"/>
    <row r="271" ht="23.25" customHeight="1" x14ac:dyDescent="0.25"/>
    <row r="272" ht="23.25" customHeight="1" x14ac:dyDescent="0.25"/>
    <row r="273" ht="23.25" customHeight="1" x14ac:dyDescent="0.25"/>
    <row r="274" ht="23.25" customHeight="1" x14ac:dyDescent="0.25"/>
    <row r="275" ht="23.25" customHeight="1" x14ac:dyDescent="0.25"/>
    <row r="276" ht="23.25" customHeight="1" x14ac:dyDescent="0.25"/>
    <row r="277" ht="23.25" customHeight="1" x14ac:dyDescent="0.25"/>
    <row r="278" ht="23.25" customHeight="1" x14ac:dyDescent="0.25"/>
    <row r="279" ht="23.25" customHeight="1" x14ac:dyDescent="0.25"/>
    <row r="280" ht="23.25" customHeight="1" x14ac:dyDescent="0.25"/>
    <row r="281" ht="23.25" customHeight="1" x14ac:dyDescent="0.25"/>
    <row r="282" ht="23.25" customHeight="1" x14ac:dyDescent="0.25"/>
    <row r="283" ht="23.25" customHeight="1" x14ac:dyDescent="0.25"/>
    <row r="284" ht="23.25" customHeight="1" x14ac:dyDescent="0.25"/>
    <row r="285" ht="23.25" customHeight="1" x14ac:dyDescent="0.25"/>
    <row r="286" ht="23.25" customHeight="1" x14ac:dyDescent="0.25"/>
    <row r="287" ht="23.25" customHeight="1" x14ac:dyDescent="0.25"/>
    <row r="288" ht="23.25" customHeight="1" x14ac:dyDescent="0.25"/>
    <row r="289" ht="23.25" customHeight="1" x14ac:dyDescent="0.25"/>
    <row r="290" ht="23.25" customHeight="1" x14ac:dyDescent="0.25"/>
    <row r="291" ht="23.25" customHeight="1" x14ac:dyDescent="0.25"/>
    <row r="292" ht="23.25" customHeight="1" x14ac:dyDescent="0.25"/>
    <row r="293" ht="23.25" customHeight="1" x14ac:dyDescent="0.25"/>
    <row r="294" ht="23.25" customHeight="1" x14ac:dyDescent="0.25"/>
    <row r="295" ht="23.25" customHeight="1" x14ac:dyDescent="0.25"/>
    <row r="296" ht="23.25" customHeight="1" x14ac:dyDescent="0.25"/>
    <row r="297" ht="23.25" customHeight="1" x14ac:dyDescent="0.25"/>
    <row r="298" ht="23.25" customHeight="1" x14ac:dyDescent="0.25"/>
    <row r="299" ht="23.25" customHeight="1" x14ac:dyDescent="0.25"/>
    <row r="300" ht="23.25" customHeight="1" x14ac:dyDescent="0.25"/>
    <row r="301" ht="23.25" customHeight="1" x14ac:dyDescent="0.25"/>
    <row r="302" ht="23.25" customHeight="1" x14ac:dyDescent="0.25"/>
    <row r="303" ht="23.25" customHeight="1" x14ac:dyDescent="0.25"/>
    <row r="304" ht="23.25" customHeight="1" x14ac:dyDescent="0.25"/>
    <row r="305" ht="23.25" customHeight="1" x14ac:dyDescent="0.25"/>
    <row r="306" ht="23.25" customHeight="1" x14ac:dyDescent="0.25"/>
    <row r="307" ht="23.25" customHeight="1" x14ac:dyDescent="0.25"/>
    <row r="308" ht="23.25" customHeight="1" x14ac:dyDescent="0.25"/>
    <row r="309" ht="23.25" customHeight="1" x14ac:dyDescent="0.25"/>
    <row r="310" ht="23.25" customHeight="1" x14ac:dyDescent="0.25"/>
    <row r="311" ht="23.25" customHeight="1" x14ac:dyDescent="0.25"/>
    <row r="312" ht="23.25" customHeight="1" x14ac:dyDescent="0.25"/>
    <row r="313" ht="23.25" customHeight="1" x14ac:dyDescent="0.25"/>
    <row r="314" ht="23.25" customHeight="1" x14ac:dyDescent="0.25"/>
    <row r="315" ht="23.25" customHeight="1" x14ac:dyDescent="0.25"/>
    <row r="316" ht="23.25" customHeight="1" x14ac:dyDescent="0.25"/>
    <row r="317" ht="23.25" customHeight="1" x14ac:dyDescent="0.25"/>
    <row r="318" ht="23.25" customHeight="1" x14ac:dyDescent="0.25"/>
    <row r="319" ht="23.25" customHeight="1" x14ac:dyDescent="0.25"/>
    <row r="320" ht="23.25" customHeight="1" x14ac:dyDescent="0.25"/>
    <row r="321" ht="23.25" customHeight="1" x14ac:dyDescent="0.25"/>
    <row r="322" ht="23.25" customHeight="1" x14ac:dyDescent="0.25"/>
    <row r="323" ht="23.25" customHeight="1" x14ac:dyDescent="0.25"/>
    <row r="324" ht="23.25" customHeight="1" x14ac:dyDescent="0.25"/>
    <row r="325" ht="23.25" customHeight="1" x14ac:dyDescent="0.25"/>
    <row r="326" ht="23.25" customHeight="1" x14ac:dyDescent="0.25"/>
    <row r="327" ht="23.25" customHeight="1" x14ac:dyDescent="0.25"/>
    <row r="328" ht="23.25" customHeight="1" x14ac:dyDescent="0.25"/>
    <row r="329" ht="23.25" customHeight="1" x14ac:dyDescent="0.25"/>
    <row r="330" ht="23.25" customHeight="1" x14ac:dyDescent="0.25"/>
    <row r="331" ht="23.25" customHeight="1" x14ac:dyDescent="0.25"/>
    <row r="332" ht="23.25" customHeight="1" x14ac:dyDescent="0.25"/>
    <row r="333" ht="23.25" customHeight="1" x14ac:dyDescent="0.25"/>
    <row r="334" ht="23.25" customHeight="1" x14ac:dyDescent="0.25"/>
    <row r="335" ht="23.25" customHeight="1" x14ac:dyDescent="0.25"/>
    <row r="336" ht="23.25" customHeight="1" x14ac:dyDescent="0.25"/>
    <row r="337" ht="23.25" customHeight="1" x14ac:dyDescent="0.25"/>
    <row r="338" ht="23.25" customHeight="1" x14ac:dyDescent="0.25"/>
    <row r="339" ht="23.25" customHeight="1" x14ac:dyDescent="0.25"/>
    <row r="340" ht="23.25" customHeight="1" x14ac:dyDescent="0.25"/>
    <row r="341" ht="23.25" customHeight="1" x14ac:dyDescent="0.25"/>
    <row r="342" ht="23.25" customHeight="1" x14ac:dyDescent="0.25"/>
    <row r="343" ht="23.25" customHeight="1" x14ac:dyDescent="0.25"/>
    <row r="344" ht="23.25" customHeight="1" x14ac:dyDescent="0.25"/>
    <row r="345" ht="23.25" customHeight="1" x14ac:dyDescent="0.25"/>
    <row r="346" ht="23.25" customHeight="1" x14ac:dyDescent="0.25"/>
    <row r="347" ht="23.25" customHeight="1" x14ac:dyDescent="0.25"/>
    <row r="348" ht="23.25" customHeight="1" x14ac:dyDescent="0.25"/>
    <row r="349" ht="23.25" customHeight="1" x14ac:dyDescent="0.25"/>
    <row r="350" ht="23.25" customHeight="1" x14ac:dyDescent="0.25"/>
    <row r="351" ht="23.25" customHeight="1" x14ac:dyDescent="0.25"/>
    <row r="352" ht="23.25" customHeight="1" x14ac:dyDescent="0.25"/>
    <row r="353" ht="23.25" customHeight="1" x14ac:dyDescent="0.25"/>
    <row r="354" ht="23.25" customHeight="1" x14ac:dyDescent="0.25"/>
    <row r="355" ht="23.25" customHeight="1" x14ac:dyDescent="0.25"/>
    <row r="356" ht="23.25" customHeight="1" x14ac:dyDescent="0.25"/>
    <row r="357" ht="23.25" customHeight="1" x14ac:dyDescent="0.25"/>
    <row r="358" ht="23.25" customHeight="1" x14ac:dyDescent="0.25"/>
    <row r="359" ht="23.25" customHeight="1" x14ac:dyDescent="0.25"/>
    <row r="360" ht="23.25" customHeight="1" x14ac:dyDescent="0.25"/>
    <row r="361" ht="23.25" customHeight="1" x14ac:dyDescent="0.25"/>
    <row r="362" ht="23.25" customHeight="1" x14ac:dyDescent="0.25"/>
    <row r="363" ht="23.25" customHeight="1" x14ac:dyDescent="0.25"/>
    <row r="364" ht="23.25" customHeight="1" x14ac:dyDescent="0.25"/>
    <row r="365" ht="23.25" customHeight="1" x14ac:dyDescent="0.25"/>
    <row r="366" ht="23.25" customHeight="1" x14ac:dyDescent="0.25"/>
    <row r="367" ht="23.25" customHeight="1" x14ac:dyDescent="0.25"/>
    <row r="368" ht="23.25" customHeight="1" x14ac:dyDescent="0.25"/>
    <row r="369" ht="23.25" customHeight="1" x14ac:dyDescent="0.25"/>
    <row r="370" ht="23.25" customHeight="1" x14ac:dyDescent="0.25"/>
    <row r="371" ht="23.25" customHeight="1" x14ac:dyDescent="0.25"/>
    <row r="372" ht="23.25" customHeight="1" x14ac:dyDescent="0.25"/>
    <row r="373" ht="23.25" customHeight="1" x14ac:dyDescent="0.25"/>
    <row r="374" ht="23.25" customHeight="1" x14ac:dyDescent="0.25"/>
    <row r="375" ht="23.25" customHeight="1" x14ac:dyDescent="0.25"/>
    <row r="376" ht="23.25" customHeight="1" x14ac:dyDescent="0.25"/>
    <row r="377" ht="23.25" customHeight="1" x14ac:dyDescent="0.25"/>
    <row r="378" ht="23.25" customHeight="1" x14ac:dyDescent="0.25"/>
    <row r="379" ht="23.25" customHeight="1" x14ac:dyDescent="0.25"/>
    <row r="380" ht="23.25" customHeight="1" x14ac:dyDescent="0.25"/>
    <row r="381" ht="23.25" customHeight="1" x14ac:dyDescent="0.25"/>
    <row r="382" ht="23.25" customHeight="1" x14ac:dyDescent="0.25"/>
    <row r="383" ht="23.25" customHeight="1" x14ac:dyDescent="0.25"/>
    <row r="384" ht="23.25" customHeight="1" x14ac:dyDescent="0.25"/>
    <row r="385" ht="23.25" customHeight="1" x14ac:dyDescent="0.25"/>
    <row r="386" ht="23.25" customHeight="1" x14ac:dyDescent="0.25"/>
    <row r="387" ht="23.25" customHeight="1" x14ac:dyDescent="0.25"/>
    <row r="388" ht="23.25" customHeight="1" x14ac:dyDescent="0.25"/>
    <row r="389" ht="23.25" customHeight="1" x14ac:dyDescent="0.25"/>
    <row r="390" ht="23.25" customHeight="1" x14ac:dyDescent="0.25"/>
    <row r="391" ht="23.25" customHeight="1" x14ac:dyDescent="0.25"/>
    <row r="392" ht="23.25" customHeight="1" x14ac:dyDescent="0.25"/>
    <row r="393" ht="23.25" customHeight="1" x14ac:dyDescent="0.25"/>
    <row r="394" ht="23.25" customHeight="1" x14ac:dyDescent="0.25"/>
    <row r="395" ht="23.25" customHeight="1" x14ac:dyDescent="0.25"/>
    <row r="396" ht="23.25" customHeight="1" x14ac:dyDescent="0.25"/>
    <row r="397" ht="23.25" customHeight="1" x14ac:dyDescent="0.25"/>
    <row r="398" ht="23.25" customHeight="1" x14ac:dyDescent="0.25"/>
    <row r="399" ht="23.25" customHeight="1" x14ac:dyDescent="0.25"/>
    <row r="400" ht="23.25" customHeight="1" x14ac:dyDescent="0.25"/>
    <row r="401" ht="23.25" customHeight="1" x14ac:dyDescent="0.25"/>
    <row r="402" ht="23.25" customHeight="1" x14ac:dyDescent="0.25"/>
  </sheetData>
  <mergeCells count="21">
    <mergeCell ref="AV5:AX5"/>
    <mergeCell ref="AM5:AO5"/>
    <mergeCell ref="AP5:AR5"/>
    <mergeCell ref="AS5:AU5"/>
    <mergeCell ref="C5:C6"/>
    <mergeCell ref="AJ5:AL5"/>
    <mergeCell ref="A3:C3"/>
    <mergeCell ref="AG5:AI5"/>
    <mergeCell ref="X5:Z5"/>
    <mergeCell ref="U5:W5"/>
    <mergeCell ref="E5:E6"/>
    <mergeCell ref="D5:D6"/>
    <mergeCell ref="B5:B6"/>
    <mergeCell ref="A5:A6"/>
    <mergeCell ref="R5:T5"/>
    <mergeCell ref="O5:Q5"/>
    <mergeCell ref="L5:N5"/>
    <mergeCell ref="F5:H5"/>
    <mergeCell ref="I5:K5"/>
    <mergeCell ref="AD5:AF5"/>
    <mergeCell ref="AA5:AC5"/>
  </mergeCells>
  <pageMargins left="0.25" right="0.25" top="0.75" bottom="0.75" header="0.3" footer="0.3"/>
  <pageSetup paperSize="9" scale="4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Q7"/>
  <sheetViews>
    <sheetView topLeftCell="D1" workbookViewId="0">
      <selection activeCell="K2" sqref="K2:K7"/>
    </sheetView>
  </sheetViews>
  <sheetFormatPr defaultRowHeight="15" x14ac:dyDescent="0.25"/>
  <cols>
    <col min="1" max="1" width="9.42578125" customWidth="1"/>
    <col min="2" max="2" width="17" customWidth="1"/>
    <col min="3" max="3" width="13.5703125" customWidth="1"/>
    <col min="4" max="4" width="21.28515625" customWidth="1"/>
    <col min="6" max="6" width="11" customWidth="1"/>
    <col min="7" max="7" width="13.28515625" customWidth="1"/>
    <col min="8" max="8" width="12.28515625" customWidth="1"/>
    <col min="9" max="9" width="12.7109375" customWidth="1"/>
    <col min="10" max="10" width="12.42578125" customWidth="1"/>
    <col min="11" max="11" width="14.28515625" customWidth="1"/>
    <col min="12" max="12" width="10.7109375" customWidth="1"/>
    <col min="13" max="13" width="9.28515625" customWidth="1"/>
    <col min="14" max="14" width="12.28515625" customWidth="1"/>
    <col min="15" max="15" width="11.7109375" customWidth="1"/>
    <col min="16" max="16" width="14.42578125" customWidth="1"/>
    <col min="17" max="17" width="12.140625" customWidth="1"/>
    <col min="18" max="18" width="20.28515625" customWidth="1"/>
    <col min="19" max="19" width="22.7109375" customWidth="1"/>
    <col min="20" max="20" width="18.85546875" customWidth="1"/>
    <col min="21" max="22" width="15.28515625" customWidth="1"/>
    <col min="23" max="23" width="15.5703125" customWidth="1"/>
    <col min="24" max="24" width="15.28515625" customWidth="1"/>
    <col min="25" max="25" width="17.140625" customWidth="1"/>
    <col min="26" max="26" width="13.7109375" customWidth="1"/>
    <col min="27" max="27" width="12.140625" customWidth="1"/>
    <col min="28" max="28" width="15.28515625" customWidth="1"/>
    <col min="29" max="29" width="14.7109375" customWidth="1"/>
    <col min="30" max="30" width="17.7109375" customWidth="1"/>
    <col min="31" max="31" width="15.42578125" customWidth="1"/>
    <col min="32" max="32" width="23.140625" customWidth="1"/>
    <col min="33" max="33" width="25.5703125" customWidth="1"/>
    <col min="34" max="34" width="21.7109375" customWidth="1"/>
    <col min="35" max="35" width="18.28515625" customWidth="1"/>
    <col min="38" max="38" width="14.5703125" customWidth="1"/>
    <col min="40" max="40" width="9" customWidth="1"/>
    <col min="41" max="41" width="10.7109375" customWidth="1"/>
    <col min="42" max="42" width="20" customWidth="1"/>
    <col min="43" max="43" width="11.28515625" customWidth="1"/>
  </cols>
  <sheetData>
    <row r="1" spans="1:43" x14ac:dyDescent="0.25">
      <c r="A1" t="s">
        <v>439</v>
      </c>
      <c r="B1" t="s">
        <v>412</v>
      </c>
      <c r="C1" t="s">
        <v>402</v>
      </c>
      <c r="D1" t="s">
        <v>413</v>
      </c>
      <c r="E1" t="s">
        <v>395</v>
      </c>
      <c r="F1" t="s">
        <v>0</v>
      </c>
      <c r="G1" t="s">
        <v>394</v>
      </c>
      <c r="H1" t="s">
        <v>455</v>
      </c>
      <c r="I1" t="s">
        <v>404</v>
      </c>
      <c r="J1" t="s">
        <v>456</v>
      </c>
      <c r="K1" t="s">
        <v>595</v>
      </c>
      <c r="L1" t="s">
        <v>457</v>
      </c>
      <c r="M1" t="s">
        <v>435</v>
      </c>
      <c r="N1" t="s">
        <v>436</v>
      </c>
      <c r="O1" t="s">
        <v>1218</v>
      </c>
      <c r="P1" t="s">
        <v>577</v>
      </c>
      <c r="Q1" t="s">
        <v>578</v>
      </c>
      <c r="R1" t="s">
        <v>987</v>
      </c>
      <c r="S1" t="s">
        <v>991</v>
      </c>
      <c r="T1" t="s">
        <v>995</v>
      </c>
      <c r="U1" t="s">
        <v>1111</v>
      </c>
      <c r="V1" t="s">
        <v>1136</v>
      </c>
      <c r="W1" t="s">
        <v>1137</v>
      </c>
      <c r="X1" t="s">
        <v>1138</v>
      </c>
      <c r="Y1" t="s">
        <v>1139</v>
      </c>
      <c r="Z1" t="s">
        <v>1140</v>
      </c>
      <c r="AA1" t="s">
        <v>1142</v>
      </c>
      <c r="AB1" t="s">
        <v>1141</v>
      </c>
      <c r="AC1" t="s">
        <v>1219</v>
      </c>
      <c r="AD1" t="s">
        <v>1143</v>
      </c>
      <c r="AE1" t="s">
        <v>1144</v>
      </c>
      <c r="AF1" t="s">
        <v>1145</v>
      </c>
      <c r="AG1" t="s">
        <v>1146</v>
      </c>
      <c r="AH1" t="s">
        <v>1147</v>
      </c>
      <c r="AI1" t="s">
        <v>1148</v>
      </c>
      <c r="AJ1" t="s">
        <v>1151</v>
      </c>
      <c r="AK1" t="s">
        <v>558</v>
      </c>
      <c r="AL1" t="s">
        <v>1135</v>
      </c>
      <c r="AM1" t="s">
        <v>498</v>
      </c>
      <c r="AN1" t="s">
        <v>1080</v>
      </c>
      <c r="AO1" t="s">
        <v>441</v>
      </c>
      <c r="AP1" t="s">
        <v>1091</v>
      </c>
      <c r="AQ1" t="s">
        <v>496</v>
      </c>
    </row>
    <row r="2" spans="1:43" x14ac:dyDescent="0.25">
      <c r="A2">
        <v>15.566666666666666</v>
      </c>
      <c r="B2" s="146">
        <v>41750</v>
      </c>
      <c r="C2" t="s">
        <v>452</v>
      </c>
      <c r="E2" t="s">
        <v>553</v>
      </c>
      <c r="F2" t="s">
        <v>289</v>
      </c>
      <c r="G2" t="s">
        <v>1055</v>
      </c>
      <c r="K2">
        <v>90</v>
      </c>
      <c r="L2">
        <v>49</v>
      </c>
      <c r="M2">
        <v>98</v>
      </c>
      <c r="N2">
        <v>49</v>
      </c>
      <c r="P2">
        <v>49</v>
      </c>
      <c r="Q2">
        <v>225</v>
      </c>
      <c r="V2">
        <v>0</v>
      </c>
      <c r="W2">
        <v>0</v>
      </c>
      <c r="X2">
        <v>0</v>
      </c>
      <c r="Y2">
        <v>0</v>
      </c>
      <c r="Z2">
        <v>0</v>
      </c>
      <c r="AA2">
        <v>0</v>
      </c>
      <c r="AB2">
        <v>0</v>
      </c>
      <c r="AC2">
        <v>0</v>
      </c>
      <c r="AD2">
        <v>0</v>
      </c>
      <c r="AE2">
        <v>0</v>
      </c>
      <c r="AF2">
        <v>0</v>
      </c>
      <c r="AG2">
        <v>0</v>
      </c>
      <c r="AH2">
        <v>0</v>
      </c>
      <c r="AI2">
        <v>0</v>
      </c>
      <c r="AJ2">
        <v>0</v>
      </c>
      <c r="AK2" t="s">
        <v>1056</v>
      </c>
      <c r="AL2">
        <v>1</v>
      </c>
      <c r="AM2" t="s">
        <v>500</v>
      </c>
      <c r="AN2" t="s">
        <v>1093</v>
      </c>
      <c r="AO2">
        <v>1.1951219512195121</v>
      </c>
    </row>
    <row r="3" spans="1:43" x14ac:dyDescent="0.25">
      <c r="A3">
        <v>15.566666666666666</v>
      </c>
      <c r="B3" s="146">
        <v>41750</v>
      </c>
      <c r="C3" t="s">
        <v>452</v>
      </c>
      <c r="E3" t="s">
        <v>553</v>
      </c>
      <c r="F3" t="s">
        <v>289</v>
      </c>
      <c r="G3" t="s">
        <v>1055</v>
      </c>
      <c r="K3">
        <v>0</v>
      </c>
      <c r="L3">
        <v>1</v>
      </c>
      <c r="M3">
        <v>167</v>
      </c>
      <c r="N3">
        <v>1</v>
      </c>
      <c r="O3">
        <v>0</v>
      </c>
      <c r="P3">
        <v>1</v>
      </c>
      <c r="Q3">
        <v>0</v>
      </c>
      <c r="V3">
        <v>0</v>
      </c>
      <c r="W3">
        <v>0</v>
      </c>
      <c r="X3">
        <v>0</v>
      </c>
      <c r="Y3">
        <v>0</v>
      </c>
      <c r="Z3">
        <v>0</v>
      </c>
      <c r="AA3">
        <v>0</v>
      </c>
      <c r="AB3">
        <v>0</v>
      </c>
      <c r="AC3">
        <v>0</v>
      </c>
      <c r="AD3">
        <v>0</v>
      </c>
      <c r="AE3">
        <v>0</v>
      </c>
      <c r="AF3">
        <v>0</v>
      </c>
      <c r="AG3">
        <v>0</v>
      </c>
      <c r="AH3">
        <v>0</v>
      </c>
      <c r="AI3">
        <v>0</v>
      </c>
      <c r="AJ3">
        <v>0</v>
      </c>
      <c r="AK3" t="s">
        <v>1056</v>
      </c>
      <c r="AL3">
        <v>1</v>
      </c>
      <c r="AM3" t="s">
        <v>500</v>
      </c>
      <c r="AN3" t="s">
        <v>1093</v>
      </c>
      <c r="AO3">
        <v>2.4390243902439025E-2</v>
      </c>
      <c r="AQ3" t="s">
        <v>1232</v>
      </c>
    </row>
    <row r="4" spans="1:43" x14ac:dyDescent="0.25">
      <c r="A4">
        <v>14.866666666666667</v>
      </c>
      <c r="B4" s="146">
        <v>41771</v>
      </c>
      <c r="C4" t="s">
        <v>452</v>
      </c>
      <c r="E4" t="s">
        <v>553</v>
      </c>
      <c r="F4" t="s">
        <v>230</v>
      </c>
      <c r="G4" t="s">
        <v>1063</v>
      </c>
      <c r="K4">
        <v>82</v>
      </c>
      <c r="L4">
        <v>41</v>
      </c>
      <c r="M4">
        <v>82</v>
      </c>
      <c r="N4">
        <v>41</v>
      </c>
      <c r="P4">
        <v>41</v>
      </c>
      <c r="Q4">
        <v>205</v>
      </c>
      <c r="V4">
        <v>0</v>
      </c>
      <c r="W4">
        <v>0</v>
      </c>
      <c r="X4">
        <v>0</v>
      </c>
      <c r="Y4">
        <v>0</v>
      </c>
      <c r="Z4">
        <v>0</v>
      </c>
      <c r="AA4">
        <v>0</v>
      </c>
      <c r="AB4">
        <v>0</v>
      </c>
      <c r="AC4">
        <v>0</v>
      </c>
      <c r="AD4">
        <v>0</v>
      </c>
      <c r="AE4">
        <v>0</v>
      </c>
      <c r="AF4">
        <v>0</v>
      </c>
      <c r="AG4">
        <v>0</v>
      </c>
      <c r="AH4">
        <v>0</v>
      </c>
      <c r="AI4">
        <v>0</v>
      </c>
      <c r="AJ4">
        <v>0</v>
      </c>
      <c r="AK4" t="s">
        <v>1064</v>
      </c>
      <c r="AL4">
        <v>1</v>
      </c>
      <c r="AM4" t="s">
        <v>500</v>
      </c>
      <c r="AN4" t="s">
        <v>1093</v>
      </c>
      <c r="AO4">
        <v>1.3666666666666667</v>
      </c>
    </row>
    <row r="5" spans="1:43" x14ac:dyDescent="0.25">
      <c r="A5">
        <v>14.866666666666667</v>
      </c>
      <c r="B5" s="146">
        <v>41771</v>
      </c>
      <c r="C5" t="s">
        <v>452</v>
      </c>
      <c r="E5" t="s">
        <v>553</v>
      </c>
      <c r="F5" t="s">
        <v>230</v>
      </c>
      <c r="G5" t="s">
        <v>1063</v>
      </c>
      <c r="K5">
        <v>68</v>
      </c>
      <c r="L5">
        <v>9</v>
      </c>
      <c r="M5">
        <v>118</v>
      </c>
      <c r="N5">
        <v>9</v>
      </c>
      <c r="O5">
        <v>0</v>
      </c>
      <c r="P5">
        <v>9</v>
      </c>
      <c r="Q5">
        <v>45</v>
      </c>
      <c r="V5">
        <v>0</v>
      </c>
      <c r="W5">
        <v>0</v>
      </c>
      <c r="X5">
        <v>0</v>
      </c>
      <c r="Y5">
        <v>0</v>
      </c>
      <c r="Z5">
        <v>0</v>
      </c>
      <c r="AA5">
        <v>0</v>
      </c>
      <c r="AB5">
        <v>0</v>
      </c>
      <c r="AC5">
        <v>0</v>
      </c>
      <c r="AD5">
        <v>0</v>
      </c>
      <c r="AE5">
        <v>0</v>
      </c>
      <c r="AF5">
        <v>0</v>
      </c>
      <c r="AG5">
        <v>0</v>
      </c>
      <c r="AH5">
        <v>0</v>
      </c>
      <c r="AI5">
        <v>0</v>
      </c>
      <c r="AJ5">
        <v>0</v>
      </c>
      <c r="AK5" t="s">
        <v>1064</v>
      </c>
      <c r="AL5">
        <v>1</v>
      </c>
      <c r="AM5" t="s">
        <v>500</v>
      </c>
      <c r="AN5" t="s">
        <v>1093</v>
      </c>
      <c r="AO5">
        <v>0.3</v>
      </c>
      <c r="AQ5" t="s">
        <v>1232</v>
      </c>
    </row>
    <row r="6" spans="1:43" x14ac:dyDescent="0.25">
      <c r="A6">
        <v>14.9</v>
      </c>
      <c r="B6" s="146">
        <v>41770</v>
      </c>
      <c r="C6" t="s">
        <v>452</v>
      </c>
      <c r="E6" t="s">
        <v>553</v>
      </c>
      <c r="F6" t="s">
        <v>230</v>
      </c>
      <c r="G6" t="s">
        <v>1053</v>
      </c>
      <c r="K6">
        <v>162</v>
      </c>
      <c r="L6">
        <v>81</v>
      </c>
      <c r="M6">
        <v>162</v>
      </c>
      <c r="N6">
        <v>81</v>
      </c>
      <c r="P6">
        <v>81</v>
      </c>
      <c r="Q6">
        <v>405</v>
      </c>
      <c r="V6">
        <v>0</v>
      </c>
      <c r="W6">
        <v>0</v>
      </c>
      <c r="X6">
        <v>0</v>
      </c>
      <c r="Y6">
        <v>0</v>
      </c>
      <c r="Z6">
        <v>0</v>
      </c>
      <c r="AA6">
        <v>0</v>
      </c>
      <c r="AB6">
        <v>0</v>
      </c>
      <c r="AC6">
        <v>0</v>
      </c>
      <c r="AD6">
        <v>0</v>
      </c>
      <c r="AE6">
        <v>0</v>
      </c>
      <c r="AF6">
        <v>0</v>
      </c>
      <c r="AG6">
        <v>0</v>
      </c>
      <c r="AH6">
        <v>0</v>
      </c>
      <c r="AI6">
        <v>0</v>
      </c>
      <c r="AJ6">
        <v>0</v>
      </c>
      <c r="AK6" t="s">
        <v>1054</v>
      </c>
      <c r="AL6">
        <v>1</v>
      </c>
      <c r="AM6" t="s">
        <v>500</v>
      </c>
      <c r="AN6" t="s">
        <v>1093</v>
      </c>
      <c r="AO6">
        <v>1.3278688524590163</v>
      </c>
    </row>
    <row r="7" spans="1:43" x14ac:dyDescent="0.25">
      <c r="A7">
        <v>14.9</v>
      </c>
      <c r="B7" s="146">
        <v>41770</v>
      </c>
      <c r="C7" t="s">
        <v>452</v>
      </c>
      <c r="E7" t="s">
        <v>553</v>
      </c>
      <c r="F7" t="s">
        <v>230</v>
      </c>
      <c r="G7" t="s">
        <v>1053</v>
      </c>
      <c r="K7">
        <v>138</v>
      </c>
      <c r="L7">
        <v>19</v>
      </c>
      <c r="M7">
        <v>238</v>
      </c>
      <c r="N7">
        <v>19</v>
      </c>
      <c r="O7">
        <v>0</v>
      </c>
      <c r="P7">
        <v>19</v>
      </c>
      <c r="Q7">
        <v>95</v>
      </c>
      <c r="V7">
        <v>0</v>
      </c>
      <c r="W7">
        <v>0</v>
      </c>
      <c r="X7">
        <v>0</v>
      </c>
      <c r="Y7">
        <v>0</v>
      </c>
      <c r="Z7">
        <v>0</v>
      </c>
      <c r="AA7">
        <v>0</v>
      </c>
      <c r="AB7">
        <v>0</v>
      </c>
      <c r="AC7">
        <v>0</v>
      </c>
      <c r="AD7">
        <v>0</v>
      </c>
      <c r="AE7">
        <v>0</v>
      </c>
      <c r="AF7">
        <v>0</v>
      </c>
      <c r="AG7">
        <v>0</v>
      </c>
      <c r="AH7">
        <v>0</v>
      </c>
      <c r="AI7">
        <v>0</v>
      </c>
      <c r="AJ7">
        <v>0</v>
      </c>
      <c r="AK7" t="s">
        <v>1054</v>
      </c>
      <c r="AL7">
        <v>1</v>
      </c>
      <c r="AM7" t="s">
        <v>500</v>
      </c>
      <c r="AN7" t="s">
        <v>1093</v>
      </c>
      <c r="AO7">
        <v>0.31147540983606559</v>
      </c>
      <c r="AQ7" t="s">
        <v>1232</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pageSetUpPr fitToPage="1"/>
  </sheetPr>
  <dimension ref="A1:BG80"/>
  <sheetViews>
    <sheetView showZeros="0" zoomScale="70" zoomScaleNormal="70" workbookViewId="0">
      <pane ySplit="2" topLeftCell="A3" activePane="bottomLeft" state="frozen"/>
      <selection activeCell="AS915" sqref="AS915"/>
      <selection pane="bottomLeft" activeCell="H62" sqref="H62"/>
    </sheetView>
  </sheetViews>
  <sheetFormatPr defaultRowHeight="15" x14ac:dyDescent="0.25"/>
  <cols>
    <col min="1" max="1" width="17.85546875" customWidth="1"/>
    <col min="2" max="2" width="25" customWidth="1"/>
    <col min="3" max="3" width="11.140625" customWidth="1"/>
    <col min="4" max="4" width="10.7109375" customWidth="1"/>
    <col min="5" max="5" width="15" customWidth="1"/>
    <col min="6" max="6" width="18.85546875" customWidth="1"/>
    <col min="7" max="7" width="14.85546875" customWidth="1"/>
    <col min="8" max="8" width="17.7109375" customWidth="1"/>
    <col min="9" max="13" width="15" customWidth="1"/>
    <col min="14" max="15" width="17" customWidth="1"/>
    <col min="16" max="16" width="17.28515625" bestFit="1" customWidth="1"/>
    <col min="17" max="20" width="10.85546875" customWidth="1"/>
    <col min="21" max="21" width="14.7109375" customWidth="1"/>
    <col min="22" max="22" width="11.28515625" customWidth="1"/>
  </cols>
  <sheetData>
    <row r="1" spans="1:59" s="1" customFormat="1" ht="36" x14ac:dyDescent="0.25">
      <c r="A1" s="231"/>
      <c r="B1" s="232"/>
      <c r="C1" s="232"/>
      <c r="D1" s="232"/>
      <c r="E1" s="232"/>
      <c r="F1" s="232"/>
      <c r="G1" s="232"/>
      <c r="H1" s="232"/>
      <c r="I1" s="232"/>
      <c r="J1" s="232"/>
      <c r="K1" s="232"/>
      <c r="L1" s="232"/>
      <c r="M1" s="232"/>
      <c r="N1" s="233"/>
      <c r="O1" s="221"/>
      <c r="P1" s="221"/>
      <c r="Q1" s="221"/>
      <c r="R1" s="221"/>
      <c r="S1" s="221"/>
      <c r="T1" s="221"/>
      <c r="U1" s="221"/>
      <c r="V1" s="221"/>
      <c r="W1" s="221"/>
      <c r="X1" s="221"/>
      <c r="Y1" s="221"/>
      <c r="Z1" s="221"/>
      <c r="AA1" s="15"/>
      <c r="AB1" s="15"/>
      <c r="BF1" s="46"/>
      <c r="BG1" s="46"/>
    </row>
    <row r="2" spans="1:59" s="1" customFormat="1" ht="33.75" x14ac:dyDescent="0.35">
      <c r="A2" s="845" t="s">
        <v>458</v>
      </c>
      <c r="B2" s="846"/>
      <c r="C2" s="846"/>
      <c r="D2" s="846"/>
      <c r="E2" s="846"/>
      <c r="F2" s="846"/>
      <c r="G2" s="846"/>
      <c r="H2" s="846"/>
      <c r="I2" s="66"/>
      <c r="J2" s="66"/>
      <c r="K2" s="66"/>
      <c r="L2" s="66"/>
      <c r="M2" s="66"/>
      <c r="N2" s="234"/>
      <c r="O2" s="222"/>
      <c r="P2" s="15"/>
      <c r="Q2" s="15"/>
      <c r="R2" s="15"/>
      <c r="S2" s="15"/>
      <c r="T2" s="15"/>
      <c r="U2" s="15"/>
      <c r="V2" s="4"/>
      <c r="W2" s="4"/>
      <c r="X2" s="4"/>
      <c r="Y2" s="4"/>
      <c r="Z2" s="4"/>
      <c r="AA2" s="4"/>
      <c r="AB2" s="4"/>
      <c r="AC2" s="65"/>
      <c r="AD2" s="65"/>
      <c r="AE2" s="65"/>
      <c r="AF2" s="65"/>
      <c r="AG2" s="65"/>
      <c r="AH2" s="65"/>
      <c r="AI2" s="65"/>
      <c r="AJ2" s="65"/>
      <c r="AK2" s="65"/>
      <c r="AL2" s="65"/>
      <c r="AM2" s="65"/>
      <c r="AN2" s="65"/>
      <c r="AO2" s="65"/>
      <c r="AP2" s="65"/>
      <c r="AZ2" s="46"/>
      <c r="BA2" s="46"/>
    </row>
    <row r="3" spans="1:59" s="15" customFormat="1" ht="33.75" x14ac:dyDescent="0.35">
      <c r="A3" s="847">
        <f>Definition!B23</f>
        <v>42675</v>
      </c>
      <c r="B3" s="848"/>
      <c r="C3" s="848"/>
      <c r="D3" s="848"/>
      <c r="E3" s="848"/>
      <c r="F3" s="848"/>
      <c r="G3" s="848"/>
      <c r="H3" s="848"/>
      <c r="I3" s="235"/>
      <c r="J3" s="235"/>
      <c r="K3" s="235"/>
      <c r="L3" s="235"/>
      <c r="M3" s="235"/>
      <c r="N3" s="236"/>
      <c r="O3" s="222"/>
      <c r="W3" s="4"/>
      <c r="X3" s="4"/>
      <c r="Y3" s="4"/>
      <c r="Z3" s="4"/>
      <c r="AA3" s="4"/>
      <c r="AB3" s="4"/>
      <c r="AC3" s="65"/>
      <c r="AD3" s="65"/>
      <c r="AE3" s="65"/>
      <c r="AF3" s="65"/>
      <c r="AG3" s="65"/>
      <c r="AH3" s="65"/>
      <c r="AI3" s="65"/>
      <c r="AJ3" s="65"/>
      <c r="AK3" s="65"/>
      <c r="AL3" s="65"/>
      <c r="AM3" s="65"/>
      <c r="AN3" s="65"/>
      <c r="AO3" s="65"/>
      <c r="AP3" s="65"/>
      <c r="AZ3" s="47"/>
      <c r="BA3" s="47"/>
    </row>
    <row r="4" spans="1:59" s="15" customFormat="1" ht="36" x14ac:dyDescent="0.25">
      <c r="A4" s="48"/>
      <c r="B4" s="48"/>
      <c r="C4" s="48"/>
      <c r="D4" s="33"/>
      <c r="E4" s="33"/>
      <c r="F4" s="33"/>
      <c r="G4" s="33"/>
      <c r="H4" s="33"/>
      <c r="I4" s="33"/>
      <c r="J4" s="33"/>
      <c r="L4" s="33"/>
      <c r="M4" s="33"/>
      <c r="N4" s="33"/>
      <c r="O4" s="33"/>
      <c r="P4" s="33"/>
      <c r="Q4" s="33"/>
      <c r="R4" s="33"/>
      <c r="S4" s="47"/>
      <c r="T4" s="33"/>
      <c r="U4" s="33"/>
      <c r="BF4" s="47"/>
      <c r="BG4" s="47"/>
    </row>
    <row r="5" spans="1:59" s="38" customFormat="1" ht="32.25" thickBot="1" x14ac:dyDescent="0.55000000000000004">
      <c r="A5" s="42" t="s">
        <v>380</v>
      </c>
      <c r="B5" s="44"/>
      <c r="C5" s="44"/>
      <c r="D5" s="44"/>
      <c r="E5" s="44"/>
      <c r="F5" s="44"/>
      <c r="G5" s="44"/>
      <c r="H5" s="44"/>
      <c r="I5" s="44"/>
      <c r="J5" s="44"/>
      <c r="K5" s="44"/>
      <c r="L5" s="44"/>
      <c r="M5" s="44"/>
      <c r="N5" s="44"/>
      <c r="O5" s="223"/>
      <c r="P5" s="223"/>
      <c r="Q5" s="223"/>
      <c r="R5" s="223"/>
      <c r="S5" s="223"/>
      <c r="T5" s="223"/>
      <c r="U5" s="223"/>
      <c r="V5" s="223"/>
      <c r="W5" s="223"/>
      <c r="X5" s="223"/>
      <c r="Y5" s="223"/>
      <c r="Z5" s="223"/>
      <c r="AA5" s="4"/>
      <c r="AB5" s="4"/>
    </row>
    <row r="6" spans="1:59" ht="25.5" x14ac:dyDescent="0.25">
      <c r="A6" s="884" t="s">
        <v>0</v>
      </c>
      <c r="B6" s="886" t="s">
        <v>426</v>
      </c>
      <c r="C6" s="886" t="s">
        <v>427</v>
      </c>
      <c r="D6" s="253" t="s">
        <v>483</v>
      </c>
      <c r="E6" s="253" t="s">
        <v>457</v>
      </c>
      <c r="F6" s="253" t="s">
        <v>435</v>
      </c>
      <c r="G6" s="253" t="s">
        <v>436</v>
      </c>
      <c r="H6" s="253" t="s">
        <v>484</v>
      </c>
      <c r="I6" s="253" t="s">
        <v>577</v>
      </c>
      <c r="J6" s="253" t="s">
        <v>578</v>
      </c>
      <c r="K6" s="253" t="s">
        <v>987</v>
      </c>
      <c r="L6" s="253" t="s">
        <v>991</v>
      </c>
      <c r="M6" s="253" t="s">
        <v>995</v>
      </c>
      <c r="N6" s="78" t="s">
        <v>995</v>
      </c>
      <c r="O6" s="4"/>
      <c r="P6" s="4"/>
      <c r="Q6" s="4"/>
      <c r="R6" s="4"/>
      <c r="S6" s="4"/>
      <c r="T6" s="4"/>
      <c r="U6" s="4"/>
      <c r="V6" s="4"/>
      <c r="W6" s="4"/>
      <c r="X6" s="4"/>
      <c r="Y6" s="4"/>
      <c r="Z6" s="4"/>
      <c r="AA6" s="4"/>
      <c r="AB6" s="4"/>
    </row>
    <row r="7" spans="1:59" x14ac:dyDescent="0.25">
      <c r="A7" s="885"/>
      <c r="B7" s="887"/>
      <c r="C7" s="887"/>
      <c r="D7" s="254" t="s">
        <v>437</v>
      </c>
      <c r="E7" s="254" t="s">
        <v>437</v>
      </c>
      <c r="F7" s="254" t="s">
        <v>437</v>
      </c>
      <c r="G7" s="254" t="s">
        <v>437</v>
      </c>
      <c r="H7" s="254" t="s">
        <v>437</v>
      </c>
      <c r="I7" s="254" t="s">
        <v>437</v>
      </c>
      <c r="J7" s="254" t="s">
        <v>437</v>
      </c>
      <c r="K7" s="254" t="s">
        <v>437</v>
      </c>
      <c r="L7" s="254" t="s">
        <v>437</v>
      </c>
      <c r="M7" s="254" t="s">
        <v>437</v>
      </c>
      <c r="N7" s="79" t="s">
        <v>437</v>
      </c>
      <c r="O7" s="4"/>
      <c r="P7" s="4"/>
      <c r="Q7" s="4"/>
      <c r="R7" s="4"/>
      <c r="S7" s="4"/>
      <c r="T7" s="4"/>
      <c r="U7" s="4"/>
      <c r="V7" s="4"/>
      <c r="W7" s="4"/>
      <c r="X7" s="4"/>
      <c r="Y7" s="4"/>
      <c r="Z7" s="4"/>
      <c r="AA7" s="4"/>
      <c r="AB7" s="4"/>
    </row>
    <row r="8" spans="1:59" x14ac:dyDescent="0.25">
      <c r="A8" s="305" t="s">
        <v>5</v>
      </c>
      <c r="B8" s="304">
        <f>SUMIFS(Camplist_HH,Camplist_Township,'NFI Distribution (by Tship)'!$A8,Camplist_Type_Of_Acc,"Camp")</f>
        <v>1273</v>
      </c>
      <c r="C8" s="304">
        <f>SUMIFS(Camplist_Popl,Camplist_Township,'NFI Distribution (by Tship)'!$A8,Camplist_Type_Of_Acc,"Camp")</f>
        <v>7140</v>
      </c>
      <c r="D8" s="24">
        <f t="shared" ref="D8:D29" si="0">SUMIF(NFI_Township,$A8,NFI_Mosquito_Track)</f>
        <v>0</v>
      </c>
      <c r="E8" s="24">
        <f t="shared" ref="E8:E29" si="1">SUMIF(NFI_Township,$A8,NFI_Tarpaulin_Track)</f>
        <v>14</v>
      </c>
      <c r="F8" s="24">
        <f t="shared" ref="F8:F29" si="2">SUMIF(NFI_Township,$A8,NFI_Blanket_Track)</f>
        <v>0</v>
      </c>
      <c r="G8" s="24">
        <f t="shared" ref="G8:G29" si="3">SUMIF(NFI_Township,$A8,NFI_Kitchen_Track)</f>
        <v>0</v>
      </c>
      <c r="H8" s="24">
        <f t="shared" ref="H8:H29" si="4">SUMIF(NFI_Township,$A8,NFI_Clothes_Track)</f>
        <v>0</v>
      </c>
      <c r="I8" s="24">
        <f t="shared" ref="I8:I29" si="5">SUMIF(NFI_Township,$A8,NFI_Plastic_Bucket_Track)</f>
        <v>0</v>
      </c>
      <c r="J8" s="24">
        <f t="shared" ref="J8:J29" si="6">SUMIF(NFI_Township,$A8,NFI_Plastic_Mat_Track)</f>
        <v>0</v>
      </c>
      <c r="K8" s="24">
        <f t="shared" ref="K8:K29" si="7">SUMIF(NFI_Township,$A8,NFI_Winter_Clothes_Adult_Track)</f>
        <v>0</v>
      </c>
      <c r="L8" s="24">
        <f t="shared" ref="L8:L29" si="8">SUMIF(NFI_Township,$A8,NFI_Winter_Clothes_Children_Track)</f>
        <v>0</v>
      </c>
      <c r="M8" s="24">
        <f t="shared" ref="M8:M29" si="9">SUMIF(NFI_Township,$A8,NFI_Winter_Items_Other_Track)</f>
        <v>0</v>
      </c>
      <c r="N8" s="306">
        <f t="shared" ref="N8:N29" si="10">SUMIF(NFI_Township,$A8,NFI_Winter_Blanket_Track)</f>
        <v>0</v>
      </c>
      <c r="O8" s="4"/>
      <c r="P8" s="4"/>
      <c r="Q8" s="4"/>
      <c r="R8" s="4"/>
      <c r="S8" s="4"/>
      <c r="T8" s="4"/>
      <c r="U8" s="4"/>
      <c r="V8" s="4"/>
      <c r="W8" s="4"/>
      <c r="X8" s="4"/>
      <c r="Y8" s="4"/>
      <c r="Z8" s="4"/>
      <c r="AA8" s="4"/>
      <c r="AB8" s="4"/>
    </row>
    <row r="9" spans="1:59" x14ac:dyDescent="0.25">
      <c r="A9" s="305" t="s">
        <v>27</v>
      </c>
      <c r="B9" s="304">
        <f>SUMIFS(Camplist_HH,Camplist_Township,'NFI Distribution (by Tship)'!$A9,Camplist_Type_Of_Acc,"Camp")</f>
        <v>501</v>
      </c>
      <c r="C9" s="304">
        <f>SUMIFS(Camplist_Popl,Camplist_Township,'NFI Distribution (by Tship)'!$A9,Camplist_Type_Of_Acc,"Camp")</f>
        <v>2628</v>
      </c>
      <c r="D9" s="24">
        <f t="shared" si="0"/>
        <v>0</v>
      </c>
      <c r="E9" s="24">
        <f t="shared" si="1"/>
        <v>0</v>
      </c>
      <c r="F9" s="24">
        <f t="shared" si="2"/>
        <v>345</v>
      </c>
      <c r="G9" s="24">
        <f t="shared" si="3"/>
        <v>0</v>
      </c>
      <c r="H9" s="24">
        <f t="shared" si="4"/>
        <v>0</v>
      </c>
      <c r="I9" s="24">
        <f t="shared" si="5"/>
        <v>0</v>
      </c>
      <c r="J9" s="24">
        <f t="shared" si="6"/>
        <v>0</v>
      </c>
      <c r="K9" s="24">
        <f t="shared" si="7"/>
        <v>0</v>
      </c>
      <c r="L9" s="24">
        <f t="shared" si="8"/>
        <v>765</v>
      </c>
      <c r="M9" s="24">
        <f t="shared" si="9"/>
        <v>0</v>
      </c>
      <c r="N9" s="306">
        <f t="shared" si="10"/>
        <v>0</v>
      </c>
      <c r="O9" s="4"/>
      <c r="P9" s="4"/>
      <c r="Q9" s="4"/>
      <c r="R9" s="4"/>
      <c r="S9" s="4"/>
      <c r="T9" s="4"/>
      <c r="U9" s="4"/>
      <c r="V9" s="4"/>
      <c r="W9" s="4"/>
      <c r="X9" s="4"/>
      <c r="Y9" s="4"/>
      <c r="Z9" s="4"/>
      <c r="AA9" s="4"/>
      <c r="AB9" s="4"/>
    </row>
    <row r="10" spans="1:59" x14ac:dyDescent="0.25">
      <c r="A10" s="305" t="s">
        <v>527</v>
      </c>
      <c r="B10" s="304">
        <f>SUMIFS(Camplist_HH,Camplist_Township,'NFI Distribution (by Tship)'!$A10,Camplist_Type_Of_Acc,"Camp")</f>
        <v>802</v>
      </c>
      <c r="C10" s="304">
        <f>SUMIFS(Camplist_Popl,Camplist_Township,'NFI Distribution (by Tship)'!$A10,Camplist_Type_Of_Acc,"Camp")</f>
        <v>3766</v>
      </c>
      <c r="D10" s="24">
        <f t="shared" si="0"/>
        <v>203</v>
      </c>
      <c r="E10" s="24">
        <f t="shared" si="1"/>
        <v>104</v>
      </c>
      <c r="F10" s="24">
        <f t="shared" si="2"/>
        <v>208</v>
      </c>
      <c r="G10" s="24">
        <f t="shared" si="3"/>
        <v>104</v>
      </c>
      <c r="H10" s="24">
        <f t="shared" si="4"/>
        <v>0</v>
      </c>
      <c r="I10" s="24">
        <f t="shared" si="5"/>
        <v>104</v>
      </c>
      <c r="J10" s="24">
        <f t="shared" si="6"/>
        <v>575</v>
      </c>
      <c r="K10" s="24">
        <f t="shared" si="7"/>
        <v>0</v>
      </c>
      <c r="L10" s="24">
        <f t="shared" si="8"/>
        <v>0</v>
      </c>
      <c r="M10" s="24">
        <f t="shared" si="9"/>
        <v>0</v>
      </c>
      <c r="N10" s="306">
        <f t="shared" si="10"/>
        <v>0</v>
      </c>
    </row>
    <row r="11" spans="1:59" x14ac:dyDescent="0.25">
      <c r="A11" s="305" t="s">
        <v>779</v>
      </c>
      <c r="B11" s="304">
        <f>SUMIFS(Camplist_HH,Camplist_Township,'NFI Distribution (by Tship)'!$A11,Camplist_Type_Of_Acc,"Camp")</f>
        <v>58</v>
      </c>
      <c r="C11" s="304">
        <f>SUMIFS(Camplist_Popl,Camplist_Township,'NFI Distribution (by Tship)'!$A11,Camplist_Type_Of_Acc,"Camp")</f>
        <v>280</v>
      </c>
      <c r="D11" s="24">
        <f t="shared" si="0"/>
        <v>0</v>
      </c>
      <c r="E11" s="24">
        <f t="shared" si="1"/>
        <v>0</v>
      </c>
      <c r="F11" s="24">
        <f t="shared" si="2"/>
        <v>0</v>
      </c>
      <c r="G11" s="24">
        <f t="shared" si="3"/>
        <v>0</v>
      </c>
      <c r="H11" s="24">
        <f t="shared" si="4"/>
        <v>0</v>
      </c>
      <c r="I11" s="24">
        <f t="shared" si="5"/>
        <v>0</v>
      </c>
      <c r="J11" s="24">
        <f t="shared" si="6"/>
        <v>0</v>
      </c>
      <c r="K11" s="24">
        <f t="shared" si="7"/>
        <v>0</v>
      </c>
      <c r="L11" s="24">
        <f t="shared" si="8"/>
        <v>0</v>
      </c>
      <c r="M11" s="24">
        <f t="shared" si="9"/>
        <v>0</v>
      </c>
      <c r="N11" s="306">
        <f t="shared" si="10"/>
        <v>0</v>
      </c>
    </row>
    <row r="12" spans="1:59" s="333" customFormat="1" x14ac:dyDescent="0.25">
      <c r="A12" s="305" t="s">
        <v>1621</v>
      </c>
      <c r="B12" s="304">
        <f>SUMIFS(Camplist_HH,Camplist_Township,'NFI Distribution (by Tship)'!$A12,Camplist_Type_Of_Acc,"Camp")</f>
        <v>37</v>
      </c>
      <c r="C12" s="304">
        <f>SUMIFS(Camplist_Popl,Camplist_Township,'NFI Distribution (by Tship)'!$A12,Camplist_Type_Of_Acc,"Camp")</f>
        <v>120</v>
      </c>
      <c r="D12" s="24">
        <f t="shared" si="0"/>
        <v>0</v>
      </c>
      <c r="E12" s="24">
        <f t="shared" si="1"/>
        <v>0</v>
      </c>
      <c r="F12" s="24">
        <f t="shared" si="2"/>
        <v>0</v>
      </c>
      <c r="G12" s="24">
        <f t="shared" si="3"/>
        <v>0</v>
      </c>
      <c r="H12" s="24">
        <f t="shared" si="4"/>
        <v>0</v>
      </c>
      <c r="I12" s="24">
        <f t="shared" si="5"/>
        <v>0</v>
      </c>
      <c r="J12" s="24">
        <f t="shared" si="6"/>
        <v>0</v>
      </c>
      <c r="K12" s="24">
        <f t="shared" si="7"/>
        <v>0</v>
      </c>
      <c r="L12" s="24">
        <f t="shared" si="8"/>
        <v>0</v>
      </c>
      <c r="M12" s="24">
        <f t="shared" si="9"/>
        <v>0</v>
      </c>
      <c r="N12" s="306">
        <f t="shared" si="10"/>
        <v>0</v>
      </c>
    </row>
    <row r="13" spans="1:59" x14ac:dyDescent="0.25">
      <c r="A13" s="305" t="s">
        <v>363</v>
      </c>
      <c r="B13" s="304">
        <f>SUMIFS(Camplist_HH,Camplist_Township,'NFI Distribution (by Tship)'!$A13,Camplist_Type_Of_Acc,"Camp")</f>
        <v>0</v>
      </c>
      <c r="C13" s="304">
        <f>SUMIFS(Camplist_Popl,Camplist_Township,'NFI Distribution (by Tship)'!$A13,Camplist_Type_Of_Acc,"Camp")</f>
        <v>0</v>
      </c>
      <c r="D13" s="24">
        <f t="shared" si="0"/>
        <v>0</v>
      </c>
      <c r="E13" s="24">
        <f t="shared" si="1"/>
        <v>0</v>
      </c>
      <c r="F13" s="24">
        <f t="shared" si="2"/>
        <v>0</v>
      </c>
      <c r="G13" s="24">
        <f t="shared" si="3"/>
        <v>0</v>
      </c>
      <c r="H13" s="24">
        <f t="shared" si="4"/>
        <v>0</v>
      </c>
      <c r="I13" s="24">
        <f t="shared" si="5"/>
        <v>0</v>
      </c>
      <c r="J13" s="24">
        <f t="shared" si="6"/>
        <v>0</v>
      </c>
      <c r="K13" s="24">
        <f t="shared" si="7"/>
        <v>0</v>
      </c>
      <c r="L13" s="24">
        <f t="shared" si="8"/>
        <v>0</v>
      </c>
      <c r="M13" s="24">
        <f t="shared" si="9"/>
        <v>0</v>
      </c>
      <c r="N13" s="306">
        <f t="shared" si="10"/>
        <v>0</v>
      </c>
    </row>
    <row r="14" spans="1:59" s="65" customFormat="1" x14ac:dyDescent="0.25">
      <c r="A14" s="305" t="s">
        <v>144</v>
      </c>
      <c r="B14" s="304">
        <f>SUMIFS(Camplist_HH,Camplist_Township,'NFI Distribution (by Tship)'!$A14,Camplist_Type_Of_Acc,"Camp")</f>
        <v>0</v>
      </c>
      <c r="C14" s="304">
        <f>SUMIFS(Camplist_Popl,Camplist_Township,'NFI Distribution (by Tship)'!$A14,Camplist_Type_Of_Acc,"Camp")</f>
        <v>0</v>
      </c>
      <c r="D14" s="24">
        <f t="shared" si="0"/>
        <v>0</v>
      </c>
      <c r="E14" s="24">
        <f t="shared" si="1"/>
        <v>0</v>
      </c>
      <c r="F14" s="24">
        <f t="shared" si="2"/>
        <v>0</v>
      </c>
      <c r="G14" s="24">
        <f t="shared" si="3"/>
        <v>0</v>
      </c>
      <c r="H14" s="24">
        <f t="shared" si="4"/>
        <v>0</v>
      </c>
      <c r="I14" s="24">
        <f t="shared" si="5"/>
        <v>0</v>
      </c>
      <c r="J14" s="24">
        <f t="shared" si="6"/>
        <v>0</v>
      </c>
      <c r="K14" s="24">
        <f t="shared" si="7"/>
        <v>0</v>
      </c>
      <c r="L14" s="24">
        <f t="shared" si="8"/>
        <v>0</v>
      </c>
      <c r="M14" s="24">
        <f t="shared" si="9"/>
        <v>0</v>
      </c>
      <c r="N14" s="306">
        <f t="shared" si="10"/>
        <v>0</v>
      </c>
    </row>
    <row r="15" spans="1:59" s="65" customFormat="1" x14ac:dyDescent="0.25">
      <c r="A15" s="305" t="s">
        <v>146</v>
      </c>
      <c r="B15" s="304">
        <f>SUMIFS(Camplist_HH,Camplist_Township,'NFI Distribution (by Tship)'!$A15,Camplist_Type_Of_Acc,"Camp")</f>
        <v>1030</v>
      </c>
      <c r="C15" s="304">
        <f>SUMIFS(Camplist_Popl,Camplist_Township,'NFI Distribution (by Tship)'!$A15,Camplist_Type_Of_Acc,"Camp")</f>
        <v>5032</v>
      </c>
      <c r="D15" s="24">
        <f t="shared" si="0"/>
        <v>600</v>
      </c>
      <c r="E15" s="24">
        <f t="shared" si="1"/>
        <v>0</v>
      </c>
      <c r="F15" s="24">
        <f t="shared" si="2"/>
        <v>0</v>
      </c>
      <c r="G15" s="24">
        <f t="shared" si="3"/>
        <v>0</v>
      </c>
      <c r="H15" s="24">
        <f t="shared" si="4"/>
        <v>0</v>
      </c>
      <c r="I15" s="24">
        <f t="shared" si="5"/>
        <v>0</v>
      </c>
      <c r="J15" s="24">
        <f t="shared" si="6"/>
        <v>0</v>
      </c>
      <c r="K15" s="24">
        <f t="shared" si="7"/>
        <v>0</v>
      </c>
      <c r="L15" s="24">
        <f t="shared" si="8"/>
        <v>0</v>
      </c>
      <c r="M15" s="24">
        <f t="shared" si="9"/>
        <v>0</v>
      </c>
      <c r="N15" s="306">
        <f t="shared" si="10"/>
        <v>0</v>
      </c>
    </row>
    <row r="16" spans="1:59" s="65" customFormat="1" x14ac:dyDescent="0.25">
      <c r="A16" s="305" t="s">
        <v>892</v>
      </c>
      <c r="B16" s="304">
        <f>SUMIFS(Camplist_HH,Camplist_Township,'NFI Distribution (by Tship)'!$A16,Camplist_Type_Of_Acc,"Camp")</f>
        <v>0</v>
      </c>
      <c r="C16" s="304">
        <f>SUMIFS(Camplist_Popl,Camplist_Township,'NFI Distribution (by Tship)'!$A16,Camplist_Type_Of_Acc,"Camp")</f>
        <v>0</v>
      </c>
      <c r="D16" s="24">
        <f t="shared" si="0"/>
        <v>0</v>
      </c>
      <c r="E16" s="24">
        <f t="shared" si="1"/>
        <v>0</v>
      </c>
      <c r="F16" s="24">
        <f t="shared" si="2"/>
        <v>0</v>
      </c>
      <c r="G16" s="24">
        <f t="shared" si="3"/>
        <v>0</v>
      </c>
      <c r="H16" s="24">
        <f t="shared" si="4"/>
        <v>0</v>
      </c>
      <c r="I16" s="24">
        <f t="shared" si="5"/>
        <v>0</v>
      </c>
      <c r="J16" s="24">
        <f t="shared" si="6"/>
        <v>0</v>
      </c>
      <c r="K16" s="24">
        <f t="shared" si="7"/>
        <v>0</v>
      </c>
      <c r="L16" s="24">
        <f t="shared" si="8"/>
        <v>0</v>
      </c>
      <c r="M16" s="24">
        <f t="shared" si="9"/>
        <v>0</v>
      </c>
      <c r="N16" s="306">
        <f t="shared" si="10"/>
        <v>0</v>
      </c>
    </row>
    <row r="17" spans="1:14" s="65" customFormat="1" x14ac:dyDescent="0.25">
      <c r="A17" s="305" t="s">
        <v>151</v>
      </c>
      <c r="B17" s="304">
        <f>SUMIFS(Camplist_HH,Camplist_Township,'NFI Distribution (by Tship)'!$A17,Camplist_Type_Of_Acc,"Camp")</f>
        <v>2470</v>
      </c>
      <c r="C17" s="304">
        <f>SUMIFS(Camplist_Popl,Camplist_Township,'NFI Distribution (by Tship)'!$A17,Camplist_Type_Of_Acc,"Camp")</f>
        <v>11453</v>
      </c>
      <c r="D17" s="24">
        <f t="shared" si="0"/>
        <v>0</v>
      </c>
      <c r="E17" s="24">
        <f t="shared" si="1"/>
        <v>25</v>
      </c>
      <c r="F17" s="24">
        <f t="shared" si="2"/>
        <v>0</v>
      </c>
      <c r="G17" s="24">
        <f t="shared" si="3"/>
        <v>0</v>
      </c>
      <c r="H17" s="24">
        <f t="shared" si="4"/>
        <v>0</v>
      </c>
      <c r="I17" s="24">
        <f t="shared" si="5"/>
        <v>0</v>
      </c>
      <c r="J17" s="24">
        <f t="shared" si="6"/>
        <v>0</v>
      </c>
      <c r="K17" s="24">
        <f t="shared" si="7"/>
        <v>0</v>
      </c>
      <c r="L17" s="24">
        <f t="shared" si="8"/>
        <v>0</v>
      </c>
      <c r="M17" s="24">
        <f t="shared" si="9"/>
        <v>0</v>
      </c>
      <c r="N17" s="306">
        <f t="shared" si="10"/>
        <v>0</v>
      </c>
    </row>
    <row r="18" spans="1:14" x14ac:dyDescent="0.25">
      <c r="A18" s="305" t="s">
        <v>166</v>
      </c>
      <c r="B18" s="304">
        <f>SUMIFS(Camplist_HH,Camplist_Township,'NFI Distribution (by Tship)'!$A18,Camplist_Type_Of_Acc,"Camp")</f>
        <v>101</v>
      </c>
      <c r="C18" s="304">
        <f>SUMIFS(Camplist_Popl,Camplist_Township,'NFI Distribution (by Tship)'!$A18,Camplist_Type_Of_Acc,"Camp")</f>
        <v>539</v>
      </c>
      <c r="D18" s="24">
        <f t="shared" si="0"/>
        <v>0</v>
      </c>
      <c r="E18" s="24">
        <f t="shared" si="1"/>
        <v>0</v>
      </c>
      <c r="F18" s="24">
        <f t="shared" si="2"/>
        <v>0</v>
      </c>
      <c r="G18" s="24">
        <f t="shared" si="3"/>
        <v>0</v>
      </c>
      <c r="H18" s="24">
        <f t="shared" si="4"/>
        <v>0</v>
      </c>
      <c r="I18" s="24">
        <f t="shared" si="5"/>
        <v>0</v>
      </c>
      <c r="J18" s="24">
        <f t="shared" si="6"/>
        <v>0</v>
      </c>
      <c r="K18" s="24">
        <f t="shared" si="7"/>
        <v>0</v>
      </c>
      <c r="L18" s="24">
        <f t="shared" si="8"/>
        <v>0</v>
      </c>
      <c r="M18" s="24">
        <f t="shared" si="9"/>
        <v>0</v>
      </c>
      <c r="N18" s="306">
        <f t="shared" si="10"/>
        <v>0</v>
      </c>
    </row>
    <row r="19" spans="1:14" x14ac:dyDescent="0.25">
      <c r="A19" s="305" t="s">
        <v>173</v>
      </c>
      <c r="B19" s="304">
        <f>SUMIFS(Camplist_HH,Camplist_Township,'NFI Distribution (by Tship)'!$A19,Camplist_Type_Of_Acc,"Camp")</f>
        <v>70</v>
      </c>
      <c r="C19" s="304">
        <f>SUMIFS(Camplist_Popl,Camplist_Township,'NFI Distribution (by Tship)'!$A19,Camplist_Type_Of_Acc,"Camp")</f>
        <v>321</v>
      </c>
      <c r="D19" s="24">
        <f t="shared" si="0"/>
        <v>13</v>
      </c>
      <c r="E19" s="24">
        <f t="shared" si="1"/>
        <v>7</v>
      </c>
      <c r="F19" s="24">
        <f t="shared" si="2"/>
        <v>13</v>
      </c>
      <c r="G19" s="24">
        <f t="shared" si="3"/>
        <v>7</v>
      </c>
      <c r="H19" s="24">
        <f t="shared" si="4"/>
        <v>7</v>
      </c>
      <c r="I19" s="24">
        <f t="shared" si="5"/>
        <v>7</v>
      </c>
      <c r="J19" s="24">
        <f t="shared" si="6"/>
        <v>32.5</v>
      </c>
      <c r="K19" s="24">
        <f t="shared" si="7"/>
        <v>0</v>
      </c>
      <c r="L19" s="24">
        <f t="shared" si="8"/>
        <v>0</v>
      </c>
      <c r="M19" s="24">
        <f t="shared" si="9"/>
        <v>0</v>
      </c>
      <c r="N19" s="306">
        <f t="shared" si="10"/>
        <v>0</v>
      </c>
    </row>
    <row r="20" spans="1:14" x14ac:dyDescent="0.25">
      <c r="A20" s="305" t="s">
        <v>180</v>
      </c>
      <c r="B20" s="304">
        <f>SUMIFS(Camplist_HH,Camplist_Township,'NFI Distribution (by Tship)'!$A20,Camplist_Type_Of_Acc,"Camp")</f>
        <v>22</v>
      </c>
      <c r="C20" s="304">
        <f>SUMIFS(Camplist_Popl,Camplist_Township,'NFI Distribution (by Tship)'!$A20,Camplist_Type_Of_Acc,"Camp")</f>
        <v>115</v>
      </c>
      <c r="D20" s="24">
        <f t="shared" si="0"/>
        <v>0</v>
      </c>
      <c r="E20" s="24">
        <f t="shared" si="1"/>
        <v>0</v>
      </c>
      <c r="F20" s="24">
        <f t="shared" si="2"/>
        <v>0</v>
      </c>
      <c r="G20" s="24">
        <f t="shared" si="3"/>
        <v>0</v>
      </c>
      <c r="H20" s="24">
        <f t="shared" si="4"/>
        <v>0</v>
      </c>
      <c r="I20" s="24">
        <f t="shared" si="5"/>
        <v>0</v>
      </c>
      <c r="J20" s="24">
        <f t="shared" si="6"/>
        <v>0</v>
      </c>
      <c r="K20" s="24">
        <f t="shared" si="7"/>
        <v>0</v>
      </c>
      <c r="L20" s="24">
        <f t="shared" si="8"/>
        <v>0</v>
      </c>
      <c r="M20" s="24">
        <f t="shared" si="9"/>
        <v>0</v>
      </c>
      <c r="N20" s="306">
        <f t="shared" si="10"/>
        <v>0</v>
      </c>
    </row>
    <row r="21" spans="1:14" x14ac:dyDescent="0.25">
      <c r="A21" s="305" t="s">
        <v>185</v>
      </c>
      <c r="B21" s="304">
        <f>SUMIFS(Camplist_HH,Camplist_Township,'NFI Distribution (by Tship)'!$A21,Camplist_Type_Of_Acc,"Camp")</f>
        <v>2708</v>
      </c>
      <c r="C21" s="304">
        <f>SUMIFS(Camplist_Popl,Camplist_Township,'NFI Distribution (by Tship)'!$A21,Camplist_Type_Of_Acc,"Camp")</f>
        <v>14071</v>
      </c>
      <c r="D21" s="24">
        <f t="shared" si="0"/>
        <v>0</v>
      </c>
      <c r="E21" s="24">
        <f t="shared" si="1"/>
        <v>0</v>
      </c>
      <c r="F21" s="24">
        <f t="shared" si="2"/>
        <v>0</v>
      </c>
      <c r="G21" s="24">
        <f t="shared" si="3"/>
        <v>0</v>
      </c>
      <c r="H21" s="24">
        <f t="shared" si="4"/>
        <v>0</v>
      </c>
      <c r="I21" s="24">
        <f t="shared" si="5"/>
        <v>0</v>
      </c>
      <c r="J21" s="24">
        <f t="shared" si="6"/>
        <v>0</v>
      </c>
      <c r="K21" s="24">
        <f t="shared" si="7"/>
        <v>0</v>
      </c>
      <c r="L21" s="24">
        <f t="shared" si="8"/>
        <v>0</v>
      </c>
      <c r="M21" s="24">
        <f t="shared" si="9"/>
        <v>0</v>
      </c>
      <c r="N21" s="306">
        <f t="shared" si="10"/>
        <v>0</v>
      </c>
    </row>
    <row r="22" spans="1:14" x14ac:dyDescent="0.25">
      <c r="A22" s="305" t="s">
        <v>230</v>
      </c>
      <c r="B22" s="304">
        <f>SUMIFS(Camplist_HH,Camplist_Township,'NFI Distribution (by Tship)'!$A22,Camplist_Type_Of_Acc,"Camp")</f>
        <v>76</v>
      </c>
      <c r="C22" s="304">
        <f>SUMIFS(Camplist_Popl,Camplist_Township,'NFI Distribution (by Tship)'!$A22,Camplist_Type_Of_Acc,"Camp")</f>
        <v>1161</v>
      </c>
      <c r="D22" s="24">
        <f>SUMIF(NFI_Township,$A22,NFI_Mosquito_Track)</f>
        <v>76</v>
      </c>
      <c r="E22" s="24">
        <f t="shared" si="1"/>
        <v>38</v>
      </c>
      <c r="F22" s="24">
        <f t="shared" si="2"/>
        <v>76</v>
      </c>
      <c r="G22" s="24">
        <f t="shared" si="3"/>
        <v>0</v>
      </c>
      <c r="H22" s="24">
        <f t="shared" si="4"/>
        <v>0</v>
      </c>
      <c r="I22" s="24">
        <f t="shared" si="5"/>
        <v>38</v>
      </c>
      <c r="J22" s="24">
        <f t="shared" si="6"/>
        <v>285</v>
      </c>
      <c r="K22" s="24">
        <f t="shared" si="7"/>
        <v>0</v>
      </c>
      <c r="L22" s="24">
        <f t="shared" si="8"/>
        <v>0</v>
      </c>
      <c r="M22" s="24">
        <f t="shared" si="9"/>
        <v>0</v>
      </c>
      <c r="N22" s="306">
        <f t="shared" si="10"/>
        <v>0</v>
      </c>
    </row>
    <row r="23" spans="1:14" x14ac:dyDescent="0.25">
      <c r="A23" s="305" t="s">
        <v>237</v>
      </c>
      <c r="B23" s="304">
        <f>SUMIFS(Camplist_HH,Camplist_Township,'NFI Distribution (by Tship)'!$A23,Camplist_Type_Of_Acc,"Camp")</f>
        <v>1177</v>
      </c>
      <c r="C23" s="304">
        <f>SUMIFS(Camplist_Popl,Camplist_Township,'NFI Distribution (by Tship)'!$A23,Camplist_Type_Of_Acc,"Camp")</f>
        <v>5923</v>
      </c>
      <c r="D23" s="24">
        <f>SUMIF(NFI_Township,$A23,NFI_Mosquito_Track)</f>
        <v>7</v>
      </c>
      <c r="E23" s="24">
        <f t="shared" si="1"/>
        <v>36</v>
      </c>
      <c r="F23" s="24">
        <f t="shared" si="2"/>
        <v>0</v>
      </c>
      <c r="G23" s="24">
        <f t="shared" si="3"/>
        <v>7</v>
      </c>
      <c r="H23" s="24">
        <f t="shared" si="4"/>
        <v>0</v>
      </c>
      <c r="I23" s="24">
        <f t="shared" si="5"/>
        <v>7</v>
      </c>
      <c r="J23" s="24">
        <f t="shared" si="6"/>
        <v>67.5</v>
      </c>
      <c r="K23" s="24">
        <f t="shared" si="7"/>
        <v>0</v>
      </c>
      <c r="L23" s="24">
        <f t="shared" si="8"/>
        <v>0</v>
      </c>
      <c r="M23" s="24">
        <f t="shared" si="9"/>
        <v>0</v>
      </c>
      <c r="N23" s="306">
        <f t="shared" si="10"/>
        <v>88</v>
      </c>
    </row>
    <row r="24" spans="1:14" x14ac:dyDescent="0.25">
      <c r="A24" s="305" t="s">
        <v>289</v>
      </c>
      <c r="B24" s="304">
        <f>SUMIFS(Camplist_HH,Camplist_Township,'NFI Distribution (by Tship)'!$A24,Camplist_Type_Of_Acc,"Camp")</f>
        <v>605</v>
      </c>
      <c r="C24" s="304">
        <f>SUMIFS(Camplist_Popl,Camplist_Township,'NFI Distribution (by Tship)'!$A24,Camplist_Type_Of_Acc,"Camp")</f>
        <v>2777</v>
      </c>
      <c r="D24" s="24">
        <f>SUMIF(NFI_Township,$A24,NFI_Mosquito_Track)</f>
        <v>126</v>
      </c>
      <c r="E24" s="24">
        <f t="shared" si="1"/>
        <v>0</v>
      </c>
      <c r="F24" s="24">
        <f t="shared" si="2"/>
        <v>126</v>
      </c>
      <c r="G24" s="24">
        <f t="shared" si="3"/>
        <v>64</v>
      </c>
      <c r="H24" s="24">
        <f t="shared" si="4"/>
        <v>0</v>
      </c>
      <c r="I24" s="24">
        <f t="shared" si="5"/>
        <v>0</v>
      </c>
      <c r="J24" s="24">
        <f t="shared" si="6"/>
        <v>305</v>
      </c>
      <c r="K24" s="24">
        <f t="shared" si="7"/>
        <v>0</v>
      </c>
      <c r="L24" s="24">
        <f t="shared" si="8"/>
        <v>0</v>
      </c>
      <c r="M24" s="24">
        <f t="shared" si="9"/>
        <v>0</v>
      </c>
      <c r="N24" s="306">
        <f t="shared" si="10"/>
        <v>0</v>
      </c>
    </row>
    <row r="25" spans="1:14" x14ac:dyDescent="0.25">
      <c r="A25" s="305" t="s">
        <v>298</v>
      </c>
      <c r="B25" s="304">
        <f>SUMIFS(Camplist_HH,Camplist_Township,'NFI Distribution (by Tship)'!$A25,Camplist_Type_Of_Acc,"Camp")</f>
        <v>383</v>
      </c>
      <c r="C25" s="304">
        <f>SUMIFS(Camplist_Popl,Camplist_Township,'NFI Distribution (by Tship)'!$A25,Camplist_Type_Of_Acc,"Camp")</f>
        <v>1458</v>
      </c>
      <c r="D25" s="24">
        <f>SUMIF(NFI_Township,$A25,NFI_Mosquito_Track)</f>
        <v>35</v>
      </c>
      <c r="E25" s="24">
        <f t="shared" si="1"/>
        <v>0</v>
      </c>
      <c r="F25" s="24">
        <f t="shared" si="2"/>
        <v>35</v>
      </c>
      <c r="G25" s="24">
        <f t="shared" si="3"/>
        <v>18</v>
      </c>
      <c r="H25" s="24">
        <f t="shared" si="4"/>
        <v>0</v>
      </c>
      <c r="I25" s="24">
        <f t="shared" si="5"/>
        <v>18</v>
      </c>
      <c r="J25" s="24">
        <f t="shared" si="6"/>
        <v>205</v>
      </c>
      <c r="K25" s="24">
        <f t="shared" si="7"/>
        <v>0</v>
      </c>
      <c r="L25" s="24">
        <f t="shared" si="8"/>
        <v>0</v>
      </c>
      <c r="M25" s="24">
        <f t="shared" si="9"/>
        <v>0</v>
      </c>
      <c r="N25" s="306">
        <f t="shared" si="10"/>
        <v>0</v>
      </c>
    </row>
    <row r="26" spans="1:14" x14ac:dyDescent="0.25">
      <c r="A26" s="305" t="s">
        <v>300</v>
      </c>
      <c r="B26" s="304">
        <f>SUMIFS(Camplist_HH,Camplist_Township,'NFI Distribution (by Tship)'!$A26,Camplist_Type_Of_Acc,"Camp")</f>
        <v>59</v>
      </c>
      <c r="C26" s="304">
        <f>SUMIFS(Camplist_Popl,Camplist_Township,'NFI Distribution (by Tship)'!$A26,Camplist_Type_Of_Acc,"Camp")</f>
        <v>268</v>
      </c>
      <c r="D26" s="24">
        <f t="shared" si="0"/>
        <v>0</v>
      </c>
      <c r="E26" s="24">
        <f t="shared" si="1"/>
        <v>0</v>
      </c>
      <c r="F26" s="24">
        <f t="shared" si="2"/>
        <v>0</v>
      </c>
      <c r="G26" s="24">
        <f t="shared" si="3"/>
        <v>0</v>
      </c>
      <c r="H26" s="24">
        <f t="shared" si="4"/>
        <v>0</v>
      </c>
      <c r="I26" s="24">
        <f>SUMIF(NFI_Township,$A26,NFI_Plastic_Bucket_Track)</f>
        <v>0</v>
      </c>
      <c r="J26" s="24">
        <f t="shared" si="6"/>
        <v>0</v>
      </c>
      <c r="K26" s="24">
        <f t="shared" si="7"/>
        <v>0</v>
      </c>
      <c r="L26" s="24">
        <f t="shared" si="8"/>
        <v>0</v>
      </c>
      <c r="M26" s="24">
        <f t="shared" si="9"/>
        <v>0</v>
      </c>
      <c r="N26" s="306">
        <f t="shared" si="10"/>
        <v>0</v>
      </c>
    </row>
    <row r="27" spans="1:14" s="65" customFormat="1" x14ac:dyDescent="0.25">
      <c r="A27" s="305" t="s">
        <v>302</v>
      </c>
      <c r="B27" s="304">
        <f>SUMIFS(Camplist_HH,Camplist_Township,'NFI Distribution (by Tship)'!$A27,Camplist_Type_Of_Acc,"Camp")</f>
        <v>126</v>
      </c>
      <c r="C27" s="304">
        <f>SUMIFS(Camplist_Popl,Camplist_Township,'NFI Distribution (by Tship)'!$A27,Camplist_Type_Of_Acc,"Camp")</f>
        <v>509</v>
      </c>
      <c r="D27" s="24">
        <f t="shared" si="0"/>
        <v>0</v>
      </c>
      <c r="E27" s="24">
        <f t="shared" si="1"/>
        <v>17</v>
      </c>
      <c r="F27" s="24">
        <f t="shared" si="2"/>
        <v>51</v>
      </c>
      <c r="G27" s="24">
        <f t="shared" si="3"/>
        <v>17</v>
      </c>
      <c r="H27" s="24">
        <f t="shared" si="4"/>
        <v>0</v>
      </c>
      <c r="I27" s="24">
        <f t="shared" si="5"/>
        <v>16</v>
      </c>
      <c r="J27" s="24">
        <f t="shared" si="6"/>
        <v>152.5</v>
      </c>
      <c r="K27" s="24">
        <f t="shared" si="7"/>
        <v>0</v>
      </c>
      <c r="L27" s="24">
        <f t="shared" si="8"/>
        <v>0</v>
      </c>
      <c r="M27" s="24">
        <f t="shared" si="9"/>
        <v>0</v>
      </c>
      <c r="N27" s="306">
        <f t="shared" si="10"/>
        <v>0</v>
      </c>
    </row>
    <row r="28" spans="1:14" s="65" customFormat="1" x14ac:dyDescent="0.25">
      <c r="A28" s="305" t="s">
        <v>808</v>
      </c>
      <c r="B28" s="304">
        <f>SUMIFS(Camplist_HH,Camplist_Township,'NFI Distribution (by Tship)'!$A28,Camplist_Type_Of_Acc,"Camp")</f>
        <v>166</v>
      </c>
      <c r="C28" s="304">
        <f>SUMIFS(Camplist_Popl,Camplist_Township,'NFI Distribution (by Tship)'!$A28,Camplist_Type_Of_Acc,"Camp")</f>
        <v>1232</v>
      </c>
      <c r="D28" s="24">
        <f t="shared" si="0"/>
        <v>25</v>
      </c>
      <c r="E28" s="24">
        <f t="shared" si="1"/>
        <v>8</v>
      </c>
      <c r="F28" s="24">
        <f t="shared" si="2"/>
        <v>66</v>
      </c>
      <c r="G28" s="24">
        <f t="shared" si="3"/>
        <v>34</v>
      </c>
      <c r="H28" s="24">
        <f t="shared" si="4"/>
        <v>0</v>
      </c>
      <c r="I28" s="24">
        <f t="shared" si="5"/>
        <v>6</v>
      </c>
      <c r="J28" s="24">
        <f t="shared" si="6"/>
        <v>260</v>
      </c>
      <c r="K28" s="24">
        <f t="shared" si="7"/>
        <v>0</v>
      </c>
      <c r="L28" s="24">
        <f t="shared" si="8"/>
        <v>0</v>
      </c>
      <c r="M28" s="24">
        <f t="shared" si="9"/>
        <v>0</v>
      </c>
      <c r="N28" s="306">
        <f t="shared" si="10"/>
        <v>0</v>
      </c>
    </row>
    <row r="29" spans="1:14" x14ac:dyDescent="0.25">
      <c r="A29" s="305" t="s">
        <v>310</v>
      </c>
      <c r="B29" s="304">
        <f>SUMIFS(Camplist_HH,Camplist_Township,'NFI Distribution (by Tship)'!$A29,Camplist_Type_Of_Acc,"Camp")</f>
        <v>6296</v>
      </c>
      <c r="C29" s="304">
        <f>SUMIFS(Camplist_Popl,Camplist_Township,'NFI Distribution (by Tship)'!$A29,Camplist_Type_Of_Acc,"Camp")</f>
        <v>31755</v>
      </c>
      <c r="D29" s="24">
        <f t="shared" si="0"/>
        <v>0</v>
      </c>
      <c r="E29" s="24">
        <f t="shared" si="1"/>
        <v>0</v>
      </c>
      <c r="F29" s="24">
        <f t="shared" si="2"/>
        <v>670</v>
      </c>
      <c r="G29" s="24">
        <f t="shared" si="3"/>
        <v>0</v>
      </c>
      <c r="H29" s="24">
        <f t="shared" si="4"/>
        <v>0</v>
      </c>
      <c r="I29" s="24">
        <f t="shared" si="5"/>
        <v>345</v>
      </c>
      <c r="J29" s="24">
        <f t="shared" si="6"/>
        <v>0</v>
      </c>
      <c r="K29" s="24">
        <f t="shared" si="7"/>
        <v>710</v>
      </c>
      <c r="L29" s="24">
        <f t="shared" si="8"/>
        <v>710</v>
      </c>
      <c r="M29" s="24">
        <f t="shared" si="9"/>
        <v>0</v>
      </c>
      <c r="N29" s="306">
        <f t="shared" si="10"/>
        <v>346</v>
      </c>
    </row>
    <row r="30" spans="1:14" ht="21" customHeight="1" thickBot="1" x14ac:dyDescent="0.3">
      <c r="A30" s="81" t="s">
        <v>3</v>
      </c>
      <c r="B30" s="82">
        <f t="shared" ref="B30:N30" si="11">SUM(B8:B29)</f>
        <v>17960</v>
      </c>
      <c r="C30" s="82">
        <f t="shared" si="11"/>
        <v>90548</v>
      </c>
      <c r="D30" s="82">
        <f t="shared" si="11"/>
        <v>1085</v>
      </c>
      <c r="E30" s="82">
        <f t="shared" si="11"/>
        <v>249</v>
      </c>
      <c r="F30" s="82">
        <f t="shared" si="11"/>
        <v>1590</v>
      </c>
      <c r="G30" s="82">
        <f t="shared" si="11"/>
        <v>251</v>
      </c>
      <c r="H30" s="82">
        <f t="shared" si="11"/>
        <v>7</v>
      </c>
      <c r="I30" s="82">
        <f t="shared" si="11"/>
        <v>541</v>
      </c>
      <c r="J30" s="307">
        <f t="shared" si="11"/>
        <v>1882.5</v>
      </c>
      <c r="K30" s="82">
        <f t="shared" si="11"/>
        <v>710</v>
      </c>
      <c r="L30" s="82">
        <f t="shared" si="11"/>
        <v>1475</v>
      </c>
      <c r="M30" s="82">
        <f t="shared" si="11"/>
        <v>0</v>
      </c>
      <c r="N30" s="83">
        <f t="shared" si="11"/>
        <v>434</v>
      </c>
    </row>
    <row r="31" spans="1:14" s="92" customFormat="1" ht="21" hidden="1" customHeight="1" x14ac:dyDescent="0.25">
      <c r="A31" s="111"/>
      <c r="B31" s="111"/>
      <c r="C31" s="111"/>
      <c r="D31" s="111"/>
      <c r="E31" s="111"/>
      <c r="F31" s="111"/>
      <c r="G31" s="111"/>
      <c r="H31" s="111"/>
      <c r="I31" s="111"/>
      <c r="J31" s="111"/>
      <c r="K31" s="111"/>
      <c r="L31" s="111"/>
      <c r="M31" s="111"/>
      <c r="N31" s="111"/>
    </row>
    <row r="32" spans="1:14" s="65" customFormat="1" ht="21" hidden="1" customHeight="1" thickBot="1" x14ac:dyDescent="0.3">
      <c r="A32"/>
      <c r="B32"/>
      <c r="C32"/>
      <c r="D32"/>
      <c r="E32"/>
      <c r="F32"/>
      <c r="G32"/>
      <c r="H32"/>
      <c r="I32"/>
      <c r="J32"/>
    </row>
    <row r="33" spans="1:15" s="65" customFormat="1" ht="21" hidden="1" customHeight="1" x14ac:dyDescent="0.25">
      <c r="A33" s="884" t="s">
        <v>0</v>
      </c>
      <c r="B33" s="886" t="s">
        <v>426</v>
      </c>
      <c r="C33" s="886" t="s">
        <v>427</v>
      </c>
      <c r="D33" s="882" t="s">
        <v>455</v>
      </c>
      <c r="E33" s="882"/>
      <c r="F33" s="882"/>
      <c r="G33" s="883"/>
      <c r="H33" s="93" t="s">
        <v>404</v>
      </c>
      <c r="I33" s="94"/>
      <c r="J33" s="94"/>
      <c r="K33" s="95"/>
      <c r="L33" s="881" t="s">
        <v>456</v>
      </c>
      <c r="M33" s="882"/>
      <c r="N33" s="882"/>
      <c r="O33" s="883"/>
    </row>
    <row r="34" spans="1:15" s="65" customFormat="1" ht="21" hidden="1" customHeight="1" x14ac:dyDescent="0.25">
      <c r="A34" s="885"/>
      <c r="B34" s="887"/>
      <c r="C34" s="887"/>
      <c r="D34" s="73" t="s">
        <v>437</v>
      </c>
      <c r="E34" s="74" t="s">
        <v>440</v>
      </c>
      <c r="F34" s="74" t="s">
        <v>410</v>
      </c>
      <c r="G34" s="11" t="s">
        <v>438</v>
      </c>
      <c r="H34" s="74" t="s">
        <v>437</v>
      </c>
      <c r="I34" s="74" t="s">
        <v>440</v>
      </c>
      <c r="J34" s="74" t="s">
        <v>410</v>
      </c>
      <c r="K34" s="11" t="s">
        <v>438</v>
      </c>
      <c r="L34" s="74" t="s">
        <v>437</v>
      </c>
      <c r="M34" s="74" t="s">
        <v>440</v>
      </c>
      <c r="N34" s="74" t="s">
        <v>410</v>
      </c>
      <c r="O34" s="11" t="s">
        <v>438</v>
      </c>
    </row>
    <row r="35" spans="1:15" s="65" customFormat="1" ht="21" hidden="1" customHeight="1" x14ac:dyDescent="0.25">
      <c r="A35" s="80" t="s">
        <v>5</v>
      </c>
      <c r="B35" s="8">
        <f>SUMIF(Camplist_Township,'NFI Distribution (by Tship)'!$A35,Camplist_HH)</f>
        <v>1484</v>
      </c>
      <c r="C35" s="8">
        <f>SUMIF(Camplist_Township,'NFI Distribution (by Tship)'!$A35,Camplist_Popl)</f>
        <v>8129</v>
      </c>
      <c r="D35" s="76">
        <f t="shared" ref="D35:D54" si="12">SUMIF(NFI_Township,$A35,NFI_Hygiene_Track)</f>
        <v>0</v>
      </c>
      <c r="E35" s="8">
        <f t="shared" ref="E35:E54" si="13">SUMIF(NFI_Pipeline_Township,$A35,NFI_Hygiene_Stock)</f>
        <v>0</v>
      </c>
      <c r="F35" s="8">
        <f t="shared" ref="F35:F54" si="14">SUMIF(NFI_Pipeline_Township,$A33,NFI_Hygiene_Pipeline)</f>
        <v>0</v>
      </c>
      <c r="G35" s="12">
        <f t="shared" ref="G35:G54" si="15">IF(B35-(D35+E35+F35)&lt;0,0,B35-(D35+E35+F35))</f>
        <v>1484</v>
      </c>
      <c r="H35" s="7">
        <f t="shared" ref="H35:H54" si="16">SUMIF(NFI_Township,$A35,NFI_Core_Track)</f>
        <v>0</v>
      </c>
      <c r="I35" s="7">
        <f t="shared" ref="I35:I54" si="17">SUMIF(NFI_Pipeline_Township,$A35,NFI_Core_Stock)</f>
        <v>141</v>
      </c>
      <c r="J35" s="7">
        <f t="shared" ref="J35:J54" si="18">SUMIF(NFI_Pipeline_Township,$A33,NFI_Core_Pipeline)</f>
        <v>0</v>
      </c>
      <c r="K35" s="14">
        <f t="shared" ref="K35:K54" si="19">IF(B35-(H35+I35+J35)&lt;0,0,B35-(H35+I35+J35))</f>
        <v>1343</v>
      </c>
      <c r="L35" s="7">
        <f t="shared" ref="L35:L54" si="20">SUMIF(NFI_Township,$A35,NFI_Sanitary_Track)</f>
        <v>1539</v>
      </c>
      <c r="M35" s="7">
        <f t="shared" ref="M35:M54" si="21">SUMIF(NFI_Pipeline_Township,$A35,NFI_Sanitary_Stock)</f>
        <v>0</v>
      </c>
      <c r="N35" s="7">
        <f t="shared" ref="N35:N54" si="22">SUMIF(NFI_Pipeline_Township,$A33,NFI_Sanitary_Pipeline)</f>
        <v>0</v>
      </c>
      <c r="O35" s="14">
        <f t="shared" ref="O35:O54" si="23">IF(B35-(L35+M35+N35)&lt;0,0,B35-(L35+M35+N35))</f>
        <v>0</v>
      </c>
    </row>
    <row r="36" spans="1:15" s="65" customFormat="1" ht="21" hidden="1" customHeight="1" x14ac:dyDescent="0.25">
      <c r="A36" s="80" t="s">
        <v>27</v>
      </c>
      <c r="B36" s="8">
        <f>SUMIF(Camplist_Township,'NFI Distribution (by Tship)'!$A36,Camplist_HH)</f>
        <v>501</v>
      </c>
      <c r="C36" s="8">
        <f>SUMIF(Camplist_Township,'NFI Distribution (by Tship)'!$A36,Camplist_Popl)</f>
        <v>2628</v>
      </c>
      <c r="D36" s="76">
        <f t="shared" si="12"/>
        <v>0</v>
      </c>
      <c r="E36" s="8">
        <f t="shared" si="13"/>
        <v>0</v>
      </c>
      <c r="F36" s="8">
        <f t="shared" si="14"/>
        <v>0</v>
      </c>
      <c r="G36" s="12">
        <f t="shared" si="15"/>
        <v>501</v>
      </c>
      <c r="H36" s="7">
        <f t="shared" si="16"/>
        <v>0</v>
      </c>
      <c r="I36" s="7">
        <f t="shared" si="17"/>
        <v>0</v>
      </c>
      <c r="J36" s="7">
        <f t="shared" si="18"/>
        <v>0</v>
      </c>
      <c r="K36" s="14">
        <f t="shared" si="19"/>
        <v>501</v>
      </c>
      <c r="L36" s="7">
        <f t="shared" si="20"/>
        <v>0</v>
      </c>
      <c r="M36" s="7">
        <f t="shared" si="21"/>
        <v>0</v>
      </c>
      <c r="N36" s="7">
        <f t="shared" si="22"/>
        <v>0</v>
      </c>
      <c r="O36" s="14">
        <f t="shared" si="23"/>
        <v>501</v>
      </c>
    </row>
    <row r="37" spans="1:15" s="65" customFormat="1" ht="21" hidden="1" customHeight="1" x14ac:dyDescent="0.25">
      <c r="A37" s="80" t="s">
        <v>527</v>
      </c>
      <c r="B37" s="8">
        <f>SUMIF(Camplist_Township,'NFI Distribution (by Tship)'!$A37,Camplist_HH)</f>
        <v>802</v>
      </c>
      <c r="C37" s="8">
        <f>SUMIF(Camplist_Township,'NFI Distribution (by Tship)'!$A37,Camplist_Popl)</f>
        <v>3766</v>
      </c>
      <c r="D37" s="76">
        <f t="shared" si="12"/>
        <v>165</v>
      </c>
      <c r="E37" s="8">
        <f t="shared" si="13"/>
        <v>0</v>
      </c>
      <c r="F37" s="8">
        <f t="shared" si="14"/>
        <v>0</v>
      </c>
      <c r="G37" s="12">
        <f t="shared" si="15"/>
        <v>637</v>
      </c>
      <c r="H37" s="7">
        <f t="shared" si="16"/>
        <v>243</v>
      </c>
      <c r="I37" s="7">
        <f t="shared" si="17"/>
        <v>0</v>
      </c>
      <c r="J37" s="7">
        <f t="shared" si="18"/>
        <v>0</v>
      </c>
      <c r="K37" s="14">
        <f t="shared" si="19"/>
        <v>559</v>
      </c>
      <c r="L37" s="7">
        <f t="shared" si="20"/>
        <v>81</v>
      </c>
      <c r="M37" s="7">
        <f t="shared" si="21"/>
        <v>0</v>
      </c>
      <c r="N37" s="7">
        <f t="shared" si="22"/>
        <v>0</v>
      </c>
      <c r="O37" s="14">
        <f t="shared" si="23"/>
        <v>721</v>
      </c>
    </row>
    <row r="38" spans="1:15" s="65" customFormat="1" ht="21" hidden="1" customHeight="1" x14ac:dyDescent="0.25">
      <c r="A38" s="80" t="s">
        <v>779</v>
      </c>
      <c r="B38" s="8">
        <f>SUMIF(Camplist_Township,'NFI Distribution (by Tship)'!$A38,Camplist_HH)</f>
        <v>125</v>
      </c>
      <c r="C38" s="8">
        <f>SUMIF(Camplist_Township,'NFI Distribution (by Tship)'!$A38,Camplist_Popl)</f>
        <v>672</v>
      </c>
      <c r="D38" s="76">
        <f t="shared" si="12"/>
        <v>0</v>
      </c>
      <c r="E38" s="8">
        <f t="shared" si="13"/>
        <v>0</v>
      </c>
      <c r="F38" s="8">
        <f t="shared" si="14"/>
        <v>0</v>
      </c>
      <c r="G38" s="12">
        <f t="shared" si="15"/>
        <v>125</v>
      </c>
      <c r="H38" s="7">
        <f t="shared" si="16"/>
        <v>0</v>
      </c>
      <c r="I38" s="7">
        <f t="shared" si="17"/>
        <v>0</v>
      </c>
      <c r="J38" s="7">
        <f t="shared" si="18"/>
        <v>0</v>
      </c>
      <c r="K38" s="14">
        <f t="shared" si="19"/>
        <v>125</v>
      </c>
      <c r="L38" s="7">
        <f t="shared" si="20"/>
        <v>0</v>
      </c>
      <c r="M38" s="7">
        <f t="shared" si="21"/>
        <v>0</v>
      </c>
      <c r="N38" s="7">
        <f t="shared" si="22"/>
        <v>0</v>
      </c>
      <c r="O38" s="14">
        <f t="shared" si="23"/>
        <v>125</v>
      </c>
    </row>
    <row r="39" spans="1:15" s="65" customFormat="1" ht="21" hidden="1" customHeight="1" x14ac:dyDescent="0.25">
      <c r="A39" s="80" t="s">
        <v>363</v>
      </c>
      <c r="B39" s="8">
        <f>SUMIF(Camplist_Township,'NFI Distribution (by Tship)'!$A39,Camplist_HH)</f>
        <v>0</v>
      </c>
      <c r="C39" s="8">
        <f>SUMIF(Camplist_Township,'NFI Distribution (by Tship)'!$A39,Camplist_Popl)</f>
        <v>0</v>
      </c>
      <c r="D39" s="76">
        <f t="shared" si="12"/>
        <v>0</v>
      </c>
      <c r="E39" s="8">
        <f t="shared" si="13"/>
        <v>0</v>
      </c>
      <c r="F39" s="8">
        <f t="shared" si="14"/>
        <v>0</v>
      </c>
      <c r="G39" s="12">
        <f t="shared" si="15"/>
        <v>0</v>
      </c>
      <c r="H39" s="7">
        <f t="shared" si="16"/>
        <v>0</v>
      </c>
      <c r="I39" s="7">
        <f t="shared" si="17"/>
        <v>0</v>
      </c>
      <c r="J39" s="7">
        <f t="shared" si="18"/>
        <v>0</v>
      </c>
      <c r="K39" s="14">
        <f t="shared" si="19"/>
        <v>0</v>
      </c>
      <c r="L39" s="7">
        <f t="shared" si="20"/>
        <v>0</v>
      </c>
      <c r="M39" s="7">
        <f t="shared" si="21"/>
        <v>0</v>
      </c>
      <c r="N39" s="7">
        <f t="shared" si="22"/>
        <v>0</v>
      </c>
      <c r="O39" s="14">
        <f t="shared" si="23"/>
        <v>0</v>
      </c>
    </row>
    <row r="40" spans="1:15" s="65" customFormat="1" ht="21" hidden="1" customHeight="1" x14ac:dyDescent="0.25">
      <c r="A40" s="80" t="s">
        <v>144</v>
      </c>
      <c r="B40" s="8">
        <f>SUMIF(Camplist_Township,'NFI Distribution (by Tship)'!$A40,Camplist_HH)</f>
        <v>0</v>
      </c>
      <c r="C40" s="8">
        <f>SUMIF(Camplist_Township,'NFI Distribution (by Tship)'!$A40,Camplist_Popl)</f>
        <v>0</v>
      </c>
      <c r="D40" s="76">
        <f t="shared" si="12"/>
        <v>0</v>
      </c>
      <c r="E40" s="8">
        <f t="shared" si="13"/>
        <v>0</v>
      </c>
      <c r="F40" s="8">
        <f t="shared" si="14"/>
        <v>0</v>
      </c>
      <c r="G40" s="12">
        <f t="shared" si="15"/>
        <v>0</v>
      </c>
      <c r="H40" s="7">
        <f t="shared" si="16"/>
        <v>0</v>
      </c>
      <c r="I40" s="7">
        <f t="shared" si="17"/>
        <v>0</v>
      </c>
      <c r="J40" s="7">
        <f t="shared" si="18"/>
        <v>0</v>
      </c>
      <c r="K40" s="14">
        <f t="shared" si="19"/>
        <v>0</v>
      </c>
      <c r="L40" s="7">
        <f t="shared" si="20"/>
        <v>0</v>
      </c>
      <c r="M40" s="7">
        <f t="shared" si="21"/>
        <v>0</v>
      </c>
      <c r="N40" s="7">
        <f t="shared" si="22"/>
        <v>0</v>
      </c>
      <c r="O40" s="14">
        <f t="shared" si="23"/>
        <v>0</v>
      </c>
    </row>
    <row r="41" spans="1:15" s="65" customFormat="1" ht="21" hidden="1" customHeight="1" x14ac:dyDescent="0.25">
      <c r="A41" s="80" t="s">
        <v>146</v>
      </c>
      <c r="B41" s="8">
        <f>SUMIF(Camplist_Township,'NFI Distribution (by Tship)'!$A41,Camplist_HH)</f>
        <v>1030</v>
      </c>
      <c r="C41" s="8">
        <f>SUMIF(Camplist_Township,'NFI Distribution (by Tship)'!$A41,Camplist_Popl)</f>
        <v>5032</v>
      </c>
      <c r="D41" s="76">
        <f t="shared" si="12"/>
        <v>0</v>
      </c>
      <c r="E41" s="8">
        <f t="shared" si="13"/>
        <v>0</v>
      </c>
      <c r="F41" s="8">
        <f t="shared" si="14"/>
        <v>0</v>
      </c>
      <c r="G41" s="12">
        <f t="shared" si="15"/>
        <v>1030</v>
      </c>
      <c r="H41" s="7">
        <f t="shared" si="16"/>
        <v>0</v>
      </c>
      <c r="I41" s="7">
        <f t="shared" si="17"/>
        <v>0</v>
      </c>
      <c r="J41" s="7">
        <f t="shared" si="18"/>
        <v>0</v>
      </c>
      <c r="K41" s="14">
        <f t="shared" si="19"/>
        <v>1030</v>
      </c>
      <c r="L41" s="7">
        <f t="shared" si="20"/>
        <v>0</v>
      </c>
      <c r="M41" s="7">
        <f t="shared" si="21"/>
        <v>0</v>
      </c>
      <c r="N41" s="7">
        <f t="shared" si="22"/>
        <v>0</v>
      </c>
      <c r="O41" s="14">
        <f t="shared" si="23"/>
        <v>1030</v>
      </c>
    </row>
    <row r="42" spans="1:15" s="65" customFormat="1" ht="21" hidden="1" customHeight="1" x14ac:dyDescent="0.25">
      <c r="A42" s="80" t="s">
        <v>151</v>
      </c>
      <c r="B42" s="8">
        <f>SUMIF(Camplist_Township,'NFI Distribution (by Tship)'!$A42,Camplist_HH)</f>
        <v>2721</v>
      </c>
      <c r="C42" s="8">
        <f>SUMIF(Camplist_Township,'NFI Distribution (by Tship)'!$A42,Camplist_Popl)</f>
        <v>12543</v>
      </c>
      <c r="D42" s="76">
        <f t="shared" si="12"/>
        <v>25</v>
      </c>
      <c r="E42" s="8">
        <f t="shared" si="13"/>
        <v>0</v>
      </c>
      <c r="F42" s="8">
        <f t="shared" si="14"/>
        <v>0</v>
      </c>
      <c r="G42" s="12">
        <f t="shared" si="15"/>
        <v>2696</v>
      </c>
      <c r="H42" s="7">
        <f t="shared" si="16"/>
        <v>25</v>
      </c>
      <c r="I42" s="7">
        <f t="shared" si="17"/>
        <v>0</v>
      </c>
      <c r="J42" s="7">
        <f t="shared" si="18"/>
        <v>0</v>
      </c>
      <c r="K42" s="14">
        <f t="shared" si="19"/>
        <v>2696</v>
      </c>
      <c r="L42" s="7">
        <f t="shared" si="20"/>
        <v>0</v>
      </c>
      <c r="M42" s="7">
        <f t="shared" si="21"/>
        <v>0</v>
      </c>
      <c r="N42" s="7">
        <f t="shared" si="22"/>
        <v>0</v>
      </c>
      <c r="O42" s="14">
        <f t="shared" si="23"/>
        <v>2721</v>
      </c>
    </row>
    <row r="43" spans="1:15" s="65" customFormat="1" ht="21" hidden="1" customHeight="1" x14ac:dyDescent="0.25">
      <c r="A43" s="80" t="s">
        <v>166</v>
      </c>
      <c r="B43" s="8">
        <f>SUMIF(Camplist_Township,'NFI Distribution (by Tship)'!$A43,Camplist_HH)</f>
        <v>101</v>
      </c>
      <c r="C43" s="8">
        <f>SUMIF(Camplist_Township,'NFI Distribution (by Tship)'!$A43,Camplist_Popl)</f>
        <v>539</v>
      </c>
      <c r="D43" s="76">
        <f t="shared" si="12"/>
        <v>0</v>
      </c>
      <c r="E43" s="8">
        <f t="shared" si="13"/>
        <v>0</v>
      </c>
      <c r="F43" s="8">
        <f t="shared" si="14"/>
        <v>0</v>
      </c>
      <c r="G43" s="12">
        <f t="shared" si="15"/>
        <v>101</v>
      </c>
      <c r="H43" s="7">
        <f t="shared" si="16"/>
        <v>0</v>
      </c>
      <c r="I43" s="7">
        <f t="shared" si="17"/>
        <v>0</v>
      </c>
      <c r="J43" s="7">
        <f t="shared" si="18"/>
        <v>0</v>
      </c>
      <c r="K43" s="14">
        <f t="shared" si="19"/>
        <v>101</v>
      </c>
      <c r="L43" s="7">
        <f t="shared" si="20"/>
        <v>0</v>
      </c>
      <c r="M43" s="7">
        <f t="shared" si="21"/>
        <v>0</v>
      </c>
      <c r="N43" s="7">
        <f t="shared" si="22"/>
        <v>0</v>
      </c>
      <c r="O43" s="14">
        <f t="shared" si="23"/>
        <v>101</v>
      </c>
    </row>
    <row r="44" spans="1:15" s="65" customFormat="1" ht="21" hidden="1" customHeight="1" x14ac:dyDescent="0.25">
      <c r="A44" s="80" t="s">
        <v>173</v>
      </c>
      <c r="B44" s="8">
        <f>SUMIF(Camplist_Township,'NFI Distribution (by Tship)'!$A44,Camplist_HH)</f>
        <v>94</v>
      </c>
      <c r="C44" s="8">
        <f>SUMIF(Camplist_Township,'NFI Distribution (by Tship)'!$A44,Camplist_Popl)</f>
        <v>404</v>
      </c>
      <c r="D44" s="76">
        <f t="shared" si="12"/>
        <v>0</v>
      </c>
      <c r="E44" s="8">
        <f t="shared" si="13"/>
        <v>0</v>
      </c>
      <c r="F44" s="8">
        <f t="shared" si="14"/>
        <v>0</v>
      </c>
      <c r="G44" s="12">
        <f t="shared" si="15"/>
        <v>94</v>
      </c>
      <c r="H44" s="7">
        <f t="shared" si="16"/>
        <v>7</v>
      </c>
      <c r="I44" s="7">
        <f t="shared" si="17"/>
        <v>0</v>
      </c>
      <c r="J44" s="7">
        <f t="shared" si="18"/>
        <v>0</v>
      </c>
      <c r="K44" s="14">
        <f t="shared" si="19"/>
        <v>87</v>
      </c>
      <c r="L44" s="7">
        <f t="shared" si="20"/>
        <v>7</v>
      </c>
      <c r="M44" s="7">
        <f t="shared" si="21"/>
        <v>0</v>
      </c>
      <c r="N44" s="7">
        <f t="shared" si="22"/>
        <v>0</v>
      </c>
      <c r="O44" s="14">
        <f t="shared" si="23"/>
        <v>87</v>
      </c>
    </row>
    <row r="45" spans="1:15" s="65" customFormat="1" ht="21" hidden="1" customHeight="1" x14ac:dyDescent="0.25">
      <c r="A45" s="80" t="s">
        <v>180</v>
      </c>
      <c r="B45" s="8">
        <f>SUMIF(Camplist_Township,'NFI Distribution (by Tship)'!$A45,Camplist_HH)</f>
        <v>72</v>
      </c>
      <c r="C45" s="8">
        <f>SUMIF(Camplist_Township,'NFI Distribution (by Tship)'!$A45,Camplist_Popl)</f>
        <v>331</v>
      </c>
      <c r="D45" s="76">
        <f t="shared" si="12"/>
        <v>0</v>
      </c>
      <c r="E45" s="8">
        <f t="shared" si="13"/>
        <v>0</v>
      </c>
      <c r="F45" s="8">
        <f t="shared" si="14"/>
        <v>0</v>
      </c>
      <c r="G45" s="12">
        <f t="shared" si="15"/>
        <v>72</v>
      </c>
      <c r="H45" s="7">
        <f t="shared" si="16"/>
        <v>0</v>
      </c>
      <c r="I45" s="7">
        <f t="shared" si="17"/>
        <v>0</v>
      </c>
      <c r="J45" s="7">
        <f t="shared" si="18"/>
        <v>0</v>
      </c>
      <c r="K45" s="14">
        <f t="shared" si="19"/>
        <v>72</v>
      </c>
      <c r="L45" s="7">
        <f t="shared" si="20"/>
        <v>0</v>
      </c>
      <c r="M45" s="7">
        <f t="shared" si="21"/>
        <v>0</v>
      </c>
      <c r="N45" s="7">
        <f t="shared" si="22"/>
        <v>0</v>
      </c>
      <c r="O45" s="14">
        <f t="shared" si="23"/>
        <v>72</v>
      </c>
    </row>
    <row r="46" spans="1:15" s="65" customFormat="1" ht="21" hidden="1" customHeight="1" x14ac:dyDescent="0.25">
      <c r="A46" s="80" t="s">
        <v>185</v>
      </c>
      <c r="B46" s="8">
        <f>SUMIF(Camplist_Township,'NFI Distribution (by Tship)'!$A46,Camplist_HH)</f>
        <v>3124</v>
      </c>
      <c r="C46" s="8">
        <f>SUMIF(Camplist_Township,'NFI Distribution (by Tship)'!$A46,Camplist_Popl)</f>
        <v>15683</v>
      </c>
      <c r="D46" s="76">
        <f t="shared" si="12"/>
        <v>0</v>
      </c>
      <c r="E46" s="8">
        <f t="shared" si="13"/>
        <v>0</v>
      </c>
      <c r="F46" s="8">
        <f t="shared" si="14"/>
        <v>0</v>
      </c>
      <c r="G46" s="12">
        <f t="shared" si="15"/>
        <v>3124</v>
      </c>
      <c r="H46" s="7">
        <f t="shared" si="16"/>
        <v>0</v>
      </c>
      <c r="I46" s="7">
        <f t="shared" si="17"/>
        <v>0</v>
      </c>
      <c r="J46" s="7">
        <f t="shared" si="18"/>
        <v>0</v>
      </c>
      <c r="K46" s="14">
        <f t="shared" si="19"/>
        <v>3124</v>
      </c>
      <c r="L46" s="7">
        <f t="shared" si="20"/>
        <v>2464</v>
      </c>
      <c r="M46" s="7">
        <f t="shared" si="21"/>
        <v>0</v>
      </c>
      <c r="N46" s="7">
        <f t="shared" si="22"/>
        <v>0</v>
      </c>
      <c r="O46" s="14">
        <f t="shared" si="23"/>
        <v>660</v>
      </c>
    </row>
    <row r="47" spans="1:15" s="65" customFormat="1" ht="21" hidden="1" customHeight="1" x14ac:dyDescent="0.25">
      <c r="A47" s="80" t="s">
        <v>230</v>
      </c>
      <c r="B47" s="8">
        <f>SUMIF(Camplist_Township,'NFI Distribution (by Tship)'!$A47,Camplist_HH)</f>
        <v>269</v>
      </c>
      <c r="C47" s="8">
        <f>SUMIF(Camplist_Township,'NFI Distribution (by Tship)'!$A47,Camplist_Popl)</f>
        <v>1851</v>
      </c>
      <c r="D47" s="76">
        <f t="shared" si="12"/>
        <v>0</v>
      </c>
      <c r="E47" s="8">
        <f t="shared" si="13"/>
        <v>0</v>
      </c>
      <c r="F47" s="8">
        <f t="shared" si="14"/>
        <v>0</v>
      </c>
      <c r="G47" s="12">
        <f t="shared" si="15"/>
        <v>269</v>
      </c>
      <c r="H47" s="7">
        <f t="shared" si="16"/>
        <v>0</v>
      </c>
      <c r="I47" s="7">
        <f t="shared" si="17"/>
        <v>156</v>
      </c>
      <c r="J47" s="7">
        <f t="shared" si="18"/>
        <v>0</v>
      </c>
      <c r="K47" s="14">
        <f t="shared" si="19"/>
        <v>113</v>
      </c>
      <c r="L47" s="7">
        <f t="shared" si="20"/>
        <v>0</v>
      </c>
      <c r="M47" s="7">
        <f t="shared" si="21"/>
        <v>0</v>
      </c>
      <c r="N47" s="7">
        <f t="shared" si="22"/>
        <v>0</v>
      </c>
      <c r="O47" s="14">
        <f t="shared" si="23"/>
        <v>269</v>
      </c>
    </row>
    <row r="48" spans="1:15" s="65" customFormat="1" ht="21" hidden="1" customHeight="1" x14ac:dyDescent="0.25">
      <c r="A48" s="80" t="s">
        <v>237</v>
      </c>
      <c r="B48" s="8">
        <f>SUMIF(Camplist_Township,'NFI Distribution (by Tship)'!$A48,Camplist_HH)</f>
        <v>1177</v>
      </c>
      <c r="C48" s="8">
        <f>SUMIF(Camplist_Township,'NFI Distribution (by Tship)'!$A48,Camplist_Popl)</f>
        <v>5923</v>
      </c>
      <c r="D48" s="76">
        <f t="shared" si="12"/>
        <v>0</v>
      </c>
      <c r="E48" s="8">
        <f t="shared" si="13"/>
        <v>0</v>
      </c>
      <c r="F48" s="8">
        <f t="shared" si="14"/>
        <v>0</v>
      </c>
      <c r="G48" s="12">
        <f t="shared" si="15"/>
        <v>1177</v>
      </c>
      <c r="H48" s="7">
        <f t="shared" si="16"/>
        <v>0</v>
      </c>
      <c r="I48" s="7">
        <f t="shared" si="17"/>
        <v>751</v>
      </c>
      <c r="J48" s="7">
        <f t="shared" si="18"/>
        <v>0</v>
      </c>
      <c r="K48" s="14">
        <f t="shared" si="19"/>
        <v>426</v>
      </c>
      <c r="L48" s="7">
        <f t="shared" si="20"/>
        <v>0</v>
      </c>
      <c r="M48" s="7">
        <f t="shared" si="21"/>
        <v>89</v>
      </c>
      <c r="N48" s="7">
        <f t="shared" si="22"/>
        <v>0</v>
      </c>
      <c r="O48" s="14">
        <f t="shared" si="23"/>
        <v>1088</v>
      </c>
    </row>
    <row r="49" spans="1:15" s="65" customFormat="1" ht="21" hidden="1" customHeight="1" x14ac:dyDescent="0.25">
      <c r="A49" s="80" t="s">
        <v>289</v>
      </c>
      <c r="B49" s="8">
        <f>SUMIF(Camplist_Township,'NFI Distribution (by Tship)'!$A49,Camplist_HH)</f>
        <v>605</v>
      </c>
      <c r="C49" s="8">
        <f>SUMIF(Camplist_Township,'NFI Distribution (by Tship)'!$A49,Camplist_Popl)</f>
        <v>2777</v>
      </c>
      <c r="D49" s="76">
        <f t="shared" si="12"/>
        <v>0</v>
      </c>
      <c r="E49" s="8">
        <f t="shared" si="13"/>
        <v>0</v>
      </c>
      <c r="F49" s="8">
        <f t="shared" si="14"/>
        <v>0</v>
      </c>
      <c r="G49" s="12">
        <f t="shared" si="15"/>
        <v>605</v>
      </c>
      <c r="H49" s="7">
        <f t="shared" si="16"/>
        <v>0</v>
      </c>
      <c r="I49" s="7">
        <f t="shared" si="17"/>
        <v>0</v>
      </c>
      <c r="J49" s="7">
        <f t="shared" si="18"/>
        <v>0</v>
      </c>
      <c r="K49" s="14">
        <f t="shared" si="19"/>
        <v>605</v>
      </c>
      <c r="L49" s="7">
        <f t="shared" si="20"/>
        <v>0</v>
      </c>
      <c r="M49" s="7">
        <f t="shared" si="21"/>
        <v>0</v>
      </c>
      <c r="N49" s="7">
        <f t="shared" si="22"/>
        <v>0</v>
      </c>
      <c r="O49" s="14">
        <f t="shared" si="23"/>
        <v>605</v>
      </c>
    </row>
    <row r="50" spans="1:15" s="65" customFormat="1" ht="21" hidden="1" customHeight="1" x14ac:dyDescent="0.25">
      <c r="A50" s="80" t="s">
        <v>298</v>
      </c>
      <c r="B50" s="8">
        <f>SUMIF(Camplist_Township,'NFI Distribution (by Tship)'!$A50,Camplist_HH)</f>
        <v>501</v>
      </c>
      <c r="C50" s="8">
        <f>SUMIF(Camplist_Township,'NFI Distribution (by Tship)'!$A50,Camplist_Popl)</f>
        <v>1978</v>
      </c>
      <c r="D50" s="76">
        <f t="shared" si="12"/>
        <v>0</v>
      </c>
      <c r="E50" s="8">
        <f t="shared" si="13"/>
        <v>0</v>
      </c>
      <c r="F50" s="8">
        <f t="shared" si="14"/>
        <v>0</v>
      </c>
      <c r="G50" s="12">
        <f t="shared" si="15"/>
        <v>501</v>
      </c>
      <c r="H50" s="7">
        <f t="shared" si="16"/>
        <v>0</v>
      </c>
      <c r="I50" s="7">
        <f t="shared" si="17"/>
        <v>0</v>
      </c>
      <c r="J50" s="7">
        <f t="shared" si="18"/>
        <v>0</v>
      </c>
      <c r="K50" s="14">
        <f t="shared" si="19"/>
        <v>501</v>
      </c>
      <c r="L50" s="7">
        <f t="shared" si="20"/>
        <v>0</v>
      </c>
      <c r="M50" s="7">
        <f t="shared" si="21"/>
        <v>0</v>
      </c>
      <c r="N50" s="7">
        <f t="shared" si="22"/>
        <v>0</v>
      </c>
      <c r="O50" s="14">
        <f t="shared" si="23"/>
        <v>501</v>
      </c>
    </row>
    <row r="51" spans="1:15" s="65" customFormat="1" ht="21" hidden="1" customHeight="1" x14ac:dyDescent="0.25">
      <c r="A51" s="80" t="s">
        <v>300</v>
      </c>
      <c r="B51" s="8">
        <f>SUMIF(Camplist_Township,'NFI Distribution (by Tship)'!$A51,Camplist_HH)</f>
        <v>83</v>
      </c>
      <c r="C51" s="8">
        <f>SUMIF(Camplist_Township,'NFI Distribution (by Tship)'!$A51,Camplist_Popl)</f>
        <v>388</v>
      </c>
      <c r="D51" s="76">
        <f t="shared" si="12"/>
        <v>0</v>
      </c>
      <c r="E51" s="8">
        <f t="shared" si="13"/>
        <v>0</v>
      </c>
      <c r="F51" s="8">
        <f t="shared" si="14"/>
        <v>0</v>
      </c>
      <c r="G51" s="12">
        <f t="shared" si="15"/>
        <v>83</v>
      </c>
      <c r="H51" s="7">
        <f t="shared" si="16"/>
        <v>0</v>
      </c>
      <c r="I51" s="7">
        <f t="shared" si="17"/>
        <v>0</v>
      </c>
      <c r="J51" s="7">
        <f t="shared" si="18"/>
        <v>0</v>
      </c>
      <c r="K51" s="14">
        <f t="shared" si="19"/>
        <v>83</v>
      </c>
      <c r="L51" s="7">
        <f t="shared" si="20"/>
        <v>0</v>
      </c>
      <c r="M51" s="7">
        <f t="shared" si="21"/>
        <v>0</v>
      </c>
      <c r="N51" s="7">
        <f t="shared" si="22"/>
        <v>0</v>
      </c>
      <c r="O51" s="14">
        <f t="shared" si="23"/>
        <v>83</v>
      </c>
    </row>
    <row r="52" spans="1:15" s="65" customFormat="1" ht="21" hidden="1" customHeight="1" x14ac:dyDescent="0.25">
      <c r="A52" s="80" t="s">
        <v>302</v>
      </c>
      <c r="B52" s="8">
        <f>SUMIF(Camplist_Township,'NFI Distribution (by Tship)'!$A52,Camplist_HH)</f>
        <v>510</v>
      </c>
      <c r="C52" s="8">
        <f>SUMIF(Camplist_Township,'NFI Distribution (by Tship)'!$A52,Camplist_Popl)</f>
        <v>2230</v>
      </c>
      <c r="D52" s="76">
        <f t="shared" si="12"/>
        <v>0</v>
      </c>
      <c r="E52" s="8">
        <f t="shared" si="13"/>
        <v>0</v>
      </c>
      <c r="F52" s="8">
        <f t="shared" si="14"/>
        <v>0</v>
      </c>
      <c r="G52" s="12">
        <f t="shared" si="15"/>
        <v>510</v>
      </c>
      <c r="H52" s="7">
        <f t="shared" si="16"/>
        <v>0</v>
      </c>
      <c r="I52" s="7">
        <f t="shared" si="17"/>
        <v>0</v>
      </c>
      <c r="J52" s="7">
        <f t="shared" si="18"/>
        <v>0</v>
      </c>
      <c r="K52" s="14">
        <f t="shared" si="19"/>
        <v>510</v>
      </c>
      <c r="L52" s="7">
        <f t="shared" si="20"/>
        <v>0</v>
      </c>
      <c r="M52" s="7">
        <f t="shared" si="21"/>
        <v>0</v>
      </c>
      <c r="N52" s="7">
        <f t="shared" si="22"/>
        <v>0</v>
      </c>
      <c r="O52" s="14">
        <f t="shared" si="23"/>
        <v>510</v>
      </c>
    </row>
    <row r="53" spans="1:15" s="65" customFormat="1" ht="21" hidden="1" customHeight="1" x14ac:dyDescent="0.25">
      <c r="A53" s="80" t="s">
        <v>808</v>
      </c>
      <c r="B53" s="8">
        <f>SUMIF(Camplist_Township,'NFI Distribution (by Tship)'!$A53,Camplist_HH)</f>
        <v>166</v>
      </c>
      <c r="C53" s="8">
        <f>SUMIF(Camplist_Township,'NFI Distribution (by Tship)'!$A53,Camplist_Popl)</f>
        <v>1232</v>
      </c>
      <c r="D53" s="76">
        <f t="shared" si="12"/>
        <v>0</v>
      </c>
      <c r="E53" s="8">
        <f t="shared" si="13"/>
        <v>0</v>
      </c>
      <c r="F53" s="8">
        <f t="shared" si="14"/>
        <v>0</v>
      </c>
      <c r="G53" s="12">
        <f t="shared" si="15"/>
        <v>166</v>
      </c>
      <c r="H53" s="7">
        <f t="shared" si="16"/>
        <v>0</v>
      </c>
      <c r="I53" s="7">
        <f t="shared" si="17"/>
        <v>0</v>
      </c>
      <c r="J53" s="7">
        <f t="shared" si="18"/>
        <v>0</v>
      </c>
      <c r="K53" s="14">
        <f t="shared" si="19"/>
        <v>166</v>
      </c>
      <c r="L53" s="7">
        <f t="shared" si="20"/>
        <v>0</v>
      </c>
      <c r="M53" s="7">
        <f t="shared" si="21"/>
        <v>0</v>
      </c>
      <c r="N53" s="7">
        <f t="shared" si="22"/>
        <v>0</v>
      </c>
      <c r="O53" s="14">
        <f t="shared" si="23"/>
        <v>166</v>
      </c>
    </row>
    <row r="54" spans="1:15" s="65" customFormat="1" ht="21" hidden="1" customHeight="1" x14ac:dyDescent="0.25">
      <c r="A54" s="80" t="s">
        <v>310</v>
      </c>
      <c r="B54" s="8">
        <f>SUMIF(Camplist_Township,'NFI Distribution (by Tship)'!$A54,Camplist_HH)</f>
        <v>6651</v>
      </c>
      <c r="C54" s="8">
        <f>SUMIF(Camplist_Township,'NFI Distribution (by Tship)'!$A54,Camplist_Popl)</f>
        <v>37252</v>
      </c>
      <c r="D54" s="76">
        <f t="shared" si="12"/>
        <v>0</v>
      </c>
      <c r="E54" s="8">
        <f t="shared" si="13"/>
        <v>0</v>
      </c>
      <c r="F54" s="8">
        <f t="shared" si="14"/>
        <v>0</v>
      </c>
      <c r="G54" s="12">
        <f t="shared" si="15"/>
        <v>6651</v>
      </c>
      <c r="H54" s="7">
        <f t="shared" si="16"/>
        <v>0</v>
      </c>
      <c r="I54" s="7">
        <f t="shared" si="17"/>
        <v>0</v>
      </c>
      <c r="J54" s="7">
        <f t="shared" si="18"/>
        <v>0</v>
      </c>
      <c r="K54" s="14">
        <f t="shared" si="19"/>
        <v>6651</v>
      </c>
      <c r="L54" s="7">
        <f t="shared" si="20"/>
        <v>0</v>
      </c>
      <c r="M54" s="7">
        <f t="shared" si="21"/>
        <v>0</v>
      </c>
      <c r="N54" s="7">
        <f t="shared" si="22"/>
        <v>0</v>
      </c>
      <c r="O54" s="14">
        <f t="shared" si="23"/>
        <v>6651</v>
      </c>
    </row>
    <row r="55" spans="1:15" ht="21" hidden="1" customHeight="1" thickBot="1" x14ac:dyDescent="0.3">
      <c r="A55" s="81" t="s">
        <v>3</v>
      </c>
      <c r="B55" s="82">
        <f t="shared" ref="B55:J55" si="24">SUM(B35:B54)</f>
        <v>20016</v>
      </c>
      <c r="C55" s="82">
        <f t="shared" si="24"/>
        <v>103358</v>
      </c>
      <c r="D55" s="77">
        <f t="shared" si="24"/>
        <v>190</v>
      </c>
      <c r="E55" s="9">
        <f t="shared" si="24"/>
        <v>0</v>
      </c>
      <c r="F55" s="9">
        <f t="shared" si="24"/>
        <v>0</v>
      </c>
      <c r="G55" s="13">
        <f t="shared" si="24"/>
        <v>19826</v>
      </c>
      <c r="H55" s="9">
        <f t="shared" si="24"/>
        <v>275</v>
      </c>
      <c r="I55" s="9">
        <f t="shared" si="24"/>
        <v>1048</v>
      </c>
      <c r="J55" s="9">
        <f t="shared" si="24"/>
        <v>0</v>
      </c>
      <c r="K55" s="13">
        <f>SUM(K35:K54)</f>
        <v>18693</v>
      </c>
      <c r="L55" s="9">
        <f>SUM(L35:L54)</f>
        <v>4091</v>
      </c>
      <c r="M55" s="9">
        <f>SUM(M35:M54)</f>
        <v>89</v>
      </c>
      <c r="N55" s="9">
        <f>SUM(N35:N54)</f>
        <v>0</v>
      </c>
      <c r="O55" s="26">
        <f>SUM(O35:O54)</f>
        <v>15891</v>
      </c>
    </row>
    <row r="56" spans="1:15" ht="21" customHeight="1" x14ac:dyDescent="0.25"/>
    <row r="57" spans="1:15" ht="17.25" hidden="1" customHeight="1" x14ac:dyDescent="0.25">
      <c r="I57" s="27"/>
    </row>
    <row r="58" spans="1:15" hidden="1" x14ac:dyDescent="0.25">
      <c r="I58" s="27"/>
    </row>
    <row r="60" spans="1:15" x14ac:dyDescent="0.25">
      <c r="A60" s="276" t="s">
        <v>498</v>
      </c>
      <c r="B60" s="18" t="s">
        <v>500</v>
      </c>
    </row>
    <row r="61" spans="1:15" x14ac:dyDescent="0.25">
      <c r="A61" s="276" t="s">
        <v>1135</v>
      </c>
      <c r="B61" s="18" t="s">
        <v>1122</v>
      </c>
      <c r="C61" s="27"/>
      <c r="D61" s="27"/>
      <c r="E61" s="27"/>
      <c r="F61" s="27"/>
      <c r="G61" s="27"/>
      <c r="H61" s="27"/>
    </row>
    <row r="62" spans="1:15" x14ac:dyDescent="0.25">
      <c r="A62" s="27"/>
      <c r="B62" s="27"/>
      <c r="C62" s="27"/>
      <c r="D62" s="27"/>
      <c r="E62" s="27"/>
      <c r="F62" s="27"/>
      <c r="G62" s="27"/>
      <c r="H62" s="27"/>
    </row>
    <row r="63" spans="1:15" x14ac:dyDescent="0.25">
      <c r="A63" s="276" t="s">
        <v>414</v>
      </c>
      <c r="B63" s="18" t="s">
        <v>1225</v>
      </c>
      <c r="C63" s="18" t="s">
        <v>457</v>
      </c>
      <c r="D63" s="18" t="s">
        <v>435</v>
      </c>
      <c r="E63" s="18" t="s">
        <v>436</v>
      </c>
      <c r="F63" s="18" t="s">
        <v>1226</v>
      </c>
      <c r="G63" s="18" t="s">
        <v>1227</v>
      </c>
    </row>
    <row r="64" spans="1:15" s="92" customFormat="1" x14ac:dyDescent="0.25">
      <c r="A64" s="275" t="s">
        <v>905</v>
      </c>
      <c r="B64" s="410"/>
      <c r="C64" s="410"/>
      <c r="D64" s="410"/>
      <c r="E64" s="410"/>
      <c r="F64" s="410"/>
      <c r="G64" s="410"/>
      <c r="H64"/>
      <c r="I64"/>
      <c r="J64"/>
      <c r="K64"/>
      <c r="L64"/>
    </row>
    <row r="65" spans="1:12" s="92" customFormat="1" x14ac:dyDescent="0.25">
      <c r="A65" s="275" t="s">
        <v>452</v>
      </c>
      <c r="B65" s="410">
        <v>966</v>
      </c>
      <c r="C65" s="410">
        <v>525</v>
      </c>
      <c r="D65" s="410">
        <v>1104</v>
      </c>
      <c r="E65" s="410">
        <v>287</v>
      </c>
      <c r="F65" s="410">
        <v>325</v>
      </c>
      <c r="G65" s="410">
        <v>1272</v>
      </c>
      <c r="H65"/>
    </row>
    <row r="66" spans="1:12" s="92" customFormat="1" x14ac:dyDescent="0.25">
      <c r="A66" s="275" t="s">
        <v>415</v>
      </c>
      <c r="B66" s="410">
        <v>966</v>
      </c>
      <c r="C66" s="410">
        <v>525</v>
      </c>
      <c r="D66" s="410">
        <v>1104</v>
      </c>
      <c r="E66" s="410">
        <v>287</v>
      </c>
      <c r="F66" s="410">
        <v>325</v>
      </c>
      <c r="G66" s="410">
        <v>1272</v>
      </c>
      <c r="H66"/>
    </row>
    <row r="67" spans="1:12" s="92" customFormat="1" x14ac:dyDescent="0.25">
      <c r="A67"/>
      <c r="B67"/>
      <c r="C67"/>
      <c r="D67"/>
      <c r="E67"/>
      <c r="F67"/>
      <c r="G67"/>
      <c r="H67"/>
    </row>
    <row r="68" spans="1:12" s="92" customFormat="1" x14ac:dyDescent="0.25">
      <c r="A68"/>
      <c r="B68"/>
      <c r="C68"/>
      <c r="D68"/>
      <c r="E68"/>
      <c r="F68"/>
      <c r="G68"/>
      <c r="H68"/>
    </row>
    <row r="69" spans="1:12" s="92" customFormat="1" x14ac:dyDescent="0.25">
      <c r="A69" s="276" t="s">
        <v>498</v>
      </c>
      <c r="B69" s="18" t="s">
        <v>500</v>
      </c>
      <c r="C69"/>
      <c r="D69"/>
      <c r="E69"/>
      <c r="F69"/>
      <c r="G69"/>
      <c r="H69"/>
    </row>
    <row r="70" spans="1:12" s="92" customFormat="1" x14ac:dyDescent="0.25">
      <c r="A70" s="276" t="s">
        <v>1080</v>
      </c>
      <c r="B70" s="18" t="s">
        <v>1077</v>
      </c>
      <c r="E70"/>
      <c r="F70"/>
      <c r="G70"/>
    </row>
    <row r="71" spans="1:12" x14ac:dyDescent="0.25">
      <c r="A71" s="276" t="s">
        <v>1151</v>
      </c>
      <c r="B71" s="275">
        <v>1</v>
      </c>
      <c r="C71" s="92"/>
      <c r="D71" s="92"/>
      <c r="H71" s="92"/>
    </row>
    <row r="72" spans="1:12" x14ac:dyDescent="0.25">
      <c r="A72" s="92"/>
      <c r="B72" s="92"/>
      <c r="C72" s="92"/>
      <c r="D72" s="92"/>
      <c r="H72" s="92"/>
    </row>
    <row r="73" spans="1:12" s="101" customFormat="1" ht="45" x14ac:dyDescent="0.25">
      <c r="A73" s="308" t="s">
        <v>414</v>
      </c>
      <c r="B73" s="309" t="s">
        <v>999</v>
      </c>
      <c r="C73" s="309" t="s">
        <v>1000</v>
      </c>
      <c r="D73" s="309" t="s">
        <v>1224</v>
      </c>
    </row>
    <row r="74" spans="1:12" x14ac:dyDescent="0.25">
      <c r="A74" s="275" t="s">
        <v>1104</v>
      </c>
      <c r="B74" s="410"/>
      <c r="C74" s="410"/>
      <c r="D74" s="410">
        <v>684</v>
      </c>
    </row>
    <row r="75" spans="1:12" x14ac:dyDescent="0.25">
      <c r="A75" s="275" t="s">
        <v>453</v>
      </c>
      <c r="B75" s="410">
        <v>944</v>
      </c>
      <c r="C75" s="410">
        <v>553</v>
      </c>
      <c r="D75" s="410"/>
    </row>
    <row r="76" spans="1:12" x14ac:dyDescent="0.25">
      <c r="A76" s="275" t="s">
        <v>1094</v>
      </c>
      <c r="B76" s="410">
        <v>941</v>
      </c>
      <c r="C76" s="410">
        <v>619</v>
      </c>
      <c r="D76" s="410">
        <v>549</v>
      </c>
    </row>
    <row r="77" spans="1:12" x14ac:dyDescent="0.25">
      <c r="A77" s="275" t="s">
        <v>1036</v>
      </c>
      <c r="B77" s="410"/>
      <c r="C77" s="410">
        <v>1333</v>
      </c>
      <c r="D77" s="410"/>
      <c r="L77" s="3"/>
    </row>
    <row r="78" spans="1:12" x14ac:dyDescent="0.25">
      <c r="A78" s="275" t="s">
        <v>905</v>
      </c>
      <c r="B78" s="410">
        <v>1155</v>
      </c>
      <c r="C78" s="410">
        <v>2263</v>
      </c>
      <c r="D78" s="410">
        <v>3418</v>
      </c>
    </row>
    <row r="79" spans="1:12" x14ac:dyDescent="0.25">
      <c r="A79" s="275" t="s">
        <v>452</v>
      </c>
      <c r="B79" s="410">
        <v>2342</v>
      </c>
      <c r="C79" s="410">
        <v>3896</v>
      </c>
      <c r="D79" s="410">
        <v>3416</v>
      </c>
    </row>
    <row r="80" spans="1:12" x14ac:dyDescent="0.25">
      <c r="A80" s="275" t="s">
        <v>415</v>
      </c>
      <c r="B80" s="410">
        <v>5382</v>
      </c>
      <c r="C80" s="410">
        <v>8664</v>
      </c>
      <c r="D80" s="410">
        <v>8067</v>
      </c>
    </row>
  </sheetData>
  <sortState ref="A8:T17">
    <sortCondition ref="A8:A17"/>
  </sortState>
  <mergeCells count="10">
    <mergeCell ref="A2:H2"/>
    <mergeCell ref="A3:H3"/>
    <mergeCell ref="A6:A7"/>
    <mergeCell ref="B6:B7"/>
    <mergeCell ref="C6:C7"/>
    <mergeCell ref="L33:O33"/>
    <mergeCell ref="A33:A34"/>
    <mergeCell ref="B33:B34"/>
    <mergeCell ref="C33:C34"/>
    <mergeCell ref="D33:G33"/>
  </mergeCells>
  <pageMargins left="0.25" right="0.25" top="0.75" bottom="0.75" header="0.3" footer="0.3"/>
  <pageSetup paperSize="9" scale="40" orientation="landscape" r:id="rId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5" x14ac:dyDescent="0.25"/>
  <cols>
    <col min="1" max="1" width="19.7109375" style="92"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110" customWidth="1"/>
    <col min="14" max="14" width="11.140625" customWidth="1"/>
    <col min="17" max="17" width="14.140625" customWidth="1"/>
    <col min="18" max="18" width="21.7109375" bestFit="1" customWidth="1"/>
    <col min="19" max="19" width="21.42578125" customWidth="1"/>
    <col min="20" max="20" width="21.5703125" bestFit="1" customWidth="1"/>
    <col min="21" max="21" width="6" customWidth="1"/>
    <col min="22" max="22" width="21.140625" bestFit="1" customWidth="1"/>
    <col min="23" max="23" width="6" customWidth="1"/>
    <col min="24" max="24" width="26.5703125" bestFit="1" customWidth="1"/>
    <col min="25" max="26" width="26.28515625" bestFit="1" customWidth="1"/>
  </cols>
  <sheetData>
    <row r="1" spans="1:20" s="101" customFormat="1" ht="30" x14ac:dyDescent="0.25">
      <c r="A1" s="315" t="s">
        <v>558</v>
      </c>
      <c r="B1" s="316" t="s">
        <v>1080</v>
      </c>
      <c r="C1" s="316" t="s">
        <v>554</v>
      </c>
      <c r="D1" s="316" t="s">
        <v>0</v>
      </c>
      <c r="E1" s="316" t="s">
        <v>2</v>
      </c>
      <c r="F1" s="316" t="s">
        <v>1081</v>
      </c>
      <c r="G1" s="316" t="s">
        <v>999</v>
      </c>
      <c r="H1" s="316" t="s">
        <v>1000</v>
      </c>
      <c r="I1" s="316" t="s">
        <v>1001</v>
      </c>
      <c r="J1" s="316" t="s">
        <v>1082</v>
      </c>
      <c r="K1" s="316" t="s">
        <v>1084</v>
      </c>
      <c r="L1" s="316" t="s">
        <v>1083</v>
      </c>
      <c r="M1" s="317" t="s">
        <v>1091</v>
      </c>
      <c r="N1" s="318" t="s">
        <v>1088</v>
      </c>
      <c r="Q1" s="101">
        <f>SUM(N:N)</f>
        <v>0</v>
      </c>
      <c r="R1" s="101">
        <f>COUNTA(A:A)-1</f>
        <v>167</v>
      </c>
    </row>
    <row r="2" spans="1:20" x14ac:dyDescent="0.25">
      <c r="A2" s="259" t="s">
        <v>30</v>
      </c>
      <c r="B2" s="18" t="str">
        <f ca="1">OFFSET(CampList[Priority],MATCH(Table10[[#This Row],[Pcode]],CampList[CP_Pcode],0)-1,0,1,1)</f>
        <v>P1</v>
      </c>
      <c r="C2" s="18" t="str">
        <f ca="1">OFFSET(CampList[Camp],MATCH(Table10[[#This Row],[Pcode]],CampList[CP_Pcode],0)-1,0,1,1)</f>
        <v>Chipwi KBC camp</v>
      </c>
      <c r="D2" s="18" t="str">
        <f ca="1">OFFSET(CampList[Township],MATCH(Table10[[#This Row],[Pcode]],CampList[CP_Pcode],0)-1,0,1,1)</f>
        <v>Chipwi</v>
      </c>
      <c r="E2" s="18">
        <f ca="1">OFFSET(CampList[HH],MATCH(Table10[[#This Row],[Pcode]],CampList[CP_Pcode],0)-1,0,1,1)</f>
        <v>110</v>
      </c>
      <c r="F2" s="18">
        <f ca="1">OFFSET(CampList[Total],MATCH(Table10[[#This Row],[Pcode]],CampList[CP_Pcode],0)-1,0,1,1)</f>
        <v>516</v>
      </c>
      <c r="G2" s="277">
        <f>SUMIF('NFI Tracking'!AQ$11:AQ$1048576,Table10[[#This Row],[Pcode]],'NFI Tracking'!AI$11:AI$1048576)</f>
        <v>0</v>
      </c>
      <c r="H2" s="277">
        <f>SUMIF('NFI Tracking'!AQ$11:AQ$1048576,Table10[[#This Row],[Pcode]],'NFI Tracking'!AJ$11:AJ$1048576)</f>
        <v>0</v>
      </c>
      <c r="I2" s="277">
        <f>SUMIF('NFI Tracking'!AQ$11:AQ$1048576,Table10[[#This Row],[Pcode]],'NFI Tracking'!AK$11:AK$1048576)</f>
        <v>0</v>
      </c>
      <c r="J2" s="277">
        <f ca="1">MAX(Table10[[#This Row],[HH]]*VLOOKUP("Winter Clothes Adult",NFI,6)-Table10[[#This Row],[Winter Clothes Adult ]],0)</f>
        <v>220</v>
      </c>
      <c r="K2" s="277">
        <f ca="1">MAX(Table10[[#This Row],[HH]]*VLOOKUP("Winter Clothes Children ",NFI,6)-Table10[[#This Row],[Winter Clothes Children ]],0)</f>
        <v>110</v>
      </c>
      <c r="L2" s="277">
        <f ca="1">MAX(Table10[[#This Row],[HH]]*VLOOKUP("Winter Items Other ",NFI,6)-Table10[[#This Row],[Winter Items Other ]],0)</f>
        <v>110</v>
      </c>
      <c r="M2" s="310" t="str">
        <f>IF(OR(Table10[[#This Row],[Winter Clothes Adult ]]&lt;&gt;0,Table10[[#This Row],[Winter Clothes Children ]]&lt;&gt;0,Table10[[#This Row],[Winter Items Other ]]&lt;&gt;0),"No","")</f>
        <v/>
      </c>
      <c r="N2" s="311">
        <f>COUNTIF(A:A,Table10[[#This Row],[Pcode]])-1</f>
        <v>0</v>
      </c>
    </row>
    <row r="3" spans="1:20" x14ac:dyDescent="0.25">
      <c r="A3" s="259" t="s">
        <v>31</v>
      </c>
      <c r="B3" s="18" t="str">
        <f ca="1">OFFSET(CampList[Priority],MATCH(Table10[[#This Row],[Pcode]],CampList[CP_Pcode],0)-1,0,1,1)</f>
        <v>P1</v>
      </c>
      <c r="C3" s="18" t="str">
        <f ca="1">OFFSET(CampList[Camp],MATCH(Table10[[#This Row],[Pcode]],CampList[CP_Pcode],0)-1,0,1,1)</f>
        <v>Gant Gwin</v>
      </c>
      <c r="D3" s="18" t="str">
        <f ca="1">OFFSET(CampList[Township],MATCH(Table10[[#This Row],[Pcode]],CampList[CP_Pcode],0)-1,0,1,1)</f>
        <v>Chipwi</v>
      </c>
      <c r="E3" s="18">
        <f ca="1">OFFSET(CampList[HH],MATCH(Table10[[#This Row],[Pcode]],CampList[CP_Pcode],0)-1,0,1,1)</f>
        <v>0</v>
      </c>
      <c r="F3" s="18">
        <f ca="1">OFFSET(CampList[Total],MATCH(Table10[[#This Row],[Pcode]],CampList[CP_Pcode],0)-1,0,1,1)</f>
        <v>0</v>
      </c>
      <c r="G3" s="277">
        <f>SUMIF('NFI Tracking'!AQ$11:AQ$1048576,Table10[[#This Row],[Pcode]],'NFI Tracking'!AI$11:AI$1048576)</f>
        <v>0</v>
      </c>
      <c r="H3" s="277">
        <f>SUMIF('NFI Tracking'!AQ$11:AQ$1048576,Table10[[#This Row],[Pcode]],'NFI Tracking'!AJ$11:AJ$1048576)</f>
        <v>0</v>
      </c>
      <c r="I3" s="277">
        <f>SUMIF('NFI Tracking'!AQ$11:AQ$1048576,Table10[[#This Row],[Pcode]],'NFI Tracking'!AK$11:AK$1048576)</f>
        <v>0</v>
      </c>
      <c r="J3" s="277">
        <f ca="1">MAX(Table10[[#This Row],[HH]]*VLOOKUP("Winter Clothes Adult",NFI,6)-Table10[[#This Row],[Winter Clothes Adult ]],0)</f>
        <v>0</v>
      </c>
      <c r="K3" s="277">
        <f ca="1">MAX(Table10[[#This Row],[HH]]*VLOOKUP("Winter Clothes Children ",NFI,6)-Table10[[#This Row],[Winter Clothes Children ]],0)</f>
        <v>0</v>
      </c>
      <c r="L3" s="277">
        <f ca="1">MAX(Table10[[#This Row],[HH]]*VLOOKUP("Winter Items Other ",NFI,6)-Table10[[#This Row],[Winter Items Other ]],0)</f>
        <v>0</v>
      </c>
      <c r="M3" s="310" t="str">
        <f>IF(OR(Table10[[#This Row],[Winter Clothes Adult ]]&lt;&gt;0,Table10[[#This Row],[Winter Clothes Children ]]&lt;&gt;0,Table10[[#This Row],[Winter Items Other ]]&lt;&gt;0),"No","")</f>
        <v/>
      </c>
      <c r="N3" s="311">
        <f>COUNTIF(A:A,Table10[[#This Row],[Pcode]])-1</f>
        <v>0</v>
      </c>
    </row>
    <row r="4" spans="1:20" x14ac:dyDescent="0.25">
      <c r="A4" s="259" t="s">
        <v>29</v>
      </c>
      <c r="B4" s="18" t="str">
        <f ca="1">OFFSET(CampList[Priority],MATCH(Table10[[#This Row],[Pcode]],CampList[CP_Pcode],0)-1,0,1,1)</f>
        <v>P1</v>
      </c>
      <c r="C4" s="18" t="str">
        <f ca="1">OFFSET(CampList[Camp],MATCH(Table10[[#This Row],[Pcode]],CampList[CP_Pcode],0)-1,0,1,1)</f>
        <v>Hpare Hkyer - BP6</v>
      </c>
      <c r="D4" s="18" t="str">
        <f ca="1">OFFSET(CampList[Township],MATCH(Table10[[#This Row],[Pcode]],CampList[CP_Pcode],0)-1,0,1,1)</f>
        <v>Chipwi</v>
      </c>
      <c r="E4" s="18">
        <f ca="1">OFFSET(CampList[HH],MATCH(Table10[[#This Row],[Pcode]],CampList[CP_Pcode],0)-1,0,1,1)</f>
        <v>156</v>
      </c>
      <c r="F4" s="18">
        <f ca="1">OFFSET(CampList[Total],MATCH(Table10[[#This Row],[Pcode]],CampList[CP_Pcode],0)-1,0,1,1)</f>
        <v>1022</v>
      </c>
      <c r="G4" s="277">
        <f>SUMIF('NFI Tracking'!AQ$11:AQ$1048576,Table10[[#This Row],[Pcode]],'NFI Tracking'!AI$11:AI$1048576)</f>
        <v>380</v>
      </c>
      <c r="H4" s="277">
        <f>SUMIF('NFI Tracking'!AQ$11:AQ$1048576,Table10[[#This Row],[Pcode]],'NFI Tracking'!AJ$11:AJ$1048576)</f>
        <v>1145</v>
      </c>
      <c r="I4" s="277">
        <f>SUMIF('NFI Tracking'!AQ$11:AQ$1048576,Table10[[#This Row],[Pcode]],'NFI Tracking'!AK$11:AK$1048576)</f>
        <v>0</v>
      </c>
      <c r="J4" s="277">
        <f ca="1">MAX(Table10[[#This Row],[HH]]*VLOOKUP("Winter Clothes Adult",NFI,6)-Table10[[#This Row],[Winter Clothes Adult ]],0)</f>
        <v>0</v>
      </c>
      <c r="K4" s="277">
        <f ca="1">MAX(Table10[[#This Row],[HH]]*VLOOKUP("Winter Clothes Children ",NFI,6)-Table10[[#This Row],[Winter Clothes Children ]],0)</f>
        <v>0</v>
      </c>
      <c r="L4" s="277">
        <f ca="1">MAX(Table10[[#This Row],[HH]]*VLOOKUP("Winter Items Other ",NFI,6)-Table10[[#This Row],[Winter Items Other ]],0)</f>
        <v>156</v>
      </c>
      <c r="M4" s="310" t="str">
        <f>IF(OR(Table10[[#This Row],[Winter Clothes Adult ]]&lt;&gt;0,Table10[[#This Row],[Winter Clothes Children ]]&lt;&gt;0,Table10[[#This Row],[Winter Items Other ]]&lt;&gt;0),"No","")</f>
        <v>No</v>
      </c>
      <c r="N4" s="311">
        <f>COUNTIF(A:A,Table10[[#This Row],[Pcode]])-1</f>
        <v>0</v>
      </c>
    </row>
    <row r="5" spans="1:20" x14ac:dyDescent="0.25">
      <c r="A5" s="259" t="s">
        <v>33</v>
      </c>
      <c r="B5" s="18" t="str">
        <f ca="1">OFFSET(CampList[Priority],MATCH(Table10[[#This Row],[Pcode]],CampList[CP_Pcode],0)-1,0,1,1)</f>
        <v>P1</v>
      </c>
      <c r="C5" s="18" t="str">
        <f ca="1">OFFSET(CampList[Camp],MATCH(Table10[[#This Row],[Pcode]],CampList[CP_Pcode],0)-1,0,1,1)</f>
        <v xml:space="preserve">Lan Jaw </v>
      </c>
      <c r="D5" s="18" t="str">
        <f ca="1">OFFSET(CampList[Township],MATCH(Table10[[#This Row],[Pcode]],CampList[CP_Pcode],0)-1,0,1,1)</f>
        <v>Chipwi</v>
      </c>
      <c r="E5" s="18">
        <f ca="1">OFFSET(CampList[HH],MATCH(Table10[[#This Row],[Pcode]],CampList[CP_Pcode],0)-1,0,1,1)</f>
        <v>0</v>
      </c>
      <c r="F5" s="18">
        <f ca="1">OFFSET(CampList[Total],MATCH(Table10[[#This Row],[Pcode]],CampList[CP_Pcode],0)-1,0,1,1)</f>
        <v>0</v>
      </c>
      <c r="G5" s="277">
        <f>SUMIF('NFI Tracking'!AQ$11:AQ$1048576,Table10[[#This Row],[Pcode]],'NFI Tracking'!AI$11:AI$1048576)</f>
        <v>0</v>
      </c>
      <c r="H5" s="277">
        <f>SUMIF('NFI Tracking'!AQ$11:AQ$1048576,Table10[[#This Row],[Pcode]],'NFI Tracking'!AJ$11:AJ$1048576)</f>
        <v>0</v>
      </c>
      <c r="I5" s="277">
        <f>SUMIF('NFI Tracking'!AQ$11:AQ$1048576,Table10[[#This Row],[Pcode]],'NFI Tracking'!AK$11:AK$1048576)</f>
        <v>0</v>
      </c>
      <c r="J5" s="277">
        <f ca="1">MAX(Table10[[#This Row],[HH]]*VLOOKUP("Winter Clothes Adult",NFI,6)-Table10[[#This Row],[Winter Clothes Adult ]],0)</f>
        <v>0</v>
      </c>
      <c r="K5" s="277">
        <f ca="1">MAX(Table10[[#This Row],[HH]]*VLOOKUP("Winter Clothes Children ",NFI,6)-Table10[[#This Row],[Winter Clothes Children ]],0)</f>
        <v>0</v>
      </c>
      <c r="L5" s="277">
        <f ca="1">MAX(Table10[[#This Row],[HH]]*VLOOKUP("Winter Items Other ",NFI,6)-Table10[[#This Row],[Winter Items Other ]],0)</f>
        <v>0</v>
      </c>
      <c r="M5" s="310" t="str">
        <f>IF(OR(Table10[[#This Row],[Winter Clothes Adult ]]&lt;&gt;0,Table10[[#This Row],[Winter Clothes Children ]]&lt;&gt;0,Table10[[#This Row],[Winter Items Other ]]&lt;&gt;0),"No","")</f>
        <v/>
      </c>
      <c r="N5" s="311">
        <f>COUNTIF(A:A,Table10[[#This Row],[Pcode]])-1</f>
        <v>0</v>
      </c>
    </row>
    <row r="6" spans="1:20" x14ac:dyDescent="0.25">
      <c r="A6" s="259" t="s">
        <v>378</v>
      </c>
      <c r="B6" s="18" t="str">
        <f ca="1">OFFSET(CampList[Priority],MATCH(Table10[[#This Row],[Pcode]],CampList[CP_Pcode],0)-1,0,1,1)</f>
        <v>P1</v>
      </c>
      <c r="C6" s="18" t="str">
        <f ca="1">OFFSET(CampList[Camp],MATCH(Table10[[#This Row],[Pcode]],CampList[CP_Pcode],0)-1,0,1,1)</f>
        <v>Lhaovao Baptist Church (LBC)</v>
      </c>
      <c r="D6" s="18" t="str">
        <f ca="1">OFFSET(CampList[Township],MATCH(Table10[[#This Row],[Pcode]],CampList[CP_Pcode],0)-1,0,1,1)</f>
        <v>Chipwi</v>
      </c>
      <c r="E6" s="18">
        <f ca="1">OFFSET(CampList[HH],MATCH(Table10[[#This Row],[Pcode]],CampList[CP_Pcode],0)-1,0,1,1)</f>
        <v>143</v>
      </c>
      <c r="F6" s="18">
        <f ca="1">OFFSET(CampList[Total],MATCH(Table10[[#This Row],[Pcode]],CampList[CP_Pcode],0)-1,0,1,1)</f>
        <v>637</v>
      </c>
      <c r="G6" s="277">
        <f>SUMIF('NFI Tracking'!AQ$11:AQ$1048576,Table10[[#This Row],[Pcode]],'NFI Tracking'!AI$11:AI$1048576)</f>
        <v>0</v>
      </c>
      <c r="H6" s="277">
        <f>SUMIF('NFI Tracking'!AQ$11:AQ$1048576,Table10[[#This Row],[Pcode]],'NFI Tracking'!AJ$11:AJ$1048576)</f>
        <v>0</v>
      </c>
      <c r="I6" s="277">
        <f>SUMIF('NFI Tracking'!AQ$11:AQ$1048576,Table10[[#This Row],[Pcode]],'NFI Tracking'!AK$11:AK$1048576)</f>
        <v>0</v>
      </c>
      <c r="J6" s="277">
        <f ca="1">MAX(Table10[[#This Row],[HH]]*VLOOKUP("Winter Clothes Adult",NFI,6)-Table10[[#This Row],[Winter Clothes Adult ]],0)</f>
        <v>286</v>
      </c>
      <c r="K6" s="277">
        <f ca="1">MAX(Table10[[#This Row],[HH]]*VLOOKUP("Winter Clothes Children ",NFI,6)-Table10[[#This Row],[Winter Clothes Children ]],0)</f>
        <v>143</v>
      </c>
      <c r="L6" s="277">
        <f ca="1">MAX(Table10[[#This Row],[HH]]*VLOOKUP("Winter Items Other ",NFI,6)-Table10[[#This Row],[Winter Items Other ]],0)</f>
        <v>143</v>
      </c>
      <c r="M6" s="310" t="str">
        <f>IF(OR(Table10[[#This Row],[Winter Clothes Adult ]]&lt;&gt;0,Table10[[#This Row],[Winter Clothes Children ]]&lt;&gt;0,Table10[[#This Row],[Winter Items Other ]]&lt;&gt;0),"No","")</f>
        <v/>
      </c>
      <c r="N6" s="311">
        <f>COUNTIF(A:A,Table10[[#This Row],[Pcode]])-1</f>
        <v>0</v>
      </c>
    </row>
    <row r="7" spans="1:20" x14ac:dyDescent="0.25">
      <c r="A7" s="259" t="s">
        <v>1020</v>
      </c>
      <c r="B7" s="18" t="str">
        <f ca="1">OFFSET(CampList[Priority],MATCH(Table10[[#This Row],[Pcode]],CampList[CP_Pcode],0)-1,0,1,1)</f>
        <v>P1</v>
      </c>
      <c r="C7" s="18" t="str">
        <f ca="1">OFFSET(CampList[Camp],MATCH(Table10[[#This Row],[Pcode]],CampList[CP_Pcode],0)-1,0,1,1)</f>
        <v>Saw Zam</v>
      </c>
      <c r="D7" s="18" t="str">
        <f ca="1">OFFSET(CampList[Township],MATCH(Table10[[#This Row],[Pcode]],CampList[CP_Pcode],0)-1,0,1,1)</f>
        <v>Chipwi</v>
      </c>
      <c r="E7" s="18">
        <f ca="1">OFFSET(CampList[HH],MATCH(Table10[[#This Row],[Pcode]],CampList[CP_Pcode],0)-1,0,1,1)</f>
        <v>31</v>
      </c>
      <c r="F7" s="18">
        <f ca="1">OFFSET(CampList[Total],MATCH(Table10[[#This Row],[Pcode]],CampList[CP_Pcode],0)-1,0,1,1)</f>
        <v>180</v>
      </c>
      <c r="G7" s="277">
        <f>SUMIF('NFI Tracking'!AQ$11:AQ$1048576,Table10[[#This Row],[Pcode]],'NFI Tracking'!AI$11:AI$1048576)</f>
        <v>0</v>
      </c>
      <c r="H7" s="277">
        <f>SUMIF('NFI Tracking'!AQ$11:AQ$1048576,Table10[[#This Row],[Pcode]],'NFI Tracking'!AJ$11:AJ$1048576)</f>
        <v>0</v>
      </c>
      <c r="I7" s="277">
        <f>SUMIF('NFI Tracking'!AQ$11:AQ$1048576,Table10[[#This Row],[Pcode]],'NFI Tracking'!AK$11:AK$1048576)</f>
        <v>0</v>
      </c>
      <c r="J7" s="277">
        <f ca="1">MAX(Table10[[#This Row],[HH]]*VLOOKUP("Winter Clothes Adult",NFI,6)-Table10[[#This Row],[Winter Clothes Adult ]],0)</f>
        <v>62</v>
      </c>
      <c r="K7" s="277">
        <f ca="1">MAX(Table10[[#This Row],[HH]]*VLOOKUP("Winter Clothes Children ",NFI,6)-Table10[[#This Row],[Winter Clothes Children ]],0)</f>
        <v>31</v>
      </c>
      <c r="L7" s="277">
        <f ca="1">MAX(Table10[[#This Row],[HH]]*VLOOKUP("Winter Items Other ",NFI,6)-Table10[[#This Row],[Winter Items Other ]],0)</f>
        <v>31</v>
      </c>
      <c r="M7" s="310" t="str">
        <f>IF(OR(Table10[[#This Row],[Winter Clothes Adult ]]&lt;&gt;0,Table10[[#This Row],[Winter Clothes Children ]]&lt;&gt;0,Table10[[#This Row],[Winter Items Other ]]&lt;&gt;0),"No","")</f>
        <v/>
      </c>
      <c r="N7" s="311">
        <f>COUNTIF(A:A,Table10[[#This Row],[Pcode]])-1</f>
        <v>0</v>
      </c>
    </row>
    <row r="8" spans="1:20" x14ac:dyDescent="0.25">
      <c r="A8" s="259" t="s">
        <v>863</v>
      </c>
      <c r="B8" s="18" t="str">
        <f ca="1">OFFSET(CampList[Priority],MATCH(Table10[[#This Row],[Pcode]],CampList[CP_Pcode],0)-1,0,1,1)</f>
        <v>P1</v>
      </c>
      <c r="C8" s="18" t="str">
        <f ca="1">OFFSET(CampList[Camp],MATCH(Table10[[#This Row],[Pcode]],CampList[CP_Pcode],0)-1,0,1,1)</f>
        <v>Pan Wa</v>
      </c>
      <c r="D8" s="18" t="str">
        <f ca="1">OFFSET(CampList[Township],MATCH(Table10[[#This Row],[Pcode]],CampList[CP_Pcode],0)-1,0,1,1)</f>
        <v>Chipwi</v>
      </c>
      <c r="E8" s="18">
        <f ca="1">OFFSET(CampList[HH],MATCH(Table10[[#This Row],[Pcode]],CampList[CP_Pcode],0)-1,0,1,1)</f>
        <v>61</v>
      </c>
      <c r="F8" s="18">
        <f ca="1">OFFSET(CampList[Total],MATCH(Table10[[#This Row],[Pcode]],CampList[CP_Pcode],0)-1,0,1,1)</f>
        <v>273</v>
      </c>
      <c r="G8" s="277">
        <f>SUMIF('NFI Tracking'!AQ$11:AQ$1048576,Table10[[#This Row],[Pcode]],'NFI Tracking'!AI$11:AI$1048576)</f>
        <v>0</v>
      </c>
      <c r="H8" s="277">
        <f>SUMIF('NFI Tracking'!AQ$11:AQ$1048576,Table10[[#This Row],[Pcode]],'NFI Tracking'!AJ$11:AJ$1048576)</f>
        <v>0</v>
      </c>
      <c r="I8" s="277">
        <f>SUMIF('NFI Tracking'!AQ$11:AQ$1048576,Table10[[#This Row],[Pcode]],'NFI Tracking'!AK$11:AK$1048576)</f>
        <v>0</v>
      </c>
      <c r="J8" s="277">
        <f ca="1">MAX(Table10[[#This Row],[HH]]*VLOOKUP("Winter Clothes Adult",NFI,6)-Table10[[#This Row],[Winter Clothes Adult ]],0)</f>
        <v>122</v>
      </c>
      <c r="K8" s="277">
        <f ca="1">MAX(Table10[[#This Row],[HH]]*VLOOKUP("Winter Clothes Children ",NFI,6)-Table10[[#This Row],[Winter Clothes Children ]],0)</f>
        <v>61</v>
      </c>
      <c r="L8" s="277">
        <f ca="1">MAX(Table10[[#This Row],[HH]]*VLOOKUP("Winter Items Other ",NFI,6)-Table10[[#This Row],[Winter Items Other ]],0)</f>
        <v>61</v>
      </c>
      <c r="M8" s="310" t="str">
        <f>IF(OR(Table10[[#This Row],[Winter Clothes Adult ]]&lt;&gt;0,Table10[[#This Row],[Winter Clothes Children ]]&lt;&gt;0,Table10[[#This Row],[Winter Items Other ]]&lt;&gt;0),"No","")</f>
        <v/>
      </c>
      <c r="N8" s="311">
        <f>COUNTIF(A:A,Table10[[#This Row],[Pcode]])-1</f>
        <v>0</v>
      </c>
    </row>
    <row r="9" spans="1:20" x14ac:dyDescent="0.25">
      <c r="A9" s="259" t="s">
        <v>335</v>
      </c>
      <c r="B9" s="18" t="str">
        <f ca="1">OFFSET(CampList[Priority],MATCH(Table10[[#This Row],[Pcode]],CampList[CP_Pcode],0)-1,0,1,1)</f>
        <v>P1</v>
      </c>
      <c r="C9" s="18" t="str">
        <f ca="1">OFFSET(CampList[Camp],MATCH(Table10[[#This Row],[Pcode]],CampList[CP_Pcode],0)-1,0,1,1)</f>
        <v>Hkau Shau (BP 12)</v>
      </c>
      <c r="D9" s="18" t="str">
        <f ca="1">OFFSET(CampList[Township],MATCH(Table10[[#This Row],[Pcode]],CampList[CP_Pcode],0)-1,0,1,1)</f>
        <v>Waingmaw</v>
      </c>
      <c r="E9" s="18">
        <f ca="1">OFFSET(CampList[HH],MATCH(Table10[[#This Row],[Pcode]],CampList[CP_Pcode],0)-1,0,1,1)</f>
        <v>148</v>
      </c>
      <c r="F9" s="18">
        <f ca="1">OFFSET(CampList[Total],MATCH(Table10[[#This Row],[Pcode]],CampList[CP_Pcode],0)-1,0,1,1)</f>
        <v>1076</v>
      </c>
      <c r="G9" s="277">
        <f>SUMIF('NFI Tracking'!AQ$11:AQ$1048576,Table10[[#This Row],[Pcode]],'NFI Tracking'!AI$11:AI$1048576)</f>
        <v>0</v>
      </c>
      <c r="H9" s="277">
        <f>SUMIF('NFI Tracking'!AQ$11:AQ$1048576,Table10[[#This Row],[Pcode]],'NFI Tracking'!AJ$11:AJ$1048576)</f>
        <v>0</v>
      </c>
      <c r="I9" s="277">
        <f>SUMIF('NFI Tracking'!AQ$11:AQ$1048576,Table10[[#This Row],[Pcode]],'NFI Tracking'!AK$11:AK$1048576)</f>
        <v>0</v>
      </c>
      <c r="J9" s="277">
        <f ca="1">MAX(Table10[[#This Row],[HH]]*VLOOKUP("Winter Clothes Adult",NFI,6)-Table10[[#This Row],[Winter Clothes Adult ]],0)</f>
        <v>296</v>
      </c>
      <c r="K9" s="277">
        <f ca="1">MAX(Table10[[#This Row],[HH]]*VLOOKUP("Winter Clothes Children ",NFI,6)-Table10[[#This Row],[Winter Clothes Children ]],0)</f>
        <v>148</v>
      </c>
      <c r="L9" s="277">
        <f ca="1">MAX(Table10[[#This Row],[HH]]*VLOOKUP("Winter Items Other ",NFI,6)-Table10[[#This Row],[Winter Items Other ]],0)</f>
        <v>148</v>
      </c>
      <c r="M9" s="310" t="str">
        <f>IF(OR(Table10[[#This Row],[Winter Clothes Adult ]]&lt;&gt;0,Table10[[#This Row],[Winter Clothes Children ]]&lt;&gt;0,Table10[[#This Row],[Winter Items Other ]]&lt;&gt;0),"No","")</f>
        <v/>
      </c>
      <c r="N9" s="311">
        <f>COUNTIF(A:A,Table10[[#This Row],[Pcode]])-1</f>
        <v>0</v>
      </c>
    </row>
    <row r="10" spans="1:20" x14ac:dyDescent="0.25">
      <c r="A10" s="259" t="s">
        <v>345</v>
      </c>
      <c r="B10" s="18" t="str">
        <f ca="1">OFFSET(CampList[Priority],MATCH(Table10[[#This Row],[Pcode]],CampList[CP_Pcode],0)-1,0,1,1)</f>
        <v>P1</v>
      </c>
      <c r="C10" s="18" t="str">
        <f ca="1">OFFSET(CampList[Camp],MATCH(Table10[[#This Row],[Pcode]],CampList[CP_Pcode],0)-1,0,1,1)</f>
        <v>Pajau - Jan Mai</v>
      </c>
      <c r="D10" s="18" t="str">
        <f ca="1">OFFSET(CampList[Township],MATCH(Table10[[#This Row],[Pcode]],CampList[CP_Pcode],0)-1,0,1,1)</f>
        <v>Waingmaw</v>
      </c>
      <c r="E10" s="18">
        <f ca="1">OFFSET(CampList[HH],MATCH(Table10[[#This Row],[Pcode]],CampList[CP_Pcode],0)-1,0,1,1)</f>
        <v>180</v>
      </c>
      <c r="F10" s="18">
        <f ca="1">OFFSET(CampList[Total],MATCH(Table10[[#This Row],[Pcode]],CampList[CP_Pcode],0)-1,0,1,1)</f>
        <v>857</v>
      </c>
      <c r="G10" s="277">
        <f>SUMIF('NFI Tracking'!AQ$11:AQ$1048576,Table10[[#This Row],[Pcode]],'NFI Tracking'!AI$11:AI$1048576)</f>
        <v>330</v>
      </c>
      <c r="H10" s="277">
        <f>SUMIF('NFI Tracking'!AQ$11:AQ$1048576,Table10[[#This Row],[Pcode]],'NFI Tracking'!AJ$11:AJ$1048576)</f>
        <v>330</v>
      </c>
      <c r="I10" s="277">
        <f>SUMIF('NFI Tracking'!AQ$11:AQ$1048576,Table10[[#This Row],[Pcode]],'NFI Tracking'!AK$11:AK$1048576)</f>
        <v>0</v>
      </c>
      <c r="J10" s="277">
        <f ca="1">MAX(Table10[[#This Row],[HH]]*VLOOKUP("Winter Clothes Adult",NFI,6)-Table10[[#This Row],[Winter Clothes Adult ]],0)</f>
        <v>30</v>
      </c>
      <c r="K10" s="277">
        <f ca="1">MAX(Table10[[#This Row],[HH]]*VLOOKUP("Winter Clothes Children ",NFI,6)-Table10[[#This Row],[Winter Clothes Children ]],0)</f>
        <v>0</v>
      </c>
      <c r="L10" s="277">
        <f ca="1">MAX(Table10[[#This Row],[HH]]*VLOOKUP("Winter Items Other ",NFI,6)-Table10[[#This Row],[Winter Items Other ]],0)</f>
        <v>180</v>
      </c>
      <c r="M10" s="310" t="str">
        <f>IF(OR(Table10[[#This Row],[Winter Clothes Adult ]]&lt;&gt;0,Table10[[#This Row],[Winter Clothes Children ]]&lt;&gt;0,Table10[[#This Row],[Winter Items Other ]]&lt;&gt;0),"No","")</f>
        <v>No</v>
      </c>
      <c r="N10" s="311">
        <f>COUNTIF(A:A,Table10[[#This Row],[Pcode]])-1</f>
        <v>0</v>
      </c>
    </row>
    <row r="11" spans="1:20" x14ac:dyDescent="0.25">
      <c r="A11" s="259" t="s">
        <v>354</v>
      </c>
      <c r="B11" s="18" t="str">
        <f ca="1">OFFSET(CampList[Priority],MATCH(Table10[[#This Row],[Pcode]],CampList[CP_Pcode],0)-1,0,1,1)</f>
        <v>P1</v>
      </c>
      <c r="C11" s="18" t="str">
        <f ca="1">OFFSET(CampList[Camp],MATCH(Table10[[#This Row],[Pcode]],CampList[CP_Pcode],0)-1,0,1,1)</f>
        <v>Post 6 Camp</v>
      </c>
      <c r="D11" s="18" t="str">
        <f ca="1">OFFSET(CampList[Township],MATCH(Table10[[#This Row],[Pcode]],CampList[CP_Pcode],0)-1,0,1,1)</f>
        <v>Waingmaw</v>
      </c>
      <c r="E11" s="18">
        <f ca="1">OFFSET(CampList[HH],MATCH(Table10[[#This Row],[Pcode]],CampList[CP_Pcode],0)-1,0,1,1)</f>
        <v>98</v>
      </c>
      <c r="F11" s="18">
        <f ca="1">OFFSET(CampList[Total],MATCH(Table10[[#This Row],[Pcode]],CampList[CP_Pcode],0)-1,0,1,1)</f>
        <v>563</v>
      </c>
      <c r="G11" s="277">
        <f>SUMIF('NFI Tracking'!AQ$11:AQ$1048576,Table10[[#This Row],[Pcode]],'NFI Tracking'!AI$11:AI$1048576)</f>
        <v>0</v>
      </c>
      <c r="H11" s="277">
        <f>SUMIF('NFI Tracking'!AQ$11:AQ$1048576,Table10[[#This Row],[Pcode]],'NFI Tracking'!AJ$11:AJ$1048576)</f>
        <v>0</v>
      </c>
      <c r="I11" s="277">
        <f>SUMIF('NFI Tracking'!AQ$11:AQ$1048576,Table10[[#This Row],[Pcode]],'NFI Tracking'!AK$11:AK$1048576)</f>
        <v>0</v>
      </c>
      <c r="J11" s="277">
        <f ca="1">MAX(Table10[[#This Row],[HH]]*VLOOKUP("Winter Clothes Adult",NFI,6)-Table10[[#This Row],[Winter Clothes Adult ]],0)</f>
        <v>196</v>
      </c>
      <c r="K11" s="277">
        <f ca="1">MAX(Table10[[#This Row],[HH]]*VLOOKUP("Winter Clothes Children ",NFI,6)-Table10[[#This Row],[Winter Clothes Children ]],0)</f>
        <v>98</v>
      </c>
      <c r="L11" s="277">
        <f ca="1">MAX(Table10[[#This Row],[HH]]*VLOOKUP("Winter Items Other ",NFI,6)-Table10[[#This Row],[Winter Items Other ]],0)</f>
        <v>98</v>
      </c>
      <c r="M11" s="310" t="str">
        <f>IF(OR(Table10[[#This Row],[Winter Clothes Adult ]]&lt;&gt;0,Table10[[#This Row],[Winter Clothes Children ]]&lt;&gt;0,Table10[[#This Row],[Winter Items Other ]]&lt;&gt;0),"No","")</f>
        <v/>
      </c>
      <c r="N11" s="311">
        <f>COUNTIF(A:A,Table10[[#This Row],[Pcode]])-1</f>
        <v>0</v>
      </c>
    </row>
    <row r="12" spans="1:20" x14ac:dyDescent="0.25">
      <c r="A12" s="259" t="s">
        <v>333</v>
      </c>
      <c r="B12" s="18" t="str">
        <f ca="1">OFFSET(CampList[Priority],MATCH(Table10[[#This Row],[Pcode]],CampList[CP_Pcode],0)-1,0,1,1)</f>
        <v>P1</v>
      </c>
      <c r="C12" s="18" t="str">
        <f ca="1">OFFSET(CampList[Camp],MATCH(Table10[[#This Row],[Pcode]],CampList[CP_Pcode],0)-1,0,1,1)</f>
        <v>Border Post 8</v>
      </c>
      <c r="D12" s="18" t="str">
        <f ca="1">OFFSET(CampList[Township],MATCH(Table10[[#This Row],[Pcode]],CampList[CP_Pcode],0)-1,0,1,1)</f>
        <v>Waingmaw</v>
      </c>
      <c r="E12" s="18">
        <f ca="1">OFFSET(CampList[HH],MATCH(Table10[[#This Row],[Pcode]],CampList[CP_Pcode],0)-1,0,1,1)</f>
        <v>161</v>
      </c>
      <c r="F12" s="18">
        <f ca="1">OFFSET(CampList[Total],MATCH(Table10[[#This Row],[Pcode]],CampList[CP_Pcode],0)-1,0,1,1)</f>
        <v>637</v>
      </c>
      <c r="G12" s="277">
        <f>SUMIF('NFI Tracking'!AQ$11:AQ$1048576,Table10[[#This Row],[Pcode]],'NFI Tracking'!AI$11:AI$1048576)</f>
        <v>0</v>
      </c>
      <c r="H12" s="277">
        <f>SUMIF('NFI Tracking'!AQ$11:AQ$1048576,Table10[[#This Row],[Pcode]],'NFI Tracking'!AJ$11:AJ$1048576)</f>
        <v>0</v>
      </c>
      <c r="I12" s="277">
        <f>SUMIF('NFI Tracking'!AQ$11:AQ$1048576,Table10[[#This Row],[Pcode]],'NFI Tracking'!AK$11:AK$1048576)</f>
        <v>0</v>
      </c>
      <c r="J12" s="277">
        <f ca="1">MAX(Table10[[#This Row],[HH]]*VLOOKUP("Winter Clothes Adult",NFI,6)-Table10[[#This Row],[Winter Clothes Adult ]],0)</f>
        <v>322</v>
      </c>
      <c r="K12" s="277">
        <f ca="1">MAX(Table10[[#This Row],[HH]]*VLOOKUP("Winter Clothes Children ",NFI,6)-Table10[[#This Row],[Winter Clothes Children ]],0)</f>
        <v>161</v>
      </c>
      <c r="L12" s="277">
        <f ca="1">MAX(Table10[[#This Row],[HH]]*VLOOKUP("Winter Items Other ",NFI,6)-Table10[[#This Row],[Winter Items Other ]],0)</f>
        <v>161</v>
      </c>
      <c r="M12" s="310" t="str">
        <f>IF(OR(Table10[[#This Row],[Winter Clothes Adult ]]&lt;&gt;0,Table10[[#This Row],[Winter Clothes Children ]]&lt;&gt;0,Table10[[#This Row],[Winter Items Other ]]&lt;&gt;0),"No","")</f>
        <v/>
      </c>
      <c r="N12" s="311">
        <f>COUNTIF(A:A,Table10[[#This Row],[Pcode]])-1</f>
        <v>0</v>
      </c>
    </row>
    <row r="13" spans="1:20" x14ac:dyDescent="0.25">
      <c r="A13" s="259" t="s">
        <v>346</v>
      </c>
      <c r="B13" s="18" t="str">
        <f ca="1">OFFSET(CampList[Priority],MATCH(Table10[[#This Row],[Pcode]],CampList[CP_Pcode],0)-1,0,1,1)</f>
        <v>P1</v>
      </c>
      <c r="C13" s="18" t="str">
        <f ca="1">OFFSET(CampList[Camp],MATCH(Table10[[#This Row],[Pcode]],CampList[CP_Pcode],0)-1,0,1,1)</f>
        <v>Shing Jai</v>
      </c>
      <c r="D13" s="18" t="str">
        <f ca="1">OFFSET(CampList[Township],MATCH(Table10[[#This Row],[Pcode]],CampList[CP_Pcode],0)-1,0,1,1)</f>
        <v>Waingmaw</v>
      </c>
      <c r="E13" s="18">
        <f ca="1">OFFSET(CampList[HH],MATCH(Table10[[#This Row],[Pcode]],CampList[CP_Pcode],0)-1,0,1,1)</f>
        <v>179</v>
      </c>
      <c r="F13" s="18">
        <f ca="1">OFFSET(CampList[Total],MATCH(Table10[[#This Row],[Pcode]],CampList[CP_Pcode],0)-1,0,1,1)</f>
        <v>947</v>
      </c>
      <c r="G13" s="277">
        <f>SUMIF('NFI Tracking'!AQ$11:AQ$1048576,Table10[[#This Row],[Pcode]],'NFI Tracking'!AI$11:AI$1048576)</f>
        <v>0</v>
      </c>
      <c r="H13" s="277">
        <f>SUMIF('NFI Tracking'!AQ$11:AQ$1048576,Table10[[#This Row],[Pcode]],'NFI Tracking'!AJ$11:AJ$1048576)</f>
        <v>0</v>
      </c>
      <c r="I13" s="277">
        <f>SUMIF('NFI Tracking'!AQ$11:AQ$1048576,Table10[[#This Row],[Pcode]],'NFI Tracking'!AK$11:AK$1048576)</f>
        <v>0</v>
      </c>
      <c r="J13" s="277">
        <f ca="1">MAX(Table10[[#This Row],[HH]]*VLOOKUP("Winter Clothes Adult",NFI,6)-Table10[[#This Row],[Winter Clothes Adult ]],0)</f>
        <v>358</v>
      </c>
      <c r="K13" s="277">
        <f ca="1">MAX(Table10[[#This Row],[HH]]*VLOOKUP("Winter Clothes Children ",NFI,6)-Table10[[#This Row],[Winter Clothes Children ]],0)</f>
        <v>179</v>
      </c>
      <c r="L13" s="277">
        <f ca="1">MAX(Table10[[#This Row],[HH]]*VLOOKUP("Winter Items Other ",NFI,6)-Table10[[#This Row],[Winter Items Other ]],0)</f>
        <v>179</v>
      </c>
      <c r="M13" s="310" t="str">
        <f>IF(OR(Table10[[#This Row],[Winter Clothes Adult ]]&lt;&gt;0,Table10[[#This Row],[Winter Clothes Children ]]&lt;&gt;0,Table10[[#This Row],[Winter Items Other ]]&lt;&gt;0),"No","")</f>
        <v/>
      </c>
      <c r="N13" s="311">
        <f>COUNTIF(A:A,Table10[[#This Row],[Pcode]])-1</f>
        <v>0</v>
      </c>
    </row>
    <row r="14" spans="1:20" x14ac:dyDescent="0.25">
      <c r="A14" s="259" t="s">
        <v>214</v>
      </c>
      <c r="B14" s="18" t="str">
        <f ca="1">OFFSET(CampList[Priority],MATCH(Table10[[#This Row],[Pcode]],CampList[CP_Pcode],0)-1,0,1,1)</f>
        <v>P1</v>
      </c>
      <c r="C14" s="18" t="str">
        <f ca="1">OFFSET(CampList[Camp],MATCH(Table10[[#This Row],[Pcode]],CampList[CP_Pcode],0)-1,0,1,1)</f>
        <v xml:space="preserve">Nhkawng Pa </v>
      </c>
      <c r="D14" s="18" t="str">
        <f ca="1">OFFSET(CampList[Township],MATCH(Table10[[#This Row],[Pcode]],CampList[CP_Pcode],0)-1,0,1,1)</f>
        <v>Momauk</v>
      </c>
      <c r="E14" s="18">
        <f ca="1">OFFSET(CampList[HH],MATCH(Table10[[#This Row],[Pcode]],CampList[CP_Pcode],0)-1,0,1,1)</f>
        <v>355</v>
      </c>
      <c r="F14" s="18">
        <f ca="1">OFFSET(CampList[Total],MATCH(Table10[[#This Row],[Pcode]],CampList[CP_Pcode],0)-1,0,1,1)</f>
        <v>1678</v>
      </c>
      <c r="G14" s="277">
        <f>SUMIF('NFI Tracking'!AQ$11:AQ$1048576,Table10[[#This Row],[Pcode]],'NFI Tracking'!AI$11:AI$1048576)</f>
        <v>0</v>
      </c>
      <c r="H14" s="277">
        <f>SUMIF('NFI Tracking'!AQ$11:AQ$1048576,Table10[[#This Row],[Pcode]],'NFI Tracking'!AJ$11:AJ$1048576)</f>
        <v>0</v>
      </c>
      <c r="I14" s="277">
        <f>SUMIF('NFI Tracking'!AQ$11:AQ$1048576,Table10[[#This Row],[Pcode]],'NFI Tracking'!AK$11:AK$1048576)</f>
        <v>0</v>
      </c>
      <c r="J14" s="277">
        <f ca="1">MAX(Table10[[#This Row],[HH]]*VLOOKUP("Winter Clothes Adult",NFI,6)-Table10[[#This Row],[Winter Clothes Adult ]],0)</f>
        <v>710</v>
      </c>
      <c r="K14" s="277">
        <f ca="1">MAX(Table10[[#This Row],[HH]]*VLOOKUP("Winter Clothes Children ",NFI,6)-Table10[[#This Row],[Winter Clothes Children ]],0)</f>
        <v>355</v>
      </c>
      <c r="L14" s="277">
        <f ca="1">MAX(Table10[[#This Row],[HH]]*VLOOKUP("Winter Items Other ",NFI,6)-Table10[[#This Row],[Winter Items Other ]],0)</f>
        <v>355</v>
      </c>
      <c r="M14" s="310" t="str">
        <f>IF(OR(Table10[[#This Row],[Winter Clothes Adult ]]&lt;&gt;0,Table10[[#This Row],[Winter Clothes Children ]]&lt;&gt;0,Table10[[#This Row],[Winter Items Other ]]&lt;&gt;0),"No","")</f>
        <v/>
      </c>
      <c r="N14" s="311">
        <f>COUNTIF(A:A,Table10[[#This Row],[Pcode]])-1</f>
        <v>0</v>
      </c>
    </row>
    <row r="15" spans="1:20" x14ac:dyDescent="0.25">
      <c r="A15" s="259" t="s">
        <v>147</v>
      </c>
      <c r="B15" s="18" t="str">
        <f ca="1">OFFSET(CampList[Priority],MATCH(Table10[[#This Row],[Pcode]],CampList[CP_Pcode],0)-1,0,1,1)</f>
        <v>P1</v>
      </c>
      <c r="C15" s="18" t="str">
        <f ca="1">OFFSET(CampList[Camp],MATCH(Table10[[#This Row],[Pcode]],CampList[CP_Pcode],0)-1,0,1,1)</f>
        <v xml:space="preserve">Mungji Pa Dabang (Baptist Church)         </v>
      </c>
      <c r="D15" s="18" t="str">
        <f ca="1">OFFSET(CampList[Township],MATCH(Table10[[#This Row],[Pcode]],CampList[CP_Pcode],0)-1,0,1,1)</f>
        <v>Kutkai</v>
      </c>
      <c r="E15" s="18">
        <f ca="1">OFFSET(CampList[HH],MATCH(Table10[[#This Row],[Pcode]],CampList[CP_Pcode],0)-1,0,1,1)</f>
        <v>49</v>
      </c>
      <c r="F15" s="18">
        <f ca="1">OFFSET(CampList[Total],MATCH(Table10[[#This Row],[Pcode]],CampList[CP_Pcode],0)-1,0,1,1)</f>
        <v>267</v>
      </c>
      <c r="G15" s="277">
        <f>SUMIF('NFI Tracking'!AQ$11:AQ$1048576,Table10[[#This Row],[Pcode]],'NFI Tracking'!AI$11:AI$1048576)</f>
        <v>0</v>
      </c>
      <c r="H15" s="277">
        <f>SUMIF('NFI Tracking'!AQ$11:AQ$1048576,Table10[[#This Row],[Pcode]],'NFI Tracking'!AJ$11:AJ$1048576)</f>
        <v>0</v>
      </c>
      <c r="I15" s="277">
        <f>SUMIF('NFI Tracking'!AQ$11:AQ$1048576,Table10[[#This Row],[Pcode]],'NFI Tracking'!AK$11:AK$1048576)</f>
        <v>0</v>
      </c>
      <c r="J15" s="277">
        <f ca="1">MAX(Table10[[#This Row],[HH]]*VLOOKUP("Winter Clothes Adult",NFI,6)-Table10[[#This Row],[Winter Clothes Adult ]],0)</f>
        <v>98</v>
      </c>
      <c r="K15" s="277">
        <f ca="1">MAX(Table10[[#This Row],[HH]]*VLOOKUP("Winter Clothes Children ",NFI,6)-Table10[[#This Row],[Winter Clothes Children ]],0)</f>
        <v>49</v>
      </c>
      <c r="L15" s="277">
        <f ca="1">MAX(Table10[[#This Row],[HH]]*VLOOKUP("Winter Items Other ",NFI,6)-Table10[[#This Row],[Winter Items Other ]],0)</f>
        <v>49</v>
      </c>
      <c r="M15" s="310" t="str">
        <f>IF(OR(Table10[[#This Row],[Winter Clothes Adult ]]&lt;&gt;0,Table10[[#This Row],[Winter Clothes Children ]]&lt;&gt;0,Table10[[#This Row],[Winter Items Other ]]&lt;&gt;0),"No","")</f>
        <v/>
      </c>
      <c r="N15" s="311">
        <f>COUNTIF(A:A,Table10[[#This Row],[Pcode]])-1</f>
        <v>0</v>
      </c>
    </row>
    <row r="16" spans="1:20" x14ac:dyDescent="0.25">
      <c r="A16" s="259" t="s">
        <v>234</v>
      </c>
      <c r="B16" s="18" t="str">
        <f ca="1">OFFSET(CampList[Priority],MATCH(Table10[[#This Row],[Pcode]],CampList[CP_Pcode],0)-1,0,1,1)</f>
        <v>P1</v>
      </c>
      <c r="C16" s="18" t="str">
        <f ca="1">OFFSET(CampList[Camp],MATCH(Table10[[#This Row],[Pcode]],CampList[CP_Pcode],0)-1,0,1,1)</f>
        <v xml:space="preserve">Mung Baw </v>
      </c>
      <c r="D16" s="18" t="str">
        <f ca="1">OFFSET(CampList[Township],MATCH(Table10[[#This Row],[Pcode]],CampList[CP_Pcode],0)-1,0,1,1)</f>
        <v>Muse</v>
      </c>
      <c r="E16" s="18">
        <f ca="1">OFFSET(CampList[HH],MATCH(Table10[[#This Row],[Pcode]],CampList[CP_Pcode],0)-1,0,1,1)</f>
        <v>123</v>
      </c>
      <c r="F16" s="18">
        <f ca="1">OFFSET(CampList[Total],MATCH(Table10[[#This Row],[Pcode]],CampList[CP_Pcode],0)-1,0,1,1)</f>
        <v>503</v>
      </c>
      <c r="G16" s="277">
        <f>SUMIF('NFI Tracking'!AQ$11:AQ$1048576,Table10[[#This Row],[Pcode]],'NFI Tracking'!AI$11:AI$1048576)</f>
        <v>0</v>
      </c>
      <c r="H16" s="277">
        <f>SUMIF('NFI Tracking'!AQ$11:AQ$1048576,Table10[[#This Row],[Pcode]],'NFI Tracking'!AJ$11:AJ$1048576)</f>
        <v>0</v>
      </c>
      <c r="I16" s="277">
        <f>SUMIF('NFI Tracking'!AQ$11:AQ$1048576,Table10[[#This Row],[Pcode]],'NFI Tracking'!AK$11:AK$1048576)</f>
        <v>0</v>
      </c>
      <c r="J16" s="277">
        <f ca="1">MAX(Table10[[#This Row],[HH]]*VLOOKUP("Winter Clothes Adult",NFI,6)-Table10[[#This Row],[Winter Clothes Adult ]],0)</f>
        <v>246</v>
      </c>
      <c r="K16" s="277">
        <f ca="1">MAX(Table10[[#This Row],[HH]]*VLOOKUP("Winter Clothes Children ",NFI,6)-Table10[[#This Row],[Winter Clothes Children ]],0)</f>
        <v>123</v>
      </c>
      <c r="L16" s="277">
        <f ca="1">MAX(Table10[[#This Row],[HH]]*VLOOKUP("Winter Items Other ",NFI,6)-Table10[[#This Row],[Winter Items Other ]],0)</f>
        <v>123</v>
      </c>
      <c r="M16" s="310" t="str">
        <f>IF(OR(Table10[[#This Row],[Winter Clothes Adult ]]&lt;&gt;0,Table10[[#This Row],[Winter Clothes Children ]]&lt;&gt;0,Table10[[#This Row],[Winter Items Other ]]&lt;&gt;0),"No","")</f>
        <v/>
      </c>
      <c r="N16" s="311">
        <f>COUNTIF(A:A,Table10[[#This Row],[Pcode]])-1</f>
        <v>0</v>
      </c>
      <c r="Q16" s="276" t="s">
        <v>414</v>
      </c>
      <c r="R16" s="18" t="s">
        <v>1085</v>
      </c>
      <c r="S16" s="18" t="s">
        <v>1086</v>
      </c>
      <c r="T16" s="18" t="s">
        <v>1087</v>
      </c>
    </row>
    <row r="17" spans="1:20" x14ac:dyDescent="0.25">
      <c r="A17" s="259" t="s">
        <v>232</v>
      </c>
      <c r="B17" s="18" t="str">
        <f ca="1">OFFSET(CampList[Priority],MATCH(Table10[[#This Row],[Pcode]],CampList[CP_Pcode],0)-1,0,1,1)</f>
        <v>P1</v>
      </c>
      <c r="C17" s="18" t="str">
        <f ca="1">OFFSET(CampList[Camp],MATCH(Table10[[#This Row],[Pcode]],CampList[CP_Pcode],0)-1,0,1,1)</f>
        <v xml:space="preserve">Munekoe Pa (Giwang) - Hka San (Mung  Go  Pa ) </v>
      </c>
      <c r="D17" s="18" t="str">
        <f ca="1">OFFSET(CampList[Township],MATCH(Table10[[#This Row],[Pcode]],CampList[CP_Pcode],0)-1,0,1,1)</f>
        <v>Muse</v>
      </c>
      <c r="E17" s="18">
        <f ca="1">OFFSET(CampList[HH],MATCH(Table10[[#This Row],[Pcode]],CampList[CP_Pcode],0)-1,0,1,1)</f>
        <v>0</v>
      </c>
      <c r="F17" s="18">
        <f ca="1">OFFSET(CampList[Total],MATCH(Table10[[#This Row],[Pcode]],CampList[CP_Pcode],0)-1,0,1,1)</f>
        <v>0</v>
      </c>
      <c r="G17" s="277">
        <f>SUMIF('NFI Tracking'!AQ$11:AQ$1048576,Table10[[#This Row],[Pcode]],'NFI Tracking'!AI$11:AI$1048576)</f>
        <v>0</v>
      </c>
      <c r="H17" s="277">
        <f>SUMIF('NFI Tracking'!AQ$11:AQ$1048576,Table10[[#This Row],[Pcode]],'NFI Tracking'!AJ$11:AJ$1048576)</f>
        <v>0</v>
      </c>
      <c r="I17" s="277">
        <f>SUMIF('NFI Tracking'!AQ$11:AQ$1048576,Table10[[#This Row],[Pcode]],'NFI Tracking'!AK$11:AK$1048576)</f>
        <v>0</v>
      </c>
      <c r="J17" s="277">
        <f ca="1">MAX(Table10[[#This Row],[HH]]*VLOOKUP("Winter Clothes Adult",NFI,6)-Table10[[#This Row],[Winter Clothes Adult ]],0)</f>
        <v>0</v>
      </c>
      <c r="K17" s="277">
        <f ca="1">MAX(Table10[[#This Row],[HH]]*VLOOKUP("Winter Clothes Children ",NFI,6)-Table10[[#This Row],[Winter Clothes Children ]],0)</f>
        <v>0</v>
      </c>
      <c r="L17" s="277">
        <f ca="1">MAX(Table10[[#This Row],[HH]]*VLOOKUP("Winter Items Other ",NFI,6)-Table10[[#This Row],[Winter Items Other ]],0)</f>
        <v>0</v>
      </c>
      <c r="M17" s="310" t="str">
        <f>IF(OR(Table10[[#This Row],[Winter Clothes Adult ]]&lt;&gt;0,Table10[[#This Row],[Winter Clothes Children ]]&lt;&gt;0,Table10[[#This Row],[Winter Items Other ]]&lt;&gt;0),"No","")</f>
        <v/>
      </c>
      <c r="N17" s="311">
        <f>COUNTIF(A:A,Table10[[#This Row],[Pcode]])-1</f>
        <v>0</v>
      </c>
      <c r="Q17" s="275" t="s">
        <v>1077</v>
      </c>
      <c r="R17" s="410">
        <v>2946</v>
      </c>
      <c r="S17" s="410">
        <v>1458</v>
      </c>
      <c r="T17" s="410">
        <v>1794</v>
      </c>
    </row>
    <row r="18" spans="1:20" x14ac:dyDescent="0.25">
      <c r="A18" s="259" t="s">
        <v>187</v>
      </c>
      <c r="B18" s="18" t="str">
        <f ca="1">OFFSET(CampList[Priority],MATCH(Table10[[#This Row],[Pcode]],CampList[CP_Pcode],0)-1,0,1,1)</f>
        <v>P2</v>
      </c>
      <c r="C18" s="18" t="str">
        <f ca="1">OFFSET(CampList[Camp],MATCH(Table10[[#This Row],[Pcode]],CampList[CP_Pcode],0)-1,0,1,1)</f>
        <v xml:space="preserve">Bum Tsit Pa </v>
      </c>
      <c r="D18" s="18" t="str">
        <f ca="1">OFFSET(CampList[Township],MATCH(Table10[[#This Row],[Pcode]],CampList[CP_Pcode],0)-1,0,1,1)</f>
        <v>Mansi</v>
      </c>
      <c r="E18" s="18">
        <f ca="1">OFFSET(CampList[HH],MATCH(Table10[[#This Row],[Pcode]],CampList[CP_Pcode],0)-1,0,1,1)</f>
        <v>440</v>
      </c>
      <c r="F18" s="18">
        <f ca="1">OFFSET(CampList[Total],MATCH(Table10[[#This Row],[Pcode]],CampList[CP_Pcode],0)-1,0,1,1)</f>
        <v>1957</v>
      </c>
      <c r="G18" s="277">
        <f>SUMIF('NFI Tracking'!AQ$11:AQ$1048576,Table10[[#This Row],[Pcode]],'NFI Tracking'!AI$11:AI$1048576)</f>
        <v>0</v>
      </c>
      <c r="H18" s="277">
        <f>SUMIF('NFI Tracking'!AQ$11:AQ$1048576,Table10[[#This Row],[Pcode]],'NFI Tracking'!AJ$11:AJ$1048576)</f>
        <v>0</v>
      </c>
      <c r="I18" s="277">
        <f>SUMIF('NFI Tracking'!AQ$11:AQ$1048576,Table10[[#This Row],[Pcode]],'NFI Tracking'!AK$11:AK$1048576)</f>
        <v>0</v>
      </c>
      <c r="J18" s="277">
        <f ca="1">MAX(Table10[[#This Row],[HH]]*VLOOKUP("Winter Clothes Adult",NFI,6)-Table10[[#This Row],[Winter Clothes Adult ]],0)</f>
        <v>880</v>
      </c>
      <c r="K18" s="277">
        <f ca="1">MAX(Table10[[#This Row],[HH]]*VLOOKUP("Winter Clothes Children ",NFI,6)-Table10[[#This Row],[Winter Clothes Children ]],0)</f>
        <v>440</v>
      </c>
      <c r="L18" s="277">
        <f ca="1">MAX(Table10[[#This Row],[HH]]*VLOOKUP("Winter Items Other ",NFI,6)-Table10[[#This Row],[Winter Items Other ]],0)</f>
        <v>440</v>
      </c>
      <c r="M18" s="310" t="str">
        <f>IF(OR(Table10[[#This Row],[Winter Clothes Adult ]]&lt;&gt;0,Table10[[#This Row],[Winter Clothes Children ]]&lt;&gt;0,Table10[[#This Row],[Winter Items Other ]]&lt;&gt;0),"No","")</f>
        <v/>
      </c>
      <c r="N18" s="311">
        <f>COUNTIF(A:A,Table10[[#This Row],[Pcode]])-1</f>
        <v>0</v>
      </c>
      <c r="Q18" s="275" t="s">
        <v>1078</v>
      </c>
      <c r="R18" s="410">
        <v>10558</v>
      </c>
      <c r="S18" s="410">
        <v>5279</v>
      </c>
      <c r="T18" s="410">
        <v>5279</v>
      </c>
    </row>
    <row r="19" spans="1:20" x14ac:dyDescent="0.25">
      <c r="A19" s="259" t="s">
        <v>1035</v>
      </c>
      <c r="B19" s="18" t="str">
        <f ca="1">OFFSET(CampList[Priority],MATCH(Table10[[#This Row],[Pcode]],CampList[CP_Pcode],0)-1,0,1,1)</f>
        <v>P2</v>
      </c>
      <c r="C19" s="18" t="str">
        <f ca="1">OFFSET(CampList[Camp],MATCH(Table10[[#This Row],[Pcode]],CampList[CP_Pcode],0)-1,0,1,1)</f>
        <v>Bum Tsit Pa Camp II</v>
      </c>
      <c r="D19" s="18" t="str">
        <f ca="1">OFFSET(CampList[Township],MATCH(Table10[[#This Row],[Pcode]],CampList[CP_Pcode],0)-1,0,1,1)</f>
        <v>Mansi</v>
      </c>
      <c r="E19" s="18">
        <f ca="1">OFFSET(CampList[HH],MATCH(Table10[[#This Row],[Pcode]],CampList[CP_Pcode],0)-1,0,1,1)</f>
        <v>0</v>
      </c>
      <c r="F19" s="18">
        <f ca="1">OFFSET(CampList[Total],MATCH(Table10[[#This Row],[Pcode]],CampList[CP_Pcode],0)-1,0,1,1)</f>
        <v>0</v>
      </c>
      <c r="G19" s="277">
        <f>SUMIF('NFI Tracking'!AQ$11:AQ$1048576,Table10[[#This Row],[Pcode]],'NFI Tracking'!AI$11:AI$1048576)</f>
        <v>0</v>
      </c>
      <c r="H19" s="277">
        <f>SUMIF('NFI Tracking'!AQ$11:AQ$1048576,Table10[[#This Row],[Pcode]],'NFI Tracking'!AJ$11:AJ$1048576)</f>
        <v>0</v>
      </c>
      <c r="I19" s="277">
        <f>SUMIF('NFI Tracking'!AQ$11:AQ$1048576,Table10[[#This Row],[Pcode]],'NFI Tracking'!AK$11:AK$1048576)</f>
        <v>0</v>
      </c>
      <c r="J19" s="277">
        <f ca="1">MAX(Table10[[#This Row],[HH]]*VLOOKUP("Winter Clothes Adult",NFI,6)-Table10[[#This Row],[Winter Clothes Adult ]],0)</f>
        <v>0</v>
      </c>
      <c r="K19" s="277">
        <f ca="1">MAX(Table10[[#This Row],[HH]]*VLOOKUP("Winter Clothes Children ",NFI,6)-Table10[[#This Row],[Winter Clothes Children ]],0)</f>
        <v>0</v>
      </c>
      <c r="L19" s="277">
        <f ca="1">MAX(Table10[[#This Row],[HH]]*VLOOKUP("Winter Items Other ",NFI,6)-Table10[[#This Row],[Winter Items Other ]],0)</f>
        <v>0</v>
      </c>
      <c r="M19" s="310" t="str">
        <f>IF(OR(Table10[[#This Row],[Winter Clothes Adult ]]&lt;&gt;0,Table10[[#This Row],[Winter Clothes Children ]]&lt;&gt;0,Table10[[#This Row],[Winter Items Other ]]&lt;&gt;0),"No","")</f>
        <v/>
      </c>
      <c r="N19" s="311">
        <f>COUNTIF(A:A,Table10[[#This Row],[Pcode]])-1</f>
        <v>0</v>
      </c>
      <c r="Q19" s="275" t="s">
        <v>1079</v>
      </c>
      <c r="R19" s="410">
        <v>2702</v>
      </c>
      <c r="S19" s="410">
        <v>1351</v>
      </c>
      <c r="T19" s="410">
        <v>1351</v>
      </c>
    </row>
    <row r="20" spans="1:20" x14ac:dyDescent="0.25">
      <c r="A20" s="259" t="s">
        <v>197</v>
      </c>
      <c r="B20" s="18" t="str">
        <f ca="1">OFFSET(CampList[Priority],MATCH(Table10[[#This Row],[Pcode]],CampList[CP_Pcode],0)-1,0,1,1)</f>
        <v>P2</v>
      </c>
      <c r="C20" s="18" t="str">
        <f ca="1">OFFSET(CampList[Camp],MATCH(Table10[[#This Row],[Pcode]],CampList[CP_Pcode],0)-1,0,1,1)</f>
        <v xml:space="preserve">Lana Zup Ja </v>
      </c>
      <c r="D20" s="18" t="str">
        <f ca="1">OFFSET(CampList[Township],MATCH(Table10[[#This Row],[Pcode]],CampList[CP_Pcode],0)-1,0,1,1)</f>
        <v>Mansi</v>
      </c>
      <c r="E20" s="18">
        <f ca="1">OFFSET(CampList[HH],MATCH(Table10[[#This Row],[Pcode]],CampList[CP_Pcode],0)-1,0,1,1)</f>
        <v>546</v>
      </c>
      <c r="F20" s="18">
        <f ca="1">OFFSET(CampList[Total],MATCH(Table10[[#This Row],[Pcode]],CampList[CP_Pcode],0)-1,0,1,1)</f>
        <v>2514</v>
      </c>
      <c r="G20" s="277">
        <f>SUMIF('NFI Tracking'!AQ$11:AQ$1048576,Table10[[#This Row],[Pcode]],'NFI Tracking'!AI$11:AI$1048576)</f>
        <v>0</v>
      </c>
      <c r="H20" s="277">
        <f>SUMIF('NFI Tracking'!AQ$11:AQ$1048576,Table10[[#This Row],[Pcode]],'NFI Tracking'!AJ$11:AJ$1048576)</f>
        <v>0</v>
      </c>
      <c r="I20" s="277">
        <f>SUMIF('NFI Tracking'!AQ$11:AQ$1048576,Table10[[#This Row],[Pcode]],'NFI Tracking'!AK$11:AK$1048576)</f>
        <v>0</v>
      </c>
      <c r="J20" s="277">
        <f ca="1">MAX(Table10[[#This Row],[HH]]*VLOOKUP("Winter Clothes Adult",NFI,6)-Table10[[#This Row],[Winter Clothes Adult ]],0)</f>
        <v>1092</v>
      </c>
      <c r="K20" s="277">
        <f ca="1">MAX(Table10[[#This Row],[HH]]*VLOOKUP("Winter Clothes Children ",NFI,6)-Table10[[#This Row],[Winter Clothes Children ]],0)</f>
        <v>546</v>
      </c>
      <c r="L20" s="277">
        <f ca="1">MAX(Table10[[#This Row],[HH]]*VLOOKUP("Winter Items Other ",NFI,6)-Table10[[#This Row],[Winter Items Other ]],0)</f>
        <v>546</v>
      </c>
      <c r="M20" s="310" t="str">
        <f>IF(OR(Table10[[#This Row],[Winter Clothes Adult ]]&lt;&gt;0,Table10[[#This Row],[Winter Clothes Children ]]&lt;&gt;0,Table10[[#This Row],[Winter Items Other ]]&lt;&gt;0),"No","")</f>
        <v/>
      </c>
      <c r="N20" s="311">
        <f>COUNTIF(A:A,Table10[[#This Row],[Pcode]])-1</f>
        <v>0</v>
      </c>
      <c r="Q20" s="275" t="s">
        <v>1093</v>
      </c>
      <c r="R20" s="410">
        <v>19542</v>
      </c>
      <c r="S20" s="410">
        <v>9771</v>
      </c>
      <c r="T20" s="410">
        <v>9771</v>
      </c>
    </row>
    <row r="21" spans="1:20" x14ac:dyDescent="0.25">
      <c r="A21" s="259" t="s">
        <v>157</v>
      </c>
      <c r="B21" s="18" t="str">
        <f ca="1">OFFSET(CampList[Priority],MATCH(Table10[[#This Row],[Pcode]],CampList[CP_Pcode],0)-1,0,1,1)</f>
        <v>P2</v>
      </c>
      <c r="C21" s="18" t="str">
        <f ca="1">OFFSET(CampList[Camp],MATCH(Table10[[#This Row],[Pcode]],CampList[CP_Pcode],0)-1,0,1,1)</f>
        <v>Lung Kawk  ( Hka Hkye Zup)</v>
      </c>
      <c r="D21" s="18" t="str">
        <f ca="1">OFFSET(CampList[Township],MATCH(Table10[[#This Row],[Pcode]],CampList[CP_Pcode],0)-1,0,1,1)</f>
        <v>Mansi</v>
      </c>
      <c r="E21" s="18">
        <f ca="1">OFFSET(CampList[HH],MATCH(Table10[[#This Row],[Pcode]],CampList[CP_Pcode],0)-1,0,1,1)</f>
        <v>0</v>
      </c>
      <c r="F21" s="18">
        <f ca="1">OFFSET(CampList[Total],MATCH(Table10[[#This Row],[Pcode]],CampList[CP_Pcode],0)-1,0,1,1)</f>
        <v>0</v>
      </c>
      <c r="G21" s="277">
        <f>SUMIF('NFI Tracking'!AQ$11:AQ$1048576,Table10[[#This Row],[Pcode]],'NFI Tracking'!AI$11:AI$1048576)</f>
        <v>0</v>
      </c>
      <c r="H21" s="277">
        <f>SUMIF('NFI Tracking'!AQ$11:AQ$1048576,Table10[[#This Row],[Pcode]],'NFI Tracking'!AJ$11:AJ$1048576)</f>
        <v>0</v>
      </c>
      <c r="I21" s="277">
        <f>SUMIF('NFI Tracking'!AQ$11:AQ$1048576,Table10[[#This Row],[Pcode]],'NFI Tracking'!AK$11:AK$1048576)</f>
        <v>0</v>
      </c>
      <c r="J21" s="277">
        <f ca="1">MAX(Table10[[#This Row],[HH]]*VLOOKUP("Winter Clothes Adult",NFI,6)-Table10[[#This Row],[Winter Clothes Adult ]],0)</f>
        <v>0</v>
      </c>
      <c r="K21" s="277">
        <f ca="1">MAX(Table10[[#This Row],[HH]]*VLOOKUP("Winter Clothes Children ",NFI,6)-Table10[[#This Row],[Winter Clothes Children ]],0)</f>
        <v>0</v>
      </c>
      <c r="L21" s="277">
        <f ca="1">MAX(Table10[[#This Row],[HH]]*VLOOKUP("Winter Items Other ",NFI,6)-Table10[[#This Row],[Winter Items Other ]],0)</f>
        <v>0</v>
      </c>
      <c r="M21" s="310" t="str">
        <f>IF(OR(Table10[[#This Row],[Winter Clothes Adult ]]&lt;&gt;0,Table10[[#This Row],[Winter Clothes Children ]]&lt;&gt;0,Table10[[#This Row],[Winter Items Other ]]&lt;&gt;0),"No","")</f>
        <v/>
      </c>
      <c r="N21" s="311">
        <f>COUNTIF(A:A,Table10[[#This Row],[Pcode]])-1</f>
        <v>0</v>
      </c>
      <c r="Q21" s="275" t="s">
        <v>415</v>
      </c>
      <c r="R21" s="410">
        <v>35748</v>
      </c>
      <c r="S21" s="410">
        <v>17859</v>
      </c>
      <c r="T21" s="410">
        <v>18195</v>
      </c>
    </row>
    <row r="22" spans="1:20" x14ac:dyDescent="0.25">
      <c r="A22" s="259" t="s">
        <v>193</v>
      </c>
      <c r="B22" s="18" t="str">
        <f ca="1">OFFSET(CampList[Priority],MATCH(Table10[[#This Row],[Pcode]],CampList[CP_Pcode],0)-1,0,1,1)</f>
        <v>P2</v>
      </c>
      <c r="C22" s="18" t="str">
        <f ca="1">OFFSET(CampList[Camp],MATCH(Table10[[#This Row],[Pcode]],CampList[CP_Pcode],0)-1,0,1,1)</f>
        <v xml:space="preserve">Hpun Lum Yang </v>
      </c>
      <c r="D22" s="18" t="str">
        <f ca="1">OFFSET(CampList[Township],MATCH(Table10[[#This Row],[Pcode]],CampList[CP_Pcode],0)-1,0,1,1)</f>
        <v>Momauk</v>
      </c>
      <c r="E22" s="18">
        <f ca="1">OFFSET(CampList[HH],MATCH(Table10[[#This Row],[Pcode]],CampList[CP_Pcode],0)-1,0,1,1)</f>
        <v>641</v>
      </c>
      <c r="F22" s="18">
        <f ca="1">OFFSET(CampList[Total],MATCH(Table10[[#This Row],[Pcode]],CampList[CP_Pcode],0)-1,0,1,1)</f>
        <v>2862</v>
      </c>
      <c r="G22" s="277">
        <f>SUMIF('NFI Tracking'!AQ$11:AQ$1048576,Table10[[#This Row],[Pcode]],'NFI Tracking'!AI$11:AI$1048576)</f>
        <v>0</v>
      </c>
      <c r="H22" s="277">
        <f>SUMIF('NFI Tracking'!AQ$11:AQ$1048576,Table10[[#This Row],[Pcode]],'NFI Tracking'!AJ$11:AJ$1048576)</f>
        <v>0</v>
      </c>
      <c r="I22" s="277">
        <f>SUMIF('NFI Tracking'!AQ$11:AQ$1048576,Table10[[#This Row],[Pcode]],'NFI Tracking'!AK$11:AK$1048576)</f>
        <v>0</v>
      </c>
      <c r="J22" s="277">
        <f ca="1">MAX(Table10[[#This Row],[HH]]*VLOOKUP("Winter Clothes Adult",NFI,6)-Table10[[#This Row],[Winter Clothes Adult ]],0)</f>
        <v>1282</v>
      </c>
      <c r="K22" s="277">
        <f ca="1">MAX(Table10[[#This Row],[HH]]*VLOOKUP("Winter Clothes Children ",NFI,6)-Table10[[#This Row],[Winter Clothes Children ]],0)</f>
        <v>641</v>
      </c>
      <c r="L22" s="277">
        <f ca="1">MAX(Table10[[#This Row],[HH]]*VLOOKUP("Winter Items Other ",NFI,6)-Table10[[#This Row],[Winter Items Other ]],0)</f>
        <v>641</v>
      </c>
      <c r="M22" s="310" t="str">
        <f>IF(OR(Table10[[#This Row],[Winter Clothes Adult ]]&lt;&gt;0,Table10[[#This Row],[Winter Clothes Children ]]&lt;&gt;0,Table10[[#This Row],[Winter Items Other ]]&lt;&gt;0),"No","")</f>
        <v/>
      </c>
      <c r="N22" s="311">
        <f>COUNTIF(A:A,Table10[[#This Row],[Pcode]])-1</f>
        <v>0</v>
      </c>
    </row>
    <row r="23" spans="1:20" x14ac:dyDescent="0.25">
      <c r="A23" s="259" t="s">
        <v>195</v>
      </c>
      <c r="B23" s="18" t="str">
        <f ca="1">OFFSET(CampList[Priority],MATCH(Table10[[#This Row],[Pcode]],CampList[CP_Pcode],0)-1,0,1,1)</f>
        <v>P2</v>
      </c>
      <c r="C23" s="18" t="str">
        <f ca="1">OFFSET(CampList[Camp],MATCH(Table10[[#This Row],[Pcode]],CampList[CP_Pcode],0)-1,0,1,1)</f>
        <v xml:space="preserve">Je Yang Hka </v>
      </c>
      <c r="D23" s="18" t="str">
        <f ca="1">OFFSET(CampList[Township],MATCH(Table10[[#This Row],[Pcode]],CampList[CP_Pcode],0)-1,0,1,1)</f>
        <v>Waingmaw</v>
      </c>
      <c r="E23" s="18">
        <f ca="1">OFFSET(CampList[HH],MATCH(Table10[[#This Row],[Pcode]],CampList[CP_Pcode],0)-1,0,1,1)</f>
        <v>1649</v>
      </c>
      <c r="F23" s="18">
        <f ca="1">OFFSET(CampList[Total],MATCH(Table10[[#This Row],[Pcode]],CampList[CP_Pcode],0)-1,0,1,1)</f>
        <v>8965</v>
      </c>
      <c r="G23" s="277">
        <f>SUMIF('NFI Tracking'!AQ$11:AQ$1048576,Table10[[#This Row],[Pcode]],'NFI Tracking'!AI$11:AI$1048576)</f>
        <v>0</v>
      </c>
      <c r="H23" s="277">
        <f>SUMIF('NFI Tracking'!AQ$11:AQ$1048576,Table10[[#This Row],[Pcode]],'NFI Tracking'!AJ$11:AJ$1048576)</f>
        <v>0</v>
      </c>
      <c r="I23" s="277">
        <f>SUMIF('NFI Tracking'!AQ$11:AQ$1048576,Table10[[#This Row],[Pcode]],'NFI Tracking'!AK$11:AK$1048576)</f>
        <v>0</v>
      </c>
      <c r="J23" s="277">
        <f ca="1">MAX(Table10[[#This Row],[HH]]*VLOOKUP("Winter Clothes Adult",NFI,6)-Table10[[#This Row],[Winter Clothes Adult ]],0)</f>
        <v>3298</v>
      </c>
      <c r="K23" s="277">
        <f ca="1">MAX(Table10[[#This Row],[HH]]*VLOOKUP("Winter Clothes Children ",NFI,6)-Table10[[#This Row],[Winter Clothes Children ]],0)</f>
        <v>1649</v>
      </c>
      <c r="L23" s="277">
        <f ca="1">MAX(Table10[[#This Row],[HH]]*VLOOKUP("Winter Items Other ",NFI,6)-Table10[[#This Row],[Winter Items Other ]],0)</f>
        <v>1649</v>
      </c>
      <c r="M23" s="310" t="str">
        <f>IF(OR(Table10[[#This Row],[Winter Clothes Adult ]]&lt;&gt;0,Table10[[#This Row],[Winter Clothes Children ]]&lt;&gt;0,Table10[[#This Row],[Winter Items Other ]]&lt;&gt;0),"No","")</f>
        <v/>
      </c>
      <c r="N23" s="311">
        <f>COUNTIF(A:A,Table10[[#This Row],[Pcode]])-1</f>
        <v>0</v>
      </c>
    </row>
    <row r="24" spans="1:20" x14ac:dyDescent="0.25">
      <c r="A24" s="259" t="s">
        <v>218</v>
      </c>
      <c r="B24" s="18" t="str">
        <f ca="1">OFFSET(CampList[Priority],MATCH(Table10[[#This Row],[Pcode]],CampList[CP_Pcode],0)-1,0,1,1)</f>
        <v>P2</v>
      </c>
      <c r="C24" s="18" t="str">
        <f ca="1">OFFSET(CampList[Camp],MATCH(Table10[[#This Row],[Pcode]],CampList[CP_Pcode],0)-1,0,1,1)</f>
        <v xml:space="preserve">Pa Kahtawng </v>
      </c>
      <c r="D24" s="18" t="str">
        <f ca="1">OFFSET(CampList[Township],MATCH(Table10[[#This Row],[Pcode]],CampList[CP_Pcode],0)-1,0,1,1)</f>
        <v>Momauk</v>
      </c>
      <c r="E24" s="18">
        <f ca="1">OFFSET(CampList[HH],MATCH(Table10[[#This Row],[Pcode]],CampList[CP_Pcode],0)-1,0,1,1)</f>
        <v>669</v>
      </c>
      <c r="F24" s="18">
        <f ca="1">OFFSET(CampList[Total],MATCH(Table10[[#This Row],[Pcode]],CampList[CP_Pcode],0)-1,0,1,1)</f>
        <v>3643</v>
      </c>
      <c r="G24" s="277">
        <f>SUMIF('NFI Tracking'!AQ$11:AQ$1048576,Table10[[#This Row],[Pcode]],'NFI Tracking'!AI$11:AI$1048576)</f>
        <v>0</v>
      </c>
      <c r="H24" s="277">
        <f>SUMIF('NFI Tracking'!AQ$11:AQ$1048576,Table10[[#This Row],[Pcode]],'NFI Tracking'!AJ$11:AJ$1048576)</f>
        <v>0</v>
      </c>
      <c r="I24" s="277">
        <f>SUMIF('NFI Tracking'!AQ$11:AQ$1048576,Table10[[#This Row],[Pcode]],'NFI Tracking'!AK$11:AK$1048576)</f>
        <v>0</v>
      </c>
      <c r="J24" s="277">
        <f ca="1">MAX(Table10[[#This Row],[HH]]*VLOOKUP("Winter Clothes Adult",NFI,6)-Table10[[#This Row],[Winter Clothes Adult ]],0)</f>
        <v>1338</v>
      </c>
      <c r="K24" s="277">
        <f ca="1">MAX(Table10[[#This Row],[HH]]*VLOOKUP("Winter Clothes Children ",NFI,6)-Table10[[#This Row],[Winter Clothes Children ]],0)</f>
        <v>669</v>
      </c>
      <c r="L24" s="277">
        <f ca="1">MAX(Table10[[#This Row],[HH]]*VLOOKUP("Winter Items Other ",NFI,6)-Table10[[#This Row],[Winter Items Other ]],0)</f>
        <v>669</v>
      </c>
      <c r="M24" s="310" t="str">
        <f>IF(OR(Table10[[#This Row],[Winter Clothes Adult ]]&lt;&gt;0,Table10[[#This Row],[Winter Clothes Children ]]&lt;&gt;0,Table10[[#This Row],[Winter Items Other ]]&lt;&gt;0),"No","")</f>
        <v/>
      </c>
      <c r="N24" s="311">
        <f>COUNTIF(A:A,Table10[[#This Row],[Pcode]])-1</f>
        <v>0</v>
      </c>
    </row>
    <row r="25" spans="1:20" x14ac:dyDescent="0.25">
      <c r="A25" s="259" t="s">
        <v>191</v>
      </c>
      <c r="B25" s="18" t="str">
        <f ca="1">OFFSET(CampList[Priority],MATCH(Table10[[#This Row],[Pcode]],CampList[CP_Pcode],0)-1,0,1,1)</f>
        <v>P2</v>
      </c>
      <c r="C25" s="18" t="str">
        <f ca="1">OFFSET(CampList[Camp],MATCH(Table10[[#This Row],[Pcode]],CampList[CP_Pcode],0)-1,0,1,1)</f>
        <v xml:space="preserve">Dum Bung </v>
      </c>
      <c r="D25" s="18" t="str">
        <f ca="1">OFFSET(CampList[Township],MATCH(Table10[[#This Row],[Pcode]],CampList[CP_Pcode],0)-1,0,1,1)</f>
        <v>Momauk</v>
      </c>
      <c r="E25" s="18">
        <f ca="1">OFFSET(CampList[HH],MATCH(Table10[[#This Row],[Pcode]],CampList[CP_Pcode],0)-1,0,1,1)</f>
        <v>109</v>
      </c>
      <c r="F25" s="18">
        <f ca="1">OFFSET(CampList[Total],MATCH(Table10[[#This Row],[Pcode]],CampList[CP_Pcode],0)-1,0,1,1)</f>
        <v>408</v>
      </c>
      <c r="G25" s="277">
        <f>SUMIF('NFI Tracking'!AQ$11:AQ$1048576,Table10[[#This Row],[Pcode]],'NFI Tracking'!AI$11:AI$1048576)</f>
        <v>0</v>
      </c>
      <c r="H25" s="277">
        <f>SUMIF('NFI Tracking'!AQ$11:AQ$1048576,Table10[[#This Row],[Pcode]],'NFI Tracking'!AJ$11:AJ$1048576)</f>
        <v>0</v>
      </c>
      <c r="I25" s="277">
        <f>SUMIF('NFI Tracking'!AQ$11:AQ$1048576,Table10[[#This Row],[Pcode]],'NFI Tracking'!AK$11:AK$1048576)</f>
        <v>0</v>
      </c>
      <c r="J25" s="277">
        <f ca="1">MAX(Table10[[#This Row],[HH]]*VLOOKUP("Winter Clothes Adult",NFI,6)-Table10[[#This Row],[Winter Clothes Adult ]],0)</f>
        <v>218</v>
      </c>
      <c r="K25" s="277">
        <f ca="1">MAX(Table10[[#This Row],[HH]]*VLOOKUP("Winter Clothes Children ",NFI,6)-Table10[[#This Row],[Winter Clothes Children ]],0)</f>
        <v>109</v>
      </c>
      <c r="L25" s="277">
        <f ca="1">MAX(Table10[[#This Row],[HH]]*VLOOKUP("Winter Items Other ",NFI,6)-Table10[[#This Row],[Winter Items Other ]],0)</f>
        <v>109</v>
      </c>
      <c r="M25" s="310" t="str">
        <f>IF(OR(Table10[[#This Row],[Winter Clothes Adult ]]&lt;&gt;0,Table10[[#This Row],[Winter Clothes Children ]]&lt;&gt;0,Table10[[#This Row],[Winter Items Other ]]&lt;&gt;0),"No","")</f>
        <v/>
      </c>
      <c r="N25" s="311">
        <f>COUNTIF(A:A,Table10[[#This Row],[Pcode]])-1</f>
        <v>0</v>
      </c>
    </row>
    <row r="26" spans="1:20" x14ac:dyDescent="0.25">
      <c r="A26" s="259" t="s">
        <v>814</v>
      </c>
      <c r="B26" s="18" t="str">
        <f ca="1">OFFSET(CampList[Priority],MATCH(Table10[[#This Row],[Pcode]],CampList[CP_Pcode],0)-1,0,1,1)</f>
        <v>P2</v>
      </c>
      <c r="C26" s="18" t="str">
        <f ca="1">OFFSET(CampList[Camp],MATCH(Table10[[#This Row],[Pcode]],CampList[CP_Pcode],0)-1,0,1,1)</f>
        <v>IDP Boarding School, A Len Bum</v>
      </c>
      <c r="D26" s="18" t="str">
        <f ca="1">OFFSET(CampList[Township],MATCH(Table10[[#This Row],[Pcode]],CampList[CP_Pcode],0)-1,0,1,1)</f>
        <v>Waingmaw</v>
      </c>
      <c r="E26" s="18">
        <f ca="1">OFFSET(CampList[HH],MATCH(Table10[[#This Row],[Pcode]],CampList[CP_Pcode],0)-1,0,1,1)</f>
        <v>0</v>
      </c>
      <c r="F26" s="18">
        <f ca="1">OFFSET(CampList[Total],MATCH(Table10[[#This Row],[Pcode]],CampList[CP_Pcode],0)-1,0,1,1)</f>
        <v>1047</v>
      </c>
      <c r="G26" s="277">
        <f>SUMIF('NFI Tracking'!AQ$11:AQ$1048576,Table10[[#This Row],[Pcode]],'NFI Tracking'!AI$11:AI$1048576)</f>
        <v>0</v>
      </c>
      <c r="H26" s="277">
        <f>SUMIF('NFI Tracking'!AQ$11:AQ$1048576,Table10[[#This Row],[Pcode]],'NFI Tracking'!AJ$11:AJ$1048576)</f>
        <v>0</v>
      </c>
      <c r="I26" s="277">
        <f>SUMIF('NFI Tracking'!AQ$11:AQ$1048576,Table10[[#This Row],[Pcode]],'NFI Tracking'!AK$11:AK$1048576)</f>
        <v>0</v>
      </c>
      <c r="J26" s="277">
        <f ca="1">MAX(Table10[[#This Row],[HH]]*VLOOKUP("Winter Clothes Adult",NFI,6)-Table10[[#This Row],[Winter Clothes Adult ]],0)</f>
        <v>0</v>
      </c>
      <c r="K26" s="277">
        <f ca="1">MAX(Table10[[#This Row],[HH]]*VLOOKUP("Winter Clothes Children ",NFI,6)-Table10[[#This Row],[Winter Clothes Children ]],0)</f>
        <v>0</v>
      </c>
      <c r="L26" s="277">
        <f ca="1">MAX(Table10[[#This Row],[HH]]*VLOOKUP("Winter Items Other ",NFI,6)-Table10[[#This Row],[Winter Items Other ]],0)</f>
        <v>0</v>
      </c>
      <c r="M26" s="310" t="str">
        <f>IF(OR(Table10[[#This Row],[Winter Clothes Adult ]]&lt;&gt;0,Table10[[#This Row],[Winter Clothes Children ]]&lt;&gt;0,Table10[[#This Row],[Winter Items Other ]]&lt;&gt;0),"No","")</f>
        <v/>
      </c>
      <c r="N26" s="311">
        <f>COUNTIF(A:A,Table10[[#This Row],[Pcode]])-1</f>
        <v>0</v>
      </c>
    </row>
    <row r="27" spans="1:20" x14ac:dyDescent="0.25">
      <c r="A27" s="259" t="s">
        <v>314</v>
      </c>
      <c r="B27" s="18" t="str">
        <f ca="1">OFFSET(CampList[Priority],MATCH(Table10[[#This Row],[Pcode]],CampList[CP_Pcode],0)-1,0,1,1)</f>
        <v>P2</v>
      </c>
      <c r="C27" s="18" t="str">
        <f ca="1">OFFSET(CampList[Camp],MATCH(Table10[[#This Row],[Pcode]],CampList[CP_Pcode],0)-1,0,1,1)</f>
        <v>Laiza Market 3 - Laiza Gat</v>
      </c>
      <c r="D27" s="18" t="str">
        <f ca="1">OFFSET(CampList[Township],MATCH(Table10[[#This Row],[Pcode]],CampList[CP_Pcode],0)-1,0,1,1)</f>
        <v>Waingmaw</v>
      </c>
      <c r="E27" s="18">
        <f ca="1">OFFSET(CampList[HH],MATCH(Table10[[#This Row],[Pcode]],CampList[CP_Pcode],0)-1,0,1,1)</f>
        <v>0</v>
      </c>
      <c r="F27" s="18">
        <f ca="1">OFFSET(CampList[Total],MATCH(Table10[[#This Row],[Pcode]],CampList[CP_Pcode],0)-1,0,1,1)</f>
        <v>0</v>
      </c>
      <c r="G27" s="277">
        <f>SUMIF('NFI Tracking'!AQ$11:AQ$1048576,Table10[[#This Row],[Pcode]],'NFI Tracking'!AI$11:AI$1048576)</f>
        <v>0</v>
      </c>
      <c r="H27" s="277">
        <f>SUMIF('NFI Tracking'!AQ$11:AQ$1048576,Table10[[#This Row],[Pcode]],'NFI Tracking'!AJ$11:AJ$1048576)</f>
        <v>0</v>
      </c>
      <c r="I27" s="277">
        <f>SUMIF('NFI Tracking'!AQ$11:AQ$1048576,Table10[[#This Row],[Pcode]],'NFI Tracking'!AK$11:AK$1048576)</f>
        <v>0</v>
      </c>
      <c r="J27" s="277">
        <f ca="1">MAX(Table10[[#This Row],[HH]]*VLOOKUP("Winter Clothes Adult",NFI,6)-Table10[[#This Row],[Winter Clothes Adult ]],0)</f>
        <v>0</v>
      </c>
      <c r="K27" s="277">
        <f ca="1">MAX(Table10[[#This Row],[HH]]*VLOOKUP("Winter Clothes Children ",NFI,6)-Table10[[#This Row],[Winter Clothes Children ]],0)</f>
        <v>0</v>
      </c>
      <c r="L27" s="277">
        <f ca="1">MAX(Table10[[#This Row],[HH]]*VLOOKUP("Winter Items Other ",NFI,6)-Table10[[#This Row],[Winter Items Other ]],0)</f>
        <v>0</v>
      </c>
      <c r="M27" s="310" t="str">
        <f>IF(OR(Table10[[#This Row],[Winter Clothes Adult ]]&lt;&gt;0,Table10[[#This Row],[Winter Clothes Children ]]&lt;&gt;0,Table10[[#This Row],[Winter Items Other ]]&lt;&gt;0),"No","")</f>
        <v/>
      </c>
      <c r="N27" s="311">
        <f>COUNTIF(A:A,Table10[[#This Row],[Pcode]])-1</f>
        <v>0</v>
      </c>
    </row>
    <row r="28" spans="1:20" x14ac:dyDescent="0.25">
      <c r="A28" s="259" t="s">
        <v>356</v>
      </c>
      <c r="B28" s="18" t="str">
        <f ca="1">OFFSET(CampList[Priority],MATCH(Table10[[#This Row],[Pcode]],CampList[CP_Pcode],0)-1,0,1,1)</f>
        <v>P2</v>
      </c>
      <c r="C28" s="18" t="str">
        <f ca="1">OFFSET(CampList[Camp],MATCH(Table10[[#This Row],[Pcode]],CampList[CP_Pcode],0)-1,0,1,1)</f>
        <v>Zai Awng - Mung Ga Zup</v>
      </c>
      <c r="D28" s="18" t="str">
        <f ca="1">OFFSET(CampList[Township],MATCH(Table10[[#This Row],[Pcode]],CampList[CP_Pcode],0)-1,0,1,1)</f>
        <v>Waingmaw</v>
      </c>
      <c r="E28" s="18">
        <f ca="1">OFFSET(CampList[HH],MATCH(Table10[[#This Row],[Pcode]],CampList[CP_Pcode],0)-1,0,1,1)</f>
        <v>604</v>
      </c>
      <c r="F28" s="18">
        <f ca="1">OFFSET(CampList[Total],MATCH(Table10[[#This Row],[Pcode]],CampList[CP_Pcode],0)-1,0,1,1)</f>
        <v>2785</v>
      </c>
      <c r="G28" s="277">
        <f>SUMIF('NFI Tracking'!AQ$11:AQ$1048576,Table10[[#This Row],[Pcode]],'NFI Tracking'!AI$11:AI$1048576)</f>
        <v>0</v>
      </c>
      <c r="H28" s="277">
        <f>SUMIF('NFI Tracking'!AQ$11:AQ$1048576,Table10[[#This Row],[Pcode]],'NFI Tracking'!AJ$11:AJ$1048576)</f>
        <v>0</v>
      </c>
      <c r="I28" s="277">
        <f>SUMIF('NFI Tracking'!AQ$11:AQ$1048576,Table10[[#This Row],[Pcode]],'NFI Tracking'!AK$11:AK$1048576)</f>
        <v>0</v>
      </c>
      <c r="J28" s="277">
        <f ca="1">MAX(Table10[[#This Row],[HH]]*VLOOKUP("Winter Clothes Adult",NFI,6)-Table10[[#This Row],[Winter Clothes Adult ]],0)</f>
        <v>1208</v>
      </c>
      <c r="K28" s="277">
        <f ca="1">MAX(Table10[[#This Row],[HH]]*VLOOKUP("Winter Clothes Children ",NFI,6)-Table10[[#This Row],[Winter Clothes Children ]],0)</f>
        <v>604</v>
      </c>
      <c r="L28" s="277">
        <f ca="1">MAX(Table10[[#This Row],[HH]]*VLOOKUP("Winter Items Other ",NFI,6)-Table10[[#This Row],[Winter Items Other ]],0)</f>
        <v>604</v>
      </c>
      <c r="M28" s="310" t="str">
        <f>IF(OR(Table10[[#This Row],[Winter Clothes Adult ]]&lt;&gt;0,Table10[[#This Row],[Winter Clothes Children ]]&lt;&gt;0,Table10[[#This Row],[Winter Items Other ]]&lt;&gt;0),"No","")</f>
        <v/>
      </c>
      <c r="N28" s="311">
        <f>COUNTIF(A:A,Table10[[#This Row],[Pcode]])-1</f>
        <v>0</v>
      </c>
    </row>
    <row r="29" spans="1:20" x14ac:dyDescent="0.25">
      <c r="A29" s="259" t="s">
        <v>321</v>
      </c>
      <c r="B29" s="18" t="str">
        <f ca="1">OFFSET(CampList[Priority],MATCH(Table10[[#This Row],[Pcode]],CampList[CP_Pcode],0)-1,0,1,1)</f>
        <v>P2</v>
      </c>
      <c r="C29" s="18" t="str">
        <f ca="1">OFFSET(CampList[Camp],MATCH(Table10[[#This Row],[Pcode]],CampList[CP_Pcode],0)-1,0,1,1)</f>
        <v xml:space="preserve">Maga Yang </v>
      </c>
      <c r="D29" s="18" t="str">
        <f ca="1">OFFSET(CampList[Township],MATCH(Table10[[#This Row],[Pcode]],CampList[CP_Pcode],0)-1,0,1,1)</f>
        <v>Waingmaw</v>
      </c>
      <c r="E29" s="18">
        <f ca="1">OFFSET(CampList[HH],MATCH(Table10[[#This Row],[Pcode]],CampList[CP_Pcode],0)-1,0,1,1)</f>
        <v>585</v>
      </c>
      <c r="F29" s="18">
        <f ca="1">OFFSET(CampList[Total],MATCH(Table10[[#This Row],[Pcode]],CampList[CP_Pcode],0)-1,0,1,1)</f>
        <v>2585</v>
      </c>
      <c r="G29" s="277">
        <f>SUMIF('NFI Tracking'!AQ$11:AQ$1048576,Table10[[#This Row],[Pcode]],'NFI Tracking'!AI$11:AI$1048576)</f>
        <v>0</v>
      </c>
      <c r="H29" s="277">
        <f>SUMIF('NFI Tracking'!AQ$11:AQ$1048576,Table10[[#This Row],[Pcode]],'NFI Tracking'!AJ$11:AJ$1048576)</f>
        <v>0</v>
      </c>
      <c r="I29" s="277">
        <f>SUMIF('NFI Tracking'!AQ$11:AQ$1048576,Table10[[#This Row],[Pcode]],'NFI Tracking'!AK$11:AK$1048576)</f>
        <v>0</v>
      </c>
      <c r="J29" s="277">
        <f ca="1">MAX(Table10[[#This Row],[HH]]*VLOOKUP("Winter Clothes Adult",NFI,6)-Table10[[#This Row],[Winter Clothes Adult ]],0)</f>
        <v>1170</v>
      </c>
      <c r="K29" s="277">
        <f ca="1">MAX(Table10[[#This Row],[HH]]*VLOOKUP("Winter Clothes Children ",NFI,6)-Table10[[#This Row],[Winter Clothes Children ]],0)</f>
        <v>585</v>
      </c>
      <c r="L29" s="277">
        <f ca="1">MAX(Table10[[#This Row],[HH]]*VLOOKUP("Winter Items Other ",NFI,6)-Table10[[#This Row],[Winter Items Other ]],0)</f>
        <v>585</v>
      </c>
      <c r="M29" s="310" t="str">
        <f>IF(OR(Table10[[#This Row],[Winter Clothes Adult ]]&lt;&gt;0,Table10[[#This Row],[Winter Clothes Children ]]&lt;&gt;0,Table10[[#This Row],[Winter Items Other ]]&lt;&gt;0),"No","")</f>
        <v/>
      </c>
      <c r="N29" s="311">
        <f>COUNTIF(A:A,Table10[[#This Row],[Pcode]])-1</f>
        <v>0</v>
      </c>
    </row>
    <row r="30" spans="1:20" x14ac:dyDescent="0.25">
      <c r="A30" s="259" t="s">
        <v>165</v>
      </c>
      <c r="B30" s="18" t="str">
        <f ca="1">OFFSET(CampList[Priority],MATCH(Table10[[#This Row],[Pcode]],CampList[CP_Pcode],0)-1,0,1,1)</f>
        <v>P2</v>
      </c>
      <c r="C30" s="18" t="str">
        <f ca="1">OFFSET(CampList[Camp],MATCH(Table10[[#This Row],[Pcode]],CampList[CP_Pcode],0)-1,0,1,1)</f>
        <v>Mandung - Jinghpaw</v>
      </c>
      <c r="D30" s="18" t="str">
        <f ca="1">OFFSET(CampList[Township],MATCH(Table10[[#This Row],[Pcode]],CampList[CP_Pcode],0)-1,0,1,1)</f>
        <v>Manton</v>
      </c>
      <c r="E30" s="18">
        <f ca="1">OFFSET(CampList[HH],MATCH(Table10[[#This Row],[Pcode]],CampList[CP_Pcode],0)-1,0,1,1)</f>
        <v>36</v>
      </c>
      <c r="F30" s="18">
        <f ca="1">OFFSET(CampList[Total],MATCH(Table10[[#This Row],[Pcode]],CampList[CP_Pcode],0)-1,0,1,1)</f>
        <v>173</v>
      </c>
      <c r="G30" s="277">
        <f>SUMIF('NFI Tracking'!AQ$11:AQ$1048576,Table10[[#This Row],[Pcode]],'NFI Tracking'!AI$11:AI$1048576)</f>
        <v>0</v>
      </c>
      <c r="H30" s="277">
        <f>SUMIF('NFI Tracking'!AQ$11:AQ$1048576,Table10[[#This Row],[Pcode]],'NFI Tracking'!AJ$11:AJ$1048576)</f>
        <v>0</v>
      </c>
      <c r="I30" s="277">
        <f>SUMIF('NFI Tracking'!AQ$11:AQ$1048576,Table10[[#This Row],[Pcode]],'NFI Tracking'!AK$11:AK$1048576)</f>
        <v>0</v>
      </c>
      <c r="J30" s="277">
        <f ca="1">MAX(Table10[[#This Row],[HH]]*VLOOKUP("Winter Clothes Adult",NFI,6)-Table10[[#This Row],[Winter Clothes Adult ]],0)</f>
        <v>72</v>
      </c>
      <c r="K30" s="277">
        <f ca="1">MAX(Table10[[#This Row],[HH]]*VLOOKUP("Winter Clothes Children ",NFI,6)-Table10[[#This Row],[Winter Clothes Children ]],0)</f>
        <v>36</v>
      </c>
      <c r="L30" s="277">
        <f ca="1">MAX(Table10[[#This Row],[HH]]*VLOOKUP("Winter Items Other ",NFI,6)-Table10[[#This Row],[Winter Items Other ]],0)</f>
        <v>36</v>
      </c>
      <c r="M30" s="310" t="str">
        <f>IF(OR(Table10[[#This Row],[Winter Clothes Adult ]]&lt;&gt;0,Table10[[#This Row],[Winter Clothes Children ]]&lt;&gt;0,Table10[[#This Row],[Winter Items Other ]]&lt;&gt;0),"No","")</f>
        <v/>
      </c>
      <c r="N30" s="311">
        <f>COUNTIF(A:A,Table10[[#This Row],[Pcode]])-1</f>
        <v>0</v>
      </c>
    </row>
    <row r="31" spans="1:20" x14ac:dyDescent="0.25">
      <c r="A31" s="259" t="s">
        <v>837</v>
      </c>
      <c r="B31" s="18" t="str">
        <f ca="1">OFFSET(CampList[Priority],MATCH(Table10[[#This Row],[Pcode]],CampList[CP_Pcode],0)-1,0,1,1)</f>
        <v>P2</v>
      </c>
      <c r="C31" s="18" t="str">
        <f ca="1">OFFSET(CampList[Camp],MATCH(Table10[[#This Row],[Pcode]],CampList[CP_Pcode],0)-1,0,1,1)</f>
        <v>Nam Hkawng</v>
      </c>
      <c r="D31" s="18" t="str">
        <f ca="1">OFFSET(CampList[Township],MATCH(Table10[[#This Row],[Pcode]],CampList[CP_Pcode],0)-1,0,1,1)</f>
        <v>Muse</v>
      </c>
      <c r="E31" s="18">
        <f ca="1">OFFSET(CampList[HH],MATCH(Table10[[#This Row],[Pcode]],CampList[CP_Pcode],0)-1,0,1,1)</f>
        <v>0</v>
      </c>
      <c r="F31" s="18">
        <f ca="1">OFFSET(CampList[Total],MATCH(Table10[[#This Row],[Pcode]],CampList[CP_Pcode],0)-1,0,1,1)</f>
        <v>0</v>
      </c>
      <c r="G31" s="277">
        <f>SUMIF('NFI Tracking'!AQ$11:AQ$1048576,Table10[[#This Row],[Pcode]],'NFI Tracking'!AI$11:AI$1048576)</f>
        <v>0</v>
      </c>
      <c r="H31" s="277">
        <f>SUMIF('NFI Tracking'!AQ$11:AQ$1048576,Table10[[#This Row],[Pcode]],'NFI Tracking'!AJ$11:AJ$1048576)</f>
        <v>0</v>
      </c>
      <c r="I31" s="277">
        <f>SUMIF('NFI Tracking'!AQ$11:AQ$1048576,Table10[[#This Row],[Pcode]],'NFI Tracking'!AK$11:AK$1048576)</f>
        <v>0</v>
      </c>
      <c r="J31" s="277">
        <f ca="1">MAX(Table10[[#This Row],[HH]]*VLOOKUP("Winter Clothes Adult",NFI,6)-Table10[[#This Row],[Winter Clothes Adult ]],0)</f>
        <v>0</v>
      </c>
      <c r="K31" s="277">
        <f ca="1">MAX(Table10[[#This Row],[HH]]*VLOOKUP("Winter Clothes Children ",NFI,6)-Table10[[#This Row],[Winter Clothes Children ]],0)</f>
        <v>0</v>
      </c>
      <c r="L31" s="277">
        <f ca="1">MAX(Table10[[#This Row],[HH]]*VLOOKUP("Winter Items Other ",NFI,6)-Table10[[#This Row],[Winter Items Other ]],0)</f>
        <v>0</v>
      </c>
      <c r="M31" s="310" t="str">
        <f>IF(OR(Table10[[#This Row],[Winter Clothes Adult ]]&lt;&gt;0,Table10[[#This Row],[Winter Clothes Children ]]&lt;&gt;0,Table10[[#This Row],[Winter Items Other ]]&lt;&gt;0),"No","")</f>
        <v/>
      </c>
      <c r="N31" s="311">
        <f>COUNTIF(A:A,Table10[[#This Row],[Pcode]])-1</f>
        <v>0</v>
      </c>
    </row>
    <row r="32" spans="1:20" x14ac:dyDescent="0.25">
      <c r="A32" s="259" t="s">
        <v>184</v>
      </c>
      <c r="B32" s="18" t="str">
        <f ca="1">OFFSET(CampList[Priority],MATCH(Table10[[#This Row],[Pcode]],CampList[CP_Pcode],0)-1,0,1,1)</f>
        <v>P3</v>
      </c>
      <c r="C32" s="18" t="str">
        <f ca="1">OFFSET(CampList[Camp],MATCH(Table10[[#This Row],[Pcode]],CampList[CP_Pcode],0)-1,0,1,1)</f>
        <v>Loi Je Baptist Church</v>
      </c>
      <c r="D32" s="18" t="str">
        <f ca="1">OFFSET(CampList[Township],MATCH(Table10[[#This Row],[Pcode]],CampList[CP_Pcode],0)-1,0,1,1)</f>
        <v>Momauk</v>
      </c>
      <c r="E32" s="18">
        <f ca="1">OFFSET(CampList[HH],MATCH(Table10[[#This Row],[Pcode]],CampList[CP_Pcode],0)-1,0,1,1)</f>
        <v>39</v>
      </c>
      <c r="F32" s="18">
        <f ca="1">OFFSET(CampList[Total],MATCH(Table10[[#This Row],[Pcode]],CampList[CP_Pcode],0)-1,0,1,1)</f>
        <v>233</v>
      </c>
      <c r="G32" s="277">
        <f>SUMIF('NFI Tracking'!AQ$11:AQ$1048576,Table10[[#This Row],[Pcode]],'NFI Tracking'!AI$11:AI$1048576)</f>
        <v>0</v>
      </c>
      <c r="H32" s="277">
        <f>SUMIF('NFI Tracking'!AQ$11:AQ$1048576,Table10[[#This Row],[Pcode]],'NFI Tracking'!AJ$11:AJ$1048576)</f>
        <v>0</v>
      </c>
      <c r="I32" s="277">
        <f>SUMIF('NFI Tracking'!AQ$11:AQ$1048576,Table10[[#This Row],[Pcode]],'NFI Tracking'!AK$11:AK$1048576)</f>
        <v>0</v>
      </c>
      <c r="J32" s="277">
        <f ca="1">MAX(Table10[[#This Row],[HH]]*VLOOKUP("Winter Clothes Adult",NFI,6)-Table10[[#This Row],[Winter Clothes Adult ]],0)</f>
        <v>78</v>
      </c>
      <c r="K32" s="277">
        <f ca="1">MAX(Table10[[#This Row],[HH]]*VLOOKUP("Winter Clothes Children ",NFI,6)-Table10[[#This Row],[Winter Clothes Children ]],0)</f>
        <v>39</v>
      </c>
      <c r="L32" s="277">
        <f ca="1">MAX(Table10[[#This Row],[HH]]*VLOOKUP("Winter Items Other ",NFI,6)-Table10[[#This Row],[Winter Items Other ]],0)</f>
        <v>39</v>
      </c>
      <c r="M32" s="310" t="str">
        <f>IF(OR(Table10[[#This Row],[Winter Clothes Adult ]]&lt;&gt;0,Table10[[#This Row],[Winter Clothes Children ]]&lt;&gt;0,Table10[[#This Row],[Winter Items Other ]]&lt;&gt;0),"No","")</f>
        <v/>
      </c>
      <c r="N32" s="311">
        <f>COUNTIF(A:A,Table10[[#This Row],[Pcode]])-1</f>
        <v>0</v>
      </c>
    </row>
    <row r="33" spans="1:14" x14ac:dyDescent="0.25">
      <c r="A33" s="259" t="s">
        <v>222</v>
      </c>
      <c r="B33" s="18" t="str">
        <f ca="1">OFFSET(CampList[Priority],MATCH(Table10[[#This Row],[Pcode]],CampList[CP_Pcode],0)-1,0,1,1)</f>
        <v>P3</v>
      </c>
      <c r="C33" s="18" t="str">
        <f ca="1">OFFSET(CampList[Camp],MATCH(Table10[[#This Row],[Pcode]],CampList[CP_Pcode],0)-1,0,1,1)</f>
        <v>Loi Je Catholic Church</v>
      </c>
      <c r="D33" s="18" t="str">
        <f ca="1">OFFSET(CampList[Township],MATCH(Table10[[#This Row],[Pcode]],CampList[CP_Pcode],0)-1,0,1,1)</f>
        <v>Momauk</v>
      </c>
      <c r="E33" s="18">
        <f ca="1">OFFSET(CampList[HH],MATCH(Table10[[#This Row],[Pcode]],CampList[CP_Pcode],0)-1,0,1,1)</f>
        <v>124</v>
      </c>
      <c r="F33" s="18">
        <f ca="1">OFFSET(CampList[Total],MATCH(Table10[[#This Row],[Pcode]],CampList[CP_Pcode],0)-1,0,1,1)</f>
        <v>651</v>
      </c>
      <c r="G33" s="277">
        <f>SUMIF('NFI Tracking'!AQ$11:AQ$1048576,Table10[[#This Row],[Pcode]],'NFI Tracking'!AI$11:AI$1048576)</f>
        <v>0</v>
      </c>
      <c r="H33" s="277">
        <f>SUMIF('NFI Tracking'!AQ$11:AQ$1048576,Table10[[#This Row],[Pcode]],'NFI Tracking'!AJ$11:AJ$1048576)</f>
        <v>0</v>
      </c>
      <c r="I33" s="277">
        <f>SUMIF('NFI Tracking'!AQ$11:AQ$1048576,Table10[[#This Row],[Pcode]],'NFI Tracking'!AK$11:AK$1048576)</f>
        <v>0</v>
      </c>
      <c r="J33" s="277">
        <f ca="1">MAX(Table10[[#This Row],[HH]]*VLOOKUP("Winter Clothes Adult",NFI,6)-Table10[[#This Row],[Winter Clothes Adult ]],0)</f>
        <v>248</v>
      </c>
      <c r="K33" s="277">
        <f ca="1">MAX(Table10[[#This Row],[HH]]*VLOOKUP("Winter Clothes Children ",NFI,6)-Table10[[#This Row],[Winter Clothes Children ]],0)</f>
        <v>124</v>
      </c>
      <c r="L33" s="277">
        <f ca="1">MAX(Table10[[#This Row],[HH]]*VLOOKUP("Winter Items Other ",NFI,6)-Table10[[#This Row],[Winter Items Other ]],0)</f>
        <v>124</v>
      </c>
      <c r="M33" s="310" t="str">
        <f>IF(OR(Table10[[#This Row],[Winter Clothes Adult ]]&lt;&gt;0,Table10[[#This Row],[Winter Clothes Children ]]&lt;&gt;0,Table10[[#This Row],[Winter Items Other ]]&lt;&gt;0),"No","")</f>
        <v/>
      </c>
      <c r="N33" s="311">
        <f>COUNTIF(A:A,Table10[[#This Row],[Pcode]])-1</f>
        <v>0</v>
      </c>
    </row>
    <row r="34" spans="1:14" x14ac:dyDescent="0.25">
      <c r="A34" s="259" t="s">
        <v>189</v>
      </c>
      <c r="B34" s="18" t="str">
        <f ca="1">OFFSET(CampList[Priority],MATCH(Table10[[#This Row],[Pcode]],CampList[CP_Pcode],0)-1,0,1,1)</f>
        <v>P3</v>
      </c>
      <c r="C34" s="18" t="str">
        <f ca="1">OFFSET(CampList[Camp],MATCH(Table10[[#This Row],[Pcode]],CampList[CP_Pcode],0)-1,0,1,1)</f>
        <v>Loi Je Lisu Camp</v>
      </c>
      <c r="D34" s="18" t="str">
        <f ca="1">OFFSET(CampList[Township],MATCH(Table10[[#This Row],[Pcode]],CampList[CP_Pcode],0)-1,0,1,1)</f>
        <v>Momauk</v>
      </c>
      <c r="E34" s="18">
        <f ca="1">OFFSET(CampList[HH],MATCH(Table10[[#This Row],[Pcode]],CampList[CP_Pcode],0)-1,0,1,1)</f>
        <v>192</v>
      </c>
      <c r="F34" s="18">
        <f ca="1">OFFSET(CampList[Total],MATCH(Table10[[#This Row],[Pcode]],CampList[CP_Pcode],0)-1,0,1,1)</f>
        <v>1044</v>
      </c>
      <c r="G34" s="277">
        <f>SUMIF('NFI Tracking'!AQ$11:AQ$1048576,Table10[[#This Row],[Pcode]],'NFI Tracking'!AI$11:AI$1048576)</f>
        <v>0</v>
      </c>
      <c r="H34" s="277">
        <f>SUMIF('NFI Tracking'!AQ$11:AQ$1048576,Table10[[#This Row],[Pcode]],'NFI Tracking'!AJ$11:AJ$1048576)</f>
        <v>0</v>
      </c>
      <c r="I34" s="277">
        <f>SUMIF('NFI Tracking'!AQ$11:AQ$1048576,Table10[[#This Row],[Pcode]],'NFI Tracking'!AK$11:AK$1048576)</f>
        <v>0</v>
      </c>
      <c r="J34" s="277">
        <f ca="1">MAX(Table10[[#This Row],[HH]]*VLOOKUP("Winter Clothes Adult",NFI,6)-Table10[[#This Row],[Winter Clothes Adult ]],0)</f>
        <v>384</v>
      </c>
      <c r="K34" s="277">
        <f ca="1">MAX(Table10[[#This Row],[HH]]*VLOOKUP("Winter Clothes Children ",NFI,6)-Table10[[#This Row],[Winter Clothes Children ]],0)</f>
        <v>192</v>
      </c>
      <c r="L34" s="277">
        <f ca="1">MAX(Table10[[#This Row],[HH]]*VLOOKUP("Winter Items Other ",NFI,6)-Table10[[#This Row],[Winter Items Other ]],0)</f>
        <v>192</v>
      </c>
      <c r="M34" s="310" t="str">
        <f>IF(OR(Table10[[#This Row],[Winter Clothes Adult ]]&lt;&gt;0,Table10[[#This Row],[Winter Clothes Children ]]&lt;&gt;0,Table10[[#This Row],[Winter Items Other ]]&lt;&gt;0),"No","")</f>
        <v/>
      </c>
      <c r="N34" s="311">
        <f>COUNTIF(A:A,Table10[[#This Row],[Pcode]])-1</f>
        <v>0</v>
      </c>
    </row>
    <row r="35" spans="1:14" x14ac:dyDescent="0.25">
      <c r="A35" s="259" t="s">
        <v>224</v>
      </c>
      <c r="B35" s="18" t="str">
        <f ca="1">OFFSET(CampList[Priority],MATCH(Table10[[#This Row],[Pcode]],CampList[CP_Pcode],0)-1,0,1,1)</f>
        <v>P3</v>
      </c>
      <c r="C35" s="18" t="str">
        <f ca="1">OFFSET(CampList[Camp],MATCH(Table10[[#This Row],[Pcode]],CampList[CP_Pcode],0)-1,0,1,1)</f>
        <v xml:space="preserve">Seng Ja </v>
      </c>
      <c r="D35" s="18" t="str">
        <f ca="1">OFFSET(CampList[Township],MATCH(Table10[[#This Row],[Pcode]],CampList[CP_Pcode],0)-1,0,1,1)</f>
        <v>Momauk</v>
      </c>
      <c r="E35" s="18">
        <f ca="1">OFFSET(CampList[HH],MATCH(Table10[[#This Row],[Pcode]],CampList[CP_Pcode],0)-1,0,1,1)</f>
        <v>41</v>
      </c>
      <c r="F35" s="18">
        <f ca="1">OFFSET(CampList[Total],MATCH(Table10[[#This Row],[Pcode]],CampList[CP_Pcode],0)-1,0,1,1)</f>
        <v>258</v>
      </c>
      <c r="G35" s="277">
        <f>SUMIF('NFI Tracking'!AQ$11:AQ$1048576,Table10[[#This Row],[Pcode]],'NFI Tracking'!AI$11:AI$1048576)</f>
        <v>0</v>
      </c>
      <c r="H35" s="277">
        <f>SUMIF('NFI Tracking'!AQ$11:AQ$1048576,Table10[[#This Row],[Pcode]],'NFI Tracking'!AJ$11:AJ$1048576)</f>
        <v>0</v>
      </c>
      <c r="I35" s="277">
        <f>SUMIF('NFI Tracking'!AQ$11:AQ$1048576,Table10[[#This Row],[Pcode]],'NFI Tracking'!AK$11:AK$1048576)</f>
        <v>0</v>
      </c>
      <c r="J35" s="277">
        <f ca="1">MAX(Table10[[#This Row],[HH]]*VLOOKUP("Winter Clothes Adult",NFI,6)-Table10[[#This Row],[Winter Clothes Adult ]],0)</f>
        <v>82</v>
      </c>
      <c r="K35" s="277">
        <f ca="1">MAX(Table10[[#This Row],[HH]]*VLOOKUP("Winter Clothes Children ",NFI,6)-Table10[[#This Row],[Winter Clothes Children ]],0)</f>
        <v>41</v>
      </c>
      <c r="L35" s="277">
        <f ca="1">MAX(Table10[[#This Row],[HH]]*VLOOKUP("Winter Items Other ",NFI,6)-Table10[[#This Row],[Winter Items Other ]],0)</f>
        <v>41</v>
      </c>
      <c r="M35" s="310" t="str">
        <f>IF(OR(Table10[[#This Row],[Winter Clothes Adult ]]&lt;&gt;0,Table10[[#This Row],[Winter Clothes Children ]]&lt;&gt;0,Table10[[#This Row],[Winter Items Other ]]&lt;&gt;0),"No","")</f>
        <v/>
      </c>
      <c r="N35" s="311">
        <f>COUNTIF(A:A,Table10[[#This Row],[Pcode]])-1</f>
        <v>0</v>
      </c>
    </row>
    <row r="36" spans="1:14" x14ac:dyDescent="0.25">
      <c r="A36" s="259" t="s">
        <v>228</v>
      </c>
      <c r="B36" s="18" t="str">
        <f ca="1">OFFSET(CampList[Priority],MATCH(Table10[[#This Row],[Pcode]],CampList[CP_Pcode],0)-1,0,1,1)</f>
        <v>P3</v>
      </c>
      <c r="C36" s="18" t="str">
        <f ca="1">OFFSET(CampList[Camp],MATCH(Table10[[#This Row],[Pcode]],CampList[CP_Pcode],0)-1,0,1,1)</f>
        <v xml:space="preserve">Nyaung Na Pin </v>
      </c>
      <c r="D36" s="18" t="str">
        <f ca="1">OFFSET(CampList[Township],MATCH(Table10[[#This Row],[Pcode]],CampList[CP_Pcode],0)-1,0,1,1)</f>
        <v>Momauk</v>
      </c>
      <c r="E36" s="18">
        <f ca="1">OFFSET(CampList[HH],MATCH(Table10[[#This Row],[Pcode]],CampList[CP_Pcode],0)-1,0,1,1)</f>
        <v>49</v>
      </c>
      <c r="F36" s="18">
        <f ca="1">OFFSET(CampList[Total],MATCH(Table10[[#This Row],[Pcode]],CampList[CP_Pcode],0)-1,0,1,1)</f>
        <v>295</v>
      </c>
      <c r="G36" s="277">
        <f>SUMIF('NFI Tracking'!AQ$11:AQ$1048576,Table10[[#This Row],[Pcode]],'NFI Tracking'!AI$11:AI$1048576)</f>
        <v>0</v>
      </c>
      <c r="H36" s="277">
        <f>SUMIF('NFI Tracking'!AQ$11:AQ$1048576,Table10[[#This Row],[Pcode]],'NFI Tracking'!AJ$11:AJ$1048576)</f>
        <v>0</v>
      </c>
      <c r="I36" s="277">
        <f>SUMIF('NFI Tracking'!AQ$11:AQ$1048576,Table10[[#This Row],[Pcode]],'NFI Tracking'!AK$11:AK$1048576)</f>
        <v>0</v>
      </c>
      <c r="J36" s="277">
        <f ca="1">MAX(Table10[[#This Row],[HH]]*VLOOKUP("Winter Clothes Adult",NFI,6)-Table10[[#This Row],[Winter Clothes Adult ]],0)</f>
        <v>98</v>
      </c>
      <c r="K36" s="277">
        <f ca="1">MAX(Table10[[#This Row],[HH]]*VLOOKUP("Winter Clothes Children ",NFI,6)-Table10[[#This Row],[Winter Clothes Children ]],0)</f>
        <v>49</v>
      </c>
      <c r="L36" s="277">
        <f ca="1">MAX(Table10[[#This Row],[HH]]*VLOOKUP("Winter Items Other ",NFI,6)-Table10[[#This Row],[Winter Items Other ]],0)</f>
        <v>49</v>
      </c>
      <c r="M36" s="310" t="str">
        <f>IF(OR(Table10[[#This Row],[Winter Clothes Adult ]]&lt;&gt;0,Table10[[#This Row],[Winter Clothes Children ]]&lt;&gt;0,Table10[[#This Row],[Winter Items Other ]]&lt;&gt;0),"No","")</f>
        <v/>
      </c>
      <c r="N36" s="311">
        <f>COUNTIF(A:A,Table10[[#This Row],[Pcode]])-1</f>
        <v>0</v>
      </c>
    </row>
    <row r="37" spans="1:14" x14ac:dyDescent="0.25">
      <c r="A37" s="259" t="s">
        <v>895</v>
      </c>
      <c r="B37" s="18" t="str">
        <f ca="1">OFFSET(CampList[Priority],MATCH(Table10[[#This Row],[Pcode]],CampList[CP_Pcode],0)-1,0,1,1)</f>
        <v>P3</v>
      </c>
      <c r="C37" s="18" t="str">
        <f ca="1">OFFSET(CampList[Camp],MATCH(Table10[[#This Row],[Pcode]],CampList[CP_Pcode],0)-1,0,1,1)</f>
        <v>Machanbaw - KBC</v>
      </c>
      <c r="D37" s="18" t="str">
        <f ca="1">OFFSET(CampList[Township],MATCH(Table10[[#This Row],[Pcode]],CampList[CP_Pcode],0)-1,0,1,1)</f>
        <v>Machanbaw</v>
      </c>
      <c r="E37" s="18">
        <f ca="1">OFFSET(CampList[HH],MATCH(Table10[[#This Row],[Pcode]],CampList[CP_Pcode],0)-1,0,1,1)</f>
        <v>0</v>
      </c>
      <c r="F37" s="18">
        <f ca="1">OFFSET(CampList[Total],MATCH(Table10[[#This Row],[Pcode]],CampList[CP_Pcode],0)-1,0,1,1)</f>
        <v>0</v>
      </c>
      <c r="G37" s="277">
        <f>SUMIF('NFI Tracking'!AQ$11:AQ$1048576,Table10[[#This Row],[Pcode]],'NFI Tracking'!AI$11:AI$1048576)</f>
        <v>0</v>
      </c>
      <c r="H37" s="277">
        <f>SUMIF('NFI Tracking'!AQ$11:AQ$1048576,Table10[[#This Row],[Pcode]],'NFI Tracking'!AJ$11:AJ$1048576)</f>
        <v>0</v>
      </c>
      <c r="I37" s="277">
        <f>SUMIF('NFI Tracking'!AQ$11:AQ$1048576,Table10[[#This Row],[Pcode]],'NFI Tracking'!AK$11:AK$1048576)</f>
        <v>0</v>
      </c>
      <c r="J37" s="277">
        <f ca="1">MAX(Table10[[#This Row],[HH]]*VLOOKUP("Winter Clothes Adult",NFI,6)-Table10[[#This Row],[Winter Clothes Adult ]],0)</f>
        <v>0</v>
      </c>
      <c r="K37" s="277">
        <f ca="1">MAX(Table10[[#This Row],[HH]]*VLOOKUP("Winter Clothes Children ",NFI,6)-Table10[[#This Row],[Winter Clothes Children ]],0)</f>
        <v>0</v>
      </c>
      <c r="L37" s="277">
        <f ca="1">MAX(Table10[[#This Row],[HH]]*VLOOKUP("Winter Items Other ",NFI,6)-Table10[[#This Row],[Winter Items Other ]],0)</f>
        <v>0</v>
      </c>
      <c r="M37" s="310" t="str">
        <f>IF(OR(Table10[[#This Row],[Winter Clothes Adult ]]&lt;&gt;0,Table10[[#This Row],[Winter Clothes Children ]]&lt;&gt;0,Table10[[#This Row],[Winter Items Other ]]&lt;&gt;0),"No","")</f>
        <v/>
      </c>
      <c r="N37" s="311">
        <f>COUNTIF(A:A,Table10[[#This Row],[Pcode]])-1</f>
        <v>0</v>
      </c>
    </row>
    <row r="38" spans="1:14" x14ac:dyDescent="0.25">
      <c r="A38" s="259" t="s">
        <v>1043</v>
      </c>
      <c r="B38" s="18" t="str">
        <f ca="1">OFFSET(CampList[Priority],MATCH(Table10[[#This Row],[Pcode]],CampList[CP_Pcode],0)-1,0,1,1)</f>
        <v>P3</v>
      </c>
      <c r="C38" s="18" t="str">
        <f ca="1">OFFSET(CampList[Camp],MATCH(Table10[[#This Row],[Pcode]],CampList[CP_Pcode],0)-1,0,1,1)</f>
        <v>Inn Lel Yan - Host Families</v>
      </c>
      <c r="D38" s="18" t="str">
        <f ca="1">OFFSET(CampList[Township],MATCH(Table10[[#This Row],[Pcode]],CampList[CP_Pcode],0)-1,0,1,1)</f>
        <v>Puta-O</v>
      </c>
      <c r="E38" s="18">
        <f ca="1">OFFSET(CampList[HH],MATCH(Table10[[#This Row],[Pcode]],CampList[CP_Pcode],0)-1,0,1,1)</f>
        <v>10</v>
      </c>
      <c r="F38" s="18">
        <f ca="1">OFFSET(CampList[Total],MATCH(Table10[[#This Row],[Pcode]],CampList[CP_Pcode],0)-1,0,1,1)</f>
        <v>56</v>
      </c>
      <c r="G38" s="277">
        <f>SUMIF('NFI Tracking'!AQ$11:AQ$1048576,Table10[[#This Row],[Pcode]],'NFI Tracking'!AI$11:AI$1048576)</f>
        <v>0</v>
      </c>
      <c r="H38" s="277">
        <f>SUMIF('NFI Tracking'!AQ$11:AQ$1048576,Table10[[#This Row],[Pcode]],'NFI Tracking'!AJ$11:AJ$1048576)</f>
        <v>0</v>
      </c>
      <c r="I38" s="277">
        <f>SUMIF('NFI Tracking'!AQ$11:AQ$1048576,Table10[[#This Row],[Pcode]],'NFI Tracking'!AK$11:AK$1048576)</f>
        <v>0</v>
      </c>
      <c r="J38" s="277">
        <f ca="1">MAX(Table10[[#This Row],[HH]]*VLOOKUP("Winter Clothes Adult",NFI,6)-Table10[[#This Row],[Winter Clothes Adult ]],0)</f>
        <v>20</v>
      </c>
      <c r="K38" s="277">
        <f ca="1">MAX(Table10[[#This Row],[HH]]*VLOOKUP("Winter Clothes Children ",NFI,6)-Table10[[#This Row],[Winter Clothes Children ]],0)</f>
        <v>10</v>
      </c>
      <c r="L38" s="277">
        <f ca="1">MAX(Table10[[#This Row],[HH]]*VLOOKUP("Winter Items Other ",NFI,6)-Table10[[#This Row],[Winter Items Other ]],0)</f>
        <v>10</v>
      </c>
      <c r="M38" s="310" t="str">
        <f>IF(OR(Table10[[#This Row],[Winter Clothes Adult ]]&lt;&gt;0,Table10[[#This Row],[Winter Clothes Children ]]&lt;&gt;0,Table10[[#This Row],[Winter Items Other ]]&lt;&gt;0),"No","")</f>
        <v/>
      </c>
      <c r="N38" s="311">
        <f>COUNTIF(A:A,Table10[[#This Row],[Pcode]])-1</f>
        <v>0</v>
      </c>
    </row>
    <row r="39" spans="1:14" x14ac:dyDescent="0.25">
      <c r="A39" s="259" t="s">
        <v>891</v>
      </c>
      <c r="B39" s="18" t="str">
        <f ca="1">OFFSET(CampList[Priority],MATCH(Table10[[#This Row],[Pcode]],CampList[CP_Pcode],0)-1,0,1,1)</f>
        <v>P3</v>
      </c>
      <c r="C39" s="18" t="str">
        <f ca="1">OFFSET(CampList[Camp],MATCH(Table10[[#This Row],[Pcode]],CampList[CP_Pcode],0)-1,0,1,1)</f>
        <v>Naung Khaing</v>
      </c>
      <c r="D39" s="18" t="str">
        <f ca="1">OFFSET(CampList[Township],MATCH(Table10[[#This Row],[Pcode]],CampList[CP_Pcode],0)-1,0,1,1)</f>
        <v>Puta-O</v>
      </c>
      <c r="E39" s="18">
        <f ca="1">OFFSET(CampList[HH],MATCH(Table10[[#This Row],[Pcode]],CampList[CP_Pcode],0)-1,0,1,1)</f>
        <v>0</v>
      </c>
      <c r="F39" s="18">
        <f ca="1">OFFSET(CampList[Total],MATCH(Table10[[#This Row],[Pcode]],CampList[CP_Pcode],0)-1,0,1,1)</f>
        <v>0</v>
      </c>
      <c r="G39" s="277">
        <f>SUMIF('NFI Tracking'!AQ$11:AQ$1048576,Table10[[#This Row],[Pcode]],'NFI Tracking'!AI$11:AI$1048576)</f>
        <v>0</v>
      </c>
      <c r="H39" s="277">
        <f>SUMIF('NFI Tracking'!AQ$11:AQ$1048576,Table10[[#This Row],[Pcode]],'NFI Tracking'!AJ$11:AJ$1048576)</f>
        <v>0</v>
      </c>
      <c r="I39" s="277">
        <f>SUMIF('NFI Tracking'!AQ$11:AQ$1048576,Table10[[#This Row],[Pcode]],'NFI Tracking'!AK$11:AK$1048576)</f>
        <v>0</v>
      </c>
      <c r="J39" s="277">
        <f ca="1">MAX(Table10[[#This Row],[HH]]*VLOOKUP("Winter Clothes Adult",NFI,6)-Table10[[#This Row],[Winter Clothes Adult ]],0)</f>
        <v>0</v>
      </c>
      <c r="K39" s="277">
        <f ca="1">MAX(Table10[[#This Row],[HH]]*VLOOKUP("Winter Clothes Children ",NFI,6)-Table10[[#This Row],[Winter Clothes Children ]],0)</f>
        <v>0</v>
      </c>
      <c r="L39" s="277">
        <f ca="1">MAX(Table10[[#This Row],[HH]]*VLOOKUP("Winter Items Other ",NFI,6)-Table10[[#This Row],[Winter Items Other ]],0)</f>
        <v>0</v>
      </c>
      <c r="M39" s="310" t="str">
        <f>IF(OR(Table10[[#This Row],[Winter Clothes Adult ]]&lt;&gt;0,Table10[[#This Row],[Winter Clothes Children ]]&lt;&gt;0,Table10[[#This Row],[Winter Items Other ]]&lt;&gt;0),"No","")</f>
        <v/>
      </c>
      <c r="N39" s="311">
        <f>COUNTIF(A:A,Table10[[#This Row],[Pcode]])-1</f>
        <v>0</v>
      </c>
    </row>
    <row r="40" spans="1:14" x14ac:dyDescent="0.25">
      <c r="A40" s="259" t="s">
        <v>299</v>
      </c>
      <c r="B40" s="18" t="str">
        <f ca="1">OFFSET(CampList[Priority],MATCH(Table10[[#This Row],[Pcode]],CampList[CP_Pcode],0)-1,0,1,1)</f>
        <v>P3</v>
      </c>
      <c r="C40" s="18" t="str">
        <f ca="1">OFFSET(CampList[Camp],MATCH(Table10[[#This Row],[Pcode]],CampList[CP_Pcode],0)-1,0,1,1)</f>
        <v>Tote Tan Ward</v>
      </c>
      <c r="D40" s="18" t="str">
        <f ca="1">OFFSET(CampList[Township],MATCH(Table10[[#This Row],[Pcode]],CampList[CP_Pcode],0)-1,0,1,1)</f>
        <v>Puta-O</v>
      </c>
      <c r="E40" s="18">
        <f ca="1">OFFSET(CampList[HH],MATCH(Table10[[#This Row],[Pcode]],CampList[CP_Pcode],0)-1,0,1,1)</f>
        <v>14</v>
      </c>
      <c r="F40" s="18">
        <f ca="1">OFFSET(CampList[Total],MATCH(Table10[[#This Row],[Pcode]],CampList[CP_Pcode],0)-1,0,1,1)</f>
        <v>64</v>
      </c>
      <c r="G40" s="277">
        <f>SUMIF('NFI Tracking'!AQ$11:AQ$1048576,Table10[[#This Row],[Pcode]],'NFI Tracking'!AI$11:AI$1048576)</f>
        <v>0</v>
      </c>
      <c r="H40" s="277">
        <f>SUMIF('NFI Tracking'!AQ$11:AQ$1048576,Table10[[#This Row],[Pcode]],'NFI Tracking'!AJ$11:AJ$1048576)</f>
        <v>0</v>
      </c>
      <c r="I40" s="277">
        <f>SUMIF('NFI Tracking'!AQ$11:AQ$1048576,Table10[[#This Row],[Pcode]],'NFI Tracking'!AK$11:AK$1048576)</f>
        <v>0</v>
      </c>
      <c r="J40" s="277">
        <f ca="1">MAX(Table10[[#This Row],[HH]]*VLOOKUP("Winter Clothes Adult",NFI,6)-Table10[[#This Row],[Winter Clothes Adult ]],0)</f>
        <v>28</v>
      </c>
      <c r="K40" s="277">
        <f ca="1">MAX(Table10[[#This Row],[HH]]*VLOOKUP("Winter Clothes Children ",NFI,6)-Table10[[#This Row],[Winter Clothes Children ]],0)</f>
        <v>14</v>
      </c>
      <c r="L40" s="277">
        <f ca="1">MAX(Table10[[#This Row],[HH]]*VLOOKUP("Winter Items Other ",NFI,6)-Table10[[#This Row],[Winter Items Other ]],0)</f>
        <v>14</v>
      </c>
      <c r="M40" s="310" t="str">
        <f>IF(OR(Table10[[#This Row],[Winter Clothes Adult ]]&lt;&gt;0,Table10[[#This Row],[Winter Clothes Children ]]&lt;&gt;0,Table10[[#This Row],[Winter Items Other ]]&lt;&gt;0),"No","")</f>
        <v/>
      </c>
      <c r="N40" s="311">
        <f>COUNTIF(A:A,Table10[[#This Row],[Pcode]])-1</f>
        <v>0</v>
      </c>
    </row>
    <row r="41" spans="1:14" x14ac:dyDescent="0.25">
      <c r="A41" s="259" t="s">
        <v>382</v>
      </c>
      <c r="B41" s="18" t="str">
        <f ca="1">OFFSET(CampList[Priority],MATCH(Table10[[#This Row],[Pcode]],CampList[CP_Pcode],0)-1,0,1,1)</f>
        <v>P3</v>
      </c>
      <c r="C41" s="18" t="str">
        <f ca="1">OFFSET(CampList[Camp],MATCH(Table10[[#This Row],[Pcode]],CampList[CP_Pcode],0)-1,0,1,1)</f>
        <v>Kone Khem Camp</v>
      </c>
      <c r="D41" s="18" t="str">
        <f ca="1">OFFSET(CampList[Township],MATCH(Table10[[#This Row],[Pcode]],CampList[CP_Pcode],0)-1,0,1,1)</f>
        <v>Kutkai</v>
      </c>
      <c r="E41" s="18">
        <f ca="1">OFFSET(CampList[HH],MATCH(Table10[[#This Row],[Pcode]],CampList[CP_Pcode],0)-1,0,1,1)</f>
        <v>88</v>
      </c>
      <c r="F41" s="18">
        <f ca="1">OFFSET(CampList[Total],MATCH(Table10[[#This Row],[Pcode]],CampList[CP_Pcode],0)-1,0,1,1)</f>
        <v>505</v>
      </c>
      <c r="G41" s="277">
        <f>SUMIF('NFI Tracking'!AQ$11:AQ$1048576,Table10[[#This Row],[Pcode]],'NFI Tracking'!AI$11:AI$1048576)</f>
        <v>0</v>
      </c>
      <c r="H41" s="277">
        <f>SUMIF('NFI Tracking'!AQ$11:AQ$1048576,Table10[[#This Row],[Pcode]],'NFI Tracking'!AJ$11:AJ$1048576)</f>
        <v>0</v>
      </c>
      <c r="I41" s="277">
        <f>SUMIF('NFI Tracking'!AQ$11:AQ$1048576,Table10[[#This Row],[Pcode]],'NFI Tracking'!AK$11:AK$1048576)</f>
        <v>0</v>
      </c>
      <c r="J41" s="277">
        <f ca="1">MAX(Table10[[#This Row],[HH]]*VLOOKUP("Winter Clothes Adult",NFI,6)-Table10[[#This Row],[Winter Clothes Adult ]],0)</f>
        <v>176</v>
      </c>
      <c r="K41" s="277">
        <f ca="1">MAX(Table10[[#This Row],[HH]]*VLOOKUP("Winter Clothes Children ",NFI,6)-Table10[[#This Row],[Winter Clothes Children ]],0)</f>
        <v>88</v>
      </c>
      <c r="L41" s="277">
        <f ca="1">MAX(Table10[[#This Row],[HH]]*VLOOKUP("Winter Items Other ",NFI,6)-Table10[[#This Row],[Winter Items Other ]],0)</f>
        <v>88</v>
      </c>
      <c r="M41" s="310" t="str">
        <f>IF(OR(Table10[[#This Row],[Winter Clothes Adult ]]&lt;&gt;0,Table10[[#This Row],[Winter Clothes Children ]]&lt;&gt;0,Table10[[#This Row],[Winter Items Other ]]&lt;&gt;0),"No","")</f>
        <v/>
      </c>
      <c r="N41" s="311">
        <f>COUNTIF(A:A,Table10[[#This Row],[Pcode]])-1</f>
        <v>0</v>
      </c>
    </row>
    <row r="42" spans="1:14" x14ac:dyDescent="0.25">
      <c r="A42" s="259" t="s">
        <v>383</v>
      </c>
      <c r="B42" s="18" t="str">
        <f ca="1">OFFSET(CampList[Priority],MATCH(Table10[[#This Row],[Pcode]],CampList[CP_Pcode],0)-1,0,1,1)</f>
        <v>P3</v>
      </c>
      <c r="C42" s="18" t="str">
        <f ca="1">OFFSET(CampList[Camp],MATCH(Table10[[#This Row],[Pcode]],CampList[CP_Pcode],0)-1,0,1,1)</f>
        <v>Kutkai downtown (KBC Church)</v>
      </c>
      <c r="D42" s="18" t="str">
        <f ca="1">OFFSET(CampList[Township],MATCH(Table10[[#This Row],[Pcode]],CampList[CP_Pcode],0)-1,0,1,1)</f>
        <v>Kutkai</v>
      </c>
      <c r="E42" s="18">
        <f ca="1">OFFSET(CampList[HH],MATCH(Table10[[#This Row],[Pcode]],CampList[CP_Pcode],0)-1,0,1,1)</f>
        <v>61</v>
      </c>
      <c r="F42" s="18">
        <f ca="1">OFFSET(CampList[Total],MATCH(Table10[[#This Row],[Pcode]],CampList[CP_Pcode],0)-1,0,1,1)</f>
        <v>289</v>
      </c>
      <c r="G42" s="277">
        <f>SUMIF('NFI Tracking'!AQ$11:AQ$1048576,Table10[[#This Row],[Pcode]],'NFI Tracking'!AI$11:AI$1048576)</f>
        <v>0</v>
      </c>
      <c r="H42" s="277">
        <f>SUMIF('NFI Tracking'!AQ$11:AQ$1048576,Table10[[#This Row],[Pcode]],'NFI Tracking'!AJ$11:AJ$1048576)</f>
        <v>0</v>
      </c>
      <c r="I42" s="277">
        <f>SUMIF('NFI Tracking'!AQ$11:AQ$1048576,Table10[[#This Row],[Pcode]],'NFI Tracking'!AK$11:AK$1048576)</f>
        <v>0</v>
      </c>
      <c r="J42" s="277">
        <f ca="1">MAX(Table10[[#This Row],[HH]]*VLOOKUP("Winter Clothes Adult",NFI,6)-Table10[[#This Row],[Winter Clothes Adult ]],0)</f>
        <v>122</v>
      </c>
      <c r="K42" s="277">
        <f ca="1">MAX(Table10[[#This Row],[HH]]*VLOOKUP("Winter Clothes Children ",NFI,6)-Table10[[#This Row],[Winter Clothes Children ]],0)</f>
        <v>61</v>
      </c>
      <c r="L42" s="277">
        <f ca="1">MAX(Table10[[#This Row],[HH]]*VLOOKUP("Winter Items Other ",NFI,6)-Table10[[#This Row],[Winter Items Other ]],0)</f>
        <v>61</v>
      </c>
      <c r="M42" s="310" t="str">
        <f>IF(OR(Table10[[#This Row],[Winter Clothes Adult ]]&lt;&gt;0,Table10[[#This Row],[Winter Clothes Children ]]&lt;&gt;0,Table10[[#This Row],[Winter Items Other ]]&lt;&gt;0),"No","")</f>
        <v/>
      </c>
      <c r="N42" s="311">
        <f>COUNTIF(A:A,Table10[[#This Row],[Pcode]])-1</f>
        <v>0</v>
      </c>
    </row>
    <row r="43" spans="1:14" x14ac:dyDescent="0.25">
      <c r="A43" s="259" t="s">
        <v>384</v>
      </c>
      <c r="B43" s="18" t="str">
        <f ca="1">OFFSET(CampList[Priority],MATCH(Table10[[#This Row],[Pcode]],CampList[CP_Pcode],0)-1,0,1,1)</f>
        <v>P3</v>
      </c>
      <c r="C43" s="18" t="str">
        <f ca="1">OFFSET(CampList[Camp],MATCH(Table10[[#This Row],[Pcode]],CampList[CP_Pcode],0)-1,0,1,1)</f>
        <v>Kutkai downtown (RC Church)</v>
      </c>
      <c r="D43" s="18" t="str">
        <f ca="1">OFFSET(CampList[Township],MATCH(Table10[[#This Row],[Pcode]],CampList[CP_Pcode],0)-1,0,1,1)</f>
        <v>Kutkai</v>
      </c>
      <c r="E43" s="18">
        <f ca="1">OFFSET(CampList[HH],MATCH(Table10[[#This Row],[Pcode]],CampList[CP_Pcode],0)-1,0,1,1)</f>
        <v>30</v>
      </c>
      <c r="F43" s="18">
        <f ca="1">OFFSET(CampList[Total],MATCH(Table10[[#This Row],[Pcode]],CampList[CP_Pcode],0)-1,0,1,1)</f>
        <v>138</v>
      </c>
      <c r="G43" s="277">
        <f>SUMIF('NFI Tracking'!AQ$11:AQ$1048576,Table10[[#This Row],[Pcode]],'NFI Tracking'!AI$11:AI$1048576)</f>
        <v>0</v>
      </c>
      <c r="H43" s="277">
        <f>SUMIF('NFI Tracking'!AQ$11:AQ$1048576,Table10[[#This Row],[Pcode]],'NFI Tracking'!AJ$11:AJ$1048576)</f>
        <v>0</v>
      </c>
      <c r="I43" s="277">
        <f>SUMIF('NFI Tracking'!AQ$11:AQ$1048576,Table10[[#This Row],[Pcode]],'NFI Tracking'!AK$11:AK$1048576)</f>
        <v>0</v>
      </c>
      <c r="J43" s="277">
        <f ca="1">MAX(Table10[[#This Row],[HH]]*VLOOKUP("Winter Clothes Adult",NFI,6)-Table10[[#This Row],[Winter Clothes Adult ]],0)</f>
        <v>60</v>
      </c>
      <c r="K43" s="277">
        <f ca="1">MAX(Table10[[#This Row],[HH]]*VLOOKUP("Winter Clothes Children ",NFI,6)-Table10[[#This Row],[Winter Clothes Children ]],0)</f>
        <v>30</v>
      </c>
      <c r="L43" s="277">
        <f ca="1">MAX(Table10[[#This Row],[HH]]*VLOOKUP("Winter Items Other ",NFI,6)-Table10[[#This Row],[Winter Items Other ]],0)</f>
        <v>30</v>
      </c>
      <c r="M43" s="310" t="str">
        <f>IF(OR(Table10[[#This Row],[Winter Clothes Adult ]]&lt;&gt;0,Table10[[#This Row],[Winter Clothes Children ]]&lt;&gt;0,Table10[[#This Row],[Winter Items Other ]]&lt;&gt;0),"No","")</f>
        <v/>
      </c>
      <c r="N43" s="311">
        <f>COUNTIF(A:A,Table10[[#This Row],[Pcode]])-1</f>
        <v>0</v>
      </c>
    </row>
    <row r="44" spans="1:14" x14ac:dyDescent="0.25">
      <c r="A44" s="259" t="s">
        <v>385</v>
      </c>
      <c r="B44" s="18" t="str">
        <f ca="1">OFFSET(CampList[Priority],MATCH(Table10[[#This Row],[Pcode]],CampList[CP_Pcode],0)-1,0,1,1)</f>
        <v>P3</v>
      </c>
      <c r="C44" s="18" t="str">
        <f ca="1">OFFSET(CampList[Camp],MATCH(Table10[[#This Row],[Pcode]],CampList[CP_Pcode],0)-1,0,1,1)</f>
        <v>Mine Yu Lay village</v>
      </c>
      <c r="D44" s="18" t="str">
        <f ca="1">OFFSET(CampList[Township],MATCH(Table10[[#This Row],[Pcode]],CampList[CP_Pcode],0)-1,0,1,1)</f>
        <v>Kutkai</v>
      </c>
      <c r="E44" s="18">
        <f ca="1">OFFSET(CampList[HH],MATCH(Table10[[#This Row],[Pcode]],CampList[CP_Pcode],0)-1,0,1,1)</f>
        <v>69</v>
      </c>
      <c r="F44" s="18">
        <f ca="1">OFFSET(CampList[Total],MATCH(Table10[[#This Row],[Pcode]],CampList[CP_Pcode],0)-1,0,1,1)</f>
        <v>306</v>
      </c>
      <c r="G44" s="277">
        <f>SUMIF('NFI Tracking'!AQ$11:AQ$1048576,Table10[[#This Row],[Pcode]],'NFI Tracking'!AI$11:AI$1048576)</f>
        <v>0</v>
      </c>
      <c r="H44" s="277">
        <f>SUMIF('NFI Tracking'!AQ$11:AQ$1048576,Table10[[#This Row],[Pcode]],'NFI Tracking'!AJ$11:AJ$1048576)</f>
        <v>0</v>
      </c>
      <c r="I44" s="277">
        <f>SUMIF('NFI Tracking'!AQ$11:AQ$1048576,Table10[[#This Row],[Pcode]],'NFI Tracking'!AK$11:AK$1048576)</f>
        <v>0</v>
      </c>
      <c r="J44" s="277">
        <f ca="1">MAX(Table10[[#This Row],[HH]]*VLOOKUP("Winter Clothes Adult",NFI,6)-Table10[[#This Row],[Winter Clothes Adult ]],0)</f>
        <v>138</v>
      </c>
      <c r="K44" s="277">
        <f ca="1">MAX(Table10[[#This Row],[HH]]*VLOOKUP("Winter Clothes Children ",NFI,6)-Table10[[#This Row],[Winter Clothes Children ]],0)</f>
        <v>69</v>
      </c>
      <c r="L44" s="277">
        <f ca="1">MAX(Table10[[#This Row],[HH]]*VLOOKUP("Winter Items Other ",NFI,6)-Table10[[#This Row],[Winter Items Other ]],0)</f>
        <v>69</v>
      </c>
      <c r="M44" s="310" t="str">
        <f>IF(OR(Table10[[#This Row],[Winter Clothes Adult ]]&lt;&gt;0,Table10[[#This Row],[Winter Clothes Children ]]&lt;&gt;0,Table10[[#This Row],[Winter Items Other ]]&lt;&gt;0),"No","")</f>
        <v/>
      </c>
      <c r="N44" s="311">
        <f>COUNTIF(A:A,Table10[[#This Row],[Pcode]])-1</f>
        <v>0</v>
      </c>
    </row>
    <row r="45" spans="1:14" x14ac:dyDescent="0.25">
      <c r="A45" s="259" t="s">
        <v>148</v>
      </c>
      <c r="B45" s="18" t="str">
        <f ca="1">OFFSET(CampList[Priority],MATCH(Table10[[#This Row],[Pcode]],CampList[CP_Pcode],0)-1,0,1,1)</f>
        <v>P3</v>
      </c>
      <c r="C45" s="18" t="str">
        <f ca="1">OFFSET(CampList[Camp],MATCH(Table10[[#This Row],[Pcode]],CampList[CP_Pcode],0)-1,0,1,1)</f>
        <v xml:space="preserve">Nam Hpak Ka Mare </v>
      </c>
      <c r="D45" s="18" t="str">
        <f ca="1">OFFSET(CampList[Township],MATCH(Table10[[#This Row],[Pcode]],CampList[CP_Pcode],0)-1,0,1,1)</f>
        <v>Kutkai</v>
      </c>
      <c r="E45" s="18">
        <f ca="1">OFFSET(CampList[HH],MATCH(Table10[[#This Row],[Pcode]],CampList[CP_Pcode],0)-1,0,1,1)</f>
        <v>64</v>
      </c>
      <c r="F45" s="18">
        <f ca="1">OFFSET(CampList[Total],MATCH(Table10[[#This Row],[Pcode]],CampList[CP_Pcode],0)-1,0,1,1)</f>
        <v>285</v>
      </c>
      <c r="G45" s="277">
        <f>SUMIF('NFI Tracking'!AQ$11:AQ$1048576,Table10[[#This Row],[Pcode]],'NFI Tracking'!AI$11:AI$1048576)</f>
        <v>0</v>
      </c>
      <c r="H45" s="277">
        <f>SUMIF('NFI Tracking'!AQ$11:AQ$1048576,Table10[[#This Row],[Pcode]],'NFI Tracking'!AJ$11:AJ$1048576)</f>
        <v>0</v>
      </c>
      <c r="I45" s="277">
        <f>SUMIF('NFI Tracking'!AQ$11:AQ$1048576,Table10[[#This Row],[Pcode]],'NFI Tracking'!AK$11:AK$1048576)</f>
        <v>0</v>
      </c>
      <c r="J45" s="277">
        <f ca="1">MAX(Table10[[#This Row],[HH]]*VLOOKUP("Winter Clothes Adult",NFI,6)-Table10[[#This Row],[Winter Clothes Adult ]],0)</f>
        <v>128</v>
      </c>
      <c r="K45" s="277">
        <f ca="1">MAX(Table10[[#This Row],[HH]]*VLOOKUP("Winter Clothes Children ",NFI,6)-Table10[[#This Row],[Winter Clothes Children ]],0)</f>
        <v>64</v>
      </c>
      <c r="L45" s="277">
        <f ca="1">MAX(Table10[[#This Row],[HH]]*VLOOKUP("Winter Items Other ",NFI,6)-Table10[[#This Row],[Winter Items Other ]],0)</f>
        <v>64</v>
      </c>
      <c r="M45" s="310" t="str">
        <f>IF(OR(Table10[[#This Row],[Winter Clothes Adult ]]&lt;&gt;0,Table10[[#This Row],[Winter Clothes Children ]]&lt;&gt;0,Table10[[#This Row],[Winter Items Other ]]&lt;&gt;0),"No","")</f>
        <v/>
      </c>
      <c r="N45" s="311">
        <f>COUNTIF(A:A,Table10[[#This Row],[Pcode]])-1</f>
        <v>0</v>
      </c>
    </row>
    <row r="46" spans="1:14" x14ac:dyDescent="0.25">
      <c r="A46" s="259" t="s">
        <v>387</v>
      </c>
      <c r="B46" s="18" t="str">
        <f ca="1">OFFSET(CampList[Priority],MATCH(Table10[[#This Row],[Pcode]],CampList[CP_Pcode],0)-1,0,1,1)</f>
        <v>P3</v>
      </c>
      <c r="C46" s="18" t="str">
        <f ca="1">OFFSET(CampList[Camp],MATCH(Table10[[#This Row],[Pcode]],CampList[CP_Pcode],0)-1,0,1,1)</f>
        <v>Zup Aung Camp</v>
      </c>
      <c r="D46" s="18" t="str">
        <f ca="1">OFFSET(CampList[Township],MATCH(Table10[[#This Row],[Pcode]],CampList[CP_Pcode],0)-1,0,1,1)</f>
        <v>Kutkai</v>
      </c>
      <c r="E46" s="18">
        <f ca="1">OFFSET(CampList[HH],MATCH(Table10[[#This Row],[Pcode]],CampList[CP_Pcode],0)-1,0,1,1)</f>
        <v>190</v>
      </c>
      <c r="F46" s="18">
        <f ca="1">OFFSET(CampList[Total],MATCH(Table10[[#This Row],[Pcode]],CampList[CP_Pcode],0)-1,0,1,1)</f>
        <v>917</v>
      </c>
      <c r="G46" s="277">
        <f>SUMIF('NFI Tracking'!AQ$11:AQ$1048576,Table10[[#This Row],[Pcode]],'NFI Tracking'!AI$11:AI$1048576)</f>
        <v>0</v>
      </c>
      <c r="H46" s="277">
        <f>SUMIF('NFI Tracking'!AQ$11:AQ$1048576,Table10[[#This Row],[Pcode]],'NFI Tracking'!AJ$11:AJ$1048576)</f>
        <v>0</v>
      </c>
      <c r="I46" s="277">
        <f>SUMIF('NFI Tracking'!AQ$11:AQ$1048576,Table10[[#This Row],[Pcode]],'NFI Tracking'!AK$11:AK$1048576)</f>
        <v>0</v>
      </c>
      <c r="J46" s="277">
        <f ca="1">MAX(Table10[[#This Row],[HH]]*VLOOKUP("Winter Clothes Adult",NFI,6)-Table10[[#This Row],[Winter Clothes Adult ]],0)</f>
        <v>380</v>
      </c>
      <c r="K46" s="277">
        <f ca="1">MAX(Table10[[#This Row],[HH]]*VLOOKUP("Winter Clothes Children ",NFI,6)-Table10[[#This Row],[Winter Clothes Children ]],0)</f>
        <v>190</v>
      </c>
      <c r="L46" s="277">
        <f ca="1">MAX(Table10[[#This Row],[HH]]*VLOOKUP("Winter Items Other ",NFI,6)-Table10[[#This Row],[Winter Items Other ]],0)</f>
        <v>190</v>
      </c>
      <c r="M46" s="310" t="str">
        <f>IF(OR(Table10[[#This Row],[Winter Clothes Adult ]]&lt;&gt;0,Table10[[#This Row],[Winter Clothes Children ]]&lt;&gt;0,Table10[[#This Row],[Winter Items Other ]]&lt;&gt;0),"No","")</f>
        <v/>
      </c>
      <c r="N46" s="311">
        <f>COUNTIF(A:A,Table10[[#This Row],[Pcode]])-1</f>
        <v>0</v>
      </c>
    </row>
    <row r="47" spans="1:14" x14ac:dyDescent="0.25">
      <c r="A47" s="259" t="s">
        <v>823</v>
      </c>
      <c r="B47" s="18" t="str">
        <f ca="1">OFFSET(CampList[Priority],MATCH(Table10[[#This Row],[Pcode]],CampList[CP_Pcode],0)-1,0,1,1)</f>
        <v>P3</v>
      </c>
      <c r="C47" s="18" t="str">
        <f ca="1">OFFSET(CampList[Camp],MATCH(Table10[[#This Row],[Pcode]],CampList[CP_Pcode],0)-1,0,1,1)</f>
        <v>Mandung - RC</v>
      </c>
      <c r="D47" s="18" t="str">
        <f ca="1">OFFSET(CampList[Township],MATCH(Table10[[#This Row],[Pcode]],CampList[CP_Pcode],0)-1,0,1,1)</f>
        <v>Manton</v>
      </c>
      <c r="E47" s="18">
        <f ca="1">OFFSET(CampList[HH],MATCH(Table10[[#This Row],[Pcode]],CampList[CP_Pcode],0)-1,0,1,1)</f>
        <v>29</v>
      </c>
      <c r="F47" s="18">
        <f ca="1">OFFSET(CampList[Total],MATCH(Table10[[#This Row],[Pcode]],CampList[CP_Pcode],0)-1,0,1,1)</f>
        <v>178</v>
      </c>
      <c r="G47" s="277">
        <f>SUMIF('NFI Tracking'!AQ$11:AQ$1048576,Table10[[#This Row],[Pcode]],'NFI Tracking'!AI$11:AI$1048576)</f>
        <v>0</v>
      </c>
      <c r="H47" s="277">
        <f>SUMIF('NFI Tracking'!AQ$11:AQ$1048576,Table10[[#This Row],[Pcode]],'NFI Tracking'!AJ$11:AJ$1048576)</f>
        <v>0</v>
      </c>
      <c r="I47" s="277">
        <f>SUMIF('NFI Tracking'!AQ$11:AQ$1048576,Table10[[#This Row],[Pcode]],'NFI Tracking'!AK$11:AK$1048576)</f>
        <v>0</v>
      </c>
      <c r="J47" s="277">
        <f ca="1">MAX(Table10[[#This Row],[HH]]*VLOOKUP("Winter Clothes Adult",NFI,6)-Table10[[#This Row],[Winter Clothes Adult ]],0)</f>
        <v>58</v>
      </c>
      <c r="K47" s="277">
        <f ca="1">MAX(Table10[[#This Row],[HH]]*VLOOKUP("Winter Clothes Children ",NFI,6)-Table10[[#This Row],[Winter Clothes Children ]],0)</f>
        <v>29</v>
      </c>
      <c r="L47" s="277">
        <f ca="1">MAX(Table10[[#This Row],[HH]]*VLOOKUP("Winter Items Other ",NFI,6)-Table10[[#This Row],[Winter Items Other ]],0)</f>
        <v>29</v>
      </c>
      <c r="M47" s="310" t="str">
        <f>IF(OR(Table10[[#This Row],[Winter Clothes Adult ]]&lt;&gt;0,Table10[[#This Row],[Winter Clothes Children ]]&lt;&gt;0,Table10[[#This Row],[Winter Items Other ]]&lt;&gt;0),"No","")</f>
        <v/>
      </c>
      <c r="N47" s="311">
        <f>COUNTIF(A:A,Table10[[#This Row],[Pcode]])-1</f>
        <v>0</v>
      </c>
    </row>
    <row r="48" spans="1:14" x14ac:dyDescent="0.25">
      <c r="A48" s="259" t="s">
        <v>168</v>
      </c>
      <c r="B48" s="18" t="str">
        <f ca="1">OFFSET(CampList[Priority],MATCH(Table10[[#This Row],[Pcode]],CampList[CP_Pcode],0)-1,0,1,1)</f>
        <v>P3</v>
      </c>
      <c r="C48" s="18" t="str">
        <f ca="1">OFFSET(CampList[Camp],MATCH(Table10[[#This Row],[Pcode]],CampList[CP_Pcode],0)-1,0,1,1)</f>
        <v>Howa</v>
      </c>
      <c r="D48" s="18" t="str">
        <f ca="1">OFFSET(CampList[Township],MATCH(Table10[[#This Row],[Pcode]],CampList[CP_Pcode],0)-1,0,1,1)</f>
        <v>Muse</v>
      </c>
      <c r="E48" s="18">
        <f ca="1">OFFSET(CampList[HH],MATCH(Table10[[#This Row],[Pcode]],CampList[CP_Pcode],0)-1,0,1,1)</f>
        <v>32</v>
      </c>
      <c r="F48" s="18">
        <f ca="1">OFFSET(CampList[Total],MATCH(Table10[[#This Row],[Pcode]],CampList[CP_Pcode],0)-1,0,1,1)</f>
        <v>0</v>
      </c>
      <c r="G48" s="277">
        <f>SUMIF('NFI Tracking'!AQ$11:AQ$1048576,Table10[[#This Row],[Pcode]],'NFI Tracking'!AI$11:AI$1048576)</f>
        <v>0</v>
      </c>
      <c r="H48" s="277">
        <f>SUMIF('NFI Tracking'!AQ$11:AQ$1048576,Table10[[#This Row],[Pcode]],'NFI Tracking'!AJ$11:AJ$1048576)</f>
        <v>0</v>
      </c>
      <c r="I48" s="277">
        <f>SUMIF('NFI Tracking'!AQ$11:AQ$1048576,Table10[[#This Row],[Pcode]],'NFI Tracking'!AK$11:AK$1048576)</f>
        <v>0</v>
      </c>
      <c r="J48" s="277">
        <f ca="1">MAX(Table10[[#This Row],[HH]]*VLOOKUP("Winter Clothes Adult",NFI,6)-Table10[[#This Row],[Winter Clothes Adult ]],0)</f>
        <v>64</v>
      </c>
      <c r="K48" s="277">
        <f ca="1">MAX(Table10[[#This Row],[HH]]*VLOOKUP("Winter Clothes Children ",NFI,6)-Table10[[#This Row],[Winter Clothes Children ]],0)</f>
        <v>32</v>
      </c>
      <c r="L48" s="277">
        <f ca="1">MAX(Table10[[#This Row],[HH]]*VLOOKUP("Winter Items Other ",NFI,6)-Table10[[#This Row],[Winter Items Other ]],0)</f>
        <v>32</v>
      </c>
      <c r="M48" s="310" t="str">
        <f>IF(OR(Table10[[#This Row],[Winter Clothes Adult ]]&lt;&gt;0,Table10[[#This Row],[Winter Clothes Children ]]&lt;&gt;0,Table10[[#This Row],[Winter Items Other ]]&lt;&gt;0),"No","")</f>
        <v/>
      </c>
      <c r="N48" s="311">
        <f>COUNTIF(A:A,Table10[[#This Row],[Pcode]])-1</f>
        <v>0</v>
      </c>
    </row>
    <row r="49" spans="1:14" x14ac:dyDescent="0.25">
      <c r="A49" s="259" t="s">
        <v>170</v>
      </c>
      <c r="B49" s="18" t="str">
        <f ca="1">OFFSET(CampList[Priority],MATCH(Table10[[#This Row],[Pcode]],CampList[CP_Pcode],0)-1,0,1,1)</f>
        <v>P3</v>
      </c>
      <c r="C49" s="18" t="str">
        <f ca="1">OFFSET(CampList[Camp],MATCH(Table10[[#This Row],[Pcode]],CampList[CP_Pcode],0)-1,0,1,1)</f>
        <v>Nam Hkyet</v>
      </c>
      <c r="D49" s="18" t="str">
        <f ca="1">OFFSET(CampList[Township],MATCH(Table10[[#This Row],[Pcode]],CampList[CP_Pcode],0)-1,0,1,1)</f>
        <v>Muse</v>
      </c>
      <c r="E49" s="18">
        <f ca="1">OFFSET(CampList[HH],MATCH(Table10[[#This Row],[Pcode]],CampList[CP_Pcode],0)-1,0,1,1)</f>
        <v>6</v>
      </c>
      <c r="F49" s="18">
        <f ca="1">OFFSET(CampList[Total],MATCH(Table10[[#This Row],[Pcode]],CampList[CP_Pcode],0)-1,0,1,1)</f>
        <v>0</v>
      </c>
      <c r="G49" s="277">
        <f>SUMIF('NFI Tracking'!AQ$11:AQ$1048576,Table10[[#This Row],[Pcode]],'NFI Tracking'!AI$11:AI$1048576)</f>
        <v>0</v>
      </c>
      <c r="H49" s="277">
        <f>SUMIF('NFI Tracking'!AQ$11:AQ$1048576,Table10[[#This Row],[Pcode]],'NFI Tracking'!AJ$11:AJ$1048576)</f>
        <v>0</v>
      </c>
      <c r="I49" s="277">
        <f>SUMIF('NFI Tracking'!AQ$11:AQ$1048576,Table10[[#This Row],[Pcode]],'NFI Tracking'!AK$11:AK$1048576)</f>
        <v>0</v>
      </c>
      <c r="J49" s="277">
        <f ca="1">MAX(Table10[[#This Row],[HH]]*VLOOKUP("Winter Clothes Adult",NFI,6)-Table10[[#This Row],[Winter Clothes Adult ]],0)</f>
        <v>12</v>
      </c>
      <c r="K49" s="277">
        <f ca="1">MAX(Table10[[#This Row],[HH]]*VLOOKUP("Winter Clothes Children ",NFI,6)-Table10[[#This Row],[Winter Clothes Children ]],0)</f>
        <v>6</v>
      </c>
      <c r="L49" s="277">
        <f ca="1">MAX(Table10[[#This Row],[HH]]*VLOOKUP("Winter Items Other ",NFI,6)-Table10[[#This Row],[Winter Items Other ]],0)</f>
        <v>6</v>
      </c>
      <c r="M49" s="310" t="str">
        <f>IF(OR(Table10[[#This Row],[Winter Clothes Adult ]]&lt;&gt;0,Table10[[#This Row],[Winter Clothes Children ]]&lt;&gt;0,Table10[[#This Row],[Winter Items Other ]]&lt;&gt;0),"No","")</f>
        <v/>
      </c>
      <c r="N49" s="311">
        <f>COUNTIF(A:A,Table10[[#This Row],[Pcode]])-1</f>
        <v>0</v>
      </c>
    </row>
    <row r="50" spans="1:14" x14ac:dyDescent="0.25">
      <c r="A50" s="259" t="s">
        <v>291</v>
      </c>
      <c r="B50" s="18" t="str">
        <f ca="1">OFFSET(CampList[Priority],MATCH(Table10[[#This Row],[Pcode]],CampList[CP_Pcode],0)-1,0,1,1)</f>
        <v>P3</v>
      </c>
      <c r="C50" s="18" t="str">
        <f ca="1">OFFSET(CampList[Camp],MATCH(Table10[[#This Row],[Pcode]],CampList[CP_Pcode],0)-1,0,1,1)</f>
        <v>Nam Hkam - Nay Win Ni (Palawng)</v>
      </c>
      <c r="D50" s="18" t="str">
        <f ca="1">OFFSET(CampList[Township],MATCH(Table10[[#This Row],[Pcode]],CampList[CP_Pcode],0)-1,0,1,1)</f>
        <v>Namhkan</v>
      </c>
      <c r="E50" s="18">
        <f ca="1">OFFSET(CampList[HH],MATCH(Table10[[#This Row],[Pcode]],CampList[CP_Pcode],0)-1,0,1,1)</f>
        <v>75</v>
      </c>
      <c r="F50" s="18">
        <f ca="1">OFFSET(CampList[Total],MATCH(Table10[[#This Row],[Pcode]],CampList[CP_Pcode],0)-1,0,1,1)</f>
        <v>373</v>
      </c>
      <c r="G50" s="277">
        <f>SUMIF('NFI Tracking'!AQ$11:AQ$1048576,Table10[[#This Row],[Pcode]],'NFI Tracking'!AI$11:AI$1048576)</f>
        <v>0</v>
      </c>
      <c r="H50" s="277">
        <f>SUMIF('NFI Tracking'!AQ$11:AQ$1048576,Table10[[#This Row],[Pcode]],'NFI Tracking'!AJ$11:AJ$1048576)</f>
        <v>0</v>
      </c>
      <c r="I50" s="277">
        <f>SUMIF('NFI Tracking'!AQ$11:AQ$1048576,Table10[[#This Row],[Pcode]],'NFI Tracking'!AK$11:AK$1048576)</f>
        <v>0</v>
      </c>
      <c r="J50" s="277">
        <f ca="1">MAX(Table10[[#This Row],[HH]]*VLOOKUP("Winter Clothes Adult",NFI,6)-Table10[[#This Row],[Winter Clothes Adult ]],0)</f>
        <v>150</v>
      </c>
      <c r="K50" s="277">
        <f ca="1">MAX(Table10[[#This Row],[HH]]*VLOOKUP("Winter Clothes Children ",NFI,6)-Table10[[#This Row],[Winter Clothes Children ]],0)</f>
        <v>75</v>
      </c>
      <c r="L50" s="277">
        <f ca="1">MAX(Table10[[#This Row],[HH]]*VLOOKUP("Winter Items Other ",NFI,6)-Table10[[#This Row],[Winter Items Other ]],0)</f>
        <v>75</v>
      </c>
      <c r="M50" s="310" t="str">
        <f>IF(OR(Table10[[#This Row],[Winter Clothes Adult ]]&lt;&gt;0,Table10[[#This Row],[Winter Clothes Children ]]&lt;&gt;0,Table10[[#This Row],[Winter Items Other ]]&lt;&gt;0),"No","")</f>
        <v/>
      </c>
      <c r="N50" s="311">
        <f>COUNTIF(A:A,Table10[[#This Row],[Pcode]])-1</f>
        <v>0</v>
      </c>
    </row>
    <row r="51" spans="1:14" x14ac:dyDescent="0.25">
      <c r="A51" s="259" t="s">
        <v>288</v>
      </c>
      <c r="B51" s="18" t="str">
        <f ca="1">OFFSET(CampList[Priority],MATCH(Table10[[#This Row],[Pcode]],CampList[CP_Pcode],0)-1,0,1,1)</f>
        <v>P3</v>
      </c>
      <c r="C51" s="18" t="str">
        <f ca="1">OFFSET(CampList[Camp],MATCH(Table10[[#This Row],[Pcode]],CampList[CP_Pcode],0)-1,0,1,1)</f>
        <v>Nam Hkam (KBC Jaw Wang)</v>
      </c>
      <c r="D51" s="18" t="str">
        <f ca="1">OFFSET(CampList[Township],MATCH(Table10[[#This Row],[Pcode]],CampList[CP_Pcode],0)-1,0,1,1)</f>
        <v>Namhkan</v>
      </c>
      <c r="E51" s="18">
        <f ca="1">OFFSET(CampList[HH],MATCH(Table10[[#This Row],[Pcode]],CampList[CP_Pcode],0)-1,0,1,1)</f>
        <v>69</v>
      </c>
      <c r="F51" s="18">
        <f ca="1">OFFSET(CampList[Total],MATCH(Table10[[#This Row],[Pcode]],CampList[CP_Pcode],0)-1,0,1,1)</f>
        <v>344</v>
      </c>
      <c r="G51" s="277">
        <f>SUMIF('NFI Tracking'!AQ$11:AQ$1048576,Table10[[#This Row],[Pcode]],'NFI Tracking'!AI$11:AI$1048576)</f>
        <v>0</v>
      </c>
      <c r="H51" s="277">
        <f>SUMIF('NFI Tracking'!AQ$11:AQ$1048576,Table10[[#This Row],[Pcode]],'NFI Tracking'!AJ$11:AJ$1048576)</f>
        <v>0</v>
      </c>
      <c r="I51" s="277">
        <f>SUMIF('NFI Tracking'!AQ$11:AQ$1048576,Table10[[#This Row],[Pcode]],'NFI Tracking'!AK$11:AK$1048576)</f>
        <v>0</v>
      </c>
      <c r="J51" s="277">
        <f ca="1">MAX(Table10[[#This Row],[HH]]*VLOOKUP("Winter Clothes Adult",NFI,6)-Table10[[#This Row],[Winter Clothes Adult ]],0)</f>
        <v>138</v>
      </c>
      <c r="K51" s="277">
        <f ca="1">MAX(Table10[[#This Row],[HH]]*VLOOKUP("Winter Clothes Children ",NFI,6)-Table10[[#This Row],[Winter Clothes Children ]],0)</f>
        <v>69</v>
      </c>
      <c r="L51" s="277">
        <f ca="1">MAX(Table10[[#This Row],[HH]]*VLOOKUP("Winter Items Other ",NFI,6)-Table10[[#This Row],[Winter Items Other ]],0)</f>
        <v>69</v>
      </c>
      <c r="M51" s="310" t="str">
        <f>IF(OR(Table10[[#This Row],[Winter Clothes Adult ]]&lt;&gt;0,Table10[[#This Row],[Winter Clothes Children ]]&lt;&gt;0,Table10[[#This Row],[Winter Items Other ]]&lt;&gt;0),"No","")</f>
        <v/>
      </c>
      <c r="N51" s="311">
        <f>COUNTIF(A:A,Table10[[#This Row],[Pcode]])-1</f>
        <v>0</v>
      </c>
    </row>
    <row r="52" spans="1:14" x14ac:dyDescent="0.25">
      <c r="A52" s="259" t="s">
        <v>295</v>
      </c>
      <c r="B52" s="18" t="str">
        <f ca="1">OFFSET(CampList[Priority],MATCH(Table10[[#This Row],[Pcode]],CampList[CP_Pcode],0)-1,0,1,1)</f>
        <v>P3</v>
      </c>
      <c r="C52" s="18" t="str">
        <f ca="1">OFFSET(CampList[Camp],MATCH(Table10[[#This Row],[Pcode]],CampList[CP_Pcode],0)-1,0,1,1)</f>
        <v>Nam Hkam Catholic Church ( St. Thomas I)</v>
      </c>
      <c r="D52" s="18" t="str">
        <f ca="1">OFFSET(CampList[Township],MATCH(Table10[[#This Row],[Pcode]],CampList[CP_Pcode],0)-1,0,1,1)</f>
        <v>Namhkan</v>
      </c>
      <c r="E52" s="18">
        <f ca="1">OFFSET(CampList[HH],MATCH(Table10[[#This Row],[Pcode]],CampList[CP_Pcode],0)-1,0,1,1)</f>
        <v>43</v>
      </c>
      <c r="F52" s="18">
        <f ca="1">OFFSET(CampList[Total],MATCH(Table10[[#This Row],[Pcode]],CampList[CP_Pcode],0)-1,0,1,1)</f>
        <v>215</v>
      </c>
      <c r="G52" s="277">
        <f>SUMIF('NFI Tracking'!AQ$11:AQ$1048576,Table10[[#This Row],[Pcode]],'NFI Tracking'!AI$11:AI$1048576)</f>
        <v>0</v>
      </c>
      <c r="H52" s="277">
        <f>SUMIF('NFI Tracking'!AQ$11:AQ$1048576,Table10[[#This Row],[Pcode]],'NFI Tracking'!AJ$11:AJ$1048576)</f>
        <v>0</v>
      </c>
      <c r="I52" s="277">
        <f>SUMIF('NFI Tracking'!AQ$11:AQ$1048576,Table10[[#This Row],[Pcode]],'NFI Tracking'!AK$11:AK$1048576)</f>
        <v>0</v>
      </c>
      <c r="J52" s="277">
        <f ca="1">MAX(Table10[[#This Row],[HH]]*VLOOKUP("Winter Clothes Adult",NFI,6)-Table10[[#This Row],[Winter Clothes Adult ]],0)</f>
        <v>86</v>
      </c>
      <c r="K52" s="277">
        <f ca="1">MAX(Table10[[#This Row],[HH]]*VLOOKUP("Winter Clothes Children ",NFI,6)-Table10[[#This Row],[Winter Clothes Children ]],0)</f>
        <v>43</v>
      </c>
      <c r="L52" s="277">
        <f ca="1">MAX(Table10[[#This Row],[HH]]*VLOOKUP("Winter Items Other ",NFI,6)-Table10[[#This Row],[Winter Items Other ]],0)</f>
        <v>43</v>
      </c>
      <c r="M52" s="310" t="str">
        <f>IF(OR(Table10[[#This Row],[Winter Clothes Adult ]]&lt;&gt;0,Table10[[#This Row],[Winter Clothes Children ]]&lt;&gt;0,Table10[[#This Row],[Winter Items Other ]]&lt;&gt;0),"No","")</f>
        <v/>
      </c>
      <c r="N52" s="311">
        <f>COUNTIF(A:A,Table10[[#This Row],[Pcode]])-1</f>
        <v>0</v>
      </c>
    </row>
    <row r="53" spans="1:14" x14ac:dyDescent="0.25">
      <c r="A53" s="259" t="s">
        <v>297</v>
      </c>
      <c r="B53" s="18" t="str">
        <f ca="1">OFFSET(CampList[Priority],MATCH(Table10[[#This Row],[Pcode]],CampList[CP_Pcode],0)-1,0,1,1)</f>
        <v>P3</v>
      </c>
      <c r="C53" s="18" t="str">
        <f ca="1">OFFSET(CampList[Camp],MATCH(Table10[[#This Row],[Pcode]],CampList[CP_Pcode],0)-1,0,1,1)</f>
        <v>Nam Tu Baptist</v>
      </c>
      <c r="D53" s="18" t="str">
        <f ca="1">OFFSET(CampList[Township],MATCH(Table10[[#This Row],[Pcode]],CampList[CP_Pcode],0)-1,0,1,1)</f>
        <v>Namtu</v>
      </c>
      <c r="E53" s="18">
        <f ca="1">OFFSET(CampList[HH],MATCH(Table10[[#This Row],[Pcode]],CampList[CP_Pcode],0)-1,0,1,1)</f>
        <v>8</v>
      </c>
      <c r="F53" s="18">
        <f ca="1">OFFSET(CampList[Total],MATCH(Table10[[#This Row],[Pcode]],CampList[CP_Pcode],0)-1,0,1,1)</f>
        <v>39</v>
      </c>
      <c r="G53" s="277">
        <f>SUMIF('NFI Tracking'!AQ$11:AQ$1048576,Table10[[#This Row],[Pcode]],'NFI Tracking'!AI$11:AI$1048576)</f>
        <v>0</v>
      </c>
      <c r="H53" s="277">
        <f>SUMIF('NFI Tracking'!AQ$11:AQ$1048576,Table10[[#This Row],[Pcode]],'NFI Tracking'!AJ$11:AJ$1048576)</f>
        <v>0</v>
      </c>
      <c r="I53" s="277">
        <f>SUMIF('NFI Tracking'!AQ$11:AQ$1048576,Table10[[#This Row],[Pcode]],'NFI Tracking'!AK$11:AK$1048576)</f>
        <v>0</v>
      </c>
      <c r="J53" s="277">
        <f ca="1">MAX(Table10[[#This Row],[HH]]*VLOOKUP("Winter Clothes Adult",NFI,6)-Table10[[#This Row],[Winter Clothes Adult ]],0)</f>
        <v>16</v>
      </c>
      <c r="K53" s="277">
        <f ca="1">MAX(Table10[[#This Row],[HH]]*VLOOKUP("Winter Clothes Children ",NFI,6)-Table10[[#This Row],[Winter Clothes Children ]],0)</f>
        <v>8</v>
      </c>
      <c r="L53" s="277">
        <f ca="1">MAX(Table10[[#This Row],[HH]]*VLOOKUP("Winter Items Other ",NFI,6)-Table10[[#This Row],[Winter Items Other ]],0)</f>
        <v>8</v>
      </c>
      <c r="M53" s="310" t="str">
        <f>IF(OR(Table10[[#This Row],[Winter Clothes Adult ]]&lt;&gt;0,Table10[[#This Row],[Winter Clothes Children ]]&lt;&gt;0,Table10[[#This Row],[Winter Items Other ]]&lt;&gt;0),"No","")</f>
        <v/>
      </c>
      <c r="N53" s="311">
        <f>COUNTIF(A:A,Table10[[#This Row],[Pcode]])-1</f>
        <v>0</v>
      </c>
    </row>
    <row r="54" spans="1:14" x14ac:dyDescent="0.25">
      <c r="A54" s="259" t="s">
        <v>824</v>
      </c>
      <c r="B54" s="18" t="str">
        <f ca="1">OFFSET(CampList[Priority],MATCH(Table10[[#This Row],[Pcode]],CampList[CP_Pcode],0)-1,0,1,1)</f>
        <v>P3</v>
      </c>
      <c r="C54" s="18" t="str">
        <f ca="1">OFFSET(CampList[Camp],MATCH(Table10[[#This Row],[Pcode]],CampList[CP_Pcode],0)-1,0,1,1)</f>
        <v>Nam Tu RC</v>
      </c>
      <c r="D54" s="18" t="str">
        <f ca="1">OFFSET(CampList[Township],MATCH(Table10[[#This Row],[Pcode]],CampList[CP_Pcode],0)-1,0,1,1)</f>
        <v>Namtu</v>
      </c>
      <c r="E54" s="18">
        <f ca="1">OFFSET(CampList[HH],MATCH(Table10[[#This Row],[Pcode]],CampList[CP_Pcode],0)-1,0,1,1)</f>
        <v>118</v>
      </c>
      <c r="F54" s="18">
        <f ca="1">OFFSET(CampList[Total],MATCH(Table10[[#This Row],[Pcode]],CampList[CP_Pcode],0)-1,0,1,1)</f>
        <v>520</v>
      </c>
      <c r="G54" s="277">
        <f>SUMIF('NFI Tracking'!AQ$11:AQ$1048576,Table10[[#This Row],[Pcode]],'NFI Tracking'!AI$11:AI$1048576)</f>
        <v>0</v>
      </c>
      <c r="H54" s="277">
        <f>SUMIF('NFI Tracking'!AQ$11:AQ$1048576,Table10[[#This Row],[Pcode]],'NFI Tracking'!AJ$11:AJ$1048576)</f>
        <v>0</v>
      </c>
      <c r="I54" s="277">
        <f>SUMIF('NFI Tracking'!AQ$11:AQ$1048576,Table10[[#This Row],[Pcode]],'NFI Tracking'!AK$11:AK$1048576)</f>
        <v>0</v>
      </c>
      <c r="J54" s="277">
        <f ca="1">MAX(Table10[[#This Row],[HH]]*VLOOKUP("Winter Clothes Adult",NFI,6)-Table10[[#This Row],[Winter Clothes Adult ]],0)</f>
        <v>236</v>
      </c>
      <c r="K54" s="277">
        <f ca="1">MAX(Table10[[#This Row],[HH]]*VLOOKUP("Winter Clothes Children ",NFI,6)-Table10[[#This Row],[Winter Clothes Children ]],0)</f>
        <v>118</v>
      </c>
      <c r="L54" s="277">
        <f ca="1">MAX(Table10[[#This Row],[HH]]*VLOOKUP("Winter Items Other ",NFI,6)-Table10[[#This Row],[Winter Items Other ]],0)</f>
        <v>118</v>
      </c>
      <c r="M54" s="310" t="str">
        <f>IF(OR(Table10[[#This Row],[Winter Clothes Adult ]]&lt;&gt;0,Table10[[#This Row],[Winter Clothes Children ]]&lt;&gt;0,Table10[[#This Row],[Winter Items Other ]]&lt;&gt;0),"No","")</f>
        <v/>
      </c>
      <c r="N54" s="311">
        <f>COUNTIF(A:A,Table10[[#This Row],[Pcode]])-1</f>
        <v>0</v>
      </c>
    </row>
    <row r="55" spans="1:14" x14ac:dyDescent="0.25">
      <c r="A55" s="259" t="s">
        <v>61</v>
      </c>
      <c r="B55" s="18" t="str">
        <f ca="1">OFFSET(CampList[Priority],MATCH(Table10[[#This Row],[Pcode]],CampList[CP_Pcode],0)-1,0,1,1)</f>
        <v>P4</v>
      </c>
      <c r="C55" s="18" t="str">
        <f ca="1">OFFSET(CampList[Camp],MATCH(Table10[[#This Row],[Pcode]],CampList[CP_Pcode],0)-1,0,1,1)</f>
        <v>5 Ward Baptist Church(lon Khin)</v>
      </c>
      <c r="D55" s="18" t="str">
        <f ca="1">OFFSET(CampList[Township],MATCH(Table10[[#This Row],[Pcode]],CampList[CP_Pcode],0)-1,0,1,1)</f>
        <v>Hpakant</v>
      </c>
      <c r="E55" s="277">
        <f ca="1">OFFSET(CampList[HH],MATCH(Table10[[#This Row],[Pcode]],CampList[CP_Pcode],0)-1,0,1,1)</f>
        <v>67</v>
      </c>
      <c r="F55" s="277">
        <f ca="1">OFFSET(CampList[Total],MATCH(Table10[[#This Row],[Pcode]],CampList[CP_Pcode],0)-1,0,1,1)</f>
        <v>350</v>
      </c>
      <c r="G55" s="277">
        <f>SUMIF('NFI Tracking'!AQ$11:AQ$1048576,Table10[[#This Row],[Pcode]],'NFI Tracking'!AI$11:AI$1048576)</f>
        <v>0</v>
      </c>
      <c r="H55" s="277">
        <f>SUMIF('NFI Tracking'!AQ$11:AQ$1048576,Table10[[#This Row],[Pcode]],'NFI Tracking'!AJ$11:AJ$1048576)</f>
        <v>0</v>
      </c>
      <c r="I55" s="277">
        <f>SUMIF('NFI Tracking'!AQ$11:AQ$1048576,Table10[[#This Row],[Pcode]],'NFI Tracking'!AK$11:AK$1048576)</f>
        <v>0</v>
      </c>
      <c r="J55" s="277">
        <f ca="1">MAX(Table10[[#This Row],[HH]]*VLOOKUP("Winter Clothes Adult",NFI,6)-Table10[[#This Row],[Winter Clothes Adult ]],0)</f>
        <v>134</v>
      </c>
      <c r="K55" s="277">
        <f ca="1">MAX(Table10[[#This Row],[HH]]*VLOOKUP("Winter Clothes Children ",NFI,6)-Table10[[#This Row],[Winter Clothes Children ]],0)</f>
        <v>67</v>
      </c>
      <c r="L55" s="277">
        <f ca="1">MAX(Table10[[#This Row],[HH]]*VLOOKUP("Winter Items Other ",NFI,6)-Table10[[#This Row],[Winter Items Other ]],0)</f>
        <v>67</v>
      </c>
      <c r="M55" s="310" t="str">
        <f>IF(OR(Table10[[#This Row],[Winter Clothes Adult ]]&lt;&gt;0,Table10[[#This Row],[Winter Clothes Children ]]&lt;&gt;0,Table10[[#This Row],[Winter Items Other ]]&lt;&gt;0),"No","")</f>
        <v/>
      </c>
      <c r="N55" s="311">
        <f>COUNTIF(A:A,Table10[[#This Row],[Pcode]])-1</f>
        <v>0</v>
      </c>
    </row>
    <row r="56" spans="1:14" x14ac:dyDescent="0.25">
      <c r="A56" s="259" t="s">
        <v>119</v>
      </c>
      <c r="B56" s="18" t="str">
        <f ca="1">OFFSET(CampList[Priority],MATCH(Table10[[#This Row],[Pcode]],CampList[CP_Pcode],0)-1,0,1,1)</f>
        <v>P4</v>
      </c>
      <c r="C56" s="18" t="str">
        <f ca="1">OFFSET(CampList[Camp],MATCH(Table10[[#This Row],[Pcode]],CampList[CP_Pcode],0)-1,0,1,1)</f>
        <v>5 Ward RC Church(lon Khin)</v>
      </c>
      <c r="D56" s="18" t="str">
        <f ca="1">OFFSET(CampList[Township],MATCH(Table10[[#This Row],[Pcode]],CampList[CP_Pcode],0)-1,0,1,1)</f>
        <v>Hpakant</v>
      </c>
      <c r="E56" s="277">
        <f ca="1">OFFSET(CampList[HH],MATCH(Table10[[#This Row],[Pcode]],CampList[CP_Pcode],0)-1,0,1,1)</f>
        <v>77</v>
      </c>
      <c r="F56" s="277">
        <f ca="1">OFFSET(CampList[Total],MATCH(Table10[[#This Row],[Pcode]],CampList[CP_Pcode],0)-1,0,1,1)</f>
        <v>411</v>
      </c>
      <c r="G56" s="277">
        <f>SUMIF('NFI Tracking'!AQ$11:AQ$1048576,Table10[[#This Row],[Pcode]],'NFI Tracking'!AI$11:AI$1048576)</f>
        <v>0</v>
      </c>
      <c r="H56" s="277">
        <f>SUMIF('NFI Tracking'!AQ$11:AQ$1048576,Table10[[#This Row],[Pcode]],'NFI Tracking'!AJ$11:AJ$1048576)</f>
        <v>0</v>
      </c>
      <c r="I56" s="277">
        <f>SUMIF('NFI Tracking'!AQ$11:AQ$1048576,Table10[[#This Row],[Pcode]],'NFI Tracking'!AK$11:AK$1048576)</f>
        <v>0</v>
      </c>
      <c r="J56" s="277">
        <f ca="1">MAX(Table10[[#This Row],[HH]]*VLOOKUP("Winter Clothes Adult",NFI,6)-Table10[[#This Row],[Winter Clothes Adult ]],0)</f>
        <v>154</v>
      </c>
      <c r="K56" s="277">
        <f ca="1">MAX(Table10[[#This Row],[HH]]*VLOOKUP("Winter Clothes Children ",NFI,6)-Table10[[#This Row],[Winter Clothes Children ]],0)</f>
        <v>77</v>
      </c>
      <c r="L56" s="277">
        <f ca="1">MAX(Table10[[#This Row],[HH]]*VLOOKUP("Winter Items Other ",NFI,6)-Table10[[#This Row],[Winter Items Other ]],0)</f>
        <v>77</v>
      </c>
      <c r="M56" s="310" t="str">
        <f>IF(OR(Table10[[#This Row],[Winter Clothes Adult ]]&lt;&gt;0,Table10[[#This Row],[Winter Clothes Children ]]&lt;&gt;0,Table10[[#This Row],[Winter Items Other ]]&lt;&gt;0),"No","")</f>
        <v/>
      </c>
      <c r="N56" s="311">
        <f>COUNTIF(A:A,Table10[[#This Row],[Pcode]])-1</f>
        <v>0</v>
      </c>
    </row>
    <row r="57" spans="1:14" x14ac:dyDescent="0.25">
      <c r="A57" s="259" t="s">
        <v>4</v>
      </c>
      <c r="B57" s="18" t="str">
        <f ca="1">OFFSET(CampList[Priority],MATCH(Table10[[#This Row],[Pcode]],CampList[CP_Pcode],0)-1,0,1,1)</f>
        <v>P4</v>
      </c>
      <c r="C57" s="18" t="str">
        <f ca="1">OFFSET(CampList[Camp],MATCH(Table10[[#This Row],[Pcode]],CampList[CP_Pcode],0)-1,0,1,1)</f>
        <v>AD-2000 Tharthana Compound</v>
      </c>
      <c r="D57" s="18" t="str">
        <f ca="1">OFFSET(CampList[Township],MATCH(Table10[[#This Row],[Pcode]],CampList[CP_Pcode],0)-1,0,1,1)</f>
        <v>Bhamo</v>
      </c>
      <c r="E57" s="277">
        <f ca="1">OFFSET(CampList[HH],MATCH(Table10[[#This Row],[Pcode]],CampList[CP_Pcode],0)-1,0,1,1)</f>
        <v>260</v>
      </c>
      <c r="F57" s="277">
        <f ca="1">OFFSET(CampList[Total],MATCH(Table10[[#This Row],[Pcode]],CampList[CP_Pcode],0)-1,0,1,1)</f>
        <v>1263</v>
      </c>
      <c r="G57" s="277">
        <f>SUMIF('NFI Tracking'!AQ$11:AQ$1048576,Table10[[#This Row],[Pcode]],'NFI Tracking'!AI$11:AI$1048576)</f>
        <v>0</v>
      </c>
      <c r="H57" s="277">
        <f>SUMIF('NFI Tracking'!AQ$11:AQ$1048576,Table10[[#This Row],[Pcode]],'NFI Tracking'!AJ$11:AJ$1048576)</f>
        <v>0</v>
      </c>
      <c r="I57" s="277">
        <f>SUMIF('NFI Tracking'!AQ$11:AQ$1048576,Table10[[#This Row],[Pcode]],'NFI Tracking'!AK$11:AK$1048576)</f>
        <v>0</v>
      </c>
      <c r="J57" s="277">
        <f ca="1">MAX(Table10[[#This Row],[HH]]*VLOOKUP("Winter Clothes Adult",NFI,6)-Table10[[#This Row],[Winter Clothes Adult ]],0)</f>
        <v>520</v>
      </c>
      <c r="K57" s="277">
        <f ca="1">MAX(Table10[[#This Row],[HH]]*VLOOKUP("Winter Clothes Children ",NFI,6)-Table10[[#This Row],[Winter Clothes Children ]],0)</f>
        <v>260</v>
      </c>
      <c r="L57" s="277">
        <f ca="1">MAX(Table10[[#This Row],[HH]]*VLOOKUP("Winter Items Other ",NFI,6)-Table10[[#This Row],[Winter Items Other ]],0)</f>
        <v>260</v>
      </c>
      <c r="M57" s="310" t="str">
        <f>IF(OR(Table10[[#This Row],[Winter Clothes Adult ]]&lt;&gt;0,Table10[[#This Row],[Winter Clothes Children ]]&lt;&gt;0,Table10[[#This Row],[Winter Items Other ]]&lt;&gt;0),"No","")</f>
        <v/>
      </c>
      <c r="N57" s="311">
        <f>COUNTIF(A:A,Table10[[#This Row],[Pcode]])-1</f>
        <v>0</v>
      </c>
    </row>
    <row r="58" spans="1:14" x14ac:dyDescent="0.25">
      <c r="A58" s="259" t="s">
        <v>40</v>
      </c>
      <c r="B58" s="18" t="str">
        <f ca="1">OFFSET(CampList[Priority],MATCH(Table10[[#This Row],[Pcode]],CampList[CP_Pcode],0)-1,0,1,1)</f>
        <v>P4</v>
      </c>
      <c r="C58" s="18" t="str">
        <f ca="1">OFFSET(CampList[Camp],MATCH(Table10[[#This Row],[Pcode]],CampList[CP_Pcode],0)-1,0,1,1)</f>
        <v>AG Church, Hmaw Si Sa</v>
      </c>
      <c r="D58" s="18" t="str">
        <f ca="1">OFFSET(CampList[Township],MATCH(Table10[[#This Row],[Pcode]],CampList[CP_Pcode],0)-1,0,1,1)</f>
        <v>Hpakant</v>
      </c>
      <c r="E58" s="277">
        <f ca="1">OFFSET(CampList[HH],MATCH(Table10[[#This Row],[Pcode]],CampList[CP_Pcode],0)-1,0,1,1)</f>
        <v>67</v>
      </c>
      <c r="F58" s="277">
        <f ca="1">OFFSET(CampList[Total],MATCH(Table10[[#This Row],[Pcode]],CampList[CP_Pcode],0)-1,0,1,1)</f>
        <v>353</v>
      </c>
      <c r="G58" s="277">
        <f>SUMIF('NFI Tracking'!AQ$11:AQ$1048576,Table10[[#This Row],[Pcode]],'NFI Tracking'!AI$11:AI$1048576)</f>
        <v>0</v>
      </c>
      <c r="H58" s="277">
        <f>SUMIF('NFI Tracking'!AQ$11:AQ$1048576,Table10[[#This Row],[Pcode]],'NFI Tracking'!AJ$11:AJ$1048576)</f>
        <v>0</v>
      </c>
      <c r="I58" s="277">
        <f>SUMIF('NFI Tracking'!AQ$11:AQ$1048576,Table10[[#This Row],[Pcode]],'NFI Tracking'!AK$11:AK$1048576)</f>
        <v>0</v>
      </c>
      <c r="J58" s="277">
        <f ca="1">MAX(Table10[[#This Row],[HH]]*VLOOKUP("Winter Clothes Adult",NFI,6)-Table10[[#This Row],[Winter Clothes Adult ]],0)</f>
        <v>134</v>
      </c>
      <c r="K58" s="277">
        <f ca="1">MAX(Table10[[#This Row],[HH]]*VLOOKUP("Winter Clothes Children ",NFI,6)-Table10[[#This Row],[Winter Clothes Children ]],0)</f>
        <v>67</v>
      </c>
      <c r="L58" s="277">
        <f ca="1">MAX(Table10[[#This Row],[HH]]*VLOOKUP("Winter Items Other ",NFI,6)-Table10[[#This Row],[Winter Items Other ]],0)</f>
        <v>67</v>
      </c>
      <c r="M58" s="310" t="str">
        <f>IF(OR(Table10[[#This Row],[Winter Clothes Adult ]]&lt;&gt;0,Table10[[#This Row],[Winter Clothes Children ]]&lt;&gt;0,Table10[[#This Row],[Winter Items Other ]]&lt;&gt;0),"No","")</f>
        <v/>
      </c>
      <c r="N58" s="311">
        <f>COUNTIF(A:A,Table10[[#This Row],[Pcode]])-1</f>
        <v>0</v>
      </c>
    </row>
    <row r="59" spans="1:14" x14ac:dyDescent="0.25">
      <c r="A59" s="259" t="s">
        <v>42</v>
      </c>
      <c r="B59" s="18" t="str">
        <f ca="1">OFFSET(CampList[Priority],MATCH(Table10[[#This Row],[Pcode]],CampList[CP_Pcode],0)-1,0,1,1)</f>
        <v>P4</v>
      </c>
      <c r="C59" s="18" t="str">
        <f ca="1">OFFSET(CampList[Camp],MATCH(Table10[[#This Row],[Pcode]],CampList[CP_Pcode],0)-1,0,1,1)</f>
        <v>AG Church, Maw Wan</v>
      </c>
      <c r="D59" s="18" t="str">
        <f ca="1">OFFSET(CampList[Township],MATCH(Table10[[#This Row],[Pcode]],CampList[CP_Pcode],0)-1,0,1,1)</f>
        <v>Hpakant</v>
      </c>
      <c r="E59" s="277">
        <f ca="1">OFFSET(CampList[HH],MATCH(Table10[[#This Row],[Pcode]],CampList[CP_Pcode],0)-1,0,1,1)</f>
        <v>14</v>
      </c>
      <c r="F59" s="277">
        <f ca="1">OFFSET(CampList[Total],MATCH(Table10[[#This Row],[Pcode]],CampList[CP_Pcode],0)-1,0,1,1)</f>
        <v>83</v>
      </c>
      <c r="G59" s="277">
        <f>SUMIF('NFI Tracking'!AQ$11:AQ$1048576,Table10[[#This Row],[Pcode]],'NFI Tracking'!AI$11:AI$1048576)</f>
        <v>0</v>
      </c>
      <c r="H59" s="277">
        <f>SUMIF('NFI Tracking'!AQ$11:AQ$1048576,Table10[[#This Row],[Pcode]],'NFI Tracking'!AJ$11:AJ$1048576)</f>
        <v>0</v>
      </c>
      <c r="I59" s="277">
        <f>SUMIF('NFI Tracking'!AQ$11:AQ$1048576,Table10[[#This Row],[Pcode]],'NFI Tracking'!AK$11:AK$1048576)</f>
        <v>0</v>
      </c>
      <c r="J59" s="277">
        <f ca="1">MAX(Table10[[#This Row],[HH]]*VLOOKUP("Winter Clothes Adult",NFI,6)-Table10[[#This Row],[Winter Clothes Adult ]],0)</f>
        <v>28</v>
      </c>
      <c r="K59" s="277">
        <f ca="1">MAX(Table10[[#This Row],[HH]]*VLOOKUP("Winter Clothes Children ",NFI,6)-Table10[[#This Row],[Winter Clothes Children ]],0)</f>
        <v>14</v>
      </c>
      <c r="L59" s="277">
        <f ca="1">MAX(Table10[[#This Row],[HH]]*VLOOKUP("Winter Items Other ",NFI,6)-Table10[[#This Row],[Winter Items Other ]],0)</f>
        <v>14</v>
      </c>
      <c r="M59" s="310" t="str">
        <f>IF(OR(Table10[[#This Row],[Winter Clothes Adult ]]&lt;&gt;0,Table10[[#This Row],[Winter Clothes Children ]]&lt;&gt;0,Table10[[#This Row],[Winter Items Other ]]&lt;&gt;0),"No","")</f>
        <v/>
      </c>
      <c r="N59" s="311">
        <f>COUNTIF(A:A,Table10[[#This Row],[Pcode]])-1</f>
        <v>0</v>
      </c>
    </row>
    <row r="60" spans="1:14" x14ac:dyDescent="0.25">
      <c r="A60" s="259" t="s">
        <v>377</v>
      </c>
      <c r="B60" s="18" t="str">
        <f ca="1">OFFSET(CampList[Priority],MATCH(Table10[[#This Row],[Pcode]],CampList[CP_Pcode],0)-1,0,1,1)</f>
        <v>P4</v>
      </c>
      <c r="C60" s="18" t="str">
        <f ca="1">OFFSET(CampList[Camp],MATCH(Table10[[#This Row],[Pcode]],CampList[CP_Pcode],0)-1,0,1,1)</f>
        <v>Aung Thar Church</v>
      </c>
      <c r="D60" s="18" t="str">
        <f ca="1">OFFSET(CampList[Township],MATCH(Table10[[#This Row],[Pcode]],CampList[CP_Pcode],0)-1,0,1,1)</f>
        <v>Bhamo</v>
      </c>
      <c r="E60" s="277">
        <f ca="1">OFFSET(CampList[HH],MATCH(Table10[[#This Row],[Pcode]],CampList[CP_Pcode],0)-1,0,1,1)</f>
        <v>12</v>
      </c>
      <c r="F60" s="277">
        <f ca="1">OFFSET(CampList[Total],MATCH(Table10[[#This Row],[Pcode]],CampList[CP_Pcode],0)-1,0,1,1)</f>
        <v>56</v>
      </c>
      <c r="G60" s="277">
        <f>SUMIF('NFI Tracking'!AQ$11:AQ$1048576,Table10[[#This Row],[Pcode]],'NFI Tracking'!AI$11:AI$1048576)</f>
        <v>0</v>
      </c>
      <c r="H60" s="277">
        <f>SUMIF('NFI Tracking'!AQ$11:AQ$1048576,Table10[[#This Row],[Pcode]],'NFI Tracking'!AJ$11:AJ$1048576)</f>
        <v>0</v>
      </c>
      <c r="I60" s="277">
        <f>SUMIF('NFI Tracking'!AQ$11:AQ$1048576,Table10[[#This Row],[Pcode]],'NFI Tracking'!AK$11:AK$1048576)</f>
        <v>0</v>
      </c>
      <c r="J60" s="277">
        <f ca="1">MAX(Table10[[#This Row],[HH]]*VLOOKUP("Winter Clothes Adult",NFI,6)-Table10[[#This Row],[Winter Clothes Adult ]],0)</f>
        <v>24</v>
      </c>
      <c r="K60" s="277">
        <f ca="1">MAX(Table10[[#This Row],[HH]]*VLOOKUP("Winter Clothes Children ",NFI,6)-Table10[[#This Row],[Winter Clothes Children ]],0)</f>
        <v>12</v>
      </c>
      <c r="L60" s="277">
        <f ca="1">MAX(Table10[[#This Row],[HH]]*VLOOKUP("Winter Items Other ",NFI,6)-Table10[[#This Row],[Winter Items Other ]],0)</f>
        <v>12</v>
      </c>
      <c r="M60" s="310" t="str">
        <f>IF(OR(Table10[[#This Row],[Winter Clothes Adult ]]&lt;&gt;0,Table10[[#This Row],[Winter Clothes Children ]]&lt;&gt;0,Table10[[#This Row],[Winter Items Other ]]&lt;&gt;0),"No","")</f>
        <v/>
      </c>
      <c r="N60" s="311">
        <f>COUNTIF(A:A,Table10[[#This Row],[Pcode]])-1</f>
        <v>0</v>
      </c>
    </row>
    <row r="61" spans="1:14" x14ac:dyDescent="0.25">
      <c r="A61" s="259" t="s">
        <v>881</v>
      </c>
      <c r="B61" s="18" t="str">
        <f ca="1">OFFSET(CampList[Priority],MATCH(Table10[[#This Row],[Pcode]],CampList[CP_Pcode],0)-1,0,1,1)</f>
        <v>P4</v>
      </c>
      <c r="C61" s="18" t="str">
        <f ca="1">OFFSET(CampList[Camp],MATCH(Table10[[#This Row],[Pcode]],CampList[CP_Pcode],0)-1,0,1,1)</f>
        <v>Ban Hkung Yang</v>
      </c>
      <c r="D61" s="18" t="str">
        <f ca="1">OFFSET(CampList[Township],MATCH(Table10[[#This Row],[Pcode]],CampList[CP_Pcode],0)-1,0,1,1)</f>
        <v>Mansi</v>
      </c>
      <c r="E61" s="277">
        <f ca="1">OFFSET(CampList[HH],MATCH(Table10[[#This Row],[Pcode]],CampList[CP_Pcode],0)-1,0,1,1)</f>
        <v>0</v>
      </c>
      <c r="F61" s="277">
        <f ca="1">OFFSET(CampList[Total],MATCH(Table10[[#This Row],[Pcode]],CampList[CP_Pcode],0)-1,0,1,1)</f>
        <v>0</v>
      </c>
      <c r="G61" s="277">
        <f>SUMIF('NFI Tracking'!AQ$11:AQ$1048576,Table10[[#This Row],[Pcode]],'NFI Tracking'!AI$11:AI$1048576)</f>
        <v>0</v>
      </c>
      <c r="H61" s="277">
        <f>SUMIF('NFI Tracking'!AQ$11:AQ$1048576,Table10[[#This Row],[Pcode]],'NFI Tracking'!AJ$11:AJ$1048576)</f>
        <v>0</v>
      </c>
      <c r="I61" s="277">
        <f>SUMIF('NFI Tracking'!AQ$11:AQ$1048576,Table10[[#This Row],[Pcode]],'NFI Tracking'!AK$11:AK$1048576)</f>
        <v>0</v>
      </c>
      <c r="J61" s="277">
        <f ca="1">MAX(Table10[[#This Row],[HH]]*VLOOKUP("Winter Clothes Adult",NFI,6)-Table10[[#This Row],[Winter Clothes Adult ]],0)</f>
        <v>0</v>
      </c>
      <c r="K61" s="277">
        <f ca="1">MAX(Table10[[#This Row],[HH]]*VLOOKUP("Winter Clothes Children ",NFI,6)-Table10[[#This Row],[Winter Clothes Children ]],0)</f>
        <v>0</v>
      </c>
      <c r="L61" s="277">
        <f ca="1">MAX(Table10[[#This Row],[HH]]*VLOOKUP("Winter Items Other ",NFI,6)-Table10[[#This Row],[Winter Items Other ]],0)</f>
        <v>0</v>
      </c>
      <c r="M61" s="310" t="str">
        <f>IF(OR(Table10[[#This Row],[Winter Clothes Adult ]]&lt;&gt;0,Table10[[#This Row],[Winter Clothes Children ]]&lt;&gt;0,Table10[[#This Row],[Winter Items Other ]]&lt;&gt;0),"No","")</f>
        <v/>
      </c>
      <c r="N61" s="311">
        <f>COUNTIF(A:A,Table10[[#This Row],[Pcode]])-1</f>
        <v>0</v>
      </c>
    </row>
    <row r="62" spans="1:14" x14ac:dyDescent="0.25">
      <c r="A62" s="259" t="s">
        <v>51</v>
      </c>
      <c r="B62" s="18" t="str">
        <f ca="1">OFFSET(CampList[Priority],MATCH(Table10[[#This Row],[Pcode]],CampList[CP_Pcode],0)-1,0,1,1)</f>
        <v>P4</v>
      </c>
      <c r="C62" s="18" t="str">
        <f ca="1">OFFSET(CampList[Camp],MATCH(Table10[[#This Row],[Pcode]],CampList[CP_Pcode],0)-1,0,1,1)</f>
        <v>Baptist Church, Hmaw Si Sar(Lon Khin)</v>
      </c>
      <c r="D62" s="18" t="str">
        <f ca="1">OFFSET(CampList[Township],MATCH(Table10[[#This Row],[Pcode]],CampList[CP_Pcode],0)-1,0,1,1)</f>
        <v>Hpakant</v>
      </c>
      <c r="E62" s="277">
        <f ca="1">OFFSET(CampList[HH],MATCH(Table10[[#This Row],[Pcode]],CampList[CP_Pcode],0)-1,0,1,1)</f>
        <v>38</v>
      </c>
      <c r="F62" s="277">
        <f ca="1">OFFSET(CampList[Total],MATCH(Table10[[#This Row],[Pcode]],CampList[CP_Pcode],0)-1,0,1,1)</f>
        <v>233</v>
      </c>
      <c r="G62" s="277">
        <f>SUMIF('NFI Tracking'!AQ$11:AQ$1048576,Table10[[#This Row],[Pcode]],'NFI Tracking'!AI$11:AI$1048576)</f>
        <v>0</v>
      </c>
      <c r="H62" s="277">
        <f>SUMIF('NFI Tracking'!AQ$11:AQ$1048576,Table10[[#This Row],[Pcode]],'NFI Tracking'!AJ$11:AJ$1048576)</f>
        <v>0</v>
      </c>
      <c r="I62" s="277">
        <f>SUMIF('NFI Tracking'!AQ$11:AQ$1048576,Table10[[#This Row],[Pcode]],'NFI Tracking'!AK$11:AK$1048576)</f>
        <v>0</v>
      </c>
      <c r="J62" s="277">
        <f ca="1">MAX(Table10[[#This Row],[HH]]*VLOOKUP("Winter Clothes Adult",NFI,6)-Table10[[#This Row],[Winter Clothes Adult ]],0)</f>
        <v>76</v>
      </c>
      <c r="K62" s="277">
        <f ca="1">MAX(Table10[[#This Row],[HH]]*VLOOKUP("Winter Clothes Children ",NFI,6)-Table10[[#This Row],[Winter Clothes Children ]],0)</f>
        <v>38</v>
      </c>
      <c r="L62" s="277">
        <f ca="1">MAX(Table10[[#This Row],[HH]]*VLOOKUP("Winter Items Other ",NFI,6)-Table10[[#This Row],[Winter Items Other ]],0)</f>
        <v>38</v>
      </c>
      <c r="M62" s="310" t="str">
        <f>IF(OR(Table10[[#This Row],[Winter Clothes Adult ]]&lt;&gt;0,Table10[[#This Row],[Winter Clothes Children ]]&lt;&gt;0,Table10[[#This Row],[Winter Items Other ]]&lt;&gt;0),"No","")</f>
        <v/>
      </c>
      <c r="N62" s="311">
        <f>COUNTIF(A:A,Table10[[#This Row],[Pcode]])-1</f>
        <v>0</v>
      </c>
    </row>
    <row r="63" spans="1:14" x14ac:dyDescent="0.25">
      <c r="A63" s="259" t="s">
        <v>57</v>
      </c>
      <c r="B63" s="18" t="str">
        <f ca="1">OFFSET(CampList[Priority],MATCH(Table10[[#This Row],[Pcode]],CampList[CP_Pcode],0)-1,0,1,1)</f>
        <v>P4</v>
      </c>
      <c r="C63" s="18" t="str">
        <f ca="1">OFFSET(CampList[Camp],MATCH(Table10[[#This Row],[Pcode]],CampList[CP_Pcode],0)-1,0,1,1)</f>
        <v>Baptist Church, Naung Hmee VT</v>
      </c>
      <c r="D63" s="18" t="str">
        <f ca="1">OFFSET(CampList[Township],MATCH(Table10[[#This Row],[Pcode]],CampList[CP_Pcode],0)-1,0,1,1)</f>
        <v>Hpakant</v>
      </c>
      <c r="E63" s="277">
        <f ca="1">OFFSET(CampList[HH],MATCH(Table10[[#This Row],[Pcode]],CampList[CP_Pcode],0)-1,0,1,1)</f>
        <v>0</v>
      </c>
      <c r="F63" s="277">
        <f ca="1">OFFSET(CampList[Total],MATCH(Table10[[#This Row],[Pcode]],CampList[CP_Pcode],0)-1,0,1,1)</f>
        <v>0</v>
      </c>
      <c r="G63" s="277">
        <f>SUMIF('NFI Tracking'!AQ$11:AQ$1048576,Table10[[#This Row],[Pcode]],'NFI Tracking'!AI$11:AI$1048576)</f>
        <v>0</v>
      </c>
      <c r="H63" s="277">
        <f>SUMIF('NFI Tracking'!AQ$11:AQ$1048576,Table10[[#This Row],[Pcode]],'NFI Tracking'!AJ$11:AJ$1048576)</f>
        <v>0</v>
      </c>
      <c r="I63" s="277">
        <f>SUMIF('NFI Tracking'!AQ$11:AQ$1048576,Table10[[#This Row],[Pcode]],'NFI Tracking'!AK$11:AK$1048576)</f>
        <v>0</v>
      </c>
      <c r="J63" s="277">
        <f ca="1">MAX(Table10[[#This Row],[HH]]*VLOOKUP("Winter Clothes Adult",NFI,6)-Table10[[#This Row],[Winter Clothes Adult ]],0)</f>
        <v>0</v>
      </c>
      <c r="K63" s="277">
        <f ca="1">MAX(Table10[[#This Row],[HH]]*VLOOKUP("Winter Clothes Children ",NFI,6)-Table10[[#This Row],[Winter Clothes Children ]],0)</f>
        <v>0</v>
      </c>
      <c r="L63" s="277">
        <f ca="1">MAX(Table10[[#This Row],[HH]]*VLOOKUP("Winter Items Other ",NFI,6)-Table10[[#This Row],[Winter Items Other ]],0)</f>
        <v>0</v>
      </c>
      <c r="M63" s="310" t="str">
        <f>IF(OR(Table10[[#This Row],[Winter Clothes Adult ]]&lt;&gt;0,Table10[[#This Row],[Winter Clothes Children ]]&lt;&gt;0,Table10[[#This Row],[Winter Items Other ]]&lt;&gt;0),"No","")</f>
        <v/>
      </c>
      <c r="N63" s="311">
        <f>COUNTIF(A:A,Table10[[#This Row],[Pcode]])-1</f>
        <v>0</v>
      </c>
    </row>
    <row r="64" spans="1:14" x14ac:dyDescent="0.25">
      <c r="A64" s="259" t="s">
        <v>71</v>
      </c>
      <c r="B64" s="18" t="str">
        <f ca="1">OFFSET(CampList[Priority],MATCH(Table10[[#This Row],[Pcode]],CampList[CP_Pcode],0)-1,0,1,1)</f>
        <v>P4</v>
      </c>
      <c r="C64" s="18" t="str">
        <f ca="1">OFFSET(CampList[Camp],MATCH(Table10[[#This Row],[Pcode]],CampList[CP_Pcode],0)-1,0,1,1)</f>
        <v>Chin Church, Seik Mu</v>
      </c>
      <c r="D64" s="18" t="str">
        <f ca="1">OFFSET(CampList[Township],MATCH(Table10[[#This Row],[Pcode]],CampList[CP_Pcode],0)-1,0,1,1)</f>
        <v>Hpakant</v>
      </c>
      <c r="E64" s="277">
        <f ca="1">OFFSET(CampList[HH],MATCH(Table10[[#This Row],[Pcode]],CampList[CP_Pcode],0)-1,0,1,1)</f>
        <v>6</v>
      </c>
      <c r="F64" s="277">
        <f ca="1">OFFSET(CampList[Total],MATCH(Table10[[#This Row],[Pcode]],CampList[CP_Pcode],0)-1,0,1,1)</f>
        <v>30</v>
      </c>
      <c r="G64" s="277">
        <f>SUMIF('NFI Tracking'!AQ$11:AQ$1048576,Table10[[#This Row],[Pcode]],'NFI Tracking'!AI$11:AI$1048576)</f>
        <v>0</v>
      </c>
      <c r="H64" s="277">
        <f>SUMIF('NFI Tracking'!AQ$11:AQ$1048576,Table10[[#This Row],[Pcode]],'NFI Tracking'!AJ$11:AJ$1048576)</f>
        <v>0</v>
      </c>
      <c r="I64" s="277">
        <f>SUMIF('NFI Tracking'!AQ$11:AQ$1048576,Table10[[#This Row],[Pcode]],'NFI Tracking'!AK$11:AK$1048576)</f>
        <v>0</v>
      </c>
      <c r="J64" s="277">
        <f ca="1">MAX(Table10[[#This Row],[HH]]*VLOOKUP("Winter Clothes Adult",NFI,6)-Table10[[#This Row],[Winter Clothes Adult ]],0)</f>
        <v>12</v>
      </c>
      <c r="K64" s="277">
        <f ca="1">MAX(Table10[[#This Row],[HH]]*VLOOKUP("Winter Clothes Children ",NFI,6)-Table10[[#This Row],[Winter Clothes Children ]],0)</f>
        <v>6</v>
      </c>
      <c r="L64" s="277">
        <f ca="1">MAX(Table10[[#This Row],[HH]]*VLOOKUP("Winter Items Other ",NFI,6)-Table10[[#This Row],[Winter Items Other ]],0)</f>
        <v>6</v>
      </c>
      <c r="M64" s="310" t="str">
        <f>IF(OR(Table10[[#This Row],[Winter Clothes Adult ]]&lt;&gt;0,Table10[[#This Row],[Winter Clothes Children ]]&lt;&gt;0,Table10[[#This Row],[Winter Items Other ]]&lt;&gt;0),"No","")</f>
        <v/>
      </c>
      <c r="N64" s="311">
        <f>COUNTIF(A:A,Table10[[#This Row],[Pcode]])-1</f>
        <v>0</v>
      </c>
    </row>
    <row r="65" spans="1:14" x14ac:dyDescent="0.25">
      <c r="A65" s="259" t="s">
        <v>75</v>
      </c>
      <c r="B65" s="18" t="str">
        <f ca="1">OFFSET(CampList[Priority],MATCH(Table10[[#This Row],[Pcode]],CampList[CP_Pcode],0)-1,0,1,1)</f>
        <v>P4</v>
      </c>
      <c r="C65" s="18" t="str">
        <f ca="1">OFFSET(CampList[Camp],MATCH(Table10[[#This Row],[Pcode]],CampList[CP_Pcode],0)-1,0,1,1)</f>
        <v>Dhama Rakhita, Nyein Chan Tar Yar Ward(Lon Khin)</v>
      </c>
      <c r="D65" s="18" t="str">
        <f ca="1">OFFSET(CampList[Township],MATCH(Table10[[#This Row],[Pcode]],CampList[CP_Pcode],0)-1,0,1,1)</f>
        <v>Hpakant</v>
      </c>
      <c r="E65" s="277">
        <f ca="1">OFFSET(CampList[HH],MATCH(Table10[[#This Row],[Pcode]],CampList[CP_Pcode],0)-1,0,1,1)</f>
        <v>66</v>
      </c>
      <c r="F65" s="277">
        <f ca="1">OFFSET(CampList[Total],MATCH(Table10[[#This Row],[Pcode]],CampList[CP_Pcode],0)-1,0,1,1)</f>
        <v>362</v>
      </c>
      <c r="G65" s="277">
        <f>SUMIF('NFI Tracking'!AQ$11:AQ$1048576,Table10[[#This Row],[Pcode]],'NFI Tracking'!AI$11:AI$1048576)</f>
        <v>0</v>
      </c>
      <c r="H65" s="277">
        <f>SUMIF('NFI Tracking'!AQ$11:AQ$1048576,Table10[[#This Row],[Pcode]],'NFI Tracking'!AJ$11:AJ$1048576)</f>
        <v>0</v>
      </c>
      <c r="I65" s="277">
        <f>SUMIF('NFI Tracking'!AQ$11:AQ$1048576,Table10[[#This Row],[Pcode]],'NFI Tracking'!AK$11:AK$1048576)</f>
        <v>0</v>
      </c>
      <c r="J65" s="277">
        <f ca="1">MAX(Table10[[#This Row],[HH]]*VLOOKUP("Winter Clothes Adult",NFI,6)-Table10[[#This Row],[Winter Clothes Adult ]],0)</f>
        <v>132</v>
      </c>
      <c r="K65" s="277">
        <f ca="1">MAX(Table10[[#This Row],[HH]]*VLOOKUP("Winter Clothes Children ",NFI,6)-Table10[[#This Row],[Winter Clothes Children ]],0)</f>
        <v>66</v>
      </c>
      <c r="L65" s="277">
        <f ca="1">MAX(Table10[[#This Row],[HH]]*VLOOKUP("Winter Items Other ",NFI,6)-Table10[[#This Row],[Winter Items Other ]],0)</f>
        <v>66</v>
      </c>
      <c r="M65" s="310" t="str">
        <f>IF(OR(Table10[[#This Row],[Winter Clothes Adult ]]&lt;&gt;0,Table10[[#This Row],[Winter Clothes Children ]]&lt;&gt;0,Table10[[#This Row],[Winter Items Other ]]&lt;&gt;0),"No","")</f>
        <v/>
      </c>
      <c r="N65" s="311">
        <f>COUNTIF(A:A,Table10[[#This Row],[Pcode]])-1</f>
        <v>0</v>
      </c>
    </row>
    <row r="66" spans="1:14" x14ac:dyDescent="0.25">
      <c r="A66" s="259" t="s">
        <v>242</v>
      </c>
      <c r="B66" s="18" t="str">
        <f ca="1">OFFSET(CampList[Priority],MATCH(Table10[[#This Row],[Pcode]],CampList[CP_Pcode],0)-1,0,1,1)</f>
        <v>P4</v>
      </c>
      <c r="C66" s="18" t="str">
        <f ca="1">OFFSET(CampList[Camp],MATCH(Table10[[#This Row],[Pcode]],CampList[CP_Pcode],0)-1,0,1,1)</f>
        <v>Du Kahtawng Qtr. 14</v>
      </c>
      <c r="D66" s="18" t="str">
        <f ca="1">OFFSET(CampList[Township],MATCH(Table10[[#This Row],[Pcode]],CampList[CP_Pcode],0)-1,0,1,1)</f>
        <v>Myitkyina</v>
      </c>
      <c r="E66" s="277">
        <f ca="1">OFFSET(CampList[HH],MATCH(Table10[[#This Row],[Pcode]],CampList[CP_Pcode],0)-1,0,1,1)</f>
        <v>6</v>
      </c>
      <c r="F66" s="277">
        <f ca="1">OFFSET(CampList[Total],MATCH(Table10[[#This Row],[Pcode]],CampList[CP_Pcode],0)-1,0,1,1)</f>
        <v>28</v>
      </c>
      <c r="G66" s="277">
        <f>SUMIF('NFI Tracking'!AQ$11:AQ$1048576,Table10[[#This Row],[Pcode]],'NFI Tracking'!AI$11:AI$1048576)</f>
        <v>0</v>
      </c>
      <c r="H66" s="277">
        <f>SUMIF('NFI Tracking'!AQ$11:AQ$1048576,Table10[[#This Row],[Pcode]],'NFI Tracking'!AJ$11:AJ$1048576)</f>
        <v>0</v>
      </c>
      <c r="I66" s="277">
        <f>SUMIF('NFI Tracking'!AQ$11:AQ$1048576,Table10[[#This Row],[Pcode]],'NFI Tracking'!AK$11:AK$1048576)</f>
        <v>0</v>
      </c>
      <c r="J66" s="277">
        <f ca="1">MAX(Table10[[#This Row],[HH]]*VLOOKUP("Winter Clothes Adult",NFI,6)-Table10[[#This Row],[Winter Clothes Adult ]],0)</f>
        <v>12</v>
      </c>
      <c r="K66" s="277">
        <f ca="1">MAX(Table10[[#This Row],[HH]]*VLOOKUP("Winter Clothes Children ",NFI,6)-Table10[[#This Row],[Winter Clothes Children ]],0)</f>
        <v>6</v>
      </c>
      <c r="L66" s="277">
        <f ca="1">MAX(Table10[[#This Row],[HH]]*VLOOKUP("Winter Items Other ",NFI,6)-Table10[[#This Row],[Winter Items Other ]],0)</f>
        <v>6</v>
      </c>
      <c r="M66" s="310" t="str">
        <f>IF(OR(Table10[[#This Row],[Winter Clothes Adult ]]&lt;&gt;0,Table10[[#This Row],[Winter Clothes Children ]]&lt;&gt;0,Table10[[#This Row],[Winter Items Other ]]&lt;&gt;0),"No","")</f>
        <v/>
      </c>
      <c r="N66" s="311">
        <f>COUNTIF(A:A,Table10[[#This Row],[Pcode]])-1</f>
        <v>0</v>
      </c>
    </row>
    <row r="67" spans="1:14" x14ac:dyDescent="0.25">
      <c r="A67" s="259" t="s">
        <v>244</v>
      </c>
      <c r="B67" s="18" t="str">
        <f ca="1">OFFSET(CampList[Priority],MATCH(Table10[[#This Row],[Pcode]],CampList[CP_Pcode],0)-1,0,1,1)</f>
        <v>P4</v>
      </c>
      <c r="C67" s="18" t="str">
        <f ca="1">OFFSET(CampList[Camp],MATCH(Table10[[#This Row],[Pcode]],CampList[CP_Pcode],0)-1,0,1,1)</f>
        <v>Du Kahtawng Qtr. 4</v>
      </c>
      <c r="D67" s="18" t="str">
        <f ca="1">OFFSET(CampList[Township],MATCH(Table10[[#This Row],[Pcode]],CampList[CP_Pcode],0)-1,0,1,1)</f>
        <v>Myitkyina</v>
      </c>
      <c r="E67" s="277">
        <f ca="1">OFFSET(CampList[HH],MATCH(Table10[[#This Row],[Pcode]],CampList[CP_Pcode],0)-1,0,1,1)</f>
        <v>6</v>
      </c>
      <c r="F67" s="277">
        <f ca="1">OFFSET(CampList[Total],MATCH(Table10[[#This Row],[Pcode]],CampList[CP_Pcode],0)-1,0,1,1)</f>
        <v>39</v>
      </c>
      <c r="G67" s="277">
        <f>SUMIF('NFI Tracking'!AQ$11:AQ$1048576,Table10[[#This Row],[Pcode]],'NFI Tracking'!AI$11:AI$1048576)</f>
        <v>0</v>
      </c>
      <c r="H67" s="277">
        <f>SUMIF('NFI Tracking'!AQ$11:AQ$1048576,Table10[[#This Row],[Pcode]],'NFI Tracking'!AJ$11:AJ$1048576)</f>
        <v>0</v>
      </c>
      <c r="I67" s="277">
        <f>SUMIF('NFI Tracking'!AQ$11:AQ$1048576,Table10[[#This Row],[Pcode]],'NFI Tracking'!AK$11:AK$1048576)</f>
        <v>0</v>
      </c>
      <c r="J67" s="277">
        <f ca="1">MAX(Table10[[#This Row],[HH]]*VLOOKUP("Winter Clothes Adult",NFI,6)-Table10[[#This Row],[Winter Clothes Adult ]],0)</f>
        <v>12</v>
      </c>
      <c r="K67" s="277">
        <f ca="1">MAX(Table10[[#This Row],[HH]]*VLOOKUP("Winter Clothes Children ",NFI,6)-Table10[[#This Row],[Winter Clothes Children ]],0)</f>
        <v>6</v>
      </c>
      <c r="L67" s="277">
        <f ca="1">MAX(Table10[[#This Row],[HH]]*VLOOKUP("Winter Items Other ",NFI,6)-Table10[[#This Row],[Winter Items Other ]],0)</f>
        <v>6</v>
      </c>
      <c r="M67" s="310" t="str">
        <f>IF(OR(Table10[[#This Row],[Winter Clothes Adult ]]&lt;&gt;0,Table10[[#This Row],[Winter Clothes Children ]]&lt;&gt;0,Table10[[#This Row],[Winter Items Other ]]&lt;&gt;0),"No","")</f>
        <v/>
      </c>
      <c r="N67" s="311">
        <f>COUNTIF(A:A,Table10[[#This Row],[Pcode]])-1</f>
        <v>0</v>
      </c>
    </row>
    <row r="68" spans="1:14" x14ac:dyDescent="0.25">
      <c r="A68" s="259" t="s">
        <v>246</v>
      </c>
      <c r="B68" s="18" t="str">
        <f ca="1">OFFSET(CampList[Priority],MATCH(Table10[[#This Row],[Pcode]],CampList[CP_Pcode],0)-1,0,1,1)</f>
        <v>P4</v>
      </c>
      <c r="C68" s="18" t="str">
        <f ca="1">OFFSET(CampList[Camp],MATCH(Table10[[#This Row],[Pcode]],CampList[CP_Pcode],0)-1,0,1,1)</f>
        <v>Du Kahtawng Qtr. 5</v>
      </c>
      <c r="D68" s="18" t="str">
        <f ca="1">OFFSET(CampList[Township],MATCH(Table10[[#This Row],[Pcode]],CampList[CP_Pcode],0)-1,0,1,1)</f>
        <v>Myitkyina</v>
      </c>
      <c r="E68" s="277">
        <f ca="1">OFFSET(CampList[HH],MATCH(Table10[[#This Row],[Pcode]],CampList[CP_Pcode],0)-1,0,1,1)</f>
        <v>20</v>
      </c>
      <c r="F68" s="277">
        <f ca="1">OFFSET(CampList[Total],MATCH(Table10[[#This Row],[Pcode]],CampList[CP_Pcode],0)-1,0,1,1)</f>
        <v>105</v>
      </c>
      <c r="G68" s="277">
        <f>SUMIF('NFI Tracking'!AQ$11:AQ$1048576,Table10[[#This Row],[Pcode]],'NFI Tracking'!AI$11:AI$1048576)</f>
        <v>0</v>
      </c>
      <c r="H68" s="277">
        <f>SUMIF('NFI Tracking'!AQ$11:AQ$1048576,Table10[[#This Row],[Pcode]],'NFI Tracking'!AJ$11:AJ$1048576)</f>
        <v>0</v>
      </c>
      <c r="I68" s="277">
        <f>SUMIF('NFI Tracking'!AQ$11:AQ$1048576,Table10[[#This Row],[Pcode]],'NFI Tracking'!AK$11:AK$1048576)</f>
        <v>0</v>
      </c>
      <c r="J68" s="277">
        <f ca="1">MAX(Table10[[#This Row],[HH]]*VLOOKUP("Winter Clothes Adult",NFI,6)-Table10[[#This Row],[Winter Clothes Adult ]],0)</f>
        <v>40</v>
      </c>
      <c r="K68" s="277">
        <f ca="1">MAX(Table10[[#This Row],[HH]]*VLOOKUP("Winter Clothes Children ",NFI,6)-Table10[[#This Row],[Winter Clothes Children ]],0)</f>
        <v>20</v>
      </c>
      <c r="L68" s="277">
        <f ca="1">MAX(Table10[[#This Row],[HH]]*VLOOKUP("Winter Items Other ",NFI,6)-Table10[[#This Row],[Winter Items Other ]],0)</f>
        <v>20</v>
      </c>
      <c r="M68" s="310" t="str">
        <f>IF(OR(Table10[[#This Row],[Winter Clothes Adult ]]&lt;&gt;0,Table10[[#This Row],[Winter Clothes Children ]]&lt;&gt;0,Table10[[#This Row],[Winter Items Other ]]&lt;&gt;0),"No","")</f>
        <v/>
      </c>
      <c r="N68" s="311">
        <f>COUNTIF(A:A,Table10[[#This Row],[Pcode]])-1</f>
        <v>0</v>
      </c>
    </row>
    <row r="69" spans="1:14" x14ac:dyDescent="0.25">
      <c r="A69" s="259" t="s">
        <v>312</v>
      </c>
      <c r="B69" s="18" t="str">
        <f ca="1">OFFSET(CampList[Priority],MATCH(Table10[[#This Row],[Pcode]],CampList[CP_Pcode],0)-1,0,1,1)</f>
        <v>P4</v>
      </c>
      <c r="C69" s="18" t="str">
        <f ca="1">OFFSET(CampList[Camp],MATCH(Table10[[#This Row],[Pcode]],CampList[CP_Pcode],0)-1,0,1,1)</f>
        <v xml:space="preserve">Hkat Cho </v>
      </c>
      <c r="D69" s="18" t="str">
        <f ca="1">OFFSET(CampList[Township],MATCH(Table10[[#This Row],[Pcode]],CampList[CP_Pcode],0)-1,0,1,1)</f>
        <v>Waingmaw</v>
      </c>
      <c r="E69" s="277">
        <f ca="1">OFFSET(CampList[HH],MATCH(Table10[[#This Row],[Pcode]],CampList[CP_Pcode],0)-1,0,1,1)</f>
        <v>99</v>
      </c>
      <c r="F69" s="277">
        <f ca="1">OFFSET(CampList[Total],MATCH(Table10[[#This Row],[Pcode]],CampList[CP_Pcode],0)-1,0,1,1)</f>
        <v>472</v>
      </c>
      <c r="G69" s="277">
        <f>SUMIF('NFI Tracking'!AQ$11:AQ$1048576,Table10[[#This Row],[Pcode]],'NFI Tracking'!AI$11:AI$1048576)</f>
        <v>0</v>
      </c>
      <c r="H69" s="277">
        <f>SUMIF('NFI Tracking'!AQ$11:AQ$1048576,Table10[[#This Row],[Pcode]],'NFI Tracking'!AJ$11:AJ$1048576)</f>
        <v>0</v>
      </c>
      <c r="I69" s="277">
        <f>SUMIF('NFI Tracking'!AQ$11:AQ$1048576,Table10[[#This Row],[Pcode]],'NFI Tracking'!AK$11:AK$1048576)</f>
        <v>0</v>
      </c>
      <c r="J69" s="277">
        <f ca="1">MAX(Table10[[#This Row],[HH]]*VLOOKUP("Winter Clothes Adult",NFI,6)-Table10[[#This Row],[Winter Clothes Adult ]],0)</f>
        <v>198</v>
      </c>
      <c r="K69" s="277">
        <f ca="1">MAX(Table10[[#This Row],[HH]]*VLOOKUP("Winter Clothes Children ",NFI,6)-Table10[[#This Row],[Winter Clothes Children ]],0)</f>
        <v>99</v>
      </c>
      <c r="L69" s="277">
        <f ca="1">MAX(Table10[[#This Row],[HH]]*VLOOKUP("Winter Items Other ",NFI,6)-Table10[[#This Row],[Winter Items Other ]],0)</f>
        <v>99</v>
      </c>
      <c r="M69" s="310" t="str">
        <f>IF(OR(Table10[[#This Row],[Winter Clothes Adult ]]&lt;&gt;0,Table10[[#This Row],[Winter Clothes Children ]]&lt;&gt;0,Table10[[#This Row],[Winter Items Other ]]&lt;&gt;0),"No","")</f>
        <v/>
      </c>
      <c r="N69" s="311">
        <f>COUNTIF(A:A,Table10[[#This Row],[Pcode]])-1</f>
        <v>0</v>
      </c>
    </row>
    <row r="70" spans="1:14" x14ac:dyDescent="0.25">
      <c r="A70" s="259" t="s">
        <v>87</v>
      </c>
      <c r="B70" s="18" t="str">
        <f ca="1">OFFSET(CampList[Priority],MATCH(Table10[[#This Row],[Pcode]],CampList[CP_Pcode],0)-1,0,1,1)</f>
        <v>P4</v>
      </c>
      <c r="C70" s="18" t="str">
        <f ca="1">OFFSET(CampList[Camp],MATCH(Table10[[#This Row],[Pcode]],CampList[CP_Pcode],0)-1,0,1,1)</f>
        <v>Hlaing Naung Baptist</v>
      </c>
      <c r="D70" s="18" t="str">
        <f ca="1">OFFSET(CampList[Township],MATCH(Table10[[#This Row],[Pcode]],CampList[CP_Pcode],0)-1,0,1,1)</f>
        <v>Hpakant</v>
      </c>
      <c r="E70" s="277">
        <f ca="1">OFFSET(CampList[HH],MATCH(Table10[[#This Row],[Pcode]],CampList[CP_Pcode],0)-1,0,1,1)</f>
        <v>13</v>
      </c>
      <c r="F70" s="277">
        <f ca="1">OFFSET(CampList[Total],MATCH(Table10[[#This Row],[Pcode]],CampList[CP_Pcode],0)-1,0,1,1)</f>
        <v>46</v>
      </c>
      <c r="G70" s="277">
        <f>SUMIF('NFI Tracking'!AQ$11:AQ$1048576,Table10[[#This Row],[Pcode]],'NFI Tracking'!AI$11:AI$1048576)</f>
        <v>0</v>
      </c>
      <c r="H70" s="277">
        <f>SUMIF('NFI Tracking'!AQ$11:AQ$1048576,Table10[[#This Row],[Pcode]],'NFI Tracking'!AJ$11:AJ$1048576)</f>
        <v>0</v>
      </c>
      <c r="I70" s="277">
        <f>SUMIF('NFI Tracking'!AQ$11:AQ$1048576,Table10[[#This Row],[Pcode]],'NFI Tracking'!AK$11:AK$1048576)</f>
        <v>0</v>
      </c>
      <c r="J70" s="277">
        <f ca="1">MAX(Table10[[#This Row],[HH]]*VLOOKUP("Winter Clothes Adult",NFI,6)-Table10[[#This Row],[Winter Clothes Adult ]],0)</f>
        <v>26</v>
      </c>
      <c r="K70" s="277">
        <f ca="1">MAX(Table10[[#This Row],[HH]]*VLOOKUP("Winter Clothes Children ",NFI,6)-Table10[[#This Row],[Winter Clothes Children ]],0)</f>
        <v>13</v>
      </c>
      <c r="L70" s="277">
        <f ca="1">MAX(Table10[[#This Row],[HH]]*VLOOKUP("Winter Items Other ",NFI,6)-Table10[[#This Row],[Winter Items Other ]],0)</f>
        <v>13</v>
      </c>
      <c r="M70" s="310" t="str">
        <f>IF(OR(Table10[[#This Row],[Winter Clothes Adult ]]&lt;&gt;0,Table10[[#This Row],[Winter Clothes Children ]]&lt;&gt;0,Table10[[#This Row],[Winter Items Other ]]&lt;&gt;0),"No","")</f>
        <v/>
      </c>
      <c r="N70" s="311">
        <f>COUNTIF(A:A,Table10[[#This Row],[Pcode]])-1</f>
        <v>0</v>
      </c>
    </row>
    <row r="71" spans="1:14" x14ac:dyDescent="0.25">
      <c r="A71" s="259" t="s">
        <v>45</v>
      </c>
      <c r="B71" s="18" t="str">
        <f ca="1">OFFSET(CampList[Priority],MATCH(Table10[[#This Row],[Pcode]],CampList[CP_Pcode],0)-1,0,1,1)</f>
        <v>P4</v>
      </c>
      <c r="C71" s="18" t="str">
        <f ca="1">OFFSET(CampList[Camp],MATCH(Table10[[#This Row],[Pcode]],CampList[CP_Pcode],0)-1,0,1,1)</f>
        <v>Hmaw Wan, Anglican</v>
      </c>
      <c r="D71" s="18" t="str">
        <f ca="1">OFFSET(CampList[Township],MATCH(Table10[[#This Row],[Pcode]],CampList[CP_Pcode],0)-1,0,1,1)</f>
        <v>Hpakant</v>
      </c>
      <c r="E71" s="277">
        <f ca="1">OFFSET(CampList[HH],MATCH(Table10[[#This Row],[Pcode]],CampList[CP_Pcode],0)-1,0,1,1)</f>
        <v>5</v>
      </c>
      <c r="F71" s="277">
        <f ca="1">OFFSET(CampList[Total],MATCH(Table10[[#This Row],[Pcode]],CampList[CP_Pcode],0)-1,0,1,1)</f>
        <v>34</v>
      </c>
      <c r="G71" s="277">
        <f>SUMIF('NFI Tracking'!AQ$11:AQ$1048576,Table10[[#This Row],[Pcode]],'NFI Tracking'!AI$11:AI$1048576)</f>
        <v>0</v>
      </c>
      <c r="H71" s="277">
        <f>SUMIF('NFI Tracking'!AQ$11:AQ$1048576,Table10[[#This Row],[Pcode]],'NFI Tracking'!AJ$11:AJ$1048576)</f>
        <v>0</v>
      </c>
      <c r="I71" s="277">
        <f>SUMIF('NFI Tracking'!AQ$11:AQ$1048576,Table10[[#This Row],[Pcode]],'NFI Tracking'!AK$11:AK$1048576)</f>
        <v>0</v>
      </c>
      <c r="J71" s="277">
        <f ca="1">MAX(Table10[[#This Row],[HH]]*VLOOKUP("Winter Clothes Adult",NFI,6)-Table10[[#This Row],[Winter Clothes Adult ]],0)</f>
        <v>10</v>
      </c>
      <c r="K71" s="277">
        <f ca="1">MAX(Table10[[#This Row],[HH]]*VLOOKUP("Winter Clothes Children ",NFI,6)-Table10[[#This Row],[Winter Clothes Children ]],0)</f>
        <v>5</v>
      </c>
      <c r="L71" s="277">
        <f ca="1">MAX(Table10[[#This Row],[HH]]*VLOOKUP("Winter Items Other ",NFI,6)-Table10[[#This Row],[Winter Items Other ]],0)</f>
        <v>5</v>
      </c>
      <c r="M71" s="310" t="str">
        <f>IF(OR(Table10[[#This Row],[Winter Clothes Adult ]]&lt;&gt;0,Table10[[#This Row],[Winter Clothes Children ]]&lt;&gt;0,Table10[[#This Row],[Winter Items Other ]]&lt;&gt;0),"No","")</f>
        <v/>
      </c>
      <c r="N71" s="311">
        <f>COUNTIF(A:A,Table10[[#This Row],[Pcode]])-1</f>
        <v>0</v>
      </c>
    </row>
    <row r="72" spans="1:14" x14ac:dyDescent="0.25">
      <c r="A72" s="259" t="s">
        <v>11</v>
      </c>
      <c r="B72" s="18" t="str">
        <f ca="1">OFFSET(CampList[Priority],MATCH(Table10[[#This Row],[Pcode]],CampList[CP_Pcode],0)-1,0,1,1)</f>
        <v>P4</v>
      </c>
      <c r="C72" s="18" t="str">
        <f ca="1">OFFSET(CampList[Camp],MATCH(Table10[[#This Row],[Pcode]],CampList[CP_Pcode],0)-1,0,1,1)</f>
        <v>Host Families</v>
      </c>
      <c r="D72" s="18" t="str">
        <f ca="1">OFFSET(CampList[Township],MATCH(Table10[[#This Row],[Pcode]],CampList[CP_Pcode],0)-1,0,1,1)</f>
        <v>Bhamo</v>
      </c>
      <c r="E72" s="277">
        <f ca="1">OFFSET(CampList[HH],MATCH(Table10[[#This Row],[Pcode]],CampList[CP_Pcode],0)-1,0,1,1)</f>
        <v>211</v>
      </c>
      <c r="F72" s="277">
        <f ca="1">OFFSET(CampList[Total],MATCH(Table10[[#This Row],[Pcode]],CampList[CP_Pcode],0)-1,0,1,1)</f>
        <v>989</v>
      </c>
      <c r="G72" s="277">
        <f>SUMIF('NFI Tracking'!AQ$11:AQ$1048576,Table10[[#This Row],[Pcode]],'NFI Tracking'!AI$11:AI$1048576)</f>
        <v>0</v>
      </c>
      <c r="H72" s="277">
        <f>SUMIF('NFI Tracking'!AQ$11:AQ$1048576,Table10[[#This Row],[Pcode]],'NFI Tracking'!AJ$11:AJ$1048576)</f>
        <v>0</v>
      </c>
      <c r="I72" s="277">
        <f>SUMIF('NFI Tracking'!AQ$11:AQ$1048576,Table10[[#This Row],[Pcode]],'NFI Tracking'!AK$11:AK$1048576)</f>
        <v>0</v>
      </c>
      <c r="J72" s="277">
        <f ca="1">MAX(Table10[[#This Row],[HH]]*VLOOKUP("Winter Clothes Adult",NFI,6)-Table10[[#This Row],[Winter Clothes Adult ]],0)</f>
        <v>422</v>
      </c>
      <c r="K72" s="277">
        <f ca="1">MAX(Table10[[#This Row],[HH]]*VLOOKUP("Winter Clothes Children ",NFI,6)-Table10[[#This Row],[Winter Clothes Children ]],0)</f>
        <v>211</v>
      </c>
      <c r="L72" s="277">
        <f ca="1">MAX(Table10[[#This Row],[HH]]*VLOOKUP("Winter Items Other ",NFI,6)-Table10[[#This Row],[Winter Items Other ]],0)</f>
        <v>211</v>
      </c>
      <c r="M72" s="310" t="str">
        <f>IF(OR(Table10[[#This Row],[Winter Clothes Adult ]]&lt;&gt;0,Table10[[#This Row],[Winter Clothes Children ]]&lt;&gt;0,Table10[[#This Row],[Winter Items Other ]]&lt;&gt;0),"No","")</f>
        <v/>
      </c>
      <c r="N72" s="311">
        <f>COUNTIF(A:A,Table10[[#This Row],[Pcode]])-1</f>
        <v>0</v>
      </c>
    </row>
    <row r="73" spans="1:14" x14ac:dyDescent="0.25">
      <c r="A73" s="259" t="s">
        <v>390</v>
      </c>
      <c r="B73" s="18" t="str">
        <f ca="1">OFFSET(CampList[Priority],MATCH(Table10[[#This Row],[Pcode]],CampList[CP_Pcode],0)-1,0,1,1)</f>
        <v>P4</v>
      </c>
      <c r="C73" s="18" t="str">
        <f ca="1">OFFSET(CampList[Camp],MATCH(Table10[[#This Row],[Pcode]],CampList[CP_Pcode],0)-1,0,1,1)</f>
        <v>Host Families</v>
      </c>
      <c r="D73" s="18" t="str">
        <f ca="1">OFFSET(CampList[Township],MATCH(Table10[[#This Row],[Pcode]],CampList[CP_Pcode],0)-1,0,1,1)</f>
        <v>Mansi</v>
      </c>
      <c r="E73" s="277">
        <f ca="1">OFFSET(CampList[HH],MATCH(Table10[[#This Row],[Pcode]],CampList[CP_Pcode],0)-1,0,1,1)</f>
        <v>76</v>
      </c>
      <c r="F73" s="277">
        <f ca="1">OFFSET(CampList[Total],MATCH(Table10[[#This Row],[Pcode]],CampList[CP_Pcode],0)-1,0,1,1)</f>
        <v>256</v>
      </c>
      <c r="G73" s="277">
        <f>SUMIF('NFI Tracking'!AQ$11:AQ$1048576,Table10[[#This Row],[Pcode]],'NFI Tracking'!AI$11:AI$1048576)</f>
        <v>0</v>
      </c>
      <c r="H73" s="277">
        <f>SUMIF('NFI Tracking'!AQ$11:AQ$1048576,Table10[[#This Row],[Pcode]],'NFI Tracking'!AJ$11:AJ$1048576)</f>
        <v>0</v>
      </c>
      <c r="I73" s="277">
        <f>SUMIF('NFI Tracking'!AQ$11:AQ$1048576,Table10[[#This Row],[Pcode]],'NFI Tracking'!AK$11:AK$1048576)</f>
        <v>0</v>
      </c>
      <c r="J73" s="277">
        <f ca="1">MAX(Table10[[#This Row],[HH]]*VLOOKUP("Winter Clothes Adult",NFI,6)-Table10[[#This Row],[Winter Clothes Adult ]],0)</f>
        <v>152</v>
      </c>
      <c r="K73" s="277">
        <f ca="1">MAX(Table10[[#This Row],[HH]]*VLOOKUP("Winter Clothes Children ",NFI,6)-Table10[[#This Row],[Winter Clothes Children ]],0)</f>
        <v>76</v>
      </c>
      <c r="L73" s="277">
        <f ca="1">MAX(Table10[[#This Row],[HH]]*VLOOKUP("Winter Items Other ",NFI,6)-Table10[[#This Row],[Winter Items Other ]],0)</f>
        <v>76</v>
      </c>
      <c r="M73" s="310" t="str">
        <f>IF(OR(Table10[[#This Row],[Winter Clothes Adult ]]&lt;&gt;0,Table10[[#This Row],[Winter Clothes Children ]]&lt;&gt;0,Table10[[#This Row],[Winter Items Other ]]&lt;&gt;0),"No","")</f>
        <v/>
      </c>
      <c r="N73" s="311">
        <f>COUNTIF(A:A,Table10[[#This Row],[Pcode]])-1</f>
        <v>0</v>
      </c>
    </row>
    <row r="74" spans="1:14" x14ac:dyDescent="0.25">
      <c r="A74" s="259" t="s">
        <v>391</v>
      </c>
      <c r="B74" s="18" t="str">
        <f ca="1">OFFSET(CampList[Priority],MATCH(Table10[[#This Row],[Pcode]],CampList[CP_Pcode],0)-1,0,1,1)</f>
        <v>P4</v>
      </c>
      <c r="C74" s="18" t="str">
        <f ca="1">OFFSET(CampList[Camp],MATCH(Table10[[#This Row],[Pcode]],CampList[CP_Pcode],0)-1,0,1,1)</f>
        <v>Host Families</v>
      </c>
      <c r="D74" s="18" t="str">
        <f ca="1">OFFSET(CampList[Township],MATCH(Table10[[#This Row],[Pcode]],CampList[CP_Pcode],0)-1,0,1,1)</f>
        <v>Momauk</v>
      </c>
      <c r="E74" s="277">
        <f ca="1">OFFSET(CampList[HH],MATCH(Table10[[#This Row],[Pcode]],CampList[CP_Pcode],0)-1,0,1,1)</f>
        <v>320</v>
      </c>
      <c r="F74" s="277">
        <f ca="1">OFFSET(CampList[Total],MATCH(Table10[[#This Row],[Pcode]],CampList[CP_Pcode],0)-1,0,1,1)</f>
        <v>1125</v>
      </c>
      <c r="G74" s="277">
        <f>SUMIF('NFI Tracking'!AQ$11:AQ$1048576,Table10[[#This Row],[Pcode]],'NFI Tracking'!AI$11:AI$1048576)</f>
        <v>0</v>
      </c>
      <c r="H74" s="277">
        <f>SUMIF('NFI Tracking'!AQ$11:AQ$1048576,Table10[[#This Row],[Pcode]],'NFI Tracking'!AJ$11:AJ$1048576)</f>
        <v>0</v>
      </c>
      <c r="I74" s="277">
        <f>SUMIF('NFI Tracking'!AQ$11:AQ$1048576,Table10[[#This Row],[Pcode]],'NFI Tracking'!AK$11:AK$1048576)</f>
        <v>0</v>
      </c>
      <c r="J74" s="277">
        <f ca="1">MAX(Table10[[#This Row],[HH]]*VLOOKUP("Winter Clothes Adult",NFI,6)-Table10[[#This Row],[Winter Clothes Adult ]],0)</f>
        <v>640</v>
      </c>
      <c r="K74" s="277">
        <f ca="1">MAX(Table10[[#This Row],[HH]]*VLOOKUP("Winter Clothes Children ",NFI,6)-Table10[[#This Row],[Winter Clothes Children ]],0)</f>
        <v>320</v>
      </c>
      <c r="L74" s="277">
        <f ca="1">MAX(Table10[[#This Row],[HH]]*VLOOKUP("Winter Items Other ",NFI,6)-Table10[[#This Row],[Winter Items Other ]],0)</f>
        <v>320</v>
      </c>
      <c r="M74" s="310" t="str">
        <f>IF(OR(Table10[[#This Row],[Winter Clothes Adult ]]&lt;&gt;0,Table10[[#This Row],[Winter Clothes Children ]]&lt;&gt;0,Table10[[#This Row],[Winter Items Other ]]&lt;&gt;0),"No","")</f>
        <v/>
      </c>
      <c r="N74" s="311">
        <f>COUNTIF(A:A,Table10[[#This Row],[Pcode]])-1</f>
        <v>0</v>
      </c>
    </row>
    <row r="75" spans="1:14" x14ac:dyDescent="0.25">
      <c r="A75" s="259" t="s">
        <v>393</v>
      </c>
      <c r="B75" s="18" t="str">
        <f ca="1">OFFSET(CampList[Priority],MATCH(Table10[[#This Row],[Pcode]],CampList[CP_Pcode],0)-1,0,1,1)</f>
        <v>P4</v>
      </c>
      <c r="C75" s="18" t="str">
        <f ca="1">OFFSET(CampList[Camp],MATCH(Table10[[#This Row],[Pcode]],CampList[CP_Pcode],0)-1,0,1,1)</f>
        <v>Host Families</v>
      </c>
      <c r="D75" s="18" t="str">
        <f ca="1">OFFSET(CampList[Township],MATCH(Table10[[#This Row],[Pcode]],CampList[CP_Pcode],0)-1,0,1,1)</f>
        <v>Shwegu</v>
      </c>
      <c r="E75" s="277">
        <f ca="1">OFFSET(CampList[HH],MATCH(Table10[[#This Row],[Pcode]],CampList[CP_Pcode],0)-1,0,1,1)</f>
        <v>9</v>
      </c>
      <c r="F75" s="277">
        <f ca="1">OFFSET(CampList[Total],MATCH(Table10[[#This Row],[Pcode]],CampList[CP_Pcode],0)-1,0,1,1)</f>
        <v>30</v>
      </c>
      <c r="G75" s="277">
        <f>SUMIF('NFI Tracking'!AQ$11:AQ$1048576,Table10[[#This Row],[Pcode]],'NFI Tracking'!AI$11:AI$1048576)</f>
        <v>0</v>
      </c>
      <c r="H75" s="277">
        <f>SUMIF('NFI Tracking'!AQ$11:AQ$1048576,Table10[[#This Row],[Pcode]],'NFI Tracking'!AJ$11:AJ$1048576)</f>
        <v>0</v>
      </c>
      <c r="I75" s="277">
        <f>SUMIF('NFI Tracking'!AQ$11:AQ$1048576,Table10[[#This Row],[Pcode]],'NFI Tracking'!AK$11:AK$1048576)</f>
        <v>0</v>
      </c>
      <c r="J75" s="277">
        <f ca="1">MAX(Table10[[#This Row],[HH]]*VLOOKUP("Winter Clothes Adult",NFI,6)-Table10[[#This Row],[Winter Clothes Adult ]],0)</f>
        <v>18</v>
      </c>
      <c r="K75" s="277">
        <f ca="1">MAX(Table10[[#This Row],[HH]]*VLOOKUP("Winter Clothes Children ",NFI,6)-Table10[[#This Row],[Winter Clothes Children ]],0)</f>
        <v>9</v>
      </c>
      <c r="L75" s="277">
        <f ca="1">MAX(Table10[[#This Row],[HH]]*VLOOKUP("Winter Items Other ",NFI,6)-Table10[[#This Row],[Winter Items Other ]],0)</f>
        <v>9</v>
      </c>
      <c r="M75" s="310" t="str">
        <f>IF(OR(Table10[[#This Row],[Winter Clothes Adult ]]&lt;&gt;0,Table10[[#This Row],[Winter Clothes Children ]]&lt;&gt;0,Table10[[#This Row],[Winter Items Other ]]&lt;&gt;0),"No","")</f>
        <v/>
      </c>
      <c r="N75" s="311">
        <f>COUNTIF(A:A,Table10[[#This Row],[Pcode]])-1</f>
        <v>0</v>
      </c>
    </row>
    <row r="76" spans="1:14" x14ac:dyDescent="0.25">
      <c r="A76" s="259" t="s">
        <v>388</v>
      </c>
      <c r="B76" s="18" t="str">
        <f ca="1">OFFSET(CampList[Priority],MATCH(Table10[[#This Row],[Pcode]],CampList[CP_Pcode],0)-1,0,1,1)</f>
        <v>P4</v>
      </c>
      <c r="C76" s="18" t="str">
        <f ca="1">OFFSET(CampList[Camp],MATCH(Table10[[#This Row],[Pcode]],CampList[CP_Pcode],0)-1,0,1,1)</f>
        <v>Hpai Kawng Mare</v>
      </c>
      <c r="D76" s="18" t="str">
        <f ca="1">OFFSET(CampList[Township],MATCH(Table10[[#This Row],[Pcode]],CampList[CP_Pcode],0)-1,0,1,1)</f>
        <v>Muse</v>
      </c>
      <c r="E76" s="277">
        <f ca="1">OFFSET(CampList[HH],MATCH(Table10[[#This Row],[Pcode]],CampList[CP_Pcode],0)-1,0,1,1)</f>
        <v>32</v>
      </c>
      <c r="F76" s="277">
        <f ca="1">OFFSET(CampList[Total],MATCH(Table10[[#This Row],[Pcode]],CampList[CP_Pcode],0)-1,0,1,1)</f>
        <v>187</v>
      </c>
      <c r="G76" s="277">
        <f>SUMIF('NFI Tracking'!AQ$11:AQ$1048576,Table10[[#This Row],[Pcode]],'NFI Tracking'!AI$11:AI$1048576)</f>
        <v>0</v>
      </c>
      <c r="H76" s="277">
        <f>SUMIF('NFI Tracking'!AQ$11:AQ$1048576,Table10[[#This Row],[Pcode]],'NFI Tracking'!AJ$11:AJ$1048576)</f>
        <v>0</v>
      </c>
      <c r="I76" s="277">
        <f>SUMIF('NFI Tracking'!AQ$11:AQ$1048576,Table10[[#This Row],[Pcode]],'NFI Tracking'!AK$11:AK$1048576)</f>
        <v>0</v>
      </c>
      <c r="J76" s="277">
        <f ca="1">MAX(Table10[[#This Row],[HH]]*VLOOKUP("Winter Clothes Adult",NFI,6)-Table10[[#This Row],[Winter Clothes Adult ]],0)</f>
        <v>64</v>
      </c>
      <c r="K76" s="277">
        <f ca="1">MAX(Table10[[#This Row],[HH]]*VLOOKUP("Winter Clothes Children ",NFI,6)-Table10[[#This Row],[Winter Clothes Children ]],0)</f>
        <v>32</v>
      </c>
      <c r="L76" s="277">
        <f ca="1">MAX(Table10[[#This Row],[HH]]*VLOOKUP("Winter Items Other ",NFI,6)-Table10[[#This Row],[Winter Items Other ]],0)</f>
        <v>32</v>
      </c>
      <c r="M76" s="310" t="str">
        <f>IF(OR(Table10[[#This Row],[Winter Clothes Adult ]]&lt;&gt;0,Table10[[#This Row],[Winter Clothes Children ]]&lt;&gt;0,Table10[[#This Row],[Winter Items Other ]]&lt;&gt;0),"No","")</f>
        <v/>
      </c>
      <c r="N76" s="311">
        <f>COUNTIF(A:A,Table10[[#This Row],[Pcode]])-1</f>
        <v>0</v>
      </c>
    </row>
    <row r="77" spans="1:14" x14ac:dyDescent="0.25">
      <c r="A77" s="259" t="s">
        <v>1066</v>
      </c>
      <c r="B77" s="18" t="str">
        <f ca="1">OFFSET(CampList[Priority],MATCH(Table10[[#This Row],[Pcode]],CampList[CP_Pcode],0)-1,0,1,1)</f>
        <v>P4</v>
      </c>
      <c r="C77" s="18" t="str">
        <f ca="1">OFFSET(CampList[Camp],MATCH(Table10[[#This Row],[Pcode]],CampList[CP_Pcode],0)-1,0,1,1)</f>
        <v>Hpakant Baptist Church, Nam Ma Hpit</v>
      </c>
      <c r="D77" s="18" t="str">
        <f ca="1">OFFSET(CampList[Township],MATCH(Table10[[#This Row],[Pcode]],CampList[CP_Pcode],0)-1,0,1,1)</f>
        <v>Hpakant</v>
      </c>
      <c r="E77" s="277">
        <f ca="1">OFFSET(CampList[HH],MATCH(Table10[[#This Row],[Pcode]],CampList[CP_Pcode],0)-1,0,1,1)</f>
        <v>103</v>
      </c>
      <c r="F77" s="277">
        <f ca="1">OFFSET(CampList[Total],MATCH(Table10[[#This Row],[Pcode]],CampList[CP_Pcode],0)-1,0,1,1)</f>
        <v>489</v>
      </c>
      <c r="G77" s="277">
        <f>SUMIF('NFI Tracking'!AQ$11:AQ$1048576,Table10[[#This Row],[Pcode]],'NFI Tracking'!AI$11:AI$1048576)</f>
        <v>0</v>
      </c>
      <c r="H77" s="277">
        <f>SUMIF('NFI Tracking'!AQ$11:AQ$1048576,Table10[[#This Row],[Pcode]],'NFI Tracking'!AJ$11:AJ$1048576)</f>
        <v>0</v>
      </c>
      <c r="I77" s="277">
        <f>SUMIF('NFI Tracking'!AQ$11:AQ$1048576,Table10[[#This Row],[Pcode]],'NFI Tracking'!AK$11:AK$1048576)</f>
        <v>0</v>
      </c>
      <c r="J77" s="277">
        <f ca="1">MAX(Table10[[#This Row],[HH]]*VLOOKUP("Winter Clothes Adult",NFI,6)-Table10[[#This Row],[Winter Clothes Adult ]],0)</f>
        <v>206</v>
      </c>
      <c r="K77" s="277">
        <f ca="1">MAX(Table10[[#This Row],[HH]]*VLOOKUP("Winter Clothes Children ",NFI,6)-Table10[[#This Row],[Winter Clothes Children ]],0)</f>
        <v>103</v>
      </c>
      <c r="L77" s="277">
        <f ca="1">MAX(Table10[[#This Row],[HH]]*VLOOKUP("Winter Items Other ",NFI,6)-Table10[[#This Row],[Winter Items Other ]],0)</f>
        <v>103</v>
      </c>
      <c r="M77" s="310" t="str">
        <f>IF(OR(Table10[[#This Row],[Winter Clothes Adult ]]&lt;&gt;0,Table10[[#This Row],[Winter Clothes Children ]]&lt;&gt;0,Table10[[#This Row],[Winter Items Other ]]&lt;&gt;0),"No","")</f>
        <v/>
      </c>
      <c r="N77" s="311">
        <f>COUNTIF(A:A,Table10[[#This Row],[Pcode]])-1</f>
        <v>0</v>
      </c>
    </row>
    <row r="78" spans="1:14" x14ac:dyDescent="0.25">
      <c r="A78" s="259" t="s">
        <v>13</v>
      </c>
      <c r="B78" s="18" t="str">
        <f ca="1">OFFSET(CampList[Priority],MATCH(Table10[[#This Row],[Pcode]],CampList[CP_Pcode],0)-1,0,1,1)</f>
        <v>P4</v>
      </c>
      <c r="C78" s="18" t="str">
        <f ca="1">OFFSET(CampList[Camp],MATCH(Table10[[#This Row],[Pcode]],CampList[CP_Pcode],0)-1,0,1,1)</f>
        <v>Htoi San Church</v>
      </c>
      <c r="D78" s="18" t="str">
        <f ca="1">OFFSET(CampList[Township],MATCH(Table10[[#This Row],[Pcode]],CampList[CP_Pcode],0)-1,0,1,1)</f>
        <v>Bhamo</v>
      </c>
      <c r="E78" s="277">
        <f ca="1">OFFSET(CampList[HH],MATCH(Table10[[#This Row],[Pcode]],CampList[CP_Pcode],0)-1,0,1,1)</f>
        <v>38</v>
      </c>
      <c r="F78" s="277">
        <f ca="1">OFFSET(CampList[Total],MATCH(Table10[[#This Row],[Pcode]],CampList[CP_Pcode],0)-1,0,1,1)</f>
        <v>231</v>
      </c>
      <c r="G78" s="277">
        <f>SUMIF('NFI Tracking'!AQ$11:AQ$1048576,Table10[[#This Row],[Pcode]],'NFI Tracking'!AI$11:AI$1048576)</f>
        <v>0</v>
      </c>
      <c r="H78" s="277">
        <f>SUMIF('NFI Tracking'!AQ$11:AQ$1048576,Table10[[#This Row],[Pcode]],'NFI Tracking'!AJ$11:AJ$1048576)</f>
        <v>0</v>
      </c>
      <c r="I78" s="277">
        <f>SUMIF('NFI Tracking'!AQ$11:AQ$1048576,Table10[[#This Row],[Pcode]],'NFI Tracking'!AK$11:AK$1048576)</f>
        <v>0</v>
      </c>
      <c r="J78" s="277">
        <f ca="1">MAX(Table10[[#This Row],[HH]]*VLOOKUP("Winter Clothes Adult",NFI,6)-Table10[[#This Row],[Winter Clothes Adult ]],0)</f>
        <v>76</v>
      </c>
      <c r="K78" s="277">
        <f ca="1">MAX(Table10[[#This Row],[HH]]*VLOOKUP("Winter Clothes Children ",NFI,6)-Table10[[#This Row],[Winter Clothes Children ]],0)</f>
        <v>38</v>
      </c>
      <c r="L78" s="277">
        <f ca="1">MAX(Table10[[#This Row],[HH]]*VLOOKUP("Winter Items Other ",NFI,6)-Table10[[#This Row],[Winter Items Other ]],0)</f>
        <v>38</v>
      </c>
      <c r="M78" s="310" t="str">
        <f>IF(OR(Table10[[#This Row],[Winter Clothes Adult ]]&lt;&gt;0,Table10[[#This Row],[Winter Clothes Children ]]&lt;&gt;0,Table10[[#This Row],[Winter Items Other ]]&lt;&gt;0),"No","")</f>
        <v/>
      </c>
      <c r="N78" s="311">
        <f>COUNTIF(A:A,Table10[[#This Row],[Pcode]])-1</f>
        <v>0</v>
      </c>
    </row>
    <row r="79" spans="1:14" x14ac:dyDescent="0.25">
      <c r="A79" s="259" t="s">
        <v>252</v>
      </c>
      <c r="B79" s="18" t="str">
        <f ca="1">OFFSET(CampList[Priority],MATCH(Table10[[#This Row],[Pcode]],CampList[CP_Pcode],0)-1,0,1,1)</f>
        <v>P4</v>
      </c>
      <c r="C79" s="18" t="str">
        <f ca="1">OFFSET(CampList[Camp],MATCH(Table10[[#This Row],[Pcode]],CampList[CP_Pcode],0)-1,0,1,1)</f>
        <v>Jan Mai Kawng Baptist Church</v>
      </c>
      <c r="D79" s="18" t="str">
        <f ca="1">OFFSET(CampList[Township],MATCH(Table10[[#This Row],[Pcode]],CampList[CP_Pcode],0)-1,0,1,1)</f>
        <v>Myitkyina</v>
      </c>
      <c r="E79" s="277">
        <f ca="1">OFFSET(CampList[HH],MATCH(Table10[[#This Row],[Pcode]],CampList[CP_Pcode],0)-1,0,1,1)</f>
        <v>198</v>
      </c>
      <c r="F79" s="277">
        <f ca="1">OFFSET(CampList[Total],MATCH(Table10[[#This Row],[Pcode]],CampList[CP_Pcode],0)-1,0,1,1)</f>
        <v>1107</v>
      </c>
      <c r="G79" s="277">
        <f>SUMIF('NFI Tracking'!AQ$11:AQ$1048576,Table10[[#This Row],[Pcode]],'NFI Tracking'!AI$11:AI$1048576)</f>
        <v>0</v>
      </c>
      <c r="H79" s="277">
        <f>SUMIF('NFI Tracking'!AQ$11:AQ$1048576,Table10[[#This Row],[Pcode]],'NFI Tracking'!AJ$11:AJ$1048576)</f>
        <v>0</v>
      </c>
      <c r="I79" s="277">
        <f>SUMIF('NFI Tracking'!AQ$11:AQ$1048576,Table10[[#This Row],[Pcode]],'NFI Tracking'!AK$11:AK$1048576)</f>
        <v>0</v>
      </c>
      <c r="J79" s="277">
        <f ca="1">MAX(Table10[[#This Row],[HH]]*VLOOKUP("Winter Clothes Adult",NFI,6)-Table10[[#This Row],[Winter Clothes Adult ]],0)</f>
        <v>396</v>
      </c>
      <c r="K79" s="277">
        <f ca="1">MAX(Table10[[#This Row],[HH]]*VLOOKUP("Winter Clothes Children ",NFI,6)-Table10[[#This Row],[Winter Clothes Children ]],0)</f>
        <v>198</v>
      </c>
      <c r="L79" s="277">
        <f ca="1">MAX(Table10[[#This Row],[HH]]*VLOOKUP("Winter Items Other ",NFI,6)-Table10[[#This Row],[Winter Items Other ]],0)</f>
        <v>198</v>
      </c>
      <c r="M79" s="310" t="str">
        <f>IF(OR(Table10[[#This Row],[Winter Clothes Adult ]]&lt;&gt;0,Table10[[#This Row],[Winter Clothes Children ]]&lt;&gt;0,Table10[[#This Row],[Winter Items Other ]]&lt;&gt;0),"No","")</f>
        <v/>
      </c>
      <c r="N79" s="311">
        <f>COUNTIF(A:A,Table10[[#This Row],[Pcode]])-1</f>
        <v>0</v>
      </c>
    </row>
    <row r="80" spans="1:14" x14ac:dyDescent="0.25">
      <c r="A80" s="259" t="s">
        <v>254</v>
      </c>
      <c r="B80" s="18" t="str">
        <f ca="1">OFFSET(CampList[Priority],MATCH(Table10[[#This Row],[Pcode]],CampList[CP_Pcode],0)-1,0,1,1)</f>
        <v>P4</v>
      </c>
      <c r="C80" s="18" t="str">
        <f ca="1">OFFSET(CampList[Camp],MATCH(Table10[[#This Row],[Pcode]],CampList[CP_Pcode],0)-1,0,1,1)</f>
        <v>Jan Mai Kawng Catholic Church</v>
      </c>
      <c r="D80" s="18" t="str">
        <f ca="1">OFFSET(CampList[Township],MATCH(Table10[[#This Row],[Pcode]],CampList[CP_Pcode],0)-1,0,1,1)</f>
        <v>Myitkyina</v>
      </c>
      <c r="E80" s="277">
        <f ca="1">OFFSET(CampList[HH],MATCH(Table10[[#This Row],[Pcode]],CampList[CP_Pcode],0)-1,0,1,1)</f>
        <v>99</v>
      </c>
      <c r="F80" s="277">
        <f ca="1">OFFSET(CampList[Total],MATCH(Table10[[#This Row],[Pcode]],CampList[CP_Pcode],0)-1,0,1,1)</f>
        <v>454</v>
      </c>
      <c r="G80" s="277">
        <f>SUMIF('NFI Tracking'!AQ$11:AQ$1048576,Table10[[#This Row],[Pcode]],'NFI Tracking'!AI$11:AI$1048576)</f>
        <v>0</v>
      </c>
      <c r="H80" s="277">
        <f>SUMIF('NFI Tracking'!AQ$11:AQ$1048576,Table10[[#This Row],[Pcode]],'NFI Tracking'!AJ$11:AJ$1048576)</f>
        <v>0</v>
      </c>
      <c r="I80" s="277">
        <f>SUMIF('NFI Tracking'!AQ$11:AQ$1048576,Table10[[#This Row],[Pcode]],'NFI Tracking'!AK$11:AK$1048576)</f>
        <v>0</v>
      </c>
      <c r="J80" s="277">
        <f ca="1">MAX(Table10[[#This Row],[HH]]*VLOOKUP("Winter Clothes Adult",NFI,6)-Table10[[#This Row],[Winter Clothes Adult ]],0)</f>
        <v>198</v>
      </c>
      <c r="K80" s="277">
        <f ca="1">MAX(Table10[[#This Row],[HH]]*VLOOKUP("Winter Clothes Children ",NFI,6)-Table10[[#This Row],[Winter Clothes Children ]],0)</f>
        <v>99</v>
      </c>
      <c r="L80" s="277">
        <f ca="1">MAX(Table10[[#This Row],[HH]]*VLOOKUP("Winter Items Other ",NFI,6)-Table10[[#This Row],[Winter Items Other ]],0)</f>
        <v>99</v>
      </c>
      <c r="M80" s="310" t="str">
        <f>IF(OR(Table10[[#This Row],[Winter Clothes Adult ]]&lt;&gt;0,Table10[[#This Row],[Winter Clothes Children ]]&lt;&gt;0,Table10[[#This Row],[Winter Items Other ]]&lt;&gt;0),"No","")</f>
        <v/>
      </c>
      <c r="N80" s="311">
        <f>COUNTIF(A:A,Table10[[#This Row],[Pcode]])-1</f>
        <v>0</v>
      </c>
    </row>
    <row r="81" spans="1:14" x14ac:dyDescent="0.25">
      <c r="A81" s="259" t="s">
        <v>522</v>
      </c>
      <c r="B81" s="18" t="str">
        <f ca="1">OFFSET(CampList[Priority],MATCH(Table10[[#This Row],[Pcode]],CampList[CP_Pcode],0)-1,0,1,1)</f>
        <v>P4</v>
      </c>
      <c r="C81" s="18" t="str">
        <f ca="1">OFFSET(CampList[Camp],MATCH(Table10[[#This Row],[Pcode]],CampList[CP_Pcode],0)-1,0,1,1)</f>
        <v>Khun Sint Village</v>
      </c>
      <c r="D81" s="18" t="str">
        <f ca="1">OFFSET(CampList[Township],MATCH(Table10[[#This Row],[Pcode]],CampList[CP_Pcode],0)-1,0,1,1)</f>
        <v>Momauk</v>
      </c>
      <c r="E81" s="277">
        <f ca="1">OFFSET(CampList[HH],MATCH(Table10[[#This Row],[Pcode]],CampList[CP_Pcode],0)-1,0,1,1)</f>
        <v>4</v>
      </c>
      <c r="F81" s="277">
        <f ca="1">OFFSET(CampList[Total],MATCH(Table10[[#This Row],[Pcode]],CampList[CP_Pcode],0)-1,0,1,1)</f>
        <v>26</v>
      </c>
      <c r="G81" s="277">
        <f>SUMIF('NFI Tracking'!AQ$11:AQ$1048576,Table10[[#This Row],[Pcode]],'NFI Tracking'!AI$11:AI$1048576)</f>
        <v>0</v>
      </c>
      <c r="H81" s="277">
        <f>SUMIF('NFI Tracking'!AQ$11:AQ$1048576,Table10[[#This Row],[Pcode]],'NFI Tracking'!AJ$11:AJ$1048576)</f>
        <v>0</v>
      </c>
      <c r="I81" s="277">
        <f>SUMIF('NFI Tracking'!AQ$11:AQ$1048576,Table10[[#This Row],[Pcode]],'NFI Tracking'!AK$11:AK$1048576)</f>
        <v>0</v>
      </c>
      <c r="J81" s="277">
        <f ca="1">MAX(Table10[[#This Row],[HH]]*VLOOKUP("Winter Clothes Adult",NFI,6)-Table10[[#This Row],[Winter Clothes Adult ]],0)</f>
        <v>8</v>
      </c>
      <c r="K81" s="277">
        <f ca="1">MAX(Table10[[#This Row],[HH]]*VLOOKUP("Winter Clothes Children ",NFI,6)-Table10[[#This Row],[Winter Clothes Children ]],0)</f>
        <v>4</v>
      </c>
      <c r="L81" s="277">
        <f ca="1">MAX(Table10[[#This Row],[HH]]*VLOOKUP("Winter Items Other ",NFI,6)-Table10[[#This Row],[Winter Items Other ]],0)</f>
        <v>4</v>
      </c>
      <c r="M81" s="310" t="str">
        <f>IF(OR(Table10[[#This Row],[Winter Clothes Adult ]]&lt;&gt;0,Table10[[#This Row],[Winter Clothes Children ]]&lt;&gt;0,Table10[[#This Row],[Winter Items Other ]]&lt;&gt;0),"No","")</f>
        <v/>
      </c>
      <c r="N81" s="311">
        <f>COUNTIF(A:A,Table10[[#This Row],[Pcode]])-1</f>
        <v>0</v>
      </c>
    </row>
    <row r="82" spans="1:14" x14ac:dyDescent="0.25">
      <c r="A82" s="259" t="s">
        <v>256</v>
      </c>
      <c r="B82" s="18" t="str">
        <f ca="1">OFFSET(CampList[Priority],MATCH(Table10[[#This Row],[Pcode]],CampList[CP_Pcode],0)-1,0,1,1)</f>
        <v>P4</v>
      </c>
      <c r="C82" s="18" t="str">
        <f ca="1">OFFSET(CampList[Camp],MATCH(Table10[[#This Row],[Pcode]],CampList[CP_Pcode],0)-1,0,1,1)</f>
        <v>Kyun Pin Thar Baptist Church</v>
      </c>
      <c r="D82" s="18" t="str">
        <f ca="1">OFFSET(CampList[Township],MATCH(Table10[[#This Row],[Pcode]],CampList[CP_Pcode],0)-1,0,1,1)</f>
        <v>Myitkyina</v>
      </c>
      <c r="E82" s="277">
        <f ca="1">OFFSET(CampList[HH],MATCH(Table10[[#This Row],[Pcode]],CampList[CP_Pcode],0)-1,0,1,1)</f>
        <v>17</v>
      </c>
      <c r="F82" s="277">
        <f ca="1">OFFSET(CampList[Total],MATCH(Table10[[#This Row],[Pcode]],CampList[CP_Pcode],0)-1,0,1,1)</f>
        <v>68</v>
      </c>
      <c r="G82" s="277">
        <f>SUMIF('NFI Tracking'!AQ$11:AQ$1048576,Table10[[#This Row],[Pcode]],'NFI Tracking'!AI$11:AI$1048576)</f>
        <v>0</v>
      </c>
      <c r="H82" s="277">
        <f>SUMIF('NFI Tracking'!AQ$11:AQ$1048576,Table10[[#This Row],[Pcode]],'NFI Tracking'!AJ$11:AJ$1048576)</f>
        <v>0</v>
      </c>
      <c r="I82" s="277">
        <f>SUMIF('NFI Tracking'!AQ$11:AQ$1048576,Table10[[#This Row],[Pcode]],'NFI Tracking'!AK$11:AK$1048576)</f>
        <v>0</v>
      </c>
      <c r="J82" s="277">
        <f ca="1">MAX(Table10[[#This Row],[HH]]*VLOOKUP("Winter Clothes Adult",NFI,6)-Table10[[#This Row],[Winter Clothes Adult ]],0)</f>
        <v>34</v>
      </c>
      <c r="K82" s="277">
        <f ca="1">MAX(Table10[[#This Row],[HH]]*VLOOKUP("Winter Clothes Children ",NFI,6)-Table10[[#This Row],[Winter Clothes Children ]],0)</f>
        <v>17</v>
      </c>
      <c r="L82" s="277">
        <f ca="1">MAX(Table10[[#This Row],[HH]]*VLOOKUP("Winter Items Other ",NFI,6)-Table10[[#This Row],[Winter Items Other ]],0)</f>
        <v>17</v>
      </c>
      <c r="M82" s="310" t="str">
        <f>IF(OR(Table10[[#This Row],[Winter Clothes Adult ]]&lt;&gt;0,Table10[[#This Row],[Winter Clothes Children ]]&lt;&gt;0,Table10[[#This Row],[Winter Items Other ]]&lt;&gt;0),"No","")</f>
        <v/>
      </c>
      <c r="N82" s="311">
        <f>COUNTIF(A:A,Table10[[#This Row],[Pcode]])-1</f>
        <v>0</v>
      </c>
    </row>
    <row r="83" spans="1:14" x14ac:dyDescent="0.25">
      <c r="A83" s="259" t="s">
        <v>172</v>
      </c>
      <c r="B83" s="18" t="str">
        <f ca="1">OFFSET(CampList[Priority],MATCH(Table10[[#This Row],[Pcode]],CampList[CP_Pcode],0)-1,0,1,1)</f>
        <v>P4</v>
      </c>
      <c r="C83" s="18" t="str">
        <f ca="1">OFFSET(CampList[Camp],MATCH(Table10[[#This Row],[Pcode]],CampList[CP_Pcode],0)-1,0,1,1)</f>
        <v xml:space="preserve">Kyun Taw Baptist Church </v>
      </c>
      <c r="D83" s="18" t="str">
        <f ca="1">OFFSET(CampList[Township],MATCH(Table10[[#This Row],[Pcode]],CampList[CP_Pcode],0)-1,0,1,1)</f>
        <v>Mogaung</v>
      </c>
      <c r="E83" s="277">
        <f ca="1">OFFSET(CampList[HH],MATCH(Table10[[#This Row],[Pcode]],CampList[CP_Pcode],0)-1,0,1,1)</f>
        <v>13</v>
      </c>
      <c r="F83" s="277">
        <f ca="1">OFFSET(CampList[Total],MATCH(Table10[[#This Row],[Pcode]],CampList[CP_Pcode],0)-1,0,1,1)</f>
        <v>65</v>
      </c>
      <c r="G83" s="277">
        <f>SUMIF('NFI Tracking'!AQ$11:AQ$1048576,Table10[[#This Row],[Pcode]],'NFI Tracking'!AI$11:AI$1048576)</f>
        <v>0</v>
      </c>
      <c r="H83" s="277">
        <f>SUMIF('NFI Tracking'!AQ$11:AQ$1048576,Table10[[#This Row],[Pcode]],'NFI Tracking'!AJ$11:AJ$1048576)</f>
        <v>0</v>
      </c>
      <c r="I83" s="277">
        <f>SUMIF('NFI Tracking'!AQ$11:AQ$1048576,Table10[[#This Row],[Pcode]],'NFI Tracking'!AK$11:AK$1048576)</f>
        <v>0</v>
      </c>
      <c r="J83" s="277">
        <f ca="1">MAX(Table10[[#This Row],[HH]]*VLOOKUP("Winter Clothes Adult",NFI,6)-Table10[[#This Row],[Winter Clothes Adult ]],0)</f>
        <v>26</v>
      </c>
      <c r="K83" s="277">
        <f ca="1">MAX(Table10[[#This Row],[HH]]*VLOOKUP("Winter Clothes Children ",NFI,6)-Table10[[#This Row],[Winter Clothes Children ]],0)</f>
        <v>13</v>
      </c>
      <c r="L83" s="277">
        <f ca="1">MAX(Table10[[#This Row],[HH]]*VLOOKUP("Winter Items Other ",NFI,6)-Table10[[#This Row],[Winter Items Other ]],0)</f>
        <v>13</v>
      </c>
      <c r="M83" s="310" t="str">
        <f>IF(OR(Table10[[#This Row],[Winter Clothes Adult ]]&lt;&gt;0,Table10[[#This Row],[Winter Clothes Children ]]&lt;&gt;0,Table10[[#This Row],[Winter Items Other ]]&lt;&gt;0),"No","")</f>
        <v/>
      </c>
      <c r="N83" s="311">
        <f>COUNTIF(A:A,Table10[[#This Row],[Pcode]])-1</f>
        <v>0</v>
      </c>
    </row>
    <row r="84" spans="1:14" x14ac:dyDescent="0.25">
      <c r="A84" s="259" t="s">
        <v>143</v>
      </c>
      <c r="B84" s="18" t="str">
        <f ca="1">OFFSET(CampList[Priority],MATCH(Table10[[#This Row],[Pcode]],CampList[CP_Pcode],0)-1,0,1,1)</f>
        <v>P4</v>
      </c>
      <c r="C84" s="18" t="str">
        <f ca="1">OFFSET(CampList[Camp],MATCH(Table10[[#This Row],[Pcode]],CampList[CP_Pcode],0)-1,0,1,1)</f>
        <v>La Ja</v>
      </c>
      <c r="D84" s="18" t="str">
        <f ca="1">OFFSET(CampList[Township],MATCH(Table10[[#This Row],[Pcode]],CampList[CP_Pcode],0)-1,0,1,1)</f>
        <v>Khaunglanhpu</v>
      </c>
      <c r="E84" s="277">
        <f ca="1">OFFSET(CampList[HH],MATCH(Table10[[#This Row],[Pcode]],CampList[CP_Pcode],0)-1,0,1,1)</f>
        <v>0</v>
      </c>
      <c r="F84" s="277">
        <f ca="1">OFFSET(CampList[Total],MATCH(Table10[[#This Row],[Pcode]],CampList[CP_Pcode],0)-1,0,1,1)</f>
        <v>0</v>
      </c>
      <c r="G84" s="277">
        <f>SUMIF('NFI Tracking'!AQ$11:AQ$1048576,Table10[[#This Row],[Pcode]],'NFI Tracking'!AI$11:AI$1048576)</f>
        <v>0</v>
      </c>
      <c r="H84" s="277">
        <f>SUMIF('NFI Tracking'!AQ$11:AQ$1048576,Table10[[#This Row],[Pcode]],'NFI Tracking'!AJ$11:AJ$1048576)</f>
        <v>0</v>
      </c>
      <c r="I84" s="277">
        <f>SUMIF('NFI Tracking'!AQ$11:AQ$1048576,Table10[[#This Row],[Pcode]],'NFI Tracking'!AK$11:AK$1048576)</f>
        <v>0</v>
      </c>
      <c r="J84" s="277">
        <f ca="1">MAX(Table10[[#This Row],[HH]]*VLOOKUP("Winter Clothes Adult",NFI,6)-Table10[[#This Row],[Winter Clothes Adult ]],0)</f>
        <v>0</v>
      </c>
      <c r="K84" s="277">
        <f ca="1">MAX(Table10[[#This Row],[HH]]*VLOOKUP("Winter Clothes Children ",NFI,6)-Table10[[#This Row],[Winter Clothes Children ]],0)</f>
        <v>0</v>
      </c>
      <c r="L84" s="277">
        <f ca="1">MAX(Table10[[#This Row],[HH]]*VLOOKUP("Winter Items Other ",NFI,6)-Table10[[#This Row],[Winter Items Other ]],0)</f>
        <v>0</v>
      </c>
      <c r="M84" s="310" t="str">
        <f>IF(OR(Table10[[#This Row],[Winter Clothes Adult ]]&lt;&gt;0,Table10[[#This Row],[Winter Clothes Children ]]&lt;&gt;0,Table10[[#This Row],[Winter Items Other ]]&lt;&gt;0),"No","")</f>
        <v/>
      </c>
      <c r="N84" s="311">
        <f>COUNTIF(A:A,Table10[[#This Row],[Pcode]])-1</f>
        <v>0</v>
      </c>
    </row>
    <row r="85" spans="1:14" x14ac:dyDescent="0.25">
      <c r="A85" s="259" t="s">
        <v>517</v>
      </c>
      <c r="B85" s="18" t="str">
        <f ca="1">OFFSET(CampList[Priority],MATCH(Table10[[#This Row],[Pcode]],CampList[CP_Pcode],0)-1,0,1,1)</f>
        <v>P4</v>
      </c>
      <c r="C85" s="18" t="str">
        <f ca="1">OFFSET(CampList[Camp],MATCH(Table10[[#This Row],[Pcode]],CampList[CP_Pcode],0)-1,0,1,1)</f>
        <v xml:space="preserve">Lagatyan </v>
      </c>
      <c r="D85" s="18" t="str">
        <f ca="1">OFFSET(CampList[Township],MATCH(Table10[[#This Row],[Pcode]],CampList[CP_Pcode],0)-1,0,1,1)</f>
        <v>Mansi</v>
      </c>
      <c r="E85" s="277">
        <f ca="1">OFFSET(CampList[HH],MATCH(Table10[[#This Row],[Pcode]],CampList[CP_Pcode],0)-1,0,1,1)</f>
        <v>0</v>
      </c>
      <c r="F85" s="277">
        <f ca="1">OFFSET(CampList[Total],MATCH(Table10[[#This Row],[Pcode]],CampList[CP_Pcode],0)-1,0,1,1)</f>
        <v>0</v>
      </c>
      <c r="G85" s="277">
        <f>SUMIF('NFI Tracking'!AQ$11:AQ$1048576,Table10[[#This Row],[Pcode]],'NFI Tracking'!AI$11:AI$1048576)</f>
        <v>0</v>
      </c>
      <c r="H85" s="277">
        <f>SUMIF('NFI Tracking'!AQ$11:AQ$1048576,Table10[[#This Row],[Pcode]],'NFI Tracking'!AJ$11:AJ$1048576)</f>
        <v>0</v>
      </c>
      <c r="I85" s="277">
        <f>SUMIF('NFI Tracking'!AQ$11:AQ$1048576,Table10[[#This Row],[Pcode]],'NFI Tracking'!AK$11:AK$1048576)</f>
        <v>0</v>
      </c>
      <c r="J85" s="277">
        <f ca="1">MAX(Table10[[#This Row],[HH]]*VLOOKUP("Winter Clothes Adult",NFI,6)-Table10[[#This Row],[Winter Clothes Adult ]],0)</f>
        <v>0</v>
      </c>
      <c r="K85" s="277">
        <f ca="1">MAX(Table10[[#This Row],[HH]]*VLOOKUP("Winter Clothes Children ",NFI,6)-Table10[[#This Row],[Winter Clothes Children ]],0)</f>
        <v>0</v>
      </c>
      <c r="L85" s="277">
        <f ca="1">MAX(Table10[[#This Row],[HH]]*VLOOKUP("Winter Items Other ",NFI,6)-Table10[[#This Row],[Winter Items Other ]],0)</f>
        <v>0</v>
      </c>
      <c r="M85" s="310" t="str">
        <f>IF(OR(Table10[[#This Row],[Winter Clothes Adult ]]&lt;&gt;0,Table10[[#This Row],[Winter Clothes Children ]]&lt;&gt;0,Table10[[#This Row],[Winter Items Other ]]&lt;&gt;0),"No","")</f>
        <v/>
      </c>
      <c r="N85" s="311">
        <f>COUNTIF(A:A,Table10[[#This Row],[Pcode]])-1</f>
        <v>0</v>
      </c>
    </row>
    <row r="86" spans="1:14" x14ac:dyDescent="0.25">
      <c r="A86" s="259" t="s">
        <v>339</v>
      </c>
      <c r="B86" s="18" t="str">
        <f ca="1">OFFSET(CampList[Priority],MATCH(Table10[[#This Row],[Pcode]],CampList[CP_Pcode],0)-1,0,1,1)</f>
        <v>P4</v>
      </c>
      <c r="C86" s="18" t="str">
        <f ca="1">OFFSET(CampList[Camp],MATCH(Table10[[#This Row],[Pcode]],CampList[CP_Pcode],0)-1,0,1,1)</f>
        <v>Laiza Muklum Hpyen  Yen Mungshawa ni</v>
      </c>
      <c r="D86" s="18" t="str">
        <f ca="1">OFFSET(CampList[Township],MATCH(Table10[[#This Row],[Pcode]],CampList[CP_Pcode],0)-1,0,1,1)</f>
        <v>Waingmaw</v>
      </c>
      <c r="E86" s="277">
        <f ca="1">OFFSET(CampList[HH],MATCH(Table10[[#This Row],[Pcode]],CampList[CP_Pcode],0)-1,0,1,1)</f>
        <v>355</v>
      </c>
      <c r="F86" s="277">
        <f ca="1">OFFSET(CampList[Total],MATCH(Table10[[#This Row],[Pcode]],CampList[CP_Pcode],0)-1,0,1,1)</f>
        <v>4450</v>
      </c>
      <c r="G86" s="277">
        <f>SUMIF('NFI Tracking'!AQ$11:AQ$1048576,Table10[[#This Row],[Pcode]],'NFI Tracking'!AI$11:AI$1048576)</f>
        <v>0</v>
      </c>
      <c r="H86" s="277">
        <f>SUMIF('NFI Tracking'!AQ$11:AQ$1048576,Table10[[#This Row],[Pcode]],'NFI Tracking'!AJ$11:AJ$1048576)</f>
        <v>0</v>
      </c>
      <c r="I86" s="277">
        <f>SUMIF('NFI Tracking'!AQ$11:AQ$1048576,Table10[[#This Row],[Pcode]],'NFI Tracking'!AK$11:AK$1048576)</f>
        <v>0</v>
      </c>
      <c r="J86" s="277">
        <f ca="1">MAX(Table10[[#This Row],[HH]]*VLOOKUP("Winter Clothes Adult",NFI,6)-Table10[[#This Row],[Winter Clothes Adult ]],0)</f>
        <v>710</v>
      </c>
      <c r="K86" s="277">
        <f ca="1">MAX(Table10[[#This Row],[HH]]*VLOOKUP("Winter Clothes Children ",NFI,6)-Table10[[#This Row],[Winter Clothes Children ]],0)</f>
        <v>355</v>
      </c>
      <c r="L86" s="277">
        <f ca="1">MAX(Table10[[#This Row],[HH]]*VLOOKUP("Winter Items Other ",NFI,6)-Table10[[#This Row],[Winter Items Other ]],0)</f>
        <v>355</v>
      </c>
      <c r="M86" s="310" t="str">
        <f>IF(OR(Table10[[#This Row],[Winter Clothes Adult ]]&lt;&gt;0,Table10[[#This Row],[Winter Clothes Children ]]&lt;&gt;0,Table10[[#This Row],[Winter Items Other ]]&lt;&gt;0),"No","")</f>
        <v/>
      </c>
      <c r="N86" s="311">
        <f>COUNTIF(A:A,Table10[[#This Row],[Pcode]])-1</f>
        <v>0</v>
      </c>
    </row>
    <row r="87" spans="1:14" x14ac:dyDescent="0.25">
      <c r="A87" s="259" t="s">
        <v>303</v>
      </c>
      <c r="B87" s="18" t="str">
        <f ca="1">OFFSET(CampList[Priority],MATCH(Table10[[#This Row],[Pcode]],CampList[CP_Pcode],0)-1,0,1,1)</f>
        <v>P4</v>
      </c>
      <c r="C87" s="18" t="str">
        <f ca="1">OFFSET(CampList[Camp],MATCH(Table10[[#This Row],[Pcode]],CampList[CP_Pcode],0)-1,0,1,1)</f>
        <v>Lawk Awng Mare D. (Sinbo Area)</v>
      </c>
      <c r="D87" s="18" t="str">
        <f ca="1">OFFSET(CampList[Township],MATCH(Table10[[#This Row],[Pcode]],CampList[CP_Pcode],0)-1,0,1,1)</f>
        <v>Shwegu</v>
      </c>
      <c r="E87" s="277">
        <f ca="1">OFFSET(CampList[HH],MATCH(Table10[[#This Row],[Pcode]],CampList[CP_Pcode],0)-1,0,1,1)</f>
        <v>375</v>
      </c>
      <c r="F87" s="277">
        <f ca="1">OFFSET(CampList[Total],MATCH(Table10[[#This Row],[Pcode]],CampList[CP_Pcode],0)-1,0,1,1)</f>
        <v>1691</v>
      </c>
      <c r="G87" s="277">
        <f>SUMIF('NFI Tracking'!AQ$11:AQ$1048576,Table10[[#This Row],[Pcode]],'NFI Tracking'!AI$11:AI$1048576)</f>
        <v>0</v>
      </c>
      <c r="H87" s="277">
        <f>SUMIF('NFI Tracking'!AQ$11:AQ$1048576,Table10[[#This Row],[Pcode]],'NFI Tracking'!AJ$11:AJ$1048576)</f>
        <v>0</v>
      </c>
      <c r="I87" s="277">
        <f>SUMIF('NFI Tracking'!AQ$11:AQ$1048576,Table10[[#This Row],[Pcode]],'NFI Tracking'!AK$11:AK$1048576)</f>
        <v>0</v>
      </c>
      <c r="J87" s="277">
        <f ca="1">MAX(Table10[[#This Row],[HH]]*VLOOKUP("Winter Clothes Adult",NFI,6)-Table10[[#This Row],[Winter Clothes Adult ]],0)</f>
        <v>750</v>
      </c>
      <c r="K87" s="277">
        <f ca="1">MAX(Table10[[#This Row],[HH]]*VLOOKUP("Winter Clothes Children ",NFI,6)-Table10[[#This Row],[Winter Clothes Children ]],0)</f>
        <v>375</v>
      </c>
      <c r="L87" s="277">
        <f ca="1">MAX(Table10[[#This Row],[HH]]*VLOOKUP("Winter Items Other ",NFI,6)-Table10[[#This Row],[Winter Items Other ]],0)</f>
        <v>375</v>
      </c>
      <c r="M87" s="310" t="str">
        <f>IF(OR(Table10[[#This Row],[Winter Clothes Adult ]]&lt;&gt;0,Table10[[#This Row],[Winter Clothes Children ]]&lt;&gt;0,Table10[[#This Row],[Winter Items Other ]]&lt;&gt;0),"No","")</f>
        <v/>
      </c>
      <c r="N87" s="311">
        <f>COUNTIF(A:A,Table10[[#This Row],[Pcode]])-1</f>
        <v>0</v>
      </c>
    </row>
    <row r="88" spans="1:14" x14ac:dyDescent="0.25">
      <c r="A88" s="259" t="s">
        <v>239</v>
      </c>
      <c r="B88" s="18" t="str">
        <f ca="1">OFFSET(CampList[Priority],MATCH(Table10[[#This Row],[Pcode]],CampList[CP_Pcode],0)-1,0,1,1)</f>
        <v>P4</v>
      </c>
      <c r="C88" s="18" t="str">
        <f ca="1">OFFSET(CampList[Camp],MATCH(Table10[[#This Row],[Pcode]],CampList[CP_Pcode],0)-1,0,1,1)</f>
        <v>Le Kone Bethlehem Church</v>
      </c>
      <c r="D88" s="18" t="str">
        <f ca="1">OFFSET(CampList[Township],MATCH(Table10[[#This Row],[Pcode]],CampList[CP_Pcode],0)-1,0,1,1)</f>
        <v>Myitkyina</v>
      </c>
      <c r="E88" s="277">
        <f ca="1">OFFSET(CampList[HH],MATCH(Table10[[#This Row],[Pcode]],CampList[CP_Pcode],0)-1,0,1,1)</f>
        <v>30</v>
      </c>
      <c r="F88" s="277">
        <f ca="1">OFFSET(CampList[Total],MATCH(Table10[[#This Row],[Pcode]],CampList[CP_Pcode],0)-1,0,1,1)</f>
        <v>178</v>
      </c>
      <c r="G88" s="277">
        <f>SUMIF('NFI Tracking'!AQ$11:AQ$1048576,Table10[[#This Row],[Pcode]],'NFI Tracking'!AI$11:AI$1048576)</f>
        <v>0</v>
      </c>
      <c r="H88" s="277">
        <f>SUMIF('NFI Tracking'!AQ$11:AQ$1048576,Table10[[#This Row],[Pcode]],'NFI Tracking'!AJ$11:AJ$1048576)</f>
        <v>0</v>
      </c>
      <c r="I88" s="277">
        <f>SUMIF('NFI Tracking'!AQ$11:AQ$1048576,Table10[[#This Row],[Pcode]],'NFI Tracking'!AK$11:AK$1048576)</f>
        <v>0</v>
      </c>
      <c r="J88" s="277">
        <f ca="1">MAX(Table10[[#This Row],[HH]]*VLOOKUP("Winter Clothes Adult",NFI,6)-Table10[[#This Row],[Winter Clothes Adult ]],0)</f>
        <v>60</v>
      </c>
      <c r="K88" s="277">
        <f ca="1">MAX(Table10[[#This Row],[HH]]*VLOOKUP("Winter Clothes Children ",NFI,6)-Table10[[#This Row],[Winter Clothes Children ]],0)</f>
        <v>30</v>
      </c>
      <c r="L88" s="277">
        <f ca="1">MAX(Table10[[#This Row],[HH]]*VLOOKUP("Winter Items Other ",NFI,6)-Table10[[#This Row],[Winter Items Other ]],0)</f>
        <v>30</v>
      </c>
      <c r="M88" s="310" t="str">
        <f>IF(OR(Table10[[#This Row],[Winter Clothes Adult ]]&lt;&gt;0,Table10[[#This Row],[Winter Clothes Children ]]&lt;&gt;0,Table10[[#This Row],[Winter Items Other ]]&lt;&gt;0),"No","")</f>
        <v/>
      </c>
      <c r="N88" s="311">
        <f>COUNTIF(A:A,Table10[[#This Row],[Pcode]])-1</f>
        <v>0</v>
      </c>
    </row>
    <row r="89" spans="1:14" x14ac:dyDescent="0.25">
      <c r="A89" s="259" t="s">
        <v>284</v>
      </c>
      <c r="B89" s="18" t="str">
        <f ca="1">OFFSET(CampList[Priority],MATCH(Table10[[#This Row],[Pcode]],CampList[CP_Pcode],0)-1,0,1,1)</f>
        <v>P4</v>
      </c>
      <c r="C89" s="18" t="str">
        <f ca="1">OFFSET(CampList[Camp],MATCH(Table10[[#This Row],[Pcode]],CampList[CP_Pcode],0)-1,0,1,1)</f>
        <v xml:space="preserve">Le Kone Ziun Baptist Church </v>
      </c>
      <c r="D89" s="18" t="str">
        <f ca="1">OFFSET(CampList[Township],MATCH(Table10[[#This Row],[Pcode]],CampList[CP_Pcode],0)-1,0,1,1)</f>
        <v>Myitkyina</v>
      </c>
      <c r="E89" s="277">
        <f ca="1">OFFSET(CampList[HH],MATCH(Table10[[#This Row],[Pcode]],CampList[CP_Pcode],0)-1,0,1,1)</f>
        <v>85</v>
      </c>
      <c r="F89" s="277">
        <f ca="1">OFFSET(CampList[Total],MATCH(Table10[[#This Row],[Pcode]],CampList[CP_Pcode],0)-1,0,1,1)</f>
        <v>437</v>
      </c>
      <c r="G89" s="277">
        <f>SUMIF('NFI Tracking'!AQ$11:AQ$1048576,Table10[[#This Row],[Pcode]],'NFI Tracking'!AI$11:AI$1048576)</f>
        <v>0</v>
      </c>
      <c r="H89" s="277">
        <f>SUMIF('NFI Tracking'!AQ$11:AQ$1048576,Table10[[#This Row],[Pcode]],'NFI Tracking'!AJ$11:AJ$1048576)</f>
        <v>0</v>
      </c>
      <c r="I89" s="277">
        <f>SUMIF('NFI Tracking'!AQ$11:AQ$1048576,Table10[[#This Row],[Pcode]],'NFI Tracking'!AK$11:AK$1048576)</f>
        <v>0</v>
      </c>
      <c r="J89" s="277">
        <f ca="1">MAX(Table10[[#This Row],[HH]]*VLOOKUP("Winter Clothes Adult",NFI,6)-Table10[[#This Row],[Winter Clothes Adult ]],0)</f>
        <v>170</v>
      </c>
      <c r="K89" s="277">
        <f ca="1">MAX(Table10[[#This Row],[HH]]*VLOOKUP("Winter Clothes Children ",NFI,6)-Table10[[#This Row],[Winter Clothes Children ]],0)</f>
        <v>85</v>
      </c>
      <c r="L89" s="277">
        <f ca="1">MAX(Table10[[#This Row],[HH]]*VLOOKUP("Winter Items Other ",NFI,6)-Table10[[#This Row],[Winter Items Other ]],0)</f>
        <v>85</v>
      </c>
      <c r="M89" s="310" t="str">
        <f>IF(OR(Table10[[#This Row],[Winter Clothes Adult ]]&lt;&gt;0,Table10[[#This Row],[Winter Clothes Children ]]&lt;&gt;0,Table10[[#This Row],[Winter Items Other ]]&lt;&gt;0),"No","")</f>
        <v/>
      </c>
      <c r="N89" s="311">
        <f>COUNTIF(A:A,Table10[[#This Row],[Pcode]])-1</f>
        <v>0</v>
      </c>
    </row>
    <row r="90" spans="1:14" x14ac:dyDescent="0.25">
      <c r="A90" s="259" t="s">
        <v>89</v>
      </c>
      <c r="B90" s="18" t="str">
        <f ca="1">OFFSET(CampList[Priority],MATCH(Table10[[#This Row],[Pcode]],CampList[CP_Pcode],0)-1,0,1,1)</f>
        <v>P4</v>
      </c>
      <c r="C90" s="18" t="str">
        <f ca="1">OFFSET(CampList[Camp],MATCH(Table10[[#This Row],[Pcode]],CampList[CP_Pcode],0)-1,0,1,1)</f>
        <v>Lisu Baptist Church, Maw Shan Vil,. Seik Mu</v>
      </c>
      <c r="D90" s="18" t="str">
        <f ca="1">OFFSET(CampList[Township],MATCH(Table10[[#This Row],[Pcode]],CampList[CP_Pcode],0)-1,0,1,1)</f>
        <v>Hpakant</v>
      </c>
      <c r="E90" s="277">
        <f ca="1">OFFSET(CampList[HH],MATCH(Table10[[#This Row],[Pcode]],CampList[CP_Pcode],0)-1,0,1,1)</f>
        <v>25</v>
      </c>
      <c r="F90" s="277">
        <f ca="1">OFFSET(CampList[Total],MATCH(Table10[[#This Row],[Pcode]],CampList[CP_Pcode],0)-1,0,1,1)</f>
        <v>118</v>
      </c>
      <c r="G90" s="277">
        <f>SUMIF('NFI Tracking'!AQ$11:AQ$1048576,Table10[[#This Row],[Pcode]],'NFI Tracking'!AI$11:AI$1048576)</f>
        <v>0</v>
      </c>
      <c r="H90" s="277">
        <f>SUMIF('NFI Tracking'!AQ$11:AQ$1048576,Table10[[#This Row],[Pcode]],'NFI Tracking'!AJ$11:AJ$1048576)</f>
        <v>0</v>
      </c>
      <c r="I90" s="277">
        <f>SUMIF('NFI Tracking'!AQ$11:AQ$1048576,Table10[[#This Row],[Pcode]],'NFI Tracking'!AK$11:AK$1048576)</f>
        <v>0</v>
      </c>
      <c r="J90" s="277">
        <f ca="1">MAX(Table10[[#This Row],[HH]]*VLOOKUP("Winter Clothes Adult",NFI,6)-Table10[[#This Row],[Winter Clothes Adult ]],0)</f>
        <v>50</v>
      </c>
      <c r="K90" s="277">
        <f ca="1">MAX(Table10[[#This Row],[HH]]*VLOOKUP("Winter Clothes Children ",NFI,6)-Table10[[#This Row],[Winter Clothes Children ]],0)</f>
        <v>25</v>
      </c>
      <c r="L90" s="277">
        <f ca="1">MAX(Table10[[#This Row],[HH]]*VLOOKUP("Winter Items Other ",NFI,6)-Table10[[#This Row],[Winter Items Other ]],0)</f>
        <v>25</v>
      </c>
      <c r="M90" s="310" t="str">
        <f>IF(OR(Table10[[#This Row],[Winter Clothes Adult ]]&lt;&gt;0,Table10[[#This Row],[Winter Clothes Children ]]&lt;&gt;0,Table10[[#This Row],[Winter Items Other ]]&lt;&gt;0),"No","")</f>
        <v/>
      </c>
      <c r="N90" s="311">
        <f>COUNTIF(A:A,Table10[[#This Row],[Pcode]])-1</f>
        <v>0</v>
      </c>
    </row>
    <row r="91" spans="1:14" x14ac:dyDescent="0.25">
      <c r="A91" s="259" t="s">
        <v>91</v>
      </c>
      <c r="B91" s="18" t="str">
        <f ca="1">OFFSET(CampList[Priority],MATCH(Table10[[#This Row],[Pcode]],CampList[CP_Pcode],0)-1,0,1,1)</f>
        <v>P4</v>
      </c>
      <c r="C91" s="18" t="str">
        <f ca="1">OFFSET(CampList[Camp],MATCH(Table10[[#This Row],[Pcode]],CampList[CP_Pcode],0)-1,0,1,1)</f>
        <v>Lisu Baptist Church, Maw Wan Ward</v>
      </c>
      <c r="D91" s="18" t="str">
        <f ca="1">OFFSET(CampList[Township],MATCH(Table10[[#This Row],[Pcode]],CampList[CP_Pcode],0)-1,0,1,1)</f>
        <v>Hpakant</v>
      </c>
      <c r="E91" s="277">
        <f ca="1">OFFSET(CampList[HH],MATCH(Table10[[#This Row],[Pcode]],CampList[CP_Pcode],0)-1,0,1,1)</f>
        <v>15</v>
      </c>
      <c r="F91" s="277">
        <f ca="1">OFFSET(CampList[Total],MATCH(Table10[[#This Row],[Pcode]],CampList[CP_Pcode],0)-1,0,1,1)</f>
        <v>73</v>
      </c>
      <c r="G91" s="277">
        <f>SUMIF('NFI Tracking'!AQ$11:AQ$1048576,Table10[[#This Row],[Pcode]],'NFI Tracking'!AI$11:AI$1048576)</f>
        <v>0</v>
      </c>
      <c r="H91" s="277">
        <f>SUMIF('NFI Tracking'!AQ$11:AQ$1048576,Table10[[#This Row],[Pcode]],'NFI Tracking'!AJ$11:AJ$1048576)</f>
        <v>0</v>
      </c>
      <c r="I91" s="277">
        <f>SUMIF('NFI Tracking'!AQ$11:AQ$1048576,Table10[[#This Row],[Pcode]],'NFI Tracking'!AK$11:AK$1048576)</f>
        <v>0</v>
      </c>
      <c r="J91" s="277">
        <f ca="1">MAX(Table10[[#This Row],[HH]]*VLOOKUP("Winter Clothes Adult",NFI,6)-Table10[[#This Row],[Winter Clothes Adult ]],0)</f>
        <v>30</v>
      </c>
      <c r="K91" s="277">
        <f ca="1">MAX(Table10[[#This Row],[HH]]*VLOOKUP("Winter Clothes Children ",NFI,6)-Table10[[#This Row],[Winter Clothes Children ]],0)</f>
        <v>15</v>
      </c>
      <c r="L91" s="277">
        <f ca="1">MAX(Table10[[#This Row],[HH]]*VLOOKUP("Winter Items Other ",NFI,6)-Table10[[#This Row],[Winter Items Other ]],0)</f>
        <v>15</v>
      </c>
      <c r="M91" s="310" t="str">
        <f>IF(OR(Table10[[#This Row],[Winter Clothes Adult ]]&lt;&gt;0,Table10[[#This Row],[Winter Clothes Children ]]&lt;&gt;0,Table10[[#This Row],[Winter Items Other ]]&lt;&gt;0),"No","")</f>
        <v/>
      </c>
      <c r="N91" s="311">
        <f>COUNTIF(A:A,Table10[[#This Row],[Pcode]])-1</f>
        <v>0</v>
      </c>
    </row>
    <row r="92" spans="1:14" x14ac:dyDescent="0.25">
      <c r="A92" s="259" t="s">
        <v>17</v>
      </c>
      <c r="B92" s="18" t="str">
        <f ca="1">OFFSET(CampList[Priority],MATCH(Table10[[#This Row],[Pcode]],CampList[CP_Pcode],0)-1,0,1,1)</f>
        <v>P4</v>
      </c>
      <c r="C92" s="18" t="str">
        <f ca="1">OFFSET(CampList[Camp],MATCH(Table10[[#This Row],[Pcode]],CampList[CP_Pcode],0)-1,0,1,1)</f>
        <v>Lisu Boarding-House</v>
      </c>
      <c r="D92" s="18" t="str">
        <f ca="1">OFFSET(CampList[Township],MATCH(Table10[[#This Row],[Pcode]],CampList[CP_Pcode],0)-1,0,1,1)</f>
        <v>Bhamo</v>
      </c>
      <c r="E92" s="277">
        <f ca="1">OFFSET(CampList[HH],MATCH(Table10[[#This Row],[Pcode]],CampList[CP_Pcode],0)-1,0,1,1)</f>
        <v>116</v>
      </c>
      <c r="F92" s="277">
        <f ca="1">OFFSET(CampList[Total],MATCH(Table10[[#This Row],[Pcode]],CampList[CP_Pcode],0)-1,0,1,1)</f>
        <v>659</v>
      </c>
      <c r="G92" s="277">
        <f>SUMIF('NFI Tracking'!AQ$11:AQ$1048576,Table10[[#This Row],[Pcode]],'NFI Tracking'!AI$11:AI$1048576)</f>
        <v>0</v>
      </c>
      <c r="H92" s="277">
        <f>SUMIF('NFI Tracking'!AQ$11:AQ$1048576,Table10[[#This Row],[Pcode]],'NFI Tracking'!AJ$11:AJ$1048576)</f>
        <v>0</v>
      </c>
      <c r="I92" s="277">
        <f>SUMIF('NFI Tracking'!AQ$11:AQ$1048576,Table10[[#This Row],[Pcode]],'NFI Tracking'!AK$11:AK$1048576)</f>
        <v>0</v>
      </c>
      <c r="J92" s="277">
        <f ca="1">MAX(Table10[[#This Row],[HH]]*VLOOKUP("Winter Clothes Adult",NFI,6)-Table10[[#This Row],[Winter Clothes Adult ]],0)</f>
        <v>232</v>
      </c>
      <c r="K92" s="277">
        <f ca="1">MAX(Table10[[#This Row],[HH]]*VLOOKUP("Winter Clothes Children ",NFI,6)-Table10[[#This Row],[Winter Clothes Children ]],0)</f>
        <v>116</v>
      </c>
      <c r="L92" s="277">
        <f ca="1">MAX(Table10[[#This Row],[HH]]*VLOOKUP("Winter Items Other ",NFI,6)-Table10[[#This Row],[Winter Items Other ]],0)</f>
        <v>116</v>
      </c>
      <c r="M92" s="310" t="str">
        <f>IF(OR(Table10[[#This Row],[Winter Clothes Adult ]]&lt;&gt;0,Table10[[#This Row],[Winter Clothes Children ]]&lt;&gt;0,Table10[[#This Row],[Winter Items Other ]]&lt;&gt;0),"No","")</f>
        <v/>
      </c>
      <c r="N92" s="311">
        <f>COUNTIF(A:A,Table10[[#This Row],[Pcode]])-1</f>
        <v>0</v>
      </c>
    </row>
    <row r="93" spans="1:14" x14ac:dyDescent="0.25">
      <c r="A93" s="259" t="s">
        <v>319</v>
      </c>
      <c r="B93" s="18" t="str">
        <f ca="1">OFFSET(CampList[Priority],MATCH(Table10[[#This Row],[Pcode]],CampList[CP_Pcode],0)-1,0,1,1)</f>
        <v>P4</v>
      </c>
      <c r="C93" s="18" t="str">
        <f ca="1">OFFSET(CampList[Camp],MATCH(Table10[[#This Row],[Pcode]],CampList[CP_Pcode],0)-1,0,1,1)</f>
        <v>Mading Baptist Church</v>
      </c>
      <c r="D93" s="18" t="str">
        <f ca="1">OFFSET(CampList[Township],MATCH(Table10[[#This Row],[Pcode]],CampList[CP_Pcode],0)-1,0,1,1)</f>
        <v>Waingmaw</v>
      </c>
      <c r="E93" s="277">
        <f ca="1">OFFSET(CampList[HH],MATCH(Table10[[#This Row],[Pcode]],CampList[CP_Pcode],0)-1,0,1,1)</f>
        <v>30</v>
      </c>
      <c r="F93" s="277">
        <f ca="1">OFFSET(CampList[Total],MATCH(Table10[[#This Row],[Pcode]],CampList[CP_Pcode],0)-1,0,1,1)</f>
        <v>113</v>
      </c>
      <c r="G93" s="277">
        <f>SUMIF('NFI Tracking'!AQ$11:AQ$1048576,Table10[[#This Row],[Pcode]],'NFI Tracking'!AI$11:AI$1048576)</f>
        <v>0</v>
      </c>
      <c r="H93" s="277">
        <f>SUMIF('NFI Tracking'!AQ$11:AQ$1048576,Table10[[#This Row],[Pcode]],'NFI Tracking'!AJ$11:AJ$1048576)</f>
        <v>0</v>
      </c>
      <c r="I93" s="277">
        <f>SUMIF('NFI Tracking'!AQ$11:AQ$1048576,Table10[[#This Row],[Pcode]],'NFI Tracking'!AK$11:AK$1048576)</f>
        <v>0</v>
      </c>
      <c r="J93" s="277">
        <f ca="1">MAX(Table10[[#This Row],[HH]]*VLOOKUP("Winter Clothes Adult",NFI,6)-Table10[[#This Row],[Winter Clothes Adult ]],0)</f>
        <v>60</v>
      </c>
      <c r="K93" s="277">
        <f ca="1">MAX(Table10[[#This Row],[HH]]*VLOOKUP("Winter Clothes Children ",NFI,6)-Table10[[#This Row],[Winter Clothes Children ]],0)</f>
        <v>30</v>
      </c>
      <c r="L93" s="277">
        <f ca="1">MAX(Table10[[#This Row],[HH]]*VLOOKUP("Winter Items Other ",NFI,6)-Table10[[#This Row],[Winter Items Other ]],0)</f>
        <v>30</v>
      </c>
      <c r="M93" s="310" t="str">
        <f>IF(OR(Table10[[#This Row],[Winter Clothes Adult ]]&lt;&gt;0,Table10[[#This Row],[Winter Clothes Children ]]&lt;&gt;0,Table10[[#This Row],[Winter Items Other ]]&lt;&gt;0),"No","")</f>
        <v/>
      </c>
      <c r="N93" s="311">
        <f>COUNTIF(A:A,Table10[[#This Row],[Pcode]])-1</f>
        <v>0</v>
      </c>
    </row>
    <row r="94" spans="1:14" x14ac:dyDescent="0.25">
      <c r="A94" s="259" t="s">
        <v>199</v>
      </c>
      <c r="B94" s="18" t="str">
        <f ca="1">OFFSET(CampList[Priority],MATCH(Table10[[#This Row],[Pcode]],CampList[CP_Pcode],0)-1,0,1,1)</f>
        <v>P4</v>
      </c>
      <c r="C94" s="18" t="str">
        <f ca="1">OFFSET(CampList[Camp],MATCH(Table10[[#This Row],[Pcode]],CampList[CP_Pcode],0)-1,0,1,1)</f>
        <v xml:space="preserve">Mai Khat </v>
      </c>
      <c r="D94" s="18" t="str">
        <f ca="1">OFFSET(CampList[Township],MATCH(Table10[[#This Row],[Pcode]],CampList[CP_Pcode],0)-1,0,1,1)</f>
        <v>Momauk</v>
      </c>
      <c r="E94" s="277">
        <f ca="1">OFFSET(CampList[HH],MATCH(Table10[[#This Row],[Pcode]],CampList[CP_Pcode],0)-1,0,1,1)</f>
        <v>2</v>
      </c>
      <c r="F94" s="277">
        <f ca="1">OFFSET(CampList[Total],MATCH(Table10[[#This Row],[Pcode]],CampList[CP_Pcode],0)-1,0,1,1)</f>
        <v>9</v>
      </c>
      <c r="G94" s="277">
        <f>SUMIF('NFI Tracking'!AQ$11:AQ$1048576,Table10[[#This Row],[Pcode]],'NFI Tracking'!AI$11:AI$1048576)</f>
        <v>0</v>
      </c>
      <c r="H94" s="277">
        <f>SUMIF('NFI Tracking'!AQ$11:AQ$1048576,Table10[[#This Row],[Pcode]],'NFI Tracking'!AJ$11:AJ$1048576)</f>
        <v>0</v>
      </c>
      <c r="I94" s="277">
        <f>SUMIF('NFI Tracking'!AQ$11:AQ$1048576,Table10[[#This Row],[Pcode]],'NFI Tracking'!AK$11:AK$1048576)</f>
        <v>0</v>
      </c>
      <c r="J94" s="277">
        <f ca="1">MAX(Table10[[#This Row],[HH]]*VLOOKUP("Winter Clothes Adult",NFI,6)-Table10[[#This Row],[Winter Clothes Adult ]],0)</f>
        <v>4</v>
      </c>
      <c r="K94" s="277">
        <f ca="1">MAX(Table10[[#This Row],[HH]]*VLOOKUP("Winter Clothes Children ",NFI,6)-Table10[[#This Row],[Winter Clothes Children ]],0)</f>
        <v>2</v>
      </c>
      <c r="L94" s="277">
        <f ca="1">MAX(Table10[[#This Row],[HH]]*VLOOKUP("Winter Items Other ",NFI,6)-Table10[[#This Row],[Winter Items Other ]],0)</f>
        <v>2</v>
      </c>
      <c r="M94" s="310" t="str">
        <f>IF(OR(Table10[[#This Row],[Winter Clothes Adult ]]&lt;&gt;0,Table10[[#This Row],[Winter Clothes Children ]]&lt;&gt;0,Table10[[#This Row],[Winter Items Other ]]&lt;&gt;0),"No","")</f>
        <v/>
      </c>
      <c r="N94" s="311">
        <f>COUNTIF(A:A,Table10[[#This Row],[Pcode]])-1</f>
        <v>0</v>
      </c>
    </row>
    <row r="95" spans="1:14" x14ac:dyDescent="0.25">
      <c r="A95" s="259" t="s">
        <v>327</v>
      </c>
      <c r="B95" s="18" t="str">
        <f ca="1">OFFSET(CampList[Priority],MATCH(Table10[[#This Row],[Pcode]],CampList[CP_Pcode],0)-1,0,1,1)</f>
        <v>P4</v>
      </c>
      <c r="C95" s="18" t="str">
        <f ca="1">OFFSET(CampList[Camp],MATCH(Table10[[#This Row],[Pcode]],CampList[CP_Pcode],0)-1,0,1,1)</f>
        <v>Maina AG Church</v>
      </c>
      <c r="D95" s="18" t="str">
        <f ca="1">OFFSET(CampList[Township],MATCH(Table10[[#This Row],[Pcode]],CampList[CP_Pcode],0)-1,0,1,1)</f>
        <v>Waingmaw</v>
      </c>
      <c r="E95" s="277">
        <f ca="1">OFFSET(CampList[HH],MATCH(Table10[[#This Row],[Pcode]],CampList[CP_Pcode],0)-1,0,1,1)</f>
        <v>149</v>
      </c>
      <c r="F95" s="277">
        <f ca="1">OFFSET(CampList[Total],MATCH(Table10[[#This Row],[Pcode]],CampList[CP_Pcode],0)-1,0,1,1)</f>
        <v>841</v>
      </c>
      <c r="G95" s="277">
        <f>SUMIF('NFI Tracking'!AQ$11:AQ$1048576,Table10[[#This Row],[Pcode]],'NFI Tracking'!AI$11:AI$1048576)</f>
        <v>0</v>
      </c>
      <c r="H95" s="277">
        <f>SUMIF('NFI Tracking'!AQ$11:AQ$1048576,Table10[[#This Row],[Pcode]],'NFI Tracking'!AJ$11:AJ$1048576)</f>
        <v>0</v>
      </c>
      <c r="I95" s="277">
        <f>SUMIF('NFI Tracking'!AQ$11:AQ$1048576,Table10[[#This Row],[Pcode]],'NFI Tracking'!AK$11:AK$1048576)</f>
        <v>0</v>
      </c>
      <c r="J95" s="277">
        <f ca="1">MAX(Table10[[#This Row],[HH]]*VLOOKUP("Winter Clothes Adult",NFI,6)-Table10[[#This Row],[Winter Clothes Adult ]],0)</f>
        <v>298</v>
      </c>
      <c r="K95" s="277">
        <f ca="1">MAX(Table10[[#This Row],[HH]]*VLOOKUP("Winter Clothes Children ",NFI,6)-Table10[[#This Row],[Winter Clothes Children ]],0)</f>
        <v>149</v>
      </c>
      <c r="L95" s="277">
        <f ca="1">MAX(Table10[[#This Row],[HH]]*VLOOKUP("Winter Items Other ",NFI,6)-Table10[[#This Row],[Winter Items Other ]],0)</f>
        <v>149</v>
      </c>
      <c r="M95" s="310" t="str">
        <f>IF(OR(Table10[[#This Row],[Winter Clothes Adult ]]&lt;&gt;0,Table10[[#This Row],[Winter Clothes Children ]]&lt;&gt;0,Table10[[#This Row],[Winter Items Other ]]&lt;&gt;0),"No","")</f>
        <v/>
      </c>
      <c r="N95" s="311">
        <f>COUNTIF(A:A,Table10[[#This Row],[Pcode]])-1</f>
        <v>0</v>
      </c>
    </row>
    <row r="96" spans="1:14" x14ac:dyDescent="0.25">
      <c r="A96" s="259" t="s">
        <v>329</v>
      </c>
      <c r="B96" s="18" t="str">
        <f ca="1">OFFSET(CampList[Priority],MATCH(Table10[[#This Row],[Pcode]],CampList[CP_Pcode],0)-1,0,1,1)</f>
        <v>P4</v>
      </c>
      <c r="C96" s="18" t="str">
        <f ca="1">OFFSET(CampList[Camp],MATCH(Table10[[#This Row],[Pcode]],CampList[CP_Pcode],0)-1,0,1,1)</f>
        <v>Maina Catholic Church (St. Joseph)</v>
      </c>
      <c r="D96" s="18" t="str">
        <f ca="1">OFFSET(CampList[Township],MATCH(Table10[[#This Row],[Pcode]],CampList[CP_Pcode],0)-1,0,1,1)</f>
        <v>Waingmaw</v>
      </c>
      <c r="E96" s="277">
        <f ca="1">OFFSET(CampList[HH],MATCH(Table10[[#This Row],[Pcode]],CampList[CP_Pcode],0)-1,0,1,1)</f>
        <v>223</v>
      </c>
      <c r="F96" s="277">
        <f ca="1">OFFSET(CampList[Total],MATCH(Table10[[#This Row],[Pcode]],CampList[CP_Pcode],0)-1,0,1,1)</f>
        <v>1228</v>
      </c>
      <c r="G96" s="277">
        <f>SUMIF('NFI Tracking'!AQ$11:AQ$1048576,Table10[[#This Row],[Pcode]],'NFI Tracking'!AI$11:AI$1048576)</f>
        <v>0</v>
      </c>
      <c r="H96" s="277">
        <f>SUMIF('NFI Tracking'!AQ$11:AQ$1048576,Table10[[#This Row],[Pcode]],'NFI Tracking'!AJ$11:AJ$1048576)</f>
        <v>0</v>
      </c>
      <c r="I96" s="277">
        <f>SUMIF('NFI Tracking'!AQ$11:AQ$1048576,Table10[[#This Row],[Pcode]],'NFI Tracking'!AK$11:AK$1048576)</f>
        <v>0</v>
      </c>
      <c r="J96" s="277">
        <f ca="1">MAX(Table10[[#This Row],[HH]]*VLOOKUP("Winter Clothes Adult",NFI,6)-Table10[[#This Row],[Winter Clothes Adult ]],0)</f>
        <v>446</v>
      </c>
      <c r="K96" s="277">
        <f ca="1">MAX(Table10[[#This Row],[HH]]*VLOOKUP("Winter Clothes Children ",NFI,6)-Table10[[#This Row],[Winter Clothes Children ]],0)</f>
        <v>223</v>
      </c>
      <c r="L96" s="277">
        <f ca="1">MAX(Table10[[#This Row],[HH]]*VLOOKUP("Winter Items Other ",NFI,6)-Table10[[#This Row],[Winter Items Other ]],0)</f>
        <v>223</v>
      </c>
      <c r="M96" s="310" t="str">
        <f>IF(OR(Table10[[#This Row],[Winter Clothes Adult ]]&lt;&gt;0,Table10[[#This Row],[Winter Clothes Children ]]&lt;&gt;0,Table10[[#This Row],[Winter Items Other ]]&lt;&gt;0),"No","")</f>
        <v/>
      </c>
      <c r="N96" s="311">
        <f>COUNTIF(A:A,Table10[[#This Row],[Pcode]])-1</f>
        <v>0</v>
      </c>
    </row>
    <row r="97" spans="1:14" x14ac:dyDescent="0.25">
      <c r="A97" s="259" t="s">
        <v>323</v>
      </c>
      <c r="B97" s="18" t="str">
        <f ca="1">OFFSET(CampList[Priority],MATCH(Table10[[#This Row],[Pcode]],CampList[CP_Pcode],0)-1,0,1,1)</f>
        <v>P4</v>
      </c>
      <c r="C97" s="18" t="str">
        <f ca="1">OFFSET(CampList[Camp],MATCH(Table10[[#This Row],[Pcode]],CampList[CP_Pcode],0)-1,0,1,1)</f>
        <v>Maina KBC (Bawng Ring)</v>
      </c>
      <c r="D97" s="18" t="str">
        <f ca="1">OFFSET(CampList[Township],MATCH(Table10[[#This Row],[Pcode]],CampList[CP_Pcode],0)-1,0,1,1)</f>
        <v>Waingmaw</v>
      </c>
      <c r="E97" s="277">
        <f ca="1">OFFSET(CampList[HH],MATCH(Table10[[#This Row],[Pcode]],CampList[CP_Pcode],0)-1,0,1,1)</f>
        <v>410</v>
      </c>
      <c r="F97" s="277">
        <f ca="1">OFFSET(CampList[Total],MATCH(Table10[[#This Row],[Pcode]],CampList[CP_Pcode],0)-1,0,1,1)</f>
        <v>2135</v>
      </c>
      <c r="G97" s="277">
        <f>SUMIF('NFI Tracking'!AQ$11:AQ$1048576,Table10[[#This Row],[Pcode]],'NFI Tracking'!AI$11:AI$1048576)</f>
        <v>0</v>
      </c>
      <c r="H97" s="277">
        <f>SUMIF('NFI Tracking'!AQ$11:AQ$1048576,Table10[[#This Row],[Pcode]],'NFI Tracking'!AJ$11:AJ$1048576)</f>
        <v>0</v>
      </c>
      <c r="I97" s="277">
        <f>SUMIF('NFI Tracking'!AQ$11:AQ$1048576,Table10[[#This Row],[Pcode]],'NFI Tracking'!AK$11:AK$1048576)</f>
        <v>0</v>
      </c>
      <c r="J97" s="277">
        <f ca="1">MAX(Table10[[#This Row],[HH]]*VLOOKUP("Winter Clothes Adult",NFI,6)-Table10[[#This Row],[Winter Clothes Adult ]],0)</f>
        <v>820</v>
      </c>
      <c r="K97" s="277">
        <f ca="1">MAX(Table10[[#This Row],[HH]]*VLOOKUP("Winter Clothes Children ",NFI,6)-Table10[[#This Row],[Winter Clothes Children ]],0)</f>
        <v>410</v>
      </c>
      <c r="L97" s="277">
        <f ca="1">MAX(Table10[[#This Row],[HH]]*VLOOKUP("Winter Items Other ",NFI,6)-Table10[[#This Row],[Winter Items Other ]],0)</f>
        <v>410</v>
      </c>
      <c r="M97" s="310" t="str">
        <f>IF(OR(Table10[[#This Row],[Winter Clothes Adult ]]&lt;&gt;0,Table10[[#This Row],[Winter Clothes Children ]]&lt;&gt;0,Table10[[#This Row],[Winter Items Other ]]&lt;&gt;0),"No","")</f>
        <v/>
      </c>
      <c r="N97" s="311">
        <f>COUNTIF(A:A,Table10[[#This Row],[Pcode]])-1</f>
        <v>0</v>
      </c>
    </row>
    <row r="98" spans="1:14" x14ac:dyDescent="0.25">
      <c r="A98" s="259" t="s">
        <v>325</v>
      </c>
      <c r="B98" s="18" t="str">
        <f ca="1">OFFSET(CampList[Priority],MATCH(Table10[[#This Row],[Pcode]],CampList[CP_Pcode],0)-1,0,1,1)</f>
        <v>P4</v>
      </c>
      <c r="C98" s="18" t="str">
        <f ca="1">OFFSET(CampList[Camp],MATCH(Table10[[#This Row],[Pcode]],CampList[CP_Pcode],0)-1,0,1,1)</f>
        <v>Maina Lawang Baptist Church</v>
      </c>
      <c r="D98" s="18" t="str">
        <f ca="1">OFFSET(CampList[Township],MATCH(Table10[[#This Row],[Pcode]],CampList[CP_Pcode],0)-1,0,1,1)</f>
        <v>Waingmaw</v>
      </c>
      <c r="E98" s="277">
        <f ca="1">OFFSET(CampList[HH],MATCH(Table10[[#This Row],[Pcode]],CampList[CP_Pcode],0)-1,0,1,1)</f>
        <v>38</v>
      </c>
      <c r="F98" s="277">
        <f ca="1">OFFSET(CampList[Total],MATCH(Table10[[#This Row],[Pcode]],CampList[CP_Pcode],0)-1,0,1,1)</f>
        <v>148</v>
      </c>
      <c r="G98" s="277">
        <f>SUMIF('NFI Tracking'!AQ$11:AQ$1048576,Table10[[#This Row],[Pcode]],'NFI Tracking'!AI$11:AI$1048576)</f>
        <v>0</v>
      </c>
      <c r="H98" s="277">
        <f>SUMIF('NFI Tracking'!AQ$11:AQ$1048576,Table10[[#This Row],[Pcode]],'NFI Tracking'!AJ$11:AJ$1048576)</f>
        <v>0</v>
      </c>
      <c r="I98" s="277">
        <f>SUMIF('NFI Tracking'!AQ$11:AQ$1048576,Table10[[#This Row],[Pcode]],'NFI Tracking'!AK$11:AK$1048576)</f>
        <v>0</v>
      </c>
      <c r="J98" s="277">
        <f ca="1">MAX(Table10[[#This Row],[HH]]*VLOOKUP("Winter Clothes Adult",NFI,6)-Table10[[#This Row],[Winter Clothes Adult ]],0)</f>
        <v>76</v>
      </c>
      <c r="K98" s="277">
        <f ca="1">MAX(Table10[[#This Row],[HH]]*VLOOKUP("Winter Clothes Children ",NFI,6)-Table10[[#This Row],[Winter Clothes Children ]],0)</f>
        <v>38</v>
      </c>
      <c r="L98" s="277">
        <f ca="1">MAX(Table10[[#This Row],[HH]]*VLOOKUP("Winter Items Other ",NFI,6)-Table10[[#This Row],[Winter Items Other ]],0)</f>
        <v>38</v>
      </c>
      <c r="M98" s="310" t="str">
        <f>IF(OR(Table10[[#This Row],[Winter Clothes Adult ]]&lt;&gt;0,Table10[[#This Row],[Winter Clothes Children ]]&lt;&gt;0,Table10[[#This Row],[Winter Items Other ]]&lt;&gt;0),"No","")</f>
        <v/>
      </c>
      <c r="N98" s="311">
        <f>COUNTIF(A:A,Table10[[#This Row],[Pcode]])-1</f>
        <v>0</v>
      </c>
    </row>
    <row r="99" spans="1:14" x14ac:dyDescent="0.25">
      <c r="A99" s="259" t="s">
        <v>886</v>
      </c>
      <c r="B99" s="18" t="str">
        <f ca="1">OFFSET(CampList[Priority],MATCH(Table10[[#This Row],[Pcode]],CampList[CP_Pcode],0)-1,0,1,1)</f>
        <v>P4</v>
      </c>
      <c r="C99" s="18" t="str">
        <f ca="1">OFFSET(CampList[Camp],MATCH(Table10[[#This Row],[Pcode]],CampList[CP_Pcode],0)-1,0,1,1)</f>
        <v>Maing Khaung</v>
      </c>
      <c r="D99" s="18" t="str">
        <f ca="1">OFFSET(CampList[Township],MATCH(Table10[[#This Row],[Pcode]],CampList[CP_Pcode],0)-1,0,1,1)</f>
        <v>Mansi</v>
      </c>
      <c r="E99" s="277">
        <f ca="1">OFFSET(CampList[HH],MATCH(Table10[[#This Row],[Pcode]],CampList[CP_Pcode],0)-1,0,1,1)</f>
        <v>374</v>
      </c>
      <c r="F99" s="277">
        <f ca="1">OFFSET(CampList[Total],MATCH(Table10[[#This Row],[Pcode]],CampList[CP_Pcode],0)-1,0,1,1)</f>
        <v>1662</v>
      </c>
      <c r="G99" s="277">
        <f>SUMIF('NFI Tracking'!AQ$11:AQ$1048576,Table10[[#This Row],[Pcode]],'NFI Tracking'!AI$11:AI$1048576)</f>
        <v>0</v>
      </c>
      <c r="H99" s="277">
        <f>SUMIF('NFI Tracking'!AQ$11:AQ$1048576,Table10[[#This Row],[Pcode]],'NFI Tracking'!AJ$11:AJ$1048576)</f>
        <v>0</v>
      </c>
      <c r="I99" s="277">
        <f>SUMIF('NFI Tracking'!AQ$11:AQ$1048576,Table10[[#This Row],[Pcode]],'NFI Tracking'!AK$11:AK$1048576)</f>
        <v>0</v>
      </c>
      <c r="J99" s="277">
        <f ca="1">MAX(Table10[[#This Row],[HH]]*VLOOKUP("Winter Clothes Adult",NFI,6)-Table10[[#This Row],[Winter Clothes Adult ]],0)</f>
        <v>748</v>
      </c>
      <c r="K99" s="277">
        <f ca="1">MAX(Table10[[#This Row],[HH]]*VLOOKUP("Winter Clothes Children ",NFI,6)-Table10[[#This Row],[Winter Clothes Children ]],0)</f>
        <v>374</v>
      </c>
      <c r="L99" s="277">
        <f ca="1">MAX(Table10[[#This Row],[HH]]*VLOOKUP("Winter Items Other ",NFI,6)-Table10[[#This Row],[Winter Items Other ]],0)</f>
        <v>374</v>
      </c>
      <c r="M99" s="310" t="str">
        <f>IF(OR(Table10[[#This Row],[Winter Clothes Adult ]]&lt;&gt;0,Table10[[#This Row],[Winter Clothes Children ]]&lt;&gt;0,Table10[[#This Row],[Winter Items Other ]]&lt;&gt;0),"No","")</f>
        <v/>
      </c>
      <c r="N99" s="311">
        <f>COUNTIF(A:A,Table10[[#This Row],[Pcode]])-1</f>
        <v>0</v>
      </c>
    </row>
    <row r="100" spans="1:14" x14ac:dyDescent="0.25">
      <c r="A100" s="259" t="s">
        <v>941</v>
      </c>
      <c r="B100" s="18" t="str">
        <f ca="1">OFFSET(CampList[Priority],MATCH(Table10[[#This Row],[Pcode]],CampList[CP_Pcode],0)-1,0,1,1)</f>
        <v>P4</v>
      </c>
      <c r="C100" s="18" t="str">
        <f ca="1">OFFSET(CampList[Camp],MATCH(Table10[[#This Row],[Pcode]],CampList[CP_Pcode],0)-1,0,1,1)</f>
        <v>Maing Khaung Catholic Church</v>
      </c>
      <c r="D100" s="18" t="str">
        <f ca="1">OFFSET(CampList[Township],MATCH(Table10[[#This Row],[Pcode]],CampList[CP_Pcode],0)-1,0,1,1)</f>
        <v>Mansi</v>
      </c>
      <c r="E100" s="277">
        <f ca="1">OFFSET(CampList[HH],MATCH(Table10[[#This Row],[Pcode]],CampList[CP_Pcode],0)-1,0,1,1)</f>
        <v>140</v>
      </c>
      <c r="F100" s="277">
        <f ca="1">OFFSET(CampList[Total],MATCH(Table10[[#This Row],[Pcode]],CampList[CP_Pcode],0)-1,0,1,1)</f>
        <v>639</v>
      </c>
      <c r="G100" s="277">
        <f>SUMIF('NFI Tracking'!AQ$11:AQ$1048576,Table10[[#This Row],[Pcode]],'NFI Tracking'!AI$11:AI$1048576)</f>
        <v>0</v>
      </c>
      <c r="H100" s="277">
        <f>SUMIF('NFI Tracking'!AQ$11:AQ$1048576,Table10[[#This Row],[Pcode]],'NFI Tracking'!AJ$11:AJ$1048576)</f>
        <v>0</v>
      </c>
      <c r="I100" s="277">
        <f>SUMIF('NFI Tracking'!AQ$11:AQ$1048576,Table10[[#This Row],[Pcode]],'NFI Tracking'!AK$11:AK$1048576)</f>
        <v>0</v>
      </c>
      <c r="J100" s="277">
        <f ca="1">MAX(Table10[[#This Row],[HH]]*VLOOKUP("Winter Clothes Adult",NFI,6)-Table10[[#This Row],[Winter Clothes Adult ]],0)</f>
        <v>280</v>
      </c>
      <c r="K100" s="277">
        <f ca="1">MAX(Table10[[#This Row],[HH]]*VLOOKUP("Winter Clothes Children ",NFI,6)-Table10[[#This Row],[Winter Clothes Children ]],0)</f>
        <v>140</v>
      </c>
      <c r="L100" s="277">
        <f ca="1">MAX(Table10[[#This Row],[HH]]*VLOOKUP("Winter Items Other ",NFI,6)-Table10[[#This Row],[Winter Items Other ]],0)</f>
        <v>140</v>
      </c>
      <c r="M100" s="310" t="str">
        <f>IF(OR(Table10[[#This Row],[Winter Clothes Adult ]]&lt;&gt;0,Table10[[#This Row],[Winter Clothes Children ]]&lt;&gt;0,Table10[[#This Row],[Winter Items Other ]]&lt;&gt;0),"No","")</f>
        <v/>
      </c>
      <c r="N100" s="311">
        <f>COUNTIF(A:A,Table10[[#This Row],[Pcode]])-1</f>
        <v>0</v>
      </c>
    </row>
    <row r="101" spans="1:14" x14ac:dyDescent="0.25">
      <c r="A101" s="259" t="s">
        <v>258</v>
      </c>
      <c r="B101" s="18" t="str">
        <f ca="1">OFFSET(CampList[Priority],MATCH(Table10[[#This Row],[Pcode]],CampList[CP_Pcode],0)-1,0,1,1)</f>
        <v>P4</v>
      </c>
      <c r="C101" s="18" t="str">
        <f ca="1">OFFSET(CampList[Camp],MATCH(Table10[[#This Row],[Pcode]],CampList[CP_Pcode],0)-1,0,1,1)</f>
        <v>Maliyang Baptist Church</v>
      </c>
      <c r="D101" s="18" t="str">
        <f ca="1">OFFSET(CampList[Township],MATCH(Table10[[#This Row],[Pcode]],CampList[CP_Pcode],0)-1,0,1,1)</f>
        <v>Myitkyina</v>
      </c>
      <c r="E101" s="277">
        <f ca="1">OFFSET(CampList[HH],MATCH(Table10[[#This Row],[Pcode]],CampList[CP_Pcode],0)-1,0,1,1)</f>
        <v>60</v>
      </c>
      <c r="F101" s="277">
        <f ca="1">OFFSET(CampList[Total],MATCH(Table10[[#This Row],[Pcode]],CampList[CP_Pcode],0)-1,0,1,1)</f>
        <v>294</v>
      </c>
      <c r="G101" s="277">
        <f>SUMIF('NFI Tracking'!AQ$11:AQ$1048576,Table10[[#This Row],[Pcode]],'NFI Tracking'!AI$11:AI$1048576)</f>
        <v>0</v>
      </c>
      <c r="H101" s="277">
        <f>SUMIF('NFI Tracking'!AQ$11:AQ$1048576,Table10[[#This Row],[Pcode]],'NFI Tracking'!AJ$11:AJ$1048576)</f>
        <v>0</v>
      </c>
      <c r="I101" s="277">
        <f>SUMIF('NFI Tracking'!AQ$11:AQ$1048576,Table10[[#This Row],[Pcode]],'NFI Tracking'!AK$11:AK$1048576)</f>
        <v>0</v>
      </c>
      <c r="J101" s="277">
        <f ca="1">MAX(Table10[[#This Row],[HH]]*VLOOKUP("Winter Clothes Adult",NFI,6)-Table10[[#This Row],[Winter Clothes Adult ]],0)</f>
        <v>120</v>
      </c>
      <c r="K101" s="277">
        <f ca="1">MAX(Table10[[#This Row],[HH]]*VLOOKUP("Winter Clothes Children ",NFI,6)-Table10[[#This Row],[Winter Clothes Children ]],0)</f>
        <v>60</v>
      </c>
      <c r="L101" s="277">
        <f ca="1">MAX(Table10[[#This Row],[HH]]*VLOOKUP("Winter Items Other ",NFI,6)-Table10[[#This Row],[Winter Items Other ]],0)</f>
        <v>60</v>
      </c>
      <c r="M101" s="310" t="str">
        <f>IF(OR(Table10[[#This Row],[Winter Clothes Adult ]]&lt;&gt;0,Table10[[#This Row],[Winter Clothes Children ]]&lt;&gt;0,Table10[[#This Row],[Winter Items Other ]]&lt;&gt;0),"No","")</f>
        <v/>
      </c>
      <c r="N101" s="311">
        <f>COUNTIF(A:A,Table10[[#This Row],[Pcode]])-1</f>
        <v>0</v>
      </c>
    </row>
    <row r="102" spans="1:14" x14ac:dyDescent="0.25">
      <c r="A102" s="259" t="s">
        <v>201</v>
      </c>
      <c r="B102" s="18" t="str">
        <f ca="1">OFFSET(CampList[Priority],MATCH(Table10[[#This Row],[Pcode]],CampList[CP_Pcode],0)-1,0,1,1)</f>
        <v>P4</v>
      </c>
      <c r="C102" s="18" t="str">
        <f ca="1">OFFSET(CampList[Camp],MATCH(Table10[[#This Row],[Pcode]],CampList[CP_Pcode],0)-1,0,1,1)</f>
        <v>Man Bung Catholic compound</v>
      </c>
      <c r="D102" s="18" t="str">
        <f ca="1">OFFSET(CampList[Township],MATCH(Table10[[#This Row],[Pcode]],CampList[CP_Pcode],0)-1,0,1,1)</f>
        <v>Momauk</v>
      </c>
      <c r="E102" s="277">
        <f ca="1">OFFSET(CampList[HH],MATCH(Table10[[#This Row],[Pcode]],CampList[CP_Pcode],0)-1,0,1,1)</f>
        <v>263</v>
      </c>
      <c r="F102" s="277">
        <f ca="1">OFFSET(CampList[Total],MATCH(Table10[[#This Row],[Pcode]],CampList[CP_Pcode],0)-1,0,1,1)</f>
        <v>1169</v>
      </c>
      <c r="G102" s="277">
        <f>SUMIF('NFI Tracking'!AQ$11:AQ$1048576,Table10[[#This Row],[Pcode]],'NFI Tracking'!AI$11:AI$1048576)</f>
        <v>0</v>
      </c>
      <c r="H102" s="277">
        <f>SUMIF('NFI Tracking'!AQ$11:AQ$1048576,Table10[[#This Row],[Pcode]],'NFI Tracking'!AJ$11:AJ$1048576)</f>
        <v>0</v>
      </c>
      <c r="I102" s="277">
        <f>SUMIF('NFI Tracking'!AQ$11:AQ$1048576,Table10[[#This Row],[Pcode]],'NFI Tracking'!AK$11:AK$1048576)</f>
        <v>0</v>
      </c>
      <c r="J102" s="277">
        <f ca="1">MAX(Table10[[#This Row],[HH]]*VLOOKUP("Winter Clothes Adult",NFI,6)-Table10[[#This Row],[Winter Clothes Adult ]],0)</f>
        <v>526</v>
      </c>
      <c r="K102" s="277">
        <f ca="1">MAX(Table10[[#This Row],[HH]]*VLOOKUP("Winter Clothes Children ",NFI,6)-Table10[[#This Row],[Winter Clothes Children ]],0)</f>
        <v>263</v>
      </c>
      <c r="L102" s="277">
        <f ca="1">MAX(Table10[[#This Row],[HH]]*VLOOKUP("Winter Items Other ",NFI,6)-Table10[[#This Row],[Winter Items Other ]],0)</f>
        <v>263</v>
      </c>
      <c r="M102" s="310" t="str">
        <f>IF(OR(Table10[[#This Row],[Winter Clothes Adult ]]&lt;&gt;0,Table10[[#This Row],[Winter Clothes Children ]]&lt;&gt;0,Table10[[#This Row],[Winter Items Other ]]&lt;&gt;0),"No","")</f>
        <v/>
      </c>
      <c r="N102" s="311">
        <f>COUNTIF(A:A,Table10[[#This Row],[Pcode]])-1</f>
        <v>0</v>
      </c>
    </row>
    <row r="103" spans="1:14" x14ac:dyDescent="0.25">
      <c r="A103" s="259" t="s">
        <v>260</v>
      </c>
      <c r="B103" s="18" t="str">
        <f ca="1">OFFSET(CampList[Priority],MATCH(Table10[[#This Row],[Pcode]],CampList[CP_Pcode],0)-1,0,1,1)</f>
        <v>P4</v>
      </c>
      <c r="C103" s="18" t="str">
        <f ca="1">OFFSET(CampList[Camp],MATCH(Table10[[#This Row],[Pcode]],CampList[CP_Pcode],0)-1,0,1,1)</f>
        <v>Man Hkring Baptist Church</v>
      </c>
      <c r="D103" s="18" t="str">
        <f ca="1">OFFSET(CampList[Township],MATCH(Table10[[#This Row],[Pcode]],CampList[CP_Pcode],0)-1,0,1,1)</f>
        <v>Myitkyina</v>
      </c>
      <c r="E103" s="277">
        <f ca="1">OFFSET(CampList[HH],MATCH(Table10[[#This Row],[Pcode]],CampList[CP_Pcode],0)-1,0,1,1)</f>
        <v>92</v>
      </c>
      <c r="F103" s="277">
        <f ca="1">OFFSET(CampList[Total],MATCH(Table10[[#This Row],[Pcode]],CampList[CP_Pcode],0)-1,0,1,1)</f>
        <v>391</v>
      </c>
      <c r="G103" s="277">
        <f>SUMIF('NFI Tracking'!AQ$11:AQ$1048576,Table10[[#This Row],[Pcode]],'NFI Tracking'!AI$11:AI$1048576)</f>
        <v>0</v>
      </c>
      <c r="H103" s="277">
        <f>SUMIF('NFI Tracking'!AQ$11:AQ$1048576,Table10[[#This Row],[Pcode]],'NFI Tracking'!AJ$11:AJ$1048576)</f>
        <v>0</v>
      </c>
      <c r="I103" s="277">
        <f>SUMIF('NFI Tracking'!AQ$11:AQ$1048576,Table10[[#This Row],[Pcode]],'NFI Tracking'!AK$11:AK$1048576)</f>
        <v>0</v>
      </c>
      <c r="J103" s="277">
        <f ca="1">MAX(Table10[[#This Row],[HH]]*VLOOKUP("Winter Clothes Adult",NFI,6)-Table10[[#This Row],[Winter Clothes Adult ]],0)</f>
        <v>184</v>
      </c>
      <c r="K103" s="277">
        <f ca="1">MAX(Table10[[#This Row],[HH]]*VLOOKUP("Winter Clothes Children ",NFI,6)-Table10[[#This Row],[Winter Clothes Children ]],0)</f>
        <v>92</v>
      </c>
      <c r="L103" s="277">
        <f ca="1">MAX(Table10[[#This Row],[HH]]*VLOOKUP("Winter Items Other ",NFI,6)-Table10[[#This Row],[Winter Items Other ]],0)</f>
        <v>92</v>
      </c>
      <c r="M103" s="310" t="str">
        <f>IF(OR(Table10[[#This Row],[Winter Clothes Adult ]]&lt;&gt;0,Table10[[#This Row],[Winter Clothes Children ]]&lt;&gt;0,Table10[[#This Row],[Winter Items Other ]]&lt;&gt;0),"No","")</f>
        <v/>
      </c>
      <c r="N103" s="311">
        <f>COUNTIF(A:A,Table10[[#This Row],[Pcode]])-1</f>
        <v>0</v>
      </c>
    </row>
    <row r="104" spans="1:14" x14ac:dyDescent="0.25">
      <c r="A104" s="259" t="s">
        <v>203</v>
      </c>
      <c r="B104" s="18" t="str">
        <f ca="1">OFFSET(CampList[Priority],MATCH(Table10[[#This Row],[Pcode]],CampList[CP_Pcode],0)-1,0,1,1)</f>
        <v>P4</v>
      </c>
      <c r="C104" s="18" t="str">
        <f ca="1">OFFSET(CampList[Camp],MATCH(Table10[[#This Row],[Pcode]],CampList[CP_Pcode],0)-1,0,1,1)</f>
        <v xml:space="preserve">Man Nawng </v>
      </c>
      <c r="D104" s="18" t="str">
        <f ca="1">OFFSET(CampList[Township],MATCH(Table10[[#This Row],[Pcode]],CampList[CP_Pcode],0)-1,0,1,1)</f>
        <v>Momauk</v>
      </c>
      <c r="E104" s="277">
        <f ca="1">OFFSET(CampList[HH],MATCH(Table10[[#This Row],[Pcode]],CampList[CP_Pcode],0)-1,0,1,1)</f>
        <v>28</v>
      </c>
      <c r="F104" s="277">
        <f ca="1">OFFSET(CampList[Total],MATCH(Table10[[#This Row],[Pcode]],CampList[CP_Pcode],0)-1,0,1,1)</f>
        <v>136</v>
      </c>
      <c r="G104" s="277">
        <f>SUMIF('NFI Tracking'!AQ$11:AQ$1048576,Table10[[#This Row],[Pcode]],'NFI Tracking'!AI$11:AI$1048576)</f>
        <v>0</v>
      </c>
      <c r="H104" s="277">
        <f>SUMIF('NFI Tracking'!AQ$11:AQ$1048576,Table10[[#This Row],[Pcode]],'NFI Tracking'!AJ$11:AJ$1048576)</f>
        <v>0</v>
      </c>
      <c r="I104" s="277">
        <f>SUMIF('NFI Tracking'!AQ$11:AQ$1048576,Table10[[#This Row],[Pcode]],'NFI Tracking'!AK$11:AK$1048576)</f>
        <v>0</v>
      </c>
      <c r="J104" s="277">
        <f ca="1">MAX(Table10[[#This Row],[HH]]*VLOOKUP("Winter Clothes Adult",NFI,6)-Table10[[#This Row],[Winter Clothes Adult ]],0)</f>
        <v>56</v>
      </c>
      <c r="K104" s="277">
        <f ca="1">MAX(Table10[[#This Row],[HH]]*VLOOKUP("Winter Clothes Children ",NFI,6)-Table10[[#This Row],[Winter Clothes Children ]],0)</f>
        <v>28</v>
      </c>
      <c r="L104" s="277">
        <f ca="1">MAX(Table10[[#This Row],[HH]]*VLOOKUP("Winter Items Other ",NFI,6)-Table10[[#This Row],[Winter Items Other ]],0)</f>
        <v>28</v>
      </c>
      <c r="M104" s="310" t="str">
        <f>IF(OR(Table10[[#This Row],[Winter Clothes Adult ]]&lt;&gt;0,Table10[[#This Row],[Winter Clothes Children ]]&lt;&gt;0,Table10[[#This Row],[Winter Items Other ]]&lt;&gt;0),"No","")</f>
        <v/>
      </c>
      <c r="N104" s="311">
        <f>COUNTIF(A:A,Table10[[#This Row],[Pcode]])-1</f>
        <v>0</v>
      </c>
    </row>
    <row r="105" spans="1:14" x14ac:dyDescent="0.25">
      <c r="A105" s="259" t="s">
        <v>392</v>
      </c>
      <c r="B105" s="18" t="str">
        <f ca="1">OFFSET(CampList[Priority],MATCH(Table10[[#This Row],[Pcode]],CampList[CP_Pcode],0)-1,0,1,1)</f>
        <v>P4</v>
      </c>
      <c r="C105" s="18" t="str">
        <f ca="1">OFFSET(CampList[Camp],MATCH(Table10[[#This Row],[Pcode]],CampList[CP_Pcode],0)-1,0,1,1)</f>
        <v>Man Ting</v>
      </c>
      <c r="D105" s="18" t="str">
        <f ca="1">OFFSET(CampList[Township],MATCH(Table10[[#This Row],[Pcode]],CampList[CP_Pcode],0)-1,0,1,1)</f>
        <v>Momauk</v>
      </c>
      <c r="E105" s="277">
        <f ca="1">OFFSET(CampList[HH],MATCH(Table10[[#This Row],[Pcode]],CampList[CP_Pcode],0)-1,0,1,1)</f>
        <v>0</v>
      </c>
      <c r="F105" s="277">
        <f ca="1">OFFSET(CampList[Total],MATCH(Table10[[#This Row],[Pcode]],CampList[CP_Pcode],0)-1,0,1,1)</f>
        <v>0</v>
      </c>
      <c r="G105" s="277">
        <f>SUMIF('NFI Tracking'!AQ$11:AQ$1048576,Table10[[#This Row],[Pcode]],'NFI Tracking'!AI$11:AI$1048576)</f>
        <v>0</v>
      </c>
      <c r="H105" s="277">
        <f>SUMIF('NFI Tracking'!AQ$11:AQ$1048576,Table10[[#This Row],[Pcode]],'NFI Tracking'!AJ$11:AJ$1048576)</f>
        <v>0</v>
      </c>
      <c r="I105" s="277">
        <f>SUMIF('NFI Tracking'!AQ$11:AQ$1048576,Table10[[#This Row],[Pcode]],'NFI Tracking'!AK$11:AK$1048576)</f>
        <v>0</v>
      </c>
      <c r="J105" s="277">
        <f ca="1">MAX(Table10[[#This Row],[HH]]*VLOOKUP("Winter Clothes Adult",NFI,6)-Table10[[#This Row],[Winter Clothes Adult ]],0)</f>
        <v>0</v>
      </c>
      <c r="K105" s="277">
        <f ca="1">MAX(Table10[[#This Row],[HH]]*VLOOKUP("Winter Clothes Children ",NFI,6)-Table10[[#This Row],[Winter Clothes Children ]],0)</f>
        <v>0</v>
      </c>
      <c r="L105" s="277">
        <f ca="1">MAX(Table10[[#This Row],[HH]]*VLOOKUP("Winter Items Other ",NFI,6)-Table10[[#This Row],[Winter Items Other ]],0)</f>
        <v>0</v>
      </c>
      <c r="M105" s="310" t="str">
        <f>IF(OR(Table10[[#This Row],[Winter Clothes Adult ]]&lt;&gt;0,Table10[[#This Row],[Winter Clothes Children ]]&lt;&gt;0,Table10[[#This Row],[Winter Items Other ]]&lt;&gt;0),"No","")</f>
        <v/>
      </c>
      <c r="N105" s="311">
        <f>COUNTIF(A:A,Table10[[#This Row],[Pcode]])-1</f>
        <v>0</v>
      </c>
    </row>
    <row r="106" spans="1:14" x14ac:dyDescent="0.25">
      <c r="A106" s="259" t="s">
        <v>159</v>
      </c>
      <c r="B106" s="18" t="str">
        <f ca="1">OFFSET(CampList[Priority],MATCH(Table10[[#This Row],[Pcode]],CampList[CP_Pcode],0)-1,0,1,1)</f>
        <v>P4</v>
      </c>
      <c r="C106" s="18" t="str">
        <f ca="1">OFFSET(CampList[Camp],MATCH(Table10[[#This Row],[Pcode]],CampList[CP_Pcode],0)-1,0,1,1)</f>
        <v>Man Wing Baptist Church</v>
      </c>
      <c r="D106" s="18" t="str">
        <f ca="1">OFFSET(CampList[Township],MATCH(Table10[[#This Row],[Pcode]],CampList[CP_Pcode],0)-1,0,1,1)</f>
        <v>Mansi</v>
      </c>
      <c r="E106" s="277">
        <f ca="1">OFFSET(CampList[HH],MATCH(Table10[[#This Row],[Pcode]],CampList[CP_Pcode],0)-1,0,1,1)</f>
        <v>107</v>
      </c>
      <c r="F106" s="277">
        <f ca="1">OFFSET(CampList[Total],MATCH(Table10[[#This Row],[Pcode]],CampList[CP_Pcode],0)-1,0,1,1)</f>
        <v>528</v>
      </c>
      <c r="G106" s="277">
        <f>SUMIF('NFI Tracking'!AQ$11:AQ$1048576,Table10[[#This Row],[Pcode]],'NFI Tracking'!AI$11:AI$1048576)</f>
        <v>0</v>
      </c>
      <c r="H106" s="277">
        <f>SUMIF('NFI Tracking'!AQ$11:AQ$1048576,Table10[[#This Row],[Pcode]],'NFI Tracking'!AJ$11:AJ$1048576)</f>
        <v>0</v>
      </c>
      <c r="I106" s="277">
        <f>SUMIF('NFI Tracking'!AQ$11:AQ$1048576,Table10[[#This Row],[Pcode]],'NFI Tracking'!AK$11:AK$1048576)</f>
        <v>0</v>
      </c>
      <c r="J106" s="277">
        <f ca="1">MAX(Table10[[#This Row],[HH]]*VLOOKUP("Winter Clothes Adult",NFI,6)-Table10[[#This Row],[Winter Clothes Adult ]],0)</f>
        <v>214</v>
      </c>
      <c r="K106" s="277">
        <f ca="1">MAX(Table10[[#This Row],[HH]]*VLOOKUP("Winter Clothes Children ",NFI,6)-Table10[[#This Row],[Winter Clothes Children ]],0)</f>
        <v>107</v>
      </c>
      <c r="L106" s="277">
        <f ca="1">MAX(Table10[[#This Row],[HH]]*VLOOKUP("Winter Items Other ",NFI,6)-Table10[[#This Row],[Winter Items Other ]],0)</f>
        <v>107</v>
      </c>
      <c r="M106" s="310" t="str">
        <f>IF(OR(Table10[[#This Row],[Winter Clothes Adult ]]&lt;&gt;0,Table10[[#This Row],[Winter Clothes Children ]]&lt;&gt;0,Table10[[#This Row],[Winter Items Other ]]&lt;&gt;0),"No","")</f>
        <v/>
      </c>
      <c r="N106" s="311">
        <f>COUNTIF(A:A,Table10[[#This Row],[Pcode]])-1</f>
        <v>0</v>
      </c>
    </row>
    <row r="107" spans="1:14" x14ac:dyDescent="0.25">
      <c r="A107" s="259" t="s">
        <v>153</v>
      </c>
      <c r="B107" s="18" t="str">
        <f ca="1">OFFSET(CampList[Priority],MATCH(Table10[[#This Row],[Pcode]],CampList[CP_Pcode],0)-1,0,1,1)</f>
        <v>P4</v>
      </c>
      <c r="C107" s="18" t="str">
        <f ca="1">OFFSET(CampList[Camp],MATCH(Table10[[#This Row],[Pcode]],CampList[CP_Pcode],0)-1,0,1,1)</f>
        <v>Man Wing Catholic Church</v>
      </c>
      <c r="D107" s="18" t="str">
        <f ca="1">OFFSET(CampList[Township],MATCH(Table10[[#This Row],[Pcode]],CampList[CP_Pcode],0)-1,0,1,1)</f>
        <v>Mansi</v>
      </c>
      <c r="E107" s="277">
        <f ca="1">OFFSET(CampList[HH],MATCH(Table10[[#This Row],[Pcode]],CampList[CP_Pcode],0)-1,0,1,1)</f>
        <v>440</v>
      </c>
      <c r="F107" s="277">
        <f ca="1">OFFSET(CampList[Total],MATCH(Table10[[#This Row],[Pcode]],CampList[CP_Pcode],0)-1,0,1,1)</f>
        <v>2236</v>
      </c>
      <c r="G107" s="277">
        <f>SUMIF('NFI Tracking'!AQ$11:AQ$1048576,Table10[[#This Row],[Pcode]],'NFI Tracking'!AI$11:AI$1048576)</f>
        <v>0</v>
      </c>
      <c r="H107" s="277">
        <f>SUMIF('NFI Tracking'!AQ$11:AQ$1048576,Table10[[#This Row],[Pcode]],'NFI Tracking'!AJ$11:AJ$1048576)</f>
        <v>0</v>
      </c>
      <c r="I107" s="277">
        <f>SUMIF('NFI Tracking'!AQ$11:AQ$1048576,Table10[[#This Row],[Pcode]],'NFI Tracking'!AK$11:AK$1048576)</f>
        <v>0</v>
      </c>
      <c r="J107" s="277">
        <f ca="1">MAX(Table10[[#This Row],[HH]]*VLOOKUP("Winter Clothes Adult",NFI,6)-Table10[[#This Row],[Winter Clothes Adult ]],0)</f>
        <v>880</v>
      </c>
      <c r="K107" s="277">
        <f ca="1">MAX(Table10[[#This Row],[HH]]*VLOOKUP("Winter Clothes Children ",NFI,6)-Table10[[#This Row],[Winter Clothes Children ]],0)</f>
        <v>440</v>
      </c>
      <c r="L107" s="277">
        <f ca="1">MAX(Table10[[#This Row],[HH]]*VLOOKUP("Winter Items Other ",NFI,6)-Table10[[#This Row],[Winter Items Other ]],0)</f>
        <v>440</v>
      </c>
      <c r="M107" s="310" t="str">
        <f>IF(OR(Table10[[#This Row],[Winter Clothes Adult ]]&lt;&gt;0,Table10[[#This Row],[Winter Clothes Children ]]&lt;&gt;0,Table10[[#This Row],[Winter Items Other ]]&lt;&gt;0),"No","")</f>
        <v/>
      </c>
      <c r="N107" s="311">
        <f>COUNTIF(A:A,Table10[[#This Row],[Pcode]])-1</f>
        <v>0</v>
      </c>
    </row>
    <row r="108" spans="1:14" x14ac:dyDescent="0.25">
      <c r="A108" s="259" t="s">
        <v>1062</v>
      </c>
      <c r="B108" s="18" t="str">
        <f ca="1">OFFSET(CampList[Priority],MATCH(Table10[[#This Row],[Pcode]],CampList[CP_Pcode],0)-1,0,1,1)</f>
        <v>P4</v>
      </c>
      <c r="C108" s="18" t="str">
        <f ca="1">OFFSET(CampList[Camp],MATCH(Table10[[#This Row],[Pcode]],CampList[CP_Pcode],0)-1,0,1,1)</f>
        <v>Man Wing Catholic Church II</v>
      </c>
      <c r="D108" s="18" t="str">
        <f ca="1">OFFSET(CampList[Township],MATCH(Table10[[#This Row],[Pcode]],CampList[CP_Pcode],0)-1,0,1,1)</f>
        <v>Mansi</v>
      </c>
      <c r="E108" s="277">
        <f ca="1">OFFSET(CampList[HH],MATCH(Table10[[#This Row],[Pcode]],CampList[CP_Pcode],0)-1,0,1,1)</f>
        <v>112</v>
      </c>
      <c r="F108" s="277">
        <f ca="1">OFFSET(CampList[Total],MATCH(Table10[[#This Row],[Pcode]],CampList[CP_Pcode],0)-1,0,1,1)</f>
        <v>524</v>
      </c>
      <c r="G108" s="277">
        <f>SUMIF('NFI Tracking'!AQ$11:AQ$1048576,Table10[[#This Row],[Pcode]],'NFI Tracking'!AI$11:AI$1048576)</f>
        <v>0</v>
      </c>
      <c r="H108" s="277">
        <f>SUMIF('NFI Tracking'!AQ$11:AQ$1048576,Table10[[#This Row],[Pcode]],'NFI Tracking'!AJ$11:AJ$1048576)</f>
        <v>0</v>
      </c>
      <c r="I108" s="277">
        <f>SUMIF('NFI Tracking'!AQ$11:AQ$1048576,Table10[[#This Row],[Pcode]],'NFI Tracking'!AK$11:AK$1048576)</f>
        <v>0</v>
      </c>
      <c r="J108" s="277">
        <f ca="1">MAX(Table10[[#This Row],[HH]]*VLOOKUP("Winter Clothes Adult",NFI,6)-Table10[[#This Row],[Winter Clothes Adult ]],0)</f>
        <v>224</v>
      </c>
      <c r="K108" s="277">
        <f ca="1">MAX(Table10[[#This Row],[HH]]*VLOOKUP("Winter Clothes Children ",NFI,6)-Table10[[#This Row],[Winter Clothes Children ]],0)</f>
        <v>112</v>
      </c>
      <c r="L108" s="277">
        <f ca="1">MAX(Table10[[#This Row],[HH]]*VLOOKUP("Winter Items Other ",NFI,6)-Table10[[#This Row],[Winter Items Other ]],0)</f>
        <v>112</v>
      </c>
      <c r="M108" s="310" t="str">
        <f>IF(OR(Table10[[#This Row],[Winter Clothes Adult ]]&lt;&gt;0,Table10[[#This Row],[Winter Clothes Children ]]&lt;&gt;0,Table10[[#This Row],[Winter Items Other ]]&lt;&gt;0),"No","")</f>
        <v/>
      </c>
      <c r="N108" s="311">
        <f>COUNTIF(A:A,Table10[[#This Row],[Pcode]])-1</f>
        <v>0</v>
      </c>
    </row>
    <row r="109" spans="1:14" x14ac:dyDescent="0.25">
      <c r="A109" s="259" t="s">
        <v>155</v>
      </c>
      <c r="B109" s="18" t="str">
        <f ca="1">OFFSET(CampList[Priority],MATCH(Table10[[#This Row],[Pcode]],CampList[CP_Pcode],0)-1,0,1,1)</f>
        <v>P4</v>
      </c>
      <c r="C109" s="18" t="str">
        <f ca="1">OFFSET(CampList[Camp],MATCH(Table10[[#This Row],[Pcode]],CampList[CP_Pcode],0)-1,0,1,1)</f>
        <v>Man Wing Host Families</v>
      </c>
      <c r="D109" s="18" t="str">
        <f ca="1">OFFSET(CampList[Township],MATCH(Table10[[#This Row],[Pcode]],CampList[CP_Pcode],0)-1,0,1,1)</f>
        <v>Mansi</v>
      </c>
      <c r="E109" s="277">
        <f ca="1">OFFSET(CampList[HH],MATCH(Table10[[#This Row],[Pcode]],CampList[CP_Pcode],0)-1,0,1,1)</f>
        <v>175</v>
      </c>
      <c r="F109" s="277">
        <f ca="1">OFFSET(CampList[Total],MATCH(Table10[[#This Row],[Pcode]],CampList[CP_Pcode],0)-1,0,1,1)</f>
        <v>834</v>
      </c>
      <c r="G109" s="277">
        <f>SUMIF('NFI Tracking'!AQ$11:AQ$1048576,Table10[[#This Row],[Pcode]],'NFI Tracking'!AI$11:AI$1048576)</f>
        <v>0</v>
      </c>
      <c r="H109" s="277">
        <f>SUMIF('NFI Tracking'!AQ$11:AQ$1048576,Table10[[#This Row],[Pcode]],'NFI Tracking'!AJ$11:AJ$1048576)</f>
        <v>0</v>
      </c>
      <c r="I109" s="277">
        <f>SUMIF('NFI Tracking'!AQ$11:AQ$1048576,Table10[[#This Row],[Pcode]],'NFI Tracking'!AK$11:AK$1048576)</f>
        <v>0</v>
      </c>
      <c r="J109" s="277">
        <f ca="1">MAX(Table10[[#This Row],[HH]]*VLOOKUP("Winter Clothes Adult",NFI,6)-Table10[[#This Row],[Winter Clothes Adult ]],0)</f>
        <v>350</v>
      </c>
      <c r="K109" s="277">
        <f ca="1">MAX(Table10[[#This Row],[HH]]*VLOOKUP("Winter Clothes Children ",NFI,6)-Table10[[#This Row],[Winter Clothes Children ]],0)</f>
        <v>175</v>
      </c>
      <c r="L109" s="277">
        <f ca="1">MAX(Table10[[#This Row],[HH]]*VLOOKUP("Winter Items Other ",NFI,6)-Table10[[#This Row],[Winter Items Other ]],0)</f>
        <v>175</v>
      </c>
      <c r="M109" s="310" t="str">
        <f>IF(OR(Table10[[#This Row],[Winter Clothes Adult ]]&lt;&gt;0,Table10[[#This Row],[Winter Clothes Children ]]&lt;&gt;0,Table10[[#This Row],[Winter Items Other ]]&lt;&gt;0),"No","")</f>
        <v/>
      </c>
      <c r="N109" s="311">
        <f>COUNTIF(A:A,Table10[[#This Row],[Pcode]])-1</f>
        <v>0</v>
      </c>
    </row>
    <row r="110" spans="1:14" x14ac:dyDescent="0.25">
      <c r="A110" s="259" t="s">
        <v>206</v>
      </c>
      <c r="B110" s="18" t="str">
        <f ca="1">OFFSET(CampList[Priority],MATCH(Table10[[#This Row],[Pcode]],CampList[CP_Pcode],0)-1,0,1,1)</f>
        <v>P4</v>
      </c>
      <c r="C110" s="18" t="str">
        <f ca="1">OFFSET(CampList[Camp],MATCH(Table10[[#This Row],[Pcode]],CampList[CP_Pcode],0)-1,0,1,1)</f>
        <v>Mandalay Monestry</v>
      </c>
      <c r="D110" s="18" t="str">
        <f ca="1">OFFSET(CampList[Township],MATCH(Table10[[#This Row],[Pcode]],CampList[CP_Pcode],0)-1,0,1,1)</f>
        <v>Momauk</v>
      </c>
      <c r="E110" s="277">
        <f ca="1">OFFSET(CampList[HH],MATCH(Table10[[#This Row],[Pcode]],CampList[CP_Pcode],0)-1,0,1,1)</f>
        <v>0</v>
      </c>
      <c r="F110" s="277">
        <f ca="1">OFFSET(CampList[Total],MATCH(Table10[[#This Row],[Pcode]],CampList[CP_Pcode],0)-1,0,1,1)</f>
        <v>0</v>
      </c>
      <c r="G110" s="277">
        <f>SUMIF('NFI Tracking'!AQ$11:AQ$1048576,Table10[[#This Row],[Pcode]],'NFI Tracking'!AI$11:AI$1048576)</f>
        <v>0</v>
      </c>
      <c r="H110" s="277">
        <f>SUMIF('NFI Tracking'!AQ$11:AQ$1048576,Table10[[#This Row],[Pcode]],'NFI Tracking'!AJ$11:AJ$1048576)</f>
        <v>0</v>
      </c>
      <c r="I110" s="277">
        <f>SUMIF('NFI Tracking'!AQ$11:AQ$1048576,Table10[[#This Row],[Pcode]],'NFI Tracking'!AK$11:AK$1048576)</f>
        <v>0</v>
      </c>
      <c r="J110" s="277">
        <f ca="1">MAX(Table10[[#This Row],[HH]]*VLOOKUP("Winter Clothes Adult",NFI,6)-Table10[[#This Row],[Winter Clothes Adult ]],0)</f>
        <v>0</v>
      </c>
      <c r="K110" s="277">
        <f ca="1">MAX(Table10[[#This Row],[HH]]*VLOOKUP("Winter Clothes Children ",NFI,6)-Table10[[#This Row],[Winter Clothes Children ]],0)</f>
        <v>0</v>
      </c>
      <c r="L110" s="277">
        <f ca="1">MAX(Table10[[#This Row],[HH]]*VLOOKUP("Winter Items Other ",NFI,6)-Table10[[#This Row],[Winter Items Other ]],0)</f>
        <v>0</v>
      </c>
      <c r="M110" s="310" t="str">
        <f>IF(OR(Table10[[#This Row],[Winter Clothes Adult ]]&lt;&gt;0,Table10[[#This Row],[Winter Clothes Children ]]&lt;&gt;0,Table10[[#This Row],[Winter Items Other ]]&lt;&gt;0),"No","")</f>
        <v/>
      </c>
      <c r="N110" s="311">
        <f>COUNTIF(A:A,Table10[[#This Row],[Pcode]])-1</f>
        <v>0</v>
      </c>
    </row>
    <row r="111" spans="1:14" x14ac:dyDescent="0.25">
      <c r="A111" s="259" t="s">
        <v>175</v>
      </c>
      <c r="B111" s="18" t="str">
        <f ca="1">OFFSET(CampList[Priority],MATCH(Table10[[#This Row],[Pcode]],CampList[CP_Pcode],0)-1,0,1,1)</f>
        <v>P4</v>
      </c>
      <c r="C111" s="18" t="str">
        <f ca="1">OFFSET(CampList[Camp],MATCH(Table10[[#This Row],[Pcode]],CampList[CP_Pcode],0)-1,0,1,1)</f>
        <v>Mang Hawng Baptist Church</v>
      </c>
      <c r="D111" s="18" t="str">
        <f ca="1">OFFSET(CampList[Township],MATCH(Table10[[#This Row],[Pcode]],CampList[CP_Pcode],0)-1,0,1,1)</f>
        <v>Mogaung</v>
      </c>
      <c r="E111" s="277">
        <f ca="1">OFFSET(CampList[HH],MATCH(Table10[[#This Row],[Pcode]],CampList[CP_Pcode],0)-1,0,1,1)</f>
        <v>15</v>
      </c>
      <c r="F111" s="277">
        <f ca="1">OFFSET(CampList[Total],MATCH(Table10[[#This Row],[Pcode]],CampList[CP_Pcode],0)-1,0,1,1)</f>
        <v>70</v>
      </c>
      <c r="G111" s="277">
        <f>SUMIF('NFI Tracking'!AQ$11:AQ$1048576,Table10[[#This Row],[Pcode]],'NFI Tracking'!AI$11:AI$1048576)</f>
        <v>0</v>
      </c>
      <c r="H111" s="277">
        <f>SUMIF('NFI Tracking'!AQ$11:AQ$1048576,Table10[[#This Row],[Pcode]],'NFI Tracking'!AJ$11:AJ$1048576)</f>
        <v>0</v>
      </c>
      <c r="I111" s="277">
        <f>SUMIF('NFI Tracking'!AQ$11:AQ$1048576,Table10[[#This Row],[Pcode]],'NFI Tracking'!AK$11:AK$1048576)</f>
        <v>0</v>
      </c>
      <c r="J111" s="277">
        <f ca="1">MAX(Table10[[#This Row],[HH]]*VLOOKUP("Winter Clothes Adult",NFI,6)-Table10[[#This Row],[Winter Clothes Adult ]],0)</f>
        <v>30</v>
      </c>
      <c r="K111" s="277">
        <f ca="1">MAX(Table10[[#This Row],[HH]]*VLOOKUP("Winter Clothes Children ",NFI,6)-Table10[[#This Row],[Winter Clothes Children ]],0)</f>
        <v>15</v>
      </c>
      <c r="L111" s="277">
        <f ca="1">MAX(Table10[[#This Row],[HH]]*VLOOKUP("Winter Items Other ",NFI,6)-Table10[[#This Row],[Winter Items Other ]],0)</f>
        <v>15</v>
      </c>
      <c r="M111" s="310" t="str">
        <f>IF(OR(Table10[[#This Row],[Winter Clothes Adult ]]&lt;&gt;0,Table10[[#This Row],[Winter Clothes Children ]]&lt;&gt;0,Table10[[#This Row],[Winter Items Other ]]&lt;&gt;0),"No","")</f>
        <v/>
      </c>
      <c r="N111" s="311">
        <f>COUNTIF(A:A,Table10[[#This Row],[Pcode]])-1</f>
        <v>0</v>
      </c>
    </row>
    <row r="112" spans="1:14" x14ac:dyDescent="0.25">
      <c r="A112" s="259" t="s">
        <v>150</v>
      </c>
      <c r="B112" s="18" t="str">
        <f ca="1">OFFSET(CampList[Priority],MATCH(Table10[[#This Row],[Pcode]],CampList[CP_Pcode],0)-1,0,1,1)</f>
        <v>P4</v>
      </c>
      <c r="C112" s="18" t="str">
        <f ca="1">OFFSET(CampList[Camp],MATCH(Table10[[#This Row],[Pcode]],CampList[CP_Pcode],0)-1,0,1,1)</f>
        <v>Mansi Baptist Church</v>
      </c>
      <c r="D112" s="18" t="str">
        <f ca="1">OFFSET(CampList[Township],MATCH(Table10[[#This Row],[Pcode]],CampList[CP_Pcode],0)-1,0,1,1)</f>
        <v>Mansi</v>
      </c>
      <c r="E112" s="277">
        <f ca="1">OFFSET(CampList[HH],MATCH(Table10[[#This Row],[Pcode]],CampList[CP_Pcode],0)-1,0,1,1)</f>
        <v>197</v>
      </c>
      <c r="F112" s="277">
        <f ca="1">OFFSET(CampList[Total],MATCH(Table10[[#This Row],[Pcode]],CampList[CP_Pcode],0)-1,0,1,1)</f>
        <v>878</v>
      </c>
      <c r="G112" s="277">
        <f>SUMIF('NFI Tracking'!AQ$11:AQ$1048576,Table10[[#This Row],[Pcode]],'NFI Tracking'!AI$11:AI$1048576)</f>
        <v>0</v>
      </c>
      <c r="H112" s="277">
        <f>SUMIF('NFI Tracking'!AQ$11:AQ$1048576,Table10[[#This Row],[Pcode]],'NFI Tracking'!AJ$11:AJ$1048576)</f>
        <v>0</v>
      </c>
      <c r="I112" s="277">
        <f>SUMIF('NFI Tracking'!AQ$11:AQ$1048576,Table10[[#This Row],[Pcode]],'NFI Tracking'!AK$11:AK$1048576)</f>
        <v>0</v>
      </c>
      <c r="J112" s="277">
        <f ca="1">MAX(Table10[[#This Row],[HH]]*VLOOKUP("Winter Clothes Adult",NFI,6)-Table10[[#This Row],[Winter Clothes Adult ]],0)</f>
        <v>394</v>
      </c>
      <c r="K112" s="277">
        <f ca="1">MAX(Table10[[#This Row],[HH]]*VLOOKUP("Winter Clothes Children ",NFI,6)-Table10[[#This Row],[Winter Clothes Children ]],0)</f>
        <v>197</v>
      </c>
      <c r="L112" s="277">
        <f ca="1">MAX(Table10[[#This Row],[HH]]*VLOOKUP("Winter Items Other ",NFI,6)-Table10[[#This Row],[Winter Items Other ]],0)</f>
        <v>197</v>
      </c>
      <c r="M112" s="310" t="str">
        <f>IF(OR(Table10[[#This Row],[Winter Clothes Adult ]]&lt;&gt;0,Table10[[#This Row],[Winter Clothes Children ]]&lt;&gt;0,Table10[[#This Row],[Winter Items Other ]]&lt;&gt;0),"No","")</f>
        <v/>
      </c>
      <c r="N112" s="311">
        <f>COUNTIF(A:A,Table10[[#This Row],[Pcode]])-1</f>
        <v>0</v>
      </c>
    </row>
    <row r="113" spans="1:14" x14ac:dyDescent="0.25">
      <c r="A113" s="259" t="s">
        <v>262</v>
      </c>
      <c r="B113" s="18" t="str">
        <f ca="1">OFFSET(CampList[Priority],MATCH(Table10[[#This Row],[Pcode]],CampList[CP_Pcode],0)-1,0,1,1)</f>
        <v>P4</v>
      </c>
      <c r="C113" s="18" t="str">
        <f ca="1">OFFSET(CampList[Camp],MATCH(Table10[[#This Row],[Pcode]],CampList[CP_Pcode],0)-1,0,1,1)</f>
        <v>Maw Hpawng Hka Nan Baptist Church</v>
      </c>
      <c r="D113" s="18" t="str">
        <f ca="1">OFFSET(CampList[Township],MATCH(Table10[[#This Row],[Pcode]],CampList[CP_Pcode],0)-1,0,1,1)</f>
        <v>Myitkyina</v>
      </c>
      <c r="E113" s="277">
        <f ca="1">OFFSET(CampList[HH],MATCH(Table10[[#This Row],[Pcode]],CampList[CP_Pcode],0)-1,0,1,1)</f>
        <v>21</v>
      </c>
      <c r="F113" s="277">
        <f ca="1">OFFSET(CampList[Total],MATCH(Table10[[#This Row],[Pcode]],CampList[CP_Pcode],0)-1,0,1,1)</f>
        <v>98</v>
      </c>
      <c r="G113" s="277">
        <f>SUMIF('NFI Tracking'!AQ$11:AQ$1048576,Table10[[#This Row],[Pcode]],'NFI Tracking'!AI$11:AI$1048576)</f>
        <v>0</v>
      </c>
      <c r="H113" s="277">
        <f>SUMIF('NFI Tracking'!AQ$11:AQ$1048576,Table10[[#This Row],[Pcode]],'NFI Tracking'!AJ$11:AJ$1048576)</f>
        <v>0</v>
      </c>
      <c r="I113" s="277">
        <f>SUMIF('NFI Tracking'!AQ$11:AQ$1048576,Table10[[#This Row],[Pcode]],'NFI Tracking'!AK$11:AK$1048576)</f>
        <v>0</v>
      </c>
      <c r="J113" s="277">
        <f ca="1">MAX(Table10[[#This Row],[HH]]*VLOOKUP("Winter Clothes Adult",NFI,6)-Table10[[#This Row],[Winter Clothes Adult ]],0)</f>
        <v>42</v>
      </c>
      <c r="K113" s="277">
        <f ca="1">MAX(Table10[[#This Row],[HH]]*VLOOKUP("Winter Clothes Children ",NFI,6)-Table10[[#This Row],[Winter Clothes Children ]],0)</f>
        <v>21</v>
      </c>
      <c r="L113" s="277">
        <f ca="1">MAX(Table10[[#This Row],[HH]]*VLOOKUP("Winter Items Other ",NFI,6)-Table10[[#This Row],[Winter Items Other ]],0)</f>
        <v>21</v>
      </c>
      <c r="M113" s="310" t="str">
        <f>IF(OR(Table10[[#This Row],[Winter Clothes Adult ]]&lt;&gt;0,Table10[[#This Row],[Winter Clothes Children ]]&lt;&gt;0,Table10[[#This Row],[Winter Items Other ]]&lt;&gt;0),"No","")</f>
        <v/>
      </c>
      <c r="N113" s="311">
        <f>COUNTIF(A:A,Table10[[#This Row],[Pcode]])-1</f>
        <v>0</v>
      </c>
    </row>
    <row r="114" spans="1:14" x14ac:dyDescent="0.25">
      <c r="A114" s="259" t="s">
        <v>264</v>
      </c>
      <c r="B114" s="18" t="str">
        <f ca="1">OFFSET(CampList[Priority],MATCH(Table10[[#This Row],[Pcode]],CampList[CP_Pcode],0)-1,0,1,1)</f>
        <v>P4</v>
      </c>
      <c r="C114" s="18" t="str">
        <f ca="1">OFFSET(CampList[Camp],MATCH(Table10[[#This Row],[Pcode]],CampList[CP_Pcode],0)-1,0,1,1)</f>
        <v>Maw Hpawng Lhaovo Baptist Church</v>
      </c>
      <c r="D114" s="18" t="str">
        <f ca="1">OFFSET(CampList[Township],MATCH(Table10[[#This Row],[Pcode]],CampList[CP_Pcode],0)-1,0,1,1)</f>
        <v>Myitkyina</v>
      </c>
      <c r="E114" s="277">
        <f ca="1">OFFSET(CampList[HH],MATCH(Table10[[#This Row],[Pcode]],CampList[CP_Pcode],0)-1,0,1,1)</f>
        <v>14</v>
      </c>
      <c r="F114" s="277">
        <f ca="1">OFFSET(CampList[Total],MATCH(Table10[[#This Row],[Pcode]],CampList[CP_Pcode],0)-1,0,1,1)</f>
        <v>71</v>
      </c>
      <c r="G114" s="277">
        <f>SUMIF('NFI Tracking'!AQ$11:AQ$1048576,Table10[[#This Row],[Pcode]],'NFI Tracking'!AI$11:AI$1048576)</f>
        <v>0</v>
      </c>
      <c r="H114" s="277">
        <f>SUMIF('NFI Tracking'!AQ$11:AQ$1048576,Table10[[#This Row],[Pcode]],'NFI Tracking'!AJ$11:AJ$1048576)</f>
        <v>0</v>
      </c>
      <c r="I114" s="277">
        <f>SUMIF('NFI Tracking'!AQ$11:AQ$1048576,Table10[[#This Row],[Pcode]],'NFI Tracking'!AK$11:AK$1048576)</f>
        <v>0</v>
      </c>
      <c r="J114" s="277">
        <f ca="1">MAX(Table10[[#This Row],[HH]]*VLOOKUP("Winter Clothes Adult",NFI,6)-Table10[[#This Row],[Winter Clothes Adult ]],0)</f>
        <v>28</v>
      </c>
      <c r="K114" s="277">
        <f ca="1">MAX(Table10[[#This Row],[HH]]*VLOOKUP("Winter Clothes Children ",NFI,6)-Table10[[#This Row],[Winter Clothes Children ]],0)</f>
        <v>14</v>
      </c>
      <c r="L114" s="277">
        <f ca="1">MAX(Table10[[#This Row],[HH]]*VLOOKUP("Winter Items Other ",NFI,6)-Table10[[#This Row],[Winter Items Other ]],0)</f>
        <v>14</v>
      </c>
      <c r="M114" s="310" t="str">
        <f>IF(OR(Table10[[#This Row],[Winter Clothes Adult ]]&lt;&gt;0,Table10[[#This Row],[Winter Clothes Children ]]&lt;&gt;0,Table10[[#This Row],[Winter Items Other ]]&lt;&gt;0),"No","")</f>
        <v/>
      </c>
      <c r="N114" s="311">
        <f>COUNTIF(A:A,Table10[[#This Row],[Pcode]])-1</f>
        <v>0</v>
      </c>
    </row>
    <row r="115" spans="1:14" x14ac:dyDescent="0.25">
      <c r="A115" s="259" t="s">
        <v>99</v>
      </c>
      <c r="B115" s="18" t="str">
        <f ca="1">OFFSET(CampList[Priority],MATCH(Table10[[#This Row],[Pcode]],CampList[CP_Pcode],0)-1,0,1,1)</f>
        <v>P4</v>
      </c>
      <c r="C115" s="18" t="str">
        <f ca="1">OFFSET(CampList[Camp],MATCH(Table10[[#This Row],[Pcode]],CampList[CP_Pcode],0)-1,0,1,1)</f>
        <v>Maw Wan, Mu-yin Baptist Church</v>
      </c>
      <c r="D115" s="18" t="str">
        <f ca="1">OFFSET(CampList[Township],MATCH(Table10[[#This Row],[Pcode]],CampList[CP_Pcode],0)-1,0,1,1)</f>
        <v>Hpakant</v>
      </c>
      <c r="E115" s="277">
        <f ca="1">OFFSET(CampList[HH],MATCH(Table10[[#This Row],[Pcode]],CampList[CP_Pcode],0)-1,0,1,1)</f>
        <v>4</v>
      </c>
      <c r="F115" s="277">
        <f ca="1">OFFSET(CampList[Total],MATCH(Table10[[#This Row],[Pcode]],CampList[CP_Pcode],0)-1,0,1,1)</f>
        <v>22</v>
      </c>
      <c r="G115" s="277">
        <f>SUMIF('NFI Tracking'!AQ$11:AQ$1048576,Table10[[#This Row],[Pcode]],'NFI Tracking'!AI$11:AI$1048576)</f>
        <v>0</v>
      </c>
      <c r="H115" s="277">
        <f>SUMIF('NFI Tracking'!AQ$11:AQ$1048576,Table10[[#This Row],[Pcode]],'NFI Tracking'!AJ$11:AJ$1048576)</f>
        <v>0</v>
      </c>
      <c r="I115" s="277">
        <f>SUMIF('NFI Tracking'!AQ$11:AQ$1048576,Table10[[#This Row],[Pcode]],'NFI Tracking'!AK$11:AK$1048576)</f>
        <v>0</v>
      </c>
      <c r="J115" s="277">
        <f ca="1">MAX(Table10[[#This Row],[HH]]*VLOOKUP("Winter Clothes Adult",NFI,6)-Table10[[#This Row],[Winter Clothes Adult ]],0)</f>
        <v>8</v>
      </c>
      <c r="K115" s="277">
        <f ca="1">MAX(Table10[[#This Row],[HH]]*VLOOKUP("Winter Clothes Children ",NFI,6)-Table10[[#This Row],[Winter Clothes Children ]],0)</f>
        <v>4</v>
      </c>
      <c r="L115" s="277">
        <f ca="1">MAX(Table10[[#This Row],[HH]]*VLOOKUP("Winter Items Other ",NFI,6)-Table10[[#This Row],[Winter Items Other ]],0)</f>
        <v>4</v>
      </c>
      <c r="M115" s="310" t="str">
        <f>IF(OR(Table10[[#This Row],[Winter Clothes Adult ]]&lt;&gt;0,Table10[[#This Row],[Winter Clothes Children ]]&lt;&gt;0,Table10[[#This Row],[Winter Items Other ]]&lt;&gt;0),"No","")</f>
        <v/>
      </c>
      <c r="N115" s="311">
        <f>COUNTIF(A:A,Table10[[#This Row],[Pcode]])-1</f>
        <v>0</v>
      </c>
    </row>
    <row r="116" spans="1:14" x14ac:dyDescent="0.25">
      <c r="A116" s="259" t="s">
        <v>208</v>
      </c>
      <c r="B116" s="18" t="str">
        <f ca="1">OFFSET(CampList[Priority],MATCH(Table10[[#This Row],[Pcode]],CampList[CP_Pcode],0)-1,0,1,1)</f>
        <v>P4</v>
      </c>
      <c r="C116" s="18" t="str">
        <f ca="1">OFFSET(CampList[Camp],MATCH(Table10[[#This Row],[Pcode]],CampList[CP_Pcode],0)-1,0,1,1)</f>
        <v>Momauk Baptist Church</v>
      </c>
      <c r="D116" s="18" t="str">
        <f ca="1">OFFSET(CampList[Township],MATCH(Table10[[#This Row],[Pcode]],CampList[CP_Pcode],0)-1,0,1,1)</f>
        <v>Momauk</v>
      </c>
      <c r="E116" s="277">
        <f ca="1">OFFSET(CampList[HH],MATCH(Table10[[#This Row],[Pcode]],CampList[CP_Pcode],0)-1,0,1,1)</f>
        <v>226</v>
      </c>
      <c r="F116" s="277">
        <f ca="1">OFFSET(CampList[Total],MATCH(Table10[[#This Row],[Pcode]],CampList[CP_Pcode],0)-1,0,1,1)</f>
        <v>1830</v>
      </c>
      <c r="G116" s="277">
        <f>SUMIF('NFI Tracking'!AQ$11:AQ$1048576,Table10[[#This Row],[Pcode]],'NFI Tracking'!AI$11:AI$1048576)</f>
        <v>0</v>
      </c>
      <c r="H116" s="277">
        <f>SUMIF('NFI Tracking'!AQ$11:AQ$1048576,Table10[[#This Row],[Pcode]],'NFI Tracking'!AJ$11:AJ$1048576)</f>
        <v>0</v>
      </c>
      <c r="I116" s="277">
        <f>SUMIF('NFI Tracking'!AQ$11:AQ$1048576,Table10[[#This Row],[Pcode]],'NFI Tracking'!AK$11:AK$1048576)</f>
        <v>0</v>
      </c>
      <c r="J116" s="277">
        <f ca="1">MAX(Table10[[#This Row],[HH]]*VLOOKUP("Winter Clothes Adult",NFI,6)-Table10[[#This Row],[Winter Clothes Adult ]],0)</f>
        <v>452</v>
      </c>
      <c r="K116" s="277">
        <f ca="1">MAX(Table10[[#This Row],[HH]]*VLOOKUP("Winter Clothes Children ",NFI,6)-Table10[[#This Row],[Winter Clothes Children ]],0)</f>
        <v>226</v>
      </c>
      <c r="L116" s="277">
        <f ca="1">MAX(Table10[[#This Row],[HH]]*VLOOKUP("Winter Items Other ",NFI,6)-Table10[[#This Row],[Winter Items Other ]],0)</f>
        <v>226</v>
      </c>
      <c r="M116" s="310" t="str">
        <f>IF(OR(Table10[[#This Row],[Winter Clothes Adult ]]&lt;&gt;0,Table10[[#This Row],[Winter Clothes Children ]]&lt;&gt;0,Table10[[#This Row],[Winter Items Other ]]&lt;&gt;0),"No","")</f>
        <v/>
      </c>
      <c r="N116" s="311">
        <f>COUNTIF(A:A,Table10[[#This Row],[Pcode]])-1</f>
        <v>0</v>
      </c>
    </row>
    <row r="117" spans="1:14" x14ac:dyDescent="0.25">
      <c r="A117" s="259" t="s">
        <v>210</v>
      </c>
      <c r="B117" s="18" t="str">
        <f ca="1">OFFSET(CampList[Priority],MATCH(Table10[[#This Row],[Pcode]],CampList[CP_Pcode],0)-1,0,1,1)</f>
        <v>P4</v>
      </c>
      <c r="C117" s="18" t="str">
        <f ca="1">OFFSET(CampList[Camp],MATCH(Table10[[#This Row],[Pcode]],CampList[CP_Pcode],0)-1,0,1,1)</f>
        <v>Momauk Catholic Church (St. Patrick)</v>
      </c>
      <c r="D117" s="18" t="str">
        <f ca="1">OFFSET(CampList[Township],MATCH(Table10[[#This Row],[Pcode]],CampList[CP_Pcode],0)-1,0,1,1)</f>
        <v>Momauk</v>
      </c>
      <c r="E117" s="277">
        <f ca="1">OFFSET(CampList[HH],MATCH(Table10[[#This Row],[Pcode]],CampList[CP_Pcode],0)-1,0,1,1)</f>
        <v>0</v>
      </c>
      <c r="F117" s="277">
        <f ca="1">OFFSET(CampList[Total],MATCH(Table10[[#This Row],[Pcode]],CampList[CP_Pcode],0)-1,0,1,1)</f>
        <v>0</v>
      </c>
      <c r="G117" s="277">
        <f>SUMIF('NFI Tracking'!AQ$11:AQ$1048576,Table10[[#This Row],[Pcode]],'NFI Tracking'!AI$11:AI$1048576)</f>
        <v>0</v>
      </c>
      <c r="H117" s="277">
        <f>SUMIF('NFI Tracking'!AQ$11:AQ$1048576,Table10[[#This Row],[Pcode]],'NFI Tracking'!AJ$11:AJ$1048576)</f>
        <v>0</v>
      </c>
      <c r="I117" s="277">
        <f>SUMIF('NFI Tracking'!AQ$11:AQ$1048576,Table10[[#This Row],[Pcode]],'NFI Tracking'!AK$11:AK$1048576)</f>
        <v>0</v>
      </c>
      <c r="J117" s="277">
        <f ca="1">MAX(Table10[[#This Row],[HH]]*VLOOKUP("Winter Clothes Adult",NFI,6)-Table10[[#This Row],[Winter Clothes Adult ]],0)</f>
        <v>0</v>
      </c>
      <c r="K117" s="277">
        <f ca="1">MAX(Table10[[#This Row],[HH]]*VLOOKUP("Winter Clothes Children ",NFI,6)-Table10[[#This Row],[Winter Clothes Children ]],0)</f>
        <v>0</v>
      </c>
      <c r="L117" s="277">
        <f ca="1">MAX(Table10[[#This Row],[HH]]*VLOOKUP("Winter Items Other ",NFI,6)-Table10[[#This Row],[Winter Items Other ]],0)</f>
        <v>0</v>
      </c>
      <c r="M117" s="310" t="str">
        <f>IF(OR(Table10[[#This Row],[Winter Clothes Adult ]]&lt;&gt;0,Table10[[#This Row],[Winter Clothes Children ]]&lt;&gt;0,Table10[[#This Row],[Winter Items Other ]]&lt;&gt;0),"No","")</f>
        <v/>
      </c>
      <c r="N117" s="311">
        <f>COUNTIF(A:A,Table10[[#This Row],[Pcode]])-1</f>
        <v>0</v>
      </c>
    </row>
    <row r="118" spans="1:14" x14ac:dyDescent="0.25">
      <c r="A118" s="259" t="s">
        <v>1054</v>
      </c>
      <c r="B118" s="18" t="str">
        <f ca="1">OFFSET(CampList[Priority],MATCH(Table10[[#This Row],[Pcode]],CampList[CP_Pcode],0)-1,0,1,1)</f>
        <v>P4</v>
      </c>
      <c r="C118" s="18" t="str">
        <f ca="1">OFFSET(CampList[Camp],MATCH(Table10[[#This Row],[Pcode]],CampList[CP_Pcode],0)-1,0,1,1)</f>
        <v>Muse Baptist Church</v>
      </c>
      <c r="D118" s="18" t="str">
        <f ca="1">OFFSET(CampList[Township],MATCH(Table10[[#This Row],[Pcode]],CampList[CP_Pcode],0)-1,0,1,1)</f>
        <v>Muse</v>
      </c>
      <c r="E118" s="277">
        <f ca="1">OFFSET(CampList[HH],MATCH(Table10[[#This Row],[Pcode]],CampList[CP_Pcode],0)-1,0,1,1)</f>
        <v>51</v>
      </c>
      <c r="F118" s="277">
        <f ca="1">OFFSET(CampList[Total],MATCH(Table10[[#This Row],[Pcode]],CampList[CP_Pcode],0)-1,0,1,1)</f>
        <v>209</v>
      </c>
      <c r="G118" s="277">
        <f>SUMIF('NFI Tracking'!AQ$11:AQ$1048576,Table10[[#This Row],[Pcode]],'NFI Tracking'!AI$11:AI$1048576)</f>
        <v>0</v>
      </c>
      <c r="H118" s="277">
        <f>SUMIF('NFI Tracking'!AQ$11:AQ$1048576,Table10[[#This Row],[Pcode]],'NFI Tracking'!AJ$11:AJ$1048576)</f>
        <v>0</v>
      </c>
      <c r="I118" s="277">
        <f>SUMIF('NFI Tracking'!AQ$11:AQ$1048576,Table10[[#This Row],[Pcode]],'NFI Tracking'!AK$11:AK$1048576)</f>
        <v>0</v>
      </c>
      <c r="J118" s="277">
        <f ca="1">MAX(Table10[[#This Row],[HH]]*VLOOKUP("Winter Clothes Adult",NFI,6)-Table10[[#This Row],[Winter Clothes Adult ]],0)</f>
        <v>102</v>
      </c>
      <c r="K118" s="277">
        <f ca="1">MAX(Table10[[#This Row],[HH]]*VLOOKUP("Winter Clothes Children ",NFI,6)-Table10[[#This Row],[Winter Clothes Children ]],0)</f>
        <v>51</v>
      </c>
      <c r="L118" s="277">
        <f ca="1">MAX(Table10[[#This Row],[HH]]*VLOOKUP("Winter Items Other ",NFI,6)-Table10[[#This Row],[Winter Items Other ]],0)</f>
        <v>51</v>
      </c>
      <c r="M118" s="310" t="str">
        <f>IF(OR(Table10[[#This Row],[Winter Clothes Adult ]]&lt;&gt;0,Table10[[#This Row],[Winter Clothes Children ]]&lt;&gt;0,Table10[[#This Row],[Winter Items Other ]]&lt;&gt;0),"No","")</f>
        <v/>
      </c>
      <c r="N118" s="311">
        <f>COUNTIF(A:A,Table10[[#This Row],[Pcode]])-1</f>
        <v>0</v>
      </c>
    </row>
    <row r="119" spans="1:14" x14ac:dyDescent="0.25">
      <c r="A119" s="259" t="s">
        <v>1064</v>
      </c>
      <c r="B119" s="18" t="str">
        <f ca="1">OFFSET(CampList[Priority],MATCH(Table10[[#This Row],[Pcode]],CampList[CP_Pcode],0)-1,0,1,1)</f>
        <v>P4</v>
      </c>
      <c r="C119" s="18" t="str">
        <f ca="1">OFFSET(CampList[Camp],MATCH(Table10[[#This Row],[Pcode]],CampList[CP_Pcode],0)-1,0,1,1)</f>
        <v>Muse Catholic Church</v>
      </c>
      <c r="D119" s="18" t="str">
        <f ca="1">OFFSET(CampList[Township],MATCH(Table10[[#This Row],[Pcode]],CampList[CP_Pcode],0)-1,0,1,1)</f>
        <v>Muse</v>
      </c>
      <c r="E119" s="277">
        <f ca="1">OFFSET(CampList[HH],MATCH(Table10[[#This Row],[Pcode]],CampList[CP_Pcode],0)-1,0,1,1)</f>
        <v>25</v>
      </c>
      <c r="F119" s="277">
        <f ca="1">OFFSET(CampList[Total],MATCH(Table10[[#This Row],[Pcode]],CampList[CP_Pcode],0)-1,0,1,1)</f>
        <v>113</v>
      </c>
      <c r="G119" s="277">
        <f>SUMIF('NFI Tracking'!AQ$11:AQ$1048576,Table10[[#This Row],[Pcode]],'NFI Tracking'!AI$11:AI$1048576)</f>
        <v>0</v>
      </c>
      <c r="H119" s="277">
        <f>SUMIF('NFI Tracking'!AQ$11:AQ$1048576,Table10[[#This Row],[Pcode]],'NFI Tracking'!AJ$11:AJ$1048576)</f>
        <v>0</v>
      </c>
      <c r="I119" s="277">
        <f>SUMIF('NFI Tracking'!AQ$11:AQ$1048576,Table10[[#This Row],[Pcode]],'NFI Tracking'!AK$11:AK$1048576)</f>
        <v>0</v>
      </c>
      <c r="J119" s="277">
        <f ca="1">MAX(Table10[[#This Row],[HH]]*VLOOKUP("Winter Clothes Adult",NFI,6)-Table10[[#This Row],[Winter Clothes Adult ]],0)</f>
        <v>50</v>
      </c>
      <c r="K119" s="277">
        <f ca="1">MAX(Table10[[#This Row],[HH]]*VLOOKUP("Winter Clothes Children ",NFI,6)-Table10[[#This Row],[Winter Clothes Children ]],0)</f>
        <v>25</v>
      </c>
      <c r="L119" s="277">
        <f ca="1">MAX(Table10[[#This Row],[HH]]*VLOOKUP("Winter Items Other ",NFI,6)-Table10[[#This Row],[Winter Items Other ]],0)</f>
        <v>25</v>
      </c>
      <c r="M119" s="310" t="str">
        <f>IF(OR(Table10[[#This Row],[Winter Clothes Adult ]]&lt;&gt;0,Table10[[#This Row],[Winter Clothes Children ]]&lt;&gt;0,Table10[[#This Row],[Winter Items Other ]]&lt;&gt;0),"No","")</f>
        <v/>
      </c>
      <c r="N119" s="311">
        <f>COUNTIF(A:A,Table10[[#This Row],[Pcode]])-1</f>
        <v>0</v>
      </c>
    </row>
    <row r="120" spans="1:14" x14ac:dyDescent="0.25">
      <c r="A120" s="259" t="s">
        <v>7</v>
      </c>
      <c r="B120" s="18" t="str">
        <f ca="1">OFFSET(CampList[Priority],MATCH(Table10[[#This Row],[Pcode]],CampList[CP_Pcode],0)-1,0,1,1)</f>
        <v>P4</v>
      </c>
      <c r="C120" s="18" t="str">
        <f ca="1">OFFSET(CampList[Camp],MATCH(Table10[[#This Row],[Pcode]],CampList[CP_Pcode],0)-1,0,1,1)</f>
        <v>Mu-yin Baptist Church</v>
      </c>
      <c r="D120" s="18" t="str">
        <f ca="1">OFFSET(CampList[Township],MATCH(Table10[[#This Row],[Pcode]],CampList[CP_Pcode],0)-1,0,1,1)</f>
        <v>Bhamo</v>
      </c>
      <c r="E120" s="277">
        <f ca="1">OFFSET(CampList[HH],MATCH(Table10[[#This Row],[Pcode]],CampList[CP_Pcode],0)-1,0,1,1)</f>
        <v>14</v>
      </c>
      <c r="F120" s="277">
        <f ca="1">OFFSET(CampList[Total],MATCH(Table10[[#This Row],[Pcode]],CampList[CP_Pcode],0)-1,0,1,1)</f>
        <v>61</v>
      </c>
      <c r="G120" s="277">
        <f>SUMIF('NFI Tracking'!AQ$11:AQ$1048576,Table10[[#This Row],[Pcode]],'NFI Tracking'!AI$11:AI$1048576)</f>
        <v>0</v>
      </c>
      <c r="H120" s="277">
        <f>SUMIF('NFI Tracking'!AQ$11:AQ$1048576,Table10[[#This Row],[Pcode]],'NFI Tracking'!AJ$11:AJ$1048576)</f>
        <v>0</v>
      </c>
      <c r="I120" s="277">
        <f>SUMIF('NFI Tracking'!AQ$11:AQ$1048576,Table10[[#This Row],[Pcode]],'NFI Tracking'!AK$11:AK$1048576)</f>
        <v>0</v>
      </c>
      <c r="J120" s="277">
        <f ca="1">MAX(Table10[[#This Row],[HH]]*VLOOKUP("Winter Clothes Adult",NFI,6)-Table10[[#This Row],[Winter Clothes Adult ]],0)</f>
        <v>28</v>
      </c>
      <c r="K120" s="277">
        <f ca="1">MAX(Table10[[#This Row],[HH]]*VLOOKUP("Winter Clothes Children ",NFI,6)-Table10[[#This Row],[Winter Clothes Children ]],0)</f>
        <v>14</v>
      </c>
      <c r="L120" s="277">
        <f ca="1">MAX(Table10[[#This Row],[HH]]*VLOOKUP("Winter Items Other ",NFI,6)-Table10[[#This Row],[Winter Items Other ]],0)</f>
        <v>14</v>
      </c>
      <c r="M120" s="310" t="str">
        <f>IF(OR(Table10[[#This Row],[Winter Clothes Adult ]]&lt;&gt;0,Table10[[#This Row],[Winter Clothes Children ]]&lt;&gt;0,Table10[[#This Row],[Winter Items Other ]]&lt;&gt;0),"No","")</f>
        <v/>
      </c>
      <c r="N120" s="311">
        <f>COUNTIF(A:A,Table10[[#This Row],[Pcode]])-1</f>
        <v>0</v>
      </c>
    </row>
    <row r="121" spans="1:14" x14ac:dyDescent="0.25">
      <c r="A121" s="259" t="s">
        <v>266</v>
      </c>
      <c r="B121" s="18" t="str">
        <f ca="1">OFFSET(CampList[Priority],MATCH(Table10[[#This Row],[Pcode]],CampList[CP_Pcode],0)-1,0,1,1)</f>
        <v>P4</v>
      </c>
      <c r="C121" s="18" t="str">
        <f ca="1">OFFSET(CampList[Camp],MATCH(Table10[[#This Row],[Pcode]],CampList[CP_Pcode],0)-1,0,1,1)</f>
        <v>Myay Myint Baptist Church</v>
      </c>
      <c r="D121" s="18" t="str">
        <f ca="1">OFFSET(CampList[Township],MATCH(Table10[[#This Row],[Pcode]],CampList[CP_Pcode],0)-1,0,1,1)</f>
        <v>Myitkyina</v>
      </c>
      <c r="E121" s="277">
        <f ca="1">OFFSET(CampList[HH],MATCH(Table10[[#This Row],[Pcode]],CampList[CP_Pcode],0)-1,0,1,1)</f>
        <v>0</v>
      </c>
      <c r="F121" s="277">
        <f ca="1">OFFSET(CampList[Total],MATCH(Table10[[#This Row],[Pcode]],CampList[CP_Pcode],0)-1,0,1,1)</f>
        <v>0</v>
      </c>
      <c r="G121" s="277">
        <f>SUMIF('NFI Tracking'!AQ$11:AQ$1048576,Table10[[#This Row],[Pcode]],'NFI Tracking'!AI$11:AI$1048576)</f>
        <v>0</v>
      </c>
      <c r="H121" s="277">
        <f>SUMIF('NFI Tracking'!AQ$11:AQ$1048576,Table10[[#This Row],[Pcode]],'NFI Tracking'!AJ$11:AJ$1048576)</f>
        <v>0</v>
      </c>
      <c r="I121" s="277">
        <f>SUMIF('NFI Tracking'!AQ$11:AQ$1048576,Table10[[#This Row],[Pcode]],'NFI Tracking'!AK$11:AK$1048576)</f>
        <v>0</v>
      </c>
      <c r="J121" s="277">
        <f ca="1">MAX(Table10[[#This Row],[HH]]*VLOOKUP("Winter Clothes Adult",NFI,6)-Table10[[#This Row],[Winter Clothes Adult ]],0)</f>
        <v>0</v>
      </c>
      <c r="K121" s="277">
        <f ca="1">MAX(Table10[[#This Row],[HH]]*VLOOKUP("Winter Clothes Children ",NFI,6)-Table10[[#This Row],[Winter Clothes Children ]],0)</f>
        <v>0</v>
      </c>
      <c r="L121" s="277">
        <f ca="1">MAX(Table10[[#This Row],[HH]]*VLOOKUP("Winter Items Other ",NFI,6)-Table10[[#This Row],[Winter Items Other ]],0)</f>
        <v>0</v>
      </c>
      <c r="M121" s="310" t="str">
        <f>IF(OR(Table10[[#This Row],[Winter Clothes Adult ]]&lt;&gt;0,Table10[[#This Row],[Winter Clothes Children ]]&lt;&gt;0,Table10[[#This Row],[Winter Items Other ]]&lt;&gt;0),"No","")</f>
        <v/>
      </c>
      <c r="N121" s="311">
        <f>COUNTIF(A:A,Table10[[#This Row],[Pcode]])-1</f>
        <v>0</v>
      </c>
    </row>
    <row r="122" spans="1:14" x14ac:dyDescent="0.25">
      <c r="A122" s="259" t="s">
        <v>212</v>
      </c>
      <c r="B122" s="18" t="str">
        <f ca="1">OFFSET(CampList[Priority],MATCH(Table10[[#This Row],[Pcode]],CampList[CP_Pcode],0)-1,0,1,1)</f>
        <v>P4</v>
      </c>
      <c r="C122" s="18" t="str">
        <f ca="1">OFFSET(CampList[Camp],MATCH(Table10[[#This Row],[Pcode]],CampList[CP_Pcode],0)-1,0,1,1)</f>
        <v xml:space="preserve">Myo Thit </v>
      </c>
      <c r="D122" s="18" t="str">
        <f ca="1">OFFSET(CampList[Township],MATCH(Table10[[#This Row],[Pcode]],CampList[CP_Pcode],0)-1,0,1,1)</f>
        <v>Momauk</v>
      </c>
      <c r="E122" s="277">
        <f ca="1">OFFSET(CampList[HH],MATCH(Table10[[#This Row],[Pcode]],CampList[CP_Pcode],0)-1,0,1,1)</f>
        <v>13</v>
      </c>
      <c r="F122" s="277">
        <f ca="1">OFFSET(CampList[Total],MATCH(Table10[[#This Row],[Pcode]],CampList[CP_Pcode],0)-1,0,1,1)</f>
        <v>53</v>
      </c>
      <c r="G122" s="277">
        <f>SUMIF('NFI Tracking'!AQ$11:AQ$1048576,Table10[[#This Row],[Pcode]],'NFI Tracking'!AI$11:AI$1048576)</f>
        <v>0</v>
      </c>
      <c r="H122" s="277">
        <f>SUMIF('NFI Tracking'!AQ$11:AQ$1048576,Table10[[#This Row],[Pcode]],'NFI Tracking'!AJ$11:AJ$1048576)</f>
        <v>0</v>
      </c>
      <c r="I122" s="277">
        <f>SUMIF('NFI Tracking'!AQ$11:AQ$1048576,Table10[[#This Row],[Pcode]],'NFI Tracking'!AK$11:AK$1048576)</f>
        <v>0</v>
      </c>
      <c r="J122" s="277">
        <f ca="1">MAX(Table10[[#This Row],[HH]]*VLOOKUP("Winter Clothes Adult",NFI,6)-Table10[[#This Row],[Winter Clothes Adult ]],0)</f>
        <v>26</v>
      </c>
      <c r="K122" s="277">
        <f ca="1">MAX(Table10[[#This Row],[HH]]*VLOOKUP("Winter Clothes Children ",NFI,6)-Table10[[#This Row],[Winter Clothes Children ]],0)</f>
        <v>13</v>
      </c>
      <c r="L122" s="277">
        <f ca="1">MAX(Table10[[#This Row],[HH]]*VLOOKUP("Winter Items Other ",NFI,6)-Table10[[#This Row],[Winter Items Other ]],0)</f>
        <v>13</v>
      </c>
      <c r="M122" s="310" t="str">
        <f>IF(OR(Table10[[#This Row],[Winter Clothes Adult ]]&lt;&gt;0,Table10[[#This Row],[Winter Clothes Children ]]&lt;&gt;0,Table10[[#This Row],[Winter Items Other ]]&lt;&gt;0),"No","")</f>
        <v/>
      </c>
      <c r="N122" s="311">
        <f>COUNTIF(A:A,Table10[[#This Row],[Pcode]])-1</f>
        <v>0</v>
      </c>
    </row>
    <row r="123" spans="1:14" x14ac:dyDescent="0.25">
      <c r="A123" s="259" t="s">
        <v>1056</v>
      </c>
      <c r="B123" s="18" t="str">
        <f ca="1">OFFSET(CampList[Priority],MATCH(Table10[[#This Row],[Pcode]],CampList[CP_Pcode],0)-1,0,1,1)</f>
        <v>P4</v>
      </c>
      <c r="C123" s="18" t="str">
        <f ca="1">OFFSET(CampList[Camp],MATCH(Table10[[#This Row],[Pcode]],CampList[CP_Pcode],0)-1,0,1,1)</f>
        <v>Nam Hkam (KBC Jaw Wang) II</v>
      </c>
      <c r="D123" s="18" t="str">
        <f ca="1">OFFSET(CampList[Township],MATCH(Table10[[#This Row],[Pcode]],CampList[CP_Pcode],0)-1,0,1,1)</f>
        <v>Namhkan</v>
      </c>
      <c r="E123" s="277">
        <f ca="1">OFFSET(CampList[HH],MATCH(Table10[[#This Row],[Pcode]],CampList[CP_Pcode],0)-1,0,1,1)</f>
        <v>36</v>
      </c>
      <c r="F123" s="277">
        <f ca="1">OFFSET(CampList[Total],MATCH(Table10[[#This Row],[Pcode]],CampList[CP_Pcode],0)-1,0,1,1)</f>
        <v>201</v>
      </c>
      <c r="G123" s="277">
        <f>SUMIF('NFI Tracking'!AQ$11:AQ$1048576,Table10[[#This Row],[Pcode]],'NFI Tracking'!AI$11:AI$1048576)</f>
        <v>0</v>
      </c>
      <c r="H123" s="277">
        <f>SUMIF('NFI Tracking'!AQ$11:AQ$1048576,Table10[[#This Row],[Pcode]],'NFI Tracking'!AJ$11:AJ$1048576)</f>
        <v>0</v>
      </c>
      <c r="I123" s="277">
        <f>SUMIF('NFI Tracking'!AQ$11:AQ$1048576,Table10[[#This Row],[Pcode]],'NFI Tracking'!AK$11:AK$1048576)</f>
        <v>0</v>
      </c>
      <c r="J123" s="277">
        <f ca="1">MAX(Table10[[#This Row],[HH]]*VLOOKUP("Winter Clothes Adult",NFI,6)-Table10[[#This Row],[Winter Clothes Adult ]],0)</f>
        <v>72</v>
      </c>
      <c r="K123" s="277">
        <f ca="1">MAX(Table10[[#This Row],[HH]]*VLOOKUP("Winter Clothes Children ",NFI,6)-Table10[[#This Row],[Winter Clothes Children ]],0)</f>
        <v>36</v>
      </c>
      <c r="L123" s="277">
        <f ca="1">MAX(Table10[[#This Row],[HH]]*VLOOKUP("Winter Items Other ",NFI,6)-Table10[[#This Row],[Winter Items Other ]],0)</f>
        <v>36</v>
      </c>
      <c r="M123" s="310" t="str">
        <f>IF(OR(Table10[[#This Row],[Winter Clothes Adult ]]&lt;&gt;0,Table10[[#This Row],[Winter Clothes Children ]]&lt;&gt;0,Table10[[#This Row],[Winter Items Other ]]&lt;&gt;0),"No","")</f>
        <v/>
      </c>
      <c r="N123" s="311">
        <f>COUNTIF(A:A,Table10[[#This Row],[Pcode]])-1</f>
        <v>0</v>
      </c>
    </row>
    <row r="124" spans="1:14" x14ac:dyDescent="0.25">
      <c r="A124" s="259" t="s">
        <v>46</v>
      </c>
      <c r="B124" s="18" t="str">
        <f ca="1">OFFSET(CampList[Priority],MATCH(Table10[[#This Row],[Pcode]],CampList[CP_Pcode],0)-1,0,1,1)</f>
        <v>P4</v>
      </c>
      <c r="C124" s="18" t="str">
        <f ca="1">OFFSET(CampList[Camp],MATCH(Table10[[#This Row],[Pcode]],CampList[CP_Pcode],0)-1,0,1,1)</f>
        <v>Nam Ma Phyit, COC</v>
      </c>
      <c r="D124" s="18" t="str">
        <f ca="1">OFFSET(CampList[Township],MATCH(Table10[[#This Row],[Pcode]],CampList[CP_Pcode],0)-1,0,1,1)</f>
        <v>Hpakant</v>
      </c>
      <c r="E124" s="277">
        <f ca="1">OFFSET(CampList[HH],MATCH(Table10[[#This Row],[Pcode]],CampList[CP_Pcode],0)-1,0,1,1)</f>
        <v>12</v>
      </c>
      <c r="F124" s="277">
        <f ca="1">OFFSET(CampList[Total],MATCH(Table10[[#This Row],[Pcode]],CampList[CP_Pcode],0)-1,0,1,1)</f>
        <v>50</v>
      </c>
      <c r="G124" s="277">
        <f>SUMIF('NFI Tracking'!AQ$11:AQ$1048576,Table10[[#This Row],[Pcode]],'NFI Tracking'!AI$11:AI$1048576)</f>
        <v>0</v>
      </c>
      <c r="H124" s="277">
        <f>SUMIF('NFI Tracking'!AQ$11:AQ$1048576,Table10[[#This Row],[Pcode]],'NFI Tracking'!AJ$11:AJ$1048576)</f>
        <v>0</v>
      </c>
      <c r="I124" s="277">
        <f>SUMIF('NFI Tracking'!AQ$11:AQ$1048576,Table10[[#This Row],[Pcode]],'NFI Tracking'!AK$11:AK$1048576)</f>
        <v>0</v>
      </c>
      <c r="J124" s="277">
        <f ca="1">MAX(Table10[[#This Row],[HH]]*VLOOKUP("Winter Clothes Adult",NFI,6)-Table10[[#This Row],[Winter Clothes Adult ]],0)</f>
        <v>24</v>
      </c>
      <c r="K124" s="277">
        <f ca="1">MAX(Table10[[#This Row],[HH]]*VLOOKUP("Winter Clothes Children ",NFI,6)-Table10[[#This Row],[Winter Clothes Children ]],0)</f>
        <v>12</v>
      </c>
      <c r="L124" s="277">
        <f ca="1">MAX(Table10[[#This Row],[HH]]*VLOOKUP("Winter Items Other ",NFI,6)-Table10[[#This Row],[Winter Items Other ]],0)</f>
        <v>12</v>
      </c>
      <c r="M124" s="310" t="str">
        <f>IF(OR(Table10[[#This Row],[Winter Clothes Adult ]]&lt;&gt;0,Table10[[#This Row],[Winter Clothes Children ]]&lt;&gt;0,Table10[[#This Row],[Winter Items Other ]]&lt;&gt;0),"No","")</f>
        <v/>
      </c>
      <c r="N124" s="311">
        <f>COUNTIF(A:A,Table10[[#This Row],[Pcode]])-1</f>
        <v>0</v>
      </c>
    </row>
    <row r="125" spans="1:14" x14ac:dyDescent="0.25">
      <c r="A125" s="259" t="s">
        <v>1060</v>
      </c>
      <c r="B125" s="18" t="str">
        <f ca="1">OFFSET(CampList[Priority],MATCH(Table10[[#This Row],[Pcode]],CampList[CP_Pcode],0)-1,0,1,1)</f>
        <v>P4</v>
      </c>
      <c r="C125" s="18" t="str">
        <f ca="1">OFFSET(CampList[Camp],MATCH(Table10[[#This Row],[Pcode]],CampList[CP_Pcode],0)-1,0,1,1)</f>
        <v>Namhkan - Pang Long KBC</v>
      </c>
      <c r="D125" s="18" t="str">
        <f ca="1">OFFSET(CampList[Township],MATCH(Table10[[#This Row],[Pcode]],CampList[CP_Pcode],0)-1,0,1,1)</f>
        <v>Namhkan</v>
      </c>
      <c r="E125" s="277">
        <f ca="1">OFFSET(CampList[HH],MATCH(Table10[[#This Row],[Pcode]],CampList[CP_Pcode],0)-1,0,1,1)</f>
        <v>121</v>
      </c>
      <c r="F125" s="277">
        <f ca="1">OFFSET(CampList[Total],MATCH(Table10[[#This Row],[Pcode]],CampList[CP_Pcode],0)-1,0,1,1)</f>
        <v>570</v>
      </c>
      <c r="G125" s="277">
        <f>SUMIF('NFI Tracking'!AQ$11:AQ$1048576,Table10[[#This Row],[Pcode]],'NFI Tracking'!AI$11:AI$1048576)</f>
        <v>0</v>
      </c>
      <c r="H125" s="277">
        <f>SUMIF('NFI Tracking'!AQ$11:AQ$1048576,Table10[[#This Row],[Pcode]],'NFI Tracking'!AJ$11:AJ$1048576)</f>
        <v>0</v>
      </c>
      <c r="I125" s="277">
        <f>SUMIF('NFI Tracking'!AQ$11:AQ$1048576,Table10[[#This Row],[Pcode]],'NFI Tracking'!AK$11:AK$1048576)</f>
        <v>0</v>
      </c>
      <c r="J125" s="277">
        <f ca="1">MAX(Table10[[#This Row],[HH]]*VLOOKUP("Winter Clothes Adult",NFI,6)-Table10[[#This Row],[Winter Clothes Adult ]],0)</f>
        <v>242</v>
      </c>
      <c r="K125" s="277">
        <f ca="1">MAX(Table10[[#This Row],[HH]]*VLOOKUP("Winter Clothes Children ",NFI,6)-Table10[[#This Row],[Winter Clothes Children ]],0)</f>
        <v>121</v>
      </c>
      <c r="L125" s="277">
        <f ca="1">MAX(Table10[[#This Row],[HH]]*VLOOKUP("Winter Items Other ",NFI,6)-Table10[[#This Row],[Winter Items Other ]],0)</f>
        <v>121</v>
      </c>
      <c r="M125" s="310" t="str">
        <f>IF(OR(Table10[[#This Row],[Winter Clothes Adult ]]&lt;&gt;0,Table10[[#This Row],[Winter Clothes Children ]]&lt;&gt;0,Table10[[#This Row],[Winter Items Other ]]&lt;&gt;0),"No","")</f>
        <v/>
      </c>
      <c r="N125" s="311">
        <f>COUNTIF(A:A,Table10[[#This Row],[Pcode]])-1</f>
        <v>0</v>
      </c>
    </row>
    <row r="126" spans="1:14" x14ac:dyDescent="0.25">
      <c r="A126" s="259" t="s">
        <v>270</v>
      </c>
      <c r="B126" s="18" t="str">
        <f ca="1">OFFSET(CampList[Priority],MATCH(Table10[[#This Row],[Pcode]],CampList[CP_Pcode],0)-1,0,1,1)</f>
        <v>P4</v>
      </c>
      <c r="C126" s="18" t="str">
        <f ca="1">OFFSET(CampList[Camp],MATCH(Table10[[#This Row],[Pcode]],CampList[CP_Pcode],0)-1,0,1,1)</f>
        <v>Nan Kway St. John Catholic Church</v>
      </c>
      <c r="D126" s="18" t="str">
        <f ca="1">OFFSET(CampList[Township],MATCH(Table10[[#This Row],[Pcode]],CampList[CP_Pcode],0)-1,0,1,1)</f>
        <v>Myitkyina</v>
      </c>
      <c r="E126" s="277">
        <f ca="1">OFFSET(CampList[HH],MATCH(Table10[[#This Row],[Pcode]],CampList[CP_Pcode],0)-1,0,1,1)</f>
        <v>68</v>
      </c>
      <c r="F126" s="277">
        <f ca="1">OFFSET(CampList[Total],MATCH(Table10[[#This Row],[Pcode]],CampList[CP_Pcode],0)-1,0,1,1)</f>
        <v>333</v>
      </c>
      <c r="G126" s="277">
        <f>SUMIF('NFI Tracking'!AQ$11:AQ$1048576,Table10[[#This Row],[Pcode]],'NFI Tracking'!AI$11:AI$1048576)</f>
        <v>0</v>
      </c>
      <c r="H126" s="277">
        <f>SUMIF('NFI Tracking'!AQ$11:AQ$1048576,Table10[[#This Row],[Pcode]],'NFI Tracking'!AJ$11:AJ$1048576)</f>
        <v>0</v>
      </c>
      <c r="I126" s="277">
        <f>SUMIF('NFI Tracking'!AQ$11:AQ$1048576,Table10[[#This Row],[Pcode]],'NFI Tracking'!AK$11:AK$1048576)</f>
        <v>0</v>
      </c>
      <c r="J126" s="277">
        <f ca="1">MAX(Table10[[#This Row],[HH]]*VLOOKUP("Winter Clothes Adult",NFI,6)-Table10[[#This Row],[Winter Clothes Adult ]],0)</f>
        <v>136</v>
      </c>
      <c r="K126" s="277">
        <f ca="1">MAX(Table10[[#This Row],[HH]]*VLOOKUP("Winter Clothes Children ",NFI,6)-Table10[[#This Row],[Winter Clothes Children ]],0)</f>
        <v>68</v>
      </c>
      <c r="L126" s="277">
        <f ca="1">MAX(Table10[[#This Row],[HH]]*VLOOKUP("Winter Items Other ",NFI,6)-Table10[[#This Row],[Winter Items Other ]],0)</f>
        <v>68</v>
      </c>
      <c r="M126" s="310" t="str">
        <f>IF(OR(Table10[[#This Row],[Winter Clothes Adult ]]&lt;&gt;0,Table10[[#This Row],[Winter Clothes Children ]]&lt;&gt;0,Table10[[#This Row],[Winter Items Other ]]&lt;&gt;0),"No","")</f>
        <v/>
      </c>
      <c r="N126" s="311">
        <f>COUNTIF(A:A,Table10[[#This Row],[Pcode]])-1</f>
        <v>0</v>
      </c>
    </row>
    <row r="127" spans="1:14" x14ac:dyDescent="0.25">
      <c r="A127" s="259" t="s">
        <v>19</v>
      </c>
      <c r="B127" s="18" t="str">
        <f ca="1">OFFSET(CampList[Priority],MATCH(Table10[[#This Row],[Pcode]],CampList[CP_Pcode],0)-1,0,1,1)</f>
        <v>P4</v>
      </c>
      <c r="C127" s="18" t="str">
        <f ca="1">OFFSET(CampList[Camp],MATCH(Table10[[#This Row],[Pcode]],CampList[CP_Pcode],0)-1,0,1,1)</f>
        <v>Nant Hlaing Church</v>
      </c>
      <c r="D127" s="18" t="str">
        <f ca="1">OFFSET(CampList[Township],MATCH(Table10[[#This Row],[Pcode]],CampList[CP_Pcode],0)-1,0,1,1)</f>
        <v>Bhamo</v>
      </c>
      <c r="E127" s="277">
        <f ca="1">OFFSET(CampList[HH],MATCH(Table10[[#This Row],[Pcode]],CampList[CP_Pcode],0)-1,0,1,1)</f>
        <v>21</v>
      </c>
      <c r="F127" s="277">
        <f ca="1">OFFSET(CampList[Total],MATCH(Table10[[#This Row],[Pcode]],CampList[CP_Pcode],0)-1,0,1,1)</f>
        <v>111</v>
      </c>
      <c r="G127" s="277">
        <f>SUMIF('NFI Tracking'!AQ$11:AQ$1048576,Table10[[#This Row],[Pcode]],'NFI Tracking'!AI$11:AI$1048576)</f>
        <v>0</v>
      </c>
      <c r="H127" s="277">
        <f>SUMIF('NFI Tracking'!AQ$11:AQ$1048576,Table10[[#This Row],[Pcode]],'NFI Tracking'!AJ$11:AJ$1048576)</f>
        <v>0</v>
      </c>
      <c r="I127" s="277">
        <f>SUMIF('NFI Tracking'!AQ$11:AQ$1048576,Table10[[#This Row],[Pcode]],'NFI Tracking'!AK$11:AK$1048576)</f>
        <v>0</v>
      </c>
      <c r="J127" s="277">
        <f ca="1">MAX(Table10[[#This Row],[HH]]*VLOOKUP("Winter Clothes Adult",NFI,6)-Table10[[#This Row],[Winter Clothes Adult ]],0)</f>
        <v>42</v>
      </c>
      <c r="K127" s="277">
        <f ca="1">MAX(Table10[[#This Row],[HH]]*VLOOKUP("Winter Clothes Children ",NFI,6)-Table10[[#This Row],[Winter Clothes Children ]],0)</f>
        <v>21</v>
      </c>
      <c r="L127" s="277">
        <f ca="1">MAX(Table10[[#This Row],[HH]]*VLOOKUP("Winter Items Other ",NFI,6)-Table10[[#This Row],[Winter Items Other ]],0)</f>
        <v>21</v>
      </c>
      <c r="M127" s="310" t="str">
        <f>IF(OR(Table10[[#This Row],[Winter Clothes Adult ]]&lt;&gt;0,Table10[[#This Row],[Winter Clothes Children ]]&lt;&gt;0,Table10[[#This Row],[Winter Items Other ]]&lt;&gt;0),"No","")</f>
        <v/>
      </c>
      <c r="N127" s="311">
        <f>COUNTIF(A:A,Table10[[#This Row],[Pcode]])-1</f>
        <v>0</v>
      </c>
    </row>
    <row r="128" spans="1:14" x14ac:dyDescent="0.25">
      <c r="A128" s="259" t="s">
        <v>107</v>
      </c>
      <c r="B128" s="18" t="str">
        <f ca="1">OFFSET(CampList[Priority],MATCH(Table10[[#This Row],[Pcode]],CampList[CP_Pcode],0)-1,0,1,1)</f>
        <v>P4</v>
      </c>
      <c r="C128" s="18" t="str">
        <f ca="1">OFFSET(CampList[Camp],MATCH(Table10[[#This Row],[Pcode]],CampList[CP_Pcode],0)-1,0,1,1)</f>
        <v>Nant Ma Hpit Catholic Church</v>
      </c>
      <c r="D128" s="18" t="str">
        <f ca="1">OFFSET(CampList[Township],MATCH(Table10[[#This Row],[Pcode]],CampList[CP_Pcode],0)-1,0,1,1)</f>
        <v>Hpakant</v>
      </c>
      <c r="E128" s="277">
        <f ca="1">OFFSET(CampList[HH],MATCH(Table10[[#This Row],[Pcode]],CampList[CP_Pcode],0)-1,0,1,1)</f>
        <v>51</v>
      </c>
      <c r="F128" s="277">
        <f ca="1">OFFSET(CampList[Total],MATCH(Table10[[#This Row],[Pcode]],CampList[CP_Pcode],0)-1,0,1,1)</f>
        <v>225</v>
      </c>
      <c r="G128" s="277">
        <f>SUMIF('NFI Tracking'!AQ$11:AQ$1048576,Table10[[#This Row],[Pcode]],'NFI Tracking'!AI$11:AI$1048576)</f>
        <v>0</v>
      </c>
      <c r="H128" s="277">
        <f>SUMIF('NFI Tracking'!AQ$11:AQ$1048576,Table10[[#This Row],[Pcode]],'NFI Tracking'!AJ$11:AJ$1048576)</f>
        <v>0</v>
      </c>
      <c r="I128" s="277">
        <f>SUMIF('NFI Tracking'!AQ$11:AQ$1048576,Table10[[#This Row],[Pcode]],'NFI Tracking'!AK$11:AK$1048576)</f>
        <v>0</v>
      </c>
      <c r="J128" s="277">
        <f ca="1">MAX(Table10[[#This Row],[HH]]*VLOOKUP("Winter Clothes Adult",NFI,6)-Table10[[#This Row],[Winter Clothes Adult ]],0)</f>
        <v>102</v>
      </c>
      <c r="K128" s="277">
        <f ca="1">MAX(Table10[[#This Row],[HH]]*VLOOKUP("Winter Clothes Children ",NFI,6)-Table10[[#This Row],[Winter Clothes Children ]],0)</f>
        <v>51</v>
      </c>
      <c r="L128" s="277">
        <f ca="1">MAX(Table10[[#This Row],[HH]]*VLOOKUP("Winter Items Other ",NFI,6)-Table10[[#This Row],[Winter Items Other ]],0)</f>
        <v>51</v>
      </c>
      <c r="M128" s="310" t="str">
        <f>IF(OR(Table10[[#This Row],[Winter Clothes Adult ]]&lt;&gt;0,Table10[[#This Row],[Winter Clothes Children ]]&lt;&gt;0,Table10[[#This Row],[Winter Items Other ]]&lt;&gt;0),"No","")</f>
        <v/>
      </c>
      <c r="N128" s="311">
        <f>COUNTIF(A:A,Table10[[#This Row],[Pcode]])-1</f>
        <v>0</v>
      </c>
    </row>
    <row r="129" spans="1:14" x14ac:dyDescent="0.25">
      <c r="A129" s="259" t="s">
        <v>182</v>
      </c>
      <c r="B129" s="18" t="str">
        <f ca="1">OFFSET(CampList[Priority],MATCH(Table10[[#This Row],[Pcode]],CampList[CP_Pcode],0)-1,0,1,1)</f>
        <v>P4</v>
      </c>
      <c r="C129" s="18" t="str">
        <f ca="1">OFFSET(CampList[Camp],MATCH(Table10[[#This Row],[Pcode]],CampList[CP_Pcode],0)-1,0,1,1)</f>
        <v>Nant Mun</v>
      </c>
      <c r="D129" s="18" t="str">
        <f ca="1">OFFSET(CampList[Township],MATCH(Table10[[#This Row],[Pcode]],CampList[CP_Pcode],0)-1,0,1,1)</f>
        <v>Mohnyin</v>
      </c>
      <c r="E129" s="277">
        <f ca="1">OFFSET(CampList[HH],MATCH(Table10[[#This Row],[Pcode]],CampList[CP_Pcode],0)-1,0,1,1)</f>
        <v>0</v>
      </c>
      <c r="F129" s="277">
        <f ca="1">OFFSET(CampList[Total],MATCH(Table10[[#This Row],[Pcode]],CampList[CP_Pcode],0)-1,0,1,1)</f>
        <v>0</v>
      </c>
      <c r="G129" s="277">
        <f>SUMIF('NFI Tracking'!AQ$11:AQ$1048576,Table10[[#This Row],[Pcode]],'NFI Tracking'!AI$11:AI$1048576)</f>
        <v>0</v>
      </c>
      <c r="H129" s="277">
        <f>SUMIF('NFI Tracking'!AQ$11:AQ$1048576,Table10[[#This Row],[Pcode]],'NFI Tracking'!AJ$11:AJ$1048576)</f>
        <v>0</v>
      </c>
      <c r="I129" s="277">
        <f>SUMIF('NFI Tracking'!AQ$11:AQ$1048576,Table10[[#This Row],[Pcode]],'NFI Tracking'!AK$11:AK$1048576)</f>
        <v>0</v>
      </c>
      <c r="J129" s="277">
        <f ca="1">MAX(Table10[[#This Row],[HH]]*VLOOKUP("Winter Clothes Adult",NFI,6)-Table10[[#This Row],[Winter Clothes Adult ]],0)</f>
        <v>0</v>
      </c>
      <c r="K129" s="277">
        <f ca="1">MAX(Table10[[#This Row],[HH]]*VLOOKUP("Winter Clothes Children ",NFI,6)-Table10[[#This Row],[Winter Clothes Children ]],0)</f>
        <v>0</v>
      </c>
      <c r="L129" s="277">
        <f ca="1">MAX(Table10[[#This Row],[HH]]*VLOOKUP("Winter Items Other ",NFI,6)-Table10[[#This Row],[Winter Items Other ]],0)</f>
        <v>0</v>
      </c>
      <c r="M129" s="310" t="str">
        <f>IF(OR(Table10[[#This Row],[Winter Clothes Adult ]]&lt;&gt;0,Table10[[#This Row],[Winter Clothes Children ]]&lt;&gt;0,Table10[[#This Row],[Winter Items Other ]]&lt;&gt;0),"No","")</f>
        <v/>
      </c>
      <c r="N129" s="311">
        <f>COUNTIF(A:A,Table10[[#This Row],[Pcode]])-1</f>
        <v>0</v>
      </c>
    </row>
    <row r="130" spans="1:14" x14ac:dyDescent="0.25">
      <c r="A130" s="259" t="s">
        <v>838</v>
      </c>
      <c r="B130" s="18" t="str">
        <f ca="1">OFFSET(CampList[Priority],MATCH(Table10[[#This Row],[Pcode]],CampList[CP_Pcode],0)-1,0,1,1)</f>
        <v>P4</v>
      </c>
      <c r="C130" s="18" t="str">
        <f ca="1">OFFSET(CampList[Camp],MATCH(Table10[[#This Row],[Pcode]],CampList[CP_Pcode],0)-1,0,1,1)</f>
        <v>Narte</v>
      </c>
      <c r="D130" s="18" t="str">
        <f ca="1">OFFSET(CampList[Township],MATCH(Table10[[#This Row],[Pcode]],CampList[CP_Pcode],0)-1,0,1,1)</f>
        <v>Hseni</v>
      </c>
      <c r="E130" s="277">
        <f ca="1">OFFSET(CampList[HH],MATCH(Table10[[#This Row],[Pcode]],CampList[CP_Pcode],0)-1,0,1,1)</f>
        <v>67</v>
      </c>
      <c r="F130" s="277">
        <f ca="1">OFFSET(CampList[Total],MATCH(Table10[[#This Row],[Pcode]],CampList[CP_Pcode],0)-1,0,1,1)</f>
        <v>392</v>
      </c>
      <c r="G130" s="277">
        <f>SUMIF('NFI Tracking'!AQ$11:AQ$1048576,Table10[[#This Row],[Pcode]],'NFI Tracking'!AI$11:AI$1048576)</f>
        <v>0</v>
      </c>
      <c r="H130" s="277">
        <f>SUMIF('NFI Tracking'!AQ$11:AQ$1048576,Table10[[#This Row],[Pcode]],'NFI Tracking'!AJ$11:AJ$1048576)</f>
        <v>0</v>
      </c>
      <c r="I130" s="277">
        <f>SUMIF('NFI Tracking'!AQ$11:AQ$1048576,Table10[[#This Row],[Pcode]],'NFI Tracking'!AK$11:AK$1048576)</f>
        <v>0</v>
      </c>
      <c r="J130" s="277">
        <f ca="1">MAX(Table10[[#This Row],[HH]]*VLOOKUP("Winter Clothes Adult",NFI,6)-Table10[[#This Row],[Winter Clothes Adult ]],0)</f>
        <v>134</v>
      </c>
      <c r="K130" s="277">
        <f ca="1">MAX(Table10[[#This Row],[HH]]*VLOOKUP("Winter Clothes Children ",NFI,6)-Table10[[#This Row],[Winter Clothes Children ]],0)</f>
        <v>67</v>
      </c>
      <c r="L130" s="277">
        <f ca="1">MAX(Table10[[#This Row],[HH]]*VLOOKUP("Winter Items Other ",NFI,6)-Table10[[#This Row],[Winter Items Other ]],0)</f>
        <v>67</v>
      </c>
      <c r="M130" s="310" t="str">
        <f>IF(OR(Table10[[#This Row],[Winter Clothes Adult ]]&lt;&gt;0,Table10[[#This Row],[Winter Clothes Children ]]&lt;&gt;0,Table10[[#This Row],[Winter Items Other ]]&lt;&gt;0),"No","")</f>
        <v/>
      </c>
      <c r="N130" s="311">
        <f>COUNTIF(A:A,Table10[[#This Row],[Pcode]])-1</f>
        <v>0</v>
      </c>
    </row>
    <row r="131" spans="1:14" x14ac:dyDescent="0.25">
      <c r="A131" s="259" t="s">
        <v>177</v>
      </c>
      <c r="B131" s="18" t="str">
        <f ca="1">OFFSET(CampList[Priority],MATCH(Table10[[#This Row],[Pcode]],CampList[CP_Pcode],0)-1,0,1,1)</f>
        <v>P4</v>
      </c>
      <c r="C131" s="18" t="str">
        <f ca="1">OFFSET(CampList[Camp],MATCH(Table10[[#This Row],[Pcode]],CampList[CP_Pcode],0)-1,0,1,1)</f>
        <v xml:space="preserve">Nat Gyi Kone Baptist Church </v>
      </c>
      <c r="D131" s="18" t="str">
        <f ca="1">OFFSET(CampList[Township],MATCH(Table10[[#This Row],[Pcode]],CampList[CP_Pcode],0)-1,0,1,1)</f>
        <v>Mogaung</v>
      </c>
      <c r="E131" s="277">
        <f ca="1">OFFSET(CampList[HH],MATCH(Table10[[#This Row],[Pcode]],CampList[CP_Pcode],0)-1,0,1,1)</f>
        <v>12</v>
      </c>
      <c r="F131" s="277">
        <f ca="1">OFFSET(CampList[Total],MATCH(Table10[[#This Row],[Pcode]],CampList[CP_Pcode],0)-1,0,1,1)</f>
        <v>46</v>
      </c>
      <c r="G131" s="277">
        <f>SUMIF('NFI Tracking'!AQ$11:AQ$1048576,Table10[[#This Row],[Pcode]],'NFI Tracking'!AI$11:AI$1048576)</f>
        <v>0</v>
      </c>
      <c r="H131" s="277">
        <f>SUMIF('NFI Tracking'!AQ$11:AQ$1048576,Table10[[#This Row],[Pcode]],'NFI Tracking'!AJ$11:AJ$1048576)</f>
        <v>0</v>
      </c>
      <c r="I131" s="277">
        <f>SUMIF('NFI Tracking'!AQ$11:AQ$1048576,Table10[[#This Row],[Pcode]],'NFI Tracking'!AK$11:AK$1048576)</f>
        <v>0</v>
      </c>
      <c r="J131" s="277">
        <f ca="1">MAX(Table10[[#This Row],[HH]]*VLOOKUP("Winter Clothes Adult",NFI,6)-Table10[[#This Row],[Winter Clothes Adult ]],0)</f>
        <v>24</v>
      </c>
      <c r="K131" s="277">
        <f ca="1">MAX(Table10[[#This Row],[HH]]*VLOOKUP("Winter Clothes Children ",NFI,6)-Table10[[#This Row],[Winter Clothes Children ]],0)</f>
        <v>12</v>
      </c>
      <c r="L131" s="277">
        <f ca="1">MAX(Table10[[#This Row],[HH]]*VLOOKUP("Winter Items Other ",NFI,6)-Table10[[#This Row],[Winter Items Other ]],0)</f>
        <v>12</v>
      </c>
      <c r="M131" s="310" t="str">
        <f>IF(OR(Table10[[#This Row],[Winter Clothes Adult ]]&lt;&gt;0,Table10[[#This Row],[Winter Clothes Children ]]&lt;&gt;0,Table10[[#This Row],[Winter Items Other ]]&lt;&gt;0),"No","")</f>
        <v/>
      </c>
      <c r="N131" s="311">
        <f>COUNTIF(A:A,Table10[[#This Row],[Pcode]])-1</f>
        <v>0</v>
      </c>
    </row>
    <row r="132" spans="1:14" x14ac:dyDescent="0.25">
      <c r="A132" s="259" t="s">
        <v>343</v>
      </c>
      <c r="B132" s="18" t="str">
        <f ca="1">OFFSET(CampList[Priority],MATCH(Table10[[#This Row],[Pcode]],CampList[CP_Pcode],0)-1,0,1,1)</f>
        <v>P4</v>
      </c>
      <c r="C132" s="18" t="str">
        <f ca="1">OFFSET(CampList[Camp],MATCH(Table10[[#This Row],[Pcode]],CampList[CP_Pcode],0)-1,0,1,1)</f>
        <v>Nawng Hee Village</v>
      </c>
      <c r="D132" s="18" t="str">
        <f ca="1">OFFSET(CampList[Township],MATCH(Table10[[#This Row],[Pcode]],CampList[CP_Pcode],0)-1,0,1,1)</f>
        <v>Waingmaw</v>
      </c>
      <c r="E132" s="277">
        <f ca="1">OFFSET(CampList[HH],MATCH(Table10[[#This Row],[Pcode]],CampList[CP_Pcode],0)-1,0,1,1)</f>
        <v>18</v>
      </c>
      <c r="F132" s="277">
        <f ca="1">OFFSET(CampList[Total],MATCH(Table10[[#This Row],[Pcode]],CampList[CP_Pcode],0)-1,0,1,1)</f>
        <v>82</v>
      </c>
      <c r="G132" s="277">
        <f>SUMIF('NFI Tracking'!AQ$11:AQ$1048576,Table10[[#This Row],[Pcode]],'NFI Tracking'!AI$11:AI$1048576)</f>
        <v>0</v>
      </c>
      <c r="H132" s="277">
        <f>SUMIF('NFI Tracking'!AQ$11:AQ$1048576,Table10[[#This Row],[Pcode]],'NFI Tracking'!AJ$11:AJ$1048576)</f>
        <v>0</v>
      </c>
      <c r="I132" s="277">
        <f>SUMIF('NFI Tracking'!AQ$11:AQ$1048576,Table10[[#This Row],[Pcode]],'NFI Tracking'!AK$11:AK$1048576)</f>
        <v>0</v>
      </c>
      <c r="J132" s="277">
        <f ca="1">MAX(Table10[[#This Row],[HH]]*VLOOKUP("Winter Clothes Adult",NFI,6)-Table10[[#This Row],[Winter Clothes Adult ]],0)</f>
        <v>36</v>
      </c>
      <c r="K132" s="277">
        <f ca="1">MAX(Table10[[#This Row],[HH]]*VLOOKUP("Winter Clothes Children ",NFI,6)-Table10[[#This Row],[Winter Clothes Children ]],0)</f>
        <v>18</v>
      </c>
      <c r="L132" s="277">
        <f ca="1">MAX(Table10[[#This Row],[HH]]*VLOOKUP("Winter Items Other ",NFI,6)-Table10[[#This Row],[Winter Items Other ]],0)</f>
        <v>18</v>
      </c>
      <c r="M132" s="310" t="str">
        <f>IF(OR(Table10[[#This Row],[Winter Clothes Adult ]]&lt;&gt;0,Table10[[#This Row],[Winter Clothes Children ]]&lt;&gt;0,Table10[[#This Row],[Winter Items Other ]]&lt;&gt;0),"No","")</f>
        <v/>
      </c>
      <c r="N132" s="311">
        <f>COUNTIF(A:A,Table10[[#This Row],[Pcode]])-1</f>
        <v>0</v>
      </c>
    </row>
    <row r="133" spans="1:14" x14ac:dyDescent="0.25">
      <c r="A133" s="259" t="s">
        <v>286</v>
      </c>
      <c r="B133" s="18" t="str">
        <f ca="1">OFFSET(CampList[Priority],MATCH(Table10[[#This Row],[Pcode]],CampList[CP_Pcode],0)-1,0,1,1)</f>
        <v>P4</v>
      </c>
      <c r="C133" s="18" t="str">
        <f ca="1">OFFSET(CampList[Camp],MATCH(Table10[[#This Row],[Pcode]],CampList[CP_Pcode],0)-1,0,1,1)</f>
        <v xml:space="preserve">Nawng Ing (Indawgyi) Baptist Church  </v>
      </c>
      <c r="D133" s="18" t="str">
        <f ca="1">OFFSET(CampList[Township],MATCH(Table10[[#This Row],[Pcode]],CampList[CP_Pcode],0)-1,0,1,1)</f>
        <v>Mohnyin</v>
      </c>
      <c r="E133" s="277">
        <f ca="1">OFFSET(CampList[HH],MATCH(Table10[[#This Row],[Pcode]],CampList[CP_Pcode],0)-1,0,1,1)</f>
        <v>10</v>
      </c>
      <c r="F133" s="277">
        <f ca="1">OFFSET(CampList[Total],MATCH(Table10[[#This Row],[Pcode]],CampList[CP_Pcode],0)-1,0,1,1)</f>
        <v>60</v>
      </c>
      <c r="G133" s="277">
        <f>SUMIF('NFI Tracking'!AQ$11:AQ$1048576,Table10[[#This Row],[Pcode]],'NFI Tracking'!AI$11:AI$1048576)</f>
        <v>0</v>
      </c>
      <c r="H133" s="277">
        <f>SUMIF('NFI Tracking'!AQ$11:AQ$1048576,Table10[[#This Row],[Pcode]],'NFI Tracking'!AJ$11:AJ$1048576)</f>
        <v>0</v>
      </c>
      <c r="I133" s="277">
        <f>SUMIF('NFI Tracking'!AQ$11:AQ$1048576,Table10[[#This Row],[Pcode]],'NFI Tracking'!AK$11:AK$1048576)</f>
        <v>0</v>
      </c>
      <c r="J133" s="277">
        <f ca="1">MAX(Table10[[#This Row],[HH]]*VLOOKUP("Winter Clothes Adult",NFI,6)-Table10[[#This Row],[Winter Clothes Adult ]],0)</f>
        <v>20</v>
      </c>
      <c r="K133" s="277">
        <f ca="1">MAX(Table10[[#This Row],[HH]]*VLOOKUP("Winter Clothes Children ",NFI,6)-Table10[[#This Row],[Winter Clothes Children ]],0)</f>
        <v>10</v>
      </c>
      <c r="L133" s="277">
        <f ca="1">MAX(Table10[[#This Row],[HH]]*VLOOKUP("Winter Items Other ",NFI,6)-Table10[[#This Row],[Winter Items Other ]],0)</f>
        <v>10</v>
      </c>
      <c r="M133" s="310" t="str">
        <f>IF(OR(Table10[[#This Row],[Winter Clothes Adult ]]&lt;&gt;0,Table10[[#This Row],[Winter Clothes Children ]]&lt;&gt;0,Table10[[#This Row],[Winter Items Other ]]&lt;&gt;0),"No","")</f>
        <v/>
      </c>
      <c r="N133" s="311">
        <f>COUNTIF(A:A,Table10[[#This Row],[Pcode]])-1</f>
        <v>0</v>
      </c>
    </row>
    <row r="134" spans="1:14" x14ac:dyDescent="0.25">
      <c r="A134" s="259" t="s">
        <v>216</v>
      </c>
      <c r="B134" s="18" t="str">
        <f ca="1">OFFSET(CampList[Priority],MATCH(Table10[[#This Row],[Pcode]],CampList[CP_Pcode],0)-1,0,1,1)</f>
        <v>P4</v>
      </c>
      <c r="C134" s="18" t="str">
        <f ca="1">OFFSET(CampList[Camp],MATCH(Table10[[#This Row],[Pcode]],CampList[CP_Pcode],0)-1,0,1,1)</f>
        <v>Ni Thaw Ka Monestry</v>
      </c>
      <c r="D134" s="18" t="str">
        <f ca="1">OFFSET(CampList[Township],MATCH(Table10[[#This Row],[Pcode]],CampList[CP_Pcode],0)-1,0,1,1)</f>
        <v>Momauk</v>
      </c>
      <c r="E134" s="277">
        <f ca="1">OFFSET(CampList[HH],MATCH(Table10[[#This Row],[Pcode]],CampList[CP_Pcode],0)-1,0,1,1)</f>
        <v>0</v>
      </c>
      <c r="F134" s="277">
        <f ca="1">OFFSET(CampList[Total],MATCH(Table10[[#This Row],[Pcode]],CampList[CP_Pcode],0)-1,0,1,1)</f>
        <v>0</v>
      </c>
      <c r="G134" s="277">
        <f>SUMIF('NFI Tracking'!AQ$11:AQ$1048576,Table10[[#This Row],[Pcode]],'NFI Tracking'!AI$11:AI$1048576)</f>
        <v>0</v>
      </c>
      <c r="H134" s="277">
        <f>SUMIF('NFI Tracking'!AQ$11:AQ$1048576,Table10[[#This Row],[Pcode]],'NFI Tracking'!AJ$11:AJ$1048576)</f>
        <v>0</v>
      </c>
      <c r="I134" s="277">
        <f>SUMIF('NFI Tracking'!AQ$11:AQ$1048576,Table10[[#This Row],[Pcode]],'NFI Tracking'!AK$11:AK$1048576)</f>
        <v>0</v>
      </c>
      <c r="J134" s="277">
        <f ca="1">MAX(Table10[[#This Row],[HH]]*VLOOKUP("Winter Clothes Adult",NFI,6)-Table10[[#This Row],[Winter Clothes Adult ]],0)</f>
        <v>0</v>
      </c>
      <c r="K134" s="277">
        <f ca="1">MAX(Table10[[#This Row],[HH]]*VLOOKUP("Winter Clothes Children ",NFI,6)-Table10[[#This Row],[Winter Clothes Children ]],0)</f>
        <v>0</v>
      </c>
      <c r="L134" s="277">
        <f ca="1">MAX(Table10[[#This Row],[HH]]*VLOOKUP("Winter Items Other ",NFI,6)-Table10[[#This Row],[Winter Items Other ]],0)</f>
        <v>0</v>
      </c>
      <c r="M134" s="310" t="str">
        <f>IF(OR(Table10[[#This Row],[Winter Clothes Adult ]]&lt;&gt;0,Table10[[#This Row],[Winter Clothes Children ]]&lt;&gt;0,Table10[[#This Row],[Winter Items Other ]]&lt;&gt;0),"No","")</f>
        <v/>
      </c>
      <c r="N134" s="311">
        <f>COUNTIF(A:A,Table10[[#This Row],[Pcode]])-1</f>
        <v>0</v>
      </c>
    </row>
    <row r="135" spans="1:14" x14ac:dyDescent="0.25">
      <c r="A135" s="259" t="s">
        <v>268</v>
      </c>
      <c r="B135" s="18" t="str">
        <f ca="1">OFFSET(CampList[Priority],MATCH(Table10[[#This Row],[Pcode]],CampList[CP_Pcode],0)-1,0,1,1)</f>
        <v>P4</v>
      </c>
      <c r="C135" s="18" t="str">
        <f ca="1">OFFSET(CampList[Camp],MATCH(Table10[[#This Row],[Pcode]],CampList[CP_Pcode],0)-1,0,1,1)</f>
        <v xml:space="preserve">Njang Dung Baptist Church </v>
      </c>
      <c r="D135" s="18" t="str">
        <f ca="1">OFFSET(CampList[Township],MATCH(Table10[[#This Row],[Pcode]],CampList[CP_Pcode],0)-1,0,1,1)</f>
        <v>Myitkyina</v>
      </c>
      <c r="E135" s="277">
        <f ca="1">OFFSET(CampList[HH],MATCH(Table10[[#This Row],[Pcode]],CampList[CP_Pcode],0)-1,0,1,1)</f>
        <v>62</v>
      </c>
      <c r="F135" s="277">
        <f ca="1">OFFSET(CampList[Total],MATCH(Table10[[#This Row],[Pcode]],CampList[CP_Pcode],0)-1,0,1,1)</f>
        <v>264</v>
      </c>
      <c r="G135" s="277">
        <f>SUMIF('NFI Tracking'!AQ$11:AQ$1048576,Table10[[#This Row],[Pcode]],'NFI Tracking'!AI$11:AI$1048576)</f>
        <v>0</v>
      </c>
      <c r="H135" s="277">
        <f>SUMIF('NFI Tracking'!AQ$11:AQ$1048576,Table10[[#This Row],[Pcode]],'NFI Tracking'!AJ$11:AJ$1048576)</f>
        <v>0</v>
      </c>
      <c r="I135" s="277">
        <f>SUMIF('NFI Tracking'!AQ$11:AQ$1048576,Table10[[#This Row],[Pcode]],'NFI Tracking'!AK$11:AK$1048576)</f>
        <v>0</v>
      </c>
      <c r="J135" s="277">
        <f ca="1">MAX(Table10[[#This Row],[HH]]*VLOOKUP("Winter Clothes Adult",NFI,6)-Table10[[#This Row],[Winter Clothes Adult ]],0)</f>
        <v>124</v>
      </c>
      <c r="K135" s="277">
        <f ca="1">MAX(Table10[[#This Row],[HH]]*VLOOKUP("Winter Clothes Children ",NFI,6)-Table10[[#This Row],[Winter Clothes Children ]],0)</f>
        <v>62</v>
      </c>
      <c r="L135" s="277">
        <f ca="1">MAX(Table10[[#This Row],[HH]]*VLOOKUP("Winter Items Other ",NFI,6)-Table10[[#This Row],[Winter Items Other ]],0)</f>
        <v>62</v>
      </c>
      <c r="M135" s="310" t="str">
        <f>IF(OR(Table10[[#This Row],[Winter Clothes Adult ]]&lt;&gt;0,Table10[[#This Row],[Winter Clothes Children ]]&lt;&gt;0,Table10[[#This Row],[Winter Items Other ]]&lt;&gt;0),"No","")</f>
        <v/>
      </c>
      <c r="N135" s="311">
        <f>COUNTIF(A:A,Table10[[#This Row],[Pcode]])-1</f>
        <v>0</v>
      </c>
    </row>
    <row r="136" spans="1:14" x14ac:dyDescent="0.25">
      <c r="A136" s="259" t="s">
        <v>272</v>
      </c>
      <c r="B136" s="18" t="str">
        <f ca="1">OFFSET(CampList[Priority],MATCH(Table10[[#This Row],[Pcode]],CampList[CP_Pcode],0)-1,0,1,1)</f>
        <v>P4</v>
      </c>
      <c r="C136" s="18" t="str">
        <f ca="1">OFFSET(CampList[Camp],MATCH(Table10[[#This Row],[Pcode]],CampList[CP_Pcode],0)-1,0,1,1)</f>
        <v>Pa Dauk Myaing(Pa La Na)</v>
      </c>
      <c r="D136" s="18" t="str">
        <f ca="1">OFFSET(CampList[Township],MATCH(Table10[[#This Row],[Pcode]],CampList[CP_Pcode],0)-1,0,1,1)</f>
        <v>Myitkyina</v>
      </c>
      <c r="E136" s="277">
        <f ca="1">OFFSET(CampList[HH],MATCH(Table10[[#This Row],[Pcode]],CampList[CP_Pcode],0)-1,0,1,1)</f>
        <v>46</v>
      </c>
      <c r="F136" s="277">
        <f ca="1">OFFSET(CampList[Total],MATCH(Table10[[#This Row],[Pcode]],CampList[CP_Pcode],0)-1,0,1,1)</f>
        <v>278</v>
      </c>
      <c r="G136" s="277">
        <f>SUMIF('NFI Tracking'!AQ$11:AQ$1048576,Table10[[#This Row],[Pcode]],'NFI Tracking'!AI$11:AI$1048576)</f>
        <v>0</v>
      </c>
      <c r="H136" s="277">
        <f>SUMIF('NFI Tracking'!AQ$11:AQ$1048576,Table10[[#This Row],[Pcode]],'NFI Tracking'!AJ$11:AJ$1048576)</f>
        <v>0</v>
      </c>
      <c r="I136" s="277">
        <f>SUMIF('NFI Tracking'!AQ$11:AQ$1048576,Table10[[#This Row],[Pcode]],'NFI Tracking'!AK$11:AK$1048576)</f>
        <v>0</v>
      </c>
      <c r="J136" s="277">
        <f ca="1">MAX(Table10[[#This Row],[HH]]*VLOOKUP("Winter Clothes Adult",NFI,6)-Table10[[#This Row],[Winter Clothes Adult ]],0)</f>
        <v>92</v>
      </c>
      <c r="K136" s="277">
        <f ca="1">MAX(Table10[[#This Row],[HH]]*VLOOKUP("Winter Clothes Children ",NFI,6)-Table10[[#This Row],[Winter Clothes Children ]],0)</f>
        <v>46</v>
      </c>
      <c r="L136" s="277">
        <f ca="1">MAX(Table10[[#This Row],[HH]]*VLOOKUP("Winter Items Other ",NFI,6)-Table10[[#This Row],[Winter Items Other ]],0)</f>
        <v>46</v>
      </c>
      <c r="M136" s="310" t="str">
        <f>IF(OR(Table10[[#This Row],[Winter Clothes Adult ]]&lt;&gt;0,Table10[[#This Row],[Winter Clothes Children ]]&lt;&gt;0,Table10[[#This Row],[Winter Items Other ]]&lt;&gt;0),"No","")</f>
        <v/>
      </c>
      <c r="N136" s="311">
        <f>COUNTIF(A:A,Table10[[#This Row],[Pcode]])-1</f>
        <v>0</v>
      </c>
    </row>
    <row r="137" spans="1:14" x14ac:dyDescent="0.25">
      <c r="A137" s="259" t="s">
        <v>376</v>
      </c>
      <c r="B137" s="18" t="str">
        <f ca="1">OFFSET(CampList[Priority],MATCH(Table10[[#This Row],[Pcode]],CampList[CP_Pcode],0)-1,0,1,1)</f>
        <v>P4</v>
      </c>
      <c r="C137" s="18" t="str">
        <f ca="1">OFFSET(CampList[Camp],MATCH(Table10[[#This Row],[Pcode]],CampList[CP_Pcode],0)-1,0,1,1)</f>
        <v>Phan Khar Kone</v>
      </c>
      <c r="D137" s="18" t="str">
        <f ca="1">OFFSET(CampList[Township],MATCH(Table10[[#This Row],[Pcode]],CampList[CP_Pcode],0)-1,0,1,1)</f>
        <v>Bhamo</v>
      </c>
      <c r="E137" s="277">
        <f ca="1">OFFSET(CampList[HH],MATCH(Table10[[#This Row],[Pcode]],CampList[CP_Pcode],0)-1,0,1,1)</f>
        <v>150</v>
      </c>
      <c r="F137" s="277">
        <f ca="1">OFFSET(CampList[Total],MATCH(Table10[[#This Row],[Pcode]],CampList[CP_Pcode],0)-1,0,1,1)</f>
        <v>761</v>
      </c>
      <c r="G137" s="277">
        <f>SUMIF('NFI Tracking'!AQ$11:AQ$1048576,Table10[[#This Row],[Pcode]],'NFI Tracking'!AI$11:AI$1048576)</f>
        <v>0</v>
      </c>
      <c r="H137" s="277">
        <f>SUMIF('NFI Tracking'!AQ$11:AQ$1048576,Table10[[#This Row],[Pcode]],'NFI Tracking'!AJ$11:AJ$1048576)</f>
        <v>0</v>
      </c>
      <c r="I137" s="277">
        <f>SUMIF('NFI Tracking'!AQ$11:AQ$1048576,Table10[[#This Row],[Pcode]],'NFI Tracking'!AK$11:AK$1048576)</f>
        <v>0</v>
      </c>
      <c r="J137" s="277">
        <f ca="1">MAX(Table10[[#This Row],[HH]]*VLOOKUP("Winter Clothes Adult",NFI,6)-Table10[[#This Row],[Winter Clothes Adult ]],0)</f>
        <v>300</v>
      </c>
      <c r="K137" s="277">
        <f ca="1">MAX(Table10[[#This Row],[HH]]*VLOOKUP("Winter Clothes Children ",NFI,6)-Table10[[#This Row],[Winter Clothes Children ]],0)</f>
        <v>150</v>
      </c>
      <c r="L137" s="277">
        <f ca="1">MAX(Table10[[#This Row],[HH]]*VLOOKUP("Winter Items Other ",NFI,6)-Table10[[#This Row],[Winter Items Other ]],0)</f>
        <v>150</v>
      </c>
      <c r="M137" s="310" t="str">
        <f>IF(OR(Table10[[#This Row],[Winter Clothes Adult ]]&lt;&gt;0,Table10[[#This Row],[Winter Clothes Children ]]&lt;&gt;0,Table10[[#This Row],[Winter Items Other ]]&lt;&gt;0),"No","")</f>
        <v/>
      </c>
      <c r="N137" s="311">
        <f>COUNTIF(A:A,Table10[[#This Row],[Pcode]])-1</f>
        <v>0</v>
      </c>
    </row>
    <row r="138" spans="1:14" x14ac:dyDescent="0.25">
      <c r="A138" s="259" t="s">
        <v>220</v>
      </c>
      <c r="B138" s="18" t="str">
        <f ca="1">OFFSET(CampList[Priority],MATCH(Table10[[#This Row],[Pcode]],CampList[CP_Pcode],0)-1,0,1,1)</f>
        <v>P4</v>
      </c>
      <c r="C138" s="18" t="str">
        <f ca="1">OFFSET(CampList[Camp],MATCH(Table10[[#This Row],[Pcode]],CampList[CP_Pcode],0)-1,0,1,1)</f>
        <v xml:space="preserve">Phar Kay/Nant Waing </v>
      </c>
      <c r="D138" s="18" t="str">
        <f ca="1">OFFSET(CampList[Township],MATCH(Table10[[#This Row],[Pcode]],CampList[CP_Pcode],0)-1,0,1,1)</f>
        <v>Momauk</v>
      </c>
      <c r="E138" s="277">
        <f ca="1">OFFSET(CampList[HH],MATCH(Table10[[#This Row],[Pcode]],CampList[CP_Pcode],0)-1,0,1,1)</f>
        <v>39</v>
      </c>
      <c r="F138" s="277">
        <f ca="1">OFFSET(CampList[Total],MATCH(Table10[[#This Row],[Pcode]],CampList[CP_Pcode],0)-1,0,1,1)</f>
        <v>176</v>
      </c>
      <c r="G138" s="277">
        <f>SUMIF('NFI Tracking'!AQ$11:AQ$1048576,Table10[[#This Row],[Pcode]],'NFI Tracking'!AI$11:AI$1048576)</f>
        <v>0</v>
      </c>
      <c r="H138" s="277">
        <f>SUMIF('NFI Tracking'!AQ$11:AQ$1048576,Table10[[#This Row],[Pcode]],'NFI Tracking'!AJ$11:AJ$1048576)</f>
        <v>0</v>
      </c>
      <c r="I138" s="277">
        <f>SUMIF('NFI Tracking'!AQ$11:AQ$1048576,Table10[[#This Row],[Pcode]],'NFI Tracking'!AK$11:AK$1048576)</f>
        <v>0</v>
      </c>
      <c r="J138" s="277">
        <f ca="1">MAX(Table10[[#This Row],[HH]]*VLOOKUP("Winter Clothes Adult",NFI,6)-Table10[[#This Row],[Winter Clothes Adult ]],0)</f>
        <v>78</v>
      </c>
      <c r="K138" s="277">
        <f ca="1">MAX(Table10[[#This Row],[HH]]*VLOOKUP("Winter Clothes Children ",NFI,6)-Table10[[#This Row],[Winter Clothes Children ]],0)</f>
        <v>39</v>
      </c>
      <c r="L138" s="277">
        <f ca="1">MAX(Table10[[#This Row],[HH]]*VLOOKUP("Winter Items Other ",NFI,6)-Table10[[#This Row],[Winter Items Other ]],0)</f>
        <v>39</v>
      </c>
      <c r="M138" s="310" t="str">
        <f>IF(OR(Table10[[#This Row],[Winter Clothes Adult ]]&lt;&gt;0,Table10[[#This Row],[Winter Clothes Children ]]&lt;&gt;0,Table10[[#This Row],[Winter Items Other ]]&lt;&gt;0),"No","")</f>
        <v/>
      </c>
      <c r="N138" s="311">
        <f>COUNTIF(A:A,Table10[[#This Row],[Pcode]])-1</f>
        <v>0</v>
      </c>
    </row>
    <row r="139" spans="1:14" x14ac:dyDescent="0.25">
      <c r="A139" s="259" t="s">
        <v>317</v>
      </c>
      <c r="B139" s="18" t="str">
        <f ca="1">OFFSET(CampList[Priority],MATCH(Table10[[#This Row],[Pcode]],CampList[CP_Pcode],0)-1,0,1,1)</f>
        <v>P4</v>
      </c>
      <c r="C139" s="18" t="str">
        <f ca="1">OFFSET(CampList[Camp],MATCH(Table10[[#This Row],[Pcode]],CampList[CP_Pcode],0)-1,0,1,1)</f>
        <v>Qtr. 2 Lhaovo Baptist Church</v>
      </c>
      <c r="D139" s="18" t="str">
        <f ca="1">OFFSET(CampList[Township],MATCH(Table10[[#This Row],[Pcode]],CampList[CP_Pcode],0)-1,0,1,1)</f>
        <v>Waingmaw</v>
      </c>
      <c r="E139" s="277">
        <f ca="1">OFFSET(CampList[HH],MATCH(Table10[[#This Row],[Pcode]],CampList[CP_Pcode],0)-1,0,1,1)</f>
        <v>91</v>
      </c>
      <c r="F139" s="277">
        <f ca="1">OFFSET(CampList[Total],MATCH(Table10[[#This Row],[Pcode]],CampList[CP_Pcode],0)-1,0,1,1)</f>
        <v>329</v>
      </c>
      <c r="G139" s="277">
        <f>SUMIF('NFI Tracking'!AQ$11:AQ$1048576,Table10[[#This Row],[Pcode]],'NFI Tracking'!AI$11:AI$1048576)</f>
        <v>0</v>
      </c>
      <c r="H139" s="277">
        <f>SUMIF('NFI Tracking'!AQ$11:AQ$1048576,Table10[[#This Row],[Pcode]],'NFI Tracking'!AJ$11:AJ$1048576)</f>
        <v>0</v>
      </c>
      <c r="I139" s="277">
        <f>SUMIF('NFI Tracking'!AQ$11:AQ$1048576,Table10[[#This Row],[Pcode]],'NFI Tracking'!AK$11:AK$1048576)</f>
        <v>0</v>
      </c>
      <c r="J139" s="277">
        <f ca="1">MAX(Table10[[#This Row],[HH]]*VLOOKUP("Winter Clothes Adult",NFI,6)-Table10[[#This Row],[Winter Clothes Adult ]],0)</f>
        <v>182</v>
      </c>
      <c r="K139" s="277">
        <f ca="1">MAX(Table10[[#This Row],[HH]]*VLOOKUP("Winter Clothes Children ",NFI,6)-Table10[[#This Row],[Winter Clothes Children ]],0)</f>
        <v>91</v>
      </c>
      <c r="L139" s="277">
        <f ca="1">MAX(Table10[[#This Row],[HH]]*VLOOKUP("Winter Items Other ",NFI,6)-Table10[[#This Row],[Winter Items Other ]],0)</f>
        <v>91</v>
      </c>
      <c r="M139" s="310" t="str">
        <f>IF(OR(Table10[[#This Row],[Winter Clothes Adult ]]&lt;&gt;0,Table10[[#This Row],[Winter Clothes Children ]]&lt;&gt;0,Table10[[#This Row],[Winter Items Other ]]&lt;&gt;0),"No","")</f>
        <v/>
      </c>
      <c r="N139" s="311">
        <f>COUNTIF(A:A,Table10[[#This Row],[Pcode]])-1</f>
        <v>0</v>
      </c>
    </row>
    <row r="140" spans="1:14" x14ac:dyDescent="0.25">
      <c r="A140" s="259" t="s">
        <v>341</v>
      </c>
      <c r="B140" s="18" t="str">
        <f ca="1">OFFSET(CampList[Priority],MATCH(Table10[[#This Row],[Pcode]],CampList[CP_Pcode],0)-1,0,1,1)</f>
        <v>P4</v>
      </c>
      <c r="C140" s="18" t="str">
        <f ca="1">OFFSET(CampList[Camp],MATCH(Table10[[#This Row],[Pcode]],CampList[CP_Pcode],0)-1,0,1,1)</f>
        <v>Qtr. 2 Myoma Baptist Church</v>
      </c>
      <c r="D140" s="18" t="str">
        <f ca="1">OFFSET(CampList[Township],MATCH(Table10[[#This Row],[Pcode]],CampList[CP_Pcode],0)-1,0,1,1)</f>
        <v>Waingmaw</v>
      </c>
      <c r="E140" s="277">
        <f ca="1">OFFSET(CampList[HH],MATCH(Table10[[#This Row],[Pcode]],CampList[CP_Pcode],0)-1,0,1,1)</f>
        <v>31</v>
      </c>
      <c r="F140" s="277">
        <f ca="1">OFFSET(CampList[Total],MATCH(Table10[[#This Row],[Pcode]],CampList[CP_Pcode],0)-1,0,1,1)</f>
        <v>170</v>
      </c>
      <c r="G140" s="277">
        <f>SUMIF('NFI Tracking'!AQ$11:AQ$1048576,Table10[[#This Row],[Pcode]],'NFI Tracking'!AI$11:AI$1048576)</f>
        <v>0</v>
      </c>
      <c r="H140" s="277">
        <f>SUMIF('NFI Tracking'!AQ$11:AQ$1048576,Table10[[#This Row],[Pcode]],'NFI Tracking'!AJ$11:AJ$1048576)</f>
        <v>0</v>
      </c>
      <c r="I140" s="277">
        <f>SUMIF('NFI Tracking'!AQ$11:AQ$1048576,Table10[[#This Row],[Pcode]],'NFI Tracking'!AK$11:AK$1048576)</f>
        <v>0</v>
      </c>
      <c r="J140" s="277">
        <f ca="1">MAX(Table10[[#This Row],[HH]]*VLOOKUP("Winter Clothes Adult",NFI,6)-Table10[[#This Row],[Winter Clothes Adult ]],0)</f>
        <v>62</v>
      </c>
      <c r="K140" s="277">
        <f ca="1">MAX(Table10[[#This Row],[HH]]*VLOOKUP("Winter Clothes Children ",NFI,6)-Table10[[#This Row],[Winter Clothes Children ]],0)</f>
        <v>31</v>
      </c>
      <c r="L140" s="277">
        <f ca="1">MAX(Table10[[#This Row],[HH]]*VLOOKUP("Winter Items Other ",NFI,6)-Table10[[#This Row],[Winter Items Other ]],0)</f>
        <v>31</v>
      </c>
      <c r="M140" s="310" t="str">
        <f>IF(OR(Table10[[#This Row],[Winter Clothes Adult ]]&lt;&gt;0,Table10[[#This Row],[Winter Clothes Children ]]&lt;&gt;0,Table10[[#This Row],[Winter Items Other ]]&lt;&gt;0),"No","")</f>
        <v/>
      </c>
      <c r="N140" s="311">
        <f>COUNTIF(A:A,Table10[[#This Row],[Pcode]])-1</f>
        <v>0</v>
      </c>
    </row>
    <row r="141" spans="1:14" x14ac:dyDescent="0.25">
      <c r="A141" s="259" t="s">
        <v>337</v>
      </c>
      <c r="B141" s="18" t="str">
        <f ca="1">OFFSET(CampList[Priority],MATCH(Table10[[#This Row],[Pcode]],CampList[CP_Pcode],0)-1,0,1,1)</f>
        <v>P4</v>
      </c>
      <c r="C141" s="18" t="str">
        <f ca="1">OFFSET(CampList[Camp],MATCH(Table10[[#This Row],[Pcode]],CampList[CP_Pcode],0)-1,0,1,1)</f>
        <v>Qtr. 3 Mu-yin  Baptist Church</v>
      </c>
      <c r="D141" s="18" t="str">
        <f ca="1">OFFSET(CampList[Township],MATCH(Table10[[#This Row],[Pcode]],CampList[CP_Pcode],0)-1,0,1,1)</f>
        <v>Waingmaw</v>
      </c>
      <c r="E141" s="277">
        <f ca="1">OFFSET(CampList[HH],MATCH(Table10[[#This Row],[Pcode]],CampList[CP_Pcode],0)-1,0,1,1)</f>
        <v>31</v>
      </c>
      <c r="F141" s="277">
        <f ca="1">OFFSET(CampList[Total],MATCH(Table10[[#This Row],[Pcode]],CampList[CP_Pcode],0)-1,0,1,1)</f>
        <v>172</v>
      </c>
      <c r="G141" s="277">
        <f>SUMIF('NFI Tracking'!AQ$11:AQ$1048576,Table10[[#This Row],[Pcode]],'NFI Tracking'!AI$11:AI$1048576)</f>
        <v>0</v>
      </c>
      <c r="H141" s="277">
        <f>SUMIF('NFI Tracking'!AQ$11:AQ$1048576,Table10[[#This Row],[Pcode]],'NFI Tracking'!AJ$11:AJ$1048576)</f>
        <v>0</v>
      </c>
      <c r="I141" s="277">
        <f>SUMIF('NFI Tracking'!AQ$11:AQ$1048576,Table10[[#This Row],[Pcode]],'NFI Tracking'!AK$11:AK$1048576)</f>
        <v>0</v>
      </c>
      <c r="J141" s="277">
        <f ca="1">MAX(Table10[[#This Row],[HH]]*VLOOKUP("Winter Clothes Adult",NFI,6)-Table10[[#This Row],[Winter Clothes Adult ]],0)</f>
        <v>62</v>
      </c>
      <c r="K141" s="277">
        <f ca="1">MAX(Table10[[#This Row],[HH]]*VLOOKUP("Winter Clothes Children ",NFI,6)-Table10[[#This Row],[Winter Clothes Children ]],0)</f>
        <v>31</v>
      </c>
      <c r="L141" s="277">
        <f ca="1">MAX(Table10[[#This Row],[HH]]*VLOOKUP("Winter Items Other ",NFI,6)-Table10[[#This Row],[Winter Items Other ]],0)</f>
        <v>31</v>
      </c>
      <c r="M141" s="310" t="str">
        <f>IF(OR(Table10[[#This Row],[Winter Clothes Adult ]]&lt;&gt;0,Table10[[#This Row],[Winter Clothes Children ]]&lt;&gt;0,Table10[[#This Row],[Winter Items Other ]]&lt;&gt;0),"No","")</f>
        <v/>
      </c>
      <c r="N141" s="311">
        <f>COUNTIF(A:A,Table10[[#This Row],[Pcode]])-1</f>
        <v>0</v>
      </c>
    </row>
    <row r="142" spans="1:14" x14ac:dyDescent="0.25">
      <c r="A142" s="259" t="s">
        <v>350</v>
      </c>
      <c r="B142" s="18" t="str">
        <f ca="1">OFFSET(CampList[Priority],MATCH(Table10[[#This Row],[Pcode]],CampList[CP_Pcode],0)-1,0,1,1)</f>
        <v>P4</v>
      </c>
      <c r="C142" s="18" t="str">
        <f ca="1">OFFSET(CampList[Camp],MATCH(Table10[[#This Row],[Pcode]],CampList[CP_Pcode],0)-1,0,1,1)</f>
        <v>Qtr. 4 Monestry (Thargaya Thayett Taw)</v>
      </c>
      <c r="D142" s="18" t="str">
        <f ca="1">OFFSET(CampList[Township],MATCH(Table10[[#This Row],[Pcode]],CampList[CP_Pcode],0)-1,0,1,1)</f>
        <v>Waingmaw</v>
      </c>
      <c r="E142" s="277">
        <f ca="1">OFFSET(CampList[HH],MATCH(Table10[[#This Row],[Pcode]],CampList[CP_Pcode],0)-1,0,1,1)</f>
        <v>87</v>
      </c>
      <c r="F142" s="277">
        <f ca="1">OFFSET(CampList[Total],MATCH(Table10[[#This Row],[Pcode]],CampList[CP_Pcode],0)-1,0,1,1)</f>
        <v>479</v>
      </c>
      <c r="G142" s="277">
        <f>SUMIF('NFI Tracking'!AQ$11:AQ$1048576,Table10[[#This Row],[Pcode]],'NFI Tracking'!AI$11:AI$1048576)</f>
        <v>0</v>
      </c>
      <c r="H142" s="277">
        <f>SUMIF('NFI Tracking'!AQ$11:AQ$1048576,Table10[[#This Row],[Pcode]],'NFI Tracking'!AJ$11:AJ$1048576)</f>
        <v>0</v>
      </c>
      <c r="I142" s="277">
        <f>SUMIF('NFI Tracking'!AQ$11:AQ$1048576,Table10[[#This Row],[Pcode]],'NFI Tracking'!AK$11:AK$1048576)</f>
        <v>0</v>
      </c>
      <c r="J142" s="277">
        <f ca="1">MAX(Table10[[#This Row],[HH]]*VLOOKUP("Winter Clothes Adult",NFI,6)-Table10[[#This Row],[Winter Clothes Adult ]],0)</f>
        <v>174</v>
      </c>
      <c r="K142" s="277">
        <f ca="1">MAX(Table10[[#This Row],[HH]]*VLOOKUP("Winter Clothes Children ",NFI,6)-Table10[[#This Row],[Winter Clothes Children ]],0)</f>
        <v>87</v>
      </c>
      <c r="L142" s="277">
        <f ca="1">MAX(Table10[[#This Row],[HH]]*VLOOKUP("Winter Items Other ",NFI,6)-Table10[[#This Row],[Winter Items Other ]],0)</f>
        <v>87</v>
      </c>
      <c r="M142" s="310" t="str">
        <f>IF(OR(Table10[[#This Row],[Winter Clothes Adult ]]&lt;&gt;0,Table10[[#This Row],[Winter Clothes Children ]]&lt;&gt;0,Table10[[#This Row],[Winter Items Other ]]&lt;&gt;0),"No","")</f>
        <v/>
      </c>
      <c r="N142" s="311">
        <f>COUNTIF(A:A,Table10[[#This Row],[Pcode]])-1</f>
        <v>0</v>
      </c>
    </row>
    <row r="143" spans="1:14" x14ac:dyDescent="0.25">
      <c r="A143" s="259" t="s">
        <v>117</v>
      </c>
      <c r="B143" s="18" t="str">
        <f ca="1">OFFSET(CampList[Priority],MATCH(Table10[[#This Row],[Pcode]],CampList[CP_Pcode],0)-1,0,1,1)</f>
        <v>P4</v>
      </c>
      <c r="C143" s="18" t="str">
        <f ca="1">OFFSET(CampList[Camp],MATCH(Table10[[#This Row],[Pcode]],CampList[CP_Pcode],0)-1,0,1,1)</f>
        <v>Rawan Baptist Church, Maw Shan Vil., Seik Mu</v>
      </c>
      <c r="D143" s="18" t="str">
        <f ca="1">OFFSET(CampList[Township],MATCH(Table10[[#This Row],[Pcode]],CampList[CP_Pcode],0)-1,0,1,1)</f>
        <v>Hpakant</v>
      </c>
      <c r="E143" s="277">
        <f ca="1">OFFSET(CampList[HH],MATCH(Table10[[#This Row],[Pcode]],CampList[CP_Pcode],0)-1,0,1,1)</f>
        <v>10</v>
      </c>
      <c r="F143" s="277">
        <f ca="1">OFFSET(CampList[Total],MATCH(Table10[[#This Row],[Pcode]],CampList[CP_Pcode],0)-1,0,1,1)</f>
        <v>39</v>
      </c>
      <c r="G143" s="277">
        <f>SUMIF('NFI Tracking'!AQ$11:AQ$1048576,Table10[[#This Row],[Pcode]],'NFI Tracking'!AI$11:AI$1048576)</f>
        <v>0</v>
      </c>
      <c r="H143" s="277">
        <f>SUMIF('NFI Tracking'!AQ$11:AQ$1048576,Table10[[#This Row],[Pcode]],'NFI Tracking'!AJ$11:AJ$1048576)</f>
        <v>0</v>
      </c>
      <c r="I143" s="277">
        <f>SUMIF('NFI Tracking'!AQ$11:AQ$1048576,Table10[[#This Row],[Pcode]],'NFI Tracking'!AK$11:AK$1048576)</f>
        <v>0</v>
      </c>
      <c r="J143" s="277">
        <f ca="1">MAX(Table10[[#This Row],[HH]]*VLOOKUP("Winter Clothes Adult",NFI,6)-Table10[[#This Row],[Winter Clothes Adult ]],0)</f>
        <v>20</v>
      </c>
      <c r="K143" s="277">
        <f ca="1">MAX(Table10[[#This Row],[HH]]*VLOOKUP("Winter Clothes Children ",NFI,6)-Table10[[#This Row],[Winter Clothes Children ]],0)</f>
        <v>10</v>
      </c>
      <c r="L143" s="277">
        <f ca="1">MAX(Table10[[#This Row],[HH]]*VLOOKUP("Winter Items Other ",NFI,6)-Table10[[#This Row],[Winter Items Other ]],0)</f>
        <v>10</v>
      </c>
      <c r="M143" s="310" t="str">
        <f>IF(OR(Table10[[#This Row],[Winter Clothes Adult ]]&lt;&gt;0,Table10[[#This Row],[Winter Clothes Children ]]&lt;&gt;0,Table10[[#This Row],[Winter Items Other ]]&lt;&gt;0),"No","")</f>
        <v/>
      </c>
      <c r="N143" s="311">
        <f>COUNTIF(A:A,Table10[[#This Row],[Pcode]])-1</f>
        <v>0</v>
      </c>
    </row>
    <row r="144" spans="1:14" x14ac:dyDescent="0.25">
      <c r="A144" s="259" t="s">
        <v>21</v>
      </c>
      <c r="B144" s="18" t="str">
        <f ca="1">OFFSET(CampList[Priority],MATCH(Table10[[#This Row],[Pcode]],CampList[CP_Pcode],0)-1,0,1,1)</f>
        <v>P4</v>
      </c>
      <c r="C144" s="18" t="str">
        <f ca="1">OFFSET(CampList[Camp],MATCH(Table10[[#This Row],[Pcode]],CampList[CP_Pcode],0)-1,0,1,1)</f>
        <v>Robert Church</v>
      </c>
      <c r="D144" s="18" t="str">
        <f ca="1">OFFSET(CampList[Township],MATCH(Table10[[#This Row],[Pcode]],CampList[CP_Pcode],0)-1,0,1,1)</f>
        <v>Bhamo</v>
      </c>
      <c r="E144" s="277">
        <f ca="1">OFFSET(CampList[HH],MATCH(Table10[[#This Row],[Pcode]],CampList[CP_Pcode],0)-1,0,1,1)</f>
        <v>626</v>
      </c>
      <c r="F144" s="277">
        <f ca="1">OFFSET(CampList[Total],MATCH(Table10[[#This Row],[Pcode]],CampList[CP_Pcode],0)-1,0,1,1)</f>
        <v>3828</v>
      </c>
      <c r="G144" s="277">
        <f>SUMIF('NFI Tracking'!AQ$11:AQ$1048576,Table10[[#This Row],[Pcode]],'NFI Tracking'!AI$11:AI$1048576)</f>
        <v>0</v>
      </c>
      <c r="H144" s="277">
        <f>SUMIF('NFI Tracking'!AQ$11:AQ$1048576,Table10[[#This Row],[Pcode]],'NFI Tracking'!AJ$11:AJ$1048576)</f>
        <v>0</v>
      </c>
      <c r="I144" s="277">
        <f>SUMIF('NFI Tracking'!AQ$11:AQ$1048576,Table10[[#This Row],[Pcode]],'NFI Tracking'!AK$11:AK$1048576)</f>
        <v>0</v>
      </c>
      <c r="J144" s="277">
        <f ca="1">MAX(Table10[[#This Row],[HH]]*VLOOKUP("Winter Clothes Adult",NFI,6)-Table10[[#This Row],[Winter Clothes Adult ]],0)</f>
        <v>1252</v>
      </c>
      <c r="K144" s="277">
        <f ca="1">MAX(Table10[[#This Row],[HH]]*VLOOKUP("Winter Clothes Children ",NFI,6)-Table10[[#This Row],[Winter Clothes Children ]],0)</f>
        <v>626</v>
      </c>
      <c r="L144" s="277">
        <f ca="1">MAX(Table10[[#This Row],[HH]]*VLOOKUP("Winter Items Other ",NFI,6)-Table10[[#This Row],[Winter Items Other ]],0)</f>
        <v>626</v>
      </c>
      <c r="M144" s="310" t="str">
        <f>IF(OR(Table10[[#This Row],[Winter Clothes Adult ]]&lt;&gt;0,Table10[[#This Row],[Winter Clothes Children ]]&lt;&gt;0,Table10[[#This Row],[Winter Items Other ]]&lt;&gt;0),"No","")</f>
        <v/>
      </c>
      <c r="N144" s="311">
        <f>COUNTIF(A:A,Table10[[#This Row],[Pcode]])-1</f>
        <v>0</v>
      </c>
    </row>
    <row r="145" spans="1:14" x14ac:dyDescent="0.25">
      <c r="A145" s="259" t="s">
        <v>123</v>
      </c>
      <c r="B145" s="18" t="str">
        <f ca="1">OFFSET(CampList[Priority],MATCH(Table10[[#This Row],[Pcode]],CampList[CP_Pcode],0)-1,0,1,1)</f>
        <v>P4</v>
      </c>
      <c r="C145" s="18" t="str">
        <f ca="1">OFFSET(CampList[Camp],MATCH(Table10[[#This Row],[Pcode]],CampList[CP_Pcode],0)-1,0,1,1)</f>
        <v>Sai Nai Baptish Church, Maw Shan Vil., Seki Mu</v>
      </c>
      <c r="D145" s="18" t="str">
        <f ca="1">OFFSET(CampList[Township],MATCH(Table10[[#This Row],[Pcode]],CampList[CP_Pcode],0)-1,0,1,1)</f>
        <v>Hpakant</v>
      </c>
      <c r="E145" s="277">
        <f ca="1">OFFSET(CampList[HH],MATCH(Table10[[#This Row],[Pcode]],CampList[CP_Pcode],0)-1,0,1,1)</f>
        <v>8</v>
      </c>
      <c r="F145" s="277">
        <f ca="1">OFFSET(CampList[Total],MATCH(Table10[[#This Row],[Pcode]],CampList[CP_Pcode],0)-1,0,1,1)</f>
        <v>36</v>
      </c>
      <c r="G145" s="277">
        <f>SUMIF('NFI Tracking'!AQ$11:AQ$1048576,Table10[[#This Row],[Pcode]],'NFI Tracking'!AI$11:AI$1048576)</f>
        <v>0</v>
      </c>
      <c r="H145" s="277">
        <f>SUMIF('NFI Tracking'!AQ$11:AQ$1048576,Table10[[#This Row],[Pcode]],'NFI Tracking'!AJ$11:AJ$1048576)</f>
        <v>0</v>
      </c>
      <c r="I145" s="277">
        <f>SUMIF('NFI Tracking'!AQ$11:AQ$1048576,Table10[[#This Row],[Pcode]],'NFI Tracking'!AK$11:AK$1048576)</f>
        <v>0</v>
      </c>
      <c r="J145" s="277">
        <f ca="1">MAX(Table10[[#This Row],[HH]]*VLOOKUP("Winter Clothes Adult",NFI,6)-Table10[[#This Row],[Winter Clothes Adult ]],0)</f>
        <v>16</v>
      </c>
      <c r="K145" s="277">
        <f ca="1">MAX(Table10[[#This Row],[HH]]*VLOOKUP("Winter Clothes Children ",NFI,6)-Table10[[#This Row],[Winter Clothes Children ]],0)</f>
        <v>8</v>
      </c>
      <c r="L145" s="277">
        <f ca="1">MAX(Table10[[#This Row],[HH]]*VLOOKUP("Winter Items Other ",NFI,6)-Table10[[#This Row],[Winter Items Other ]],0)</f>
        <v>8</v>
      </c>
      <c r="M145" s="310" t="str">
        <f>IF(OR(Table10[[#This Row],[Winter Clothes Adult ]]&lt;&gt;0,Table10[[#This Row],[Winter Clothes Children ]]&lt;&gt;0,Table10[[#This Row],[Winter Items Other ]]&lt;&gt;0),"No","")</f>
        <v/>
      </c>
      <c r="N145" s="311">
        <f>COUNTIF(A:A,Table10[[#This Row],[Pcode]])-1</f>
        <v>0</v>
      </c>
    </row>
    <row r="146" spans="1:14" x14ac:dyDescent="0.25">
      <c r="A146" s="259" t="s">
        <v>276</v>
      </c>
      <c r="B146" s="18" t="str">
        <f ca="1">OFFSET(CampList[Priority],MATCH(Table10[[#This Row],[Pcode]],CampList[CP_Pcode],0)-1,0,1,1)</f>
        <v>P4</v>
      </c>
      <c r="C146" s="18" t="str">
        <f ca="1">OFFSET(CampList[Camp],MATCH(Table10[[#This Row],[Pcode]],CampList[CP_Pcode],0)-1,0,1,1)</f>
        <v>Shatapru Sut Ngai Tawng</v>
      </c>
      <c r="D146" s="18" t="str">
        <f ca="1">OFFSET(CampList[Township],MATCH(Table10[[#This Row],[Pcode]],CampList[CP_Pcode],0)-1,0,1,1)</f>
        <v>Myitkyina</v>
      </c>
      <c r="E146" s="277">
        <f ca="1">OFFSET(CampList[HH],MATCH(Table10[[#This Row],[Pcode]],CampList[CP_Pcode],0)-1,0,1,1)</f>
        <v>88</v>
      </c>
      <c r="F146" s="277">
        <f ca="1">OFFSET(CampList[Total],MATCH(Table10[[#This Row],[Pcode]],CampList[CP_Pcode],0)-1,0,1,1)</f>
        <v>394</v>
      </c>
      <c r="G146" s="277">
        <f>SUMIF('NFI Tracking'!AQ$11:AQ$1048576,Table10[[#This Row],[Pcode]],'NFI Tracking'!AI$11:AI$1048576)</f>
        <v>0</v>
      </c>
      <c r="H146" s="277">
        <f>SUMIF('NFI Tracking'!AQ$11:AQ$1048576,Table10[[#This Row],[Pcode]],'NFI Tracking'!AJ$11:AJ$1048576)</f>
        <v>0</v>
      </c>
      <c r="I146" s="277">
        <f>SUMIF('NFI Tracking'!AQ$11:AQ$1048576,Table10[[#This Row],[Pcode]],'NFI Tracking'!AK$11:AK$1048576)</f>
        <v>0</v>
      </c>
      <c r="J146" s="277">
        <f ca="1">MAX(Table10[[#This Row],[HH]]*VLOOKUP("Winter Clothes Adult",NFI,6)-Table10[[#This Row],[Winter Clothes Adult ]],0)</f>
        <v>176</v>
      </c>
      <c r="K146" s="277">
        <f ca="1">MAX(Table10[[#This Row],[HH]]*VLOOKUP("Winter Clothes Children ",NFI,6)-Table10[[#This Row],[Winter Clothes Children ]],0)</f>
        <v>88</v>
      </c>
      <c r="L146" s="277">
        <f ca="1">MAX(Table10[[#This Row],[HH]]*VLOOKUP("Winter Items Other ",NFI,6)-Table10[[#This Row],[Winter Items Other ]],0)</f>
        <v>88</v>
      </c>
      <c r="M146" s="310" t="str">
        <f>IF(OR(Table10[[#This Row],[Winter Clothes Adult ]]&lt;&gt;0,Table10[[#This Row],[Winter Clothes Children ]]&lt;&gt;0,Table10[[#This Row],[Winter Items Other ]]&lt;&gt;0),"No","")</f>
        <v/>
      </c>
      <c r="N146" s="311">
        <f>COUNTIF(A:A,Table10[[#This Row],[Pcode]])-1</f>
        <v>0</v>
      </c>
    </row>
    <row r="147" spans="1:14" x14ac:dyDescent="0.25">
      <c r="A147" s="259" t="s">
        <v>278</v>
      </c>
      <c r="B147" s="18" t="str">
        <f ca="1">OFFSET(CampList[Priority],MATCH(Table10[[#This Row],[Pcode]],CampList[CP_Pcode],0)-1,0,1,1)</f>
        <v>P4</v>
      </c>
      <c r="C147" s="18" t="str">
        <f ca="1">OFFSET(CampList[Camp],MATCH(Table10[[#This Row],[Pcode]],CampList[CP_Pcode],0)-1,0,1,1)</f>
        <v>Shatapru Thida Aye Baptist Church</v>
      </c>
      <c r="D147" s="18" t="str">
        <f ca="1">OFFSET(CampList[Township],MATCH(Table10[[#This Row],[Pcode]],CampList[CP_Pcode],0)-1,0,1,1)</f>
        <v>Myitkyina</v>
      </c>
      <c r="E147" s="277">
        <f ca="1">OFFSET(CampList[HH],MATCH(Table10[[#This Row],[Pcode]],CampList[CP_Pcode],0)-1,0,1,1)</f>
        <v>22</v>
      </c>
      <c r="F147" s="277">
        <f ca="1">OFFSET(CampList[Total],MATCH(Table10[[#This Row],[Pcode]],CampList[CP_Pcode],0)-1,0,1,1)</f>
        <v>111</v>
      </c>
      <c r="G147" s="277">
        <f>SUMIF('NFI Tracking'!AQ$11:AQ$1048576,Table10[[#This Row],[Pcode]],'NFI Tracking'!AI$11:AI$1048576)</f>
        <v>0</v>
      </c>
      <c r="H147" s="277">
        <f>SUMIF('NFI Tracking'!AQ$11:AQ$1048576,Table10[[#This Row],[Pcode]],'NFI Tracking'!AJ$11:AJ$1048576)</f>
        <v>0</v>
      </c>
      <c r="I147" s="277">
        <f>SUMIF('NFI Tracking'!AQ$11:AQ$1048576,Table10[[#This Row],[Pcode]],'NFI Tracking'!AK$11:AK$1048576)</f>
        <v>0</v>
      </c>
      <c r="J147" s="277">
        <f ca="1">MAX(Table10[[#This Row],[HH]]*VLOOKUP("Winter Clothes Adult",NFI,6)-Table10[[#This Row],[Winter Clothes Adult ]],0)</f>
        <v>44</v>
      </c>
      <c r="K147" s="277">
        <f ca="1">MAX(Table10[[#This Row],[HH]]*VLOOKUP("Winter Clothes Children ",NFI,6)-Table10[[#This Row],[Winter Clothes Children ]],0)</f>
        <v>22</v>
      </c>
      <c r="L147" s="277">
        <f ca="1">MAX(Table10[[#This Row],[HH]]*VLOOKUP("Winter Items Other ",NFI,6)-Table10[[#This Row],[Winter Items Other ]],0)</f>
        <v>22</v>
      </c>
      <c r="M147" s="310" t="str">
        <f>IF(OR(Table10[[#This Row],[Winter Clothes Adult ]]&lt;&gt;0,Table10[[#This Row],[Winter Clothes Children ]]&lt;&gt;0,Table10[[#This Row],[Winter Items Other ]]&lt;&gt;0),"No","")</f>
        <v/>
      </c>
      <c r="N147" s="311">
        <f>COUNTIF(A:A,Table10[[#This Row],[Pcode]])-1</f>
        <v>0</v>
      </c>
    </row>
    <row r="148" spans="1:14" x14ac:dyDescent="0.25">
      <c r="A148" s="259" t="s">
        <v>305</v>
      </c>
      <c r="B148" s="18" t="str">
        <f ca="1">OFFSET(CampList[Priority],MATCH(Table10[[#This Row],[Pcode]],CampList[CP_Pcode],0)-1,0,1,1)</f>
        <v>P4</v>
      </c>
      <c r="C148" s="18" t="str">
        <f ca="1">OFFSET(CampList[Camp],MATCH(Table10[[#This Row],[Pcode]],CampList[CP_Pcode],0)-1,0,1,1)</f>
        <v>Shwe Gu Baptist Church</v>
      </c>
      <c r="D148" s="18" t="str">
        <f ca="1">OFFSET(CampList[Township],MATCH(Table10[[#This Row],[Pcode]],CampList[CP_Pcode],0)-1,0,1,1)</f>
        <v>Shwegu</v>
      </c>
      <c r="E148" s="277">
        <f ca="1">OFFSET(CampList[HH],MATCH(Table10[[#This Row],[Pcode]],CampList[CP_Pcode],0)-1,0,1,1)</f>
        <v>86</v>
      </c>
      <c r="F148" s="277">
        <f ca="1">OFFSET(CampList[Total],MATCH(Table10[[#This Row],[Pcode]],CampList[CP_Pcode],0)-1,0,1,1)</f>
        <v>313</v>
      </c>
      <c r="G148" s="277">
        <f>SUMIF('NFI Tracking'!AQ$11:AQ$1048576,Table10[[#This Row],[Pcode]],'NFI Tracking'!AI$11:AI$1048576)</f>
        <v>0</v>
      </c>
      <c r="H148" s="277">
        <f>SUMIF('NFI Tracking'!AQ$11:AQ$1048576,Table10[[#This Row],[Pcode]],'NFI Tracking'!AJ$11:AJ$1048576)</f>
        <v>0</v>
      </c>
      <c r="I148" s="277">
        <f>SUMIF('NFI Tracking'!AQ$11:AQ$1048576,Table10[[#This Row],[Pcode]],'NFI Tracking'!AK$11:AK$1048576)</f>
        <v>0</v>
      </c>
      <c r="J148" s="277">
        <f ca="1">MAX(Table10[[#This Row],[HH]]*VLOOKUP("Winter Clothes Adult",NFI,6)-Table10[[#This Row],[Winter Clothes Adult ]],0)</f>
        <v>172</v>
      </c>
      <c r="K148" s="277">
        <f ca="1">MAX(Table10[[#This Row],[HH]]*VLOOKUP("Winter Clothes Children ",NFI,6)-Table10[[#This Row],[Winter Clothes Children ]],0)</f>
        <v>86</v>
      </c>
      <c r="L148" s="277">
        <f ca="1">MAX(Table10[[#This Row],[HH]]*VLOOKUP("Winter Items Other ",NFI,6)-Table10[[#This Row],[Winter Items Other ]],0)</f>
        <v>86</v>
      </c>
      <c r="M148" s="310" t="str">
        <f>IF(OR(Table10[[#This Row],[Winter Clothes Adult ]]&lt;&gt;0,Table10[[#This Row],[Winter Clothes Children ]]&lt;&gt;0,Table10[[#This Row],[Winter Items Other ]]&lt;&gt;0),"No","")</f>
        <v/>
      </c>
      <c r="N148" s="311">
        <f>COUNTIF(A:A,Table10[[#This Row],[Pcode]])-1</f>
        <v>0</v>
      </c>
    </row>
    <row r="149" spans="1:14" x14ac:dyDescent="0.25">
      <c r="A149" s="259" t="s">
        <v>307</v>
      </c>
      <c r="B149" s="18" t="str">
        <f ca="1">OFFSET(CampList[Priority],MATCH(Table10[[#This Row],[Pcode]],CampList[CP_Pcode],0)-1,0,1,1)</f>
        <v>P4</v>
      </c>
      <c r="C149" s="18" t="str">
        <f ca="1">OFFSET(CampList[Camp],MATCH(Table10[[#This Row],[Pcode]],CampList[CP_Pcode],0)-1,0,1,1)</f>
        <v>Shwe Gu Catholic Church</v>
      </c>
      <c r="D149" s="18" t="str">
        <f ca="1">OFFSET(CampList[Township],MATCH(Table10[[#This Row],[Pcode]],CampList[CP_Pcode],0)-1,0,1,1)</f>
        <v>Shwegu</v>
      </c>
      <c r="E149" s="277">
        <f ca="1">OFFSET(CampList[HH],MATCH(Table10[[#This Row],[Pcode]],CampList[CP_Pcode],0)-1,0,1,1)</f>
        <v>40</v>
      </c>
      <c r="F149" s="277">
        <f ca="1">OFFSET(CampList[Total],MATCH(Table10[[#This Row],[Pcode]],CampList[CP_Pcode],0)-1,0,1,1)</f>
        <v>196</v>
      </c>
      <c r="G149" s="277">
        <f>SUMIF('NFI Tracking'!AQ$11:AQ$1048576,Table10[[#This Row],[Pcode]],'NFI Tracking'!AI$11:AI$1048576)</f>
        <v>0</v>
      </c>
      <c r="H149" s="277">
        <f>SUMIF('NFI Tracking'!AQ$11:AQ$1048576,Table10[[#This Row],[Pcode]],'NFI Tracking'!AJ$11:AJ$1048576)</f>
        <v>0</v>
      </c>
      <c r="I149" s="277">
        <f>SUMIF('NFI Tracking'!AQ$11:AQ$1048576,Table10[[#This Row],[Pcode]],'NFI Tracking'!AK$11:AK$1048576)</f>
        <v>0</v>
      </c>
      <c r="J149" s="277">
        <f ca="1">MAX(Table10[[#This Row],[HH]]*VLOOKUP("Winter Clothes Adult",NFI,6)-Table10[[#This Row],[Winter Clothes Adult ]],0)</f>
        <v>80</v>
      </c>
      <c r="K149" s="277">
        <f ca="1">MAX(Table10[[#This Row],[HH]]*VLOOKUP("Winter Clothes Children ",NFI,6)-Table10[[#This Row],[Winter Clothes Children ]],0)</f>
        <v>40</v>
      </c>
      <c r="L149" s="277">
        <f ca="1">MAX(Table10[[#This Row],[HH]]*VLOOKUP("Winter Items Other ",NFI,6)-Table10[[#This Row],[Winter Items Other ]],0)</f>
        <v>40</v>
      </c>
      <c r="M149" s="310" t="str">
        <f>IF(OR(Table10[[#This Row],[Winter Clothes Adult ]]&lt;&gt;0,Table10[[#This Row],[Winter Clothes Children ]]&lt;&gt;0,Table10[[#This Row],[Winter Items Other ]]&lt;&gt;0),"No","")</f>
        <v/>
      </c>
      <c r="N149" s="311">
        <f>COUNTIF(A:A,Table10[[#This Row],[Pcode]])-1</f>
        <v>0</v>
      </c>
    </row>
    <row r="150" spans="1:14" x14ac:dyDescent="0.25">
      <c r="A150" s="259" t="s">
        <v>280</v>
      </c>
      <c r="B150" s="18" t="str">
        <f ca="1">OFFSET(CampList[Priority],MATCH(Table10[[#This Row],[Pcode]],CampList[CP_Pcode],0)-1,0,1,1)</f>
        <v>P4</v>
      </c>
      <c r="C150" s="18" t="str">
        <f ca="1">OFFSET(CampList[Camp],MATCH(Table10[[#This Row],[Pcode]],CampList[CP_Pcode],0)-1,0,1,1)</f>
        <v>Shwe Zet Baptist Church</v>
      </c>
      <c r="D150" s="18" t="str">
        <f ca="1">OFFSET(CampList[Township],MATCH(Table10[[#This Row],[Pcode]],CampList[CP_Pcode],0)-1,0,1,1)</f>
        <v>Myitkyina</v>
      </c>
      <c r="E150" s="277">
        <f ca="1">OFFSET(CampList[HH],MATCH(Table10[[#This Row],[Pcode]],CampList[CP_Pcode],0)-1,0,1,1)</f>
        <v>73</v>
      </c>
      <c r="F150" s="277">
        <f ca="1">OFFSET(CampList[Total],MATCH(Table10[[#This Row],[Pcode]],CampList[CP_Pcode],0)-1,0,1,1)</f>
        <v>416</v>
      </c>
      <c r="G150" s="277">
        <f>SUMIF('NFI Tracking'!AQ$11:AQ$1048576,Table10[[#This Row],[Pcode]],'NFI Tracking'!AI$11:AI$1048576)</f>
        <v>0</v>
      </c>
      <c r="H150" s="277">
        <f>SUMIF('NFI Tracking'!AQ$11:AQ$1048576,Table10[[#This Row],[Pcode]],'NFI Tracking'!AJ$11:AJ$1048576)</f>
        <v>0</v>
      </c>
      <c r="I150" s="277">
        <f>SUMIF('NFI Tracking'!AQ$11:AQ$1048576,Table10[[#This Row],[Pcode]],'NFI Tracking'!AK$11:AK$1048576)</f>
        <v>0</v>
      </c>
      <c r="J150" s="277">
        <f ca="1">MAX(Table10[[#This Row],[HH]]*VLOOKUP("Winter Clothes Adult",NFI,6)-Table10[[#This Row],[Winter Clothes Adult ]],0)</f>
        <v>146</v>
      </c>
      <c r="K150" s="277">
        <f ca="1">MAX(Table10[[#This Row],[HH]]*VLOOKUP("Winter Clothes Children ",NFI,6)-Table10[[#This Row],[Winter Clothes Children ]],0)</f>
        <v>73</v>
      </c>
      <c r="L150" s="277">
        <f ca="1">MAX(Table10[[#This Row],[HH]]*VLOOKUP("Winter Items Other ",NFI,6)-Table10[[#This Row],[Winter Items Other ]],0)</f>
        <v>73</v>
      </c>
      <c r="M150" s="310" t="str">
        <f>IF(OR(Table10[[#This Row],[Winter Clothes Adult ]]&lt;&gt;0,Table10[[#This Row],[Winter Clothes Children ]]&lt;&gt;0,Table10[[#This Row],[Winter Items Other ]]&lt;&gt;0),"No","")</f>
        <v/>
      </c>
      <c r="N150" s="311">
        <f>COUNTIF(A:A,Table10[[#This Row],[Pcode]])-1</f>
        <v>0</v>
      </c>
    </row>
    <row r="151" spans="1:14" x14ac:dyDescent="0.25">
      <c r="A151" s="259" t="s">
        <v>179</v>
      </c>
      <c r="B151" s="18" t="str">
        <f ca="1">OFFSET(CampList[Priority],MATCH(Table10[[#This Row],[Pcode]],CampList[CP_Pcode],0)-1,0,1,1)</f>
        <v>P4</v>
      </c>
      <c r="C151" s="18" t="str">
        <f ca="1">OFFSET(CampList[Camp],MATCH(Table10[[#This Row],[Pcode]],CampList[CP_Pcode],0)-1,0,1,1)</f>
        <v xml:space="preserve">St. Patrick Catholic Church </v>
      </c>
      <c r="D151" s="18" t="str">
        <f ca="1">OFFSET(CampList[Township],MATCH(Table10[[#This Row],[Pcode]],CampList[CP_Pcode],0)-1,0,1,1)</f>
        <v>Mohnyin</v>
      </c>
      <c r="E151" s="277">
        <f ca="1">OFFSET(CampList[HH],MATCH(Table10[[#This Row],[Pcode]],CampList[CP_Pcode],0)-1,0,1,1)</f>
        <v>12</v>
      </c>
      <c r="F151" s="277">
        <f ca="1">OFFSET(CampList[Total],MATCH(Table10[[#This Row],[Pcode]],CampList[CP_Pcode],0)-1,0,1,1)</f>
        <v>55</v>
      </c>
      <c r="G151" s="277">
        <f>SUMIF('NFI Tracking'!AQ$11:AQ$1048576,Table10[[#This Row],[Pcode]],'NFI Tracking'!AI$11:AI$1048576)</f>
        <v>0</v>
      </c>
      <c r="H151" s="277">
        <f>SUMIF('NFI Tracking'!AQ$11:AQ$1048576,Table10[[#This Row],[Pcode]],'NFI Tracking'!AJ$11:AJ$1048576)</f>
        <v>0</v>
      </c>
      <c r="I151" s="277">
        <f>SUMIF('NFI Tracking'!AQ$11:AQ$1048576,Table10[[#This Row],[Pcode]],'NFI Tracking'!AK$11:AK$1048576)</f>
        <v>0</v>
      </c>
      <c r="J151" s="277">
        <f ca="1">MAX(Table10[[#This Row],[HH]]*VLOOKUP("Winter Clothes Adult",NFI,6)-Table10[[#This Row],[Winter Clothes Adult ]],0)</f>
        <v>24</v>
      </c>
      <c r="K151" s="277">
        <f ca="1">MAX(Table10[[#This Row],[HH]]*VLOOKUP("Winter Clothes Children ",NFI,6)-Table10[[#This Row],[Winter Clothes Children ]],0)</f>
        <v>12</v>
      </c>
      <c r="L151" s="277">
        <f ca="1">MAX(Table10[[#This Row],[HH]]*VLOOKUP("Winter Items Other ",NFI,6)-Table10[[#This Row],[Winter Items Other ]],0)</f>
        <v>12</v>
      </c>
      <c r="M151" s="310" t="str">
        <f>IF(OR(Table10[[#This Row],[Winter Clothes Adult ]]&lt;&gt;0,Table10[[#This Row],[Winter Clothes Children ]]&lt;&gt;0,Table10[[#This Row],[Winter Items Other ]]&lt;&gt;0),"No","")</f>
        <v/>
      </c>
      <c r="N151" s="311">
        <f>COUNTIF(A:A,Table10[[#This Row],[Pcode]])-1</f>
        <v>0</v>
      </c>
    </row>
    <row r="152" spans="1:14" x14ac:dyDescent="0.25">
      <c r="A152" s="259" t="s">
        <v>812</v>
      </c>
      <c r="B152" s="18" t="str">
        <f ca="1">OFFSET(CampList[Priority],MATCH(Table10[[#This Row],[Pcode]],CampList[CP_Pcode],0)-1,0,1,1)</f>
        <v>P4</v>
      </c>
      <c r="C152" s="18" t="str">
        <f ca="1">OFFSET(CampList[Camp],MATCH(Table10[[#This Row],[Pcode]],CampList[CP_Pcode],0)-1,0,1,1)</f>
        <v>Sumprabum</v>
      </c>
      <c r="D152" s="18" t="str">
        <f ca="1">OFFSET(CampList[Township],MATCH(Table10[[#This Row],[Pcode]],CampList[CP_Pcode],0)-1,0,1,1)</f>
        <v>Sumprabum</v>
      </c>
      <c r="E152" s="277">
        <f ca="1">OFFSET(CampList[HH],MATCH(Table10[[#This Row],[Pcode]],CampList[CP_Pcode],0)-1,0,1,1)</f>
        <v>5</v>
      </c>
      <c r="F152" s="277">
        <f ca="1">OFFSET(CampList[Total],MATCH(Table10[[#This Row],[Pcode]],CampList[CP_Pcode],0)-1,0,1,1)</f>
        <v>32</v>
      </c>
      <c r="G152" s="277">
        <f>SUMIF('NFI Tracking'!AQ$11:AQ$1048576,Table10[[#This Row],[Pcode]],'NFI Tracking'!AI$11:AI$1048576)</f>
        <v>0</v>
      </c>
      <c r="H152" s="277">
        <f>SUMIF('NFI Tracking'!AQ$11:AQ$1048576,Table10[[#This Row],[Pcode]],'NFI Tracking'!AJ$11:AJ$1048576)</f>
        <v>0</v>
      </c>
      <c r="I152" s="277">
        <f>SUMIF('NFI Tracking'!AQ$11:AQ$1048576,Table10[[#This Row],[Pcode]],'NFI Tracking'!AK$11:AK$1048576)</f>
        <v>0</v>
      </c>
      <c r="J152" s="277">
        <f ca="1">MAX(Table10[[#This Row],[HH]]*VLOOKUP("Winter Clothes Adult",NFI,6)-Table10[[#This Row],[Winter Clothes Adult ]],0)</f>
        <v>10</v>
      </c>
      <c r="K152" s="277">
        <f ca="1">MAX(Table10[[#This Row],[HH]]*VLOOKUP("Winter Clothes Children ",NFI,6)-Table10[[#This Row],[Winter Clothes Children ]],0)</f>
        <v>5</v>
      </c>
      <c r="L152" s="277">
        <f ca="1">MAX(Table10[[#This Row],[HH]]*VLOOKUP("Winter Items Other ",NFI,6)-Table10[[#This Row],[Winter Items Other ]],0)</f>
        <v>5</v>
      </c>
      <c r="M152" s="310" t="str">
        <f>IF(OR(Table10[[#This Row],[Winter Clothes Adult ]]&lt;&gt;0,Table10[[#This Row],[Winter Clothes Children ]]&lt;&gt;0,Table10[[#This Row],[Winter Items Other ]]&lt;&gt;0),"No","")</f>
        <v/>
      </c>
      <c r="N152" s="311">
        <f>COUNTIF(A:A,Table10[[#This Row],[Pcode]])-1</f>
        <v>0</v>
      </c>
    </row>
    <row r="153" spans="1:14" x14ac:dyDescent="0.25">
      <c r="A153" s="259" t="s">
        <v>23</v>
      </c>
      <c r="B153" s="18" t="str">
        <f ca="1">OFFSET(CampList[Priority],MATCH(Table10[[#This Row],[Pcode]],CampList[CP_Pcode],0)-1,0,1,1)</f>
        <v>P4</v>
      </c>
      <c r="C153" s="18" t="str">
        <f ca="1">OFFSET(CampList[Camp],MATCH(Table10[[#This Row],[Pcode]],CampList[CP_Pcode],0)-1,0,1,1)</f>
        <v>Ta Gun Taing Monastery (Shwe Kyi Na)</v>
      </c>
      <c r="D153" s="18" t="str">
        <f ca="1">OFFSET(CampList[Township],MATCH(Table10[[#This Row],[Pcode]],CampList[CP_Pcode],0)-1,0,1,1)</f>
        <v>Bhamo</v>
      </c>
      <c r="E153" s="277">
        <f ca="1">OFFSET(CampList[HH],MATCH(Table10[[#This Row],[Pcode]],CampList[CP_Pcode],0)-1,0,1,1)</f>
        <v>21</v>
      </c>
      <c r="F153" s="277">
        <f ca="1">OFFSET(CampList[Total],MATCH(Table10[[#This Row],[Pcode]],CampList[CP_Pcode],0)-1,0,1,1)</f>
        <v>95</v>
      </c>
      <c r="G153" s="277">
        <f>SUMIF('NFI Tracking'!AQ$11:AQ$1048576,Table10[[#This Row],[Pcode]],'NFI Tracking'!AI$11:AI$1048576)</f>
        <v>0</v>
      </c>
      <c r="H153" s="277">
        <f>SUMIF('NFI Tracking'!AQ$11:AQ$1048576,Table10[[#This Row],[Pcode]],'NFI Tracking'!AJ$11:AJ$1048576)</f>
        <v>0</v>
      </c>
      <c r="I153" s="277">
        <f>SUMIF('NFI Tracking'!AQ$11:AQ$1048576,Table10[[#This Row],[Pcode]],'NFI Tracking'!AK$11:AK$1048576)</f>
        <v>0</v>
      </c>
      <c r="J153" s="277">
        <f ca="1">MAX(Table10[[#This Row],[HH]]*VLOOKUP("Winter Clothes Adult",NFI,6)-Table10[[#This Row],[Winter Clothes Adult ]],0)</f>
        <v>42</v>
      </c>
      <c r="K153" s="277">
        <f ca="1">MAX(Table10[[#This Row],[HH]]*VLOOKUP("Winter Clothes Children ",NFI,6)-Table10[[#This Row],[Winter Clothes Children ]],0)</f>
        <v>21</v>
      </c>
      <c r="L153" s="277">
        <f ca="1">MAX(Table10[[#This Row],[HH]]*VLOOKUP("Winter Items Other ",NFI,6)-Table10[[#This Row],[Winter Items Other ]],0)</f>
        <v>21</v>
      </c>
      <c r="M153" s="310" t="str">
        <f>IF(OR(Table10[[#This Row],[Winter Clothes Adult ]]&lt;&gt;0,Table10[[#This Row],[Winter Clothes Children ]]&lt;&gt;0,Table10[[#This Row],[Winter Items Other ]]&lt;&gt;0),"No","")</f>
        <v/>
      </c>
      <c r="N153" s="311">
        <f>COUNTIF(A:A,Table10[[#This Row],[Pcode]])-1</f>
        <v>0</v>
      </c>
    </row>
    <row r="154" spans="1:14" x14ac:dyDescent="0.25">
      <c r="A154" s="259" t="s">
        <v>226</v>
      </c>
      <c r="B154" s="18" t="str">
        <f ca="1">OFFSET(CampList[Priority],MATCH(Table10[[#This Row],[Pcode]],CampList[CP_Pcode],0)-1,0,1,1)</f>
        <v>P4</v>
      </c>
      <c r="C154" s="18" t="str">
        <f ca="1">OFFSET(CampList[Camp],MATCH(Table10[[#This Row],[Pcode]],CampList[CP_Pcode],0)-1,0,1,1)</f>
        <v xml:space="preserve">Tarli </v>
      </c>
      <c r="D154" s="18" t="str">
        <f ca="1">OFFSET(CampList[Township],MATCH(Table10[[#This Row],[Pcode]],CampList[CP_Pcode],0)-1,0,1,1)</f>
        <v>Momauk</v>
      </c>
      <c r="E154" s="277">
        <f ca="1">OFFSET(CampList[HH],MATCH(Table10[[#This Row],[Pcode]],CampList[CP_Pcode],0)-1,0,1,1)</f>
        <v>10</v>
      </c>
      <c r="F154" s="277">
        <f ca="1">OFFSET(CampList[Total],MATCH(Table10[[#This Row],[Pcode]],CampList[CP_Pcode],0)-1,0,1,1)</f>
        <v>38</v>
      </c>
      <c r="G154" s="277">
        <f>SUMIF('NFI Tracking'!AQ$11:AQ$1048576,Table10[[#This Row],[Pcode]],'NFI Tracking'!AI$11:AI$1048576)</f>
        <v>0</v>
      </c>
      <c r="H154" s="277">
        <f>SUMIF('NFI Tracking'!AQ$11:AQ$1048576,Table10[[#This Row],[Pcode]],'NFI Tracking'!AJ$11:AJ$1048576)</f>
        <v>0</v>
      </c>
      <c r="I154" s="277">
        <f>SUMIF('NFI Tracking'!AQ$11:AQ$1048576,Table10[[#This Row],[Pcode]],'NFI Tracking'!AK$11:AK$1048576)</f>
        <v>0</v>
      </c>
      <c r="J154" s="277">
        <f ca="1">MAX(Table10[[#This Row],[HH]]*VLOOKUP("Winter Clothes Adult",NFI,6)-Table10[[#This Row],[Winter Clothes Adult ]],0)</f>
        <v>20</v>
      </c>
      <c r="K154" s="277">
        <f ca="1">MAX(Table10[[#This Row],[HH]]*VLOOKUP("Winter Clothes Children ",NFI,6)-Table10[[#This Row],[Winter Clothes Children ]],0)</f>
        <v>10</v>
      </c>
      <c r="L154" s="277">
        <f ca="1">MAX(Table10[[#This Row],[HH]]*VLOOKUP("Winter Items Other ",NFI,6)-Table10[[#This Row],[Winter Items Other ]],0)</f>
        <v>10</v>
      </c>
      <c r="M154" s="310" t="str">
        <f>IF(OR(Table10[[#This Row],[Winter Clothes Adult ]]&lt;&gt;0,Table10[[#This Row],[Winter Clothes Children ]]&lt;&gt;0,Table10[[#This Row],[Winter Items Other ]]&lt;&gt;0),"No","")</f>
        <v/>
      </c>
      <c r="N154" s="311">
        <f>COUNTIF(A:A,Table10[[#This Row],[Pcode]])-1</f>
        <v>0</v>
      </c>
    </row>
    <row r="155" spans="1:14" x14ac:dyDescent="0.25">
      <c r="A155" s="259" t="s">
        <v>236</v>
      </c>
      <c r="B155" s="18" t="str">
        <f ca="1">OFFSET(CampList[Priority],MATCH(Table10[[#This Row],[Pcode]],CampList[CP_Pcode],0)-1,0,1,1)</f>
        <v>P4</v>
      </c>
      <c r="C155" s="18" t="str">
        <f ca="1">OFFSET(CampList[Camp],MATCH(Table10[[#This Row],[Pcode]],CampList[CP_Pcode],0)-1,0,1,1)</f>
        <v>Tat Kone Baptist Church</v>
      </c>
      <c r="D155" s="18" t="str">
        <f ca="1">OFFSET(CampList[Township],MATCH(Table10[[#This Row],[Pcode]],CampList[CP_Pcode],0)-1,0,1,1)</f>
        <v>Myitkyina</v>
      </c>
      <c r="E155" s="277">
        <f ca="1">OFFSET(CampList[HH],MATCH(Table10[[#This Row],[Pcode]],CampList[CP_Pcode],0)-1,0,1,1)</f>
        <v>48</v>
      </c>
      <c r="F155" s="277">
        <f ca="1">OFFSET(CampList[Total],MATCH(Table10[[#This Row],[Pcode]],CampList[CP_Pcode],0)-1,0,1,1)</f>
        <v>247</v>
      </c>
      <c r="G155" s="277">
        <f>SUMIF('NFI Tracking'!AQ$11:AQ$1048576,Table10[[#This Row],[Pcode]],'NFI Tracking'!AI$11:AI$1048576)</f>
        <v>0</v>
      </c>
      <c r="H155" s="277">
        <f>SUMIF('NFI Tracking'!AQ$11:AQ$1048576,Table10[[#This Row],[Pcode]],'NFI Tracking'!AJ$11:AJ$1048576)</f>
        <v>0</v>
      </c>
      <c r="I155" s="277">
        <f>SUMIF('NFI Tracking'!AQ$11:AQ$1048576,Table10[[#This Row],[Pcode]],'NFI Tracking'!AK$11:AK$1048576)</f>
        <v>0</v>
      </c>
      <c r="J155" s="277">
        <f ca="1">MAX(Table10[[#This Row],[HH]]*VLOOKUP("Winter Clothes Adult",NFI,6)-Table10[[#This Row],[Winter Clothes Adult ]],0)</f>
        <v>96</v>
      </c>
      <c r="K155" s="277">
        <f ca="1">MAX(Table10[[#This Row],[HH]]*VLOOKUP("Winter Clothes Children ",NFI,6)-Table10[[#This Row],[Winter Clothes Children ]],0)</f>
        <v>48</v>
      </c>
      <c r="L155" s="277">
        <f ca="1">MAX(Table10[[#This Row],[HH]]*VLOOKUP("Winter Items Other ",NFI,6)-Table10[[#This Row],[Winter Items Other ]],0)</f>
        <v>48</v>
      </c>
      <c r="M155" s="310" t="str">
        <f>IF(OR(Table10[[#This Row],[Winter Clothes Adult ]]&lt;&gt;0,Table10[[#This Row],[Winter Clothes Children ]]&lt;&gt;0,Table10[[#This Row],[Winter Items Other ]]&lt;&gt;0),"No","")</f>
        <v/>
      </c>
      <c r="N155" s="311">
        <f>COUNTIF(A:A,Table10[[#This Row],[Pcode]])-1</f>
        <v>0</v>
      </c>
    </row>
    <row r="156" spans="1:14" x14ac:dyDescent="0.25">
      <c r="A156" s="259" t="s">
        <v>241</v>
      </c>
      <c r="B156" s="18" t="str">
        <f ca="1">OFFSET(CampList[Priority],MATCH(Table10[[#This Row],[Pcode]],CampList[CP_Pcode],0)-1,0,1,1)</f>
        <v>P4</v>
      </c>
      <c r="C156" s="18" t="str">
        <f ca="1">OFFSET(CampList[Camp],MATCH(Table10[[#This Row],[Pcode]],CampList[CP_Pcode],0)-1,0,1,1)</f>
        <v>Tat Kone COC Baptist - Tat Kone Htoi San</v>
      </c>
      <c r="D156" s="18" t="str">
        <f ca="1">OFFSET(CampList[Township],MATCH(Table10[[#This Row],[Pcode]],CampList[CP_Pcode],0)-1,0,1,1)</f>
        <v>Myitkyina</v>
      </c>
      <c r="E156" s="277">
        <f ca="1">OFFSET(CampList[HH],MATCH(Table10[[#This Row],[Pcode]],CampList[CP_Pcode],0)-1,0,1,1)</f>
        <v>54</v>
      </c>
      <c r="F156" s="277">
        <f ca="1">OFFSET(CampList[Total],MATCH(Table10[[#This Row],[Pcode]],CampList[CP_Pcode],0)-1,0,1,1)</f>
        <v>259</v>
      </c>
      <c r="G156" s="277">
        <f>SUMIF('NFI Tracking'!AQ$11:AQ$1048576,Table10[[#This Row],[Pcode]],'NFI Tracking'!AI$11:AI$1048576)</f>
        <v>0</v>
      </c>
      <c r="H156" s="277">
        <f>SUMIF('NFI Tracking'!AQ$11:AQ$1048576,Table10[[#This Row],[Pcode]],'NFI Tracking'!AJ$11:AJ$1048576)</f>
        <v>0</v>
      </c>
      <c r="I156" s="277">
        <f>SUMIF('NFI Tracking'!AQ$11:AQ$1048576,Table10[[#This Row],[Pcode]],'NFI Tracking'!AK$11:AK$1048576)</f>
        <v>0</v>
      </c>
      <c r="J156" s="277">
        <f ca="1">MAX(Table10[[#This Row],[HH]]*VLOOKUP("Winter Clothes Adult",NFI,6)-Table10[[#This Row],[Winter Clothes Adult ]],0)</f>
        <v>108</v>
      </c>
      <c r="K156" s="277">
        <f ca="1">MAX(Table10[[#This Row],[HH]]*VLOOKUP("Winter Clothes Children ",NFI,6)-Table10[[#This Row],[Winter Clothes Children ]],0)</f>
        <v>54</v>
      </c>
      <c r="L156" s="277">
        <f ca="1">MAX(Table10[[#This Row],[HH]]*VLOOKUP("Winter Items Other ",NFI,6)-Table10[[#This Row],[Winter Items Other ]],0)</f>
        <v>54</v>
      </c>
      <c r="M156" s="310" t="str">
        <f>IF(OR(Table10[[#This Row],[Winter Clothes Adult ]]&lt;&gt;0,Table10[[#This Row],[Winter Clothes Children ]]&lt;&gt;0,Table10[[#This Row],[Winter Items Other ]]&lt;&gt;0),"No","")</f>
        <v/>
      </c>
      <c r="N156" s="311">
        <f>COUNTIF(A:A,Table10[[#This Row],[Pcode]])-1</f>
        <v>0</v>
      </c>
    </row>
    <row r="157" spans="1:14" x14ac:dyDescent="0.25">
      <c r="A157" s="259" t="s">
        <v>248</v>
      </c>
      <c r="B157" s="18" t="str">
        <f ca="1">OFFSET(CampList[Priority],MATCH(Table10[[#This Row],[Pcode]],CampList[CP_Pcode],0)-1,0,1,1)</f>
        <v>P4</v>
      </c>
      <c r="C157" s="18" t="str">
        <f ca="1">OFFSET(CampList[Camp],MATCH(Table10[[#This Row],[Pcode]],CampList[CP_Pcode],0)-1,0,1,1)</f>
        <v>Tat Kone Emanuel Church</v>
      </c>
      <c r="D157" s="18" t="str">
        <f ca="1">OFFSET(CampList[Township],MATCH(Table10[[#This Row],[Pcode]],CampList[CP_Pcode],0)-1,0,1,1)</f>
        <v>Myitkyina</v>
      </c>
      <c r="E157" s="277">
        <f ca="1">OFFSET(CampList[HH],MATCH(Table10[[#This Row],[Pcode]],CampList[CP_Pcode],0)-1,0,1,1)</f>
        <v>4</v>
      </c>
      <c r="F157" s="277">
        <f ca="1">OFFSET(CampList[Total],MATCH(Table10[[#This Row],[Pcode]],CampList[CP_Pcode],0)-1,0,1,1)</f>
        <v>21</v>
      </c>
      <c r="G157" s="277">
        <f>SUMIF('NFI Tracking'!AQ$11:AQ$1048576,Table10[[#This Row],[Pcode]],'NFI Tracking'!AI$11:AI$1048576)</f>
        <v>0</v>
      </c>
      <c r="H157" s="277">
        <f>SUMIF('NFI Tracking'!AQ$11:AQ$1048576,Table10[[#This Row],[Pcode]],'NFI Tracking'!AJ$11:AJ$1048576)</f>
        <v>0</v>
      </c>
      <c r="I157" s="277">
        <f>SUMIF('NFI Tracking'!AQ$11:AQ$1048576,Table10[[#This Row],[Pcode]],'NFI Tracking'!AK$11:AK$1048576)</f>
        <v>0</v>
      </c>
      <c r="J157" s="277">
        <f ca="1">MAX(Table10[[#This Row],[HH]]*VLOOKUP("Winter Clothes Adult",NFI,6)-Table10[[#This Row],[Winter Clothes Adult ]],0)</f>
        <v>8</v>
      </c>
      <c r="K157" s="277">
        <f ca="1">MAX(Table10[[#This Row],[HH]]*VLOOKUP("Winter Clothes Children ",NFI,6)-Table10[[#This Row],[Winter Clothes Children ]],0)</f>
        <v>4</v>
      </c>
      <c r="L157" s="277">
        <f ca="1">MAX(Table10[[#This Row],[HH]]*VLOOKUP("Winter Items Other ",NFI,6)-Table10[[#This Row],[Winter Items Other ]],0)</f>
        <v>4</v>
      </c>
      <c r="M157" s="310" t="str">
        <f>IF(OR(Table10[[#This Row],[Winter Clothes Adult ]]&lt;&gt;0,Table10[[#This Row],[Winter Clothes Children ]]&lt;&gt;0,Table10[[#This Row],[Winter Items Other ]]&lt;&gt;0),"No","")</f>
        <v/>
      </c>
      <c r="N157" s="311">
        <f>COUNTIF(A:A,Table10[[#This Row],[Pcode]])-1</f>
        <v>0</v>
      </c>
    </row>
    <row r="158" spans="1:14" x14ac:dyDescent="0.25">
      <c r="A158" s="259" t="s">
        <v>250</v>
      </c>
      <c r="B158" s="18" t="str">
        <f ca="1">OFFSET(CampList[Priority],MATCH(Table10[[#This Row],[Pcode]],CampList[CP_Pcode],0)-1,0,1,1)</f>
        <v>P4</v>
      </c>
      <c r="C158" s="18" t="str">
        <f ca="1">OFFSET(CampList[Camp],MATCH(Table10[[#This Row],[Pcode]],CampList[CP_Pcode],0)-1,0,1,1)</f>
        <v>Tat Kone Galile Baptist Church</v>
      </c>
      <c r="D158" s="18" t="str">
        <f ca="1">OFFSET(CampList[Township],MATCH(Table10[[#This Row],[Pcode]],CampList[CP_Pcode],0)-1,0,1,1)</f>
        <v>Myitkyina</v>
      </c>
      <c r="E158" s="277">
        <f ca="1">OFFSET(CampList[HH],MATCH(Table10[[#This Row],[Pcode]],CampList[CP_Pcode],0)-1,0,1,1)</f>
        <v>26</v>
      </c>
      <c r="F158" s="277">
        <f ca="1">OFFSET(CampList[Total],MATCH(Table10[[#This Row],[Pcode]],CampList[CP_Pcode],0)-1,0,1,1)</f>
        <v>139</v>
      </c>
      <c r="G158" s="277">
        <f>SUMIF('NFI Tracking'!AQ$11:AQ$1048576,Table10[[#This Row],[Pcode]],'NFI Tracking'!AI$11:AI$1048576)</f>
        <v>0</v>
      </c>
      <c r="H158" s="277">
        <f>SUMIF('NFI Tracking'!AQ$11:AQ$1048576,Table10[[#This Row],[Pcode]],'NFI Tracking'!AJ$11:AJ$1048576)</f>
        <v>0</v>
      </c>
      <c r="I158" s="277">
        <f>SUMIF('NFI Tracking'!AQ$11:AQ$1048576,Table10[[#This Row],[Pcode]],'NFI Tracking'!AK$11:AK$1048576)</f>
        <v>0</v>
      </c>
      <c r="J158" s="277">
        <f ca="1">MAX(Table10[[#This Row],[HH]]*VLOOKUP("Winter Clothes Adult",NFI,6)-Table10[[#This Row],[Winter Clothes Adult ]],0)</f>
        <v>52</v>
      </c>
      <c r="K158" s="277">
        <f ca="1">MAX(Table10[[#This Row],[HH]]*VLOOKUP("Winter Clothes Children ",NFI,6)-Table10[[#This Row],[Winter Clothes Children ]],0)</f>
        <v>26</v>
      </c>
      <c r="L158" s="277">
        <f ca="1">MAX(Table10[[#This Row],[HH]]*VLOOKUP("Winter Items Other ",NFI,6)-Table10[[#This Row],[Winter Items Other ]],0)</f>
        <v>26</v>
      </c>
      <c r="M158" s="310" t="str">
        <f>IF(OR(Table10[[#This Row],[Winter Clothes Adult ]]&lt;&gt;0,Table10[[#This Row],[Winter Clothes Children ]]&lt;&gt;0,Table10[[#This Row],[Winter Items Other ]]&lt;&gt;0),"No","")</f>
        <v/>
      </c>
      <c r="N158" s="311">
        <f>COUNTIF(A:A,Table10[[#This Row],[Pcode]])-1</f>
        <v>0</v>
      </c>
    </row>
    <row r="159" spans="1:14" x14ac:dyDescent="0.25">
      <c r="A159" s="259" t="s">
        <v>274</v>
      </c>
      <c r="B159" s="18" t="str">
        <f ca="1">OFFSET(CampList[Priority],MATCH(Table10[[#This Row],[Pcode]],CampList[CP_Pcode],0)-1,0,1,1)</f>
        <v>P4</v>
      </c>
      <c r="C159" s="18" t="str">
        <f ca="1">OFFSET(CampList[Camp],MATCH(Table10[[#This Row],[Pcode]],CampList[CP_Pcode],0)-1,0,1,1)</f>
        <v>Tat Kone San Pya Baptist Church</v>
      </c>
      <c r="D159" s="18" t="str">
        <f ca="1">OFFSET(CampList[Township],MATCH(Table10[[#This Row],[Pcode]],CampList[CP_Pcode],0)-1,0,1,1)</f>
        <v>Myitkyina</v>
      </c>
      <c r="E159" s="277">
        <f ca="1">OFFSET(CampList[HH],MATCH(Table10[[#This Row],[Pcode]],CampList[CP_Pcode],0)-1,0,1,1)</f>
        <v>31</v>
      </c>
      <c r="F159" s="277">
        <f ca="1">OFFSET(CampList[Total],MATCH(Table10[[#This Row],[Pcode]],CampList[CP_Pcode],0)-1,0,1,1)</f>
        <v>154</v>
      </c>
      <c r="G159" s="277">
        <f>SUMIF('NFI Tracking'!AQ$11:AQ$1048576,Table10[[#This Row],[Pcode]],'NFI Tracking'!AI$11:AI$1048576)</f>
        <v>0</v>
      </c>
      <c r="H159" s="277">
        <f>SUMIF('NFI Tracking'!AQ$11:AQ$1048576,Table10[[#This Row],[Pcode]],'NFI Tracking'!AJ$11:AJ$1048576)</f>
        <v>0</v>
      </c>
      <c r="I159" s="277">
        <f>SUMIF('NFI Tracking'!AQ$11:AQ$1048576,Table10[[#This Row],[Pcode]],'NFI Tracking'!AK$11:AK$1048576)</f>
        <v>0</v>
      </c>
      <c r="J159" s="277">
        <f ca="1">MAX(Table10[[#This Row],[HH]]*VLOOKUP("Winter Clothes Adult",NFI,6)-Table10[[#This Row],[Winter Clothes Adult ]],0)</f>
        <v>62</v>
      </c>
      <c r="K159" s="277">
        <f ca="1">MAX(Table10[[#This Row],[HH]]*VLOOKUP("Winter Clothes Children ",NFI,6)-Table10[[#This Row],[Winter Clothes Children ]],0)</f>
        <v>31</v>
      </c>
      <c r="L159" s="277">
        <f ca="1">MAX(Table10[[#This Row],[HH]]*VLOOKUP("Winter Items Other ",NFI,6)-Table10[[#This Row],[Winter Items Other ]],0)</f>
        <v>31</v>
      </c>
      <c r="M159" s="310" t="str">
        <f>IF(OR(Table10[[#This Row],[Winter Clothes Adult ]]&lt;&gt;0,Table10[[#This Row],[Winter Clothes Children ]]&lt;&gt;0,Table10[[#This Row],[Winter Items Other ]]&lt;&gt;0),"No","")</f>
        <v/>
      </c>
      <c r="N159" s="311">
        <f>COUNTIF(A:A,Table10[[#This Row],[Pcode]])-1</f>
        <v>0</v>
      </c>
    </row>
    <row r="160" spans="1:14" x14ac:dyDescent="0.25">
      <c r="A160" s="259" t="s">
        <v>348</v>
      </c>
      <c r="B160" s="18" t="str">
        <f ca="1">OFFSET(CampList[Priority],MATCH(Table10[[#This Row],[Pcode]],CampList[CP_Pcode],0)-1,0,1,1)</f>
        <v>P4</v>
      </c>
      <c r="C160" s="18" t="str">
        <f ca="1">OFFSET(CampList[Camp],MATCH(Table10[[#This Row],[Pcode]],CampList[CP_Pcode],0)-1,0,1,1)</f>
        <v>Thargaya Lisu Baptist Church</v>
      </c>
      <c r="D160" s="18" t="str">
        <f ca="1">OFFSET(CampList[Township],MATCH(Table10[[#This Row],[Pcode]],CampList[CP_Pcode],0)-1,0,1,1)</f>
        <v>Waingmaw</v>
      </c>
      <c r="E160" s="277">
        <f ca="1">OFFSET(CampList[HH],MATCH(Table10[[#This Row],[Pcode]],CampList[CP_Pcode],0)-1,0,1,1)</f>
        <v>44</v>
      </c>
      <c r="F160" s="277">
        <f ca="1">OFFSET(CampList[Total],MATCH(Table10[[#This Row],[Pcode]],CampList[CP_Pcode],0)-1,0,1,1)</f>
        <v>182</v>
      </c>
      <c r="G160" s="277">
        <f>SUMIF('NFI Tracking'!AQ$11:AQ$1048576,Table10[[#This Row],[Pcode]],'NFI Tracking'!AI$11:AI$1048576)</f>
        <v>0</v>
      </c>
      <c r="H160" s="277">
        <f>SUMIF('NFI Tracking'!AQ$11:AQ$1048576,Table10[[#This Row],[Pcode]],'NFI Tracking'!AJ$11:AJ$1048576)</f>
        <v>0</v>
      </c>
      <c r="I160" s="277">
        <f>SUMIF('NFI Tracking'!AQ$11:AQ$1048576,Table10[[#This Row],[Pcode]],'NFI Tracking'!AK$11:AK$1048576)</f>
        <v>0</v>
      </c>
      <c r="J160" s="277">
        <f ca="1">MAX(Table10[[#This Row],[HH]]*VLOOKUP("Winter Clothes Adult",NFI,6)-Table10[[#This Row],[Winter Clothes Adult ]],0)</f>
        <v>88</v>
      </c>
      <c r="K160" s="277">
        <f ca="1">MAX(Table10[[#This Row],[HH]]*VLOOKUP("Winter Clothes Children ",NFI,6)-Table10[[#This Row],[Winter Clothes Children ]],0)</f>
        <v>44</v>
      </c>
      <c r="L160" s="277">
        <f ca="1">MAX(Table10[[#This Row],[HH]]*VLOOKUP("Winter Items Other ",NFI,6)-Table10[[#This Row],[Winter Items Other ]],0)</f>
        <v>44</v>
      </c>
      <c r="M160" s="310" t="str">
        <f>IF(OR(Table10[[#This Row],[Winter Clothes Adult ]]&lt;&gt;0,Table10[[#This Row],[Winter Clothes Children ]]&lt;&gt;0,Table10[[#This Row],[Winter Items Other ]]&lt;&gt;0),"No","")</f>
        <v/>
      </c>
      <c r="N160" s="311">
        <f>COUNTIF(A:A,Table10[[#This Row],[Pcode]])-1</f>
        <v>0</v>
      </c>
    </row>
    <row r="161" spans="1:14" x14ac:dyDescent="0.25">
      <c r="A161" s="259" t="s">
        <v>1018</v>
      </c>
      <c r="B161" s="18" t="str">
        <f ca="1">OFFSET(CampList[Priority],MATCH(Table10[[#This Row],[Pcode]],CampList[CP_Pcode],0)-1,0,1,1)</f>
        <v>P4</v>
      </c>
      <c r="C161" s="18" t="str">
        <f ca="1">OFFSET(CampList[Camp],MATCH(Table10[[#This Row],[Pcode]],CampList[CP_Pcode],0)-1,0,1,1)</f>
        <v>Tharthana Ahlin Yaung New Monastery</v>
      </c>
      <c r="D161" s="18" t="str">
        <f ca="1">OFFSET(CampList[Township],MATCH(Table10[[#This Row],[Pcode]],CampList[CP_Pcode],0)-1,0,1,1)</f>
        <v>Bhamo</v>
      </c>
      <c r="E161" s="277">
        <f ca="1">OFFSET(CampList[HH],MATCH(Table10[[#This Row],[Pcode]],CampList[CP_Pcode],0)-1,0,1,1)</f>
        <v>0</v>
      </c>
      <c r="F161" s="277">
        <f ca="1">OFFSET(CampList[Total],MATCH(Table10[[#This Row],[Pcode]],CampList[CP_Pcode],0)-1,0,1,1)</f>
        <v>0</v>
      </c>
      <c r="G161" s="277">
        <f>SUMIF('NFI Tracking'!AQ$11:AQ$1048576,Table10[[#This Row],[Pcode]],'NFI Tracking'!AI$11:AI$1048576)</f>
        <v>0</v>
      </c>
      <c r="H161" s="277">
        <f>SUMIF('NFI Tracking'!AQ$11:AQ$1048576,Table10[[#This Row],[Pcode]],'NFI Tracking'!AJ$11:AJ$1048576)</f>
        <v>0</v>
      </c>
      <c r="I161" s="277">
        <f>SUMIF('NFI Tracking'!AQ$11:AQ$1048576,Table10[[#This Row],[Pcode]],'NFI Tracking'!AK$11:AK$1048576)</f>
        <v>0</v>
      </c>
      <c r="J161" s="277">
        <f ca="1">MAX(Table10[[#This Row],[HH]]*VLOOKUP("Winter Clothes Adult",NFI,6)-Table10[[#This Row],[Winter Clothes Adult ]],0)</f>
        <v>0</v>
      </c>
      <c r="K161" s="277">
        <f ca="1">MAX(Table10[[#This Row],[HH]]*VLOOKUP("Winter Clothes Children ",NFI,6)-Table10[[#This Row],[Winter Clothes Children ]],0)</f>
        <v>0</v>
      </c>
      <c r="L161" s="277">
        <f ca="1">MAX(Table10[[#This Row],[HH]]*VLOOKUP("Winter Items Other ",NFI,6)-Table10[[#This Row],[Winter Items Other ]],0)</f>
        <v>0</v>
      </c>
      <c r="M161" s="310" t="str">
        <f>IF(OR(Table10[[#This Row],[Winter Clothes Adult ]]&lt;&gt;0,Table10[[#This Row],[Winter Clothes Children ]]&lt;&gt;0,Table10[[#This Row],[Winter Items Other ]]&lt;&gt;0),"No","")</f>
        <v/>
      </c>
      <c r="N161" s="311">
        <f>COUNTIF(A:A,Table10[[#This Row],[Pcode]])-1</f>
        <v>0</v>
      </c>
    </row>
    <row r="162" spans="1:14" x14ac:dyDescent="0.25">
      <c r="A162" s="259" t="s">
        <v>315</v>
      </c>
      <c r="B162" s="18" t="str">
        <f ca="1">OFFSET(CampList[Priority],MATCH(Table10[[#This Row],[Pcode]],CampList[CP_Pcode],0)-1,0,1,1)</f>
        <v>P4</v>
      </c>
      <c r="C162" s="18" t="str">
        <f ca="1">OFFSET(CampList[Camp],MATCH(Table10[[#This Row],[Pcode]],CampList[CP_Pcode],0)-1,0,1,1)</f>
        <v>Waingmaw AG Church</v>
      </c>
      <c r="D162" s="18" t="str">
        <f ca="1">OFFSET(CampList[Township],MATCH(Table10[[#This Row],[Pcode]],CampList[CP_Pcode],0)-1,0,1,1)</f>
        <v>Waingmaw</v>
      </c>
      <c r="E162" s="277">
        <f ca="1">OFFSET(CampList[HH],MATCH(Table10[[#This Row],[Pcode]],CampList[CP_Pcode],0)-1,0,1,1)</f>
        <v>70</v>
      </c>
      <c r="F162" s="277">
        <f ca="1">OFFSET(CampList[Total],MATCH(Table10[[#This Row],[Pcode]],CampList[CP_Pcode],0)-1,0,1,1)</f>
        <v>288</v>
      </c>
      <c r="G162" s="277">
        <f>SUMIF('NFI Tracking'!AQ$11:AQ$1048576,Table10[[#This Row],[Pcode]],'NFI Tracking'!AI$11:AI$1048576)</f>
        <v>0</v>
      </c>
      <c r="H162" s="277">
        <f>SUMIF('NFI Tracking'!AQ$11:AQ$1048576,Table10[[#This Row],[Pcode]],'NFI Tracking'!AJ$11:AJ$1048576)</f>
        <v>0</v>
      </c>
      <c r="I162" s="277">
        <f>SUMIF('NFI Tracking'!AQ$11:AQ$1048576,Table10[[#This Row],[Pcode]],'NFI Tracking'!AK$11:AK$1048576)</f>
        <v>0</v>
      </c>
      <c r="J162" s="277">
        <f ca="1">MAX(Table10[[#This Row],[HH]]*VLOOKUP("Winter Clothes Adult",NFI,6)-Table10[[#This Row],[Winter Clothes Adult ]],0)</f>
        <v>140</v>
      </c>
      <c r="K162" s="277">
        <f ca="1">MAX(Table10[[#This Row],[HH]]*VLOOKUP("Winter Clothes Children ",NFI,6)-Table10[[#This Row],[Winter Clothes Children ]],0)</f>
        <v>70</v>
      </c>
      <c r="L162" s="277">
        <f ca="1">MAX(Table10[[#This Row],[HH]]*VLOOKUP("Winter Items Other ",NFI,6)-Table10[[#This Row],[Winter Items Other ]],0)</f>
        <v>70</v>
      </c>
      <c r="M162" s="310" t="str">
        <f>IF(OR(Table10[[#This Row],[Winter Clothes Adult ]]&lt;&gt;0,Table10[[#This Row],[Winter Clothes Children ]]&lt;&gt;0,Table10[[#This Row],[Winter Items Other ]]&lt;&gt;0),"No","")</f>
        <v/>
      </c>
      <c r="N162" s="311">
        <f>COUNTIF(A:A,Table10[[#This Row],[Pcode]])-1</f>
        <v>0</v>
      </c>
    </row>
    <row r="163" spans="1:14" x14ac:dyDescent="0.25">
      <c r="A163" s="259" t="s">
        <v>309</v>
      </c>
      <c r="B163" s="18" t="str">
        <f ca="1">OFFSET(CampList[Priority],MATCH(Table10[[#This Row],[Pcode]],CampList[CP_Pcode],0)-1,0,1,1)</f>
        <v>P4</v>
      </c>
      <c r="C163" s="18" t="str">
        <f ca="1">OFFSET(CampList[Camp],MATCH(Table10[[#This Row],[Pcode]],CampList[CP_Pcode],0)-1,0,1,1)</f>
        <v>Waingmaw Baptist Zonal Office</v>
      </c>
      <c r="D163" s="18" t="str">
        <f ca="1">OFFSET(CampList[Township],MATCH(Table10[[#This Row],[Pcode]],CampList[CP_Pcode],0)-1,0,1,1)</f>
        <v>Waingmaw</v>
      </c>
      <c r="E163" s="277">
        <f ca="1">OFFSET(CampList[HH],MATCH(Table10[[#This Row],[Pcode]],CampList[CP_Pcode],0)-1,0,1,1)</f>
        <v>0</v>
      </c>
      <c r="F163" s="277">
        <f ca="1">OFFSET(CampList[Total],MATCH(Table10[[#This Row],[Pcode]],CampList[CP_Pcode],0)-1,0,1,1)</f>
        <v>0</v>
      </c>
      <c r="G163" s="277">
        <f>SUMIF('NFI Tracking'!AQ$11:AQ$1048576,Table10[[#This Row],[Pcode]],'NFI Tracking'!AI$11:AI$1048576)</f>
        <v>0</v>
      </c>
      <c r="H163" s="277">
        <f>SUMIF('NFI Tracking'!AQ$11:AQ$1048576,Table10[[#This Row],[Pcode]],'NFI Tracking'!AJ$11:AJ$1048576)</f>
        <v>0</v>
      </c>
      <c r="I163" s="277">
        <f>SUMIF('NFI Tracking'!AQ$11:AQ$1048576,Table10[[#This Row],[Pcode]],'NFI Tracking'!AK$11:AK$1048576)</f>
        <v>0</v>
      </c>
      <c r="J163" s="277">
        <f ca="1">MAX(Table10[[#This Row],[HH]]*VLOOKUP("Winter Clothes Adult",NFI,6)-Table10[[#This Row],[Winter Clothes Adult ]],0)</f>
        <v>0</v>
      </c>
      <c r="K163" s="277">
        <f ca="1">MAX(Table10[[#This Row],[HH]]*VLOOKUP("Winter Clothes Children ",NFI,6)-Table10[[#This Row],[Winter Clothes Children ]],0)</f>
        <v>0</v>
      </c>
      <c r="L163" s="277">
        <f ca="1">MAX(Table10[[#This Row],[HH]]*VLOOKUP("Winter Items Other ",NFI,6)-Table10[[#This Row],[Winter Items Other ]],0)</f>
        <v>0</v>
      </c>
      <c r="M163" s="310" t="str">
        <f>IF(OR(Table10[[#This Row],[Winter Clothes Adult ]]&lt;&gt;0,Table10[[#This Row],[Winter Clothes Children ]]&lt;&gt;0,Table10[[#This Row],[Winter Items Other ]]&lt;&gt;0),"No","")</f>
        <v/>
      </c>
      <c r="N163" s="311">
        <f>COUNTIF(A:A,Table10[[#This Row],[Pcode]])-1</f>
        <v>0</v>
      </c>
    </row>
    <row r="164" spans="1:14" x14ac:dyDescent="0.25">
      <c r="A164" s="259" t="s">
        <v>125</v>
      </c>
      <c r="B164" s="18" t="str">
        <f ca="1">OFFSET(CampList[Priority],MATCH(Table10[[#This Row],[Pcode]],CampList[CP_Pcode],0)-1,0,1,1)</f>
        <v>P4</v>
      </c>
      <c r="C164" s="18" t="str">
        <f ca="1">OFFSET(CampList[Camp],MATCH(Table10[[#This Row],[Pcode]],CampList[CP_Pcode],0)-1,0,1,1)</f>
        <v xml:space="preserve">Ward 2 Sai Taung Baptist Church, Seik Mu </v>
      </c>
      <c r="D164" s="18" t="str">
        <f ca="1">OFFSET(CampList[Township],MATCH(Table10[[#This Row],[Pcode]],CampList[CP_Pcode],0)-1,0,1,1)</f>
        <v>Hpakant</v>
      </c>
      <c r="E164" s="277">
        <f ca="1">OFFSET(CampList[HH],MATCH(Table10[[#This Row],[Pcode]],CampList[CP_Pcode],0)-1,0,1,1)</f>
        <v>35</v>
      </c>
      <c r="F164" s="277">
        <f ca="1">OFFSET(CampList[Total],MATCH(Table10[[#This Row],[Pcode]],CampList[CP_Pcode],0)-1,0,1,1)</f>
        <v>173</v>
      </c>
      <c r="G164" s="277">
        <f>SUMIF('NFI Tracking'!AQ$11:AQ$1048576,Table10[[#This Row],[Pcode]],'NFI Tracking'!AI$11:AI$1048576)</f>
        <v>0</v>
      </c>
      <c r="H164" s="277">
        <f>SUMIF('NFI Tracking'!AQ$11:AQ$1048576,Table10[[#This Row],[Pcode]],'NFI Tracking'!AJ$11:AJ$1048576)</f>
        <v>0</v>
      </c>
      <c r="I164" s="277">
        <f>SUMIF('NFI Tracking'!AQ$11:AQ$1048576,Table10[[#This Row],[Pcode]],'NFI Tracking'!AK$11:AK$1048576)</f>
        <v>0</v>
      </c>
      <c r="J164" s="277">
        <f ca="1">MAX(Table10[[#This Row],[HH]]*VLOOKUP("Winter Clothes Adult",NFI,6)-Table10[[#This Row],[Winter Clothes Adult ]],0)</f>
        <v>70</v>
      </c>
      <c r="K164" s="277">
        <f ca="1">MAX(Table10[[#This Row],[HH]]*VLOOKUP("Winter Clothes Children ",NFI,6)-Table10[[#This Row],[Winter Clothes Children ]],0)</f>
        <v>35</v>
      </c>
      <c r="L164" s="277">
        <f ca="1">MAX(Table10[[#This Row],[HH]]*VLOOKUP("Winter Items Other ",NFI,6)-Table10[[#This Row],[Winter Items Other ]],0)</f>
        <v>35</v>
      </c>
      <c r="M164" s="310" t="str">
        <f>IF(OR(Table10[[#This Row],[Winter Clothes Adult ]]&lt;&gt;0,Table10[[#This Row],[Winter Clothes Children ]]&lt;&gt;0,Table10[[#This Row],[Winter Items Other ]]&lt;&gt;0),"No","")</f>
        <v/>
      </c>
      <c r="N164" s="311">
        <f>COUNTIF(A:A,Table10[[#This Row],[Pcode]])-1</f>
        <v>0</v>
      </c>
    </row>
    <row r="165" spans="1:14" x14ac:dyDescent="0.25">
      <c r="A165" s="259" t="s">
        <v>352</v>
      </c>
      <c r="B165" s="18" t="str">
        <f ca="1">OFFSET(CampList[Priority],MATCH(Table10[[#This Row],[Pcode]],CampList[CP_Pcode],0)-1,0,1,1)</f>
        <v>P4</v>
      </c>
      <c r="C165" s="18" t="str">
        <f ca="1">OFFSET(CampList[Camp],MATCH(Table10[[#This Row],[Pcode]],CampList[CP_Pcode],0)-1,0,1,1)</f>
        <v xml:space="preserve">Woi Chyai </v>
      </c>
      <c r="D165" s="18" t="str">
        <f ca="1">OFFSET(CampList[Township],MATCH(Table10[[#This Row],[Pcode]],CampList[CP_Pcode],0)-1,0,1,1)</f>
        <v>Waingmaw</v>
      </c>
      <c r="E165" s="277">
        <f ca="1">OFFSET(CampList[HH],MATCH(Table10[[#This Row],[Pcode]],CampList[CP_Pcode],0)-1,0,1,1)</f>
        <v>1371</v>
      </c>
      <c r="F165" s="277">
        <f ca="1">OFFSET(CampList[Total],MATCH(Table10[[#This Row],[Pcode]],CampList[CP_Pcode],0)-1,0,1,1)</f>
        <v>6701</v>
      </c>
      <c r="G165" s="277">
        <f>SUMIF('NFI Tracking'!AQ$11:AQ$1048576,Table10[[#This Row],[Pcode]],'NFI Tracking'!AI$11:AI$1048576)</f>
        <v>0</v>
      </c>
      <c r="H165" s="277">
        <f>SUMIF('NFI Tracking'!AQ$11:AQ$1048576,Table10[[#This Row],[Pcode]],'NFI Tracking'!AJ$11:AJ$1048576)</f>
        <v>0</v>
      </c>
      <c r="I165" s="277">
        <f>SUMIF('NFI Tracking'!AQ$11:AQ$1048576,Table10[[#This Row],[Pcode]],'NFI Tracking'!AK$11:AK$1048576)</f>
        <v>0</v>
      </c>
      <c r="J165" s="277">
        <f ca="1">MAX(Table10[[#This Row],[HH]]*VLOOKUP("Winter Clothes Adult",NFI,6)-Table10[[#This Row],[Winter Clothes Adult ]],0)</f>
        <v>2742</v>
      </c>
      <c r="K165" s="277">
        <f ca="1">MAX(Table10[[#This Row],[HH]]*VLOOKUP("Winter Clothes Children ",NFI,6)-Table10[[#This Row],[Winter Clothes Children ]],0)</f>
        <v>1371</v>
      </c>
      <c r="L165" s="277">
        <f ca="1">MAX(Table10[[#This Row],[HH]]*VLOOKUP("Winter Items Other ",NFI,6)-Table10[[#This Row],[Winter Items Other ]],0)</f>
        <v>1371</v>
      </c>
      <c r="M165" s="310" t="str">
        <f>IF(OR(Table10[[#This Row],[Winter Clothes Adult ]]&lt;&gt;0,Table10[[#This Row],[Winter Clothes Children ]]&lt;&gt;0,Table10[[#This Row],[Winter Items Other ]]&lt;&gt;0),"No","")</f>
        <v/>
      </c>
      <c r="N165" s="311">
        <f>COUNTIF(A:A,Table10[[#This Row],[Pcode]])-1</f>
        <v>0</v>
      </c>
    </row>
    <row r="166" spans="1:14" x14ac:dyDescent="0.25">
      <c r="A166" s="259" t="s">
        <v>282</v>
      </c>
      <c r="B166" s="18" t="str">
        <f ca="1">OFFSET(CampList[Priority],MATCH(Table10[[#This Row],[Pcode]],CampList[CP_Pcode],0)-1,0,1,1)</f>
        <v>P4</v>
      </c>
      <c r="C166" s="18" t="str">
        <f ca="1">OFFSET(CampList[Camp],MATCH(Table10[[#This Row],[Pcode]],CampList[CP_Pcode],0)-1,0,1,1)</f>
        <v>Wun Tho Buddhist Monastery</v>
      </c>
      <c r="D166" s="18" t="str">
        <f ca="1">OFFSET(CampList[Township],MATCH(Table10[[#This Row],[Pcode]],CampList[CP_Pcode],0)-1,0,1,1)</f>
        <v>Myitkyina</v>
      </c>
      <c r="E166" s="277">
        <f ca="1">OFFSET(CampList[HH],MATCH(Table10[[#This Row],[Pcode]],CampList[CP_Pcode],0)-1,0,1,1)</f>
        <v>7</v>
      </c>
      <c r="F166" s="277">
        <f ca="1">OFFSET(CampList[Total],MATCH(Table10[[#This Row],[Pcode]],CampList[CP_Pcode],0)-1,0,1,1)</f>
        <v>37</v>
      </c>
      <c r="G166" s="277">
        <f>SUMIF('NFI Tracking'!AQ$11:AQ$1048576,Table10[[#This Row],[Pcode]],'NFI Tracking'!AI$11:AI$1048576)</f>
        <v>0</v>
      </c>
      <c r="H166" s="277">
        <f>SUMIF('NFI Tracking'!AQ$11:AQ$1048576,Table10[[#This Row],[Pcode]],'NFI Tracking'!AJ$11:AJ$1048576)</f>
        <v>0</v>
      </c>
      <c r="I166" s="277">
        <f>SUMIF('NFI Tracking'!AQ$11:AQ$1048576,Table10[[#This Row],[Pcode]],'NFI Tracking'!AK$11:AK$1048576)</f>
        <v>0</v>
      </c>
      <c r="J166" s="277">
        <f ca="1">MAX(Table10[[#This Row],[HH]]*VLOOKUP("Winter Clothes Adult",NFI,6)-Table10[[#This Row],[Winter Clothes Adult ]],0)</f>
        <v>14</v>
      </c>
      <c r="K166" s="277">
        <f ca="1">MAX(Table10[[#This Row],[HH]]*VLOOKUP("Winter Clothes Children ",NFI,6)-Table10[[#This Row],[Winter Clothes Children ]],0)</f>
        <v>7</v>
      </c>
      <c r="L166" s="277">
        <f ca="1">MAX(Table10[[#This Row],[HH]]*VLOOKUP("Winter Items Other ",NFI,6)-Table10[[#This Row],[Winter Items Other ]],0)</f>
        <v>7</v>
      </c>
      <c r="M166" s="310" t="str">
        <f>IF(OR(Table10[[#This Row],[Winter Clothes Adult ]]&lt;&gt;0,Table10[[#This Row],[Winter Clothes Children ]]&lt;&gt;0,Table10[[#This Row],[Winter Items Other ]]&lt;&gt;0),"No","")</f>
        <v/>
      </c>
      <c r="N166" s="311">
        <f>COUNTIF(A:A,Table10[[#This Row],[Pcode]])-1</f>
        <v>0</v>
      </c>
    </row>
    <row r="167" spans="1:14" x14ac:dyDescent="0.25">
      <c r="A167" s="259" t="s">
        <v>25</v>
      </c>
      <c r="B167" s="18" t="str">
        <f ca="1">OFFSET(CampList[Priority],MATCH(Table10[[#This Row],[Pcode]],CampList[CP_Pcode],0)-1,0,1,1)</f>
        <v>P4</v>
      </c>
      <c r="C167" s="18" t="str">
        <f ca="1">OFFSET(CampList[Camp],MATCH(Table10[[#This Row],[Pcode]],CampList[CP_Pcode],0)-1,0,1,1)</f>
        <v>Yoe Kyi Monastery</v>
      </c>
      <c r="D167" s="18" t="str">
        <f ca="1">OFFSET(CampList[Township],MATCH(Table10[[#This Row],[Pcode]],CampList[CP_Pcode],0)-1,0,1,1)</f>
        <v>Bhamo</v>
      </c>
      <c r="E167" s="277">
        <f ca="1">OFFSET(CampList[HH],MATCH(Table10[[#This Row],[Pcode]],CampList[CP_Pcode],0)-1,0,1,1)</f>
        <v>15</v>
      </c>
      <c r="F167" s="277">
        <f ca="1">OFFSET(CampList[Total],MATCH(Table10[[#This Row],[Pcode]],CampList[CP_Pcode],0)-1,0,1,1)</f>
        <v>75</v>
      </c>
      <c r="G167" s="277">
        <f>SUMIF('NFI Tracking'!AQ$11:AQ$1048576,Table10[[#This Row],[Pcode]],'NFI Tracking'!AI$11:AI$1048576)</f>
        <v>0</v>
      </c>
      <c r="H167" s="277">
        <f>SUMIF('NFI Tracking'!AQ$11:AQ$1048576,Table10[[#This Row],[Pcode]],'NFI Tracking'!AJ$11:AJ$1048576)</f>
        <v>0</v>
      </c>
      <c r="I167" s="277">
        <f>SUMIF('NFI Tracking'!AQ$11:AQ$1048576,Table10[[#This Row],[Pcode]],'NFI Tracking'!AK$11:AK$1048576)</f>
        <v>0</v>
      </c>
      <c r="J167" s="277">
        <f ca="1">MAX(Table10[[#This Row],[HH]]*VLOOKUP("Winter Clothes Adult",NFI,6)-Table10[[#This Row],[Winter Clothes Adult ]],0)</f>
        <v>30</v>
      </c>
      <c r="K167" s="277">
        <f ca="1">MAX(Table10[[#This Row],[HH]]*VLOOKUP("Winter Clothes Children ",NFI,6)-Table10[[#This Row],[Winter Clothes Children ]],0)</f>
        <v>15</v>
      </c>
      <c r="L167" s="277">
        <f ca="1">MAX(Table10[[#This Row],[HH]]*VLOOKUP("Winter Items Other ",NFI,6)-Table10[[#This Row],[Winter Items Other ]],0)</f>
        <v>15</v>
      </c>
      <c r="M167" s="310" t="str">
        <f>IF(OR(Table10[[#This Row],[Winter Clothes Adult ]]&lt;&gt;0,Table10[[#This Row],[Winter Clothes Children ]]&lt;&gt;0,Table10[[#This Row],[Winter Items Other ]]&lt;&gt;0),"No","")</f>
        <v/>
      </c>
      <c r="N167" s="311">
        <f>COUNTIF(A:A,Table10[[#This Row],[Pcode]])-1</f>
        <v>0</v>
      </c>
    </row>
    <row r="168" spans="1:14" x14ac:dyDescent="0.25">
      <c r="A168" s="257" t="s">
        <v>139</v>
      </c>
      <c r="B168" s="280" t="str">
        <f ca="1">OFFSET(CampList[Priority],MATCH(Table10[[#This Row],[Pcode]],CampList[CP_Pcode],0)-1,0,1,1)</f>
        <v>P4</v>
      </c>
      <c r="C168" s="280" t="str">
        <f ca="1">OFFSET(CampList[Camp],MATCH(Table10[[#This Row],[Pcode]],CampList[CP_Pcode],0)-1,0,1,1)</f>
        <v>Yumar Baptist Church</v>
      </c>
      <c r="D168" s="280" t="str">
        <f ca="1">OFFSET(CampList[Township],MATCH(Table10[[#This Row],[Pcode]],CampList[CP_Pcode],0)-1,0,1,1)</f>
        <v>Hpakant</v>
      </c>
      <c r="E168" s="312">
        <f ca="1">OFFSET(CampList[HH],MATCH(Table10[[#This Row],[Pcode]],CampList[CP_Pcode],0)-1,0,1,1)</f>
        <v>12</v>
      </c>
      <c r="F168" s="312">
        <f ca="1">OFFSET(CampList[Total],MATCH(Table10[[#This Row],[Pcode]],CampList[CP_Pcode],0)-1,0,1,1)</f>
        <v>43</v>
      </c>
      <c r="G168" s="312">
        <f>SUMIF('NFI Tracking'!AQ$11:AQ$1048576,Table10[[#This Row],[Pcode]],'NFI Tracking'!AI$11:AI$1048576)</f>
        <v>0</v>
      </c>
      <c r="H168" s="312">
        <f>SUMIF('NFI Tracking'!AQ$11:AQ$1048576,Table10[[#This Row],[Pcode]],'NFI Tracking'!AJ$11:AJ$1048576)</f>
        <v>0</v>
      </c>
      <c r="I168" s="312">
        <f>SUMIF('NFI Tracking'!AQ$11:AQ$1048576,Table10[[#This Row],[Pcode]],'NFI Tracking'!AK$11:AK$1048576)</f>
        <v>0</v>
      </c>
      <c r="J168" s="312">
        <f ca="1">MAX(Table10[[#This Row],[HH]]*VLOOKUP("Winter Clothes Adult",NFI,6)-Table10[[#This Row],[Winter Clothes Adult ]],0)</f>
        <v>24</v>
      </c>
      <c r="K168" s="312">
        <f ca="1">MAX(Table10[[#This Row],[HH]]*VLOOKUP("Winter Clothes Children ",NFI,6)-Table10[[#This Row],[Winter Clothes Children ]],0)</f>
        <v>12</v>
      </c>
      <c r="L168" s="312">
        <f ca="1">MAX(Table10[[#This Row],[HH]]*VLOOKUP("Winter Items Other ",NFI,6)-Table10[[#This Row],[Winter Items Other ]],0)</f>
        <v>12</v>
      </c>
      <c r="M168" s="313" t="str">
        <f>IF(OR(Table10[[#This Row],[Winter Clothes Adult ]]&lt;&gt;0,Table10[[#This Row],[Winter Clothes Children ]]&lt;&gt;0,Table10[[#This Row],[Winter Items Other ]]&lt;&gt;0),"No","")</f>
        <v/>
      </c>
      <c r="N168" s="314">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C279"/>
  <sheetViews>
    <sheetView showZeros="0" zoomScaleNormal="100" workbookViewId="0">
      <pane xSplit="1" ySplit="4" topLeftCell="B189" activePane="bottomRight" state="frozen"/>
      <selection activeCell="AS915" sqref="AS915"/>
      <selection pane="topRight" activeCell="AS915" sqref="AS915"/>
      <selection pane="bottomLeft" activeCell="AS915" sqref="AS915"/>
      <selection pane="bottomRight" activeCell="H208" sqref="H208"/>
    </sheetView>
  </sheetViews>
  <sheetFormatPr defaultColWidth="8.85546875" defaultRowHeight="15.6" customHeight="1" x14ac:dyDescent="0.25"/>
  <cols>
    <col min="1" max="1" width="14" style="548" customWidth="1"/>
    <col min="2" max="2" width="11.85546875" style="548" customWidth="1"/>
    <col min="3" max="3" width="9.28515625" style="539" customWidth="1"/>
    <col min="4" max="4" width="10.5703125" style="539" customWidth="1"/>
    <col min="5" max="5" width="13.85546875" style="539" customWidth="1"/>
    <col min="6" max="6" width="16.85546875" style="539" customWidth="1"/>
    <col min="7" max="7" width="19.28515625" style="539" customWidth="1"/>
    <col min="8" max="8" width="33.7109375" style="539" customWidth="1"/>
    <col min="9" max="10" width="19.28515625" style="539" customWidth="1"/>
    <col min="11" max="11" width="22.28515625" style="539" customWidth="1"/>
    <col min="12" max="12" width="38.85546875" style="549" customWidth="1"/>
    <col min="13" max="13" width="17.42578125" style="539" customWidth="1"/>
    <col min="14" max="15" width="13.7109375" style="540" customWidth="1"/>
    <col min="16" max="16" width="6.42578125" style="540" customWidth="1"/>
    <col min="17" max="17" width="8" style="651" customWidth="1"/>
    <col min="18" max="18" width="6.42578125" style="652" customWidth="1"/>
    <col min="19" max="19" width="11.5703125" style="553" customWidth="1"/>
    <col min="20" max="20" width="9.140625" style="538" customWidth="1"/>
    <col min="21" max="21" width="14.42578125" style="426" customWidth="1"/>
    <col min="22" max="22" width="24.140625" style="538" customWidth="1"/>
    <col min="23" max="23" width="18.7109375" style="538" customWidth="1"/>
    <col min="24" max="24" width="16.28515625" style="560" customWidth="1"/>
    <col min="25" max="25" width="11.42578125" style="561" customWidth="1"/>
    <col min="26" max="26" width="10.28515625" style="561" customWidth="1"/>
    <col min="27" max="27" width="7" style="540" customWidth="1"/>
    <col min="28" max="28" width="9.28515625" style="96" customWidth="1"/>
    <col min="29" max="29" width="12.42578125" style="540" customWidth="1"/>
    <col min="30" max="30" width="107.28515625" style="615" customWidth="1"/>
    <col min="31" max="31" width="9.7109375" style="538" customWidth="1"/>
    <col min="32" max="32" width="13.28515625" style="538" customWidth="1"/>
    <col min="33" max="33" width="17.7109375" style="538" customWidth="1"/>
    <col min="34" max="34" width="14.28515625" style="540" customWidth="1"/>
    <col min="35" max="35" width="16.7109375" style="538" customWidth="1"/>
    <col min="36" max="36" width="12.5703125" style="566" customWidth="1"/>
    <col min="37" max="37" width="12.42578125" style="540" customWidth="1"/>
    <col min="38" max="39" width="9.140625" style="35"/>
    <col min="40" max="49" width="8.85546875" style="537"/>
    <col min="50" max="51" width="9.140625" style="2" customWidth="1"/>
    <col min="52" max="16384" width="8.85546875" style="537"/>
  </cols>
  <sheetData>
    <row r="1" spans="1:55" s="535" customFormat="1" ht="41.45" customHeight="1" x14ac:dyDescent="0.25">
      <c r="A1" s="547"/>
      <c r="B1" s="542"/>
      <c r="C1" s="542"/>
      <c r="D1" s="542"/>
      <c r="E1" s="542"/>
      <c r="F1" s="542"/>
      <c r="G1" s="542"/>
      <c r="H1" s="542"/>
      <c r="I1" s="542"/>
      <c r="J1" s="542"/>
      <c r="K1" s="542"/>
      <c r="L1" s="545"/>
      <c r="M1" s="542"/>
      <c r="N1" s="550"/>
      <c r="O1" s="550"/>
      <c r="P1" s="550"/>
      <c r="Q1" s="550"/>
      <c r="R1" s="550"/>
      <c r="S1" s="550"/>
      <c r="T1" s="541"/>
      <c r="U1" s="541"/>
      <c r="V1" s="541"/>
      <c r="W1" s="541"/>
      <c r="X1" s="554"/>
      <c r="Y1" s="555"/>
      <c r="Z1" s="555"/>
      <c r="AA1" s="550"/>
      <c r="AB1" s="543"/>
      <c r="AC1" s="550"/>
      <c r="AD1" s="613"/>
      <c r="AE1" s="562"/>
      <c r="AF1" s="562"/>
      <c r="AG1" s="562"/>
      <c r="AH1" s="556"/>
      <c r="AI1" s="562"/>
      <c r="AJ1" s="563"/>
      <c r="AK1" s="567"/>
      <c r="AL1" s="443"/>
      <c r="AM1" s="443"/>
      <c r="AW1" s="46"/>
      <c r="AX1" s="46"/>
    </row>
    <row r="2" spans="1:55" s="535" customFormat="1" ht="15.6" customHeight="1" x14ac:dyDescent="0.25">
      <c r="A2" s="660" t="s">
        <v>419</v>
      </c>
      <c r="B2" s="545"/>
      <c r="C2" s="545"/>
      <c r="D2" s="545"/>
      <c r="E2" s="545"/>
      <c r="F2" s="545"/>
      <c r="G2" s="545"/>
      <c r="H2" s="545"/>
      <c r="I2" s="545"/>
      <c r="J2" s="545"/>
      <c r="K2" s="545"/>
      <c r="L2" s="545"/>
      <c r="M2" s="545"/>
      <c r="N2" s="551"/>
      <c r="O2" s="551"/>
      <c r="P2" s="551"/>
      <c r="Q2" s="552"/>
      <c r="R2" s="552"/>
      <c r="S2" s="552"/>
      <c r="T2" s="544"/>
      <c r="U2" s="544"/>
      <c r="V2" s="544"/>
      <c r="W2" s="544"/>
      <c r="X2" s="557"/>
      <c r="Y2" s="558"/>
      <c r="Z2" s="558"/>
      <c r="AA2" s="551"/>
      <c r="AB2" s="546"/>
      <c r="AC2" s="551"/>
      <c r="AD2" s="614"/>
      <c r="AE2" s="564"/>
      <c r="AF2" s="564"/>
      <c r="AG2" s="564"/>
      <c r="AH2" s="559"/>
      <c r="AI2" s="564"/>
      <c r="AJ2" s="565"/>
      <c r="AK2" s="568"/>
      <c r="AL2" s="443"/>
      <c r="AM2" s="443"/>
      <c r="AU2" s="46"/>
      <c r="AV2" s="46"/>
    </row>
    <row r="3" spans="1:55" s="536" customFormat="1" ht="15.6" customHeight="1" x14ac:dyDescent="0.25">
      <c r="A3" s="835">
        <f>Definition!B23</f>
        <v>42675</v>
      </c>
      <c r="B3" s="836"/>
      <c r="C3" s="836"/>
      <c r="D3" s="545"/>
      <c r="E3" s="545"/>
      <c r="F3" s="545"/>
      <c r="G3" s="545"/>
      <c r="H3" s="545"/>
      <c r="I3" s="545"/>
      <c r="J3" s="545"/>
      <c r="K3" s="545"/>
      <c r="L3" s="545"/>
      <c r="M3" s="545"/>
      <c r="N3" s="551"/>
      <c r="O3" s="551"/>
      <c r="P3" s="551"/>
      <c r="Q3" s="552"/>
      <c r="R3" s="552"/>
      <c r="S3" s="552"/>
      <c r="T3" s="544"/>
      <c r="U3" s="544"/>
      <c r="V3" s="544"/>
      <c r="W3" s="544"/>
      <c r="X3" s="557"/>
      <c r="Y3" s="558"/>
      <c r="Z3" s="558"/>
      <c r="AA3" s="551"/>
      <c r="AB3" s="546"/>
      <c r="AC3" s="551"/>
      <c r="AD3" s="614"/>
      <c r="AE3" s="564"/>
      <c r="AF3" s="564"/>
      <c r="AG3" s="564"/>
      <c r="AH3" s="559"/>
      <c r="AI3" s="564"/>
      <c r="AJ3" s="565"/>
      <c r="AK3" s="568"/>
      <c r="AL3" s="444"/>
      <c r="AM3" s="444"/>
      <c r="AU3" s="47"/>
      <c r="AV3" s="47"/>
    </row>
    <row r="4" spans="1:55" s="572" customFormat="1" ht="15.75" customHeight="1" x14ac:dyDescent="0.25">
      <c r="A4" s="607" t="s">
        <v>498</v>
      </c>
      <c r="B4" s="607" t="s">
        <v>395</v>
      </c>
      <c r="C4" s="607" t="s">
        <v>919</v>
      </c>
      <c r="D4" s="607" t="s">
        <v>524</v>
      </c>
      <c r="E4" s="607" t="s">
        <v>920</v>
      </c>
      <c r="F4" s="607" t="s">
        <v>0</v>
      </c>
      <c r="G4" s="607" t="s">
        <v>921</v>
      </c>
      <c r="H4" s="607" t="s">
        <v>922</v>
      </c>
      <c r="I4" s="607" t="s">
        <v>923</v>
      </c>
      <c r="J4" s="607" t="s">
        <v>523</v>
      </c>
      <c r="K4" s="607" t="s">
        <v>924</v>
      </c>
      <c r="L4" s="607" t="s">
        <v>554</v>
      </c>
      <c r="M4" s="607" t="s">
        <v>925</v>
      </c>
      <c r="N4" s="607" t="s">
        <v>1</v>
      </c>
      <c r="O4" s="608" t="s">
        <v>1323</v>
      </c>
      <c r="P4" s="608" t="s">
        <v>852</v>
      </c>
      <c r="Q4" s="608" t="s">
        <v>2</v>
      </c>
      <c r="R4" s="657" t="s">
        <v>3</v>
      </c>
      <c r="S4" s="681" t="s">
        <v>490</v>
      </c>
      <c r="T4" s="607" t="s">
        <v>497</v>
      </c>
      <c r="U4" s="608" t="s">
        <v>1249</v>
      </c>
      <c r="V4" s="607" t="s">
        <v>401</v>
      </c>
      <c r="W4" s="608" t="s">
        <v>853</v>
      </c>
      <c r="X4" s="609" t="s">
        <v>854</v>
      </c>
      <c r="Y4" s="682" t="s">
        <v>927</v>
      </c>
      <c r="Z4" s="608" t="s">
        <v>926</v>
      </c>
      <c r="AA4" s="607" t="s">
        <v>491</v>
      </c>
      <c r="AB4" s="607" t="s">
        <v>492</v>
      </c>
      <c r="AC4" s="683" t="s">
        <v>501</v>
      </c>
      <c r="AD4" s="684" t="s">
        <v>496</v>
      </c>
      <c r="AE4" s="610" t="s">
        <v>1080</v>
      </c>
      <c r="AF4" s="611" t="s">
        <v>1126</v>
      </c>
      <c r="AG4" s="611" t="s">
        <v>1123</v>
      </c>
      <c r="AH4" s="611" t="s">
        <v>1124</v>
      </c>
      <c r="AI4" s="612" t="s">
        <v>1189</v>
      </c>
      <c r="AJ4" s="685" t="s">
        <v>1190</v>
      </c>
      <c r="AK4" s="685" t="s">
        <v>1211</v>
      </c>
      <c r="AL4" s="571"/>
      <c r="AM4" s="571"/>
      <c r="BB4" s="573"/>
      <c r="BC4" s="573"/>
    </row>
    <row r="5" spans="1:55" s="445" customFormat="1" ht="15.75" customHeight="1" x14ac:dyDescent="0.25">
      <c r="A5" s="686" t="s">
        <v>500</v>
      </c>
      <c r="B5" s="662" t="s">
        <v>380</v>
      </c>
      <c r="C5" s="662" t="s">
        <v>525</v>
      </c>
      <c r="D5" s="662" t="s">
        <v>237</v>
      </c>
      <c r="E5" s="662" t="s">
        <v>531</v>
      </c>
      <c r="F5" s="662" t="s">
        <v>237</v>
      </c>
      <c r="G5" s="662" t="s">
        <v>535</v>
      </c>
      <c r="H5" s="662" t="s">
        <v>671</v>
      </c>
      <c r="I5" s="662" t="s">
        <v>672</v>
      </c>
      <c r="J5" s="662" t="s">
        <v>676</v>
      </c>
      <c r="K5" s="662" t="s">
        <v>677</v>
      </c>
      <c r="L5" s="662" t="s">
        <v>238</v>
      </c>
      <c r="M5" s="662" t="s">
        <v>236</v>
      </c>
      <c r="N5" s="687">
        <v>97.386718999999999</v>
      </c>
      <c r="O5" s="687">
        <v>25.415482000000001</v>
      </c>
      <c r="P5" s="688">
        <v>0</v>
      </c>
      <c r="Q5" s="689">
        <v>48</v>
      </c>
      <c r="R5" s="689">
        <v>247</v>
      </c>
      <c r="S5" s="690">
        <f>IF(CampList[[#This Row],[HH]]&gt;0,CampList[[#This Row],[Total]]/CampList[[#This Row],[HH]],"NA")</f>
        <v>5.145833333333333</v>
      </c>
      <c r="T5" s="664" t="s">
        <v>511</v>
      </c>
      <c r="U5" s="664" t="s">
        <v>1191</v>
      </c>
      <c r="V5" s="664" t="s">
        <v>554</v>
      </c>
      <c r="W5" s="664" t="s">
        <v>803</v>
      </c>
      <c r="X5" s="691">
        <v>40695</v>
      </c>
      <c r="Y5" s="692">
        <v>1</v>
      </c>
      <c r="Z5" s="691" t="s">
        <v>460</v>
      </c>
      <c r="AA5" s="693" t="s">
        <v>842</v>
      </c>
      <c r="AB5" s="693"/>
      <c r="AC5" s="694">
        <v>42745</v>
      </c>
      <c r="AD5" s="695" t="s">
        <v>1520</v>
      </c>
      <c r="AE5" s="696" t="s">
        <v>1093</v>
      </c>
      <c r="AF5" s="483">
        <f>IF(CampList[[#This Row],[Type of Accomodation]]="camp",MAX(0,CampList[[#This Row],[HH]]-SUMIF(Table_Shelter[Pcode],CampList[[#This Row],[CP_Pcode]],Table_Shelter[HH Covered])),0)</f>
        <v>0</v>
      </c>
      <c r="AG5" s="664"/>
      <c r="AH5" s="693">
        <f>MIN(CampList[[#This Row],[Shelter Gap]],CampList[[#This Row],[Land Status]])</f>
        <v>0</v>
      </c>
      <c r="AI5" s="664" t="str">
        <f ca="1">IFERROR(OFFSET(DistanceToCamp[Nearest Town],MATCH(CampList[[#This Row],[CP_Pcode]],DistanceToCamp[CP_Pcode],0)-1,0,1,1),"")</f>
        <v>Myitkyina Town</v>
      </c>
      <c r="AJ5" s="697">
        <f ca="1">IFERROR(OFFSET(DistanceToCamp[distance],MATCH(CampList[[#This Row],[CP_Pcode]],DistanceToCamp[CP_Pcode],0)-1,0,1,1),"")</f>
        <v>3.1341427522963001</v>
      </c>
      <c r="AK5" s="698">
        <f ca="1">IFERROR(INT(CampList[[#This Row],[Distance]]/5)+1,"")</f>
        <v>1</v>
      </c>
    </row>
    <row r="6" spans="1:55" s="445" customFormat="1" ht="15.75" customHeight="1" x14ac:dyDescent="0.25">
      <c r="A6" s="686" t="s">
        <v>500</v>
      </c>
      <c r="B6" s="662" t="s">
        <v>380</v>
      </c>
      <c r="C6" s="662" t="s">
        <v>525</v>
      </c>
      <c r="D6" s="662" t="s">
        <v>237</v>
      </c>
      <c r="E6" s="662" t="s">
        <v>531</v>
      </c>
      <c r="F6" s="662" t="s">
        <v>237</v>
      </c>
      <c r="G6" s="662" t="s">
        <v>535</v>
      </c>
      <c r="H6" s="662" t="s">
        <v>671</v>
      </c>
      <c r="I6" s="662" t="s">
        <v>672</v>
      </c>
      <c r="J6" s="662" t="s">
        <v>680</v>
      </c>
      <c r="K6" s="662"/>
      <c r="L6" s="662" t="s">
        <v>269</v>
      </c>
      <c r="M6" s="662" t="s">
        <v>268</v>
      </c>
      <c r="N6" s="687">
        <v>97.394547000000003</v>
      </c>
      <c r="O6" s="687">
        <v>25.422194000000001</v>
      </c>
      <c r="P6" s="688">
        <v>0</v>
      </c>
      <c r="Q6" s="689">
        <v>62</v>
      </c>
      <c r="R6" s="689">
        <v>264</v>
      </c>
      <c r="S6" s="690">
        <f>IF(CampList[[#This Row],[HH]]&gt;0,CampList[[#This Row],[Total]]/CampList[[#This Row],[HH]],"NA")</f>
        <v>4.258064516129032</v>
      </c>
      <c r="T6" s="664" t="s">
        <v>511</v>
      </c>
      <c r="U6" s="664" t="s">
        <v>1191</v>
      </c>
      <c r="V6" s="664" t="s">
        <v>554</v>
      </c>
      <c r="W6" s="664" t="s">
        <v>803</v>
      </c>
      <c r="X6" s="691">
        <v>40695</v>
      </c>
      <c r="Y6" s="692">
        <v>1</v>
      </c>
      <c r="Z6" s="691" t="s">
        <v>460</v>
      </c>
      <c r="AA6" s="693" t="s">
        <v>842</v>
      </c>
      <c r="AB6" s="693"/>
      <c r="AC6" s="694">
        <v>42745</v>
      </c>
      <c r="AD6" s="695" t="s">
        <v>1509</v>
      </c>
      <c r="AE6" s="696" t="s">
        <v>1093</v>
      </c>
      <c r="AF6" s="483">
        <f>IF(CampList[[#This Row],[Type of Accomodation]]="camp",MAX(0,CampList[[#This Row],[HH]]-SUMIF(Table_Shelter[Pcode],CampList[[#This Row],[CP_Pcode]],Table_Shelter[HH Covered])),0)</f>
        <v>10</v>
      </c>
      <c r="AG6" s="483"/>
      <c r="AH6" s="693" t="s">
        <v>1472</v>
      </c>
      <c r="AI6" s="664" t="str">
        <f ca="1">IFERROR(OFFSET(DistanceToCamp[Nearest Town],MATCH(CampList[[#This Row],[CP_Pcode]],DistanceToCamp[CP_Pcode],0)-1,0,1,1),"")</f>
        <v>Myitkyina Town</v>
      </c>
      <c r="AJ6" s="697">
        <f ca="1">IFERROR(OFFSET(DistanceToCamp[distance],MATCH(CampList[[#This Row],[CP_Pcode]],DistanceToCamp[CP_Pcode],0)-1,0,1,1),"")</f>
        <v>3.8820329084732199</v>
      </c>
      <c r="AK6" s="698">
        <f ca="1">IFERROR(INT(CampList[[#This Row],[Distance]]/5)+1,"")</f>
        <v>1</v>
      </c>
    </row>
    <row r="7" spans="1:55" s="445" customFormat="1" ht="15.75" customHeight="1" x14ac:dyDescent="0.25">
      <c r="A7" s="686" t="s">
        <v>500</v>
      </c>
      <c r="B7" s="662" t="s">
        <v>380</v>
      </c>
      <c r="C7" s="662" t="s">
        <v>525</v>
      </c>
      <c r="D7" s="662" t="s">
        <v>237</v>
      </c>
      <c r="E7" s="662" t="s">
        <v>531</v>
      </c>
      <c r="F7" s="662" t="s">
        <v>237</v>
      </c>
      <c r="G7" s="662" t="s">
        <v>535</v>
      </c>
      <c r="H7" s="662" t="s">
        <v>671</v>
      </c>
      <c r="I7" s="662" t="s">
        <v>672</v>
      </c>
      <c r="J7" s="662" t="s">
        <v>676</v>
      </c>
      <c r="K7" s="662" t="s">
        <v>677</v>
      </c>
      <c r="L7" s="662" t="s">
        <v>251</v>
      </c>
      <c r="M7" s="662" t="s">
        <v>250</v>
      </c>
      <c r="N7" s="687">
        <v>97.377662999999998</v>
      </c>
      <c r="O7" s="687">
        <v>25.404752999999999</v>
      </c>
      <c r="P7" s="688">
        <v>0</v>
      </c>
      <c r="Q7" s="689">
        <v>26</v>
      </c>
      <c r="R7" s="689">
        <v>139</v>
      </c>
      <c r="S7" s="690">
        <f>IF(CampList[[#This Row],[HH]]&gt;0,CampList[[#This Row],[Total]]/CampList[[#This Row],[HH]],"NA")</f>
        <v>5.3461538461538458</v>
      </c>
      <c r="T7" s="664" t="s">
        <v>511</v>
      </c>
      <c r="U7" s="664" t="s">
        <v>1191</v>
      </c>
      <c r="V7" s="664" t="s">
        <v>554</v>
      </c>
      <c r="W7" s="664" t="s">
        <v>803</v>
      </c>
      <c r="X7" s="691">
        <v>40725</v>
      </c>
      <c r="Y7" s="692">
        <v>1</v>
      </c>
      <c r="Z7" s="691" t="s">
        <v>460</v>
      </c>
      <c r="AA7" s="693" t="s">
        <v>842</v>
      </c>
      <c r="AB7" s="693"/>
      <c r="AC7" s="694">
        <v>42745</v>
      </c>
      <c r="AD7" s="695" t="s">
        <v>1521</v>
      </c>
      <c r="AE7" s="696" t="s">
        <v>1093</v>
      </c>
      <c r="AF7" s="483">
        <f>IF(CampList[[#This Row],[Type of Accomodation]]="camp",MAX(0,CampList[[#This Row],[HH]]-SUMIF(Table_Shelter[Pcode],CampList[[#This Row],[CP_Pcode]],Table_Shelter[HH Covered])),0)</f>
        <v>6</v>
      </c>
      <c r="AG7" s="664"/>
      <c r="AH7" s="693">
        <f>MIN(CampList[[#This Row],[Shelter Gap]],CampList[[#This Row],[Land Status]])</f>
        <v>6</v>
      </c>
      <c r="AI7" s="664" t="str">
        <f ca="1">IFERROR(OFFSET(DistanceToCamp[Nearest Town],MATCH(CampList[[#This Row],[CP_Pcode]],DistanceToCamp[CP_Pcode],0)-1,0,1,1),"")</f>
        <v>Myitkyina Town</v>
      </c>
      <c r="AJ7" s="697">
        <f ca="1">IFERROR(OFFSET(DistanceToCamp[distance],MATCH(CampList[[#This Row],[CP_Pcode]],DistanceToCamp[CP_Pcode],0)-1,0,1,1),"")</f>
        <v>2.3045478259125423</v>
      </c>
      <c r="AK7" s="698">
        <f ca="1">IFERROR(INT(CampList[[#This Row],[Distance]]/5)+1,"")</f>
        <v>1</v>
      </c>
    </row>
    <row r="8" spans="1:55" s="445" customFormat="1" ht="15.75" customHeight="1" x14ac:dyDescent="0.25">
      <c r="A8" s="686" t="s">
        <v>500</v>
      </c>
      <c r="B8" s="662" t="s">
        <v>380</v>
      </c>
      <c r="C8" s="662" t="s">
        <v>525</v>
      </c>
      <c r="D8" s="662" t="s">
        <v>237</v>
      </c>
      <c r="E8" s="662" t="s">
        <v>531</v>
      </c>
      <c r="F8" s="662" t="s">
        <v>237</v>
      </c>
      <c r="G8" s="662" t="s">
        <v>535</v>
      </c>
      <c r="H8" s="662" t="s">
        <v>671</v>
      </c>
      <c r="I8" s="662" t="s">
        <v>672</v>
      </c>
      <c r="J8" s="662" t="s">
        <v>676</v>
      </c>
      <c r="K8" s="662" t="s">
        <v>677</v>
      </c>
      <c r="L8" s="662" t="s">
        <v>249</v>
      </c>
      <c r="M8" s="662" t="s">
        <v>248</v>
      </c>
      <c r="N8" s="687">
        <v>97.389778000000007</v>
      </c>
      <c r="O8" s="687">
        <v>25.417733999999999</v>
      </c>
      <c r="P8" s="688">
        <v>0</v>
      </c>
      <c r="Q8" s="57">
        <v>4</v>
      </c>
      <c r="R8" s="98">
        <v>21</v>
      </c>
      <c r="S8" s="690">
        <f>IF(CampList[[#This Row],[HH]]&gt;0,CampList[[#This Row],[Total]]/CampList[[#This Row],[HH]],"NA")</f>
        <v>5.25</v>
      </c>
      <c r="T8" s="664" t="s">
        <v>511</v>
      </c>
      <c r="U8" s="664" t="s">
        <v>1191</v>
      </c>
      <c r="V8" s="664" t="s">
        <v>554</v>
      </c>
      <c r="W8" s="664" t="s">
        <v>803</v>
      </c>
      <c r="X8" s="691">
        <v>40756</v>
      </c>
      <c r="Y8" s="692">
        <v>1</v>
      </c>
      <c r="Z8" s="691" t="s">
        <v>505</v>
      </c>
      <c r="AA8" s="693" t="s">
        <v>842</v>
      </c>
      <c r="AB8" s="693"/>
      <c r="AC8" s="694">
        <v>42745</v>
      </c>
      <c r="AD8" s="695" t="s">
        <v>1584</v>
      </c>
      <c r="AE8" s="696" t="s">
        <v>1093</v>
      </c>
      <c r="AF8" s="483">
        <f>IF(CampList[[#This Row],[Type of Accomodation]]="camp",MAX(0,CampList[[#This Row],[HH]]-SUMIF(Table_Shelter[Pcode],CampList[[#This Row],[CP_Pcode]],Table_Shelter[HH Covered])),0)</f>
        <v>0</v>
      </c>
      <c r="AG8" s="664"/>
      <c r="AH8" s="693">
        <f>MIN(CampList[[#This Row],[Shelter Gap]],CampList[[#This Row],[Land Status]])</f>
        <v>0</v>
      </c>
      <c r="AI8" s="664" t="str">
        <f ca="1">IFERROR(OFFSET(DistanceToCamp[Nearest Town],MATCH(CampList[[#This Row],[CP_Pcode]],DistanceToCamp[CP_Pcode],0)-1,0,1,1),"")</f>
        <v>Myitkyina Town</v>
      </c>
      <c r="AJ8" s="697">
        <f ca="1">IFERROR(OFFSET(DistanceToCamp[distance],MATCH(CampList[[#This Row],[CP_Pcode]],DistanceToCamp[CP_Pcode],0)-1,0,1,1),"")</f>
        <v>3.3637010801853577</v>
      </c>
      <c r="AK8" s="698">
        <f ca="1">IFERROR(INT(CampList[[#This Row],[Distance]]/5)+1,"")</f>
        <v>1</v>
      </c>
    </row>
    <row r="9" spans="1:55" s="445" customFormat="1" ht="15.75" customHeight="1" x14ac:dyDescent="0.25">
      <c r="A9" s="686" t="s">
        <v>500</v>
      </c>
      <c r="B9" s="662" t="s">
        <v>380</v>
      </c>
      <c r="C9" s="662" t="s">
        <v>525</v>
      </c>
      <c r="D9" s="662" t="s">
        <v>237</v>
      </c>
      <c r="E9" s="662" t="s">
        <v>531</v>
      </c>
      <c r="F9" s="662" t="s">
        <v>237</v>
      </c>
      <c r="G9" s="662" t="s">
        <v>535</v>
      </c>
      <c r="H9" s="662" t="s">
        <v>671</v>
      </c>
      <c r="I9" s="662" t="s">
        <v>672</v>
      </c>
      <c r="J9" s="662" t="s">
        <v>676</v>
      </c>
      <c r="K9" s="662" t="s">
        <v>677</v>
      </c>
      <c r="L9" s="662" t="s">
        <v>275</v>
      </c>
      <c r="M9" s="662" t="s">
        <v>274</v>
      </c>
      <c r="N9" s="687">
        <v>97.382192000000003</v>
      </c>
      <c r="O9" s="687">
        <v>25.404015000000001</v>
      </c>
      <c r="P9" s="688">
        <v>0</v>
      </c>
      <c r="Q9" s="689">
        <v>31</v>
      </c>
      <c r="R9" s="689">
        <v>154</v>
      </c>
      <c r="S9" s="690">
        <f>IF(CampList[[#This Row],[HH]]&gt;0,CampList[[#This Row],[Total]]/CampList[[#This Row],[HH]],"NA")</f>
        <v>4.967741935483871</v>
      </c>
      <c r="T9" s="664" t="s">
        <v>511</v>
      </c>
      <c r="U9" s="664" t="s">
        <v>1191</v>
      </c>
      <c r="V9" s="664" t="s">
        <v>554</v>
      </c>
      <c r="W9" s="664" t="s">
        <v>803</v>
      </c>
      <c r="X9" s="691">
        <v>40817</v>
      </c>
      <c r="Y9" s="692">
        <v>1</v>
      </c>
      <c r="Z9" s="691" t="s">
        <v>460</v>
      </c>
      <c r="AA9" s="693" t="s">
        <v>842</v>
      </c>
      <c r="AB9" s="693"/>
      <c r="AC9" s="694">
        <v>42745</v>
      </c>
      <c r="AD9" s="695" t="s">
        <v>1522</v>
      </c>
      <c r="AE9" s="696" t="s">
        <v>1093</v>
      </c>
      <c r="AF9" s="483">
        <f>IF(CampList[[#This Row],[Type of Accomodation]]="camp",MAX(0,CampList[[#This Row],[HH]]-SUMIF(Table_Shelter[Pcode],CampList[[#This Row],[CP_Pcode]],Table_Shelter[HH Covered])),0)</f>
        <v>0</v>
      </c>
      <c r="AG9" s="664"/>
      <c r="AH9" s="693">
        <f>MIN(CampList[[#This Row],[Shelter Gap]],CampList[[#This Row],[Land Status]])</f>
        <v>0</v>
      </c>
      <c r="AI9" s="664" t="str">
        <f ca="1">IFERROR(OFFSET(DistanceToCamp[Nearest Town],MATCH(CampList[[#This Row],[CP_Pcode]],DistanceToCamp[CP_Pcode],0)-1,0,1,1),"")</f>
        <v>Myitkyina Town</v>
      </c>
      <c r="AJ9" s="697">
        <f ca="1">IFERROR(OFFSET(DistanceToCamp[distance],MATCH(CampList[[#This Row],[CP_Pcode]],DistanceToCamp[CP_Pcode],0)-1,0,1,1),"")</f>
        <v>2.0123527499589278</v>
      </c>
      <c r="AK9" s="698">
        <f ca="1">IFERROR(INT(CampList[[#This Row],[Distance]]/5)+1,"")</f>
        <v>1</v>
      </c>
    </row>
    <row r="10" spans="1:55" s="445" customFormat="1" ht="15.75" customHeight="1" x14ac:dyDescent="0.25">
      <c r="A10" s="686" t="s">
        <v>500</v>
      </c>
      <c r="B10" s="662" t="s">
        <v>380</v>
      </c>
      <c r="C10" s="662" t="s">
        <v>525</v>
      </c>
      <c r="D10" s="662" t="s">
        <v>237</v>
      </c>
      <c r="E10" s="662" t="s">
        <v>531</v>
      </c>
      <c r="F10" s="662" t="s">
        <v>237</v>
      </c>
      <c r="G10" s="662" t="s">
        <v>535</v>
      </c>
      <c r="H10" s="662" t="s">
        <v>671</v>
      </c>
      <c r="I10" s="662" t="s">
        <v>672</v>
      </c>
      <c r="J10" s="662" t="s">
        <v>681</v>
      </c>
      <c r="K10" s="662" t="s">
        <v>682</v>
      </c>
      <c r="L10" s="662" t="s">
        <v>277</v>
      </c>
      <c r="M10" s="662" t="s">
        <v>276</v>
      </c>
      <c r="N10" s="687">
        <v>97.399628000000007</v>
      </c>
      <c r="O10" s="687">
        <v>25.412313000000001</v>
      </c>
      <c r="P10" s="688">
        <v>0</v>
      </c>
      <c r="Q10" s="689">
        <v>88</v>
      </c>
      <c r="R10" s="689">
        <v>394</v>
      </c>
      <c r="S10" s="690">
        <f>IF(CampList[[#This Row],[HH]]&gt;0,CampList[[#This Row],[Total]]/CampList[[#This Row],[HH]],"NA")</f>
        <v>4.4772727272727275</v>
      </c>
      <c r="T10" s="664" t="s">
        <v>511</v>
      </c>
      <c r="U10" s="664" t="s">
        <v>1191</v>
      </c>
      <c r="V10" s="664" t="s">
        <v>554</v>
      </c>
      <c r="W10" s="664" t="s">
        <v>803</v>
      </c>
      <c r="X10" s="691">
        <v>40756</v>
      </c>
      <c r="Y10" s="692">
        <v>2</v>
      </c>
      <c r="Z10" s="691" t="s">
        <v>460</v>
      </c>
      <c r="AA10" s="693" t="s">
        <v>842</v>
      </c>
      <c r="AB10" s="693"/>
      <c r="AC10" s="694">
        <v>42745</v>
      </c>
      <c r="AD10" s="695" t="s">
        <v>1516</v>
      </c>
      <c r="AE10" s="696" t="s">
        <v>1093</v>
      </c>
      <c r="AF10" s="483">
        <f>IF(CampList[[#This Row],[Type of Accomodation]]="camp",MAX(0,CampList[[#This Row],[HH]]-SUMIF(Table_Shelter[Pcode],CampList[[#This Row],[CP_Pcode]],Table_Shelter[HH Covered])),0)</f>
        <v>24</v>
      </c>
      <c r="AG10" s="664"/>
      <c r="AH10" s="693">
        <f>MIN(CampList[[#This Row],[Shelter Gap]],CampList[[#This Row],[Land Status]])</f>
        <v>24</v>
      </c>
      <c r="AI10" s="664" t="str">
        <f ca="1">IFERROR(OFFSET(DistanceToCamp[Nearest Town],MATCH(CampList[[#This Row],[CP_Pcode]],DistanceToCamp[CP_Pcode],0)-1,0,1,1),"")</f>
        <v>Myitkyina Town</v>
      </c>
      <c r="AJ10" s="697">
        <f ca="1">IFERROR(OFFSET(DistanceToCamp[distance],MATCH(CampList[[#This Row],[CP_Pcode]],DistanceToCamp[CP_Pcode],0)-1,0,1,1),"")</f>
        <v>2.9133254097712102</v>
      </c>
      <c r="AK10" s="698">
        <f ca="1">IFERROR(INT(CampList[[#This Row],[Distance]]/5)+1,"")</f>
        <v>1</v>
      </c>
    </row>
    <row r="11" spans="1:55" s="445" customFormat="1" ht="15.75" customHeight="1" x14ac:dyDescent="0.25">
      <c r="A11" s="686" t="s">
        <v>500</v>
      </c>
      <c r="B11" s="662" t="s">
        <v>380</v>
      </c>
      <c r="C11" s="662" t="s">
        <v>525</v>
      </c>
      <c r="D11" s="662" t="s">
        <v>237</v>
      </c>
      <c r="E11" s="662" t="s">
        <v>531</v>
      </c>
      <c r="F11" s="662" t="s">
        <v>237</v>
      </c>
      <c r="G11" s="662" t="s">
        <v>535</v>
      </c>
      <c r="H11" s="662" t="s">
        <v>671</v>
      </c>
      <c r="I11" s="662" t="s">
        <v>672</v>
      </c>
      <c r="J11" s="662" t="s">
        <v>681</v>
      </c>
      <c r="K11" s="662" t="s">
        <v>682</v>
      </c>
      <c r="L11" s="662" t="s">
        <v>279</v>
      </c>
      <c r="M11" s="662" t="s">
        <v>278</v>
      </c>
      <c r="N11" s="687">
        <v>97.418004999999994</v>
      </c>
      <c r="O11" s="687">
        <v>25.423817</v>
      </c>
      <c r="P11" s="688">
        <v>0</v>
      </c>
      <c r="Q11" s="57">
        <v>22</v>
      </c>
      <c r="R11" s="98">
        <v>111</v>
      </c>
      <c r="S11" s="690">
        <f>IF(CampList[[#This Row],[HH]]&gt;0,CampList[[#This Row],[Total]]/CampList[[#This Row],[HH]],"NA")</f>
        <v>5.0454545454545459</v>
      </c>
      <c r="T11" s="664" t="s">
        <v>511</v>
      </c>
      <c r="U11" s="664" t="s">
        <v>1191</v>
      </c>
      <c r="V11" s="664" t="s">
        <v>554</v>
      </c>
      <c r="W11" s="664" t="s">
        <v>803</v>
      </c>
      <c r="X11" s="691">
        <v>40909</v>
      </c>
      <c r="Y11" s="692">
        <v>1</v>
      </c>
      <c r="Z11" s="691" t="s">
        <v>505</v>
      </c>
      <c r="AA11" s="693" t="s">
        <v>842</v>
      </c>
      <c r="AB11" s="693"/>
      <c r="AC11" s="694">
        <v>42745</v>
      </c>
      <c r="AD11" s="695" t="s">
        <v>1582</v>
      </c>
      <c r="AE11" s="696" t="s">
        <v>1093</v>
      </c>
      <c r="AF11" s="483">
        <f>IF(CampList[[#This Row],[Type of Accomodation]]="camp",MAX(0,CampList[[#This Row],[HH]]-SUMIF(Table_Shelter[Pcode],CampList[[#This Row],[CP_Pcode]],Table_Shelter[HH Covered])),0)</f>
        <v>22</v>
      </c>
      <c r="AG11" s="664"/>
      <c r="AH11" s="693">
        <f>MIN(CampList[[#This Row],[Shelter Gap]],CampList[[#This Row],[Land Status]])</f>
        <v>22</v>
      </c>
      <c r="AI11" s="664" t="str">
        <f ca="1">IFERROR(OFFSET(DistanceToCamp[Nearest Town],MATCH(CampList[[#This Row],[CP_Pcode]],DistanceToCamp[CP_Pcode],0)-1,0,1,1),"")</f>
        <v>Myitkyina Town</v>
      </c>
      <c r="AJ11" s="697">
        <f ca="1">IFERROR(OFFSET(DistanceToCamp[distance],MATCH(CampList[[#This Row],[CP_Pcode]],DistanceToCamp[CP_Pcode],0)-1,0,1,1),"")</f>
        <v>4.9021696969220816</v>
      </c>
      <c r="AK11" s="698">
        <f ca="1">IFERROR(INT(CampList[[#This Row],[Distance]]/5)+1,"")</f>
        <v>1</v>
      </c>
    </row>
    <row r="12" spans="1:55" s="445" customFormat="1" ht="15.75" customHeight="1" x14ac:dyDescent="0.25">
      <c r="A12" s="686" t="s">
        <v>500</v>
      </c>
      <c r="B12" s="662" t="s">
        <v>380</v>
      </c>
      <c r="C12" s="662" t="s">
        <v>525</v>
      </c>
      <c r="D12" s="662" t="s">
        <v>237</v>
      </c>
      <c r="E12" s="662" t="s">
        <v>531</v>
      </c>
      <c r="F12" s="662" t="s">
        <v>237</v>
      </c>
      <c r="G12" s="662" t="s">
        <v>535</v>
      </c>
      <c r="H12" s="695" t="s">
        <v>671</v>
      </c>
      <c r="I12" s="695" t="s">
        <v>672</v>
      </c>
      <c r="J12" s="695" t="s">
        <v>689</v>
      </c>
      <c r="K12" s="695" t="s">
        <v>690</v>
      </c>
      <c r="L12" s="662" t="s">
        <v>261</v>
      </c>
      <c r="M12" s="662" t="s">
        <v>260</v>
      </c>
      <c r="N12" s="687">
        <v>97.418694000000002</v>
      </c>
      <c r="O12" s="687">
        <v>25.428910999999999</v>
      </c>
      <c r="P12" s="688">
        <v>0</v>
      </c>
      <c r="Q12" s="689">
        <v>92</v>
      </c>
      <c r="R12" s="689">
        <v>391</v>
      </c>
      <c r="S12" s="690">
        <f>IF(CampList[[#This Row],[HH]]&gt;0,CampList[[#This Row],[Total]]/CampList[[#This Row],[HH]],"NA")</f>
        <v>4.25</v>
      </c>
      <c r="T12" s="664" t="s">
        <v>511</v>
      </c>
      <c r="U12" s="664" t="s">
        <v>1191</v>
      </c>
      <c r="V12" s="664" t="s">
        <v>554</v>
      </c>
      <c r="W12" s="664" t="s">
        <v>803</v>
      </c>
      <c r="X12" s="691">
        <v>40725</v>
      </c>
      <c r="Y12" s="692">
        <v>2</v>
      </c>
      <c r="Z12" s="691" t="s">
        <v>460</v>
      </c>
      <c r="AA12" s="704" t="s">
        <v>842</v>
      </c>
      <c r="AB12" s="693"/>
      <c r="AC12" s="694">
        <v>42745</v>
      </c>
      <c r="AD12" s="686" t="s">
        <v>1496</v>
      </c>
      <c r="AE12" s="696" t="s">
        <v>1093</v>
      </c>
      <c r="AF12" s="483">
        <f>IF(CampList[[#This Row],[Type of Accomodation]]="camp",MAX(0,CampList[[#This Row],[HH]]-SUMIF(Table_Shelter[Pcode],CampList[[#This Row],[CP_Pcode]],Table_Shelter[HH Covered])),0)</f>
        <v>12</v>
      </c>
      <c r="AG12" s="664"/>
      <c r="AH12" s="693">
        <f>MIN(CampList[[#This Row],[Shelter Gap]],CampList[[#This Row],[Land Status]])</f>
        <v>12</v>
      </c>
      <c r="AI12" s="664" t="str">
        <f ca="1">IFERROR(OFFSET(DistanceToCamp[Nearest Town],MATCH(CampList[[#This Row],[CP_Pcode]],DistanceToCamp[CP_Pcode],0)-1,0,1,1),"")</f>
        <v>Myitkyina Town</v>
      </c>
      <c r="AJ12" s="697">
        <f ca="1">IFERROR(OFFSET(DistanceToCamp[distance],MATCH(CampList[[#This Row],[CP_Pcode]],DistanceToCamp[CP_Pcode],0)-1,0,1,1),"")</f>
        <v>5.4145379230647226</v>
      </c>
      <c r="AK12" s="698">
        <f ca="1">IFERROR(INT(CampList[[#This Row],[Distance]]/5)+1,"")</f>
        <v>2</v>
      </c>
    </row>
    <row r="13" spans="1:55" s="445" customFormat="1" ht="15.75" customHeight="1" x14ac:dyDescent="0.25">
      <c r="A13" s="686" t="s">
        <v>500</v>
      </c>
      <c r="B13" s="662" t="s">
        <v>380</v>
      </c>
      <c r="C13" s="662" t="s">
        <v>525</v>
      </c>
      <c r="D13" s="662" t="s">
        <v>237</v>
      </c>
      <c r="E13" s="662" t="s">
        <v>531</v>
      </c>
      <c r="F13" s="662" t="s">
        <v>237</v>
      </c>
      <c r="G13" s="662" t="s">
        <v>535</v>
      </c>
      <c r="H13" s="662" t="s">
        <v>671</v>
      </c>
      <c r="I13" s="662" t="s">
        <v>672</v>
      </c>
      <c r="J13" s="662" t="s">
        <v>691</v>
      </c>
      <c r="K13" s="662" t="s">
        <v>692</v>
      </c>
      <c r="L13" s="662" t="s">
        <v>281</v>
      </c>
      <c r="M13" s="662" t="s">
        <v>280</v>
      </c>
      <c r="N13" s="687">
        <v>97.419403000000003</v>
      </c>
      <c r="O13" s="687">
        <v>25.440928</v>
      </c>
      <c r="P13" s="688">
        <v>0</v>
      </c>
      <c r="Q13" s="689">
        <v>73</v>
      </c>
      <c r="R13" s="689">
        <v>416</v>
      </c>
      <c r="S13" s="690">
        <f>IF(CampList[[#This Row],[HH]]&gt;0,CampList[[#This Row],[Total]]/CampList[[#This Row],[HH]],"NA")</f>
        <v>5.6986301369863011</v>
      </c>
      <c r="T13" s="664" t="s">
        <v>511</v>
      </c>
      <c r="U13" s="664" t="s">
        <v>1191</v>
      </c>
      <c r="V13" s="664" t="s">
        <v>554</v>
      </c>
      <c r="W13" s="664" t="s">
        <v>803</v>
      </c>
      <c r="X13" s="691">
        <v>40725</v>
      </c>
      <c r="Y13" s="692">
        <v>2</v>
      </c>
      <c r="Z13" s="691" t="s">
        <v>460</v>
      </c>
      <c r="AA13" s="693" t="s">
        <v>842</v>
      </c>
      <c r="AB13" s="693"/>
      <c r="AC13" s="694">
        <v>42745</v>
      </c>
      <c r="AD13" s="695" t="s">
        <v>1519</v>
      </c>
      <c r="AE13" s="696" t="s">
        <v>1093</v>
      </c>
      <c r="AF13" s="483">
        <f>IF(CampList[[#This Row],[Type of Accomodation]]="camp",MAX(0,CampList[[#This Row],[HH]]-SUMIF(Table_Shelter[Pcode],CampList[[#This Row],[CP_Pcode]],Table_Shelter[HH Covered])),0)</f>
        <v>23</v>
      </c>
      <c r="AG13" s="664"/>
      <c r="AH13" s="693">
        <f>MIN(CampList[[#This Row],[Shelter Gap]],CampList[[#This Row],[Land Status]])</f>
        <v>23</v>
      </c>
      <c r="AI13" s="664" t="str">
        <f ca="1">IFERROR(OFFSET(DistanceToCamp[Nearest Town],MATCH(CampList[[#This Row],[CP_Pcode]],DistanceToCamp[CP_Pcode],0)-1,0,1,1),"")</f>
        <v>Myitkyina Town</v>
      </c>
      <c r="AJ13" s="697">
        <f ca="1">IFERROR(OFFSET(DistanceToCamp[distance],MATCH(CampList[[#This Row],[CP_Pcode]],DistanceToCamp[CP_Pcode],0)-1,0,1,1),"")</f>
        <v>6.6198004689728469</v>
      </c>
      <c r="AK13" s="698">
        <f ca="1">IFERROR(INT(CampList[[#This Row],[Distance]]/5)+1,"")</f>
        <v>2</v>
      </c>
    </row>
    <row r="14" spans="1:55" s="445" customFormat="1" ht="15.75" customHeight="1" x14ac:dyDescent="0.25">
      <c r="A14" s="686" t="s">
        <v>500</v>
      </c>
      <c r="B14" s="662" t="s">
        <v>380</v>
      </c>
      <c r="C14" s="662" t="s">
        <v>525</v>
      </c>
      <c r="D14" s="662" t="s">
        <v>237</v>
      </c>
      <c r="E14" s="662" t="s">
        <v>531</v>
      </c>
      <c r="F14" s="662" t="s">
        <v>237</v>
      </c>
      <c r="G14" s="662" t="s">
        <v>535</v>
      </c>
      <c r="H14" s="695" t="s">
        <v>671</v>
      </c>
      <c r="I14" s="695" t="s">
        <v>672</v>
      </c>
      <c r="J14" s="695" t="s">
        <v>678</v>
      </c>
      <c r="K14" s="695" t="s">
        <v>679</v>
      </c>
      <c r="L14" s="662" t="s">
        <v>245</v>
      </c>
      <c r="M14" s="662" t="s">
        <v>244</v>
      </c>
      <c r="N14" s="687">
        <v>97.382997575757599</v>
      </c>
      <c r="O14" s="687">
        <v>25.3959740909091</v>
      </c>
      <c r="P14" s="688">
        <v>0</v>
      </c>
      <c r="Q14" s="705">
        <v>6</v>
      </c>
      <c r="R14" s="706">
        <v>39</v>
      </c>
      <c r="S14" s="690">
        <f>IF(CampList[[#This Row],[HH]]&gt;0,CampList[[#This Row],[Total]]/CampList[[#This Row],[HH]],"NA")</f>
        <v>6.5</v>
      </c>
      <c r="T14" s="664" t="s">
        <v>511</v>
      </c>
      <c r="U14" s="664" t="s">
        <v>1191</v>
      </c>
      <c r="V14" s="664" t="s">
        <v>554</v>
      </c>
      <c r="W14" s="664" t="s">
        <v>803</v>
      </c>
      <c r="X14" s="691">
        <v>40695</v>
      </c>
      <c r="Y14" s="692"/>
      <c r="Z14" s="691" t="s">
        <v>460</v>
      </c>
      <c r="AA14" s="704" t="s">
        <v>841</v>
      </c>
      <c r="AB14" s="693"/>
      <c r="AC14" s="694"/>
      <c r="AD14" s="686" t="s">
        <v>601</v>
      </c>
      <c r="AE14" s="696" t="s">
        <v>1093</v>
      </c>
      <c r="AF14" s="483">
        <f>IF(CampList[[#This Row],[Type of Accomodation]]="camp",MAX(0,CampList[[#This Row],[HH]]-SUMIF(Table_Shelter[Pcode],CampList[[#This Row],[CP_Pcode]],Table_Shelter[HH Covered])),0)</f>
        <v>0</v>
      </c>
      <c r="AG14" s="664"/>
      <c r="AH14" s="693">
        <f>MIN(CampList[[#This Row],[Shelter Gap]],CampList[[#This Row],[Land Status]])</f>
        <v>0</v>
      </c>
      <c r="AI14" s="664" t="str">
        <f ca="1">IFERROR(OFFSET(DistanceToCamp[Nearest Town],MATCH(CampList[[#This Row],[CP_Pcode]],DistanceToCamp[CP_Pcode],0)-1,0,1,1),"")</f>
        <v>Myitkyina Town</v>
      </c>
      <c r="AJ14" s="697">
        <f ca="1">IFERROR(OFFSET(DistanceToCamp[distance],MATCH(CampList[[#This Row],[CP_Pcode]],DistanceToCamp[CP_Pcode],0)-1,0,1,1),"")</f>
        <v>1.1985969617964649</v>
      </c>
      <c r="AK14" s="698">
        <f ca="1">IFERROR(INT(CampList[[#This Row],[Distance]]/5)+1,"")</f>
        <v>1</v>
      </c>
    </row>
    <row r="15" spans="1:55" s="445" customFormat="1" ht="15.75" customHeight="1" x14ac:dyDescent="0.25">
      <c r="A15" s="686" t="s">
        <v>500</v>
      </c>
      <c r="B15" s="662" t="s">
        <v>380</v>
      </c>
      <c r="C15" s="662" t="s">
        <v>525</v>
      </c>
      <c r="D15" s="662" t="s">
        <v>237</v>
      </c>
      <c r="E15" s="662" t="s">
        <v>531</v>
      </c>
      <c r="F15" s="662" t="s">
        <v>237</v>
      </c>
      <c r="G15" s="662" t="s">
        <v>535</v>
      </c>
      <c r="H15" s="695" t="s">
        <v>671</v>
      </c>
      <c r="I15" s="695" t="s">
        <v>672</v>
      </c>
      <c r="J15" s="695" t="s">
        <v>678</v>
      </c>
      <c r="K15" s="695" t="s">
        <v>679</v>
      </c>
      <c r="L15" s="662" t="s">
        <v>247</v>
      </c>
      <c r="M15" s="662" t="s">
        <v>246</v>
      </c>
      <c r="N15" s="687">
        <v>97.381325000000004</v>
      </c>
      <c r="O15" s="687">
        <v>25.396492500000001</v>
      </c>
      <c r="P15" s="688">
        <v>0</v>
      </c>
      <c r="Q15" s="689">
        <v>20</v>
      </c>
      <c r="R15" s="689">
        <v>105</v>
      </c>
      <c r="S15" s="690">
        <f>IF(CampList[[#This Row],[HH]]&gt;0,CampList[[#This Row],[Total]]/CampList[[#This Row],[HH]],"NA")</f>
        <v>5.25</v>
      </c>
      <c r="T15" s="664" t="s">
        <v>511</v>
      </c>
      <c r="U15" s="664" t="s">
        <v>1191</v>
      </c>
      <c r="V15" s="664" t="s">
        <v>554</v>
      </c>
      <c r="W15" s="664" t="s">
        <v>803</v>
      </c>
      <c r="X15" s="691">
        <v>40695</v>
      </c>
      <c r="Y15" s="692">
        <v>2</v>
      </c>
      <c r="Z15" s="691" t="s">
        <v>460</v>
      </c>
      <c r="AA15" s="704" t="s">
        <v>842</v>
      </c>
      <c r="AB15" s="693"/>
      <c r="AC15" s="694">
        <v>42745</v>
      </c>
      <c r="AD15" s="686" t="s">
        <v>1476</v>
      </c>
      <c r="AE15" s="696" t="s">
        <v>1093</v>
      </c>
      <c r="AF15" s="483">
        <f>IF(CampList[[#This Row],[Type of Accomodation]]="camp",MAX(0,CampList[[#This Row],[HH]]-SUMIF(Table_Shelter[Pcode],CampList[[#This Row],[CP_Pcode]],Table_Shelter[HH Covered])),0)</f>
        <v>17</v>
      </c>
      <c r="AG15" s="664"/>
      <c r="AH15" s="693">
        <f>MIN(CampList[[#This Row],[Shelter Gap]],CampList[[#This Row],[Land Status]])</f>
        <v>17</v>
      </c>
      <c r="AI15" s="664" t="str">
        <f ca="1">IFERROR(OFFSET(DistanceToCamp[Nearest Town],MATCH(CampList[[#This Row],[CP_Pcode]],DistanceToCamp[CP_Pcode],0)-1,0,1,1),"")</f>
        <v>Myitkyina Town</v>
      </c>
      <c r="AJ15" s="697">
        <f ca="1">IFERROR(OFFSET(DistanceToCamp[distance],MATCH(CampList[[#This Row],[CP_Pcode]],DistanceToCamp[CP_Pcode],0)-1,0,1,1),"")</f>
        <v>1.3510454549069482</v>
      </c>
      <c r="AK15" s="698">
        <f ca="1">IFERROR(INT(CampList[[#This Row],[Distance]]/5)+1,"")</f>
        <v>1</v>
      </c>
    </row>
    <row r="16" spans="1:55" s="445" customFormat="1" ht="15.75" customHeight="1" x14ac:dyDescent="0.25">
      <c r="A16" s="686" t="s">
        <v>500</v>
      </c>
      <c r="B16" s="662" t="s">
        <v>380</v>
      </c>
      <c r="C16" s="662" t="s">
        <v>525</v>
      </c>
      <c r="D16" s="662" t="s">
        <v>237</v>
      </c>
      <c r="E16" s="662" t="s">
        <v>531</v>
      </c>
      <c r="F16" s="662" t="s">
        <v>237</v>
      </c>
      <c r="G16" s="662" t="s">
        <v>535</v>
      </c>
      <c r="H16" s="695" t="s">
        <v>671</v>
      </c>
      <c r="I16" s="695" t="s">
        <v>672</v>
      </c>
      <c r="J16" s="695" t="s">
        <v>678</v>
      </c>
      <c r="K16" s="695" t="s">
        <v>679</v>
      </c>
      <c r="L16" s="662" t="s">
        <v>243</v>
      </c>
      <c r="M16" s="662" t="s">
        <v>242</v>
      </c>
      <c r="N16" s="687">
        <v>97.384729629629604</v>
      </c>
      <c r="O16" s="687">
        <v>25.4002701851852</v>
      </c>
      <c r="P16" s="688">
        <v>0</v>
      </c>
      <c r="Q16" s="705">
        <v>6</v>
      </c>
      <c r="R16" s="706">
        <v>28</v>
      </c>
      <c r="S16" s="690">
        <f>IF(CampList[[#This Row],[HH]]&gt;0,CampList[[#This Row],[Total]]/CampList[[#This Row],[HH]],"NA")</f>
        <v>4.666666666666667</v>
      </c>
      <c r="T16" s="664" t="s">
        <v>511</v>
      </c>
      <c r="U16" s="664" t="s">
        <v>1191</v>
      </c>
      <c r="V16" s="664" t="s">
        <v>554</v>
      </c>
      <c r="W16" s="664" t="s">
        <v>803</v>
      </c>
      <c r="X16" s="691">
        <v>40695</v>
      </c>
      <c r="Y16" s="692"/>
      <c r="Z16" s="691" t="s">
        <v>460</v>
      </c>
      <c r="AA16" s="704" t="s">
        <v>841</v>
      </c>
      <c r="AB16" s="693"/>
      <c r="AC16" s="694"/>
      <c r="AD16" s="686" t="s">
        <v>601</v>
      </c>
      <c r="AE16" s="696" t="s">
        <v>1093</v>
      </c>
      <c r="AF16" s="483">
        <f>IF(CampList[[#This Row],[Type of Accomodation]]="camp",MAX(0,CampList[[#This Row],[HH]]-SUMIF(Table_Shelter[Pcode],CampList[[#This Row],[CP_Pcode]],Table_Shelter[HH Covered])),0)</f>
        <v>3</v>
      </c>
      <c r="AG16" s="664"/>
      <c r="AH16" s="693">
        <f>MIN(CampList[[#This Row],[Shelter Gap]],CampList[[#This Row],[Land Status]])</f>
        <v>3</v>
      </c>
      <c r="AI16" s="664" t="str">
        <f ca="1">IFERROR(OFFSET(DistanceToCamp[Nearest Town],MATCH(CampList[[#This Row],[CP_Pcode]],DistanceToCamp[CP_Pcode],0)-1,0,1,1),"")</f>
        <v>Myitkyina Town</v>
      </c>
      <c r="AJ16" s="697">
        <f ca="1">IFERROR(OFFSET(DistanceToCamp[distance],MATCH(CampList[[#This Row],[CP_Pcode]],DistanceToCamp[CP_Pcode],0)-1,0,1,1),"")</f>
        <v>1.5295244799681529</v>
      </c>
      <c r="AK16" s="698">
        <f ca="1">IFERROR(INT(CampList[[#This Row],[Distance]]/5)+1,"")</f>
        <v>1</v>
      </c>
    </row>
    <row r="17" spans="1:37" s="445" customFormat="1" ht="15.75" customHeight="1" x14ac:dyDescent="0.25">
      <c r="A17" s="686" t="s">
        <v>500</v>
      </c>
      <c r="B17" s="662" t="s">
        <v>380</v>
      </c>
      <c r="C17" s="662" t="s">
        <v>525</v>
      </c>
      <c r="D17" s="662" t="s">
        <v>237</v>
      </c>
      <c r="E17" s="662" t="s">
        <v>531</v>
      </c>
      <c r="F17" s="662" t="s">
        <v>237</v>
      </c>
      <c r="G17" s="662" t="s">
        <v>535</v>
      </c>
      <c r="H17" s="695" t="s">
        <v>671</v>
      </c>
      <c r="I17" s="695" t="s">
        <v>672</v>
      </c>
      <c r="J17" s="695" t="s">
        <v>685</v>
      </c>
      <c r="K17" s="695" t="s">
        <v>686</v>
      </c>
      <c r="L17" s="662" t="s">
        <v>257</v>
      </c>
      <c r="M17" s="662" t="s">
        <v>256</v>
      </c>
      <c r="N17" s="687">
        <v>97.405202777777802</v>
      </c>
      <c r="O17" s="687">
        <v>25.3660036111111</v>
      </c>
      <c r="P17" s="688">
        <v>0</v>
      </c>
      <c r="Q17" s="689">
        <v>17</v>
      </c>
      <c r="R17" s="689">
        <v>68</v>
      </c>
      <c r="S17" s="690">
        <f>IF(CampList[[#This Row],[HH]]&gt;0,CampList[[#This Row],[Total]]/CampList[[#This Row],[HH]],"NA")</f>
        <v>4</v>
      </c>
      <c r="T17" s="664" t="s">
        <v>511</v>
      </c>
      <c r="U17" s="664" t="s">
        <v>1191</v>
      </c>
      <c r="V17" s="664" t="s">
        <v>554</v>
      </c>
      <c r="W17" s="664" t="s">
        <v>803</v>
      </c>
      <c r="X17" s="691">
        <v>40909</v>
      </c>
      <c r="Y17" s="692">
        <v>1</v>
      </c>
      <c r="Z17" s="691" t="s">
        <v>460</v>
      </c>
      <c r="AA17" s="704" t="s">
        <v>842</v>
      </c>
      <c r="AB17" s="693"/>
      <c r="AC17" s="694">
        <v>42745</v>
      </c>
      <c r="AD17" s="686" t="s">
        <v>1485</v>
      </c>
      <c r="AE17" s="696" t="s">
        <v>1093</v>
      </c>
      <c r="AF17" s="483">
        <f>IF(CampList[[#This Row],[Type of Accomodation]]="camp",MAX(0,CampList[[#This Row],[HH]]-SUMIF(Table_Shelter[Pcode],CampList[[#This Row],[CP_Pcode]],Table_Shelter[HH Covered])),0)</f>
        <v>12</v>
      </c>
      <c r="AG17" s="664"/>
      <c r="AH17" s="693">
        <f>MIN(CampList[[#This Row],[Shelter Gap]],CampList[[#This Row],[Land Status]])</f>
        <v>12</v>
      </c>
      <c r="AI17" s="664" t="str">
        <f ca="1">IFERROR(OFFSET(DistanceToCamp[Nearest Town],MATCH(CampList[[#This Row],[CP_Pcode]],DistanceToCamp[CP_Pcode],0)-1,0,1,1),"")</f>
        <v>Myitkyina Town</v>
      </c>
      <c r="AJ17" s="697">
        <f ca="1">IFERROR(OFFSET(DistanceToCamp[distance],MATCH(CampList[[#This Row],[CP_Pcode]],DistanceToCamp[CP_Pcode],0)-1,0,1,1),"")</f>
        <v>2.8164250706222882</v>
      </c>
      <c r="AK17" s="698">
        <f ca="1">IFERROR(INT(CampList[[#This Row],[Distance]]/5)+1,"")</f>
        <v>1</v>
      </c>
    </row>
    <row r="18" spans="1:37" s="445" customFormat="1" ht="15.75" customHeight="1" x14ac:dyDescent="0.25">
      <c r="A18" s="686" t="s">
        <v>500</v>
      </c>
      <c r="B18" s="662" t="s">
        <v>380</v>
      </c>
      <c r="C18" s="662" t="s">
        <v>525</v>
      </c>
      <c r="D18" s="662" t="s">
        <v>237</v>
      </c>
      <c r="E18" s="662" t="s">
        <v>531</v>
      </c>
      <c r="F18" s="662" t="s">
        <v>237</v>
      </c>
      <c r="G18" s="662" t="s">
        <v>535</v>
      </c>
      <c r="H18" s="695" t="s">
        <v>671</v>
      </c>
      <c r="I18" s="695" t="s">
        <v>672</v>
      </c>
      <c r="J18" s="695" t="s">
        <v>687</v>
      </c>
      <c r="K18" s="695" t="s">
        <v>688</v>
      </c>
      <c r="L18" s="662" t="s">
        <v>285</v>
      </c>
      <c r="M18" s="662" t="s">
        <v>284</v>
      </c>
      <c r="N18" s="687">
        <v>97.403402307692303</v>
      </c>
      <c r="O18" s="687">
        <v>25.3510167948718</v>
      </c>
      <c r="P18" s="688">
        <v>0</v>
      </c>
      <c r="Q18" s="689">
        <v>85</v>
      </c>
      <c r="R18" s="689">
        <v>437</v>
      </c>
      <c r="S18" s="690">
        <f>IF(CampList[[#This Row],[HH]]&gt;0,CampList[[#This Row],[Total]]/CampList[[#This Row],[HH]],"NA")</f>
        <v>5.1411764705882357</v>
      </c>
      <c r="T18" s="664" t="s">
        <v>511</v>
      </c>
      <c r="U18" s="664" t="s">
        <v>1191</v>
      </c>
      <c r="V18" s="664" t="s">
        <v>554</v>
      </c>
      <c r="W18" s="664" t="s">
        <v>803</v>
      </c>
      <c r="X18" s="691">
        <v>40695</v>
      </c>
      <c r="Y18" s="692">
        <v>2</v>
      </c>
      <c r="Z18" s="691" t="s">
        <v>460</v>
      </c>
      <c r="AA18" s="704" t="s">
        <v>842</v>
      </c>
      <c r="AB18" s="693"/>
      <c r="AC18" s="694">
        <v>42745</v>
      </c>
      <c r="AD18" s="686" t="s">
        <v>1488</v>
      </c>
      <c r="AE18" s="696" t="s">
        <v>1093</v>
      </c>
      <c r="AF18" s="483">
        <f>IF(CampList[[#This Row],[Type of Accomodation]]="camp",MAX(0,CampList[[#This Row],[HH]]-SUMIF(Table_Shelter[Pcode],CampList[[#This Row],[CP_Pcode]],Table_Shelter[HH Covered])),0)</f>
        <v>0</v>
      </c>
      <c r="AG18" s="664"/>
      <c r="AH18" s="693">
        <f>MIN(CampList[[#This Row],[Shelter Gap]],CampList[[#This Row],[Land Status]])</f>
        <v>0</v>
      </c>
      <c r="AI18" s="664" t="str">
        <f ca="1">IFERROR(OFFSET(DistanceToCamp[Nearest Town],MATCH(CampList[[#This Row],[CP_Pcode]],DistanceToCamp[CP_Pcode],0)-1,0,1,1),"")</f>
        <v>Myitkyina Town</v>
      </c>
      <c r="AJ18" s="697">
        <f ca="1">IFERROR(OFFSET(DistanceToCamp[distance],MATCH(CampList[[#This Row],[CP_Pcode]],DistanceToCamp[CP_Pcode],0)-1,0,1,1),"")</f>
        <v>4.262018365878137</v>
      </c>
      <c r="AK18" s="698">
        <f ca="1">IFERROR(INT(CampList[[#This Row],[Distance]]/5)+1,"")</f>
        <v>1</v>
      </c>
    </row>
    <row r="19" spans="1:37" s="445" customFormat="1" ht="15.75" customHeight="1" x14ac:dyDescent="0.25">
      <c r="A19" s="686" t="s">
        <v>500</v>
      </c>
      <c r="B19" s="662" t="s">
        <v>380</v>
      </c>
      <c r="C19" s="662" t="s">
        <v>525</v>
      </c>
      <c r="D19" s="662" t="s">
        <v>237</v>
      </c>
      <c r="E19" s="662" t="s">
        <v>531</v>
      </c>
      <c r="F19" s="662" t="s">
        <v>237</v>
      </c>
      <c r="G19" s="662" t="s">
        <v>535</v>
      </c>
      <c r="H19" s="695" t="s">
        <v>671</v>
      </c>
      <c r="I19" s="695" t="s">
        <v>672</v>
      </c>
      <c r="J19" s="695" t="s">
        <v>687</v>
      </c>
      <c r="K19" s="695" t="s">
        <v>688</v>
      </c>
      <c r="L19" s="662" t="s">
        <v>240</v>
      </c>
      <c r="M19" s="662" t="s">
        <v>239</v>
      </c>
      <c r="N19" s="687">
        <v>97.409035000000003</v>
      </c>
      <c r="O19" s="687">
        <v>25.362420757575801</v>
      </c>
      <c r="P19" s="688">
        <v>0</v>
      </c>
      <c r="Q19" s="689">
        <v>30</v>
      </c>
      <c r="R19" s="689">
        <v>178</v>
      </c>
      <c r="S19" s="690">
        <f>IF(CampList[[#This Row],[HH]]&gt;0,CampList[[#This Row],[Total]]/CampList[[#This Row],[HH]],"NA")</f>
        <v>5.9333333333333336</v>
      </c>
      <c r="T19" s="664" t="s">
        <v>511</v>
      </c>
      <c r="U19" s="664" t="s">
        <v>1191</v>
      </c>
      <c r="V19" s="664" t="s">
        <v>554</v>
      </c>
      <c r="W19" s="664" t="s">
        <v>803</v>
      </c>
      <c r="X19" s="691">
        <v>40603</v>
      </c>
      <c r="Y19" s="692">
        <v>2</v>
      </c>
      <c r="Z19" s="691" t="s">
        <v>460</v>
      </c>
      <c r="AA19" s="704" t="s">
        <v>842</v>
      </c>
      <c r="AB19" s="693"/>
      <c r="AC19" s="694">
        <v>42745</v>
      </c>
      <c r="AD19" s="686" t="s">
        <v>1487</v>
      </c>
      <c r="AE19" s="696" t="s">
        <v>1093</v>
      </c>
      <c r="AF19" s="483">
        <f>IF(CampList[[#This Row],[Type of Accomodation]]="camp",MAX(0,CampList[[#This Row],[HH]]-SUMIF(Table_Shelter[Pcode],CampList[[#This Row],[CP_Pcode]],Table_Shelter[HH Covered])),0)</f>
        <v>6</v>
      </c>
      <c r="AG19" s="664"/>
      <c r="AH19" s="693">
        <f>MIN(CampList[[#This Row],[Shelter Gap]],CampList[[#This Row],[Land Status]])</f>
        <v>6</v>
      </c>
      <c r="AI19" s="664" t="str">
        <f ca="1">IFERROR(OFFSET(DistanceToCamp[Nearest Town],MATCH(CampList[[#This Row],[CP_Pcode]],DistanceToCamp[CP_Pcode],0)-1,0,1,1),"")</f>
        <v>Myitkyina Town</v>
      </c>
      <c r="AJ19" s="697">
        <f ca="1">IFERROR(OFFSET(DistanceToCamp[distance],MATCH(CampList[[#This Row],[CP_Pcode]],DistanceToCamp[CP_Pcode],0)-1,0,1,1),"")</f>
        <v>3.3602711423118103</v>
      </c>
      <c r="AK19" s="698">
        <f ca="1">IFERROR(INT(CampList[[#This Row],[Distance]]/5)+1,"")</f>
        <v>1</v>
      </c>
    </row>
    <row r="20" spans="1:37" s="445" customFormat="1" ht="15.75" customHeight="1" x14ac:dyDescent="0.25">
      <c r="A20" s="686" t="s">
        <v>500</v>
      </c>
      <c r="B20" s="662" t="s">
        <v>380</v>
      </c>
      <c r="C20" s="662" t="s">
        <v>525</v>
      </c>
      <c r="D20" s="662" t="s">
        <v>237</v>
      </c>
      <c r="E20" s="662" t="s">
        <v>531</v>
      </c>
      <c r="F20" s="662" t="s">
        <v>237</v>
      </c>
      <c r="G20" s="662" t="s">
        <v>535</v>
      </c>
      <c r="H20" s="695" t="s">
        <v>671</v>
      </c>
      <c r="I20" s="695" t="s">
        <v>672</v>
      </c>
      <c r="J20" s="707" t="s">
        <v>1377</v>
      </c>
      <c r="K20" s="707"/>
      <c r="L20" s="662" t="s">
        <v>259</v>
      </c>
      <c r="M20" s="662" t="s">
        <v>258</v>
      </c>
      <c r="N20" s="687">
        <v>97.4113064583333</v>
      </c>
      <c r="O20" s="687">
        <v>25.360463124999999</v>
      </c>
      <c r="P20" s="688">
        <v>0</v>
      </c>
      <c r="Q20" s="689">
        <v>60</v>
      </c>
      <c r="R20" s="689">
        <v>294</v>
      </c>
      <c r="S20" s="690">
        <f>IF(CampList[[#This Row],[HH]]&gt;0,CampList[[#This Row],[Total]]/CampList[[#This Row],[HH]],"NA")</f>
        <v>4.9000000000000004</v>
      </c>
      <c r="T20" s="664" t="s">
        <v>511</v>
      </c>
      <c r="U20" s="664" t="s">
        <v>1191</v>
      </c>
      <c r="V20" s="664" t="s">
        <v>554</v>
      </c>
      <c r="W20" s="664" t="s">
        <v>803</v>
      </c>
      <c r="X20" s="691">
        <v>40756</v>
      </c>
      <c r="Y20" s="692">
        <v>2</v>
      </c>
      <c r="Z20" s="691" t="s">
        <v>460</v>
      </c>
      <c r="AA20" s="704" t="s">
        <v>842</v>
      </c>
      <c r="AB20" s="693"/>
      <c r="AC20" s="694">
        <v>42745</v>
      </c>
      <c r="AD20" s="686" t="s">
        <v>1495</v>
      </c>
      <c r="AE20" s="696" t="s">
        <v>1093</v>
      </c>
      <c r="AF20" s="483">
        <f>IF(CampList[[#This Row],[Type of Accomodation]]="camp",MAX(0,CampList[[#This Row],[HH]]-SUMIF(Table_Shelter[Pcode],CampList[[#This Row],[CP_Pcode]],Table_Shelter[HH Covered])),0)</f>
        <v>40</v>
      </c>
      <c r="AG20" s="664"/>
      <c r="AH20" s="693">
        <f>MIN(CampList[[#This Row],[Shelter Gap]],CampList[[#This Row],[Land Status]])</f>
        <v>40</v>
      </c>
      <c r="AI20" s="664" t="str">
        <f ca="1">IFERROR(OFFSET(DistanceToCamp[Nearest Town],MATCH(CampList[[#This Row],[CP_Pcode]],DistanceToCamp[CP_Pcode],0)-1,0,1,1),"")</f>
        <v>Waingmaw Town</v>
      </c>
      <c r="AJ20" s="697">
        <f ca="1">IFERROR(OFFSET(DistanceToCamp[distance],MATCH(CampList[[#This Row],[CP_Pcode]],DistanceToCamp[CP_Pcode],0)-1,0,1,1),"")</f>
        <v>3.3362307375127798</v>
      </c>
      <c r="AK20" s="698">
        <f ca="1">IFERROR(INT(CampList[[#This Row],[Distance]]/5)+1,"")</f>
        <v>1</v>
      </c>
    </row>
    <row r="21" spans="1:37" s="445" customFormat="1" ht="15.75" hidden="1" customHeight="1" x14ac:dyDescent="0.25">
      <c r="A21" s="686" t="s">
        <v>843</v>
      </c>
      <c r="B21" s="662" t="s">
        <v>380</v>
      </c>
      <c r="C21" s="662" t="s">
        <v>525</v>
      </c>
      <c r="D21" s="662" t="s">
        <v>237</v>
      </c>
      <c r="E21" s="662" t="s">
        <v>531</v>
      </c>
      <c r="F21" s="662" t="s">
        <v>237</v>
      </c>
      <c r="G21" s="662" t="s">
        <v>535</v>
      </c>
      <c r="H21" s="695" t="s">
        <v>671</v>
      </c>
      <c r="I21" s="695" t="s">
        <v>672</v>
      </c>
      <c r="J21" s="695" t="s">
        <v>674</v>
      </c>
      <c r="K21" s="695" t="s">
        <v>675</v>
      </c>
      <c r="L21" s="662" t="s">
        <v>267</v>
      </c>
      <c r="M21" s="662" t="s">
        <v>266</v>
      </c>
      <c r="N21" s="687">
        <v>97.376671999999999</v>
      </c>
      <c r="O21" s="687">
        <v>25.387862999999999</v>
      </c>
      <c r="P21" s="688">
        <v>0</v>
      </c>
      <c r="Q21" s="705">
        <v>0</v>
      </c>
      <c r="R21" s="706">
        <v>0</v>
      </c>
      <c r="S21" s="690" t="str">
        <f>IF(CampList[[#This Row],[HH]]&gt;0,CampList[[#This Row],[Total]]/CampList[[#This Row],[HH]],"NA")</f>
        <v>NA</v>
      </c>
      <c r="T21" s="664" t="s">
        <v>511</v>
      </c>
      <c r="U21" s="699" t="s">
        <v>1191</v>
      </c>
      <c r="V21" s="664" t="s">
        <v>554</v>
      </c>
      <c r="W21" s="699" t="s">
        <v>803</v>
      </c>
      <c r="X21" s="700">
        <v>40817</v>
      </c>
      <c r="Y21" s="701">
        <v>1</v>
      </c>
      <c r="Z21" s="700" t="s">
        <v>505</v>
      </c>
      <c r="AA21" s="704" t="s">
        <v>842</v>
      </c>
      <c r="AB21" s="693"/>
      <c r="AC21" s="694">
        <v>42180</v>
      </c>
      <c r="AD21" s="686" t="s">
        <v>1261</v>
      </c>
      <c r="AE21" s="696" t="s">
        <v>1093</v>
      </c>
      <c r="AF21" s="483">
        <f>IF(CampList[[#This Row],[Type of Accomodation]]="camp",MAX(0,CampList[[#This Row],[HH]]-SUMIF(Table_Shelter[Pcode],CampList[[#This Row],[CP_Pcode]],Table_Shelter[HH Covered])),0)</f>
        <v>0</v>
      </c>
      <c r="AG21" s="664"/>
      <c r="AH21" s="693">
        <f>MIN(CampList[[#This Row],[Shelter Gap]],CampList[[#This Row],[Land Status]])</f>
        <v>0</v>
      </c>
      <c r="AI21" s="664" t="str">
        <f ca="1">IFERROR(OFFSET(DistanceToCamp[Nearest Town],MATCH(CampList[[#This Row],[CP_Pcode]],DistanceToCamp[CP_Pcode],0)-1,0,1,1),"")</f>
        <v>Myitkyina Town</v>
      </c>
      <c r="AJ21" s="697">
        <f ca="1">IFERROR(OFFSET(DistanceToCamp[distance],MATCH(CampList[[#This Row],[CP_Pcode]],DistanceToCamp[CP_Pcode],0)-1,0,1,1),"")</f>
        <v>1.3751794210741128</v>
      </c>
      <c r="AK21" s="698">
        <f ca="1">IFERROR(INT(CampList[[#This Row],[Distance]]/5)+1,"")</f>
        <v>1</v>
      </c>
    </row>
    <row r="22" spans="1:37" s="445" customFormat="1" ht="15.75" customHeight="1" x14ac:dyDescent="0.25">
      <c r="A22" s="686" t="s">
        <v>500</v>
      </c>
      <c r="B22" s="662" t="s">
        <v>380</v>
      </c>
      <c r="C22" s="662" t="s">
        <v>525</v>
      </c>
      <c r="D22" s="662" t="s">
        <v>237</v>
      </c>
      <c r="E22" s="662" t="s">
        <v>531</v>
      </c>
      <c r="F22" s="662" t="s">
        <v>237</v>
      </c>
      <c r="G22" s="662" t="s">
        <v>535</v>
      </c>
      <c r="H22" s="695" t="s">
        <v>671</v>
      </c>
      <c r="I22" s="695" t="s">
        <v>672</v>
      </c>
      <c r="J22" s="662" t="s">
        <v>673</v>
      </c>
      <c r="K22" s="662"/>
      <c r="L22" s="662" t="s">
        <v>253</v>
      </c>
      <c r="M22" s="662" t="s">
        <v>252</v>
      </c>
      <c r="N22" s="733">
        <v>97.373361000000003</v>
      </c>
      <c r="O22" s="733">
        <v>25.403476999999999</v>
      </c>
      <c r="P22" s="688">
        <v>0</v>
      </c>
      <c r="Q22" s="689">
        <v>198</v>
      </c>
      <c r="R22" s="689">
        <v>1107</v>
      </c>
      <c r="S22" s="690">
        <f>IF(CampList[[#This Row],[HH]]&gt;0,CampList[[#This Row],[Total]]/CampList[[#This Row],[HH]],"NA")</f>
        <v>5.5909090909090908</v>
      </c>
      <c r="T22" s="664" t="s">
        <v>511</v>
      </c>
      <c r="U22" s="664" t="s">
        <v>1191</v>
      </c>
      <c r="V22" s="664" t="s">
        <v>554</v>
      </c>
      <c r="W22" s="664" t="s">
        <v>803</v>
      </c>
      <c r="X22" s="691">
        <v>40725</v>
      </c>
      <c r="Y22" s="692">
        <v>2</v>
      </c>
      <c r="Z22" s="691" t="s">
        <v>460</v>
      </c>
      <c r="AA22" s="704" t="s">
        <v>842</v>
      </c>
      <c r="AB22" s="693"/>
      <c r="AC22" s="694">
        <v>42745</v>
      </c>
      <c r="AD22" s="686" t="s">
        <v>1482</v>
      </c>
      <c r="AE22" s="696" t="s">
        <v>1093</v>
      </c>
      <c r="AF22" s="483">
        <f>IF(CampList[[#This Row],[Type of Accomodation]]="camp",MAX(0,CampList[[#This Row],[HH]]-SUMIF(Table_Shelter[Pcode],CampList[[#This Row],[CP_Pcode]],Table_Shelter[HH Covered])),0)</f>
        <v>38</v>
      </c>
      <c r="AG22" s="664"/>
      <c r="AH22" s="693">
        <f>MIN(CampList[[#This Row],[Shelter Gap]],CampList[[#This Row],[Land Status]])</f>
        <v>38</v>
      </c>
      <c r="AI22" s="664" t="str">
        <f ca="1">IFERROR(OFFSET(DistanceToCamp[Nearest Town],MATCH(CampList[[#This Row],[CP_Pcode]],DistanceToCamp[CP_Pcode],0)-1,0,1,1),"")</f>
        <v>Myitkyina Town</v>
      </c>
      <c r="AJ22" s="697">
        <f ca="1">IFERROR(OFFSET(DistanceToCamp[distance],MATCH(CampList[[#This Row],[CP_Pcode]],DistanceToCamp[CP_Pcode],0)-1,0,1,1),"")</f>
        <v>2.4647367211404561</v>
      </c>
      <c r="AK22" s="698">
        <f ca="1">IFERROR(INT(CampList[[#This Row],[Distance]]/5)+1,"")</f>
        <v>1</v>
      </c>
    </row>
    <row r="23" spans="1:37" s="445" customFormat="1" ht="15.75" customHeight="1" x14ac:dyDescent="0.25">
      <c r="A23" s="708" t="s">
        <v>500</v>
      </c>
      <c r="B23" s="663" t="s">
        <v>380</v>
      </c>
      <c r="C23" s="663" t="s">
        <v>525</v>
      </c>
      <c r="D23" s="663" t="s">
        <v>237</v>
      </c>
      <c r="E23" s="663" t="s">
        <v>531</v>
      </c>
      <c r="F23" s="663" t="s">
        <v>237</v>
      </c>
      <c r="G23" s="663" t="s">
        <v>535</v>
      </c>
      <c r="H23" s="663" t="s">
        <v>671</v>
      </c>
      <c r="I23" s="709" t="s">
        <v>672</v>
      </c>
      <c r="J23" s="663" t="s">
        <v>673</v>
      </c>
      <c r="K23" s="663"/>
      <c r="L23" s="663" t="s">
        <v>255</v>
      </c>
      <c r="M23" s="663" t="s">
        <v>254</v>
      </c>
      <c r="N23" s="689">
        <v>97.379594999999995</v>
      </c>
      <c r="O23" s="689">
        <v>25.401061110000001</v>
      </c>
      <c r="P23" s="711"/>
      <c r="Q23" s="689">
        <v>99</v>
      </c>
      <c r="R23" s="711">
        <v>454</v>
      </c>
      <c r="S23" s="690">
        <f>IF(CampList[[#This Row],[HH]]&gt;0,CampList[[#This Row],[Total]]/CampList[[#This Row],[HH]],"NA")</f>
        <v>4.5858585858585856</v>
      </c>
      <c r="T23" s="483" t="s">
        <v>511</v>
      </c>
      <c r="U23" s="664" t="s">
        <v>1191</v>
      </c>
      <c r="V23" s="483" t="s">
        <v>554</v>
      </c>
      <c r="W23" s="483" t="s">
        <v>803</v>
      </c>
      <c r="X23" s="712">
        <v>40725</v>
      </c>
      <c r="Y23" s="711">
        <v>3</v>
      </c>
      <c r="Z23" s="711" t="s">
        <v>1090</v>
      </c>
      <c r="AA23" s="689" t="s">
        <v>842</v>
      </c>
      <c r="AB23" s="689"/>
      <c r="AC23" s="694">
        <v>42745</v>
      </c>
      <c r="AD23" s="713" t="s">
        <v>1545</v>
      </c>
      <c r="AE23" s="696" t="s">
        <v>1093</v>
      </c>
      <c r="AF23" s="714">
        <f>IF(CampList[[#This Row],[Type of Accomodation]]="camp",MAX(0,CampList[[#This Row],[HH]]-SUMIF(Table_Shelter[Pcode],CampList[[#This Row],[CP_Pcode]],Table_Shelter[HH Covered])),0)</f>
        <v>19</v>
      </c>
      <c r="AG23" s="483"/>
      <c r="AH23" s="688">
        <f>MIN(CampList[[#This Row],[Shelter Gap]],CampList[[#This Row],[Land Status]])</f>
        <v>19</v>
      </c>
      <c r="AI23" s="714" t="str">
        <f ca="1">IFERROR(OFFSET(DistanceToCamp[Nearest Town],MATCH(CampList[[#This Row],[CP_Pcode]],DistanceToCamp[CP_Pcode],0)-1,0,1,1),"")</f>
        <v>Myitkyina Town</v>
      </c>
      <c r="AJ23" s="697">
        <f ca="1">IFERROR(OFFSET(DistanceToCamp[distance],MATCH(CampList[[#This Row],[CP_Pcode]],DistanceToCamp[CP_Pcode],0)-1,0,1,1),"")</f>
        <v>1.8563710010113432</v>
      </c>
      <c r="AK23" s="715">
        <f ca="1">IFERROR(INT(CampList[[#This Row],[Distance]]/5)+1,"")</f>
        <v>1</v>
      </c>
    </row>
    <row r="24" spans="1:37" s="445" customFormat="1" ht="15.75" customHeight="1" x14ac:dyDescent="0.25">
      <c r="A24" s="686" t="s">
        <v>500</v>
      </c>
      <c r="B24" s="662" t="s">
        <v>380</v>
      </c>
      <c r="C24" s="662" t="s">
        <v>525</v>
      </c>
      <c r="D24" s="662" t="s">
        <v>237</v>
      </c>
      <c r="E24" s="662" t="s">
        <v>531</v>
      </c>
      <c r="F24" s="662" t="s">
        <v>237</v>
      </c>
      <c r="G24" s="662" t="s">
        <v>535</v>
      </c>
      <c r="H24" s="695" t="s">
        <v>648</v>
      </c>
      <c r="I24" s="695" t="s">
        <v>649</v>
      </c>
      <c r="J24" s="695" t="s">
        <v>648</v>
      </c>
      <c r="K24" s="695">
        <v>165698</v>
      </c>
      <c r="L24" s="662" t="s">
        <v>263</v>
      </c>
      <c r="M24" s="662" t="s">
        <v>262</v>
      </c>
      <c r="N24" s="687">
        <v>97.2843958974359</v>
      </c>
      <c r="O24" s="687">
        <v>25.374343974359</v>
      </c>
      <c r="P24" s="688">
        <v>0</v>
      </c>
      <c r="Q24" s="57">
        <v>21</v>
      </c>
      <c r="R24" s="98">
        <v>98</v>
      </c>
      <c r="S24" s="690">
        <f>IF(CampList[[#This Row],[HH]]&gt;0,CampList[[#This Row],[Total]]/CampList[[#This Row],[HH]],"NA")</f>
        <v>4.666666666666667</v>
      </c>
      <c r="T24" s="664" t="s">
        <v>511</v>
      </c>
      <c r="U24" s="664" t="s">
        <v>1191</v>
      </c>
      <c r="V24" s="664" t="s">
        <v>554</v>
      </c>
      <c r="W24" s="664" t="s">
        <v>856</v>
      </c>
      <c r="X24" s="691">
        <v>40817</v>
      </c>
      <c r="Y24" s="692">
        <v>1</v>
      </c>
      <c r="Z24" s="691" t="s">
        <v>505</v>
      </c>
      <c r="AA24" s="704" t="s">
        <v>842</v>
      </c>
      <c r="AB24" s="693"/>
      <c r="AC24" s="694">
        <v>42745</v>
      </c>
      <c r="AD24" s="686" t="s">
        <v>1573</v>
      </c>
      <c r="AE24" s="696" t="s">
        <v>1093</v>
      </c>
      <c r="AF24" s="483">
        <f>IF(CampList[[#This Row],[Type of Accomodation]]="camp",MAX(0,CampList[[#This Row],[HH]]-SUMIF(Table_Shelter[Pcode],CampList[[#This Row],[CP_Pcode]],Table_Shelter[HH Covered])),0)</f>
        <v>0</v>
      </c>
      <c r="AG24" s="664"/>
      <c r="AH24" s="693">
        <f>MIN(CampList[[#This Row],[Shelter Gap]],CampList[[#This Row],[Land Status]])</f>
        <v>0</v>
      </c>
      <c r="AI24" s="664" t="str">
        <f ca="1">IFERROR(OFFSET(DistanceToCamp[Nearest Town],MATCH(CampList[[#This Row],[CP_Pcode]],DistanceToCamp[CP_Pcode],0)-1,0,1,1),"")</f>
        <v>Myitkyina Town</v>
      </c>
      <c r="AJ24" s="697">
        <f ca="1">IFERROR(OFFSET(DistanceToCamp[distance],MATCH(CampList[[#This Row],[CP_Pcode]],DistanceToCamp[CP_Pcode],0)-1,0,1,1),"")</f>
        <v>10.744749696609457</v>
      </c>
      <c r="AK24" s="698">
        <f ca="1">IFERROR(INT(CampList[[#This Row],[Distance]]/5)+1,"")</f>
        <v>3</v>
      </c>
    </row>
    <row r="25" spans="1:37" s="445" customFormat="1" ht="15.75" customHeight="1" x14ac:dyDescent="0.25">
      <c r="A25" s="686" t="s">
        <v>500</v>
      </c>
      <c r="B25" s="662" t="s">
        <v>380</v>
      </c>
      <c r="C25" s="662" t="s">
        <v>525</v>
      </c>
      <c r="D25" s="662" t="s">
        <v>237</v>
      </c>
      <c r="E25" s="662" t="s">
        <v>531</v>
      </c>
      <c r="F25" s="662" t="s">
        <v>237</v>
      </c>
      <c r="G25" s="662" t="s">
        <v>535</v>
      </c>
      <c r="H25" s="695" t="s">
        <v>648</v>
      </c>
      <c r="I25" s="695" t="s">
        <v>649</v>
      </c>
      <c r="J25" s="695" t="s">
        <v>648</v>
      </c>
      <c r="K25" s="695">
        <v>165698</v>
      </c>
      <c r="L25" s="662" t="s">
        <v>265</v>
      </c>
      <c r="M25" s="662" t="s">
        <v>264</v>
      </c>
      <c r="N25" s="687">
        <v>97.290952037037002</v>
      </c>
      <c r="O25" s="687">
        <v>25.371049444444399</v>
      </c>
      <c r="P25" s="688">
        <v>476</v>
      </c>
      <c r="Q25" s="57">
        <v>14</v>
      </c>
      <c r="R25" s="98">
        <v>71</v>
      </c>
      <c r="S25" s="690">
        <f>IF(CampList[[#This Row],[HH]]&gt;0,CampList[[#This Row],[Total]]/CampList[[#This Row],[HH]],"NA")</f>
        <v>5.0714285714285712</v>
      </c>
      <c r="T25" s="664" t="s">
        <v>511</v>
      </c>
      <c r="U25" s="664" t="s">
        <v>1191</v>
      </c>
      <c r="V25" s="664" t="s">
        <v>554</v>
      </c>
      <c r="W25" s="664" t="s">
        <v>856</v>
      </c>
      <c r="X25" s="691">
        <v>40817</v>
      </c>
      <c r="Y25" s="692">
        <v>1</v>
      </c>
      <c r="Z25" s="691" t="s">
        <v>505</v>
      </c>
      <c r="AA25" s="704" t="s">
        <v>842</v>
      </c>
      <c r="AB25" s="693"/>
      <c r="AC25" s="694">
        <v>42745</v>
      </c>
      <c r="AD25" s="686" t="s">
        <v>1574</v>
      </c>
      <c r="AE25" s="696" t="s">
        <v>1093</v>
      </c>
      <c r="AF25" s="483">
        <f>IF(CampList[[#This Row],[Type of Accomodation]]="camp",MAX(0,CampList[[#This Row],[HH]]-SUMIF(Table_Shelter[Pcode],CampList[[#This Row],[CP_Pcode]],Table_Shelter[HH Covered])),0)</f>
        <v>0</v>
      </c>
      <c r="AG25" s="664"/>
      <c r="AH25" s="693">
        <f>MIN(CampList[[#This Row],[Shelter Gap]],CampList[[#This Row],[Land Status]])</f>
        <v>0</v>
      </c>
      <c r="AI25" s="664" t="str">
        <f ca="1">IFERROR(OFFSET(DistanceToCamp[Nearest Town],MATCH(CampList[[#This Row],[CP_Pcode]],DistanceToCamp[CP_Pcode],0)-1,0,1,1),"")</f>
        <v>Myitkyina Town</v>
      </c>
      <c r="AJ25" s="697">
        <f ca="1">IFERROR(OFFSET(DistanceToCamp[distance],MATCH(CampList[[#This Row],[CP_Pcode]],DistanceToCamp[CP_Pcode],0)-1,0,1,1),"")</f>
        <v>10.15228229456989</v>
      </c>
      <c r="AK25" s="698">
        <f ca="1">IFERROR(INT(CampList[[#This Row],[Distance]]/5)+1,"")</f>
        <v>3</v>
      </c>
    </row>
    <row r="26" spans="1:37" s="445" customFormat="1" ht="15.75" customHeight="1" x14ac:dyDescent="0.25">
      <c r="A26" s="686" t="s">
        <v>500</v>
      </c>
      <c r="B26" s="662" t="s">
        <v>380</v>
      </c>
      <c r="C26" s="662" t="s">
        <v>525</v>
      </c>
      <c r="D26" s="662" t="s">
        <v>237</v>
      </c>
      <c r="E26" s="662" t="s">
        <v>531</v>
      </c>
      <c r="F26" s="662" t="s">
        <v>237</v>
      </c>
      <c r="G26" s="662" t="s">
        <v>535</v>
      </c>
      <c r="H26" s="662" t="s">
        <v>671</v>
      </c>
      <c r="I26" s="662" t="s">
        <v>672</v>
      </c>
      <c r="J26" s="662" t="s">
        <v>683</v>
      </c>
      <c r="K26" s="662" t="s">
        <v>684</v>
      </c>
      <c r="L26" s="662" t="s">
        <v>283</v>
      </c>
      <c r="M26" s="662" t="s">
        <v>282</v>
      </c>
      <c r="N26" s="687">
        <v>97.403878500000005</v>
      </c>
      <c r="O26" s="687">
        <v>25.377038166666701</v>
      </c>
      <c r="P26" s="688">
        <v>0</v>
      </c>
      <c r="Q26" s="57">
        <v>7</v>
      </c>
      <c r="R26" s="98">
        <v>37</v>
      </c>
      <c r="S26" s="690">
        <f>IF(CampList[[#This Row],[HH]]&gt;0,CampList[[#This Row],[Total]]/CampList[[#This Row],[HH]],"NA")</f>
        <v>5.2857142857142856</v>
      </c>
      <c r="T26" s="664" t="s">
        <v>511</v>
      </c>
      <c r="U26" s="664" t="s">
        <v>1191</v>
      </c>
      <c r="V26" s="664" t="s">
        <v>554</v>
      </c>
      <c r="W26" s="664" t="s">
        <v>803</v>
      </c>
      <c r="X26" s="691">
        <v>41000</v>
      </c>
      <c r="Y26" s="692">
        <v>1</v>
      </c>
      <c r="Z26" s="691" t="s">
        <v>505</v>
      </c>
      <c r="AA26" s="693" t="s">
        <v>842</v>
      </c>
      <c r="AB26" s="693"/>
      <c r="AC26" s="694">
        <v>42745</v>
      </c>
      <c r="AD26" s="695" t="s">
        <v>1585</v>
      </c>
      <c r="AE26" s="696" t="s">
        <v>1093</v>
      </c>
      <c r="AF26" s="483">
        <f>IF(CampList[[#This Row],[Type of Accomodation]]="camp",MAX(0,CampList[[#This Row],[HH]]-SUMIF(Table_Shelter[Pcode],CampList[[#This Row],[CP_Pcode]],Table_Shelter[HH Covered])),0)</f>
        <v>0</v>
      </c>
      <c r="AG26" s="664"/>
      <c r="AH26" s="693">
        <f>MIN(CampList[[#This Row],[Shelter Gap]],CampList[[#This Row],[Land Status]])</f>
        <v>0</v>
      </c>
      <c r="AI26" s="664" t="str">
        <f ca="1">IFERROR(OFFSET(DistanceToCamp[Nearest Town],MATCH(CampList[[#This Row],[CP_Pcode]],DistanceToCamp[CP_Pcode],0)-1,0,1,1),"")</f>
        <v>Myitkyina Town</v>
      </c>
      <c r="AJ26" s="697">
        <f ca="1">IFERROR(OFFSET(DistanceToCamp[distance],MATCH(CampList[[#This Row],[CP_Pcode]],DistanceToCamp[CP_Pcode],0)-1,0,1,1),"")</f>
        <v>1.7877148351104664</v>
      </c>
      <c r="AK26" s="698">
        <f ca="1">IFERROR(INT(CampList[[#This Row],[Distance]]/5)+1,"")</f>
        <v>1</v>
      </c>
    </row>
    <row r="27" spans="1:37" s="445" customFormat="1" ht="15.75" customHeight="1" x14ac:dyDescent="0.25">
      <c r="A27" s="686" t="s">
        <v>500</v>
      </c>
      <c r="B27" s="662" t="s">
        <v>380</v>
      </c>
      <c r="C27" s="662" t="s">
        <v>525</v>
      </c>
      <c r="D27" s="662" t="s">
        <v>237</v>
      </c>
      <c r="E27" s="662" t="s">
        <v>531</v>
      </c>
      <c r="F27" s="662" t="s">
        <v>237</v>
      </c>
      <c r="G27" s="662" t="s">
        <v>535</v>
      </c>
      <c r="H27" s="662" t="s">
        <v>671</v>
      </c>
      <c r="I27" s="662" t="s">
        <v>672</v>
      </c>
      <c r="J27" s="662" t="s">
        <v>676</v>
      </c>
      <c r="K27" s="662" t="s">
        <v>677</v>
      </c>
      <c r="L27" s="662" t="s">
        <v>1244</v>
      </c>
      <c r="M27" s="662" t="s">
        <v>241</v>
      </c>
      <c r="N27" s="687" t="s">
        <v>1398</v>
      </c>
      <c r="O27" s="687" t="s">
        <v>1399</v>
      </c>
      <c r="P27" s="688">
        <v>0</v>
      </c>
      <c r="Q27" s="57">
        <v>54</v>
      </c>
      <c r="R27" s="98">
        <v>259</v>
      </c>
      <c r="S27" s="690">
        <f>IF(CampList[[#This Row],[HH]]&gt;0,CampList[[#This Row],[Total]]/CampList[[#This Row],[HH]],"NA")</f>
        <v>4.7962962962962967</v>
      </c>
      <c r="T27" s="664" t="s">
        <v>511</v>
      </c>
      <c r="U27" s="664" t="s">
        <v>1191</v>
      </c>
      <c r="V27" s="664" t="s">
        <v>554</v>
      </c>
      <c r="W27" s="664" t="s">
        <v>803</v>
      </c>
      <c r="X27" s="691">
        <v>41000</v>
      </c>
      <c r="Y27" s="692">
        <v>1</v>
      </c>
      <c r="Z27" s="691" t="s">
        <v>505</v>
      </c>
      <c r="AA27" s="693" t="s">
        <v>842</v>
      </c>
      <c r="AB27" s="693"/>
      <c r="AC27" s="694">
        <v>42745</v>
      </c>
      <c r="AD27" s="695" t="s">
        <v>1584</v>
      </c>
      <c r="AE27" s="696" t="s">
        <v>1093</v>
      </c>
      <c r="AF27" s="483">
        <f>IF(CampList[[#This Row],[Type of Accomodation]]="camp",MAX(0,CampList[[#This Row],[HH]]-SUMIF(Table_Shelter[Pcode],CampList[[#This Row],[CP_Pcode]],Table_Shelter[HH Covered])),0)</f>
        <v>0</v>
      </c>
      <c r="AG27" s="664"/>
      <c r="AH27" s="693">
        <f>MIN(CampList[[#This Row],[Shelter Gap]],CampList[[#This Row],[Land Status]])</f>
        <v>0</v>
      </c>
      <c r="AI27" s="664" t="str">
        <f ca="1">IFERROR(OFFSET(DistanceToCamp[Nearest Town],MATCH(CampList[[#This Row],[CP_Pcode]],DistanceToCamp[CP_Pcode],0)-1,0,1,1),"")</f>
        <v>Myitkyina Town</v>
      </c>
      <c r="AJ27" s="697">
        <f ca="1">IFERROR(OFFSET(DistanceToCamp[distance],MATCH(CampList[[#This Row],[CP_Pcode]],DistanceToCamp[CP_Pcode],0)-1,0,1,1),"")</f>
        <v>2.6190942927115026</v>
      </c>
      <c r="AK27" s="698">
        <f ca="1">IFERROR(INT(CampList[[#This Row],[Distance]]/5)+1,"")</f>
        <v>1</v>
      </c>
    </row>
    <row r="28" spans="1:37" s="445" customFormat="1" ht="15.75" customHeight="1" x14ac:dyDescent="0.25">
      <c r="A28" s="708" t="s">
        <v>500</v>
      </c>
      <c r="B28" s="663" t="s">
        <v>380</v>
      </c>
      <c r="C28" s="663" t="s">
        <v>525</v>
      </c>
      <c r="D28" s="663" t="s">
        <v>237</v>
      </c>
      <c r="E28" s="663" t="s">
        <v>531</v>
      </c>
      <c r="F28" s="663" t="s">
        <v>237</v>
      </c>
      <c r="G28" s="663" t="s">
        <v>535</v>
      </c>
      <c r="H28" s="663" t="s">
        <v>669</v>
      </c>
      <c r="I28" s="709" t="s">
        <v>670</v>
      </c>
      <c r="J28" s="663" t="s">
        <v>669</v>
      </c>
      <c r="K28" s="663">
        <v>165695</v>
      </c>
      <c r="L28" s="663" t="s">
        <v>271</v>
      </c>
      <c r="M28" s="663" t="s">
        <v>270</v>
      </c>
      <c r="N28" s="689">
        <v>97.359320179999997</v>
      </c>
      <c r="O28" s="689">
        <v>25.410569299999999</v>
      </c>
      <c r="P28" s="711"/>
      <c r="Q28" s="689">
        <v>68</v>
      </c>
      <c r="R28" s="711">
        <v>333</v>
      </c>
      <c r="S28" s="690">
        <f>IF(CampList[[#This Row],[HH]]&gt;0,CampList[[#This Row],[Total]]/CampList[[#This Row],[HH]],"NA")</f>
        <v>4.8970588235294121</v>
      </c>
      <c r="T28" s="483" t="s">
        <v>511</v>
      </c>
      <c r="U28" s="664" t="s">
        <v>1191</v>
      </c>
      <c r="V28" s="483" t="s">
        <v>554</v>
      </c>
      <c r="W28" s="483" t="s">
        <v>803</v>
      </c>
      <c r="X28" s="712">
        <v>40909</v>
      </c>
      <c r="Y28" s="711"/>
      <c r="Z28" s="711" t="s">
        <v>1090</v>
      </c>
      <c r="AA28" s="689" t="s">
        <v>842</v>
      </c>
      <c r="AB28" s="689"/>
      <c r="AC28" s="694">
        <v>42745</v>
      </c>
      <c r="AD28" s="713" t="s">
        <v>1546</v>
      </c>
      <c r="AE28" s="696" t="s">
        <v>1093</v>
      </c>
      <c r="AF28" s="714">
        <f>IF(CampList[[#This Row],[Type of Accomodation]]="camp",MAX(0,CampList[[#This Row],[HH]]-SUMIF(Table_Shelter[Pcode],CampList[[#This Row],[CP_Pcode]],Table_Shelter[HH Covered])),0)</f>
        <v>1</v>
      </c>
      <c r="AG28" s="483"/>
      <c r="AH28" s="688">
        <f>MIN(CampList[[#This Row],[Shelter Gap]],CampList[[#This Row],[Land Status]])</f>
        <v>1</v>
      </c>
      <c r="AI28" s="714" t="str">
        <f ca="1">IFERROR(OFFSET(DistanceToCamp[Nearest Town],MATCH(CampList[[#This Row],[CP_Pcode]],DistanceToCamp[CP_Pcode],0)-1,0,1,1),"")</f>
        <v>Myitkyina Town</v>
      </c>
      <c r="AJ28" s="697">
        <f ca="1">IFERROR(OFFSET(DistanceToCamp[distance],MATCH(CampList[[#This Row],[CP_Pcode]],DistanceToCamp[CP_Pcode],0)-1,0,1,1),"")</f>
        <v>4.037940696665812</v>
      </c>
      <c r="AK28" s="715">
        <f ca="1">IFERROR(INT(CampList[[#This Row],[Distance]]/5)+1,"")</f>
        <v>1</v>
      </c>
    </row>
    <row r="29" spans="1:37" s="445" customFormat="1" ht="15.75" customHeight="1" x14ac:dyDescent="0.25">
      <c r="A29" s="717" t="s">
        <v>500</v>
      </c>
      <c r="B29" s="662" t="s">
        <v>380</v>
      </c>
      <c r="C29" s="662" t="s">
        <v>525</v>
      </c>
      <c r="D29" s="662" t="s">
        <v>237</v>
      </c>
      <c r="E29" s="662" t="s">
        <v>531</v>
      </c>
      <c r="F29" s="662" t="s">
        <v>310</v>
      </c>
      <c r="G29" s="662" t="s">
        <v>532</v>
      </c>
      <c r="H29" s="662" t="s">
        <v>695</v>
      </c>
      <c r="I29" s="662" t="s">
        <v>696</v>
      </c>
      <c r="J29" s="662" t="s">
        <v>716</v>
      </c>
      <c r="K29" s="662" t="s">
        <v>717</v>
      </c>
      <c r="L29" s="662" t="s">
        <v>342</v>
      </c>
      <c r="M29" s="662" t="s">
        <v>341</v>
      </c>
      <c r="N29" s="687">
        <v>97.438432380952406</v>
      </c>
      <c r="O29" s="687">
        <v>25.351724999999998</v>
      </c>
      <c r="P29" s="688">
        <v>0</v>
      </c>
      <c r="Q29" s="689">
        <v>31</v>
      </c>
      <c r="R29" s="689">
        <v>170</v>
      </c>
      <c r="S29" s="690">
        <f>IF(CampList[[#This Row],[HH]]&gt;0,CampList[[#This Row],[Total]]/CampList[[#This Row],[HH]],"NA")</f>
        <v>5.4838709677419351</v>
      </c>
      <c r="T29" s="664" t="s">
        <v>511</v>
      </c>
      <c r="U29" s="664" t="s">
        <v>1191</v>
      </c>
      <c r="V29" s="664" t="s">
        <v>554</v>
      </c>
      <c r="W29" s="664" t="s">
        <v>803</v>
      </c>
      <c r="X29" s="691">
        <v>40695</v>
      </c>
      <c r="Y29" s="692">
        <v>2</v>
      </c>
      <c r="Z29" s="691" t="s">
        <v>460</v>
      </c>
      <c r="AA29" s="693" t="s">
        <v>842</v>
      </c>
      <c r="AB29" s="693"/>
      <c r="AC29" s="694">
        <v>42745</v>
      </c>
      <c r="AD29" s="695" t="s">
        <v>1512</v>
      </c>
      <c r="AE29" s="696" t="s">
        <v>1093</v>
      </c>
      <c r="AF29" s="483">
        <f>IF(CampList[[#This Row],[Type of Accomodation]]="camp",MAX(0,CampList[[#This Row],[HH]]-SUMIF(Table_Shelter[Pcode],CampList[[#This Row],[CP_Pcode]],Table_Shelter[HH Covered])),0)</f>
        <v>0</v>
      </c>
      <c r="AG29" s="483"/>
      <c r="AH29" s="693">
        <f>MIN(CampList[[#This Row],[Shelter Gap]],CampList[[#This Row],[Land Status]])</f>
        <v>0</v>
      </c>
      <c r="AI29" s="664" t="str">
        <f ca="1">IFERROR(OFFSET(DistanceToCamp[Nearest Town],MATCH(CampList[[#This Row],[CP_Pcode]],DistanceToCamp[CP_Pcode],0)-1,0,1,1),"")</f>
        <v>Waingmaw Town</v>
      </c>
      <c r="AJ29" s="697">
        <f ca="1">IFERROR(OFFSET(DistanceToCamp[distance],MATCH(CampList[[#This Row],[CP_Pcode]],DistanceToCamp[CP_Pcode],0)-1,0,1,1),"")</f>
        <v>0.4474205416025816</v>
      </c>
      <c r="AK29" s="698">
        <f ca="1">IFERROR(INT(CampList[[#This Row],[Distance]]/5)+1,"")</f>
        <v>1</v>
      </c>
    </row>
    <row r="30" spans="1:37" s="445" customFormat="1" ht="15.75" customHeight="1" x14ac:dyDescent="0.25">
      <c r="A30" s="717" t="s">
        <v>500</v>
      </c>
      <c r="B30" s="662" t="s">
        <v>380</v>
      </c>
      <c r="C30" s="662" t="s">
        <v>525</v>
      </c>
      <c r="D30" s="662" t="s">
        <v>237</v>
      </c>
      <c r="E30" s="662" t="s">
        <v>531</v>
      </c>
      <c r="F30" s="662" t="s">
        <v>310</v>
      </c>
      <c r="G30" s="662" t="s">
        <v>532</v>
      </c>
      <c r="H30" s="662" t="s">
        <v>695</v>
      </c>
      <c r="I30" s="662" t="s">
        <v>696</v>
      </c>
      <c r="J30" s="662" t="s">
        <v>697</v>
      </c>
      <c r="K30" s="662" t="s">
        <v>698</v>
      </c>
      <c r="L30" s="662" t="s">
        <v>351</v>
      </c>
      <c r="M30" s="662" t="s">
        <v>350</v>
      </c>
      <c r="N30" s="687">
        <v>97.432495000000003</v>
      </c>
      <c r="O30" s="687">
        <v>25.350809000000002</v>
      </c>
      <c r="P30" s="688">
        <v>0</v>
      </c>
      <c r="Q30" s="57">
        <v>87</v>
      </c>
      <c r="R30" s="98">
        <v>479</v>
      </c>
      <c r="S30" s="690">
        <f>IF(CampList[[#This Row],[HH]]&gt;0,CampList[[#This Row],[Total]]/CampList[[#This Row],[HH]],"NA")</f>
        <v>5.5057471264367814</v>
      </c>
      <c r="T30" s="664" t="s">
        <v>511</v>
      </c>
      <c r="U30" s="664" t="s">
        <v>1191</v>
      </c>
      <c r="V30" s="664" t="s">
        <v>554</v>
      </c>
      <c r="W30" s="664" t="s">
        <v>803</v>
      </c>
      <c r="X30" s="691">
        <v>40940</v>
      </c>
      <c r="Y30" s="692">
        <v>1</v>
      </c>
      <c r="Z30" s="691" t="s">
        <v>505</v>
      </c>
      <c r="AA30" s="693" t="s">
        <v>842</v>
      </c>
      <c r="AB30" s="693"/>
      <c r="AC30" s="694">
        <v>42745</v>
      </c>
      <c r="AD30" s="695" t="s">
        <v>1580</v>
      </c>
      <c r="AE30" s="696" t="s">
        <v>1093</v>
      </c>
      <c r="AF30" s="483">
        <f>IF(CampList[[#This Row],[Type of Accomodation]]="camp",MAX(0,CampList[[#This Row],[HH]]-SUMIF(Table_Shelter[Pcode],CampList[[#This Row],[CP_Pcode]],Table_Shelter[HH Covered])),0)</f>
        <v>0</v>
      </c>
      <c r="AG30" s="483"/>
      <c r="AH30" s="693">
        <f>MIN(CampList[[#This Row],[Shelter Gap]],CampList[[#This Row],[Land Status]])</f>
        <v>0</v>
      </c>
      <c r="AI30" s="664" t="str">
        <f ca="1">IFERROR(OFFSET(DistanceToCamp[Nearest Town],MATCH(CampList[[#This Row],[CP_Pcode]],DistanceToCamp[CP_Pcode],0)-1,0,1,1),"")</f>
        <v>Waingmaw Town</v>
      </c>
      <c r="AJ30" s="697">
        <f ca="1">IFERROR(OFFSET(DistanceToCamp[distance],MATCH(CampList[[#This Row],[CP_Pcode]],DistanceToCamp[CP_Pcode],0)-1,0,1,1),"")</f>
        <v>1.0367202051285227</v>
      </c>
      <c r="AK30" s="698">
        <f ca="1">IFERROR(INT(CampList[[#This Row],[Distance]]/5)+1,"")</f>
        <v>1</v>
      </c>
    </row>
    <row r="31" spans="1:37" s="445" customFormat="1" ht="15.75" customHeight="1" x14ac:dyDescent="0.25">
      <c r="A31" s="717" t="s">
        <v>500</v>
      </c>
      <c r="B31" s="662" t="s">
        <v>380</v>
      </c>
      <c r="C31" s="662" t="s">
        <v>525</v>
      </c>
      <c r="D31" s="662" t="s">
        <v>237</v>
      </c>
      <c r="E31" s="662" t="s">
        <v>531</v>
      </c>
      <c r="F31" s="662" t="s">
        <v>310</v>
      </c>
      <c r="G31" s="662" t="s">
        <v>532</v>
      </c>
      <c r="H31" s="662" t="s">
        <v>719</v>
      </c>
      <c r="I31" s="662" t="s">
        <v>720</v>
      </c>
      <c r="J31" s="662" t="s">
        <v>721</v>
      </c>
      <c r="K31" s="662">
        <v>165730</v>
      </c>
      <c r="L31" s="662" t="s">
        <v>320</v>
      </c>
      <c r="M31" s="662" t="s">
        <v>319</v>
      </c>
      <c r="N31" s="687">
        <v>97.451965000000001</v>
      </c>
      <c r="O31" s="687">
        <v>25.356632000000001</v>
      </c>
      <c r="P31" s="688">
        <v>0</v>
      </c>
      <c r="Q31" s="689">
        <v>30</v>
      </c>
      <c r="R31" s="689">
        <v>113</v>
      </c>
      <c r="S31" s="690">
        <f>IF(CampList[[#This Row],[HH]]&gt;0,CampList[[#This Row],[Total]]/CampList[[#This Row],[HH]],"NA")</f>
        <v>3.7666666666666666</v>
      </c>
      <c r="T31" s="664" t="s">
        <v>511</v>
      </c>
      <c r="U31" s="664" t="s">
        <v>1191</v>
      </c>
      <c r="V31" s="664" t="s">
        <v>554</v>
      </c>
      <c r="W31" s="664" t="s">
        <v>803</v>
      </c>
      <c r="X31" s="691">
        <v>41030</v>
      </c>
      <c r="Y31" s="692">
        <v>1</v>
      </c>
      <c r="Z31" s="691" t="s">
        <v>460</v>
      </c>
      <c r="AA31" s="704" t="s">
        <v>842</v>
      </c>
      <c r="AB31" s="693"/>
      <c r="AC31" s="694">
        <v>42745</v>
      </c>
      <c r="AD31" s="686" t="s">
        <v>1491</v>
      </c>
      <c r="AE31" s="696" t="s">
        <v>1093</v>
      </c>
      <c r="AF31" s="483">
        <f>IF(CampList[[#This Row],[Type of Accomodation]]="camp",MAX(0,CampList[[#This Row],[HH]]-SUMIF(Table_Shelter[Pcode],CampList[[#This Row],[CP_Pcode]],Table_Shelter[HH Covered])),0)</f>
        <v>5</v>
      </c>
      <c r="AG31" s="664"/>
      <c r="AH31" s="693">
        <f>MIN(CampList[[#This Row],[Shelter Gap]],CampList[[#This Row],[Land Status]])</f>
        <v>5</v>
      </c>
      <c r="AI31" s="664" t="str">
        <f ca="1">IFERROR(OFFSET(DistanceToCamp[Nearest Town],MATCH(CampList[[#This Row],[CP_Pcode]],DistanceToCamp[CP_Pcode],0)-1,0,1,1),"")</f>
        <v>Waingmaw Town</v>
      </c>
      <c r="AJ31" s="697">
        <f ca="1">IFERROR(OFFSET(DistanceToCamp[distance],MATCH(CampList[[#This Row],[CP_Pcode]],DistanceToCamp[CP_Pcode],0)-1,0,1,1),"")</f>
        <v>1.1134935940025397</v>
      </c>
      <c r="AK31" s="698">
        <f ca="1">IFERROR(INT(CampList[[#This Row],[Distance]]/5)+1,"")</f>
        <v>1</v>
      </c>
    </row>
    <row r="32" spans="1:37" s="445" customFormat="1" ht="15.75" customHeight="1" x14ac:dyDescent="0.25">
      <c r="A32" s="717" t="s">
        <v>500</v>
      </c>
      <c r="B32" s="662" t="s">
        <v>380</v>
      </c>
      <c r="C32" s="662" t="s">
        <v>525</v>
      </c>
      <c r="D32" s="662" t="s">
        <v>237</v>
      </c>
      <c r="E32" s="662" t="s">
        <v>531</v>
      </c>
      <c r="F32" s="662" t="s">
        <v>310</v>
      </c>
      <c r="G32" s="662" t="s">
        <v>532</v>
      </c>
      <c r="H32" s="662" t="s">
        <v>624</v>
      </c>
      <c r="I32" s="662" t="s">
        <v>625</v>
      </c>
      <c r="J32" s="662" t="s">
        <v>624</v>
      </c>
      <c r="K32" s="662">
        <v>165735</v>
      </c>
      <c r="L32" s="662" t="s">
        <v>313</v>
      </c>
      <c r="M32" s="662" t="s">
        <v>312</v>
      </c>
      <c r="N32" s="687">
        <v>97.404195925926004</v>
      </c>
      <c r="O32" s="687">
        <v>25.321710740740698</v>
      </c>
      <c r="P32" s="688">
        <v>0</v>
      </c>
      <c r="Q32" s="57">
        <v>99</v>
      </c>
      <c r="R32" s="98">
        <v>472</v>
      </c>
      <c r="S32" s="690">
        <f>IF(CampList[[#This Row],[HH]]&gt;0,CampList[[#This Row],[Total]]/CampList[[#This Row],[HH]],"NA")</f>
        <v>4.7676767676767673</v>
      </c>
      <c r="T32" s="664" t="s">
        <v>511</v>
      </c>
      <c r="U32" s="664" t="s">
        <v>1191</v>
      </c>
      <c r="V32" s="664" t="s">
        <v>554</v>
      </c>
      <c r="W32" s="664" t="s">
        <v>856</v>
      </c>
      <c r="X32" s="691">
        <v>40695</v>
      </c>
      <c r="Y32" s="692">
        <v>2</v>
      </c>
      <c r="Z32" s="691" t="s">
        <v>505</v>
      </c>
      <c r="AA32" s="704" t="s">
        <v>842</v>
      </c>
      <c r="AB32" s="693"/>
      <c r="AC32" s="694">
        <v>42745</v>
      </c>
      <c r="AD32" s="686" t="s">
        <v>1566</v>
      </c>
      <c r="AE32" s="696" t="s">
        <v>1093</v>
      </c>
      <c r="AF32" s="483">
        <f>IF(CampList[[#This Row],[Type of Accomodation]]="camp",MAX(0,CampList[[#This Row],[HH]]-SUMIF(Table_Shelter[Pcode],CampList[[#This Row],[CP_Pcode]],Table_Shelter[HH Covered])),0)</f>
        <v>0</v>
      </c>
      <c r="AG32" s="664"/>
      <c r="AH32" s="693">
        <f>MIN(CampList[[#This Row],[Shelter Gap]],CampList[[#This Row],[Land Status]])</f>
        <v>0</v>
      </c>
      <c r="AI32" s="664" t="str">
        <f ca="1">IFERROR(OFFSET(DistanceToCamp[Nearest Town],MATCH(CampList[[#This Row],[CP_Pcode]],DistanceToCamp[CP_Pcode],0)-1,0,1,1),"")</f>
        <v>Waingmaw Town</v>
      </c>
      <c r="AJ32" s="697">
        <f ca="1">IFERROR(OFFSET(DistanceToCamp[distance],MATCH(CampList[[#This Row],[CP_Pcode]],DistanceToCamp[CP_Pcode],0)-1,0,1,1),"")</f>
        <v>5.0655036329811631</v>
      </c>
      <c r="AK32" s="698">
        <f ca="1">IFERROR(INT(CampList[[#This Row],[Distance]]/5)+1,"")</f>
        <v>2</v>
      </c>
    </row>
    <row r="33" spans="1:37" s="445" customFormat="1" ht="15.75" customHeight="1" x14ac:dyDescent="0.25">
      <c r="A33" s="722" t="s">
        <v>500</v>
      </c>
      <c r="B33" s="663" t="s">
        <v>380</v>
      </c>
      <c r="C33" s="663" t="s">
        <v>525</v>
      </c>
      <c r="D33" s="663" t="s">
        <v>237</v>
      </c>
      <c r="E33" s="663" t="s">
        <v>531</v>
      </c>
      <c r="F33" s="663" t="s">
        <v>310</v>
      </c>
      <c r="G33" s="663" t="s">
        <v>532</v>
      </c>
      <c r="H33" s="663" t="s">
        <v>693</v>
      </c>
      <c r="I33" s="709" t="s">
        <v>694</v>
      </c>
      <c r="J33" s="663" t="s">
        <v>693</v>
      </c>
      <c r="K33" s="663">
        <v>165740</v>
      </c>
      <c r="L33" s="663" t="s">
        <v>330</v>
      </c>
      <c r="M33" s="663" t="s">
        <v>329</v>
      </c>
      <c r="N33" s="689">
        <v>97.437782499999997</v>
      </c>
      <c r="O33" s="689">
        <v>25.415667500000001</v>
      </c>
      <c r="P33" s="711"/>
      <c r="Q33" s="689">
        <v>223</v>
      </c>
      <c r="R33" s="711">
        <v>1228</v>
      </c>
      <c r="S33" s="690">
        <f>IF(CampList[[#This Row],[HH]]&gt;0,CampList[[#This Row],[Total]]/CampList[[#This Row],[HH]],"NA")</f>
        <v>5.506726457399103</v>
      </c>
      <c r="T33" s="483" t="s">
        <v>511</v>
      </c>
      <c r="U33" s="664" t="s">
        <v>1191</v>
      </c>
      <c r="V33" s="483" t="s">
        <v>554</v>
      </c>
      <c r="W33" s="483" t="s">
        <v>803</v>
      </c>
      <c r="X33" s="712">
        <v>41426</v>
      </c>
      <c r="Y33" s="711">
        <v>4</v>
      </c>
      <c r="Z33" s="711" t="s">
        <v>1090</v>
      </c>
      <c r="AA33" s="689" t="s">
        <v>842</v>
      </c>
      <c r="AB33" s="689"/>
      <c r="AC33" s="694">
        <v>42745</v>
      </c>
      <c r="AD33" s="713" t="s">
        <v>1547</v>
      </c>
      <c r="AE33" s="696" t="s">
        <v>1093</v>
      </c>
      <c r="AF33" s="714">
        <f>IF(CampList[[#This Row],[Type of Accomodation]]="camp",MAX(0,CampList[[#This Row],[HH]]-SUMIF(Table_Shelter[Pcode],CampList[[#This Row],[CP_Pcode]],Table_Shelter[HH Covered])),0)</f>
        <v>13</v>
      </c>
      <c r="AG33" s="483"/>
      <c r="AH33" s="688">
        <f>MIN(CampList[[#This Row],[Shelter Gap]],CampList[[#This Row],[Land Status]])</f>
        <v>13</v>
      </c>
      <c r="AI33" s="714" t="str">
        <f ca="1">IFERROR(OFFSET(DistanceToCamp[Nearest Town],MATCH(CampList[[#This Row],[CP_Pcode]],DistanceToCamp[CP_Pcode],0)-1,0,1,1),"")</f>
        <v>Myitkyina Town</v>
      </c>
      <c r="AJ33" s="697">
        <f ca="1">IFERROR(OFFSET(DistanceToCamp[distance],MATCH(CampList[[#This Row],[CP_Pcode]],DistanceToCamp[CP_Pcode],0)-1,0,1,1),"")</f>
        <v>5.7019834469756479</v>
      </c>
      <c r="AK33" s="715">
        <f ca="1">IFERROR(INT(CampList[[#This Row],[Distance]]/5)+1,"")</f>
        <v>2</v>
      </c>
    </row>
    <row r="34" spans="1:37" s="445" customFormat="1" ht="15.75" customHeight="1" x14ac:dyDescent="0.25">
      <c r="A34" s="717" t="s">
        <v>500</v>
      </c>
      <c r="B34" s="662" t="s">
        <v>380</v>
      </c>
      <c r="C34" s="662" t="s">
        <v>525</v>
      </c>
      <c r="D34" s="662" t="s">
        <v>237</v>
      </c>
      <c r="E34" s="662" t="s">
        <v>531</v>
      </c>
      <c r="F34" s="662" t="s">
        <v>310</v>
      </c>
      <c r="G34" s="662" t="s">
        <v>532</v>
      </c>
      <c r="H34" s="662" t="s">
        <v>695</v>
      </c>
      <c r="I34" s="662" t="s">
        <v>696</v>
      </c>
      <c r="J34" s="662" t="s">
        <v>714</v>
      </c>
      <c r="K34" s="662" t="s">
        <v>715</v>
      </c>
      <c r="L34" s="662" t="s">
        <v>338</v>
      </c>
      <c r="M34" s="662" t="s">
        <v>337</v>
      </c>
      <c r="N34" s="687">
        <v>97.437472666666693</v>
      </c>
      <c r="O34" s="687">
        <v>25.345918166666699</v>
      </c>
      <c r="P34" s="688"/>
      <c r="Q34" s="57">
        <v>31</v>
      </c>
      <c r="R34" s="98">
        <v>172</v>
      </c>
      <c r="S34" s="690">
        <f>IF(CampList[[#This Row],[HH]]&gt;0,CampList[[#This Row],[Total]]/CampList[[#This Row],[HH]],"NA")</f>
        <v>5.5483870967741939</v>
      </c>
      <c r="T34" s="664" t="s">
        <v>511</v>
      </c>
      <c r="U34" s="664" t="s">
        <v>1191</v>
      </c>
      <c r="V34" s="664" t="s">
        <v>554</v>
      </c>
      <c r="W34" s="664" t="s">
        <v>803</v>
      </c>
      <c r="X34" s="691">
        <v>40695</v>
      </c>
      <c r="Y34" s="692">
        <v>1</v>
      </c>
      <c r="Z34" s="691" t="s">
        <v>505</v>
      </c>
      <c r="AA34" s="693" t="s">
        <v>842</v>
      </c>
      <c r="AB34" s="693"/>
      <c r="AC34" s="694">
        <v>42745</v>
      </c>
      <c r="AD34" s="695" t="s">
        <v>1574</v>
      </c>
      <c r="AE34" s="696" t="s">
        <v>1093</v>
      </c>
      <c r="AF34" s="483">
        <f>IF(CampList[[#This Row],[Type of Accomodation]]="camp",MAX(0,CampList[[#This Row],[HH]]-SUMIF(Table_Shelter[Pcode],CampList[[#This Row],[CP_Pcode]],Table_Shelter[HH Covered])),0)</f>
        <v>0</v>
      </c>
      <c r="AG34" s="483"/>
      <c r="AH34" s="693">
        <f>MIN(CampList[[#This Row],[Shelter Gap]],CampList[[#This Row],[Land Status]])</f>
        <v>0</v>
      </c>
      <c r="AI34" s="664" t="str">
        <f ca="1">IFERROR(OFFSET(DistanceToCamp[Nearest Town],MATCH(CampList[[#This Row],[CP_Pcode]],DistanceToCamp[CP_Pcode],0)-1,0,1,1),"")</f>
        <v>Waingmaw Town</v>
      </c>
      <c r="AJ34" s="697">
        <f ca="1">IFERROR(OFFSET(DistanceToCamp[distance],MATCH(CampList[[#This Row],[CP_Pcode]],DistanceToCamp[CP_Pcode],0)-1,0,1,1),"")</f>
        <v>0.77827912736780092</v>
      </c>
      <c r="AK34" s="698">
        <f ca="1">IFERROR(INT(CampList[[#This Row],[Distance]]/5)+1,"")</f>
        <v>1</v>
      </c>
    </row>
    <row r="35" spans="1:37" s="445" customFormat="1" ht="15.75" customHeight="1" x14ac:dyDescent="0.25">
      <c r="A35" s="717" t="s">
        <v>500</v>
      </c>
      <c r="B35" s="662" t="s">
        <v>380</v>
      </c>
      <c r="C35" s="662" t="s">
        <v>525</v>
      </c>
      <c r="D35" s="662" t="s">
        <v>237</v>
      </c>
      <c r="E35" s="662" t="s">
        <v>531</v>
      </c>
      <c r="F35" s="662" t="s">
        <v>310</v>
      </c>
      <c r="G35" s="662" t="s">
        <v>532</v>
      </c>
      <c r="H35" s="662" t="s">
        <v>693</v>
      </c>
      <c r="I35" s="662" t="s">
        <v>694</v>
      </c>
      <c r="J35" s="662" t="s">
        <v>693</v>
      </c>
      <c r="K35" s="662">
        <v>165740</v>
      </c>
      <c r="L35" s="662" t="s">
        <v>328</v>
      </c>
      <c r="M35" s="662" t="s">
        <v>327</v>
      </c>
      <c r="N35" s="687">
        <v>97.433419259259296</v>
      </c>
      <c r="O35" s="687">
        <v>25.424529444444399</v>
      </c>
      <c r="P35" s="688">
        <v>0</v>
      </c>
      <c r="Q35" s="57">
        <v>149</v>
      </c>
      <c r="R35" s="98">
        <v>841</v>
      </c>
      <c r="S35" s="690">
        <f>IF(CampList[[#This Row],[HH]]&gt;0,CampList[[#This Row],[Total]]/CampList[[#This Row],[HH]],"NA")</f>
        <v>5.6442953020134228</v>
      </c>
      <c r="T35" s="664" t="s">
        <v>511</v>
      </c>
      <c r="U35" s="664" t="s">
        <v>1191</v>
      </c>
      <c r="V35" s="664" t="s">
        <v>554</v>
      </c>
      <c r="W35" s="664" t="s">
        <v>856</v>
      </c>
      <c r="X35" s="691">
        <v>41456</v>
      </c>
      <c r="Y35" s="692">
        <v>1</v>
      </c>
      <c r="Z35" s="691" t="s">
        <v>505</v>
      </c>
      <c r="AA35" s="704" t="s">
        <v>842</v>
      </c>
      <c r="AB35" s="693"/>
      <c r="AC35" s="694">
        <v>42745</v>
      </c>
      <c r="AD35" s="686" t="s">
        <v>1572</v>
      </c>
      <c r="AE35" s="696" t="s">
        <v>1093</v>
      </c>
      <c r="AF35" s="483">
        <f>IF(CampList[[#This Row],[Type of Accomodation]]="camp",MAX(0,CampList[[#This Row],[HH]]-SUMIF(Table_Shelter[Pcode],CampList[[#This Row],[CP_Pcode]],Table_Shelter[HH Covered])),0)</f>
        <v>42</v>
      </c>
      <c r="AG35" s="483"/>
      <c r="AH35" s="693">
        <f>MIN(CampList[[#This Row],[Shelter Gap]],CampList[[#This Row],[Land Status]])</f>
        <v>42</v>
      </c>
      <c r="AI35" s="664" t="str">
        <f ca="1">IFERROR(OFFSET(DistanceToCamp[Nearest Town],MATCH(CampList[[#This Row],[CP_Pcode]],DistanceToCamp[CP_Pcode],0)-1,0,1,1),"")</f>
        <v>Myitkyina Town</v>
      </c>
      <c r="AJ35" s="697">
        <f ca="1">IFERROR(OFFSET(DistanceToCamp[distance],MATCH(CampList[[#This Row],[CP_Pcode]],DistanceToCamp[CP_Pcode],0)-1,0,1,1),"")</f>
        <v>5.9727739497559158</v>
      </c>
      <c r="AK35" s="698">
        <f ca="1">IFERROR(INT(CampList[[#This Row],[Distance]]/5)+1,"")</f>
        <v>2</v>
      </c>
    </row>
    <row r="36" spans="1:37" s="445" customFormat="1" ht="15.75" customHeight="1" x14ac:dyDescent="0.25">
      <c r="A36" s="717" t="s">
        <v>500</v>
      </c>
      <c r="B36" s="662" t="s">
        <v>380</v>
      </c>
      <c r="C36" s="662" t="s">
        <v>525</v>
      </c>
      <c r="D36" s="662" t="s">
        <v>237</v>
      </c>
      <c r="E36" s="662" t="s">
        <v>531</v>
      </c>
      <c r="F36" s="662" t="s">
        <v>310</v>
      </c>
      <c r="G36" s="662" t="s">
        <v>532</v>
      </c>
      <c r="H36" s="662" t="s">
        <v>695</v>
      </c>
      <c r="I36" s="662" t="s">
        <v>696</v>
      </c>
      <c r="J36" s="662" t="s">
        <v>716</v>
      </c>
      <c r="K36" s="662" t="s">
        <v>717</v>
      </c>
      <c r="L36" s="662" t="s">
        <v>318</v>
      </c>
      <c r="M36" s="662" t="s">
        <v>317</v>
      </c>
      <c r="N36" s="687">
        <v>97.441166388888902</v>
      </c>
      <c r="O36" s="687">
        <v>25.3540362037037</v>
      </c>
      <c r="P36" s="688">
        <v>0</v>
      </c>
      <c r="Q36" s="57">
        <v>91</v>
      </c>
      <c r="R36" s="98">
        <v>329</v>
      </c>
      <c r="S36" s="690">
        <f>IF(CampList[[#This Row],[HH]]&gt;0,CampList[[#This Row],[Total]]/CampList[[#This Row],[HH]],"NA")</f>
        <v>3.6153846153846154</v>
      </c>
      <c r="T36" s="664" t="s">
        <v>511</v>
      </c>
      <c r="U36" s="664" t="s">
        <v>1191</v>
      </c>
      <c r="V36" s="664" t="s">
        <v>554</v>
      </c>
      <c r="W36" s="664" t="s">
        <v>803</v>
      </c>
      <c r="X36" s="691">
        <v>40725</v>
      </c>
      <c r="Y36" s="692">
        <v>2</v>
      </c>
      <c r="Z36" s="691" t="s">
        <v>505</v>
      </c>
      <c r="AA36" s="693" t="s">
        <v>842</v>
      </c>
      <c r="AB36" s="693"/>
      <c r="AC36" s="694">
        <v>42745</v>
      </c>
      <c r="AD36" s="695" t="s">
        <v>1579</v>
      </c>
      <c r="AE36" s="696" t="s">
        <v>1093</v>
      </c>
      <c r="AF36" s="483">
        <f>IF(CampList[[#This Row],[Type of Accomodation]]="camp",MAX(0,CampList[[#This Row],[HH]]-SUMIF(Table_Shelter[Pcode],CampList[[#This Row],[CP_Pcode]],Table_Shelter[HH Covered])),0)</f>
        <v>0</v>
      </c>
      <c r="AG36" s="483"/>
      <c r="AH36" s="693">
        <f>MIN(CampList[[#This Row],[Shelter Gap]],CampList[[#This Row],[Land Status]])</f>
        <v>0</v>
      </c>
      <c r="AI36" s="664" t="str">
        <f ca="1">IFERROR(OFFSET(DistanceToCamp[Nearest Town],MATCH(CampList[[#This Row],[CP_Pcode]],DistanceToCamp[CP_Pcode],0)-1,0,1,1),"")</f>
        <v>Waingmaw Town</v>
      </c>
      <c r="AJ36" s="697">
        <f ca="1">IFERROR(OFFSET(DistanceToCamp[distance],MATCH(CampList[[#This Row],[CP_Pcode]],DistanceToCamp[CP_Pcode],0)-1,0,1,1),"")</f>
        <v>0.37684287609457234</v>
      </c>
      <c r="AK36" s="698">
        <f ca="1">IFERROR(INT(CampList[[#This Row],[Distance]]/5)+1,"")</f>
        <v>1</v>
      </c>
    </row>
    <row r="37" spans="1:37" s="445" customFormat="1" ht="15.75" customHeight="1" x14ac:dyDescent="0.25">
      <c r="A37" s="717" t="s">
        <v>500</v>
      </c>
      <c r="B37" s="662" t="s">
        <v>380</v>
      </c>
      <c r="C37" s="662" t="s">
        <v>525</v>
      </c>
      <c r="D37" s="662" t="s">
        <v>237</v>
      </c>
      <c r="E37" s="662" t="s">
        <v>531</v>
      </c>
      <c r="F37" s="662" t="s">
        <v>310</v>
      </c>
      <c r="G37" s="662" t="s">
        <v>532</v>
      </c>
      <c r="H37" s="662" t="s">
        <v>1132</v>
      </c>
      <c r="I37" s="662" t="s">
        <v>1251</v>
      </c>
      <c r="J37" s="662" t="s">
        <v>666</v>
      </c>
      <c r="K37" s="662">
        <v>165745</v>
      </c>
      <c r="L37" s="662" t="s">
        <v>344</v>
      </c>
      <c r="M37" s="662" t="s">
        <v>343</v>
      </c>
      <c r="N37" s="687">
        <v>97.345039</v>
      </c>
      <c r="O37" s="687">
        <v>25.351965</v>
      </c>
      <c r="P37" s="688"/>
      <c r="Q37" s="57">
        <v>18</v>
      </c>
      <c r="R37" s="98">
        <v>82</v>
      </c>
      <c r="S37" s="690">
        <f>IF(CampList[[#This Row],[HH]]&gt;0,CampList[[#This Row],[Total]]/CampList[[#This Row],[HH]],"NA")</f>
        <v>4.5555555555555554</v>
      </c>
      <c r="T37" s="664" t="s">
        <v>511</v>
      </c>
      <c r="U37" s="664" t="s">
        <v>1191</v>
      </c>
      <c r="V37" s="664" t="s">
        <v>554</v>
      </c>
      <c r="W37" s="664" t="s">
        <v>856</v>
      </c>
      <c r="X37" s="691">
        <v>41030</v>
      </c>
      <c r="Y37" s="692">
        <v>1</v>
      </c>
      <c r="Z37" s="691" t="s">
        <v>505</v>
      </c>
      <c r="AA37" s="693" t="s">
        <v>842</v>
      </c>
      <c r="AB37" s="693"/>
      <c r="AC37" s="694">
        <v>42745</v>
      </c>
      <c r="AD37" s="695" t="s">
        <v>1578</v>
      </c>
      <c r="AE37" s="696" t="s">
        <v>1093</v>
      </c>
      <c r="AF37" s="483">
        <f>IF(CampList[[#This Row],[Type of Accomodation]]="camp",MAX(0,CampList[[#This Row],[HH]]-SUMIF(Table_Shelter[Pcode],CampList[[#This Row],[CP_Pcode]],Table_Shelter[HH Covered])),0)</f>
        <v>0</v>
      </c>
      <c r="AG37" s="664"/>
      <c r="AH37" s="693">
        <f>MIN(CampList[[#This Row],[Shelter Gap]],CampList[[#This Row],[Land Status]])</f>
        <v>0</v>
      </c>
      <c r="AI37" s="664" t="str">
        <f ca="1">IFERROR(OFFSET(DistanceToCamp[Nearest Town],MATCH(CampList[[#This Row],[CP_Pcode]],DistanceToCamp[CP_Pcode],0)-1,0,1,1),"")</f>
        <v>Myitkyina Town</v>
      </c>
      <c r="AJ37" s="697">
        <f ca="1">IFERROR(OFFSET(DistanceToCamp[distance],MATCH(CampList[[#This Row],[CP_Pcode]],DistanceToCamp[CP_Pcode],0)-1,0,1,1),"")</f>
        <v>6.0275881703713861</v>
      </c>
      <c r="AK37" s="698">
        <f ca="1">IFERROR(INT(CampList[[#This Row],[Distance]]/5)+1,"")</f>
        <v>2</v>
      </c>
    </row>
    <row r="38" spans="1:37" s="445" customFormat="1" ht="15.75" hidden="1" customHeight="1" x14ac:dyDescent="0.25">
      <c r="A38" s="686" t="s">
        <v>843</v>
      </c>
      <c r="B38" s="662" t="s">
        <v>380</v>
      </c>
      <c r="C38" s="662" t="s">
        <v>525</v>
      </c>
      <c r="D38" s="662" t="s">
        <v>237</v>
      </c>
      <c r="E38" s="662" t="s">
        <v>531</v>
      </c>
      <c r="F38" s="662" t="s">
        <v>310</v>
      </c>
      <c r="G38" s="662" t="s">
        <v>532</v>
      </c>
      <c r="H38" s="695" t="s">
        <v>749</v>
      </c>
      <c r="I38" s="695" t="s">
        <v>750</v>
      </c>
      <c r="J38" s="695" t="s">
        <v>749</v>
      </c>
      <c r="K38" s="695">
        <v>165750</v>
      </c>
      <c r="L38" s="662" t="s">
        <v>1247</v>
      </c>
      <c r="M38" s="662" t="s">
        <v>360</v>
      </c>
      <c r="N38" s="687"/>
      <c r="O38" s="687"/>
      <c r="P38" s="711"/>
      <c r="Q38" s="705">
        <v>0</v>
      </c>
      <c r="R38" s="706">
        <v>0</v>
      </c>
      <c r="S38" s="690" t="str">
        <f>IF(CampList[[#This Row],[HH]]&gt;0,CampList[[#This Row],[Total]]/CampList[[#This Row],[HH]],"NA")</f>
        <v>NA</v>
      </c>
      <c r="T38" s="664" t="s">
        <v>511</v>
      </c>
      <c r="U38" s="699" t="s">
        <v>1191</v>
      </c>
      <c r="V38" s="664" t="s">
        <v>554</v>
      </c>
      <c r="W38" s="699"/>
      <c r="X38" s="719"/>
      <c r="Y38" s="710"/>
      <c r="Z38" s="720"/>
      <c r="AA38" s="704"/>
      <c r="AB38" s="693"/>
      <c r="AC38" s="723"/>
      <c r="AD38" s="686" t="s">
        <v>601</v>
      </c>
      <c r="AE38" s="721" t="s">
        <v>1007</v>
      </c>
      <c r="AF38" s="483">
        <f>IF(CampList[[#This Row],[Type of Accomodation]]="camp",MAX(0,CampList[[#This Row],[HH]]-SUMIF(Table_Shelter[Pcode],CampList[[#This Row],[CP_Pcode]],Table_Shelter[HH Covered])),0)</f>
        <v>0</v>
      </c>
      <c r="AG38" s="664"/>
      <c r="AH38" s="693">
        <f>MIN(CampList[[#This Row],[Shelter Gap]],CampList[[#This Row],[Land Status]])</f>
        <v>0</v>
      </c>
      <c r="AI38" s="664" t="str">
        <f ca="1">IFERROR(OFFSET(DistanceToCamp[Nearest Town],MATCH(CampList[[#This Row],[CP_Pcode]],DistanceToCamp[CP_Pcode],0)-1,0,1,1),"")</f>
        <v/>
      </c>
      <c r="AJ38" s="697" t="str">
        <f ca="1">IFERROR(OFFSET(DistanceToCamp[distance],MATCH(CampList[[#This Row],[CP_Pcode]],DistanceToCamp[CP_Pcode],0)-1,0,1,1),"")</f>
        <v/>
      </c>
      <c r="AK38" s="698" t="str">
        <f ca="1">IFERROR(INT(CampList[[#This Row],[Distance]]/5)+1,"")</f>
        <v/>
      </c>
    </row>
    <row r="39" spans="1:37" s="445" customFormat="1" ht="15.75" hidden="1" customHeight="1" x14ac:dyDescent="0.25">
      <c r="A39" s="686" t="s">
        <v>843</v>
      </c>
      <c r="B39" s="662" t="s">
        <v>380</v>
      </c>
      <c r="C39" s="662" t="s">
        <v>525</v>
      </c>
      <c r="D39" s="662" t="s">
        <v>237</v>
      </c>
      <c r="E39" s="662" t="s">
        <v>531</v>
      </c>
      <c r="F39" s="662" t="s">
        <v>310</v>
      </c>
      <c r="G39" s="662" t="s">
        <v>532</v>
      </c>
      <c r="H39" s="695" t="s">
        <v>624</v>
      </c>
      <c r="I39" s="662" t="s">
        <v>625</v>
      </c>
      <c r="J39" s="695" t="s">
        <v>624</v>
      </c>
      <c r="K39" s="695">
        <v>165735</v>
      </c>
      <c r="L39" s="662" t="s">
        <v>1246</v>
      </c>
      <c r="M39" s="662" t="s">
        <v>359</v>
      </c>
      <c r="N39" s="687">
        <v>97.421104</v>
      </c>
      <c r="O39" s="687">
        <v>25.328987000000001</v>
      </c>
      <c r="P39" s="711"/>
      <c r="Q39" s="705">
        <v>0</v>
      </c>
      <c r="R39" s="706">
        <v>0</v>
      </c>
      <c r="S39" s="690" t="str">
        <f>IF(CampList[[#This Row],[HH]]&gt;0,CampList[[#This Row],[Total]]/CampList[[#This Row],[HH]],"NA")</f>
        <v>NA</v>
      </c>
      <c r="T39" s="664" t="s">
        <v>511</v>
      </c>
      <c r="U39" s="699" t="s">
        <v>1191</v>
      </c>
      <c r="V39" s="664" t="s">
        <v>554</v>
      </c>
      <c r="W39" s="699"/>
      <c r="X39" s="719"/>
      <c r="Y39" s="710"/>
      <c r="Z39" s="720"/>
      <c r="AA39" s="704"/>
      <c r="AB39" s="693"/>
      <c r="AC39" s="723"/>
      <c r="AD39" s="686" t="s">
        <v>601</v>
      </c>
      <c r="AE39" s="721" t="s">
        <v>1007</v>
      </c>
      <c r="AF39" s="483">
        <f>IF(CampList[[#This Row],[Type of Accomodation]]="camp",MAX(0,CampList[[#This Row],[HH]]-SUMIF(Table_Shelter[Pcode],CampList[[#This Row],[CP_Pcode]],Table_Shelter[HH Covered])),0)</f>
        <v>0</v>
      </c>
      <c r="AG39" s="664"/>
      <c r="AH39" s="693">
        <f>MIN(CampList[[#This Row],[Shelter Gap]],CampList[[#This Row],[Land Status]])</f>
        <v>0</v>
      </c>
      <c r="AI39" s="664" t="str">
        <f ca="1">IFERROR(OFFSET(DistanceToCamp[Nearest Town],MATCH(CampList[[#This Row],[CP_Pcode]],DistanceToCamp[CP_Pcode],0)-1,0,1,1),"")</f>
        <v/>
      </c>
      <c r="AJ39" s="697" t="str">
        <f ca="1">IFERROR(OFFSET(DistanceToCamp[distance],MATCH(CampList[[#This Row],[CP_Pcode]],DistanceToCamp[CP_Pcode],0)-1,0,1,1),"")</f>
        <v/>
      </c>
      <c r="AK39" s="698" t="str">
        <f ca="1">IFERROR(INT(CampList[[#This Row],[Distance]]/5)+1,"")</f>
        <v/>
      </c>
    </row>
    <row r="40" spans="1:37" s="445" customFormat="1" ht="15.75" hidden="1" customHeight="1" x14ac:dyDescent="0.25">
      <c r="A40" s="686" t="s">
        <v>843</v>
      </c>
      <c r="B40" s="662" t="s">
        <v>380</v>
      </c>
      <c r="C40" s="662" t="s">
        <v>525</v>
      </c>
      <c r="D40" s="662" t="s">
        <v>237</v>
      </c>
      <c r="E40" s="662" t="s">
        <v>531</v>
      </c>
      <c r="F40" s="662" t="s">
        <v>310</v>
      </c>
      <c r="G40" s="662" t="s">
        <v>532</v>
      </c>
      <c r="H40" s="662" t="s">
        <v>695</v>
      </c>
      <c r="I40" s="662" t="s">
        <v>696</v>
      </c>
      <c r="J40" s="662" t="s">
        <v>716</v>
      </c>
      <c r="K40" s="662" t="s">
        <v>717</v>
      </c>
      <c r="L40" s="662" t="s">
        <v>311</v>
      </c>
      <c r="M40" s="662" t="s">
        <v>309</v>
      </c>
      <c r="N40" s="687">
        <v>97.438259000000002</v>
      </c>
      <c r="O40" s="687">
        <v>25.355841999999999</v>
      </c>
      <c r="P40" s="703">
        <v>0</v>
      </c>
      <c r="Q40" s="688"/>
      <c r="R40" s="711"/>
      <c r="S40" s="690" t="str">
        <f>IF(CampList[[#This Row],[HH]]&gt;0,CampList[[#This Row],[Total]]/CampList[[#This Row],[HH]],"NA")</f>
        <v>NA</v>
      </c>
      <c r="T40" s="664" t="s">
        <v>511</v>
      </c>
      <c r="U40" s="664" t="s">
        <v>1191</v>
      </c>
      <c r="V40" s="664" t="s">
        <v>986</v>
      </c>
      <c r="W40" s="664" t="s">
        <v>803</v>
      </c>
      <c r="X40" s="691">
        <v>40848</v>
      </c>
      <c r="Y40" s="692">
        <v>1</v>
      </c>
      <c r="Z40" s="691" t="s">
        <v>460</v>
      </c>
      <c r="AA40" s="693" t="s">
        <v>842</v>
      </c>
      <c r="AB40" s="693"/>
      <c r="AC40" s="694">
        <v>42432</v>
      </c>
      <c r="AD40" s="695" t="s">
        <v>1345</v>
      </c>
      <c r="AE40" s="696" t="s">
        <v>1093</v>
      </c>
      <c r="AF40" s="483">
        <f>IF(CampList[[#This Row],[Type of Accomodation]]="camp",MAX(0,CampList[[#This Row],[HH]]-SUMIF(Table_Shelter[Pcode],CampList[[#This Row],[CP_Pcode]],Table_Shelter[HH Covered])),0)</f>
        <v>0</v>
      </c>
      <c r="AG40" s="664"/>
      <c r="AH40" s="693">
        <f>MIN(CampList[[#This Row],[Shelter Gap]],CampList[[#This Row],[Land Status]])</f>
        <v>0</v>
      </c>
      <c r="AI40" s="664" t="str">
        <f ca="1">IFERROR(OFFSET(DistanceToCamp[Nearest Town],MATCH(CampList[[#This Row],[CP_Pcode]],DistanceToCamp[CP_Pcode],0)-1,0,1,1),"")</f>
        <v>Waingmaw Town</v>
      </c>
      <c r="AJ40" s="697">
        <f ca="1">IFERROR(OFFSET(DistanceToCamp[distance],MATCH(CampList[[#This Row],[CP_Pcode]],DistanceToCamp[CP_Pcode],0)-1,0,1,1),"")</f>
        <v>0.70725493400809891</v>
      </c>
      <c r="AK40" s="698">
        <f ca="1">IFERROR(INT(CampList[[#This Row],[Distance]]/5)+1,"")</f>
        <v>1</v>
      </c>
    </row>
    <row r="41" spans="1:37" s="445" customFormat="1" ht="15.75" customHeight="1" x14ac:dyDescent="0.25">
      <c r="A41" s="717" t="s">
        <v>500</v>
      </c>
      <c r="B41" s="662" t="s">
        <v>380</v>
      </c>
      <c r="C41" s="662" t="s">
        <v>525</v>
      </c>
      <c r="D41" s="662" t="s">
        <v>237</v>
      </c>
      <c r="E41" s="662" t="s">
        <v>531</v>
      </c>
      <c r="F41" s="662" t="s">
        <v>310</v>
      </c>
      <c r="G41" s="662" t="s">
        <v>532</v>
      </c>
      <c r="H41" s="662" t="s">
        <v>695</v>
      </c>
      <c r="I41" s="662" t="s">
        <v>696</v>
      </c>
      <c r="J41" s="662" t="s">
        <v>697</v>
      </c>
      <c r="K41" s="662" t="s">
        <v>698</v>
      </c>
      <c r="L41" s="662" t="s">
        <v>349</v>
      </c>
      <c r="M41" s="662" t="s">
        <v>348</v>
      </c>
      <c r="N41" s="687">
        <v>97.428251153846105</v>
      </c>
      <c r="O41" s="687">
        <v>25.333683333333301</v>
      </c>
      <c r="P41" s="688"/>
      <c r="Q41" s="57">
        <v>44</v>
      </c>
      <c r="R41" s="98">
        <v>182</v>
      </c>
      <c r="S41" s="690">
        <f>IF(CampList[[#This Row],[HH]]&gt;0,CampList[[#This Row],[Total]]/CampList[[#This Row],[HH]],"NA")</f>
        <v>4.1363636363636367</v>
      </c>
      <c r="T41" s="664" t="s">
        <v>511</v>
      </c>
      <c r="U41" s="664" t="s">
        <v>1191</v>
      </c>
      <c r="V41" s="664" t="s">
        <v>554</v>
      </c>
      <c r="W41" s="664" t="s">
        <v>803</v>
      </c>
      <c r="X41" s="691">
        <v>40848</v>
      </c>
      <c r="Y41" s="692">
        <v>1</v>
      </c>
      <c r="Z41" s="691" t="s">
        <v>505</v>
      </c>
      <c r="AA41" s="693" t="s">
        <v>842</v>
      </c>
      <c r="AB41" s="693"/>
      <c r="AC41" s="694">
        <v>42745</v>
      </c>
      <c r="AD41" s="695" t="s">
        <v>1580</v>
      </c>
      <c r="AE41" s="696" t="s">
        <v>1093</v>
      </c>
      <c r="AF41" s="483">
        <f>IF(CampList[[#This Row],[Type of Accomodation]]="camp",MAX(0,CampList[[#This Row],[HH]]-SUMIF(Table_Shelter[Pcode],CampList[[#This Row],[CP_Pcode]],Table_Shelter[HH Covered])),0)</f>
        <v>0</v>
      </c>
      <c r="AG41" s="664"/>
      <c r="AH41" s="693">
        <f>MIN(CampList[[#This Row],[Shelter Gap]],CampList[[#This Row],[Land Status]])</f>
        <v>0</v>
      </c>
      <c r="AI41" s="664" t="str">
        <f ca="1">IFERROR(OFFSET(DistanceToCamp[Nearest Town],MATCH(CampList[[#This Row],[CP_Pcode]],DistanceToCamp[CP_Pcode],0)-1,0,1,1),"")</f>
        <v>Waingmaw Town</v>
      </c>
      <c r="AJ41" s="697">
        <f ca="1">IFERROR(OFFSET(DistanceToCamp[distance],MATCH(CampList[[#This Row],[CP_Pcode]],DistanceToCamp[CP_Pcode],0)-1,0,1,1),"")</f>
        <v>2.4174307716662291</v>
      </c>
      <c r="AK41" s="698">
        <f ca="1">IFERROR(INT(CampList[[#This Row],[Distance]]/5)+1,"")</f>
        <v>1</v>
      </c>
    </row>
    <row r="42" spans="1:37" s="445" customFormat="1" ht="15.75" customHeight="1" x14ac:dyDescent="0.25">
      <c r="A42" s="717" t="s">
        <v>500</v>
      </c>
      <c r="B42" s="662" t="s">
        <v>380</v>
      </c>
      <c r="C42" s="662" t="s">
        <v>525</v>
      </c>
      <c r="D42" s="662" t="s">
        <v>237</v>
      </c>
      <c r="E42" s="662" t="s">
        <v>531</v>
      </c>
      <c r="F42" s="662" t="s">
        <v>310</v>
      </c>
      <c r="G42" s="662" t="s">
        <v>532</v>
      </c>
      <c r="H42" s="662" t="s">
        <v>695</v>
      </c>
      <c r="I42" s="662" t="s">
        <v>696</v>
      </c>
      <c r="J42" s="662" t="s">
        <v>714</v>
      </c>
      <c r="K42" s="662" t="s">
        <v>715</v>
      </c>
      <c r="L42" s="662" t="s">
        <v>316</v>
      </c>
      <c r="M42" s="662" t="s">
        <v>315</v>
      </c>
      <c r="N42" s="687">
        <v>97.444283730158702</v>
      </c>
      <c r="O42" s="687">
        <v>25.351250396825399</v>
      </c>
      <c r="P42" s="688">
        <v>476</v>
      </c>
      <c r="Q42" s="57">
        <v>70</v>
      </c>
      <c r="R42" s="98">
        <v>288</v>
      </c>
      <c r="S42" s="690">
        <f>IF(CampList[[#This Row],[HH]]&gt;0,CampList[[#This Row],[Total]]/CampList[[#This Row],[HH]],"NA")</f>
        <v>4.1142857142857139</v>
      </c>
      <c r="T42" s="664" t="s">
        <v>511</v>
      </c>
      <c r="U42" s="664" t="s">
        <v>1191</v>
      </c>
      <c r="V42" s="664" t="s">
        <v>554</v>
      </c>
      <c r="W42" s="664" t="s">
        <v>803</v>
      </c>
      <c r="X42" s="691">
        <v>40848</v>
      </c>
      <c r="Y42" s="692">
        <v>1</v>
      </c>
      <c r="Z42" s="691" t="s">
        <v>505</v>
      </c>
      <c r="AA42" s="693" t="s">
        <v>842</v>
      </c>
      <c r="AB42" s="693"/>
      <c r="AC42" s="694">
        <v>42745</v>
      </c>
      <c r="AD42" s="695" t="s">
        <v>1580</v>
      </c>
      <c r="AE42" s="696" t="s">
        <v>1093</v>
      </c>
      <c r="AF42" s="483">
        <f>IF(CampList[[#This Row],[Type of Accomodation]]="camp",MAX(0,CampList[[#This Row],[HH]]-SUMIF(Table_Shelter[Pcode],CampList[[#This Row],[CP_Pcode]],Table_Shelter[HH Covered])),0)</f>
        <v>15</v>
      </c>
      <c r="AG42" s="664"/>
      <c r="AH42" s="693">
        <f>MIN(CampList[[#This Row],[Shelter Gap]],CampList[[#This Row],[Land Status]])</f>
        <v>15</v>
      </c>
      <c r="AI42" s="664" t="str">
        <f ca="1">IFERROR(OFFSET(DistanceToCamp[Nearest Town],MATCH(CampList[[#This Row],[CP_Pcode]],DistanceToCamp[CP_Pcode],0)-1,0,1,1),"")</f>
        <v>Waingmaw Town</v>
      </c>
      <c r="AJ42" s="697">
        <f ca="1">IFERROR(OFFSET(DistanceToCamp[distance],MATCH(CampList[[#This Row],[CP_Pcode]],DistanceToCamp[CP_Pcode],0)-1,0,1,1),"")</f>
        <v>0.15089472113650237</v>
      </c>
      <c r="AK42" s="698">
        <f ca="1">IFERROR(INT(CampList[[#This Row],[Distance]]/5)+1,"")</f>
        <v>1</v>
      </c>
    </row>
    <row r="43" spans="1:37" s="445" customFormat="1" ht="15.75" customHeight="1" x14ac:dyDescent="0.25">
      <c r="A43" s="717" t="s">
        <v>500</v>
      </c>
      <c r="B43" s="662" t="s">
        <v>380</v>
      </c>
      <c r="C43" s="662" t="s">
        <v>525</v>
      </c>
      <c r="D43" s="662" t="s">
        <v>237</v>
      </c>
      <c r="E43" s="662" t="s">
        <v>531</v>
      </c>
      <c r="F43" s="662" t="s">
        <v>310</v>
      </c>
      <c r="G43" s="662" t="s">
        <v>532</v>
      </c>
      <c r="H43" s="662" t="s">
        <v>693</v>
      </c>
      <c r="I43" s="662" t="s">
        <v>694</v>
      </c>
      <c r="J43" s="662" t="s">
        <v>693</v>
      </c>
      <c r="K43" s="662">
        <v>165740</v>
      </c>
      <c r="L43" s="662" t="s">
        <v>326</v>
      </c>
      <c r="M43" s="662" t="s">
        <v>325</v>
      </c>
      <c r="N43" s="687">
        <v>97.426536944444507</v>
      </c>
      <c r="O43" s="687">
        <v>25.409612685185198</v>
      </c>
      <c r="P43" s="688">
        <v>0</v>
      </c>
      <c r="Q43" s="689">
        <v>38</v>
      </c>
      <c r="R43" s="689">
        <v>148</v>
      </c>
      <c r="S43" s="690">
        <f>IF(CampList[[#This Row],[HH]]&gt;0,CampList[[#This Row],[Total]]/CampList[[#This Row],[HH]],"NA")</f>
        <v>3.8947368421052633</v>
      </c>
      <c r="T43" s="664" t="s">
        <v>511</v>
      </c>
      <c r="U43" s="664" t="s">
        <v>1191</v>
      </c>
      <c r="V43" s="664" t="s">
        <v>554</v>
      </c>
      <c r="W43" s="664" t="s">
        <v>803</v>
      </c>
      <c r="X43" s="691">
        <v>40878</v>
      </c>
      <c r="Y43" s="692">
        <v>1</v>
      </c>
      <c r="Z43" s="691" t="s">
        <v>460</v>
      </c>
      <c r="AA43" s="704" t="s">
        <v>842</v>
      </c>
      <c r="AB43" s="693"/>
      <c r="AC43" s="694">
        <v>42745</v>
      </c>
      <c r="AD43" s="686" t="s">
        <v>1493</v>
      </c>
      <c r="AE43" s="696" t="s">
        <v>1093</v>
      </c>
      <c r="AF43" s="483">
        <f>IF(CampList[[#This Row],[Type of Accomodation]]="camp",MAX(0,CampList[[#This Row],[HH]]-SUMIF(Table_Shelter[Pcode],CampList[[#This Row],[CP_Pcode]],Table_Shelter[HH Covered])),0)</f>
        <v>0</v>
      </c>
      <c r="AG43" s="664"/>
      <c r="AH43" s="693">
        <f>MIN(CampList[[#This Row],[Shelter Gap]],CampList[[#This Row],[Land Status]])</f>
        <v>0</v>
      </c>
      <c r="AI43" s="664" t="str">
        <f ca="1">IFERROR(OFFSET(DistanceToCamp[Nearest Town],MATCH(CampList[[#This Row],[CP_Pcode]],DistanceToCamp[CP_Pcode],0)-1,0,1,1),"")</f>
        <v>Myitkyina Town</v>
      </c>
      <c r="AJ43" s="697">
        <f ca="1">IFERROR(OFFSET(DistanceToCamp[distance],MATCH(CampList[[#This Row],[CP_Pcode]],DistanceToCamp[CP_Pcode],0)-1,0,1,1),"")</f>
        <v>4.3887485673235673</v>
      </c>
      <c r="AK43" s="698">
        <f ca="1">IFERROR(INT(CampList[[#This Row],[Distance]]/5)+1,"")</f>
        <v>1</v>
      </c>
    </row>
    <row r="44" spans="1:37" s="445" customFormat="1" ht="15.75" customHeight="1" x14ac:dyDescent="0.25">
      <c r="A44" s="717" t="s">
        <v>500</v>
      </c>
      <c r="B44" s="662" t="s">
        <v>380</v>
      </c>
      <c r="C44" s="662" t="s">
        <v>525</v>
      </c>
      <c r="D44" s="662" t="s">
        <v>237</v>
      </c>
      <c r="E44" s="662" t="s">
        <v>531</v>
      </c>
      <c r="F44" s="662" t="s">
        <v>310</v>
      </c>
      <c r="G44" s="662" t="s">
        <v>532</v>
      </c>
      <c r="H44" s="662" t="s">
        <v>693</v>
      </c>
      <c r="I44" s="662" t="s">
        <v>694</v>
      </c>
      <c r="J44" s="662" t="s">
        <v>693</v>
      </c>
      <c r="K44" s="662">
        <v>165740</v>
      </c>
      <c r="L44" s="662" t="s">
        <v>324</v>
      </c>
      <c r="M44" s="662" t="s">
        <v>323</v>
      </c>
      <c r="N44" s="687">
        <v>97.434855869565197</v>
      </c>
      <c r="O44" s="687">
        <v>25.4118005797101</v>
      </c>
      <c r="P44" s="688">
        <v>0</v>
      </c>
      <c r="Q44" s="689">
        <v>410</v>
      </c>
      <c r="R44" s="689">
        <v>2135</v>
      </c>
      <c r="S44" s="690">
        <f>IF(CampList[[#This Row],[HH]]&gt;0,CampList[[#This Row],[Total]]/CampList[[#This Row],[HH]],"NA")</f>
        <v>5.2073170731707314</v>
      </c>
      <c r="T44" s="664" t="s">
        <v>511</v>
      </c>
      <c r="U44" s="664" t="s">
        <v>1191</v>
      </c>
      <c r="V44" s="664" t="s">
        <v>554</v>
      </c>
      <c r="W44" s="664" t="s">
        <v>856</v>
      </c>
      <c r="X44" s="691">
        <v>41061</v>
      </c>
      <c r="Y44" s="692">
        <v>3</v>
      </c>
      <c r="Z44" s="691" t="s">
        <v>460</v>
      </c>
      <c r="AA44" s="704" t="s">
        <v>842</v>
      </c>
      <c r="AB44" s="693"/>
      <c r="AC44" s="694">
        <v>42745</v>
      </c>
      <c r="AD44" s="686" t="s">
        <v>1492</v>
      </c>
      <c r="AE44" s="696" t="s">
        <v>1093</v>
      </c>
      <c r="AF44" s="483">
        <f>IF(CampList[[#This Row],[Type of Accomodation]]="camp",MAX(0,CampList[[#This Row],[HH]]-SUMIF(Table_Shelter[Pcode],CampList[[#This Row],[CP_Pcode]],Table_Shelter[HH Covered])),0)</f>
        <v>0</v>
      </c>
      <c r="AG44" s="664"/>
      <c r="AH44" s="693">
        <f>MIN(CampList[[#This Row],[Shelter Gap]],CampList[[#This Row],[Land Status]])</f>
        <v>0</v>
      </c>
      <c r="AI44" s="664" t="str">
        <f ca="1">IFERROR(OFFSET(DistanceToCamp[Nearest Town],MATCH(CampList[[#This Row],[CP_Pcode]],DistanceToCamp[CP_Pcode],0)-1,0,1,1),"")</f>
        <v>Myitkyina Town</v>
      </c>
      <c r="AJ44" s="697">
        <f ca="1">IFERROR(OFFSET(DistanceToCamp[distance],MATCH(CampList[[#This Row],[CP_Pcode]],DistanceToCamp[CP_Pcode],0)-1,0,1,1),"")</f>
        <v>5.2238983299151851</v>
      </c>
      <c r="AK44" s="698">
        <f ca="1">IFERROR(INT(CampList[[#This Row],[Distance]]/5)+1,"")</f>
        <v>2</v>
      </c>
    </row>
    <row r="45" spans="1:37" s="445" customFormat="1" ht="15.75" customHeight="1" x14ac:dyDescent="0.25">
      <c r="A45" s="717" t="s">
        <v>500</v>
      </c>
      <c r="B45" s="662" t="s">
        <v>380</v>
      </c>
      <c r="C45" s="662" t="s">
        <v>525</v>
      </c>
      <c r="D45" s="662" t="s">
        <v>237</v>
      </c>
      <c r="E45" s="662" t="s">
        <v>531</v>
      </c>
      <c r="F45" s="662" t="s">
        <v>310</v>
      </c>
      <c r="G45" s="662" t="s">
        <v>532</v>
      </c>
      <c r="H45" s="662" t="s">
        <v>771</v>
      </c>
      <c r="I45" s="662" t="s">
        <v>772</v>
      </c>
      <c r="J45" s="662" t="s">
        <v>773</v>
      </c>
      <c r="K45" s="662">
        <v>165845</v>
      </c>
      <c r="L45" s="662" t="s">
        <v>347</v>
      </c>
      <c r="M45" s="662" t="s">
        <v>346</v>
      </c>
      <c r="N45" s="687">
        <v>98.025662999999994</v>
      </c>
      <c r="O45" s="687">
        <v>25.418084</v>
      </c>
      <c r="P45" s="688"/>
      <c r="Q45" s="689">
        <v>179</v>
      </c>
      <c r="R45" s="689">
        <v>947</v>
      </c>
      <c r="S45" s="690">
        <f>IF(CampList[[#This Row],[HH]]&gt;0,CampList[[#This Row],[Total]]/CampList[[#This Row],[HH]],"NA")</f>
        <v>5.2905027932960893</v>
      </c>
      <c r="T45" s="664" t="s">
        <v>511</v>
      </c>
      <c r="U45" s="664" t="s">
        <v>1191</v>
      </c>
      <c r="V45" s="664" t="s">
        <v>554</v>
      </c>
      <c r="W45" s="664" t="s">
        <v>856</v>
      </c>
      <c r="X45" s="691">
        <v>40848</v>
      </c>
      <c r="Y45" s="692">
        <v>2</v>
      </c>
      <c r="Z45" s="691" t="s">
        <v>460</v>
      </c>
      <c r="AA45" s="693" t="s">
        <v>842</v>
      </c>
      <c r="AB45" s="693"/>
      <c r="AC45" s="694">
        <v>42745</v>
      </c>
      <c r="AD45" s="695" t="s">
        <v>1517</v>
      </c>
      <c r="AE45" s="696" t="s">
        <v>1077</v>
      </c>
      <c r="AF45" s="483">
        <f>IF(CampList[[#This Row],[Type of Accomodation]]="camp",MAX(0,CampList[[#This Row],[HH]]-SUMIF(Table_Shelter[Pcode],CampList[[#This Row],[CP_Pcode]],Table_Shelter[HH Covered])),0)</f>
        <v>0</v>
      </c>
      <c r="AG45" s="664"/>
      <c r="AH45" s="693">
        <f>MIN(CampList[[#This Row],[Shelter Gap]],CampList[[#This Row],[Land Status]])</f>
        <v>0</v>
      </c>
      <c r="AI45" s="664" t="str">
        <f ca="1">IFERROR(OFFSET(DistanceToCamp[Nearest Town],MATCH(CampList[[#This Row],[CP_Pcode]],DistanceToCamp[CP_Pcode],0)-1,0,1,1),"")</f>
        <v>Kan Paik Ti Town</v>
      </c>
      <c r="AJ45" s="697">
        <f ca="1">IFERROR(OFFSET(DistanceToCamp[distance],MATCH(CampList[[#This Row],[CP_Pcode]],DistanceToCamp[CP_Pcode],0)-1,0,1,1),"")</f>
        <v>9.3609732231189877</v>
      </c>
      <c r="AK45" s="698">
        <f ca="1">IFERROR(INT(CampList[[#This Row],[Distance]]/5)+1,"")</f>
        <v>2</v>
      </c>
    </row>
    <row r="46" spans="1:37" s="445" customFormat="1" ht="15.75" customHeight="1" x14ac:dyDescent="0.25">
      <c r="A46" s="686" t="s">
        <v>500</v>
      </c>
      <c r="B46" s="662" t="s">
        <v>380</v>
      </c>
      <c r="C46" s="662" t="s">
        <v>525</v>
      </c>
      <c r="D46" s="662" t="s">
        <v>237</v>
      </c>
      <c r="E46" s="662" t="s">
        <v>531</v>
      </c>
      <c r="F46" s="662" t="s">
        <v>27</v>
      </c>
      <c r="G46" s="662" t="s">
        <v>534</v>
      </c>
      <c r="H46" s="662" t="s">
        <v>791</v>
      </c>
      <c r="I46" s="662" t="s">
        <v>792</v>
      </c>
      <c r="J46" s="662" t="s">
        <v>1369</v>
      </c>
      <c r="K46" s="707" t="s">
        <v>1368</v>
      </c>
      <c r="L46" s="662" t="s">
        <v>28</v>
      </c>
      <c r="M46" s="662" t="s">
        <v>30</v>
      </c>
      <c r="N46" s="687">
        <v>98.131550000000004</v>
      </c>
      <c r="O46" s="687">
        <v>25.889410000000002</v>
      </c>
      <c r="P46" s="688">
        <v>304</v>
      </c>
      <c r="Q46" s="57">
        <v>110</v>
      </c>
      <c r="R46" s="98">
        <v>516</v>
      </c>
      <c r="S46" s="690">
        <f>IF(CampList[[#This Row],[HH]]&gt;0,CampList[[#This Row],[Total]]/CampList[[#This Row],[HH]],"NA")</f>
        <v>4.6909090909090905</v>
      </c>
      <c r="T46" s="664" t="s">
        <v>511</v>
      </c>
      <c r="U46" s="664" t="s">
        <v>1191</v>
      </c>
      <c r="V46" s="664" t="s">
        <v>554</v>
      </c>
      <c r="W46" s="664" t="s">
        <v>803</v>
      </c>
      <c r="X46" s="691">
        <v>41244</v>
      </c>
      <c r="Y46" s="692">
        <v>1</v>
      </c>
      <c r="Z46" s="691" t="s">
        <v>505</v>
      </c>
      <c r="AA46" s="704" t="s">
        <v>842</v>
      </c>
      <c r="AB46" s="693"/>
      <c r="AC46" s="694">
        <v>42745</v>
      </c>
      <c r="AD46" s="686" t="s">
        <v>1564</v>
      </c>
      <c r="AE46" s="696" t="s">
        <v>1077</v>
      </c>
      <c r="AF46" s="483">
        <f>IF(CampList[[#This Row],[Type of Accomodation]]="camp",MAX(0,CampList[[#This Row],[HH]]-SUMIF(Table_Shelter[Pcode],CampList[[#This Row],[CP_Pcode]],Table_Shelter[HH Covered])),0)</f>
        <v>3</v>
      </c>
      <c r="AG46" s="664"/>
      <c r="AH46" s="693">
        <f>MIN(CampList[[#This Row],[Shelter Gap]],CampList[[#This Row],[Land Status]])</f>
        <v>3</v>
      </c>
      <c r="AI46" s="664" t="str">
        <f ca="1">IFERROR(OFFSET(DistanceToCamp[Nearest Town],MATCH(CampList[[#This Row],[CP_Pcode]],DistanceToCamp[CP_Pcode],0)-1,0,1,1),"")</f>
        <v>Chipwi Town</v>
      </c>
      <c r="AJ46" s="697">
        <f ca="1">IFERROR(OFFSET(DistanceToCamp[distance],MATCH(CampList[[#This Row],[CP_Pcode]],DistanceToCamp[CP_Pcode],0)-1,0,1,1),"")</f>
        <v>0.15809623370782155</v>
      </c>
      <c r="AK46" s="698">
        <f ca="1">IFERROR(INT(CampList[[#This Row],[Distance]]/5)+1,"")</f>
        <v>1</v>
      </c>
    </row>
    <row r="47" spans="1:37" s="445" customFormat="1" ht="15.75" customHeight="1" x14ac:dyDescent="0.25">
      <c r="A47" s="686" t="s">
        <v>500</v>
      </c>
      <c r="B47" s="662" t="s">
        <v>380</v>
      </c>
      <c r="C47" s="662" t="s">
        <v>525</v>
      </c>
      <c r="D47" s="662" t="s">
        <v>237</v>
      </c>
      <c r="E47" s="662" t="s">
        <v>531</v>
      </c>
      <c r="F47" s="662" t="s">
        <v>27</v>
      </c>
      <c r="G47" s="662" t="s">
        <v>534</v>
      </c>
      <c r="H47" s="695" t="s">
        <v>793</v>
      </c>
      <c r="I47" s="695" t="s">
        <v>794</v>
      </c>
      <c r="J47" s="695" t="s">
        <v>795</v>
      </c>
      <c r="K47" s="695">
        <v>166355</v>
      </c>
      <c r="L47" s="662" t="s">
        <v>364</v>
      </c>
      <c r="M47" s="662" t="s">
        <v>29</v>
      </c>
      <c r="N47" s="687">
        <v>98.475719999999995</v>
      </c>
      <c r="O47" s="687">
        <v>25.754110000000001</v>
      </c>
      <c r="P47" s="688">
        <v>2785</v>
      </c>
      <c r="Q47" s="689">
        <v>156</v>
      </c>
      <c r="R47" s="689">
        <v>1022</v>
      </c>
      <c r="S47" s="690">
        <f>IF(CampList[[#This Row],[HH]]&gt;0,CampList[[#This Row],[Total]]/CampList[[#This Row],[HH]],"NA")</f>
        <v>6.5512820512820511</v>
      </c>
      <c r="T47" s="664" t="s">
        <v>513</v>
      </c>
      <c r="U47" s="664" t="s">
        <v>1191</v>
      </c>
      <c r="V47" s="664" t="s">
        <v>554</v>
      </c>
      <c r="W47" s="664" t="s">
        <v>857</v>
      </c>
      <c r="X47" s="691">
        <v>41030</v>
      </c>
      <c r="Y47" s="692">
        <v>2</v>
      </c>
      <c r="Z47" s="691" t="s">
        <v>460</v>
      </c>
      <c r="AA47" s="704" t="s">
        <v>842</v>
      </c>
      <c r="AB47" s="693"/>
      <c r="AC47" s="694">
        <v>42745</v>
      </c>
      <c r="AD47" s="686" t="s">
        <v>1480</v>
      </c>
      <c r="AE47" s="696" t="s">
        <v>1077</v>
      </c>
      <c r="AF47" s="483">
        <f>IF(CampList[[#This Row],[Type of Accomodation]]="camp",MAX(0,CampList[[#This Row],[HH]]-SUMIF(Table_Shelter[Pcode],CampList[[#This Row],[CP_Pcode]],Table_Shelter[HH Covered])),0)</f>
        <v>156</v>
      </c>
      <c r="AG47" s="664"/>
      <c r="AH47" s="693">
        <f>MIN(CampList[[#This Row],[Shelter Gap]],CampList[[#This Row],[Land Status]])</f>
        <v>156</v>
      </c>
      <c r="AI47" s="664" t="str">
        <f ca="1">IFERROR(OFFSET(DistanceToCamp[Nearest Town],MATCH(CampList[[#This Row],[CP_Pcode]],DistanceToCamp[CP_Pcode],0)-1,0,1,1),"")</f>
        <v>Pang War Town</v>
      </c>
      <c r="AJ47" s="697">
        <f ca="1">IFERROR(OFFSET(DistanceToCamp[distance],MATCH(CampList[[#This Row],[CP_Pcode]],DistanceToCamp[CP_Pcode],0)-1,0,1,1),"")</f>
        <v>19.834999342466848</v>
      </c>
      <c r="AK47" s="698">
        <f ca="1">IFERROR(INT(CampList[[#This Row],[Distance]]/5)+1,"")</f>
        <v>4</v>
      </c>
    </row>
    <row r="48" spans="1:37" s="445" customFormat="1" ht="15.75" hidden="1" customHeight="1" x14ac:dyDescent="0.25">
      <c r="A48" s="686" t="s">
        <v>843</v>
      </c>
      <c r="B48" s="662" t="s">
        <v>380</v>
      </c>
      <c r="C48" s="662" t="s">
        <v>525</v>
      </c>
      <c r="D48" s="662" t="s">
        <v>237</v>
      </c>
      <c r="E48" s="662" t="s">
        <v>531</v>
      </c>
      <c r="F48" s="662" t="s">
        <v>27</v>
      </c>
      <c r="G48" s="662" t="s">
        <v>534</v>
      </c>
      <c r="H48" s="662"/>
      <c r="I48" s="662"/>
      <c r="J48" s="662"/>
      <c r="K48" s="662"/>
      <c r="L48" s="662" t="s">
        <v>37</v>
      </c>
      <c r="M48" s="662" t="s">
        <v>36</v>
      </c>
      <c r="N48" s="687"/>
      <c r="O48" s="687"/>
      <c r="P48" s="710"/>
      <c r="Q48" s="705">
        <v>0</v>
      </c>
      <c r="R48" s="706">
        <v>0</v>
      </c>
      <c r="S48" s="690" t="str">
        <f>IF(CampList[[#This Row],[HH]]&gt;0,CampList[[#This Row],[Total]]/CampList[[#This Row],[HH]],"NA")</f>
        <v>NA</v>
      </c>
      <c r="T48" s="664" t="s">
        <v>511</v>
      </c>
      <c r="U48" s="699" t="s">
        <v>1191</v>
      </c>
      <c r="V48" s="664" t="s">
        <v>554</v>
      </c>
      <c r="W48" s="699"/>
      <c r="X48" s="719"/>
      <c r="Y48" s="710"/>
      <c r="Z48" s="720"/>
      <c r="AA48" s="724"/>
      <c r="AB48" s="693"/>
      <c r="AC48" s="723"/>
      <c r="AD48" s="686" t="s">
        <v>601</v>
      </c>
      <c r="AE48" s="721" t="s">
        <v>1007</v>
      </c>
      <c r="AF48" s="483">
        <f>IF(CampList[[#This Row],[Type of Accomodation]]="camp",MAX(0,CampList[[#This Row],[HH]]-SUMIF(Table_Shelter[Pcode],CampList[[#This Row],[CP_Pcode]],Table_Shelter[HH Covered])),0)</f>
        <v>0</v>
      </c>
      <c r="AG48" s="664"/>
      <c r="AH48" s="693">
        <f>MIN(CampList[[#This Row],[Shelter Gap]],CampList[[#This Row],[Land Status]])</f>
        <v>0</v>
      </c>
      <c r="AI48" s="664" t="str">
        <f ca="1">IFERROR(OFFSET(DistanceToCamp[Nearest Town],MATCH(CampList[[#This Row],[CP_Pcode]],DistanceToCamp[CP_Pcode],0)-1,0,1,1),"")</f>
        <v/>
      </c>
      <c r="AJ48" s="697" t="str">
        <f ca="1">IFERROR(OFFSET(DistanceToCamp[distance],MATCH(CampList[[#This Row],[CP_Pcode]],DistanceToCamp[CP_Pcode],0)-1,0,1,1),"")</f>
        <v/>
      </c>
      <c r="AK48" s="698" t="str">
        <f ca="1">IFERROR(INT(CampList[[#This Row],[Distance]]/5)+1,"")</f>
        <v/>
      </c>
    </row>
    <row r="49" spans="1:37" s="445" customFormat="1" ht="15.75" customHeight="1" x14ac:dyDescent="0.25">
      <c r="A49" s="686" t="s">
        <v>500</v>
      </c>
      <c r="B49" s="662" t="s">
        <v>380</v>
      </c>
      <c r="C49" s="662" t="s">
        <v>525</v>
      </c>
      <c r="D49" s="662" t="s">
        <v>237</v>
      </c>
      <c r="E49" s="662" t="s">
        <v>531</v>
      </c>
      <c r="F49" s="662" t="s">
        <v>27</v>
      </c>
      <c r="G49" s="662" t="s">
        <v>534</v>
      </c>
      <c r="H49" s="695" t="s">
        <v>788</v>
      </c>
      <c r="I49" s="695" t="s">
        <v>789</v>
      </c>
      <c r="J49" s="695" t="s">
        <v>790</v>
      </c>
      <c r="K49" s="695">
        <v>166337</v>
      </c>
      <c r="L49" s="662" t="s">
        <v>34</v>
      </c>
      <c r="M49" s="662" t="s">
        <v>33</v>
      </c>
      <c r="N49" s="687">
        <v>98.354146999999998</v>
      </c>
      <c r="O49" s="687">
        <v>25.708763000000001</v>
      </c>
      <c r="P49" s="711"/>
      <c r="Q49" s="705"/>
      <c r="R49" s="706"/>
      <c r="S49" s="690" t="str">
        <f>IF(CampList[[#This Row],[HH]]&gt;0,CampList[[#This Row],[Total]]/CampList[[#This Row],[HH]],"NA")</f>
        <v>NA</v>
      </c>
      <c r="T49" s="664" t="s">
        <v>511</v>
      </c>
      <c r="U49" s="664" t="s">
        <v>1191</v>
      </c>
      <c r="V49" s="725" t="s">
        <v>12</v>
      </c>
      <c r="W49" s="664" t="s">
        <v>856</v>
      </c>
      <c r="X49" s="712"/>
      <c r="Y49" s="711"/>
      <c r="Z49" s="693"/>
      <c r="AA49" s="724" t="s">
        <v>842</v>
      </c>
      <c r="AB49" s="693"/>
      <c r="AC49" s="726"/>
      <c r="AD49" s="686"/>
      <c r="AE49" s="721" t="s">
        <v>1077</v>
      </c>
      <c r="AF49" s="483">
        <f>IF(CampList[[#This Row],[Type of Accomodation]]="camp",MAX(0,CampList[[#This Row],[HH]]-SUMIF(Table_Shelter[Pcode],CampList[[#This Row],[CP_Pcode]],Table_Shelter[HH Covered])),0)</f>
        <v>0</v>
      </c>
      <c r="AG49" s="664"/>
      <c r="AH49" s="693">
        <f>MIN(CampList[[#This Row],[Shelter Gap]],CampList[[#This Row],[Land Status]])</f>
        <v>0</v>
      </c>
      <c r="AI49" s="664" t="str">
        <f ca="1">IFERROR(OFFSET(DistanceToCamp[Nearest Town],MATCH(CampList[[#This Row],[CP_Pcode]],DistanceToCamp[CP_Pcode],0)-1,0,1,1),"")</f>
        <v>Pang War Town</v>
      </c>
      <c r="AJ49" s="697">
        <f ca="1">IFERROR(OFFSET(DistanceToCamp[distance],MATCH(CampList[[#This Row],[CP_Pcode]],DistanceToCamp[CP_Pcode],0)-1,0,1,1),"")</f>
        <v>12.486065224161463</v>
      </c>
      <c r="AK49" s="698">
        <f ca="1">IFERROR(INT(CampList[[#This Row],[Distance]]/5)+1,"")</f>
        <v>3</v>
      </c>
    </row>
    <row r="50" spans="1:37" s="445" customFormat="1" ht="15.75" hidden="1" customHeight="1" x14ac:dyDescent="0.25">
      <c r="A50" s="686" t="s">
        <v>843</v>
      </c>
      <c r="B50" s="662" t="s">
        <v>380</v>
      </c>
      <c r="C50" s="662" t="s">
        <v>525</v>
      </c>
      <c r="D50" s="662" t="s">
        <v>237</v>
      </c>
      <c r="E50" s="662" t="s">
        <v>531</v>
      </c>
      <c r="F50" s="662" t="s">
        <v>27</v>
      </c>
      <c r="G50" s="662" t="s">
        <v>534</v>
      </c>
      <c r="H50" s="662"/>
      <c r="I50" s="662"/>
      <c r="J50" s="662"/>
      <c r="K50" s="662"/>
      <c r="L50" s="662" t="s">
        <v>32</v>
      </c>
      <c r="M50" s="662" t="s">
        <v>31</v>
      </c>
      <c r="N50" s="687"/>
      <c r="O50" s="687"/>
      <c r="P50" s="710"/>
      <c r="Q50" s="705"/>
      <c r="R50" s="706"/>
      <c r="S50" s="690" t="str">
        <f>IF(CampList[[#This Row],[HH]]&gt;0,CampList[[#This Row],[Total]]/CampList[[#This Row],[HH]],"NA")</f>
        <v>NA</v>
      </c>
      <c r="T50" s="664" t="s">
        <v>511</v>
      </c>
      <c r="U50" s="699" t="s">
        <v>1191</v>
      </c>
      <c r="V50" s="664" t="s">
        <v>554</v>
      </c>
      <c r="W50" s="699" t="s">
        <v>856</v>
      </c>
      <c r="X50" s="719"/>
      <c r="Y50" s="710"/>
      <c r="Z50" s="700" t="s">
        <v>1090</v>
      </c>
      <c r="AA50" s="704" t="s">
        <v>842</v>
      </c>
      <c r="AB50" s="693"/>
      <c r="AC50" s="694">
        <v>42096</v>
      </c>
      <c r="AD50" s="686" t="s">
        <v>1239</v>
      </c>
      <c r="AE50" s="721" t="s">
        <v>1077</v>
      </c>
      <c r="AF50" s="483">
        <f>IF(CampList[[#This Row],[Type of Accomodation]]="camp",MAX(0,CampList[[#This Row],[HH]]-SUMIF(Table_Shelter[Pcode],CampList[[#This Row],[CP_Pcode]],Table_Shelter[HH Covered])),0)</f>
        <v>0</v>
      </c>
      <c r="AG50" s="664"/>
      <c r="AH50" s="693">
        <f>MIN(CampList[[#This Row],[Shelter Gap]],CampList[[#This Row],[Land Status]])</f>
        <v>0</v>
      </c>
      <c r="AI50" s="664" t="str">
        <f ca="1">IFERROR(OFFSET(DistanceToCamp[Nearest Town],MATCH(CampList[[#This Row],[CP_Pcode]],DistanceToCamp[CP_Pcode],0)-1,0,1,1),"")</f>
        <v/>
      </c>
      <c r="AJ50" s="697" t="str">
        <f ca="1">IFERROR(OFFSET(DistanceToCamp[distance],MATCH(CampList[[#This Row],[CP_Pcode]],DistanceToCamp[CP_Pcode],0)-1,0,1,1),"")</f>
        <v/>
      </c>
      <c r="AK50" s="698" t="str">
        <f ca="1">IFERROR(INT(CampList[[#This Row],[Distance]]/5)+1,"")</f>
        <v/>
      </c>
    </row>
    <row r="51" spans="1:37" s="445" customFormat="1" ht="15.75" customHeight="1" x14ac:dyDescent="0.25">
      <c r="A51" s="686" t="s">
        <v>500</v>
      </c>
      <c r="B51" s="662" t="s">
        <v>380</v>
      </c>
      <c r="C51" s="662" t="s">
        <v>525</v>
      </c>
      <c r="D51" s="662" t="s">
        <v>5</v>
      </c>
      <c r="E51" s="662" t="s">
        <v>529</v>
      </c>
      <c r="F51" s="662" t="s">
        <v>5</v>
      </c>
      <c r="G51" s="662" t="s">
        <v>530</v>
      </c>
      <c r="H51" s="662" t="s">
        <v>637</v>
      </c>
      <c r="I51" s="662" t="s">
        <v>638</v>
      </c>
      <c r="J51" s="662" t="s">
        <v>641</v>
      </c>
      <c r="K51" s="662" t="s">
        <v>642</v>
      </c>
      <c r="L51" s="662" t="s">
        <v>22</v>
      </c>
      <c r="M51" s="662" t="s">
        <v>21</v>
      </c>
      <c r="N51" s="687">
        <v>97.229116811594196</v>
      </c>
      <c r="O51" s="687">
        <v>24.268292826086999</v>
      </c>
      <c r="P51" s="688"/>
      <c r="Q51" s="689">
        <v>626</v>
      </c>
      <c r="R51" s="689">
        <v>3828</v>
      </c>
      <c r="S51" s="690">
        <f>IF(CampList[[#This Row],[HH]]&gt;0,CampList[[#This Row],[Total]]/CampList[[#This Row],[HH]],"NA")</f>
        <v>6.1150159744408947</v>
      </c>
      <c r="T51" s="664" t="s">
        <v>511</v>
      </c>
      <c r="U51" s="664" t="s">
        <v>1191</v>
      </c>
      <c r="V51" s="664" t="s">
        <v>554</v>
      </c>
      <c r="W51" s="664" t="s">
        <v>803</v>
      </c>
      <c r="X51" s="691">
        <v>40725</v>
      </c>
      <c r="Y51" s="692">
        <v>3</v>
      </c>
      <c r="Z51" s="691" t="s">
        <v>460</v>
      </c>
      <c r="AA51" s="693" t="s">
        <v>842</v>
      </c>
      <c r="AB51" s="693"/>
      <c r="AC51" s="694">
        <v>42745</v>
      </c>
      <c r="AD51" s="695" t="s">
        <v>1513</v>
      </c>
      <c r="AE51" s="696" t="s">
        <v>1093</v>
      </c>
      <c r="AF51" s="483">
        <f>IF(CampList[[#This Row],[Type of Accomodation]]="camp",MAX(0,CampList[[#This Row],[HH]]-SUMIF(Table_Shelter[Pcode],CampList[[#This Row],[CP_Pcode]],Table_Shelter[HH Covered])),0)</f>
        <v>201</v>
      </c>
      <c r="AG51" s="483"/>
      <c r="AH51" s="693">
        <f>MIN(CampList[[#This Row],[Shelter Gap]],CampList[[#This Row],[Land Status]])</f>
        <v>201</v>
      </c>
      <c r="AI51" s="664" t="str">
        <f ca="1">IFERROR(OFFSET(DistanceToCamp[Nearest Town],MATCH(CampList[[#This Row],[CP_Pcode]],DistanceToCamp[CP_Pcode],0)-1,0,1,1),"")</f>
        <v>Bhamo Town</v>
      </c>
      <c r="AJ51" s="697">
        <f ca="1">IFERROR(OFFSET(DistanceToCamp[distance],MATCH(CampList[[#This Row],[CP_Pcode]],DistanceToCamp[CP_Pcode],0)-1,0,1,1),"")</f>
        <v>1.5797992800898704</v>
      </c>
      <c r="AK51" s="698">
        <f ca="1">IFERROR(INT(CampList[[#This Row],[Distance]]/5)+1,"")</f>
        <v>1</v>
      </c>
    </row>
    <row r="52" spans="1:37" s="445" customFormat="1" ht="15.75" hidden="1" customHeight="1" x14ac:dyDescent="0.25">
      <c r="A52" s="686" t="s">
        <v>843</v>
      </c>
      <c r="B52" s="662" t="s">
        <v>380</v>
      </c>
      <c r="C52" s="662" t="s">
        <v>525</v>
      </c>
      <c r="D52" s="662" t="s">
        <v>5</v>
      </c>
      <c r="E52" s="662" t="s">
        <v>529</v>
      </c>
      <c r="F52" s="662" t="s">
        <v>5</v>
      </c>
      <c r="G52" s="662" t="s">
        <v>530</v>
      </c>
      <c r="H52" s="662"/>
      <c r="I52" s="662"/>
      <c r="J52" s="662"/>
      <c r="K52" s="662"/>
      <c r="L52" s="662" t="s">
        <v>16</v>
      </c>
      <c r="M52" s="662" t="s">
        <v>15</v>
      </c>
      <c r="N52" s="687">
        <v>97.221556500999995</v>
      </c>
      <c r="O52" s="687">
        <v>24.262418020999998</v>
      </c>
      <c r="P52" s="710"/>
      <c r="Q52" s="705">
        <v>0</v>
      </c>
      <c r="R52" s="706">
        <v>0</v>
      </c>
      <c r="S52" s="690" t="str">
        <f>IF(CampList[[#This Row],[HH]]&gt;0,CampList[[#This Row],[Total]]/CampList[[#This Row],[HH]],"NA")</f>
        <v>NA</v>
      </c>
      <c r="T52" s="664" t="s">
        <v>511</v>
      </c>
      <c r="U52" s="699" t="s">
        <v>1191</v>
      </c>
      <c r="V52" s="664" t="s">
        <v>554</v>
      </c>
      <c r="W52" s="699"/>
      <c r="X52" s="719"/>
      <c r="Y52" s="710"/>
      <c r="Z52" s="720"/>
      <c r="AA52" s="704" t="s">
        <v>842</v>
      </c>
      <c r="AB52" s="693"/>
      <c r="AC52" s="694">
        <v>41661</v>
      </c>
      <c r="AD52" s="686" t="s">
        <v>937</v>
      </c>
      <c r="AE52" s="721" t="s">
        <v>1007</v>
      </c>
      <c r="AF52" s="483">
        <f>IF(CampList[[#This Row],[Type of Accomodation]]="camp",MAX(0,CampList[[#This Row],[HH]]-SUMIF(Table_Shelter[Pcode],CampList[[#This Row],[CP_Pcode]],Table_Shelter[HH Covered])),0)</f>
        <v>0</v>
      </c>
      <c r="AG52" s="664"/>
      <c r="AH52" s="693">
        <f>MIN(CampList[[#This Row],[Shelter Gap]],CampList[[#This Row],[Land Status]])</f>
        <v>0</v>
      </c>
      <c r="AI52" s="664" t="str">
        <f ca="1">IFERROR(OFFSET(DistanceToCamp[Nearest Town],MATCH(CampList[[#This Row],[CP_Pcode]],DistanceToCamp[CP_Pcode],0)-1,0,1,1),"")</f>
        <v/>
      </c>
      <c r="AJ52" s="697" t="str">
        <f ca="1">IFERROR(OFFSET(DistanceToCamp[distance],MATCH(CampList[[#This Row],[CP_Pcode]],DistanceToCamp[CP_Pcode],0)-1,0,1,1),"")</f>
        <v/>
      </c>
      <c r="AK52" s="698" t="str">
        <f ca="1">IFERROR(INT(CampList[[#This Row],[Distance]]/5)+1,"")</f>
        <v/>
      </c>
    </row>
    <row r="53" spans="1:37" s="445" customFormat="1" ht="15.75" customHeight="1" x14ac:dyDescent="0.25">
      <c r="A53" s="686" t="s">
        <v>500</v>
      </c>
      <c r="B53" s="662" t="s">
        <v>380</v>
      </c>
      <c r="C53" s="662" t="s">
        <v>525</v>
      </c>
      <c r="D53" s="662" t="s">
        <v>5</v>
      </c>
      <c r="E53" s="662" t="s">
        <v>529</v>
      </c>
      <c r="F53" s="662" t="s">
        <v>5</v>
      </c>
      <c r="G53" s="662" t="s">
        <v>530</v>
      </c>
      <c r="H53" s="695" t="s">
        <v>1364</v>
      </c>
      <c r="I53" s="695" t="s">
        <v>1365</v>
      </c>
      <c r="J53" s="695" t="s">
        <v>1364</v>
      </c>
      <c r="K53" s="716">
        <v>166836</v>
      </c>
      <c r="L53" s="662" t="s">
        <v>18</v>
      </c>
      <c r="M53" s="662" t="s">
        <v>17</v>
      </c>
      <c r="N53" s="687">
        <v>97.240183461538507</v>
      </c>
      <c r="O53" s="687">
        <v>24.2631743589744</v>
      </c>
      <c r="P53" s="688">
        <v>0</v>
      </c>
      <c r="Q53" s="55">
        <v>116</v>
      </c>
      <c r="R53" s="55">
        <v>659</v>
      </c>
      <c r="S53" s="690">
        <f>IF(CampList[[#This Row],[HH]]&gt;0,CampList[[#This Row],[Total]]/CampList[[#This Row],[HH]],"NA")</f>
        <v>5.681034482758621</v>
      </c>
      <c r="T53" s="664" t="s">
        <v>511</v>
      </c>
      <c r="U53" s="664" t="s">
        <v>1191</v>
      </c>
      <c r="V53" s="664" t="s">
        <v>554</v>
      </c>
      <c r="W53" s="664" t="s">
        <v>803</v>
      </c>
      <c r="X53" s="691">
        <v>40695</v>
      </c>
      <c r="Y53" s="692">
        <v>2</v>
      </c>
      <c r="Z53" s="691" t="s">
        <v>505</v>
      </c>
      <c r="AA53" s="704" t="s">
        <v>842</v>
      </c>
      <c r="AB53" s="693"/>
      <c r="AC53" s="694">
        <v>42745</v>
      </c>
      <c r="AD53" s="686" t="s">
        <v>1571</v>
      </c>
      <c r="AE53" s="696" t="s">
        <v>1093</v>
      </c>
      <c r="AF53" s="483">
        <f>IF(CampList[[#This Row],[Type of Accomodation]]="camp",MAX(0,CampList[[#This Row],[HH]]-SUMIF(Table_Shelter[Pcode],CampList[[#This Row],[CP_Pcode]],Table_Shelter[HH Covered])),0)</f>
        <v>14</v>
      </c>
      <c r="AG53" s="664"/>
      <c r="AH53" s="693">
        <f>MIN(CampList[[#This Row],[Shelter Gap]],CampList[[#This Row],[Land Status]])</f>
        <v>14</v>
      </c>
      <c r="AI53" s="664" t="str">
        <f ca="1">IFERROR(OFFSET(DistanceToCamp[Nearest Town],MATCH(CampList[[#This Row],[CP_Pcode]],DistanceToCamp[CP_Pcode],0)-1,0,1,1),"")</f>
        <v>Bhamo Town</v>
      </c>
      <c r="AJ53" s="697">
        <f ca="1">IFERROR(OFFSET(DistanceToCamp[distance],MATCH(CampList[[#This Row],[CP_Pcode]],DistanceToCamp[CP_Pcode],0)-1,0,1,1),"")</f>
        <v>1.0876401420946245</v>
      </c>
      <c r="AK53" s="698">
        <f ca="1">IFERROR(INT(CampList[[#This Row],[Distance]]/5)+1,"")</f>
        <v>1</v>
      </c>
    </row>
    <row r="54" spans="1:37" s="445" customFormat="1" ht="15.75" customHeight="1" x14ac:dyDescent="0.25">
      <c r="A54" s="708" t="s">
        <v>500</v>
      </c>
      <c r="B54" s="663" t="s">
        <v>380</v>
      </c>
      <c r="C54" s="663" t="s">
        <v>525</v>
      </c>
      <c r="D54" s="663" t="s">
        <v>5</v>
      </c>
      <c r="E54" s="663" t="s">
        <v>529</v>
      </c>
      <c r="F54" s="663" t="s">
        <v>5</v>
      </c>
      <c r="G54" s="663" t="s">
        <v>530</v>
      </c>
      <c r="H54" s="663" t="s">
        <v>1364</v>
      </c>
      <c r="I54" s="709" t="s">
        <v>1365</v>
      </c>
      <c r="J54" s="663" t="s">
        <v>1364</v>
      </c>
      <c r="K54" s="663">
        <v>166836</v>
      </c>
      <c r="L54" s="663" t="s">
        <v>6</v>
      </c>
      <c r="M54" s="663" t="s">
        <v>4</v>
      </c>
      <c r="N54" s="689">
        <v>97.238829999999993</v>
      </c>
      <c r="O54" s="689">
        <v>24.260719999999999</v>
      </c>
      <c r="P54" s="711"/>
      <c r="Q54" s="727">
        <v>260</v>
      </c>
      <c r="R54" s="727">
        <v>1263</v>
      </c>
      <c r="S54" s="690">
        <f>IF(CampList[[#This Row],[HH]]&gt;0,CampList[[#This Row],[Total]]/CampList[[#This Row],[HH]],"NA")</f>
        <v>4.8576923076923073</v>
      </c>
      <c r="T54" s="483" t="s">
        <v>511</v>
      </c>
      <c r="U54" s="664" t="s">
        <v>1191</v>
      </c>
      <c r="V54" s="483" t="s">
        <v>554</v>
      </c>
      <c r="W54" s="483" t="s">
        <v>803</v>
      </c>
      <c r="X54" s="712">
        <v>40848</v>
      </c>
      <c r="Y54" s="711">
        <v>2</v>
      </c>
      <c r="Z54" s="711" t="s">
        <v>1089</v>
      </c>
      <c r="AA54" s="689" t="s">
        <v>842</v>
      </c>
      <c r="AB54" s="689"/>
      <c r="AC54" s="694">
        <v>42745</v>
      </c>
      <c r="AD54" s="713" t="s">
        <v>1527</v>
      </c>
      <c r="AE54" s="696" t="s">
        <v>1093</v>
      </c>
      <c r="AF54" s="714">
        <f>IF(CampList[[#This Row],[Type of Accomodation]]="camp",MAX(0,CampList[[#This Row],[HH]]-SUMIF(Table_Shelter[Pcode],CampList[[#This Row],[CP_Pcode]],Table_Shelter[HH Covered])),0)</f>
        <v>90</v>
      </c>
      <c r="AG54" s="483">
        <v>20</v>
      </c>
      <c r="AH54" s="688">
        <f>MIN(CampList[[#This Row],[Shelter Gap]],CampList[[#This Row],[Land Status]])</f>
        <v>20</v>
      </c>
      <c r="AI54" s="714" t="str">
        <f ca="1">IFERROR(OFFSET(DistanceToCamp[Nearest Town],MATCH(CampList[[#This Row],[CP_Pcode]],DistanceToCamp[CP_Pcode],0)-1,0,1,1),"")</f>
        <v>Bhamo Town</v>
      </c>
      <c r="AJ54" s="697">
        <f ca="1">IFERROR(OFFSET(DistanceToCamp[distance],MATCH(CampList[[#This Row],[CP_Pcode]],DistanceToCamp[CP_Pcode],0)-1,0,1,1),"")</f>
        <v>0.78440046838596356</v>
      </c>
      <c r="AK54" s="715">
        <f ca="1">IFERROR(INT(CampList[[#This Row],[Distance]]/5)+1,"")</f>
        <v>1</v>
      </c>
    </row>
    <row r="55" spans="1:37" s="445" customFormat="1" ht="15.75" customHeight="1" x14ac:dyDescent="0.25">
      <c r="A55" s="686" t="s">
        <v>500</v>
      </c>
      <c r="B55" s="662" t="s">
        <v>380</v>
      </c>
      <c r="C55" s="662" t="s">
        <v>525</v>
      </c>
      <c r="D55" s="662" t="s">
        <v>5</v>
      </c>
      <c r="E55" s="662" t="s">
        <v>529</v>
      </c>
      <c r="F55" s="662" t="s">
        <v>5</v>
      </c>
      <c r="G55" s="662" t="s">
        <v>530</v>
      </c>
      <c r="H55" s="695" t="s">
        <v>637</v>
      </c>
      <c r="I55" s="695" t="s">
        <v>638</v>
      </c>
      <c r="J55" s="695" t="s">
        <v>643</v>
      </c>
      <c r="K55" s="695" t="s">
        <v>644</v>
      </c>
      <c r="L55" s="662" t="s">
        <v>8</v>
      </c>
      <c r="M55" s="662" t="s">
        <v>7</v>
      </c>
      <c r="N55" s="687">
        <v>97.234200000000001</v>
      </c>
      <c r="O55" s="687">
        <v>24.253067000000001</v>
      </c>
      <c r="P55" s="688">
        <v>0</v>
      </c>
      <c r="Q55" s="55">
        <v>14</v>
      </c>
      <c r="R55" s="55">
        <v>61</v>
      </c>
      <c r="S55" s="690">
        <f>IF(CampList[[#This Row],[HH]]&gt;0,CampList[[#This Row],[Total]]/CampList[[#This Row],[HH]],"NA")</f>
        <v>4.3571428571428568</v>
      </c>
      <c r="T55" s="664" t="s">
        <v>511</v>
      </c>
      <c r="U55" s="664" t="s">
        <v>1191</v>
      </c>
      <c r="V55" s="664" t="s">
        <v>554</v>
      </c>
      <c r="W55" s="664" t="s">
        <v>803</v>
      </c>
      <c r="X55" s="691">
        <v>41183</v>
      </c>
      <c r="Y55" s="692">
        <v>1</v>
      </c>
      <c r="Z55" s="691" t="s">
        <v>505</v>
      </c>
      <c r="AA55" s="704" t="s">
        <v>842</v>
      </c>
      <c r="AB55" s="693"/>
      <c r="AC55" s="694">
        <v>42745</v>
      </c>
      <c r="AD55" s="686" t="s">
        <v>1576</v>
      </c>
      <c r="AE55" s="696" t="s">
        <v>1093</v>
      </c>
      <c r="AF55" s="483">
        <f>IF(CampList[[#This Row],[Type of Accomodation]]="camp",MAX(0,CampList[[#This Row],[HH]]-SUMIF(Table_Shelter[Pcode],CampList[[#This Row],[CP_Pcode]],Table_Shelter[HH Covered])),0)</f>
        <v>0</v>
      </c>
      <c r="AG55" s="664"/>
      <c r="AH55" s="693">
        <f>MIN(CampList[[#This Row],[Shelter Gap]],CampList[[#This Row],[Land Status]])</f>
        <v>0</v>
      </c>
      <c r="AI55" s="664" t="str">
        <f ca="1">IFERROR(OFFSET(DistanceToCamp[Nearest Town],MATCH(CampList[[#This Row],[CP_Pcode]],DistanceToCamp[CP_Pcode],0)-1,0,1,1),"")</f>
        <v>Bhamo Town</v>
      </c>
      <c r="AJ55" s="697">
        <f ca="1">IFERROR(OFFSET(DistanceToCamp[distance],MATCH(CampList[[#This Row],[CP_Pcode]],DistanceToCamp[CP_Pcode],0)-1,0,1,1),"")</f>
        <v>0.20824727902294948</v>
      </c>
      <c r="AK55" s="698">
        <f ca="1">IFERROR(INT(CampList[[#This Row],[Distance]]/5)+1,"")</f>
        <v>1</v>
      </c>
    </row>
    <row r="56" spans="1:37" s="445" customFormat="1" ht="15.75" customHeight="1" x14ac:dyDescent="0.25">
      <c r="A56" s="686" t="s">
        <v>500</v>
      </c>
      <c r="B56" s="662" t="s">
        <v>380</v>
      </c>
      <c r="C56" s="662" t="s">
        <v>525</v>
      </c>
      <c r="D56" s="662" t="s">
        <v>5</v>
      </c>
      <c r="E56" s="662" t="s">
        <v>529</v>
      </c>
      <c r="F56" s="662" t="s">
        <v>5</v>
      </c>
      <c r="G56" s="662" t="s">
        <v>530</v>
      </c>
      <c r="H56" s="695" t="s">
        <v>637</v>
      </c>
      <c r="I56" s="695" t="s">
        <v>638</v>
      </c>
      <c r="J56" s="695" t="s">
        <v>643</v>
      </c>
      <c r="K56" s="695" t="s">
        <v>644</v>
      </c>
      <c r="L56" s="662" t="s">
        <v>14</v>
      </c>
      <c r="M56" s="662" t="s">
        <v>13</v>
      </c>
      <c r="N56" s="687">
        <v>97.236919999999998</v>
      </c>
      <c r="O56" s="687">
        <v>24.24766</v>
      </c>
      <c r="P56" s="688">
        <v>0</v>
      </c>
      <c r="Q56" s="689">
        <v>38</v>
      </c>
      <c r="R56" s="689">
        <v>231</v>
      </c>
      <c r="S56" s="690">
        <f>IF(CampList[[#This Row],[HH]]&gt;0,CampList[[#This Row],[Total]]/CampList[[#This Row],[HH]],"NA")</f>
        <v>6.0789473684210522</v>
      </c>
      <c r="T56" s="664" t="s">
        <v>511</v>
      </c>
      <c r="U56" s="664" t="s">
        <v>1191</v>
      </c>
      <c r="V56" s="664" t="s">
        <v>554</v>
      </c>
      <c r="W56" s="664" t="s">
        <v>803</v>
      </c>
      <c r="X56" s="691">
        <v>40878</v>
      </c>
      <c r="Y56" s="692">
        <v>1</v>
      </c>
      <c r="Z56" s="691" t="s">
        <v>460</v>
      </c>
      <c r="AA56" s="704" t="s">
        <v>842</v>
      </c>
      <c r="AB56" s="693"/>
      <c r="AC56" s="694">
        <v>42745</v>
      </c>
      <c r="AD56" s="686" t="s">
        <v>1481</v>
      </c>
      <c r="AE56" s="696" t="s">
        <v>1093</v>
      </c>
      <c r="AF56" s="483">
        <f>IF(CampList[[#This Row],[Type of Accomodation]]="camp",MAX(0,CampList[[#This Row],[HH]]-SUMIF(Table_Shelter[Pcode],CampList[[#This Row],[CP_Pcode]],Table_Shelter[HH Covered])),0)</f>
        <v>0</v>
      </c>
      <c r="AG56" s="664"/>
      <c r="AH56" s="693">
        <f>MIN(CampList[[#This Row],[Shelter Gap]],CampList[[#This Row],[Land Status]])</f>
        <v>0</v>
      </c>
      <c r="AI56" s="664" t="str">
        <f ca="1">IFERROR(OFFSET(DistanceToCamp[Nearest Town],MATCH(CampList[[#This Row],[CP_Pcode]],DistanceToCamp[CP_Pcode],0)-1,0,1,1),"")</f>
        <v>Bhamo Town</v>
      </c>
      <c r="AJ56" s="697">
        <f ca="1">IFERROR(OFFSET(DistanceToCamp[distance],MATCH(CampList[[#This Row],[CP_Pcode]],DistanceToCamp[CP_Pcode],0)-1,0,1,1),"")</f>
        <v>0.84749304721635399</v>
      </c>
      <c r="AK56" s="698">
        <f ca="1">IFERROR(INT(CampList[[#This Row],[Distance]]/5)+1,"")</f>
        <v>1</v>
      </c>
    </row>
    <row r="57" spans="1:37" s="445" customFormat="1" ht="15.75" customHeight="1" x14ac:dyDescent="0.25">
      <c r="A57" s="686" t="s">
        <v>500</v>
      </c>
      <c r="B57" s="662" t="s">
        <v>380</v>
      </c>
      <c r="C57" s="662" t="s">
        <v>525</v>
      </c>
      <c r="D57" s="662" t="s">
        <v>5</v>
      </c>
      <c r="E57" s="662" t="s">
        <v>529</v>
      </c>
      <c r="F57" s="662" t="s">
        <v>5</v>
      </c>
      <c r="G57" s="662" t="s">
        <v>530</v>
      </c>
      <c r="H57" s="695" t="s">
        <v>645</v>
      </c>
      <c r="I57" s="695" t="s">
        <v>646</v>
      </c>
      <c r="J57" s="662" t="s">
        <v>645</v>
      </c>
      <c r="K57" s="709">
        <v>166851</v>
      </c>
      <c r="L57" s="662" t="s">
        <v>26</v>
      </c>
      <c r="M57" s="662" t="s">
        <v>25</v>
      </c>
      <c r="N57" s="687">
        <v>97.240639999999999</v>
      </c>
      <c r="O57" s="687">
        <v>24.24953</v>
      </c>
      <c r="P57" s="688">
        <v>0</v>
      </c>
      <c r="Q57" s="55">
        <v>15</v>
      </c>
      <c r="R57" s="55">
        <v>75</v>
      </c>
      <c r="S57" s="690">
        <f>IF(CampList[[#This Row],[HH]]&gt;0,CampList[[#This Row],[Total]]/CampList[[#This Row],[HH]],"NA")</f>
        <v>5</v>
      </c>
      <c r="T57" s="664" t="s">
        <v>511</v>
      </c>
      <c r="U57" s="664" t="s">
        <v>1191</v>
      </c>
      <c r="V57" s="664" t="s">
        <v>554</v>
      </c>
      <c r="W57" s="664" t="s">
        <v>803</v>
      </c>
      <c r="X57" s="691">
        <v>41122</v>
      </c>
      <c r="Y57" s="692">
        <v>1</v>
      </c>
      <c r="Z57" s="691" t="s">
        <v>505</v>
      </c>
      <c r="AA57" s="693" t="s">
        <v>842</v>
      </c>
      <c r="AB57" s="693"/>
      <c r="AC57" s="694">
        <v>42745</v>
      </c>
      <c r="AD57" s="695" t="s">
        <v>1586</v>
      </c>
      <c r="AE57" s="696" t="s">
        <v>1093</v>
      </c>
      <c r="AF57" s="483">
        <f>IF(CampList[[#This Row],[Type of Accomodation]]="camp",MAX(0,CampList[[#This Row],[HH]]-SUMIF(Table_Shelter[Pcode],CampList[[#This Row],[CP_Pcode]],Table_Shelter[HH Covered])),0)</f>
        <v>0</v>
      </c>
      <c r="AG57" s="664">
        <v>0</v>
      </c>
      <c r="AH57" s="693">
        <f>MIN(CampList[[#This Row],[Shelter Gap]],CampList[[#This Row],[Land Status]])</f>
        <v>0</v>
      </c>
      <c r="AI57" s="664" t="str">
        <f ca="1">IFERROR(OFFSET(DistanceToCamp[Nearest Town],MATCH(CampList[[#This Row],[CP_Pcode]],DistanceToCamp[CP_Pcode],0)-1,0,1,1),"")</f>
        <v>Bhamo Town</v>
      </c>
      <c r="AJ57" s="697">
        <f ca="1">IFERROR(OFFSET(DistanceToCamp[distance],MATCH(CampList[[#This Row],[CP_Pcode]],DistanceToCamp[CP_Pcode],0)-1,0,1,1),"")</f>
        <v>0.87147615879849294</v>
      </c>
      <c r="AK57" s="698">
        <f ca="1">IFERROR(INT(CampList[[#This Row],[Distance]]/5)+1,"")</f>
        <v>1</v>
      </c>
    </row>
    <row r="58" spans="1:37" s="445" customFormat="1" ht="15.75" customHeight="1" x14ac:dyDescent="0.25">
      <c r="A58" s="708" t="s">
        <v>500</v>
      </c>
      <c r="B58" s="663" t="s">
        <v>380</v>
      </c>
      <c r="C58" s="663" t="s">
        <v>525</v>
      </c>
      <c r="D58" s="663" t="s">
        <v>5</v>
      </c>
      <c r="E58" s="663" t="s">
        <v>529</v>
      </c>
      <c r="F58" s="663" t="s">
        <v>5</v>
      </c>
      <c r="G58" s="663" t="s">
        <v>530</v>
      </c>
      <c r="H58" s="663" t="s">
        <v>654</v>
      </c>
      <c r="I58" s="709" t="s">
        <v>655</v>
      </c>
      <c r="J58" s="663" t="s">
        <v>654</v>
      </c>
      <c r="K58" s="663">
        <v>166844</v>
      </c>
      <c r="L58" s="663" t="s">
        <v>20</v>
      </c>
      <c r="M58" s="663" t="s">
        <v>19</v>
      </c>
      <c r="N58" s="689">
        <v>97.315860000000001</v>
      </c>
      <c r="O58" s="689">
        <v>24.32638</v>
      </c>
      <c r="P58" s="711"/>
      <c r="Q58" s="727">
        <v>21</v>
      </c>
      <c r="R58" s="727">
        <v>111</v>
      </c>
      <c r="S58" s="690">
        <f>IF(CampList[[#This Row],[HH]]&gt;0,CampList[[#This Row],[Total]]/CampList[[#This Row],[HH]],"NA")</f>
        <v>5.2857142857142856</v>
      </c>
      <c r="T58" s="483" t="s">
        <v>511</v>
      </c>
      <c r="U58" s="664" t="s">
        <v>1191</v>
      </c>
      <c r="V58" s="483" t="s">
        <v>554</v>
      </c>
      <c r="W58" s="483" t="s">
        <v>803</v>
      </c>
      <c r="X58" s="712">
        <v>40848</v>
      </c>
      <c r="Y58" s="711">
        <v>2</v>
      </c>
      <c r="Z58" s="711" t="s">
        <v>1089</v>
      </c>
      <c r="AA58" s="689" t="s">
        <v>842</v>
      </c>
      <c r="AB58" s="689"/>
      <c r="AC58" s="694">
        <v>42745</v>
      </c>
      <c r="AD58" s="713" t="s">
        <v>1528</v>
      </c>
      <c r="AE58" s="696" t="s">
        <v>1093</v>
      </c>
      <c r="AF58" s="714">
        <f>IF(CampList[[#This Row],[Type of Accomodation]]="camp",MAX(0,CampList[[#This Row],[HH]]-SUMIF(Table_Shelter[Pcode],CampList[[#This Row],[CP_Pcode]],Table_Shelter[HH Covered])),0)</f>
        <v>11</v>
      </c>
      <c r="AG58" s="483"/>
      <c r="AH58" s="688">
        <f>MIN(CampList[[#This Row],[Shelter Gap]],CampList[[#This Row],[Land Status]])</f>
        <v>11</v>
      </c>
      <c r="AI58" s="714" t="str">
        <f ca="1">IFERROR(OFFSET(DistanceToCamp[Nearest Town],MATCH(CampList[[#This Row],[CP_Pcode]],DistanceToCamp[CP_Pcode],0)-1,0,1,1),"")</f>
        <v>Momauk Town</v>
      </c>
      <c r="AJ58" s="697">
        <f ca="1">IFERROR(OFFSET(DistanceToCamp[distance],MATCH(CampList[[#This Row],[CP_Pcode]],DistanceToCamp[CP_Pcode],0)-1,0,1,1),"")</f>
        <v>8.3788619521763046</v>
      </c>
      <c r="AK58" s="715">
        <f ca="1">IFERROR(INT(CampList[[#This Row],[Distance]]/5)+1,"")</f>
        <v>2</v>
      </c>
    </row>
    <row r="59" spans="1:37" s="445" customFormat="1" ht="15.75" customHeight="1" x14ac:dyDescent="0.25">
      <c r="A59" s="686" t="s">
        <v>500</v>
      </c>
      <c r="B59" s="662" t="s">
        <v>380</v>
      </c>
      <c r="C59" s="662" t="s">
        <v>525</v>
      </c>
      <c r="D59" s="662" t="s">
        <v>5</v>
      </c>
      <c r="E59" s="662" t="s">
        <v>529</v>
      </c>
      <c r="F59" s="662" t="s">
        <v>5</v>
      </c>
      <c r="G59" s="662" t="s">
        <v>530</v>
      </c>
      <c r="H59" s="662" t="s">
        <v>637</v>
      </c>
      <c r="I59" s="662" t="s">
        <v>638</v>
      </c>
      <c r="J59" s="662" t="s">
        <v>639</v>
      </c>
      <c r="K59" s="662" t="s">
        <v>640</v>
      </c>
      <c r="L59" s="662" t="s">
        <v>24</v>
      </c>
      <c r="M59" s="662" t="s">
        <v>23</v>
      </c>
      <c r="N59" s="687">
        <v>97.227789999999999</v>
      </c>
      <c r="O59" s="687">
        <v>24.29138</v>
      </c>
      <c r="P59" s="688">
        <v>0</v>
      </c>
      <c r="Q59" s="55">
        <v>21</v>
      </c>
      <c r="R59" s="55">
        <v>95</v>
      </c>
      <c r="S59" s="690">
        <f>IF(CampList[[#This Row],[HH]]&gt;0,CampList[[#This Row],[Total]]/CampList[[#This Row],[HH]],"NA")</f>
        <v>4.5238095238095237</v>
      </c>
      <c r="T59" s="664" t="s">
        <v>511</v>
      </c>
      <c r="U59" s="664" t="s">
        <v>1191</v>
      </c>
      <c r="V59" s="664" t="s">
        <v>554</v>
      </c>
      <c r="W59" s="664" t="s">
        <v>803</v>
      </c>
      <c r="X59" s="691">
        <v>41030</v>
      </c>
      <c r="Y59" s="692">
        <v>2</v>
      </c>
      <c r="Z59" s="691" t="s">
        <v>505</v>
      </c>
      <c r="AA59" s="693" t="s">
        <v>842</v>
      </c>
      <c r="AB59" s="693"/>
      <c r="AC59" s="694">
        <v>42745</v>
      </c>
      <c r="AD59" s="695" t="s">
        <v>1583</v>
      </c>
      <c r="AE59" s="696" t="s">
        <v>1093</v>
      </c>
      <c r="AF59" s="483">
        <f>IF(CampList[[#This Row],[Type of Accomodation]]="camp",MAX(0,CampList[[#This Row],[HH]]-SUMIF(Table_Shelter[Pcode],CampList[[#This Row],[CP_Pcode]],Table_Shelter[HH Covered])),0)</f>
        <v>0</v>
      </c>
      <c r="AG59" s="664">
        <v>0</v>
      </c>
      <c r="AH59" s="693">
        <f>MIN(CampList[[#This Row],[Shelter Gap]],CampList[[#This Row],[Land Status]])</f>
        <v>0</v>
      </c>
      <c r="AI59" s="664" t="str">
        <f ca="1">IFERROR(OFFSET(DistanceToCamp[Nearest Town],MATCH(CampList[[#This Row],[CP_Pcode]],DistanceToCamp[CP_Pcode],0)-1,0,1,1),"")</f>
        <v>Bhamo Town</v>
      </c>
      <c r="AJ59" s="697">
        <f ca="1">IFERROR(OFFSET(DistanceToCamp[distance],MATCH(CampList[[#This Row],[CP_Pcode]],DistanceToCamp[CP_Pcode],0)-1,0,1,1),"")</f>
        <v>4.108228790802368</v>
      </c>
      <c r="AK59" s="698">
        <f ca="1">IFERROR(INT(CampList[[#This Row],[Distance]]/5)+1,"")</f>
        <v>1</v>
      </c>
    </row>
    <row r="60" spans="1:37" s="445" customFormat="1" ht="15.75" customHeight="1" x14ac:dyDescent="0.25">
      <c r="A60" s="686" t="s">
        <v>500</v>
      </c>
      <c r="B60" s="662" t="s">
        <v>380</v>
      </c>
      <c r="C60" s="662" t="s">
        <v>525</v>
      </c>
      <c r="D60" s="662" t="s">
        <v>5</v>
      </c>
      <c r="E60" s="662" t="s">
        <v>529</v>
      </c>
      <c r="F60" s="662" t="s">
        <v>185</v>
      </c>
      <c r="G60" s="662" t="s">
        <v>533</v>
      </c>
      <c r="H60" s="695" t="s">
        <v>662</v>
      </c>
      <c r="I60" s="695" t="s">
        <v>663</v>
      </c>
      <c r="J60" s="695" t="s">
        <v>664</v>
      </c>
      <c r="K60" s="695" t="s">
        <v>665</v>
      </c>
      <c r="L60" s="662" t="s">
        <v>209</v>
      </c>
      <c r="M60" s="662" t="s">
        <v>208</v>
      </c>
      <c r="N60" s="687">
        <v>97.344359999999995</v>
      </c>
      <c r="O60" s="687">
        <v>24.250689999999999</v>
      </c>
      <c r="P60" s="688">
        <v>0</v>
      </c>
      <c r="Q60" s="689">
        <v>226</v>
      </c>
      <c r="R60" s="689">
        <v>1830</v>
      </c>
      <c r="S60" s="690">
        <f>IF(CampList[[#This Row],[HH]]&gt;0,CampList[[#This Row],[Total]]/CampList[[#This Row],[HH]],"NA")</f>
        <v>8.0973451327433636</v>
      </c>
      <c r="T60" s="664" t="s">
        <v>511</v>
      </c>
      <c r="U60" s="664" t="s">
        <v>1191</v>
      </c>
      <c r="V60" s="664" t="s">
        <v>554</v>
      </c>
      <c r="W60" s="664" t="s">
        <v>803</v>
      </c>
      <c r="X60" s="691">
        <v>40695</v>
      </c>
      <c r="Y60" s="692">
        <v>3</v>
      </c>
      <c r="Z60" s="691" t="s">
        <v>460</v>
      </c>
      <c r="AA60" s="704" t="s">
        <v>842</v>
      </c>
      <c r="AB60" s="693"/>
      <c r="AC60" s="694">
        <v>42745</v>
      </c>
      <c r="AD60" s="686" t="s">
        <v>1502</v>
      </c>
      <c r="AE60" s="696" t="s">
        <v>1093</v>
      </c>
      <c r="AF60" s="483">
        <f>IF(CampList[[#This Row],[Type of Accomodation]]="camp",MAX(0,CampList[[#This Row],[HH]]-SUMIF(Table_Shelter[Pcode],CampList[[#This Row],[CP_Pcode]],Table_Shelter[HH Covered])),0)</f>
        <v>0</v>
      </c>
      <c r="AG60" s="664"/>
      <c r="AH60" s="693">
        <f>MIN(CampList[[#This Row],[Shelter Gap]],CampList[[#This Row],[Land Status]])</f>
        <v>0</v>
      </c>
      <c r="AI60" s="664" t="str">
        <f ca="1">IFERROR(OFFSET(DistanceToCamp[Nearest Town],MATCH(CampList[[#This Row],[CP_Pcode]],DistanceToCamp[CP_Pcode],0)-1,0,1,1),"")</f>
        <v>Momauk Town</v>
      </c>
      <c r="AJ60" s="697">
        <f ca="1">IFERROR(OFFSET(DistanceToCamp[distance],MATCH(CampList[[#This Row],[CP_Pcode]],DistanceToCamp[CP_Pcode],0)-1,0,1,1),"")</f>
        <v>0.62513510418653162</v>
      </c>
      <c r="AK60" s="698">
        <f ca="1">IFERROR(INT(CampList[[#This Row],[Distance]]/5)+1,"")</f>
        <v>1</v>
      </c>
    </row>
    <row r="61" spans="1:37" s="445" customFormat="1" ht="15.75" hidden="1" customHeight="1" x14ac:dyDescent="0.25">
      <c r="A61" s="686" t="s">
        <v>843</v>
      </c>
      <c r="B61" s="662" t="s">
        <v>380</v>
      </c>
      <c r="C61" s="662" t="s">
        <v>525</v>
      </c>
      <c r="D61" s="662" t="s">
        <v>5</v>
      </c>
      <c r="E61" s="662" t="s">
        <v>529</v>
      </c>
      <c r="F61" s="662" t="s">
        <v>185</v>
      </c>
      <c r="G61" s="662" t="s">
        <v>533</v>
      </c>
      <c r="H61" s="695" t="s">
        <v>662</v>
      </c>
      <c r="I61" s="695" t="s">
        <v>663</v>
      </c>
      <c r="J61" s="695" t="s">
        <v>667</v>
      </c>
      <c r="K61" s="695" t="s">
        <v>668</v>
      </c>
      <c r="L61" s="662" t="s">
        <v>211</v>
      </c>
      <c r="M61" s="662" t="s">
        <v>210</v>
      </c>
      <c r="N61" s="687">
        <v>97.346950000000007</v>
      </c>
      <c r="O61" s="687">
        <v>24.25177</v>
      </c>
      <c r="P61" s="688">
        <v>0</v>
      </c>
      <c r="Q61" s="705"/>
      <c r="R61" s="706"/>
      <c r="S61" s="690" t="str">
        <f>IF(CampList[[#This Row],[HH]]&gt;0,CampList[[#This Row],[Total]]/CampList[[#This Row],[HH]],"NA")</f>
        <v>NA</v>
      </c>
      <c r="T61" s="664" t="s">
        <v>511</v>
      </c>
      <c r="U61" s="699" t="s">
        <v>1191</v>
      </c>
      <c r="V61" s="664" t="s">
        <v>554</v>
      </c>
      <c r="W61" s="699" t="s">
        <v>803</v>
      </c>
      <c r="X61" s="700">
        <v>40756</v>
      </c>
      <c r="Y61" s="701">
        <v>2</v>
      </c>
      <c r="Z61" s="700" t="s">
        <v>1089</v>
      </c>
      <c r="AA61" s="704" t="s">
        <v>842</v>
      </c>
      <c r="AB61" s="693"/>
      <c r="AC61" s="694">
        <v>41971</v>
      </c>
      <c r="AD61" s="686" t="s">
        <v>1119</v>
      </c>
      <c r="AE61" s="696" t="s">
        <v>1093</v>
      </c>
      <c r="AF61" s="483">
        <f>IF(CampList[[#This Row],[Type of Accomodation]]="camp",MAX(0,CampList[[#This Row],[HH]]-SUMIF(Table_Shelter[Pcode],CampList[[#This Row],[CP_Pcode]],Table_Shelter[HH Covered])),0)</f>
        <v>0</v>
      </c>
      <c r="AG61" s="664"/>
      <c r="AH61" s="693">
        <f>MIN(CampList[[#This Row],[Shelter Gap]],CampList[[#This Row],[Land Status]])</f>
        <v>0</v>
      </c>
      <c r="AI61" s="664" t="str">
        <f ca="1">IFERROR(OFFSET(DistanceToCamp[Nearest Town],MATCH(CampList[[#This Row],[CP_Pcode]],DistanceToCamp[CP_Pcode],0)-1,0,1,1),"")</f>
        <v/>
      </c>
      <c r="AJ61" s="697" t="str">
        <f ca="1">IFERROR(OFFSET(DistanceToCamp[distance],MATCH(CampList[[#This Row],[CP_Pcode]],DistanceToCamp[CP_Pcode],0)-1,0,1,1),"")</f>
        <v/>
      </c>
      <c r="AK61" s="698" t="str">
        <f ca="1">IFERROR(INT(CampList[[#This Row],[Distance]]/5)+1,"")</f>
        <v/>
      </c>
    </row>
    <row r="62" spans="1:37" s="445" customFormat="1" ht="15.75" hidden="1" customHeight="1" x14ac:dyDescent="0.25">
      <c r="A62" s="686" t="s">
        <v>843</v>
      </c>
      <c r="B62" s="662" t="s">
        <v>380</v>
      </c>
      <c r="C62" s="662" t="s">
        <v>525</v>
      </c>
      <c r="D62" s="662" t="s">
        <v>5</v>
      </c>
      <c r="E62" s="662" t="s">
        <v>529</v>
      </c>
      <c r="F62" s="662" t="s">
        <v>185</v>
      </c>
      <c r="G62" s="662" t="s">
        <v>533</v>
      </c>
      <c r="H62" s="695" t="s">
        <v>662</v>
      </c>
      <c r="I62" s="695" t="s">
        <v>663</v>
      </c>
      <c r="J62" s="695" t="s">
        <v>664</v>
      </c>
      <c r="K62" s="695" t="s">
        <v>665</v>
      </c>
      <c r="L62" s="662" t="s">
        <v>207</v>
      </c>
      <c r="M62" s="662" t="s">
        <v>206</v>
      </c>
      <c r="N62" s="687">
        <v>97.346940000000004</v>
      </c>
      <c r="O62" s="687">
        <v>24.251860000000001</v>
      </c>
      <c r="P62" s="703">
        <v>0</v>
      </c>
      <c r="Q62" s="705"/>
      <c r="R62" s="706"/>
      <c r="S62" s="690" t="str">
        <f>IF(CampList[[#This Row],[HH]]&gt;0,CampList[[#This Row],[Total]]/CampList[[#This Row],[HH]],"NA")</f>
        <v>NA</v>
      </c>
      <c r="T62" s="664" t="s">
        <v>511</v>
      </c>
      <c r="U62" s="699" t="s">
        <v>1191</v>
      </c>
      <c r="V62" s="664" t="s">
        <v>554</v>
      </c>
      <c r="W62" s="699" t="s">
        <v>803</v>
      </c>
      <c r="X62" s="700">
        <v>40817</v>
      </c>
      <c r="Y62" s="701"/>
      <c r="Z62" s="700"/>
      <c r="AA62" s="704" t="s">
        <v>842</v>
      </c>
      <c r="AB62" s="693"/>
      <c r="AC62" s="694">
        <v>42317</v>
      </c>
      <c r="AD62" s="686" t="s">
        <v>1311</v>
      </c>
      <c r="AE62" s="696" t="s">
        <v>1093</v>
      </c>
      <c r="AF62" s="483">
        <f>IF(CampList[[#This Row],[Type of Accomodation]]="camp",MAX(0,CampList[[#This Row],[HH]]-SUMIF(Table_Shelter[Pcode],CampList[[#This Row],[CP_Pcode]],Table_Shelter[HH Covered])),0)</f>
        <v>0</v>
      </c>
      <c r="AG62" s="664"/>
      <c r="AH62" s="693">
        <f>MIN(CampList[[#This Row],[Shelter Gap]],CampList[[#This Row],[Land Status]])</f>
        <v>0</v>
      </c>
      <c r="AI62" s="664"/>
      <c r="AJ62" s="697"/>
      <c r="AK62" s="698"/>
    </row>
    <row r="63" spans="1:37" s="445" customFormat="1" ht="15.75" hidden="1" customHeight="1" x14ac:dyDescent="0.25">
      <c r="A63" s="686" t="s">
        <v>843</v>
      </c>
      <c r="B63" s="662" t="s">
        <v>380</v>
      </c>
      <c r="C63" s="662" t="s">
        <v>525</v>
      </c>
      <c r="D63" s="662" t="s">
        <v>5</v>
      </c>
      <c r="E63" s="662" t="s">
        <v>529</v>
      </c>
      <c r="F63" s="662" t="s">
        <v>185</v>
      </c>
      <c r="G63" s="662" t="s">
        <v>533</v>
      </c>
      <c r="H63" s="662" t="s">
        <v>662</v>
      </c>
      <c r="I63" s="662" t="s">
        <v>663</v>
      </c>
      <c r="J63" s="662" t="s">
        <v>664</v>
      </c>
      <c r="K63" s="662" t="s">
        <v>665</v>
      </c>
      <c r="L63" s="662" t="s">
        <v>217</v>
      </c>
      <c r="M63" s="662" t="s">
        <v>216</v>
      </c>
      <c r="N63" s="687">
        <v>97.347740000000002</v>
      </c>
      <c r="O63" s="687">
        <v>24.253769999999999</v>
      </c>
      <c r="P63" s="688">
        <v>0</v>
      </c>
      <c r="Q63" s="688"/>
      <c r="R63" s="711"/>
      <c r="S63" s="690" t="str">
        <f>IF(CampList[[#This Row],[HH]]&gt;0,CampList[[#This Row],[Total]]/CampList[[#This Row],[HH]],"NA")</f>
        <v>NA</v>
      </c>
      <c r="T63" s="664" t="s">
        <v>511</v>
      </c>
      <c r="U63" s="699" t="s">
        <v>1191</v>
      </c>
      <c r="V63" s="664" t="s">
        <v>554</v>
      </c>
      <c r="W63" s="699" t="s">
        <v>803</v>
      </c>
      <c r="X63" s="700">
        <v>40817</v>
      </c>
      <c r="Y63" s="701">
        <v>1</v>
      </c>
      <c r="Z63" s="700" t="s">
        <v>505</v>
      </c>
      <c r="AA63" s="693" t="s">
        <v>842</v>
      </c>
      <c r="AB63" s="693"/>
      <c r="AC63" s="694">
        <v>42537</v>
      </c>
      <c r="AD63" s="695" t="s">
        <v>1392</v>
      </c>
      <c r="AE63" s="696" t="s">
        <v>1093</v>
      </c>
      <c r="AF63" s="483">
        <f>IF(CampList[[#This Row],[Type of Accomodation]]="camp",MAX(0,CampList[[#This Row],[HH]]-SUMIF(Table_Shelter[Pcode],CampList[[#This Row],[CP_Pcode]],Table_Shelter[HH Covered])),0)</f>
        <v>0</v>
      </c>
      <c r="AG63" s="483"/>
      <c r="AH63" s="693">
        <f>MIN(CampList[[#This Row],[Shelter Gap]],CampList[[#This Row],[Land Status]])</f>
        <v>0</v>
      </c>
      <c r="AI63" s="664" t="str">
        <f ca="1">IFERROR(OFFSET(DistanceToCamp[Nearest Town],MATCH(CampList[[#This Row],[CP_Pcode]],DistanceToCamp[CP_Pcode],0)-1,0,1,1),"")</f>
        <v>Momauk Town</v>
      </c>
      <c r="AJ63" s="697">
        <f ca="1">IFERROR(OFFSET(DistanceToCamp[distance],MATCH(CampList[[#This Row],[CP_Pcode]],DistanceToCamp[CP_Pcode],0)-1,0,1,1),"")</f>
        <v>0.32830807173487342</v>
      </c>
      <c r="AK63" s="698">
        <f ca="1">IFERROR(INT(CampList[[#This Row],[Distance]]/5)+1,"")</f>
        <v>1</v>
      </c>
    </row>
    <row r="64" spans="1:37" s="445" customFormat="1" ht="15.75" customHeight="1" x14ac:dyDescent="0.25">
      <c r="A64" s="686" t="s">
        <v>500</v>
      </c>
      <c r="B64" s="662" t="s">
        <v>380</v>
      </c>
      <c r="C64" s="662" t="s">
        <v>525</v>
      </c>
      <c r="D64" s="662" t="s">
        <v>5</v>
      </c>
      <c r="E64" s="662" t="s">
        <v>529</v>
      </c>
      <c r="F64" s="662" t="s">
        <v>185</v>
      </c>
      <c r="G64" s="662" t="s">
        <v>533</v>
      </c>
      <c r="H64" s="662" t="s">
        <v>796</v>
      </c>
      <c r="I64" s="662" t="s">
        <v>797</v>
      </c>
      <c r="J64" s="662" t="s">
        <v>796</v>
      </c>
      <c r="K64" s="662">
        <v>167086</v>
      </c>
      <c r="L64" s="662" t="s">
        <v>227</v>
      </c>
      <c r="M64" s="662" t="s">
        <v>226</v>
      </c>
      <c r="N64" s="687">
        <v>97.416826999999998</v>
      </c>
      <c r="O64" s="687">
        <v>24.492493</v>
      </c>
      <c r="P64" s="688"/>
      <c r="Q64" s="688">
        <v>10</v>
      </c>
      <c r="R64" s="711">
        <v>38</v>
      </c>
      <c r="S64" s="690">
        <f>IF(CampList[[#This Row],[HH]]&gt;0,CampList[[#This Row],[Total]]/CampList[[#This Row],[HH]],"NA")</f>
        <v>3.8</v>
      </c>
      <c r="T64" s="664" t="s">
        <v>511</v>
      </c>
      <c r="U64" s="664" t="s">
        <v>1191</v>
      </c>
      <c r="V64" s="664" t="s">
        <v>12</v>
      </c>
      <c r="W64" s="664" t="s">
        <v>856</v>
      </c>
      <c r="X64" s="691"/>
      <c r="Y64" s="692"/>
      <c r="Z64" s="691"/>
      <c r="AA64" s="693" t="s">
        <v>841</v>
      </c>
      <c r="AB64" s="693"/>
      <c r="AC64" s="694">
        <v>41803</v>
      </c>
      <c r="AD64" s="695" t="s">
        <v>1068</v>
      </c>
      <c r="AE64" s="696" t="s">
        <v>1093</v>
      </c>
      <c r="AF64" s="483">
        <f>IF(CampList[[#This Row],[Type of Accomodation]]="camp",MAX(0,CampList[[#This Row],[HH]]-SUMIF(Table_Shelter[Pcode],CampList[[#This Row],[CP_Pcode]],Table_Shelter[HH Covered])),0)</f>
        <v>0</v>
      </c>
      <c r="AG64" s="664"/>
      <c r="AH64" s="693">
        <f>MIN(CampList[[#This Row],[Shelter Gap]],CampList[[#This Row],[Land Status]])</f>
        <v>0</v>
      </c>
      <c r="AI64" s="664" t="str">
        <f ca="1">IFERROR(OFFSET(DistanceToCamp[Nearest Town],MATCH(CampList[[#This Row],[CP_Pcode]],DistanceToCamp[CP_Pcode],0)-1,0,1,1),"")</f>
        <v>Dawthponeyan  Town</v>
      </c>
      <c r="AJ64" s="697">
        <f ca="1">IFERROR(OFFSET(DistanceToCamp[distance],MATCH(CampList[[#This Row],[CP_Pcode]],DistanceToCamp[CP_Pcode],0)-1,0,1,1),"")</f>
        <v>14.236592976936194</v>
      </c>
      <c r="AK64" s="698">
        <f ca="1">IFERROR(INT(CampList[[#This Row],[Distance]]/5)+1,"")</f>
        <v>3</v>
      </c>
    </row>
    <row r="65" spans="1:37" s="445" customFormat="1" ht="15.75" customHeight="1" x14ac:dyDescent="0.25">
      <c r="A65" s="686" t="s">
        <v>500</v>
      </c>
      <c r="B65" s="662" t="s">
        <v>380</v>
      </c>
      <c r="C65" s="662" t="s">
        <v>525</v>
      </c>
      <c r="D65" s="662" t="s">
        <v>5</v>
      </c>
      <c r="E65" s="662" t="s">
        <v>529</v>
      </c>
      <c r="F65" s="662" t="s">
        <v>185</v>
      </c>
      <c r="G65" s="662" t="s">
        <v>533</v>
      </c>
      <c r="H65" s="695" t="s">
        <v>798</v>
      </c>
      <c r="I65" s="695" t="s">
        <v>799</v>
      </c>
      <c r="J65" s="695" t="s">
        <v>798</v>
      </c>
      <c r="K65" s="695">
        <v>167048</v>
      </c>
      <c r="L65" s="662" t="s">
        <v>213</v>
      </c>
      <c r="M65" s="662" t="s">
        <v>212</v>
      </c>
      <c r="N65" s="687">
        <v>97.407787999999996</v>
      </c>
      <c r="O65" s="687">
        <v>24.404876999999999</v>
      </c>
      <c r="P65" s="711"/>
      <c r="Q65" s="705">
        <v>13</v>
      </c>
      <c r="R65" s="706">
        <v>53</v>
      </c>
      <c r="S65" s="690">
        <f>IF(CampList[[#This Row],[HH]]&gt;0,CampList[[#This Row],[Total]]/CampList[[#This Row],[HH]],"NA")</f>
        <v>4.0769230769230766</v>
      </c>
      <c r="T65" s="664" t="s">
        <v>511</v>
      </c>
      <c r="U65" s="664" t="s">
        <v>1191</v>
      </c>
      <c r="V65" s="725" t="s">
        <v>12</v>
      </c>
      <c r="W65" s="664" t="s">
        <v>856</v>
      </c>
      <c r="X65" s="712"/>
      <c r="Y65" s="711"/>
      <c r="Z65" s="693"/>
      <c r="AA65" s="704" t="s">
        <v>841</v>
      </c>
      <c r="AB65" s="693"/>
      <c r="AC65" s="694">
        <v>41803</v>
      </c>
      <c r="AD65" s="686" t="s">
        <v>1068</v>
      </c>
      <c r="AE65" s="721" t="s">
        <v>1093</v>
      </c>
      <c r="AF65" s="483">
        <f>IF(CampList[[#This Row],[Type of Accomodation]]="camp",MAX(0,CampList[[#This Row],[HH]]-SUMIF(Table_Shelter[Pcode],CampList[[#This Row],[CP_Pcode]],Table_Shelter[HH Covered])),0)</f>
        <v>0</v>
      </c>
      <c r="AG65" s="664"/>
      <c r="AH65" s="693">
        <f>MIN(CampList[[#This Row],[Shelter Gap]],CampList[[#This Row],[Land Status]])</f>
        <v>0</v>
      </c>
      <c r="AI65" s="664" t="str">
        <f ca="1">IFERROR(OFFSET(DistanceToCamp[Nearest Town],MATCH(CampList[[#This Row],[CP_Pcode]],DistanceToCamp[CP_Pcode],0)-1,0,1,1),"")</f>
        <v>Momauk Town</v>
      </c>
      <c r="AJ65" s="697">
        <f ca="1">IFERROR(OFFSET(DistanceToCamp[distance],MATCH(CampList[[#This Row],[CP_Pcode]],DistanceToCamp[CP_Pcode],0)-1,0,1,1),"")</f>
        <v>17.689123339899055</v>
      </c>
      <c r="AK65" s="698">
        <f ca="1">IFERROR(INT(CampList[[#This Row],[Distance]]/5)+1,"")</f>
        <v>4</v>
      </c>
    </row>
    <row r="66" spans="1:37" s="445" customFormat="1" ht="15.75" customHeight="1" x14ac:dyDescent="0.25">
      <c r="A66" s="708" t="s">
        <v>500</v>
      </c>
      <c r="B66" s="663" t="s">
        <v>380</v>
      </c>
      <c r="C66" s="663" t="s">
        <v>525</v>
      </c>
      <c r="D66" s="663" t="s">
        <v>5</v>
      </c>
      <c r="E66" s="663" t="s">
        <v>529</v>
      </c>
      <c r="F66" s="663" t="s">
        <v>185</v>
      </c>
      <c r="G66" s="663" t="s">
        <v>533</v>
      </c>
      <c r="H66" s="663" t="s">
        <v>658</v>
      </c>
      <c r="I66" s="709" t="s">
        <v>659</v>
      </c>
      <c r="J66" s="663" t="s">
        <v>658</v>
      </c>
      <c r="K66" s="663">
        <v>167009</v>
      </c>
      <c r="L66" s="663" t="s">
        <v>202</v>
      </c>
      <c r="M66" s="663" t="s">
        <v>201</v>
      </c>
      <c r="N66" s="689">
        <v>97.325019999999995</v>
      </c>
      <c r="O66" s="689">
        <v>24.245100000000001</v>
      </c>
      <c r="P66" s="711"/>
      <c r="Q66" s="727">
        <v>263</v>
      </c>
      <c r="R66" s="727">
        <v>1169</v>
      </c>
      <c r="S66" s="690">
        <f>IF(CampList[[#This Row],[HH]]&gt;0,CampList[[#This Row],[Total]]/CampList[[#This Row],[HH]],"NA")</f>
        <v>4.4448669201520916</v>
      </c>
      <c r="T66" s="483" t="s">
        <v>511</v>
      </c>
      <c r="U66" s="664" t="s">
        <v>1191</v>
      </c>
      <c r="V66" s="483" t="s">
        <v>554</v>
      </c>
      <c r="W66" s="483" t="s">
        <v>803</v>
      </c>
      <c r="X66" s="712">
        <v>41030</v>
      </c>
      <c r="Y66" s="711">
        <v>2</v>
      </c>
      <c r="Z66" s="711" t="s">
        <v>1089</v>
      </c>
      <c r="AA66" s="689" t="s">
        <v>842</v>
      </c>
      <c r="AB66" s="689"/>
      <c r="AC66" s="694">
        <v>42745</v>
      </c>
      <c r="AD66" s="713" t="s">
        <v>1529</v>
      </c>
      <c r="AE66" s="696" t="s">
        <v>1093</v>
      </c>
      <c r="AF66" s="714">
        <f>IF(CampList[[#This Row],[Type of Accomodation]]="camp",MAX(0,CampList[[#This Row],[HH]]-SUMIF(Table_Shelter[Pcode],CampList[[#This Row],[CP_Pcode]],Table_Shelter[HH Covered])),0)</f>
        <v>110</v>
      </c>
      <c r="AG66" s="483"/>
      <c r="AH66" s="688">
        <f>MIN(CampList[[#This Row],[Shelter Gap]],CampList[[#This Row],[Land Status]])</f>
        <v>110</v>
      </c>
      <c r="AI66" s="714" t="str">
        <f ca="1">IFERROR(OFFSET(DistanceToCamp[Nearest Town],MATCH(CampList[[#This Row],[CP_Pcode]],DistanceToCamp[CP_Pcode],0)-1,0,1,1),"")</f>
        <v>Momauk Town</v>
      </c>
      <c r="AJ66" s="697">
        <f ca="1">IFERROR(OFFSET(DistanceToCamp[distance],MATCH(CampList[[#This Row],[CP_Pcode]],DistanceToCamp[CP_Pcode],0)-1,0,1,1),"")</f>
        <v>2.4411071835305544</v>
      </c>
      <c r="AK66" s="715">
        <f ca="1">IFERROR(INT(CampList[[#This Row],[Distance]]/5)+1,"")</f>
        <v>1</v>
      </c>
    </row>
    <row r="67" spans="1:37" s="445" customFormat="1" ht="15.75" customHeight="1" x14ac:dyDescent="0.25">
      <c r="A67" s="686" t="s">
        <v>500</v>
      </c>
      <c r="B67" s="662" t="s">
        <v>380</v>
      </c>
      <c r="C67" s="662" t="s">
        <v>525</v>
      </c>
      <c r="D67" s="662" t="s">
        <v>5</v>
      </c>
      <c r="E67" s="662" t="s">
        <v>529</v>
      </c>
      <c r="F67" s="662" t="s">
        <v>185</v>
      </c>
      <c r="G67" s="662" t="s">
        <v>533</v>
      </c>
      <c r="H67" s="695" t="s">
        <v>656</v>
      </c>
      <c r="I67" s="695" t="s">
        <v>657</v>
      </c>
      <c r="J67" s="695" t="s">
        <v>656</v>
      </c>
      <c r="K67" s="695">
        <v>167063</v>
      </c>
      <c r="L67" s="662" t="s">
        <v>204</v>
      </c>
      <c r="M67" s="662" t="s">
        <v>203</v>
      </c>
      <c r="N67" s="687">
        <v>97.321659999999994</v>
      </c>
      <c r="O67" s="687">
        <v>24.410008999999999</v>
      </c>
      <c r="P67" s="711"/>
      <c r="Q67" s="705">
        <v>28</v>
      </c>
      <c r="R67" s="706">
        <v>136</v>
      </c>
      <c r="S67" s="690">
        <f>IF(CampList[[#This Row],[HH]]&gt;0,CampList[[#This Row],[Total]]/CampList[[#This Row],[HH]],"NA")</f>
        <v>4.8571428571428568</v>
      </c>
      <c r="T67" s="664" t="s">
        <v>511</v>
      </c>
      <c r="U67" s="664" t="s">
        <v>1191</v>
      </c>
      <c r="V67" s="725" t="s">
        <v>12</v>
      </c>
      <c r="W67" s="664" t="s">
        <v>856</v>
      </c>
      <c r="X67" s="712"/>
      <c r="Y67" s="711"/>
      <c r="Z67" s="693"/>
      <c r="AA67" s="704" t="s">
        <v>841</v>
      </c>
      <c r="AB67" s="693"/>
      <c r="AC67" s="694"/>
      <c r="AD67" s="686"/>
      <c r="AE67" s="721" t="s">
        <v>1093</v>
      </c>
      <c r="AF67" s="483">
        <f>IF(CampList[[#This Row],[Type of Accomodation]]="camp",MAX(0,CampList[[#This Row],[HH]]-SUMIF(Table_Shelter[Pcode],CampList[[#This Row],[CP_Pcode]],Table_Shelter[HH Covered])),0)</f>
        <v>0</v>
      </c>
      <c r="AG67" s="664"/>
      <c r="AH67" s="693">
        <f>MIN(CampList[[#This Row],[Shelter Gap]],CampList[[#This Row],[Land Status]])</f>
        <v>0</v>
      </c>
      <c r="AI67" s="664" t="str">
        <f ca="1">IFERROR(OFFSET(DistanceToCamp[Nearest Town],MATCH(CampList[[#This Row],[CP_Pcode]],DistanceToCamp[CP_Pcode],0)-1,0,1,1),"")</f>
        <v>Momauk Town</v>
      </c>
      <c r="AJ67" s="697">
        <f ca="1">IFERROR(OFFSET(DistanceToCamp[distance],MATCH(CampList[[#This Row],[CP_Pcode]],DistanceToCamp[CP_Pcode],0)-1,0,1,1),"")</f>
        <v>17.282528446236295</v>
      </c>
      <c r="AK67" s="698">
        <f ca="1">IFERROR(INT(CampList[[#This Row],[Distance]]/5)+1,"")</f>
        <v>4</v>
      </c>
    </row>
    <row r="68" spans="1:37" s="445" customFormat="1" ht="15.75" customHeight="1" x14ac:dyDescent="0.25">
      <c r="A68" s="686" t="s">
        <v>500</v>
      </c>
      <c r="B68" s="662" t="s">
        <v>380</v>
      </c>
      <c r="C68" s="662" t="s">
        <v>525</v>
      </c>
      <c r="D68" s="662" t="s">
        <v>5</v>
      </c>
      <c r="E68" s="662" t="s">
        <v>529</v>
      </c>
      <c r="F68" s="662" t="s">
        <v>185</v>
      </c>
      <c r="G68" s="662" t="s">
        <v>533</v>
      </c>
      <c r="H68" s="695" t="s">
        <v>1388</v>
      </c>
      <c r="I68" s="695" t="s">
        <v>1389</v>
      </c>
      <c r="J68" s="695" t="s">
        <v>1388</v>
      </c>
      <c r="K68" s="716">
        <v>167078</v>
      </c>
      <c r="L68" s="662" t="s">
        <v>200</v>
      </c>
      <c r="M68" s="662" t="s">
        <v>199</v>
      </c>
      <c r="N68" s="687">
        <v>97.409474000000003</v>
      </c>
      <c r="O68" s="687">
        <v>24.441697000000001</v>
      </c>
      <c r="P68" s="711"/>
      <c r="Q68" s="705">
        <v>2</v>
      </c>
      <c r="R68" s="706">
        <v>9</v>
      </c>
      <c r="S68" s="690">
        <f>IF(CampList[[#This Row],[HH]]&gt;0,CampList[[#This Row],[Total]]/CampList[[#This Row],[HH]],"NA")</f>
        <v>4.5</v>
      </c>
      <c r="T68" s="664" t="s">
        <v>511</v>
      </c>
      <c r="U68" s="664" t="s">
        <v>1191</v>
      </c>
      <c r="V68" s="725" t="s">
        <v>12</v>
      </c>
      <c r="W68" s="664" t="s">
        <v>856</v>
      </c>
      <c r="X68" s="712"/>
      <c r="Y68" s="711"/>
      <c r="Z68" s="693"/>
      <c r="AA68" s="704" t="s">
        <v>841</v>
      </c>
      <c r="AB68" s="693"/>
      <c r="AC68" s="694">
        <v>41803</v>
      </c>
      <c r="AD68" s="686" t="s">
        <v>1068</v>
      </c>
      <c r="AE68" s="721" t="s">
        <v>1093</v>
      </c>
      <c r="AF68" s="483">
        <f>IF(CampList[[#This Row],[Type of Accomodation]]="camp",MAX(0,CampList[[#This Row],[HH]]-SUMIF(Table_Shelter[Pcode],CampList[[#This Row],[CP_Pcode]],Table_Shelter[HH Covered])),0)</f>
        <v>0</v>
      </c>
      <c r="AG68" s="483"/>
      <c r="AH68" s="693">
        <f>MIN(CampList[[#This Row],[Shelter Gap]],CampList[[#This Row],[Land Status]])</f>
        <v>0</v>
      </c>
      <c r="AI68" s="664" t="str">
        <f ca="1">IFERROR(OFFSET(DistanceToCamp[Nearest Town],MATCH(CampList[[#This Row],[CP_Pcode]],DistanceToCamp[CP_Pcode],0)-1,0,1,1),"")</f>
        <v>Dawthponeyan  Town</v>
      </c>
      <c r="AJ68" s="697">
        <f ca="1">IFERROR(OFFSET(DistanceToCamp[distance],MATCH(CampList[[#This Row],[CP_Pcode]],DistanceToCamp[CP_Pcode],0)-1,0,1,1),"")</f>
        <v>19.860265975801305</v>
      </c>
      <c r="AK68" s="698">
        <f ca="1">IFERROR(INT(CampList[[#This Row],[Distance]]/5)+1,"")</f>
        <v>4</v>
      </c>
    </row>
    <row r="69" spans="1:37" s="445" customFormat="1" ht="15.75" customHeight="1" x14ac:dyDescent="0.25">
      <c r="A69" s="686" t="s">
        <v>500</v>
      </c>
      <c r="B69" s="662" t="s">
        <v>380</v>
      </c>
      <c r="C69" s="662" t="s">
        <v>525</v>
      </c>
      <c r="D69" s="662" t="s">
        <v>5</v>
      </c>
      <c r="E69" s="662" t="s">
        <v>529</v>
      </c>
      <c r="F69" s="662" t="s">
        <v>185</v>
      </c>
      <c r="G69" s="662" t="s">
        <v>533</v>
      </c>
      <c r="H69" s="662" t="s">
        <v>705</v>
      </c>
      <c r="I69" s="662" t="s">
        <v>706</v>
      </c>
      <c r="J69" s="662" t="s">
        <v>707</v>
      </c>
      <c r="K69" s="662">
        <v>167242</v>
      </c>
      <c r="L69" s="662" t="s">
        <v>221</v>
      </c>
      <c r="M69" s="662" t="s">
        <v>220</v>
      </c>
      <c r="N69" s="687">
        <v>97.429860000000005</v>
      </c>
      <c r="O69" s="687">
        <v>24.630859999999998</v>
      </c>
      <c r="P69" s="688"/>
      <c r="Q69" s="688">
        <v>39</v>
      </c>
      <c r="R69" s="711">
        <v>176</v>
      </c>
      <c r="S69" s="690">
        <f>IF(CampList[[#This Row],[HH]]&gt;0,CampList[[#This Row],[Total]]/CampList[[#This Row],[HH]],"NA")</f>
        <v>4.5128205128205128</v>
      </c>
      <c r="T69" s="664" t="s">
        <v>511</v>
      </c>
      <c r="U69" s="664" t="s">
        <v>1191</v>
      </c>
      <c r="V69" s="664" t="s">
        <v>12</v>
      </c>
      <c r="W69" s="664" t="s">
        <v>856</v>
      </c>
      <c r="X69" s="691"/>
      <c r="Y69" s="692"/>
      <c r="Z69" s="691"/>
      <c r="AA69" s="693" t="s">
        <v>841</v>
      </c>
      <c r="AB69" s="693"/>
      <c r="AC69" s="694">
        <v>41646</v>
      </c>
      <c r="AD69" s="695" t="s">
        <v>889</v>
      </c>
      <c r="AE69" s="696" t="s">
        <v>1093</v>
      </c>
      <c r="AF69" s="483">
        <f>IF(CampList[[#This Row],[Type of Accomodation]]="camp",MAX(0,CampList[[#This Row],[HH]]-SUMIF(Table_Shelter[Pcode],CampList[[#This Row],[CP_Pcode]],Table_Shelter[HH Covered])),0)</f>
        <v>0</v>
      </c>
      <c r="AG69" s="483"/>
      <c r="AH69" s="693">
        <f>MIN(CampList[[#This Row],[Shelter Gap]],CampList[[#This Row],[Land Status]])</f>
        <v>0</v>
      </c>
      <c r="AI69" s="664" t="str">
        <f ca="1">IFERROR(OFFSET(DistanceToCamp[Nearest Town],MATCH(CampList[[#This Row],[CP_Pcode]],DistanceToCamp[CP_Pcode],0)-1,0,1,1),"")</f>
        <v>Dawthponeyan  Town</v>
      </c>
      <c r="AJ69" s="697">
        <f ca="1">IFERROR(OFFSET(DistanceToCamp[distance],MATCH(CampList[[#This Row],[CP_Pcode]],DistanceToCamp[CP_Pcode],0)-1,0,1,1),"")</f>
        <v>3.6887624513681017</v>
      </c>
      <c r="AK69" s="698">
        <f ca="1">IFERROR(INT(CampList[[#This Row],[Distance]]/5)+1,"")</f>
        <v>1</v>
      </c>
    </row>
    <row r="70" spans="1:37" s="445" customFormat="1" ht="15.75" customHeight="1" x14ac:dyDescent="0.25">
      <c r="A70" s="686" t="s">
        <v>500</v>
      </c>
      <c r="B70" s="662" t="s">
        <v>380</v>
      </c>
      <c r="C70" s="662" t="s">
        <v>525</v>
      </c>
      <c r="D70" s="662" t="s">
        <v>5</v>
      </c>
      <c r="E70" s="662" t="s">
        <v>529</v>
      </c>
      <c r="F70" s="662" t="s">
        <v>151</v>
      </c>
      <c r="G70" s="662" t="s">
        <v>539</v>
      </c>
      <c r="H70" s="695" t="s">
        <v>650</v>
      </c>
      <c r="I70" s="695" t="s">
        <v>651</v>
      </c>
      <c r="J70" s="695" t="s">
        <v>652</v>
      </c>
      <c r="K70" s="695" t="s">
        <v>653</v>
      </c>
      <c r="L70" s="662" t="s">
        <v>152</v>
      </c>
      <c r="M70" s="662" t="s">
        <v>150</v>
      </c>
      <c r="N70" s="687">
        <v>97.291820000000001</v>
      </c>
      <c r="O70" s="687">
        <v>24.129059999999999</v>
      </c>
      <c r="P70" s="688">
        <v>0</v>
      </c>
      <c r="Q70" s="689">
        <v>197</v>
      </c>
      <c r="R70" s="689">
        <v>878</v>
      </c>
      <c r="S70" s="690">
        <f>IF(CampList[[#This Row],[HH]]&gt;0,CampList[[#This Row],[Total]]/CampList[[#This Row],[HH]],"NA")</f>
        <v>4.4568527918781724</v>
      </c>
      <c r="T70" s="664" t="s">
        <v>511</v>
      </c>
      <c r="U70" s="664" t="s">
        <v>1191</v>
      </c>
      <c r="V70" s="664" t="s">
        <v>554</v>
      </c>
      <c r="W70" s="664" t="s">
        <v>803</v>
      </c>
      <c r="X70" s="691">
        <v>41579</v>
      </c>
      <c r="Y70" s="692">
        <v>2</v>
      </c>
      <c r="Z70" s="691" t="s">
        <v>460</v>
      </c>
      <c r="AA70" s="704" t="s">
        <v>842</v>
      </c>
      <c r="AB70" s="693"/>
      <c r="AC70" s="694">
        <v>42745</v>
      </c>
      <c r="AD70" s="686" t="s">
        <v>1500</v>
      </c>
      <c r="AE70" s="696" t="s">
        <v>1093</v>
      </c>
      <c r="AF70" s="483">
        <f>IF(CampList[[#This Row],[Type of Accomodation]]="camp",MAX(0,CampList[[#This Row],[HH]]-SUMIF(Table_Shelter[Pcode],CampList[[#This Row],[CP_Pcode]],Table_Shelter[HH Covered])),0)</f>
        <v>92</v>
      </c>
      <c r="AG70" s="664"/>
      <c r="AH70" s="693">
        <f>MIN(CampList[[#This Row],[Shelter Gap]],CampList[[#This Row],[Land Status]])</f>
        <v>92</v>
      </c>
      <c r="AI70" s="664" t="str">
        <f ca="1">IFERROR(OFFSET(DistanceToCamp[Nearest Town],MATCH(CampList[[#This Row],[CP_Pcode]],DistanceToCamp[CP_Pcode],0)-1,0,1,1),"")</f>
        <v>Mansi Town</v>
      </c>
      <c r="AJ70" s="697">
        <f ca="1">IFERROR(OFFSET(DistanceToCamp[distance],MATCH(CampList[[#This Row],[CP_Pcode]],DistanceToCamp[CP_Pcode],0)-1,0,1,1),"")</f>
        <v>1.0576516850656514</v>
      </c>
      <c r="AK70" s="698">
        <f ca="1">IFERROR(INT(CampList[[#This Row],[Distance]]/5)+1,"")</f>
        <v>1</v>
      </c>
    </row>
    <row r="71" spans="1:37" s="445" customFormat="1" ht="15.75" customHeight="1" x14ac:dyDescent="0.25">
      <c r="A71" s="717" t="s">
        <v>500</v>
      </c>
      <c r="B71" s="662" t="s">
        <v>380</v>
      </c>
      <c r="C71" s="662" t="s">
        <v>525</v>
      </c>
      <c r="D71" s="662" t="s">
        <v>5</v>
      </c>
      <c r="E71" s="662" t="s">
        <v>529</v>
      </c>
      <c r="F71" s="662" t="s">
        <v>302</v>
      </c>
      <c r="G71" s="662" t="s">
        <v>540</v>
      </c>
      <c r="H71" s="662" t="s">
        <v>621</v>
      </c>
      <c r="I71" s="662" t="s">
        <v>622</v>
      </c>
      <c r="J71" s="662" t="s">
        <v>621</v>
      </c>
      <c r="K71" s="662" t="s">
        <v>623</v>
      </c>
      <c r="L71" s="662" t="s">
        <v>306</v>
      </c>
      <c r="M71" s="662" t="s">
        <v>305</v>
      </c>
      <c r="N71" s="687">
        <v>96.807353000000006</v>
      </c>
      <c r="O71" s="687">
        <v>24.200361000000001</v>
      </c>
      <c r="P71" s="688">
        <v>0</v>
      </c>
      <c r="Q71" s="689">
        <v>86</v>
      </c>
      <c r="R71" s="689">
        <v>313</v>
      </c>
      <c r="S71" s="690">
        <f>IF(CampList[[#This Row],[HH]]&gt;0,CampList[[#This Row],[Total]]/CampList[[#This Row],[HH]],"NA")</f>
        <v>3.63953488372093</v>
      </c>
      <c r="T71" s="664" t="s">
        <v>511</v>
      </c>
      <c r="U71" s="664" t="s">
        <v>1191</v>
      </c>
      <c r="V71" s="664" t="s">
        <v>554</v>
      </c>
      <c r="W71" s="664" t="s">
        <v>803</v>
      </c>
      <c r="X71" s="691">
        <v>40725</v>
      </c>
      <c r="Y71" s="692">
        <v>1</v>
      </c>
      <c r="Z71" s="691" t="s">
        <v>460</v>
      </c>
      <c r="AA71" s="693" t="s">
        <v>842</v>
      </c>
      <c r="AB71" s="693"/>
      <c r="AC71" s="694">
        <v>42745</v>
      </c>
      <c r="AD71" s="695" t="s">
        <v>1518</v>
      </c>
      <c r="AE71" s="696" t="s">
        <v>1093</v>
      </c>
      <c r="AF71" s="483">
        <f>IF(CampList[[#This Row],[Type of Accomodation]]="camp",MAX(0,CampList[[#This Row],[HH]]-SUMIF(Table_Shelter[Pcode],CampList[[#This Row],[CP_Pcode]],Table_Shelter[HH Covered])),0)</f>
        <v>44</v>
      </c>
      <c r="AG71" s="664"/>
      <c r="AH71" s="693">
        <f>MIN(CampList[[#This Row],[Shelter Gap]],CampList[[#This Row],[Land Status]])</f>
        <v>44</v>
      </c>
      <c r="AI71" s="664" t="str">
        <f ca="1">IFERROR(OFFSET(DistanceToCamp[Nearest Town],MATCH(CampList[[#This Row],[CP_Pcode]],DistanceToCamp[CP_Pcode],0)-1,0,1,1),"")</f>
        <v>Shwegu Town</v>
      </c>
      <c r="AJ71" s="697">
        <f ca="1">IFERROR(OFFSET(DistanceToCamp[distance],MATCH(CampList[[#This Row],[CP_Pcode]],DistanceToCamp[CP_Pcode],0)-1,0,1,1),"")</f>
        <v>0.74396039478864395</v>
      </c>
      <c r="AK71" s="698">
        <f ca="1">IFERROR(INT(CampList[[#This Row],[Distance]]/5)+1,"")</f>
        <v>1</v>
      </c>
    </row>
    <row r="72" spans="1:37" s="445" customFormat="1" ht="15.75" customHeight="1" x14ac:dyDescent="0.25">
      <c r="A72" s="722" t="s">
        <v>500</v>
      </c>
      <c r="B72" s="663" t="s">
        <v>380</v>
      </c>
      <c r="C72" s="663" t="s">
        <v>525</v>
      </c>
      <c r="D72" s="663" t="s">
        <v>5</v>
      </c>
      <c r="E72" s="663" t="s">
        <v>529</v>
      </c>
      <c r="F72" s="663" t="s">
        <v>302</v>
      </c>
      <c r="G72" s="663" t="s">
        <v>540</v>
      </c>
      <c r="H72" s="663" t="s">
        <v>621</v>
      </c>
      <c r="I72" s="709" t="s">
        <v>622</v>
      </c>
      <c r="J72" s="663" t="s">
        <v>621</v>
      </c>
      <c r="K72" s="663" t="s">
        <v>623</v>
      </c>
      <c r="L72" s="663" t="s">
        <v>308</v>
      </c>
      <c r="M72" s="663" t="s">
        <v>307</v>
      </c>
      <c r="N72" s="689">
        <v>96.807353000000006</v>
      </c>
      <c r="O72" s="689">
        <v>24.200367</v>
      </c>
      <c r="P72" s="711"/>
      <c r="Q72" s="727">
        <v>40</v>
      </c>
      <c r="R72" s="727">
        <v>196</v>
      </c>
      <c r="S72" s="690">
        <f>IF(CampList[[#This Row],[HH]]&gt;0,CampList[[#This Row],[Total]]/CampList[[#This Row],[HH]],"NA")</f>
        <v>4.9000000000000004</v>
      </c>
      <c r="T72" s="483" t="s">
        <v>511</v>
      </c>
      <c r="U72" s="664" t="s">
        <v>1191</v>
      </c>
      <c r="V72" s="483" t="s">
        <v>554</v>
      </c>
      <c r="W72" s="483" t="s">
        <v>803</v>
      </c>
      <c r="X72" s="712">
        <v>40725</v>
      </c>
      <c r="Y72" s="711">
        <v>2</v>
      </c>
      <c r="Z72" s="711" t="s">
        <v>1089</v>
      </c>
      <c r="AA72" s="689" t="s">
        <v>842</v>
      </c>
      <c r="AB72" s="689"/>
      <c r="AC72" s="694">
        <v>42745</v>
      </c>
      <c r="AD72" s="713" t="s">
        <v>1530</v>
      </c>
      <c r="AE72" s="696" t="s">
        <v>1093</v>
      </c>
      <c r="AF72" s="714">
        <f>IF(CampList[[#This Row],[Type of Accomodation]]="camp",MAX(0,CampList[[#This Row],[HH]]-SUMIF(Table_Shelter[Pcode],CampList[[#This Row],[CP_Pcode]],Table_Shelter[HH Covered])),0)</f>
        <v>0</v>
      </c>
      <c r="AG72" s="483"/>
      <c r="AH72" s="688">
        <f>MIN(CampList[[#This Row],[Shelter Gap]],CampList[[#This Row],[Land Status]])</f>
        <v>0</v>
      </c>
      <c r="AI72" s="714" t="str">
        <f ca="1">IFERROR(OFFSET(DistanceToCamp[Nearest Town],MATCH(CampList[[#This Row],[CP_Pcode]],DistanceToCamp[CP_Pcode],0)-1,0,1,1),"")</f>
        <v>Shwegu Town</v>
      </c>
      <c r="AJ72" s="697">
        <f ca="1">IFERROR(OFFSET(DistanceToCamp[distance],MATCH(CampList[[#This Row],[CP_Pcode]],DistanceToCamp[CP_Pcode],0)-1,0,1,1),"")</f>
        <v>0.74330366237812662</v>
      </c>
      <c r="AK72" s="715">
        <f ca="1">IFERROR(INT(CampList[[#This Row],[Distance]]/5)+1,"")</f>
        <v>1</v>
      </c>
    </row>
    <row r="73" spans="1:37" s="445" customFormat="1" ht="15.75" customHeight="1" x14ac:dyDescent="0.25">
      <c r="A73" s="708" t="s">
        <v>500</v>
      </c>
      <c r="B73" s="663" t="s">
        <v>380</v>
      </c>
      <c r="C73" s="663" t="s">
        <v>525</v>
      </c>
      <c r="D73" s="663" t="s">
        <v>5</v>
      </c>
      <c r="E73" s="663" t="s">
        <v>529</v>
      </c>
      <c r="F73" s="663" t="s">
        <v>185</v>
      </c>
      <c r="G73" s="663" t="s">
        <v>533</v>
      </c>
      <c r="H73" s="663" t="s">
        <v>753</v>
      </c>
      <c r="I73" s="709" t="s">
        <v>754</v>
      </c>
      <c r="J73" s="728" t="s">
        <v>1375</v>
      </c>
      <c r="K73" s="728" t="s">
        <v>1376</v>
      </c>
      <c r="L73" s="663" t="s">
        <v>223</v>
      </c>
      <c r="M73" s="663" t="s">
        <v>222</v>
      </c>
      <c r="N73" s="689">
        <v>97.724566999999993</v>
      </c>
      <c r="O73" s="689">
        <v>24.205417000000001</v>
      </c>
      <c r="P73" s="711"/>
      <c r="Q73" s="727">
        <v>124</v>
      </c>
      <c r="R73" s="727">
        <v>651</v>
      </c>
      <c r="S73" s="690">
        <f>IF(CampList[[#This Row],[HH]]&gt;0,CampList[[#This Row],[Total]]/CampList[[#This Row],[HH]],"NA")</f>
        <v>5.25</v>
      </c>
      <c r="T73" s="483" t="s">
        <v>511</v>
      </c>
      <c r="U73" s="664" t="s">
        <v>1191</v>
      </c>
      <c r="V73" s="483" t="s">
        <v>554</v>
      </c>
      <c r="W73" s="483" t="s">
        <v>803</v>
      </c>
      <c r="X73" s="712">
        <v>40848</v>
      </c>
      <c r="Y73" s="711">
        <v>2</v>
      </c>
      <c r="Z73" s="711" t="s">
        <v>1089</v>
      </c>
      <c r="AA73" s="689" t="s">
        <v>842</v>
      </c>
      <c r="AB73" s="689"/>
      <c r="AC73" s="694">
        <v>42745</v>
      </c>
      <c r="AD73" s="713" t="s">
        <v>1531</v>
      </c>
      <c r="AE73" s="696" t="s">
        <v>1079</v>
      </c>
      <c r="AF73" s="714">
        <f>IF(CampList[[#This Row],[Type of Accomodation]]="camp",MAX(0,CampList[[#This Row],[HH]]-SUMIF(Table_Shelter[Pcode],CampList[[#This Row],[CP_Pcode]],Table_Shelter[HH Covered])),0)</f>
        <v>57</v>
      </c>
      <c r="AG73" s="483"/>
      <c r="AH73" s="688">
        <f>MIN(CampList[[#This Row],[Shelter Gap]],CampList[[#This Row],[Land Status]])</f>
        <v>57</v>
      </c>
      <c r="AI73" s="714" t="str">
        <f ca="1">IFERROR(OFFSET(DistanceToCamp[Nearest Town],MATCH(CampList[[#This Row],[CP_Pcode]],DistanceToCamp[CP_Pcode],0)-1,0,1,1),"")</f>
        <v>Lwegel Town</v>
      </c>
      <c r="AJ73" s="697">
        <f ca="1">IFERROR(OFFSET(DistanceToCamp[distance],MATCH(CampList[[#This Row],[CP_Pcode]],DistanceToCamp[CP_Pcode],0)-1,0,1,1),"")</f>
        <v>0.77978735578277303</v>
      </c>
      <c r="AK73" s="715">
        <f ca="1">IFERROR(INT(CampList[[#This Row],[Distance]]/5)+1,"")</f>
        <v>1</v>
      </c>
    </row>
    <row r="74" spans="1:37" s="445" customFormat="1" ht="15.75" customHeight="1" x14ac:dyDescent="0.25">
      <c r="A74" s="686" t="s">
        <v>500</v>
      </c>
      <c r="B74" s="662" t="s">
        <v>380</v>
      </c>
      <c r="C74" s="662" t="s">
        <v>525</v>
      </c>
      <c r="D74" s="662" t="s">
        <v>5</v>
      </c>
      <c r="E74" s="662" t="s">
        <v>529</v>
      </c>
      <c r="F74" s="662" t="s">
        <v>185</v>
      </c>
      <c r="G74" s="662" t="s">
        <v>533</v>
      </c>
      <c r="H74" s="695" t="s">
        <v>753</v>
      </c>
      <c r="I74" s="695" t="s">
        <v>754</v>
      </c>
      <c r="J74" s="695" t="s">
        <v>758</v>
      </c>
      <c r="K74" s="695" t="s">
        <v>759</v>
      </c>
      <c r="L74" s="662" t="s">
        <v>190</v>
      </c>
      <c r="M74" s="662" t="s">
        <v>189</v>
      </c>
      <c r="N74" s="687">
        <v>97.717133000000004</v>
      </c>
      <c r="O74" s="687">
        <v>24.200433</v>
      </c>
      <c r="P74" s="688">
        <v>0</v>
      </c>
      <c r="Q74" s="689">
        <v>192</v>
      </c>
      <c r="R74" s="689">
        <v>1044</v>
      </c>
      <c r="S74" s="690">
        <f>IF(CampList[[#This Row],[HH]]&gt;0,CampList[[#This Row],[Total]]/CampList[[#This Row],[HH]],"NA")</f>
        <v>5.4375</v>
      </c>
      <c r="T74" s="664" t="s">
        <v>511</v>
      </c>
      <c r="U74" s="664" t="s">
        <v>1191</v>
      </c>
      <c r="V74" s="664" t="s">
        <v>554</v>
      </c>
      <c r="W74" s="664" t="s">
        <v>803</v>
      </c>
      <c r="X74" s="691">
        <v>41000</v>
      </c>
      <c r="Y74" s="692">
        <v>2</v>
      </c>
      <c r="Z74" s="691" t="s">
        <v>460</v>
      </c>
      <c r="AA74" s="704" t="s">
        <v>842</v>
      </c>
      <c r="AB74" s="693"/>
      <c r="AC74" s="694">
        <v>42745</v>
      </c>
      <c r="AD74" s="686" t="s">
        <v>1489</v>
      </c>
      <c r="AE74" s="696" t="s">
        <v>1079</v>
      </c>
      <c r="AF74" s="483">
        <f>IF(CampList[[#This Row],[Type of Accomodation]]="camp",MAX(0,CampList[[#This Row],[HH]]-SUMIF(Table_Shelter[Pcode],CampList[[#This Row],[CP_Pcode]],Table_Shelter[HH Covered])),0)</f>
        <v>110</v>
      </c>
      <c r="AG74" s="664"/>
      <c r="AH74" s="693">
        <f>MIN(CampList[[#This Row],[Shelter Gap]],CampList[[#This Row],[Land Status]])</f>
        <v>110</v>
      </c>
      <c r="AI74" s="664" t="str">
        <f ca="1">IFERROR(OFFSET(DistanceToCamp[Nearest Town],MATCH(CampList[[#This Row],[CP_Pcode]],DistanceToCamp[CP_Pcode],0)-1,0,1,1),"")</f>
        <v>Lwegel Town</v>
      </c>
      <c r="AJ74" s="697">
        <f ca="1">IFERROR(OFFSET(DistanceToCamp[distance],MATCH(CampList[[#This Row],[CP_Pcode]],DistanceToCamp[CP_Pcode],0)-1,0,1,1),"")</f>
        <v>0.38934692601696641</v>
      </c>
      <c r="AK74" s="698">
        <f ca="1">IFERROR(INT(CampList[[#This Row],[Distance]]/5)+1,"")</f>
        <v>1</v>
      </c>
    </row>
    <row r="75" spans="1:37" s="445" customFormat="1" ht="15.75" customHeight="1" x14ac:dyDescent="0.25">
      <c r="A75" s="686" t="s">
        <v>500</v>
      </c>
      <c r="B75" s="662" t="s">
        <v>380</v>
      </c>
      <c r="C75" s="662" t="s">
        <v>525</v>
      </c>
      <c r="D75" s="662" t="s">
        <v>5</v>
      </c>
      <c r="E75" s="662" t="s">
        <v>529</v>
      </c>
      <c r="F75" s="662" t="s">
        <v>185</v>
      </c>
      <c r="G75" s="662" t="s">
        <v>533</v>
      </c>
      <c r="H75" s="695" t="s">
        <v>753</v>
      </c>
      <c r="I75" s="695" t="s">
        <v>754</v>
      </c>
      <c r="J75" s="728" t="s">
        <v>1375</v>
      </c>
      <c r="K75" s="728" t="s">
        <v>1376</v>
      </c>
      <c r="L75" s="662" t="s">
        <v>186</v>
      </c>
      <c r="M75" s="662" t="s">
        <v>184</v>
      </c>
      <c r="N75" s="687">
        <v>97.718582999999995</v>
      </c>
      <c r="O75" s="687">
        <v>24.200972</v>
      </c>
      <c r="P75" s="711"/>
      <c r="Q75" s="689">
        <v>39</v>
      </c>
      <c r="R75" s="689">
        <v>233</v>
      </c>
      <c r="S75" s="690">
        <f>IF(CampList[[#This Row],[HH]]&gt;0,CampList[[#This Row],[Total]]/CampList[[#This Row],[HH]],"NA")</f>
        <v>5.9743589743589745</v>
      </c>
      <c r="T75" s="664" t="s">
        <v>511</v>
      </c>
      <c r="U75" s="664" t="s">
        <v>1191</v>
      </c>
      <c r="V75" s="664" t="s">
        <v>554</v>
      </c>
      <c r="W75" s="664" t="s">
        <v>803</v>
      </c>
      <c r="X75" s="712">
        <v>41030</v>
      </c>
      <c r="Y75" s="692">
        <v>1</v>
      </c>
      <c r="Z75" s="691" t="s">
        <v>460</v>
      </c>
      <c r="AA75" s="704" t="s">
        <v>842</v>
      </c>
      <c r="AB75" s="693"/>
      <c r="AC75" s="694">
        <v>42745</v>
      </c>
      <c r="AD75" s="686" t="s">
        <v>1481</v>
      </c>
      <c r="AE75" s="696" t="s">
        <v>1079</v>
      </c>
      <c r="AF75" s="483">
        <f>IF(CampList[[#This Row],[Type of Accomodation]]="camp",MAX(0,CampList[[#This Row],[HH]]-SUMIF(Table_Shelter[Pcode],CampList[[#This Row],[CP_Pcode]],Table_Shelter[HH Covered])),0)</f>
        <v>0</v>
      </c>
      <c r="AG75" s="664"/>
      <c r="AH75" s="693">
        <f>MIN(CampList[[#This Row],[Shelter Gap]],CampList[[#This Row],[Land Status]])</f>
        <v>0</v>
      </c>
      <c r="AI75" s="664" t="str">
        <f ca="1">IFERROR(OFFSET(DistanceToCamp[Nearest Town],MATCH(CampList[[#This Row],[CP_Pcode]],DistanceToCamp[CP_Pcode],0)-1,0,1,1),"")</f>
        <v>Lwegel Town</v>
      </c>
      <c r="AJ75" s="697">
        <f ca="1">IFERROR(OFFSET(DistanceToCamp[distance],MATCH(CampList[[#This Row],[CP_Pcode]],DistanceToCamp[CP_Pcode],0)-1,0,1,1),"")</f>
        <v>0.28829825866869707</v>
      </c>
      <c r="AK75" s="698">
        <f ca="1">IFERROR(INT(CampList[[#This Row],[Distance]]/5)+1,"")</f>
        <v>1</v>
      </c>
    </row>
    <row r="76" spans="1:37" s="445" customFormat="1" ht="15.75" customHeight="1" x14ac:dyDescent="0.25">
      <c r="A76" s="686" t="s">
        <v>500</v>
      </c>
      <c r="B76" s="662" t="s">
        <v>380</v>
      </c>
      <c r="C76" s="662" t="s">
        <v>525</v>
      </c>
      <c r="D76" s="662" t="s">
        <v>5</v>
      </c>
      <c r="E76" s="662" t="s">
        <v>529</v>
      </c>
      <c r="F76" s="662" t="s">
        <v>185</v>
      </c>
      <c r="G76" s="662" t="s">
        <v>533</v>
      </c>
      <c r="H76" s="662" t="s">
        <v>753</v>
      </c>
      <c r="I76" s="662" t="s">
        <v>1257</v>
      </c>
      <c r="J76" s="728" t="s">
        <v>758</v>
      </c>
      <c r="K76" s="728" t="s">
        <v>759</v>
      </c>
      <c r="L76" s="662" t="s">
        <v>229</v>
      </c>
      <c r="M76" s="662" t="s">
        <v>228</v>
      </c>
      <c r="N76" s="687">
        <v>97.724483000000006</v>
      </c>
      <c r="O76" s="687">
        <v>24.205417000000001</v>
      </c>
      <c r="P76" s="688">
        <v>0</v>
      </c>
      <c r="Q76" s="689">
        <v>49</v>
      </c>
      <c r="R76" s="689">
        <v>295</v>
      </c>
      <c r="S76" s="690">
        <f>IF(CampList[[#This Row],[HH]]&gt;0,CampList[[#This Row],[Total]]/CampList[[#This Row],[HH]],"NA")</f>
        <v>6.0204081632653059</v>
      </c>
      <c r="T76" s="664" t="s">
        <v>511</v>
      </c>
      <c r="U76" s="664" t="s">
        <v>1191</v>
      </c>
      <c r="V76" s="664" t="s">
        <v>554</v>
      </c>
      <c r="W76" s="664" t="s">
        <v>803</v>
      </c>
      <c r="X76" s="691">
        <v>41122</v>
      </c>
      <c r="Y76" s="692">
        <v>1</v>
      </c>
      <c r="Z76" s="691" t="s">
        <v>460</v>
      </c>
      <c r="AA76" s="693" t="s">
        <v>842</v>
      </c>
      <c r="AB76" s="693"/>
      <c r="AC76" s="694">
        <v>42745</v>
      </c>
      <c r="AD76" s="695" t="s">
        <v>1502</v>
      </c>
      <c r="AE76" s="696" t="s">
        <v>1079</v>
      </c>
      <c r="AF76" s="483">
        <f>IF(CampList[[#This Row],[Type of Accomodation]]="camp",MAX(0,CampList[[#This Row],[HH]]-SUMIF(Table_Shelter[Pcode],CampList[[#This Row],[CP_Pcode]],Table_Shelter[HH Covered])),0)</f>
        <v>4</v>
      </c>
      <c r="AG76" s="483"/>
      <c r="AH76" s="693">
        <f>MIN(CampList[[#This Row],[Shelter Gap]],CampList[[#This Row],[Land Status]])</f>
        <v>4</v>
      </c>
      <c r="AI76" s="664" t="str">
        <f ca="1">IFERROR(OFFSET(DistanceToCamp[Nearest Town],MATCH(CampList[[#This Row],[CP_Pcode]],DistanceToCamp[CP_Pcode],0)-1,0,1,1),"")</f>
        <v>Lwegel Town</v>
      </c>
      <c r="AJ76" s="697">
        <f ca="1">IFERROR(OFFSET(DistanceToCamp[distance],MATCH(CampList[[#This Row],[CP_Pcode]],DistanceToCamp[CP_Pcode],0)-1,0,1,1),"")</f>
        <v>0.77561767807574999</v>
      </c>
      <c r="AK76" s="698">
        <f ca="1">IFERROR(INT(CampList[[#This Row],[Distance]]/5)+1,"")</f>
        <v>1</v>
      </c>
    </row>
    <row r="77" spans="1:37" s="445" customFormat="1" ht="15.75" customHeight="1" x14ac:dyDescent="0.25">
      <c r="A77" s="686" t="s">
        <v>500</v>
      </c>
      <c r="B77" s="662" t="s">
        <v>380</v>
      </c>
      <c r="C77" s="662" t="s">
        <v>525</v>
      </c>
      <c r="D77" s="662" t="s">
        <v>5</v>
      </c>
      <c r="E77" s="662" t="s">
        <v>529</v>
      </c>
      <c r="F77" s="662" t="s">
        <v>185</v>
      </c>
      <c r="G77" s="662" t="s">
        <v>533</v>
      </c>
      <c r="H77" s="662" t="s">
        <v>753</v>
      </c>
      <c r="I77" s="662" t="s">
        <v>754</v>
      </c>
      <c r="J77" s="662" t="s">
        <v>1381</v>
      </c>
      <c r="K77" s="662" t="s">
        <v>1382</v>
      </c>
      <c r="L77" s="662" t="s">
        <v>225</v>
      </c>
      <c r="M77" s="662" t="s">
        <v>224</v>
      </c>
      <c r="N77" s="687">
        <v>97.710864000000001</v>
      </c>
      <c r="O77" s="687">
        <v>24.207332999999998</v>
      </c>
      <c r="P77" s="688">
        <v>0</v>
      </c>
      <c r="Q77" s="689">
        <v>41</v>
      </c>
      <c r="R77" s="689">
        <v>258</v>
      </c>
      <c r="S77" s="690">
        <f>IF(CampList[[#This Row],[HH]]&gt;0,CampList[[#This Row],[Total]]/CampList[[#This Row],[HH]],"NA")</f>
        <v>6.2926829268292686</v>
      </c>
      <c r="T77" s="664" t="s">
        <v>511</v>
      </c>
      <c r="U77" s="664" t="s">
        <v>1191</v>
      </c>
      <c r="V77" s="664" t="s">
        <v>554</v>
      </c>
      <c r="W77" s="664" t="s">
        <v>803</v>
      </c>
      <c r="X77" s="691">
        <v>41122</v>
      </c>
      <c r="Y77" s="692">
        <v>1</v>
      </c>
      <c r="Z77" s="691" t="s">
        <v>460</v>
      </c>
      <c r="AA77" s="693" t="s">
        <v>842</v>
      </c>
      <c r="AB77" s="693"/>
      <c r="AC77" s="694">
        <v>42745</v>
      </c>
      <c r="AD77" s="695" t="s">
        <v>1502</v>
      </c>
      <c r="AE77" s="696" t="s">
        <v>1079</v>
      </c>
      <c r="AF77" s="483">
        <f>IF(CampList[[#This Row],[Type of Accomodation]]="camp",MAX(0,CampList[[#This Row],[HH]]-SUMIF(Table_Shelter[Pcode],CampList[[#This Row],[CP_Pcode]],Table_Shelter[HH Covered])),0)</f>
        <v>1</v>
      </c>
      <c r="AG77" s="664"/>
      <c r="AH77" s="693">
        <f>MIN(CampList[[#This Row],[Shelter Gap]],CampList[[#This Row],[Land Status]])</f>
        <v>1</v>
      </c>
      <c r="AI77" s="664" t="str">
        <f ca="1">IFERROR(OFFSET(DistanceToCamp[Nearest Town],MATCH(CampList[[#This Row],[CP_Pcode]],DistanceToCamp[CP_Pcode],0)-1,0,1,1),"")</f>
        <v>Lwegel Town</v>
      </c>
      <c r="AJ77" s="697">
        <f ca="1">IFERROR(OFFSET(DistanceToCamp[distance],MATCH(CampList[[#This Row],[CP_Pcode]],DistanceToCamp[CP_Pcode],0)-1,0,1,1),"")</f>
        <v>1.343152344964242</v>
      </c>
      <c r="AK77" s="698">
        <f ca="1">IFERROR(INT(CampList[[#This Row],[Distance]]/5)+1,"")</f>
        <v>1</v>
      </c>
    </row>
    <row r="78" spans="1:37" s="445" customFormat="1" ht="15.75" hidden="1" customHeight="1" x14ac:dyDescent="0.25">
      <c r="A78" s="686" t="s">
        <v>843</v>
      </c>
      <c r="B78" s="662" t="s">
        <v>380</v>
      </c>
      <c r="C78" s="662" t="s">
        <v>525</v>
      </c>
      <c r="D78" s="662" t="s">
        <v>300</v>
      </c>
      <c r="E78" s="662" t="s">
        <v>546</v>
      </c>
      <c r="F78" s="662" t="s">
        <v>144</v>
      </c>
      <c r="G78" s="662" t="s">
        <v>547</v>
      </c>
      <c r="H78" s="695" t="s">
        <v>783</v>
      </c>
      <c r="I78" s="695" t="s">
        <v>784</v>
      </c>
      <c r="J78" s="695" t="s">
        <v>145</v>
      </c>
      <c r="K78" s="695">
        <v>168236</v>
      </c>
      <c r="L78" s="662" t="s">
        <v>145</v>
      </c>
      <c r="M78" s="662" t="s">
        <v>143</v>
      </c>
      <c r="N78" s="687">
        <v>98.144502500000002</v>
      </c>
      <c r="O78" s="687">
        <v>26.890058</v>
      </c>
      <c r="P78" s="711">
        <v>1393</v>
      </c>
      <c r="Q78" s="705"/>
      <c r="R78" s="706"/>
      <c r="S78" s="690" t="str">
        <f>IF(CampList[[#This Row],[HH]]&gt;0,CampList[[#This Row],[Total]]/CampList[[#This Row],[HH]],"NA")</f>
        <v>NA</v>
      </c>
      <c r="T78" s="664" t="s">
        <v>511</v>
      </c>
      <c r="U78" s="664" t="s">
        <v>1191</v>
      </c>
      <c r="V78" s="664" t="s">
        <v>554</v>
      </c>
      <c r="W78" s="664" t="s">
        <v>856</v>
      </c>
      <c r="X78" s="712"/>
      <c r="Y78" s="711"/>
      <c r="Z78" s="693"/>
      <c r="AA78" s="704" t="s">
        <v>841</v>
      </c>
      <c r="AB78" s="693"/>
      <c r="AC78" s="694">
        <v>42768</v>
      </c>
      <c r="AD78" s="686" t="s">
        <v>1640</v>
      </c>
      <c r="AE78" s="721" t="s">
        <v>1093</v>
      </c>
      <c r="AF78" s="483">
        <f>IF(CampList[[#This Row],[Type of Accomodation]]="camp",MAX(0,CampList[[#This Row],[HH]]-SUMIF(Table_Shelter[Pcode],CampList[[#This Row],[CP_Pcode]],Table_Shelter[HH Covered])),0)</f>
        <v>0</v>
      </c>
      <c r="AG78" s="664"/>
      <c r="AH78" s="693">
        <f>MIN(CampList[[#This Row],[Shelter Gap]],CampList[[#This Row],[Land Status]])</f>
        <v>0</v>
      </c>
      <c r="AI78" s="664" t="str">
        <f ca="1">IFERROR(OFFSET(DistanceToCamp[Nearest Town],MATCH(CampList[[#This Row],[CP_Pcode]],DistanceToCamp[CP_Pcode],0)-1,0,1,1),"")</f>
        <v>Khaunglanhpu Town</v>
      </c>
      <c r="AJ78" s="697">
        <f ca="1">IFERROR(OFFSET(DistanceToCamp[distance],MATCH(CampList[[#This Row],[CP_Pcode]],DistanceToCamp[CP_Pcode],0)-1,0,1,1),"")</f>
        <v>28.422357500443528</v>
      </c>
      <c r="AK78" s="698">
        <f ca="1">IFERROR(INT(CampList[[#This Row],[Distance]]/5)+1,"")</f>
        <v>6</v>
      </c>
    </row>
    <row r="79" spans="1:37" s="445" customFormat="1" ht="15.75" customHeight="1" x14ac:dyDescent="0.25">
      <c r="A79" s="717" t="s">
        <v>500</v>
      </c>
      <c r="B79" s="662" t="s">
        <v>380</v>
      </c>
      <c r="C79" s="662" t="s">
        <v>525</v>
      </c>
      <c r="D79" s="662" t="s">
        <v>300</v>
      </c>
      <c r="E79" s="662" t="s">
        <v>546</v>
      </c>
      <c r="F79" s="662" t="s">
        <v>300</v>
      </c>
      <c r="G79" s="662" t="s">
        <v>552</v>
      </c>
      <c r="H79" s="662" t="s">
        <v>800</v>
      </c>
      <c r="I79" s="662" t="s">
        <v>801</v>
      </c>
      <c r="J79" s="662" t="s">
        <v>1032</v>
      </c>
      <c r="K79" s="662" t="s">
        <v>1033</v>
      </c>
      <c r="L79" s="662" t="s">
        <v>301</v>
      </c>
      <c r="M79" s="662" t="s">
        <v>299</v>
      </c>
      <c r="N79" s="687">
        <v>97.415289999999999</v>
      </c>
      <c r="O79" s="687">
        <v>27.311699999999998</v>
      </c>
      <c r="P79" s="688">
        <v>476.7</v>
      </c>
      <c r="Q79" s="688">
        <v>14</v>
      </c>
      <c r="R79" s="711">
        <v>64</v>
      </c>
      <c r="S79" s="690">
        <f>IF(CampList[[#This Row],[HH]]&gt;0,CampList[[#This Row],[Total]]/CampList[[#This Row],[HH]],"NA")</f>
        <v>4.5714285714285712</v>
      </c>
      <c r="T79" s="664" t="s">
        <v>511</v>
      </c>
      <c r="U79" s="664" t="s">
        <v>1191</v>
      </c>
      <c r="V79" s="664" t="s">
        <v>12</v>
      </c>
      <c r="W79" s="664" t="s">
        <v>856</v>
      </c>
      <c r="X79" s="691"/>
      <c r="Y79" s="692"/>
      <c r="Z79" s="691"/>
      <c r="AA79" s="693" t="s">
        <v>842</v>
      </c>
      <c r="AB79" s="693"/>
      <c r="AC79" s="694">
        <v>41736</v>
      </c>
      <c r="AD79" s="695" t="s">
        <v>1039</v>
      </c>
      <c r="AE79" s="696" t="s">
        <v>1079</v>
      </c>
      <c r="AF79" s="483">
        <f>IF(CampList[[#This Row],[Type of Accomodation]]="camp",MAX(0,CampList[[#This Row],[HH]]-SUMIF(Table_Shelter[Pcode],CampList[[#This Row],[CP_Pcode]],Table_Shelter[HH Covered])),0)</f>
        <v>0</v>
      </c>
      <c r="AG79" s="664"/>
      <c r="AH79" s="693">
        <f>MIN(CampList[[#This Row],[Shelter Gap]],CampList[[#This Row],[Land Status]])</f>
        <v>0</v>
      </c>
      <c r="AI79" s="664" t="str">
        <f ca="1">IFERROR(OFFSET(DistanceToCamp[Nearest Town],MATCH(CampList[[#This Row],[CP_Pcode]],DistanceToCamp[CP_Pcode],0)-1,0,1,1),"")</f>
        <v>Puta-O Town</v>
      </c>
      <c r="AJ79" s="697">
        <f ca="1">IFERROR(OFFSET(DistanceToCamp[distance],MATCH(CampList[[#This Row],[CP_Pcode]],DistanceToCamp[CP_Pcode],0)-1,0,1,1),"")</f>
        <v>1.3759254000531889</v>
      </c>
      <c r="AK79" s="698">
        <f ca="1">IFERROR(INT(CampList[[#This Row],[Distance]]/5)+1,"")</f>
        <v>1</v>
      </c>
    </row>
    <row r="80" spans="1:37" s="445" customFormat="1" ht="15.75" customHeight="1" x14ac:dyDescent="0.25">
      <c r="A80" s="686" t="s">
        <v>500</v>
      </c>
      <c r="B80" s="662" t="s">
        <v>380</v>
      </c>
      <c r="C80" s="662" t="s">
        <v>525</v>
      </c>
      <c r="D80" s="662" t="s">
        <v>180</v>
      </c>
      <c r="E80" s="662" t="s">
        <v>526</v>
      </c>
      <c r="F80" s="662" t="s">
        <v>173</v>
      </c>
      <c r="G80" s="662" t="s">
        <v>545</v>
      </c>
      <c r="H80" s="695" t="s">
        <v>632</v>
      </c>
      <c r="I80" s="695" t="s">
        <v>633</v>
      </c>
      <c r="J80" s="695" t="s">
        <v>634</v>
      </c>
      <c r="K80" s="695">
        <v>166676</v>
      </c>
      <c r="L80" s="662" t="s">
        <v>176</v>
      </c>
      <c r="M80" s="662" t="s">
        <v>175</v>
      </c>
      <c r="N80" s="687">
        <v>96.942279999999997</v>
      </c>
      <c r="O80" s="687">
        <v>25.296579999999999</v>
      </c>
      <c r="P80" s="688">
        <v>0</v>
      </c>
      <c r="Q80" s="689">
        <v>15</v>
      </c>
      <c r="R80" s="689">
        <v>70</v>
      </c>
      <c r="S80" s="690">
        <f>IF(CampList[[#This Row],[HH]]&gt;0,CampList[[#This Row],[Total]]/CampList[[#This Row],[HH]],"NA")</f>
        <v>4.666666666666667</v>
      </c>
      <c r="T80" s="664" t="s">
        <v>511</v>
      </c>
      <c r="U80" s="664" t="s">
        <v>1191</v>
      </c>
      <c r="V80" s="664" t="s">
        <v>554</v>
      </c>
      <c r="W80" s="664" t="s">
        <v>803</v>
      </c>
      <c r="X80" s="691">
        <v>41030</v>
      </c>
      <c r="Y80" s="692">
        <v>1</v>
      </c>
      <c r="Z80" s="691" t="s">
        <v>460</v>
      </c>
      <c r="AA80" s="704" t="s">
        <v>842</v>
      </c>
      <c r="AB80" s="693"/>
      <c r="AC80" s="694">
        <v>42745</v>
      </c>
      <c r="AD80" s="686" t="s">
        <v>1486</v>
      </c>
      <c r="AE80" s="696" t="s">
        <v>1093</v>
      </c>
      <c r="AF80" s="483">
        <f>IF(CampList[[#This Row],[Type of Accomodation]]="camp",MAX(0,CampList[[#This Row],[HH]]-SUMIF(Table_Shelter[Pcode],CampList[[#This Row],[CP_Pcode]],Table_Shelter[HH Covered])),0)</f>
        <v>5</v>
      </c>
      <c r="AG80" s="664"/>
      <c r="AH80" s="693">
        <f>MIN(CampList[[#This Row],[Shelter Gap]],CampList[[#This Row],[Land Status]])</f>
        <v>5</v>
      </c>
      <c r="AI80" s="664" t="str">
        <f ca="1">IFERROR(OFFSET(DistanceToCamp[Nearest Town],MATCH(CampList[[#This Row],[CP_Pcode]],DistanceToCamp[CP_Pcode],0)-1,0,1,1),"")</f>
        <v>Mogaung Town</v>
      </c>
      <c r="AJ80" s="697">
        <f ca="1">IFERROR(OFFSET(DistanceToCamp[distance],MATCH(CampList[[#This Row],[CP_Pcode]],DistanceToCamp[CP_Pcode],0)-1,0,1,1),"")</f>
        <v>0.71141459237180937</v>
      </c>
      <c r="AK80" s="698">
        <f ca="1">IFERROR(INT(CampList[[#This Row],[Distance]]/5)+1,"")</f>
        <v>1</v>
      </c>
    </row>
    <row r="81" spans="1:37" s="445" customFormat="1" ht="15.75" customHeight="1" x14ac:dyDescent="0.25">
      <c r="A81" s="686" t="s">
        <v>500</v>
      </c>
      <c r="B81" s="662" t="s">
        <v>380</v>
      </c>
      <c r="C81" s="662" t="s">
        <v>525</v>
      </c>
      <c r="D81" s="662" t="s">
        <v>180</v>
      </c>
      <c r="E81" s="662" t="s">
        <v>526</v>
      </c>
      <c r="F81" s="662" t="s">
        <v>173</v>
      </c>
      <c r="G81" s="662" t="s">
        <v>545</v>
      </c>
      <c r="H81" s="695" t="s">
        <v>630</v>
      </c>
      <c r="I81" s="695" t="s">
        <v>631</v>
      </c>
      <c r="J81" s="728" t="s">
        <v>1373</v>
      </c>
      <c r="K81" s="728" t="s">
        <v>1374</v>
      </c>
      <c r="L81" s="662" t="s">
        <v>174</v>
      </c>
      <c r="M81" s="662" t="s">
        <v>172</v>
      </c>
      <c r="N81" s="687">
        <v>96.922619999999995</v>
      </c>
      <c r="O81" s="687">
        <v>25.305669999999999</v>
      </c>
      <c r="P81" s="688">
        <v>470</v>
      </c>
      <c r="Q81" s="689">
        <v>13</v>
      </c>
      <c r="R81" s="689">
        <v>65</v>
      </c>
      <c r="S81" s="690">
        <f>IF(CampList[[#This Row],[HH]]&gt;0,CampList[[#This Row],[Total]]/CampList[[#This Row],[HH]],"NA")</f>
        <v>5</v>
      </c>
      <c r="T81" s="664" t="s">
        <v>511</v>
      </c>
      <c r="U81" s="664" t="s">
        <v>1191</v>
      </c>
      <c r="V81" s="664" t="s">
        <v>554</v>
      </c>
      <c r="W81" s="664" t="s">
        <v>803</v>
      </c>
      <c r="X81" s="691">
        <v>41030</v>
      </c>
      <c r="Y81" s="692">
        <v>1</v>
      </c>
      <c r="Z81" s="691" t="s">
        <v>460</v>
      </c>
      <c r="AA81" s="704" t="s">
        <v>842</v>
      </c>
      <c r="AB81" s="693"/>
      <c r="AC81" s="694">
        <v>42745</v>
      </c>
      <c r="AD81" s="686" t="s">
        <v>1486</v>
      </c>
      <c r="AE81" s="696" t="s">
        <v>1093</v>
      </c>
      <c r="AF81" s="483">
        <f>IF(CampList[[#This Row],[Type of Accomodation]]="camp",MAX(0,CampList[[#This Row],[HH]]-SUMIF(Table_Shelter[Pcode],CampList[[#This Row],[CP_Pcode]],Table_Shelter[HH Covered])),0)</f>
        <v>0</v>
      </c>
      <c r="AG81" s="664"/>
      <c r="AH81" s="693">
        <f>MIN(CampList[[#This Row],[Shelter Gap]],CampList[[#This Row],[Land Status]])</f>
        <v>0</v>
      </c>
      <c r="AI81" s="664" t="str">
        <f ca="1">IFERROR(OFFSET(DistanceToCamp[Nearest Town],MATCH(CampList[[#This Row],[CP_Pcode]],DistanceToCamp[CP_Pcode],0)-1,0,1,1),"")</f>
        <v>Mogaung Town</v>
      </c>
      <c r="AJ81" s="697">
        <f ca="1">IFERROR(OFFSET(DistanceToCamp[distance],MATCH(CampList[[#This Row],[CP_Pcode]],DistanceToCamp[CP_Pcode],0)-1,0,1,1),"")</f>
        <v>1.815139598767344</v>
      </c>
      <c r="AK81" s="698">
        <f ca="1">IFERROR(INT(CampList[[#This Row],[Distance]]/5)+1,"")</f>
        <v>1</v>
      </c>
    </row>
    <row r="82" spans="1:37" s="445" customFormat="1" ht="15.75" customHeight="1" x14ac:dyDescent="0.25">
      <c r="A82" s="686" t="s">
        <v>500</v>
      </c>
      <c r="B82" s="662" t="s">
        <v>380</v>
      </c>
      <c r="C82" s="662" t="s">
        <v>525</v>
      </c>
      <c r="D82" s="662" t="s">
        <v>180</v>
      </c>
      <c r="E82" s="662" t="s">
        <v>526</v>
      </c>
      <c r="F82" s="662" t="s">
        <v>173</v>
      </c>
      <c r="G82" s="662" t="s">
        <v>545</v>
      </c>
      <c r="H82" s="662" t="s">
        <v>630</v>
      </c>
      <c r="I82" s="662" t="s">
        <v>631</v>
      </c>
      <c r="J82" s="662" t="s">
        <v>635</v>
      </c>
      <c r="K82" s="662" t="s">
        <v>636</v>
      </c>
      <c r="L82" s="662" t="s">
        <v>178</v>
      </c>
      <c r="M82" s="662" t="s">
        <v>177</v>
      </c>
      <c r="N82" s="687">
        <v>96.948740000000001</v>
      </c>
      <c r="O82" s="687">
        <v>25.30442</v>
      </c>
      <c r="P82" s="688">
        <v>100</v>
      </c>
      <c r="Q82" s="689">
        <v>12</v>
      </c>
      <c r="R82" s="689">
        <v>46</v>
      </c>
      <c r="S82" s="690">
        <f>IF(CampList[[#This Row],[HH]]&gt;0,CampList[[#This Row],[Total]]/CampList[[#This Row],[HH]],"NA")</f>
        <v>3.8333333333333335</v>
      </c>
      <c r="T82" s="664" t="s">
        <v>511</v>
      </c>
      <c r="U82" s="664" t="s">
        <v>1191</v>
      </c>
      <c r="V82" s="664" t="s">
        <v>554</v>
      </c>
      <c r="W82" s="664" t="s">
        <v>803</v>
      </c>
      <c r="X82" s="691">
        <v>40969</v>
      </c>
      <c r="Y82" s="692">
        <v>1</v>
      </c>
      <c r="Z82" s="691" t="s">
        <v>460</v>
      </c>
      <c r="AA82" s="693" t="s">
        <v>842</v>
      </c>
      <c r="AB82" s="693"/>
      <c r="AC82" s="694">
        <v>42745</v>
      </c>
      <c r="AD82" s="695" t="s">
        <v>1507</v>
      </c>
      <c r="AE82" s="696" t="s">
        <v>1093</v>
      </c>
      <c r="AF82" s="483">
        <f>IF(CampList[[#This Row],[Type of Accomodation]]="camp",MAX(0,CampList[[#This Row],[HH]]-SUMIF(Table_Shelter[Pcode],CampList[[#This Row],[CP_Pcode]],Table_Shelter[HH Covered])),0)</f>
        <v>0</v>
      </c>
      <c r="AG82" s="664"/>
      <c r="AH82" s="693">
        <f>MIN(CampList[[#This Row],[Shelter Gap]],CampList[[#This Row],[Land Status]])</f>
        <v>0</v>
      </c>
      <c r="AI82" s="664" t="str">
        <f ca="1">IFERROR(OFFSET(DistanceToCamp[Nearest Town],MATCH(CampList[[#This Row],[CP_Pcode]],DistanceToCamp[CP_Pcode],0)-1,0,1,1),"")</f>
        <v>Mogaung Town</v>
      </c>
      <c r="AJ82" s="697">
        <f ca="1">IFERROR(OFFSET(DistanceToCamp[distance],MATCH(CampList[[#This Row],[CP_Pcode]],DistanceToCamp[CP_Pcode],0)-1,0,1,1),"")</f>
        <v>0.86042374061342075</v>
      </c>
      <c r="AK82" s="698">
        <f ca="1">IFERROR(INT(CampList[[#This Row],[Distance]]/5)+1,"")</f>
        <v>1</v>
      </c>
    </row>
    <row r="83" spans="1:37" s="445" customFormat="1" ht="15.75" customHeight="1" x14ac:dyDescent="0.25">
      <c r="A83" s="708" t="s">
        <v>500</v>
      </c>
      <c r="B83" s="663" t="s">
        <v>380</v>
      </c>
      <c r="C83" s="663" t="s">
        <v>525</v>
      </c>
      <c r="D83" s="663" t="s">
        <v>180</v>
      </c>
      <c r="E83" s="663" t="s">
        <v>526</v>
      </c>
      <c r="F83" s="663" t="s">
        <v>180</v>
      </c>
      <c r="G83" s="663" t="s">
        <v>551</v>
      </c>
      <c r="H83" s="663" t="s">
        <v>1131</v>
      </c>
      <c r="I83" s="709" t="s">
        <v>1252</v>
      </c>
      <c r="J83" s="728" t="s">
        <v>1393</v>
      </c>
      <c r="K83" s="728" t="s">
        <v>1394</v>
      </c>
      <c r="L83" s="663" t="s">
        <v>181</v>
      </c>
      <c r="M83" s="663" t="s">
        <v>179</v>
      </c>
      <c r="N83" s="689">
        <v>96.367059999999995</v>
      </c>
      <c r="O83" s="689">
        <v>24.764800000000001</v>
      </c>
      <c r="P83" s="711"/>
      <c r="Q83" s="689">
        <v>12</v>
      </c>
      <c r="R83" s="711">
        <v>55</v>
      </c>
      <c r="S83" s="690">
        <f>IF(CampList[[#This Row],[HH]]&gt;0,CampList[[#This Row],[Total]]/CampList[[#This Row],[HH]],"NA")</f>
        <v>4.583333333333333</v>
      </c>
      <c r="T83" s="483" t="s">
        <v>511</v>
      </c>
      <c r="U83" s="664" t="s">
        <v>1191</v>
      </c>
      <c r="V83" s="483" t="s">
        <v>554</v>
      </c>
      <c r="W83" s="483" t="s">
        <v>803</v>
      </c>
      <c r="X83" s="712">
        <v>41061</v>
      </c>
      <c r="Y83" s="711"/>
      <c r="Z83" s="711" t="s">
        <v>1090</v>
      </c>
      <c r="AA83" s="689" t="s">
        <v>842</v>
      </c>
      <c r="AB83" s="689"/>
      <c r="AC83" s="694">
        <v>42745</v>
      </c>
      <c r="AD83" s="713" t="s">
        <v>1548</v>
      </c>
      <c r="AE83" s="696" t="s">
        <v>1093</v>
      </c>
      <c r="AF83" s="714">
        <f>IF(CampList[[#This Row],[Type of Accomodation]]="camp",MAX(0,CampList[[#This Row],[HH]]-SUMIF(Table_Shelter[Pcode],CampList[[#This Row],[CP_Pcode]],Table_Shelter[HH Covered])),0)</f>
        <v>0</v>
      </c>
      <c r="AG83" s="483"/>
      <c r="AH83" s="688">
        <f>MIN(CampList[[#This Row],[Shelter Gap]],CampList[[#This Row],[Land Status]])</f>
        <v>0</v>
      </c>
      <c r="AI83" s="714" t="str">
        <f ca="1">IFERROR(OFFSET(DistanceToCamp[Nearest Town],MATCH(CampList[[#This Row],[CP_Pcode]],DistanceToCamp[CP_Pcode],0)-1,0,1,1),"")</f>
        <v>Mohnyin Town</v>
      </c>
      <c r="AJ83" s="697">
        <f ca="1">IFERROR(OFFSET(DistanceToCamp[distance],MATCH(CampList[[#This Row],[CP_Pcode]],DistanceToCamp[CP_Pcode],0)-1,0,1,1),"")</f>
        <v>1.7021273757523427</v>
      </c>
      <c r="AK83" s="715">
        <f ca="1">IFERROR(INT(CampList[[#This Row],[Distance]]/5)+1,"")</f>
        <v>1</v>
      </c>
    </row>
    <row r="84" spans="1:37" s="445" customFormat="1" ht="15.75" hidden="1" customHeight="1" x14ac:dyDescent="0.25">
      <c r="A84" s="686" t="s">
        <v>843</v>
      </c>
      <c r="B84" s="662" t="s">
        <v>380</v>
      </c>
      <c r="C84" s="662" t="s">
        <v>525</v>
      </c>
      <c r="D84" s="662" t="s">
        <v>180</v>
      </c>
      <c r="E84" s="662" t="s">
        <v>526</v>
      </c>
      <c r="F84" s="662" t="s">
        <v>180</v>
      </c>
      <c r="G84" s="662" t="s">
        <v>551</v>
      </c>
      <c r="H84" s="695" t="s">
        <v>616</v>
      </c>
      <c r="I84" s="695" t="s">
        <v>617</v>
      </c>
      <c r="J84" s="695" t="s">
        <v>616</v>
      </c>
      <c r="K84" s="695">
        <v>166591</v>
      </c>
      <c r="L84" s="662" t="s">
        <v>183</v>
      </c>
      <c r="M84" s="662" t="s">
        <v>182</v>
      </c>
      <c r="N84" s="687">
        <v>96.364949999999993</v>
      </c>
      <c r="O84" s="687">
        <v>24.998349999999999</v>
      </c>
      <c r="P84" s="688">
        <v>0</v>
      </c>
      <c r="Q84" s="705">
        <v>0</v>
      </c>
      <c r="R84" s="706">
        <v>0</v>
      </c>
      <c r="S84" s="690" t="str">
        <f>IF(CampList[[#This Row],[HH]]&gt;0,CampList[[#This Row],[Total]]/CampList[[#This Row],[HH]],"NA")</f>
        <v>NA</v>
      </c>
      <c r="T84" s="664" t="s">
        <v>511</v>
      </c>
      <c r="U84" s="699" t="s">
        <v>1191</v>
      </c>
      <c r="V84" s="664" t="s">
        <v>554</v>
      </c>
      <c r="W84" s="699" t="s">
        <v>856</v>
      </c>
      <c r="X84" s="700">
        <v>40969</v>
      </c>
      <c r="Y84" s="701"/>
      <c r="Z84" s="700" t="s">
        <v>460</v>
      </c>
      <c r="AA84" s="704" t="s">
        <v>841</v>
      </c>
      <c r="AB84" s="693"/>
      <c r="AC84" s="694">
        <v>41837</v>
      </c>
      <c r="AD84" s="686" t="s">
        <v>1098</v>
      </c>
      <c r="AE84" s="696" t="s">
        <v>1093</v>
      </c>
      <c r="AF84" s="483">
        <f>IF(CampList[[#This Row],[Type of Accomodation]]="camp",MAX(0,CampList[[#This Row],[HH]]-SUMIF(Table_Shelter[Pcode],CampList[[#This Row],[CP_Pcode]],Table_Shelter[HH Covered])),0)</f>
        <v>0</v>
      </c>
      <c r="AG84" s="664"/>
      <c r="AH84" s="693">
        <f>MIN(CampList[[#This Row],[Shelter Gap]],CampList[[#This Row],[Land Status]])</f>
        <v>0</v>
      </c>
      <c r="AI84" s="664" t="str">
        <f ca="1">IFERROR(OFFSET(DistanceToCamp[Nearest Town],MATCH(CampList[[#This Row],[CP_Pcode]],DistanceToCamp[CP_Pcode],0)-1,0,1,1),"")</f>
        <v/>
      </c>
      <c r="AJ84" s="697" t="str">
        <f ca="1">IFERROR(OFFSET(DistanceToCamp[distance],MATCH(CampList[[#This Row],[CP_Pcode]],DistanceToCamp[CP_Pcode],0)-1,0,1,1),"")</f>
        <v/>
      </c>
      <c r="AK84" s="698" t="str">
        <f ca="1">IFERROR(INT(CampList[[#This Row],[Distance]]/5)+1,"")</f>
        <v/>
      </c>
    </row>
    <row r="85" spans="1:37" s="445" customFormat="1" ht="15.75" hidden="1" customHeight="1" x14ac:dyDescent="0.25">
      <c r="A85" s="686" t="s">
        <v>843</v>
      </c>
      <c r="B85" s="662" t="s">
        <v>380</v>
      </c>
      <c r="C85" s="662" t="s">
        <v>525</v>
      </c>
      <c r="D85" s="662" t="s">
        <v>180</v>
      </c>
      <c r="E85" s="662" t="s">
        <v>526</v>
      </c>
      <c r="F85" s="662" t="s">
        <v>527</v>
      </c>
      <c r="G85" s="662" t="s">
        <v>528</v>
      </c>
      <c r="H85" s="695" t="s">
        <v>603</v>
      </c>
      <c r="I85" s="695" t="s">
        <v>604</v>
      </c>
      <c r="J85" s="695" t="s">
        <v>605</v>
      </c>
      <c r="K85" s="695" t="s">
        <v>606</v>
      </c>
      <c r="L85" s="662" t="s">
        <v>110</v>
      </c>
      <c r="M85" s="662" t="s">
        <v>109</v>
      </c>
      <c r="N85" s="687">
        <v>96.312790000000007</v>
      </c>
      <c r="O85" s="687">
        <v>25.611160000000002</v>
      </c>
      <c r="P85" s="688">
        <v>0</v>
      </c>
      <c r="Q85" s="705">
        <v>0</v>
      </c>
      <c r="R85" s="706">
        <v>0</v>
      </c>
      <c r="S85" s="690" t="str">
        <f>IF(CampList[[#This Row],[HH]]&gt;0,CampList[[#This Row],[Total]]/CampList[[#This Row],[HH]],"NA")</f>
        <v>NA</v>
      </c>
      <c r="T85" s="664" t="s">
        <v>511</v>
      </c>
      <c r="U85" s="699" t="s">
        <v>1191</v>
      </c>
      <c r="V85" s="664" t="s">
        <v>554</v>
      </c>
      <c r="W85" s="699" t="s">
        <v>803</v>
      </c>
      <c r="X85" s="700">
        <v>41122</v>
      </c>
      <c r="Y85" s="701">
        <v>2</v>
      </c>
      <c r="Z85" s="700" t="s">
        <v>460</v>
      </c>
      <c r="AA85" s="704" t="s">
        <v>842</v>
      </c>
      <c r="AB85" s="693"/>
      <c r="AC85" s="694">
        <v>41774</v>
      </c>
      <c r="AD85" s="686" t="s">
        <v>1047</v>
      </c>
      <c r="AE85" s="696" t="s">
        <v>1007</v>
      </c>
      <c r="AF85" s="483">
        <f>IF(CampList[[#This Row],[Type of Accomodation]]="camp",MAX(0,CampList[[#This Row],[HH]]-SUMIF(Table_Shelter[Pcode],CampList[[#This Row],[CP_Pcode]],Table_Shelter[HH Covered])),0)</f>
        <v>0</v>
      </c>
      <c r="AG85" s="664"/>
      <c r="AH85" s="693">
        <f>MIN(CampList[[#This Row],[Shelter Gap]],CampList[[#This Row],[Land Status]])</f>
        <v>0</v>
      </c>
      <c r="AI85" s="664" t="str">
        <f ca="1">IFERROR(OFFSET(DistanceToCamp[Nearest Town],MATCH(CampList[[#This Row],[CP_Pcode]],DistanceToCamp[CP_Pcode],0)-1,0,1,1),"")</f>
        <v/>
      </c>
      <c r="AJ85" s="697" t="str">
        <f ca="1">IFERROR(OFFSET(DistanceToCamp[distance],MATCH(CampList[[#This Row],[CP_Pcode]],DistanceToCamp[CP_Pcode],0)-1,0,1,1),"")</f>
        <v/>
      </c>
      <c r="AK85" s="698" t="str">
        <f ca="1">IFERROR(INT(CampList[[#This Row],[Distance]]/5)+1,"")</f>
        <v/>
      </c>
    </row>
    <row r="86" spans="1:37" s="445" customFormat="1" ht="15.75" hidden="1" customHeight="1" x14ac:dyDescent="0.25">
      <c r="A86" s="686" t="s">
        <v>843</v>
      </c>
      <c r="B86" s="662" t="s">
        <v>380</v>
      </c>
      <c r="C86" s="662" t="s">
        <v>525</v>
      </c>
      <c r="D86" s="662" t="s">
        <v>180</v>
      </c>
      <c r="E86" s="662" t="s">
        <v>526</v>
      </c>
      <c r="F86" s="662" t="s">
        <v>527</v>
      </c>
      <c r="G86" s="662" t="s">
        <v>528</v>
      </c>
      <c r="H86" s="695" t="s">
        <v>603</v>
      </c>
      <c r="I86" s="695" t="s">
        <v>604</v>
      </c>
      <c r="J86" s="695" t="s">
        <v>605</v>
      </c>
      <c r="K86" s="695" t="s">
        <v>606</v>
      </c>
      <c r="L86" s="662" t="s">
        <v>112</v>
      </c>
      <c r="M86" s="662" t="s">
        <v>111</v>
      </c>
      <c r="N86" s="687">
        <v>96.31326</v>
      </c>
      <c r="O86" s="687">
        <v>25.611899999999999</v>
      </c>
      <c r="P86" s="711"/>
      <c r="Q86" s="705">
        <v>0</v>
      </c>
      <c r="R86" s="706">
        <v>0</v>
      </c>
      <c r="S86" s="690" t="str">
        <f>IF(CampList[[#This Row],[HH]]&gt;0,CampList[[#This Row],[Total]]/CampList[[#This Row],[HH]],"NA")</f>
        <v>NA</v>
      </c>
      <c r="T86" s="664" t="s">
        <v>511</v>
      </c>
      <c r="U86" s="699" t="s">
        <v>1191</v>
      </c>
      <c r="V86" s="664" t="s">
        <v>554</v>
      </c>
      <c r="W86" s="699"/>
      <c r="X86" s="719"/>
      <c r="Y86" s="710"/>
      <c r="Z86" s="720"/>
      <c r="AA86" s="704"/>
      <c r="AB86" s="693"/>
      <c r="AC86" s="723"/>
      <c r="AD86" s="686" t="s">
        <v>601</v>
      </c>
      <c r="AE86" s="721" t="s">
        <v>1007</v>
      </c>
      <c r="AF86" s="483">
        <f>IF(CampList[[#This Row],[Type of Accomodation]]="camp",MAX(0,CampList[[#This Row],[HH]]-SUMIF(Table_Shelter[Pcode],CampList[[#This Row],[CP_Pcode]],Table_Shelter[HH Covered])),0)</f>
        <v>0</v>
      </c>
      <c r="AG86" s="664"/>
      <c r="AH86" s="693">
        <f>MIN(CampList[[#This Row],[Shelter Gap]],CampList[[#This Row],[Land Status]])</f>
        <v>0</v>
      </c>
      <c r="AI86" s="664" t="str">
        <f ca="1">IFERROR(OFFSET(DistanceToCamp[Nearest Town],MATCH(CampList[[#This Row],[CP_Pcode]],DistanceToCamp[CP_Pcode],0)-1,0,1,1),"")</f>
        <v/>
      </c>
      <c r="AJ86" s="697" t="str">
        <f ca="1">IFERROR(OFFSET(DistanceToCamp[distance],MATCH(CampList[[#This Row],[CP_Pcode]],DistanceToCamp[CP_Pcode],0)-1,0,1,1),"")</f>
        <v/>
      </c>
      <c r="AK86" s="698" t="str">
        <f ca="1">IFERROR(INT(CampList[[#This Row],[Distance]]/5)+1,"")</f>
        <v/>
      </c>
    </row>
    <row r="87" spans="1:37" s="445" customFormat="1" ht="15.75" hidden="1" customHeight="1" x14ac:dyDescent="0.25">
      <c r="A87" s="686" t="s">
        <v>843</v>
      </c>
      <c r="B87" s="662" t="s">
        <v>380</v>
      </c>
      <c r="C87" s="662" t="s">
        <v>525</v>
      </c>
      <c r="D87" s="662" t="s">
        <v>180</v>
      </c>
      <c r="E87" s="662" t="s">
        <v>526</v>
      </c>
      <c r="F87" s="662" t="s">
        <v>527</v>
      </c>
      <c r="G87" s="662" t="s">
        <v>528</v>
      </c>
      <c r="H87" s="695" t="s">
        <v>603</v>
      </c>
      <c r="I87" s="695" t="s">
        <v>604</v>
      </c>
      <c r="J87" s="695" t="s">
        <v>607</v>
      </c>
      <c r="K87" s="695" t="s">
        <v>608</v>
      </c>
      <c r="L87" s="662" t="s">
        <v>86</v>
      </c>
      <c r="M87" s="662" t="s">
        <v>85</v>
      </c>
      <c r="N87" s="687"/>
      <c r="O87" s="687"/>
      <c r="P87" s="711"/>
      <c r="Q87" s="705">
        <v>0</v>
      </c>
      <c r="R87" s="706">
        <v>0</v>
      </c>
      <c r="S87" s="690" t="str">
        <f>IF(CampList[[#This Row],[HH]]&gt;0,CampList[[#This Row],[Total]]/CampList[[#This Row],[HH]],"NA")</f>
        <v>NA</v>
      </c>
      <c r="T87" s="664" t="s">
        <v>511</v>
      </c>
      <c r="U87" s="699" t="s">
        <v>1191</v>
      </c>
      <c r="V87" s="664" t="s">
        <v>554</v>
      </c>
      <c r="W87" s="699"/>
      <c r="X87" s="719"/>
      <c r="Y87" s="710"/>
      <c r="Z87" s="720"/>
      <c r="AA87" s="704"/>
      <c r="AB87" s="693"/>
      <c r="AC87" s="723"/>
      <c r="AD87" s="686" t="s">
        <v>601</v>
      </c>
      <c r="AE87" s="721" t="s">
        <v>1007</v>
      </c>
      <c r="AF87" s="483">
        <f>IF(CampList[[#This Row],[Type of Accomodation]]="camp",MAX(0,CampList[[#This Row],[HH]]-SUMIF(Table_Shelter[Pcode],CampList[[#This Row],[CP_Pcode]],Table_Shelter[HH Covered])),0)</f>
        <v>0</v>
      </c>
      <c r="AG87" s="664"/>
      <c r="AH87" s="693">
        <f>MIN(CampList[[#This Row],[Shelter Gap]],CampList[[#This Row],[Land Status]])</f>
        <v>0</v>
      </c>
      <c r="AI87" s="664" t="str">
        <f ca="1">IFERROR(OFFSET(DistanceToCamp[Nearest Town],MATCH(CampList[[#This Row],[CP_Pcode]],DistanceToCamp[CP_Pcode],0)-1,0,1,1),"")</f>
        <v/>
      </c>
      <c r="AJ87" s="697" t="str">
        <f ca="1">IFERROR(OFFSET(DistanceToCamp[distance],MATCH(CampList[[#This Row],[CP_Pcode]],DistanceToCamp[CP_Pcode],0)-1,0,1,1),"")</f>
        <v/>
      </c>
      <c r="AK87" s="698" t="str">
        <f ca="1">IFERROR(INT(CampList[[#This Row],[Distance]]/5)+1,"")</f>
        <v/>
      </c>
    </row>
    <row r="88" spans="1:37" s="445" customFormat="1" ht="15.75" hidden="1" customHeight="1" x14ac:dyDescent="0.25">
      <c r="A88" s="686" t="s">
        <v>843</v>
      </c>
      <c r="B88" s="662" t="s">
        <v>380</v>
      </c>
      <c r="C88" s="662" t="s">
        <v>525</v>
      </c>
      <c r="D88" s="662" t="s">
        <v>180</v>
      </c>
      <c r="E88" s="662" t="s">
        <v>526</v>
      </c>
      <c r="F88" s="662" t="s">
        <v>527</v>
      </c>
      <c r="G88" s="662" t="s">
        <v>528</v>
      </c>
      <c r="H88" s="695" t="s">
        <v>603</v>
      </c>
      <c r="I88" s="695" t="s">
        <v>604</v>
      </c>
      <c r="J88" s="695" t="s">
        <v>607</v>
      </c>
      <c r="K88" s="695" t="s">
        <v>608</v>
      </c>
      <c r="L88" s="662" t="s">
        <v>84</v>
      </c>
      <c r="M88" s="662" t="s">
        <v>83</v>
      </c>
      <c r="N88" s="687">
        <v>96.316210999999996</v>
      </c>
      <c r="O88" s="687">
        <v>25.619221</v>
      </c>
      <c r="P88" s="711"/>
      <c r="Q88" s="705">
        <v>0</v>
      </c>
      <c r="R88" s="706">
        <v>0</v>
      </c>
      <c r="S88" s="690" t="str">
        <f>IF(CampList[[#This Row],[HH]]&gt;0,CampList[[#This Row],[Total]]/CampList[[#This Row],[HH]],"NA")</f>
        <v>NA</v>
      </c>
      <c r="T88" s="664" t="s">
        <v>511</v>
      </c>
      <c r="U88" s="699" t="s">
        <v>1191</v>
      </c>
      <c r="V88" s="664" t="s">
        <v>554</v>
      </c>
      <c r="W88" s="699"/>
      <c r="X88" s="719"/>
      <c r="Y88" s="710"/>
      <c r="Z88" s="720"/>
      <c r="AA88" s="704"/>
      <c r="AB88" s="693"/>
      <c r="AC88" s="723"/>
      <c r="AD88" s="686" t="s">
        <v>601</v>
      </c>
      <c r="AE88" s="721" t="s">
        <v>1007</v>
      </c>
      <c r="AF88" s="483">
        <f>IF(CampList[[#This Row],[Type of Accomodation]]="camp",MAX(0,CampList[[#This Row],[HH]]-SUMIF(Table_Shelter[Pcode],CampList[[#This Row],[CP_Pcode]],Table_Shelter[HH Covered])),0)</f>
        <v>0</v>
      </c>
      <c r="AG88" s="664"/>
      <c r="AH88" s="693">
        <f>MIN(CampList[[#This Row],[Shelter Gap]],CampList[[#This Row],[Land Status]])</f>
        <v>0</v>
      </c>
      <c r="AI88" s="664" t="str">
        <f ca="1">IFERROR(OFFSET(DistanceToCamp[Nearest Town],MATCH(CampList[[#This Row],[CP_Pcode]],DistanceToCamp[CP_Pcode],0)-1,0,1,1),"")</f>
        <v/>
      </c>
      <c r="AJ88" s="697" t="str">
        <f ca="1">IFERROR(OFFSET(DistanceToCamp[distance],MATCH(CampList[[#This Row],[CP_Pcode]],DistanceToCamp[CP_Pcode],0)-1,0,1,1),"")</f>
        <v/>
      </c>
      <c r="AK88" s="698" t="str">
        <f ca="1">IFERROR(INT(CampList[[#This Row],[Distance]]/5)+1,"")</f>
        <v/>
      </c>
    </row>
    <row r="89" spans="1:37" s="445" customFormat="1" ht="15.75" hidden="1" customHeight="1" x14ac:dyDescent="0.25">
      <c r="A89" s="686" t="s">
        <v>843</v>
      </c>
      <c r="B89" s="662" t="s">
        <v>380</v>
      </c>
      <c r="C89" s="662" t="s">
        <v>525</v>
      </c>
      <c r="D89" s="662" t="s">
        <v>180</v>
      </c>
      <c r="E89" s="662" t="s">
        <v>526</v>
      </c>
      <c r="F89" s="662" t="s">
        <v>527</v>
      </c>
      <c r="G89" s="662" t="s">
        <v>528</v>
      </c>
      <c r="H89" s="662"/>
      <c r="I89" s="662"/>
      <c r="J89" s="662"/>
      <c r="K89" s="662"/>
      <c r="L89" s="662" t="s">
        <v>70</v>
      </c>
      <c r="M89" s="662" t="s">
        <v>69</v>
      </c>
      <c r="N89" s="687"/>
      <c r="O89" s="687"/>
      <c r="P89" s="710"/>
      <c r="Q89" s="705">
        <v>0</v>
      </c>
      <c r="R89" s="706">
        <v>0</v>
      </c>
      <c r="S89" s="690" t="str">
        <f>IF(CampList[[#This Row],[HH]]&gt;0,CampList[[#This Row],[Total]]/CampList[[#This Row],[HH]],"NA")</f>
        <v>NA</v>
      </c>
      <c r="T89" s="664" t="s">
        <v>511</v>
      </c>
      <c r="U89" s="699" t="s">
        <v>1191</v>
      </c>
      <c r="V89" s="664" t="s">
        <v>554</v>
      </c>
      <c r="W89" s="699"/>
      <c r="X89" s="719"/>
      <c r="Y89" s="710"/>
      <c r="Z89" s="720"/>
      <c r="AA89" s="704"/>
      <c r="AB89" s="693"/>
      <c r="AC89" s="723"/>
      <c r="AD89" s="686" t="s">
        <v>601</v>
      </c>
      <c r="AE89" s="721" t="s">
        <v>1007</v>
      </c>
      <c r="AF89" s="483">
        <f>IF(CampList[[#This Row],[Type of Accomodation]]="camp",MAX(0,CampList[[#This Row],[HH]]-SUMIF(Table_Shelter[Pcode],CampList[[#This Row],[CP_Pcode]],Table_Shelter[HH Covered])),0)</f>
        <v>0</v>
      </c>
      <c r="AG89" s="664"/>
      <c r="AH89" s="693">
        <f>MIN(CampList[[#This Row],[Shelter Gap]],CampList[[#This Row],[Land Status]])</f>
        <v>0</v>
      </c>
      <c r="AI89" s="664" t="str">
        <f ca="1">IFERROR(OFFSET(DistanceToCamp[Nearest Town],MATCH(CampList[[#This Row],[CP_Pcode]],DistanceToCamp[CP_Pcode],0)-1,0,1,1),"")</f>
        <v/>
      </c>
      <c r="AJ89" s="697" t="str">
        <f ca="1">IFERROR(OFFSET(DistanceToCamp[distance],MATCH(CampList[[#This Row],[CP_Pcode]],DistanceToCamp[CP_Pcode],0)-1,0,1,1),"")</f>
        <v/>
      </c>
      <c r="AK89" s="698" t="str">
        <f ca="1">IFERROR(INT(CampList[[#This Row],[Distance]]/5)+1,"")</f>
        <v/>
      </c>
    </row>
    <row r="90" spans="1:37" s="445" customFormat="1" ht="15.75" hidden="1" customHeight="1" x14ac:dyDescent="0.25">
      <c r="A90" s="686" t="s">
        <v>843</v>
      </c>
      <c r="B90" s="662" t="s">
        <v>380</v>
      </c>
      <c r="C90" s="662" t="s">
        <v>525</v>
      </c>
      <c r="D90" s="662" t="s">
        <v>180</v>
      </c>
      <c r="E90" s="662" t="s">
        <v>526</v>
      </c>
      <c r="F90" s="662" t="s">
        <v>527</v>
      </c>
      <c r="G90" s="662" t="s">
        <v>528</v>
      </c>
      <c r="H90" s="695" t="s">
        <v>603</v>
      </c>
      <c r="I90" s="695" t="s">
        <v>604</v>
      </c>
      <c r="J90" s="695" t="s">
        <v>607</v>
      </c>
      <c r="K90" s="695" t="s">
        <v>608</v>
      </c>
      <c r="L90" s="662" t="s">
        <v>104</v>
      </c>
      <c r="M90" s="662" t="s">
        <v>103</v>
      </c>
      <c r="N90" s="687"/>
      <c r="O90" s="687"/>
      <c r="P90" s="711"/>
      <c r="Q90" s="705">
        <v>0</v>
      </c>
      <c r="R90" s="706">
        <v>0</v>
      </c>
      <c r="S90" s="690" t="str">
        <f>IF(CampList[[#This Row],[HH]]&gt;0,CampList[[#This Row],[Total]]/CampList[[#This Row],[HH]],"NA")</f>
        <v>NA</v>
      </c>
      <c r="T90" s="664" t="s">
        <v>511</v>
      </c>
      <c r="U90" s="699" t="s">
        <v>1191</v>
      </c>
      <c r="V90" s="664" t="s">
        <v>554</v>
      </c>
      <c r="W90" s="699"/>
      <c r="X90" s="719"/>
      <c r="Y90" s="710"/>
      <c r="Z90" s="720"/>
      <c r="AA90" s="704"/>
      <c r="AB90" s="693"/>
      <c r="AC90" s="723"/>
      <c r="AD90" s="686" t="s">
        <v>601</v>
      </c>
      <c r="AE90" s="721" t="s">
        <v>1007</v>
      </c>
      <c r="AF90" s="483">
        <f>IF(CampList[[#This Row],[Type of Accomodation]]="camp",MAX(0,CampList[[#This Row],[HH]]-SUMIF(Table_Shelter[Pcode],CampList[[#This Row],[CP_Pcode]],Table_Shelter[HH Covered])),0)</f>
        <v>0</v>
      </c>
      <c r="AG90" s="664"/>
      <c r="AH90" s="693">
        <f>MIN(CampList[[#This Row],[Shelter Gap]],CampList[[#This Row],[Land Status]])</f>
        <v>0</v>
      </c>
      <c r="AI90" s="664" t="str">
        <f ca="1">IFERROR(OFFSET(DistanceToCamp[Nearest Town],MATCH(CampList[[#This Row],[CP_Pcode]],DistanceToCamp[CP_Pcode],0)-1,0,1,1),"")</f>
        <v/>
      </c>
      <c r="AJ90" s="697" t="str">
        <f ca="1">IFERROR(OFFSET(DistanceToCamp[distance],MATCH(CampList[[#This Row],[CP_Pcode]],DistanceToCamp[CP_Pcode],0)-1,0,1,1),"")</f>
        <v/>
      </c>
      <c r="AK90" s="698" t="str">
        <f ca="1">IFERROR(INT(CampList[[#This Row],[Distance]]/5)+1,"")</f>
        <v/>
      </c>
    </row>
    <row r="91" spans="1:37" s="445" customFormat="1" ht="15.75" hidden="1" customHeight="1" x14ac:dyDescent="0.25">
      <c r="A91" s="686" t="s">
        <v>843</v>
      </c>
      <c r="B91" s="662" t="s">
        <v>380</v>
      </c>
      <c r="C91" s="662" t="s">
        <v>525</v>
      </c>
      <c r="D91" s="662" t="s">
        <v>180</v>
      </c>
      <c r="E91" s="662" t="s">
        <v>526</v>
      </c>
      <c r="F91" s="662" t="s">
        <v>527</v>
      </c>
      <c r="G91" s="662" t="s">
        <v>528</v>
      </c>
      <c r="H91" s="695" t="s">
        <v>603</v>
      </c>
      <c r="I91" s="695" t="s">
        <v>604</v>
      </c>
      <c r="J91" s="695" t="s">
        <v>607</v>
      </c>
      <c r="K91" s="695" t="s">
        <v>608</v>
      </c>
      <c r="L91" s="662" t="s">
        <v>68</v>
      </c>
      <c r="M91" s="662" t="s">
        <v>67</v>
      </c>
      <c r="N91" s="687"/>
      <c r="O91" s="687"/>
      <c r="P91" s="711"/>
      <c r="Q91" s="705">
        <v>0</v>
      </c>
      <c r="R91" s="706">
        <v>0</v>
      </c>
      <c r="S91" s="690" t="str">
        <f>IF(CampList[[#This Row],[HH]]&gt;0,CampList[[#This Row],[Total]]/CampList[[#This Row],[HH]],"NA")</f>
        <v>NA</v>
      </c>
      <c r="T91" s="664" t="s">
        <v>511</v>
      </c>
      <c r="U91" s="699" t="s">
        <v>1191</v>
      </c>
      <c r="V91" s="664" t="s">
        <v>554</v>
      </c>
      <c r="W91" s="699"/>
      <c r="X91" s="719"/>
      <c r="Y91" s="710"/>
      <c r="Z91" s="720"/>
      <c r="AA91" s="704"/>
      <c r="AB91" s="693"/>
      <c r="AC91" s="723"/>
      <c r="AD91" s="686" t="s">
        <v>601</v>
      </c>
      <c r="AE91" s="721" t="s">
        <v>1007</v>
      </c>
      <c r="AF91" s="483">
        <f>IF(CampList[[#This Row],[Type of Accomodation]]="camp",MAX(0,CampList[[#This Row],[HH]]-SUMIF(Table_Shelter[Pcode],CampList[[#This Row],[CP_Pcode]],Table_Shelter[HH Covered])),0)</f>
        <v>0</v>
      </c>
      <c r="AG91" s="664"/>
      <c r="AH91" s="693">
        <f>MIN(CampList[[#This Row],[Shelter Gap]],CampList[[#This Row],[Land Status]])</f>
        <v>0</v>
      </c>
      <c r="AI91" s="664" t="str">
        <f ca="1">IFERROR(OFFSET(DistanceToCamp[Nearest Town],MATCH(CampList[[#This Row],[CP_Pcode]],DistanceToCamp[CP_Pcode],0)-1,0,1,1),"")</f>
        <v/>
      </c>
      <c r="AJ91" s="697" t="str">
        <f ca="1">IFERROR(OFFSET(DistanceToCamp[distance],MATCH(CampList[[#This Row],[CP_Pcode]],DistanceToCamp[CP_Pcode],0)-1,0,1,1),"")</f>
        <v/>
      </c>
      <c r="AK91" s="698" t="str">
        <f ca="1">IFERROR(INT(CampList[[#This Row],[Distance]]/5)+1,"")</f>
        <v/>
      </c>
    </row>
    <row r="92" spans="1:37" s="445" customFormat="1" ht="15.75" customHeight="1" x14ac:dyDescent="0.25">
      <c r="A92" s="686" t="s">
        <v>500</v>
      </c>
      <c r="B92" s="662" t="s">
        <v>380</v>
      </c>
      <c r="C92" s="662" t="s">
        <v>525</v>
      </c>
      <c r="D92" s="662" t="s">
        <v>180</v>
      </c>
      <c r="E92" s="662" t="s">
        <v>526</v>
      </c>
      <c r="F92" s="662" t="s">
        <v>527</v>
      </c>
      <c r="G92" s="662" t="s">
        <v>528</v>
      </c>
      <c r="H92" s="695" t="s">
        <v>603</v>
      </c>
      <c r="I92" s="695" t="s">
        <v>604</v>
      </c>
      <c r="J92" s="695" t="s">
        <v>607</v>
      </c>
      <c r="K92" s="695" t="s">
        <v>608</v>
      </c>
      <c r="L92" s="662" t="s">
        <v>100</v>
      </c>
      <c r="M92" s="662" t="s">
        <v>99</v>
      </c>
      <c r="N92" s="687">
        <v>96.319829999999996</v>
      </c>
      <c r="O92" s="687">
        <v>25.6145</v>
      </c>
      <c r="P92" s="688">
        <v>65</v>
      </c>
      <c r="Q92" s="55">
        <v>4</v>
      </c>
      <c r="R92" s="98">
        <v>22</v>
      </c>
      <c r="S92" s="690">
        <f>IF(CampList[[#This Row],[HH]]&gt;0,CampList[[#This Row],[Total]]/CampList[[#This Row],[HH]],"NA")</f>
        <v>5.5</v>
      </c>
      <c r="T92" s="664" t="s">
        <v>511</v>
      </c>
      <c r="U92" s="664" t="s">
        <v>1191</v>
      </c>
      <c r="V92" s="664" t="s">
        <v>554</v>
      </c>
      <c r="W92" s="664" t="s">
        <v>803</v>
      </c>
      <c r="X92" s="691">
        <v>41122</v>
      </c>
      <c r="Y92" s="692">
        <v>1</v>
      </c>
      <c r="Z92" s="691" t="s">
        <v>505</v>
      </c>
      <c r="AA92" s="704" t="s">
        <v>842</v>
      </c>
      <c r="AB92" s="693"/>
      <c r="AC92" s="694">
        <v>42745</v>
      </c>
      <c r="AD92" s="686" t="s">
        <v>1575</v>
      </c>
      <c r="AE92" s="696" t="s">
        <v>1093</v>
      </c>
      <c r="AF92" s="483">
        <f>IF(CampList[[#This Row],[Type of Accomodation]]="camp",MAX(0,CampList[[#This Row],[HH]]-SUMIF(Table_Shelter[Pcode],CampList[[#This Row],[CP_Pcode]],Table_Shelter[HH Covered])),0)</f>
        <v>0</v>
      </c>
      <c r="AG92" s="664"/>
      <c r="AH92" s="693">
        <f>MIN(CampList[[#This Row],[Shelter Gap]],CampList[[#This Row],[Land Status]])</f>
        <v>0</v>
      </c>
      <c r="AI92" s="664" t="str">
        <f ca="1">IFERROR(OFFSET(DistanceToCamp[Nearest Town],MATCH(CampList[[#This Row],[CP_Pcode]],DistanceToCamp[CP_Pcode],0)-1,0,1,1),"")</f>
        <v>Hpakant Town</v>
      </c>
      <c r="AJ92" s="697">
        <f ca="1">IFERROR(OFFSET(DistanceToCamp[distance],MATCH(CampList[[#This Row],[CP_Pcode]],DistanceToCamp[CP_Pcode],0)-1,0,1,1),"")</f>
        <v>0.79577754007276646</v>
      </c>
      <c r="AK92" s="698">
        <f ca="1">IFERROR(INT(CampList[[#This Row],[Distance]]/5)+1,"")</f>
        <v>1</v>
      </c>
    </row>
    <row r="93" spans="1:37" s="445" customFormat="1" ht="15.75" hidden="1" customHeight="1" x14ac:dyDescent="0.25">
      <c r="A93" s="686" t="s">
        <v>843</v>
      </c>
      <c r="B93" s="662" t="s">
        <v>380</v>
      </c>
      <c r="C93" s="662" t="s">
        <v>525</v>
      </c>
      <c r="D93" s="662" t="s">
        <v>180</v>
      </c>
      <c r="E93" s="662" t="s">
        <v>526</v>
      </c>
      <c r="F93" s="662" t="s">
        <v>527</v>
      </c>
      <c r="G93" s="662" t="s">
        <v>528</v>
      </c>
      <c r="H93" s="695" t="s">
        <v>603</v>
      </c>
      <c r="I93" s="695" t="s">
        <v>604</v>
      </c>
      <c r="J93" s="695" t="s">
        <v>699</v>
      </c>
      <c r="K93" s="695" t="s">
        <v>700</v>
      </c>
      <c r="L93" s="662" t="s">
        <v>50</v>
      </c>
      <c r="M93" s="662" t="s">
        <v>49</v>
      </c>
      <c r="N93" s="687"/>
      <c r="O93" s="687"/>
      <c r="P93" s="710"/>
      <c r="Q93" s="705">
        <v>0</v>
      </c>
      <c r="R93" s="706">
        <v>0</v>
      </c>
      <c r="S93" s="690" t="str">
        <f>IF(CampList[[#This Row],[HH]]&gt;0,CampList[[#This Row],[Total]]/CampList[[#This Row],[HH]],"NA")</f>
        <v>NA</v>
      </c>
      <c r="T93" s="664" t="s">
        <v>511</v>
      </c>
      <c r="U93" s="699" t="s">
        <v>1191</v>
      </c>
      <c r="V93" s="664" t="s">
        <v>554</v>
      </c>
      <c r="W93" s="699"/>
      <c r="X93" s="719"/>
      <c r="Y93" s="710"/>
      <c r="Z93" s="720"/>
      <c r="AA93" s="704"/>
      <c r="AB93" s="693"/>
      <c r="AC93" s="723"/>
      <c r="AD93" s="686" t="s">
        <v>601</v>
      </c>
      <c r="AE93" s="721" t="s">
        <v>1007</v>
      </c>
      <c r="AF93" s="483">
        <f>IF(CampList[[#This Row],[Type of Accomodation]]="camp",MAX(0,CampList[[#This Row],[HH]]-SUMIF(Table_Shelter[Pcode],CampList[[#This Row],[CP_Pcode]],Table_Shelter[HH Covered])),0)</f>
        <v>0</v>
      </c>
      <c r="AG93" s="664"/>
      <c r="AH93" s="693">
        <f>MIN(CampList[[#This Row],[Shelter Gap]],CampList[[#This Row],[Land Status]])</f>
        <v>0</v>
      </c>
      <c r="AI93" s="664" t="str">
        <f ca="1">IFERROR(OFFSET(DistanceToCamp[Nearest Town],MATCH(CampList[[#This Row],[CP_Pcode]],DistanceToCamp[CP_Pcode],0)-1,0,1,1),"")</f>
        <v/>
      </c>
      <c r="AJ93" s="697" t="str">
        <f ca="1">IFERROR(OFFSET(DistanceToCamp[distance],MATCH(CampList[[#This Row],[CP_Pcode]],DistanceToCamp[CP_Pcode],0)-1,0,1,1),"")</f>
        <v/>
      </c>
      <c r="AK93" s="698" t="str">
        <f ca="1">IFERROR(INT(CampList[[#This Row],[Distance]]/5)+1,"")</f>
        <v/>
      </c>
    </row>
    <row r="94" spans="1:37" s="445" customFormat="1" ht="15.75" hidden="1" customHeight="1" x14ac:dyDescent="0.25">
      <c r="A94" s="686" t="s">
        <v>843</v>
      </c>
      <c r="B94" s="662" t="s">
        <v>380</v>
      </c>
      <c r="C94" s="662" t="s">
        <v>525</v>
      </c>
      <c r="D94" s="662" t="s">
        <v>180</v>
      </c>
      <c r="E94" s="662" t="s">
        <v>526</v>
      </c>
      <c r="F94" s="662" t="s">
        <v>527</v>
      </c>
      <c r="G94" s="662" t="s">
        <v>528</v>
      </c>
      <c r="H94" s="695" t="s">
        <v>603</v>
      </c>
      <c r="I94" s="695" t="s">
        <v>604</v>
      </c>
      <c r="J94" s="695" t="s">
        <v>701</v>
      </c>
      <c r="K94" s="695" t="s">
        <v>702</v>
      </c>
      <c r="L94" s="662" t="s">
        <v>66</v>
      </c>
      <c r="M94" s="662" t="s">
        <v>65</v>
      </c>
      <c r="N94" s="687"/>
      <c r="O94" s="687"/>
      <c r="P94" s="710"/>
      <c r="Q94" s="705">
        <v>0</v>
      </c>
      <c r="R94" s="706">
        <v>0</v>
      </c>
      <c r="S94" s="690" t="str">
        <f>IF(CampList[[#This Row],[HH]]&gt;0,CampList[[#This Row],[Total]]/CampList[[#This Row],[HH]],"NA")</f>
        <v>NA</v>
      </c>
      <c r="T94" s="664" t="s">
        <v>511</v>
      </c>
      <c r="U94" s="699" t="s">
        <v>1191</v>
      </c>
      <c r="V94" s="664" t="s">
        <v>554</v>
      </c>
      <c r="W94" s="699"/>
      <c r="X94" s="719"/>
      <c r="Y94" s="710"/>
      <c r="Z94" s="720"/>
      <c r="AA94" s="704"/>
      <c r="AB94" s="693"/>
      <c r="AC94" s="723"/>
      <c r="AD94" s="686" t="s">
        <v>601</v>
      </c>
      <c r="AE94" s="721" t="s">
        <v>1007</v>
      </c>
      <c r="AF94" s="483">
        <f>IF(CampList[[#This Row],[Type of Accomodation]]="camp",MAX(0,CampList[[#This Row],[HH]]-SUMIF(Table_Shelter[Pcode],CampList[[#This Row],[CP_Pcode]],Table_Shelter[HH Covered])),0)</f>
        <v>0</v>
      </c>
      <c r="AG94" s="664"/>
      <c r="AH94" s="693">
        <f>MIN(CampList[[#This Row],[Shelter Gap]],CampList[[#This Row],[Land Status]])</f>
        <v>0</v>
      </c>
      <c r="AI94" s="664" t="str">
        <f ca="1">IFERROR(OFFSET(DistanceToCamp[Nearest Town],MATCH(CampList[[#This Row],[CP_Pcode]],DistanceToCamp[CP_Pcode],0)-1,0,1,1),"")</f>
        <v/>
      </c>
      <c r="AJ94" s="697" t="str">
        <f ca="1">IFERROR(OFFSET(DistanceToCamp[distance],MATCH(CampList[[#This Row],[CP_Pcode]],DistanceToCamp[CP_Pcode],0)-1,0,1,1),"")</f>
        <v/>
      </c>
      <c r="AK94" s="698" t="str">
        <f ca="1">IFERROR(INT(CampList[[#This Row],[Distance]]/5)+1,"")</f>
        <v/>
      </c>
    </row>
    <row r="95" spans="1:37" s="445" customFormat="1" ht="15.75" hidden="1" customHeight="1" x14ac:dyDescent="0.25">
      <c r="A95" s="686" t="s">
        <v>843</v>
      </c>
      <c r="B95" s="662" t="s">
        <v>380</v>
      </c>
      <c r="C95" s="662" t="s">
        <v>525</v>
      </c>
      <c r="D95" s="662" t="s">
        <v>180</v>
      </c>
      <c r="E95" s="662" t="s">
        <v>526</v>
      </c>
      <c r="F95" s="662" t="s">
        <v>527</v>
      </c>
      <c r="G95" s="662" t="s">
        <v>528</v>
      </c>
      <c r="H95" s="695" t="s">
        <v>603</v>
      </c>
      <c r="I95" s="695" t="s">
        <v>604</v>
      </c>
      <c r="J95" s="695" t="s">
        <v>701</v>
      </c>
      <c r="K95" s="695" t="s">
        <v>702</v>
      </c>
      <c r="L95" s="662" t="s">
        <v>54</v>
      </c>
      <c r="M95" s="662" t="s">
        <v>53</v>
      </c>
      <c r="N95" s="687">
        <v>96.310928000000004</v>
      </c>
      <c r="O95" s="687">
        <v>25.609179999999999</v>
      </c>
      <c r="P95" s="710"/>
      <c r="Q95" s="705">
        <v>0</v>
      </c>
      <c r="R95" s="706">
        <v>0</v>
      </c>
      <c r="S95" s="690" t="str">
        <f>IF(CampList[[#This Row],[HH]]&gt;0,CampList[[#This Row],[Total]]/CampList[[#This Row],[HH]],"NA")</f>
        <v>NA</v>
      </c>
      <c r="T95" s="664" t="s">
        <v>511</v>
      </c>
      <c r="U95" s="699" t="s">
        <v>1191</v>
      </c>
      <c r="V95" s="664" t="s">
        <v>554</v>
      </c>
      <c r="W95" s="699"/>
      <c r="X95" s="719"/>
      <c r="Y95" s="710"/>
      <c r="Z95" s="720"/>
      <c r="AA95" s="704"/>
      <c r="AB95" s="693"/>
      <c r="AC95" s="723"/>
      <c r="AD95" s="686" t="s">
        <v>601</v>
      </c>
      <c r="AE95" s="721" t="s">
        <v>1007</v>
      </c>
      <c r="AF95" s="483">
        <f>IF(CampList[[#This Row],[Type of Accomodation]]="camp",MAX(0,CampList[[#This Row],[HH]]-SUMIF(Table_Shelter[Pcode],CampList[[#This Row],[CP_Pcode]],Table_Shelter[HH Covered])),0)</f>
        <v>0</v>
      </c>
      <c r="AG95" s="664"/>
      <c r="AH95" s="693">
        <f>MIN(CampList[[#This Row],[Shelter Gap]],CampList[[#This Row],[Land Status]])</f>
        <v>0</v>
      </c>
      <c r="AI95" s="664" t="str">
        <f ca="1">IFERROR(OFFSET(DistanceToCamp[Nearest Town],MATCH(CampList[[#This Row],[CP_Pcode]],DistanceToCamp[CP_Pcode],0)-1,0,1,1),"")</f>
        <v/>
      </c>
      <c r="AJ95" s="697" t="str">
        <f ca="1">IFERROR(OFFSET(DistanceToCamp[distance],MATCH(CampList[[#This Row],[CP_Pcode]],DistanceToCamp[CP_Pcode],0)-1,0,1,1),"")</f>
        <v/>
      </c>
      <c r="AK95" s="698" t="str">
        <f ca="1">IFERROR(INT(CampList[[#This Row],[Distance]]/5)+1,"")</f>
        <v/>
      </c>
    </row>
    <row r="96" spans="1:37" s="445" customFormat="1" ht="15.75" hidden="1" customHeight="1" x14ac:dyDescent="0.25">
      <c r="A96" s="686" t="s">
        <v>843</v>
      </c>
      <c r="B96" s="662" t="s">
        <v>380</v>
      </c>
      <c r="C96" s="662" t="s">
        <v>525</v>
      </c>
      <c r="D96" s="662" t="s">
        <v>180</v>
      </c>
      <c r="E96" s="662" t="s">
        <v>526</v>
      </c>
      <c r="F96" s="662" t="s">
        <v>527</v>
      </c>
      <c r="G96" s="662" t="s">
        <v>528</v>
      </c>
      <c r="H96" s="695" t="s">
        <v>603</v>
      </c>
      <c r="I96" s="695" t="s">
        <v>604</v>
      </c>
      <c r="J96" s="695" t="s">
        <v>701</v>
      </c>
      <c r="K96" s="695" t="s">
        <v>702</v>
      </c>
      <c r="L96" s="662" t="s">
        <v>116</v>
      </c>
      <c r="M96" s="662" t="s">
        <v>115</v>
      </c>
      <c r="N96" s="687"/>
      <c r="O96" s="687"/>
      <c r="P96" s="710"/>
      <c r="Q96" s="705">
        <v>0</v>
      </c>
      <c r="R96" s="706">
        <v>0</v>
      </c>
      <c r="S96" s="690" t="str">
        <f>IF(CampList[[#This Row],[HH]]&gt;0,CampList[[#This Row],[Total]]/CampList[[#This Row],[HH]],"NA")</f>
        <v>NA</v>
      </c>
      <c r="T96" s="664" t="s">
        <v>511</v>
      </c>
      <c r="U96" s="699" t="s">
        <v>1191</v>
      </c>
      <c r="V96" s="664" t="s">
        <v>554</v>
      </c>
      <c r="W96" s="699"/>
      <c r="X96" s="719"/>
      <c r="Y96" s="710"/>
      <c r="Z96" s="720"/>
      <c r="AA96" s="704"/>
      <c r="AB96" s="693"/>
      <c r="AC96" s="723"/>
      <c r="AD96" s="686" t="s">
        <v>601</v>
      </c>
      <c r="AE96" s="721" t="s">
        <v>1007</v>
      </c>
      <c r="AF96" s="483">
        <f>IF(CampList[[#This Row],[Type of Accomodation]]="camp",MAX(0,CampList[[#This Row],[HH]]-SUMIF(Table_Shelter[Pcode],CampList[[#This Row],[CP_Pcode]],Table_Shelter[HH Covered])),0)</f>
        <v>0</v>
      </c>
      <c r="AG96" s="664"/>
      <c r="AH96" s="693">
        <f>MIN(CampList[[#This Row],[Shelter Gap]],CampList[[#This Row],[Land Status]])</f>
        <v>0</v>
      </c>
      <c r="AI96" s="664" t="str">
        <f ca="1">IFERROR(OFFSET(DistanceToCamp[Nearest Town],MATCH(CampList[[#This Row],[CP_Pcode]],DistanceToCamp[CP_Pcode],0)-1,0,1,1),"")</f>
        <v/>
      </c>
      <c r="AJ96" s="697" t="str">
        <f ca="1">IFERROR(OFFSET(DistanceToCamp[distance],MATCH(CampList[[#This Row],[CP_Pcode]],DistanceToCamp[CP_Pcode],0)-1,0,1,1),"")</f>
        <v/>
      </c>
      <c r="AK96" s="698" t="str">
        <f ca="1">IFERROR(INT(CampList[[#This Row],[Distance]]/5)+1,"")</f>
        <v/>
      </c>
    </row>
    <row r="97" spans="1:37" s="445" customFormat="1" ht="15.75" hidden="1" customHeight="1" x14ac:dyDescent="0.25">
      <c r="A97" s="686" t="s">
        <v>843</v>
      </c>
      <c r="B97" s="662" t="s">
        <v>380</v>
      </c>
      <c r="C97" s="662" t="s">
        <v>525</v>
      </c>
      <c r="D97" s="662" t="s">
        <v>180</v>
      </c>
      <c r="E97" s="662" t="s">
        <v>526</v>
      </c>
      <c r="F97" s="662" t="s">
        <v>527</v>
      </c>
      <c r="G97" s="662" t="s">
        <v>528</v>
      </c>
      <c r="H97" s="695" t="s">
        <v>603</v>
      </c>
      <c r="I97" s="695" t="s">
        <v>604</v>
      </c>
      <c r="J97" s="695" t="s">
        <v>701</v>
      </c>
      <c r="K97" s="695" t="s">
        <v>702</v>
      </c>
      <c r="L97" s="662" t="s">
        <v>80</v>
      </c>
      <c r="M97" s="662" t="s">
        <v>79</v>
      </c>
      <c r="N97" s="687"/>
      <c r="O97" s="687"/>
      <c r="P97" s="710"/>
      <c r="Q97" s="705">
        <v>0</v>
      </c>
      <c r="R97" s="706">
        <v>0</v>
      </c>
      <c r="S97" s="690" t="str">
        <f>IF(CampList[[#This Row],[HH]]&gt;0,CampList[[#This Row],[Total]]/CampList[[#This Row],[HH]],"NA")</f>
        <v>NA</v>
      </c>
      <c r="T97" s="664" t="s">
        <v>511</v>
      </c>
      <c r="U97" s="699" t="s">
        <v>1191</v>
      </c>
      <c r="V97" s="664" t="s">
        <v>554</v>
      </c>
      <c r="W97" s="699"/>
      <c r="X97" s="719"/>
      <c r="Y97" s="710"/>
      <c r="Z97" s="720"/>
      <c r="AA97" s="704"/>
      <c r="AB97" s="693"/>
      <c r="AC97" s="723"/>
      <c r="AD97" s="686" t="s">
        <v>601</v>
      </c>
      <c r="AE97" s="721" t="s">
        <v>1007</v>
      </c>
      <c r="AF97" s="483">
        <f>IF(CampList[[#This Row],[Type of Accomodation]]="camp",MAX(0,CampList[[#This Row],[HH]]-SUMIF(Table_Shelter[Pcode],CampList[[#This Row],[CP_Pcode]],Table_Shelter[HH Covered])),0)</f>
        <v>0</v>
      </c>
      <c r="AG97" s="664"/>
      <c r="AH97" s="693">
        <f>MIN(CampList[[#This Row],[Shelter Gap]],CampList[[#This Row],[Land Status]])</f>
        <v>0</v>
      </c>
      <c r="AI97" s="664" t="str">
        <f ca="1">IFERROR(OFFSET(DistanceToCamp[Nearest Town],MATCH(CampList[[#This Row],[CP_Pcode]],DistanceToCamp[CP_Pcode],0)-1,0,1,1),"")</f>
        <v/>
      </c>
      <c r="AJ97" s="697" t="str">
        <f ca="1">IFERROR(OFFSET(DistanceToCamp[distance],MATCH(CampList[[#This Row],[CP_Pcode]],DistanceToCamp[CP_Pcode],0)-1,0,1,1),"")</f>
        <v/>
      </c>
      <c r="AK97" s="698" t="str">
        <f ca="1">IFERROR(INT(CampList[[#This Row],[Distance]]/5)+1,"")</f>
        <v/>
      </c>
    </row>
    <row r="98" spans="1:37" s="445" customFormat="1" ht="15.75" hidden="1" customHeight="1" x14ac:dyDescent="0.25">
      <c r="A98" s="686" t="s">
        <v>843</v>
      </c>
      <c r="B98" s="662" t="s">
        <v>380</v>
      </c>
      <c r="C98" s="662" t="s">
        <v>525</v>
      </c>
      <c r="D98" s="662" t="s">
        <v>180</v>
      </c>
      <c r="E98" s="662" t="s">
        <v>526</v>
      </c>
      <c r="F98" s="662" t="s">
        <v>527</v>
      </c>
      <c r="G98" s="662" t="s">
        <v>528</v>
      </c>
      <c r="H98" s="695" t="s">
        <v>603</v>
      </c>
      <c r="I98" s="695" t="s">
        <v>604</v>
      </c>
      <c r="J98" s="695" t="s">
        <v>701</v>
      </c>
      <c r="K98" s="695" t="s">
        <v>702</v>
      </c>
      <c r="L98" s="662" t="s">
        <v>138</v>
      </c>
      <c r="M98" s="662" t="s">
        <v>137</v>
      </c>
      <c r="N98" s="687"/>
      <c r="O98" s="687"/>
      <c r="P98" s="710"/>
      <c r="Q98" s="705">
        <v>0</v>
      </c>
      <c r="R98" s="706">
        <v>0</v>
      </c>
      <c r="S98" s="690" t="str">
        <f>IF(CampList[[#This Row],[HH]]&gt;0,CampList[[#This Row],[Total]]/CampList[[#This Row],[HH]],"NA")</f>
        <v>NA</v>
      </c>
      <c r="T98" s="664" t="s">
        <v>511</v>
      </c>
      <c r="U98" s="699" t="s">
        <v>1191</v>
      </c>
      <c r="V98" s="664" t="s">
        <v>554</v>
      </c>
      <c r="W98" s="699"/>
      <c r="X98" s="719"/>
      <c r="Y98" s="710"/>
      <c r="Z98" s="720"/>
      <c r="AA98" s="704"/>
      <c r="AB98" s="693"/>
      <c r="AC98" s="723"/>
      <c r="AD98" s="686" t="s">
        <v>601</v>
      </c>
      <c r="AE98" s="721" t="s">
        <v>1007</v>
      </c>
      <c r="AF98" s="483">
        <f>IF(CampList[[#This Row],[Type of Accomodation]]="camp",MAX(0,CampList[[#This Row],[HH]]-SUMIF(Table_Shelter[Pcode],CampList[[#This Row],[CP_Pcode]],Table_Shelter[HH Covered])),0)</f>
        <v>0</v>
      </c>
      <c r="AG98" s="664"/>
      <c r="AH98" s="693">
        <f>MIN(CampList[[#This Row],[Shelter Gap]],CampList[[#This Row],[Land Status]])</f>
        <v>0</v>
      </c>
      <c r="AI98" s="664" t="str">
        <f ca="1">IFERROR(OFFSET(DistanceToCamp[Nearest Town],MATCH(CampList[[#This Row],[CP_Pcode]],DistanceToCamp[CP_Pcode],0)-1,0,1,1),"")</f>
        <v/>
      </c>
      <c r="AJ98" s="697" t="str">
        <f ca="1">IFERROR(OFFSET(DistanceToCamp[distance],MATCH(CampList[[#This Row],[CP_Pcode]],DistanceToCamp[CP_Pcode],0)-1,0,1,1),"")</f>
        <v/>
      </c>
      <c r="AK98" s="698" t="str">
        <f ca="1">IFERROR(INT(CampList[[#This Row],[Distance]]/5)+1,"")</f>
        <v/>
      </c>
    </row>
    <row r="99" spans="1:37" s="445" customFormat="1" ht="15.75" hidden="1" customHeight="1" x14ac:dyDescent="0.25">
      <c r="A99" s="686" t="s">
        <v>843</v>
      </c>
      <c r="B99" s="662" t="s">
        <v>380</v>
      </c>
      <c r="C99" s="662" t="s">
        <v>525</v>
      </c>
      <c r="D99" s="662" t="s">
        <v>180</v>
      </c>
      <c r="E99" s="662" t="s">
        <v>526</v>
      </c>
      <c r="F99" s="662" t="s">
        <v>527</v>
      </c>
      <c r="G99" s="662" t="s">
        <v>528</v>
      </c>
      <c r="H99" s="695" t="s">
        <v>603</v>
      </c>
      <c r="I99" s="695" t="s">
        <v>604</v>
      </c>
      <c r="J99" s="695" t="s">
        <v>701</v>
      </c>
      <c r="K99" s="695" t="s">
        <v>702</v>
      </c>
      <c r="L99" s="662" t="s">
        <v>102</v>
      </c>
      <c r="M99" s="662" t="s">
        <v>101</v>
      </c>
      <c r="N99" s="687"/>
      <c r="O99" s="687"/>
      <c r="P99" s="710"/>
      <c r="Q99" s="705">
        <v>0</v>
      </c>
      <c r="R99" s="706">
        <v>0</v>
      </c>
      <c r="S99" s="690" t="str">
        <f>IF(CampList[[#This Row],[HH]]&gt;0,CampList[[#This Row],[Total]]/CampList[[#This Row],[HH]],"NA")</f>
        <v>NA</v>
      </c>
      <c r="T99" s="664" t="s">
        <v>511</v>
      </c>
      <c r="U99" s="699" t="s">
        <v>1191</v>
      </c>
      <c r="V99" s="664" t="s">
        <v>554</v>
      </c>
      <c r="W99" s="699"/>
      <c r="X99" s="719"/>
      <c r="Y99" s="710"/>
      <c r="Z99" s="720"/>
      <c r="AA99" s="704"/>
      <c r="AB99" s="693"/>
      <c r="AC99" s="723"/>
      <c r="AD99" s="686" t="s">
        <v>601</v>
      </c>
      <c r="AE99" s="721" t="s">
        <v>1007</v>
      </c>
      <c r="AF99" s="483">
        <f>IF(CampList[[#This Row],[Type of Accomodation]]="camp",MAX(0,CampList[[#This Row],[HH]]-SUMIF(Table_Shelter[Pcode],CampList[[#This Row],[CP_Pcode]],Table_Shelter[HH Covered])),0)</f>
        <v>0</v>
      </c>
      <c r="AG99" s="664"/>
      <c r="AH99" s="693">
        <f>MIN(CampList[[#This Row],[Shelter Gap]],CampList[[#This Row],[Land Status]])</f>
        <v>0</v>
      </c>
      <c r="AI99" s="664" t="str">
        <f ca="1">IFERROR(OFFSET(DistanceToCamp[Nearest Town],MATCH(CampList[[#This Row],[CP_Pcode]],DistanceToCamp[CP_Pcode],0)-1,0,1,1),"")</f>
        <v/>
      </c>
      <c r="AJ99" s="697" t="str">
        <f ca="1">IFERROR(OFFSET(DistanceToCamp[distance],MATCH(CampList[[#This Row],[CP_Pcode]],DistanceToCamp[CP_Pcode],0)-1,0,1,1),"")</f>
        <v/>
      </c>
      <c r="AK99" s="698" t="str">
        <f ca="1">IFERROR(INT(CampList[[#This Row],[Distance]]/5)+1,"")</f>
        <v/>
      </c>
    </row>
    <row r="100" spans="1:37" s="445" customFormat="1" ht="15.75" hidden="1" customHeight="1" x14ac:dyDescent="0.25">
      <c r="A100" s="686" t="s">
        <v>843</v>
      </c>
      <c r="B100" s="662" t="s">
        <v>380</v>
      </c>
      <c r="C100" s="662" t="s">
        <v>525</v>
      </c>
      <c r="D100" s="662" t="s">
        <v>180</v>
      </c>
      <c r="E100" s="662" t="s">
        <v>526</v>
      </c>
      <c r="F100" s="662" t="s">
        <v>527</v>
      </c>
      <c r="G100" s="662" t="s">
        <v>528</v>
      </c>
      <c r="H100" s="695" t="s">
        <v>603</v>
      </c>
      <c r="I100" s="695" t="s">
        <v>604</v>
      </c>
      <c r="J100" s="695" t="s">
        <v>701</v>
      </c>
      <c r="K100" s="695" t="s">
        <v>702</v>
      </c>
      <c r="L100" s="662" t="s">
        <v>106</v>
      </c>
      <c r="M100" s="662" t="s">
        <v>105</v>
      </c>
      <c r="N100" s="687"/>
      <c r="O100" s="687"/>
      <c r="P100" s="710"/>
      <c r="Q100" s="705">
        <v>0</v>
      </c>
      <c r="R100" s="706">
        <v>0</v>
      </c>
      <c r="S100" s="690" t="str">
        <f>IF(CampList[[#This Row],[HH]]&gt;0,CampList[[#This Row],[Total]]/CampList[[#This Row],[HH]],"NA")</f>
        <v>NA</v>
      </c>
      <c r="T100" s="664" t="s">
        <v>511</v>
      </c>
      <c r="U100" s="699" t="s">
        <v>1191</v>
      </c>
      <c r="V100" s="664" t="s">
        <v>554</v>
      </c>
      <c r="W100" s="699"/>
      <c r="X100" s="719"/>
      <c r="Y100" s="710"/>
      <c r="Z100" s="720"/>
      <c r="AA100" s="704"/>
      <c r="AB100" s="693"/>
      <c r="AC100" s="723"/>
      <c r="AD100" s="686" t="s">
        <v>601</v>
      </c>
      <c r="AE100" s="721" t="s">
        <v>1007</v>
      </c>
      <c r="AF100" s="483">
        <f>IF(CampList[[#This Row],[Type of Accomodation]]="camp",MAX(0,CampList[[#This Row],[HH]]-SUMIF(Table_Shelter[Pcode],CampList[[#This Row],[CP_Pcode]],Table_Shelter[HH Covered])),0)</f>
        <v>0</v>
      </c>
      <c r="AG100" s="664"/>
      <c r="AH100" s="693">
        <f>MIN(CampList[[#This Row],[Shelter Gap]],CampList[[#This Row],[Land Status]])</f>
        <v>0</v>
      </c>
      <c r="AI100" s="664" t="str">
        <f ca="1">IFERROR(OFFSET(DistanceToCamp[Nearest Town],MATCH(CampList[[#This Row],[CP_Pcode]],DistanceToCamp[CP_Pcode],0)-1,0,1,1),"")</f>
        <v/>
      </c>
      <c r="AJ100" s="697" t="str">
        <f ca="1">IFERROR(OFFSET(DistanceToCamp[distance],MATCH(CampList[[#This Row],[CP_Pcode]],DistanceToCamp[CP_Pcode],0)-1,0,1,1),"")</f>
        <v/>
      </c>
      <c r="AK100" s="698" t="str">
        <f ca="1">IFERROR(INT(CampList[[#This Row],[Distance]]/5)+1,"")</f>
        <v/>
      </c>
    </row>
    <row r="101" spans="1:37" s="445" customFormat="1" ht="15.75" hidden="1" customHeight="1" x14ac:dyDescent="0.25">
      <c r="A101" s="686" t="s">
        <v>843</v>
      </c>
      <c r="B101" s="662" t="s">
        <v>380</v>
      </c>
      <c r="C101" s="662" t="s">
        <v>525</v>
      </c>
      <c r="D101" s="662" t="s">
        <v>180</v>
      </c>
      <c r="E101" s="662" t="s">
        <v>526</v>
      </c>
      <c r="F101" s="662" t="s">
        <v>527</v>
      </c>
      <c r="G101" s="662" t="s">
        <v>528</v>
      </c>
      <c r="H101" s="695" t="s">
        <v>603</v>
      </c>
      <c r="I101" s="695" t="s">
        <v>604</v>
      </c>
      <c r="J101" s="695" t="s">
        <v>701</v>
      </c>
      <c r="K101" s="695" t="s">
        <v>702</v>
      </c>
      <c r="L101" s="662" t="s">
        <v>130</v>
      </c>
      <c r="M101" s="662" t="s">
        <v>129</v>
      </c>
      <c r="N101" s="687"/>
      <c r="O101" s="687"/>
      <c r="P101" s="710"/>
      <c r="Q101" s="705">
        <v>0</v>
      </c>
      <c r="R101" s="706">
        <v>0</v>
      </c>
      <c r="S101" s="690" t="str">
        <f>IF(CampList[[#This Row],[HH]]&gt;0,CampList[[#This Row],[Total]]/CampList[[#This Row],[HH]],"NA")</f>
        <v>NA</v>
      </c>
      <c r="T101" s="664" t="s">
        <v>511</v>
      </c>
      <c r="U101" s="699" t="s">
        <v>1191</v>
      </c>
      <c r="V101" s="664" t="s">
        <v>554</v>
      </c>
      <c r="W101" s="699"/>
      <c r="X101" s="719"/>
      <c r="Y101" s="710"/>
      <c r="Z101" s="720"/>
      <c r="AA101" s="704"/>
      <c r="AB101" s="693"/>
      <c r="AC101" s="723"/>
      <c r="AD101" s="686" t="s">
        <v>601</v>
      </c>
      <c r="AE101" s="721" t="s">
        <v>1007</v>
      </c>
      <c r="AF101" s="483">
        <f>IF(CampList[[#This Row],[Type of Accomodation]]="camp",MAX(0,CampList[[#This Row],[HH]]-SUMIF(Table_Shelter[Pcode],CampList[[#This Row],[CP_Pcode]],Table_Shelter[HH Covered])),0)</f>
        <v>0</v>
      </c>
      <c r="AG101" s="664"/>
      <c r="AH101" s="693">
        <f>MIN(CampList[[#This Row],[Shelter Gap]],CampList[[#This Row],[Land Status]])</f>
        <v>0</v>
      </c>
      <c r="AI101" s="664" t="str">
        <f ca="1">IFERROR(OFFSET(DistanceToCamp[Nearest Town],MATCH(CampList[[#This Row],[CP_Pcode]],DistanceToCamp[CP_Pcode],0)-1,0,1,1),"")</f>
        <v/>
      </c>
      <c r="AJ101" s="697" t="str">
        <f ca="1">IFERROR(OFFSET(DistanceToCamp[distance],MATCH(CampList[[#This Row],[CP_Pcode]],DistanceToCamp[CP_Pcode],0)-1,0,1,1),"")</f>
        <v/>
      </c>
      <c r="AK101" s="698" t="str">
        <f ca="1">IFERROR(INT(CampList[[#This Row],[Distance]]/5)+1,"")</f>
        <v/>
      </c>
    </row>
    <row r="102" spans="1:37" s="445" customFormat="1" ht="15.75" hidden="1" customHeight="1" x14ac:dyDescent="0.25">
      <c r="A102" s="686" t="s">
        <v>843</v>
      </c>
      <c r="B102" s="662" t="s">
        <v>380</v>
      </c>
      <c r="C102" s="662" t="s">
        <v>525</v>
      </c>
      <c r="D102" s="662" t="s">
        <v>180</v>
      </c>
      <c r="E102" s="662" t="s">
        <v>526</v>
      </c>
      <c r="F102" s="662" t="s">
        <v>527</v>
      </c>
      <c r="G102" s="662" t="s">
        <v>528</v>
      </c>
      <c r="H102" s="695" t="s">
        <v>603</v>
      </c>
      <c r="I102" s="695" t="s">
        <v>604</v>
      </c>
      <c r="J102" s="695" t="s">
        <v>703</v>
      </c>
      <c r="K102" s="695" t="s">
        <v>704</v>
      </c>
      <c r="L102" s="662" t="s">
        <v>134</v>
      </c>
      <c r="M102" s="662" t="s">
        <v>133</v>
      </c>
      <c r="N102" s="687"/>
      <c r="O102" s="687"/>
      <c r="P102" s="710"/>
      <c r="Q102" s="705">
        <v>0</v>
      </c>
      <c r="R102" s="706">
        <v>0</v>
      </c>
      <c r="S102" s="690" t="str">
        <f>IF(CampList[[#This Row],[HH]]&gt;0,CampList[[#This Row],[Total]]/CampList[[#This Row],[HH]],"NA")</f>
        <v>NA</v>
      </c>
      <c r="T102" s="664" t="s">
        <v>511</v>
      </c>
      <c r="U102" s="699" t="s">
        <v>1191</v>
      </c>
      <c r="V102" s="664" t="s">
        <v>554</v>
      </c>
      <c r="W102" s="699"/>
      <c r="X102" s="719"/>
      <c r="Y102" s="710"/>
      <c r="Z102" s="720"/>
      <c r="AA102" s="704"/>
      <c r="AB102" s="693"/>
      <c r="AC102" s="723"/>
      <c r="AD102" s="686" t="s">
        <v>601</v>
      </c>
      <c r="AE102" s="721" t="s">
        <v>1007</v>
      </c>
      <c r="AF102" s="483">
        <f>IF(CampList[[#This Row],[Type of Accomodation]]="camp",MAX(0,CampList[[#This Row],[HH]]-SUMIF(Table_Shelter[Pcode],CampList[[#This Row],[CP_Pcode]],Table_Shelter[HH Covered])),0)</f>
        <v>0</v>
      </c>
      <c r="AG102" s="664"/>
      <c r="AH102" s="693">
        <f>MIN(CampList[[#This Row],[Shelter Gap]],CampList[[#This Row],[Land Status]])</f>
        <v>0</v>
      </c>
      <c r="AI102" s="664" t="str">
        <f ca="1">IFERROR(OFFSET(DistanceToCamp[Nearest Town],MATCH(CampList[[#This Row],[CP_Pcode]],DistanceToCamp[CP_Pcode],0)-1,0,1,1),"")</f>
        <v/>
      </c>
      <c r="AJ102" s="697" t="str">
        <f ca="1">IFERROR(OFFSET(DistanceToCamp[distance],MATCH(CampList[[#This Row],[CP_Pcode]],DistanceToCamp[CP_Pcode],0)-1,0,1,1),"")</f>
        <v/>
      </c>
      <c r="AK102" s="698" t="str">
        <f ca="1">IFERROR(INT(CampList[[#This Row],[Distance]]/5)+1,"")</f>
        <v/>
      </c>
    </row>
    <row r="103" spans="1:37" s="445" customFormat="1" ht="15.75" hidden="1" customHeight="1" x14ac:dyDescent="0.25">
      <c r="A103" s="686" t="s">
        <v>843</v>
      </c>
      <c r="B103" s="662" t="s">
        <v>380</v>
      </c>
      <c r="C103" s="662" t="s">
        <v>525</v>
      </c>
      <c r="D103" s="662" t="s">
        <v>180</v>
      </c>
      <c r="E103" s="662" t="s">
        <v>526</v>
      </c>
      <c r="F103" s="662" t="s">
        <v>527</v>
      </c>
      <c r="G103" s="662" t="s">
        <v>528</v>
      </c>
      <c r="H103" s="695" t="s">
        <v>603</v>
      </c>
      <c r="I103" s="695" t="s">
        <v>604</v>
      </c>
      <c r="J103" s="695" t="s">
        <v>703</v>
      </c>
      <c r="K103" s="695" t="s">
        <v>704</v>
      </c>
      <c r="L103" s="662" t="s">
        <v>114</v>
      </c>
      <c r="M103" s="662" t="s">
        <v>113</v>
      </c>
      <c r="N103" s="687"/>
      <c r="O103" s="687"/>
      <c r="P103" s="711"/>
      <c r="Q103" s="705">
        <v>0</v>
      </c>
      <c r="R103" s="706">
        <v>0</v>
      </c>
      <c r="S103" s="690" t="str">
        <f>IF(CampList[[#This Row],[HH]]&gt;0,CampList[[#This Row],[Total]]/CampList[[#This Row],[HH]],"NA")</f>
        <v>NA</v>
      </c>
      <c r="T103" s="664" t="s">
        <v>511</v>
      </c>
      <c r="U103" s="699" t="s">
        <v>1191</v>
      </c>
      <c r="V103" s="664" t="s">
        <v>554</v>
      </c>
      <c r="W103" s="699"/>
      <c r="X103" s="719"/>
      <c r="Y103" s="710"/>
      <c r="Z103" s="720"/>
      <c r="AA103" s="704"/>
      <c r="AB103" s="693"/>
      <c r="AC103" s="723"/>
      <c r="AD103" s="686" t="s">
        <v>601</v>
      </c>
      <c r="AE103" s="721" t="s">
        <v>1007</v>
      </c>
      <c r="AF103" s="483">
        <f>IF(CampList[[#This Row],[Type of Accomodation]]="camp",MAX(0,CampList[[#This Row],[HH]]-SUMIF(Table_Shelter[Pcode],CampList[[#This Row],[CP_Pcode]],Table_Shelter[HH Covered])),0)</f>
        <v>0</v>
      </c>
      <c r="AG103" s="664"/>
      <c r="AH103" s="693">
        <f>MIN(CampList[[#This Row],[Shelter Gap]],CampList[[#This Row],[Land Status]])</f>
        <v>0</v>
      </c>
      <c r="AI103" s="664" t="str">
        <f ca="1">IFERROR(OFFSET(DistanceToCamp[Nearest Town],MATCH(CampList[[#This Row],[CP_Pcode]],DistanceToCamp[CP_Pcode],0)-1,0,1,1),"")</f>
        <v/>
      </c>
      <c r="AJ103" s="697" t="str">
        <f ca="1">IFERROR(OFFSET(DistanceToCamp[distance],MATCH(CampList[[#This Row],[CP_Pcode]],DistanceToCamp[CP_Pcode],0)-1,0,1,1),"")</f>
        <v/>
      </c>
      <c r="AK103" s="698" t="str">
        <f ca="1">IFERROR(INT(CampList[[#This Row],[Distance]]/5)+1,"")</f>
        <v/>
      </c>
    </row>
    <row r="104" spans="1:37" s="445" customFormat="1" ht="15.75" customHeight="1" x14ac:dyDescent="0.25">
      <c r="A104" s="686" t="s">
        <v>500</v>
      </c>
      <c r="B104" s="662" t="s">
        <v>380</v>
      </c>
      <c r="C104" s="662" t="s">
        <v>525</v>
      </c>
      <c r="D104" s="662" t="s">
        <v>180</v>
      </c>
      <c r="E104" s="662" t="s">
        <v>526</v>
      </c>
      <c r="F104" s="662" t="s">
        <v>527</v>
      </c>
      <c r="G104" s="662" t="s">
        <v>528</v>
      </c>
      <c r="H104" s="695" t="s">
        <v>609</v>
      </c>
      <c r="I104" s="695" t="s">
        <v>610</v>
      </c>
      <c r="J104" s="695" t="s">
        <v>609</v>
      </c>
      <c r="K104" s="695">
        <v>166776</v>
      </c>
      <c r="L104" s="662" t="s">
        <v>108</v>
      </c>
      <c r="M104" s="662" t="s">
        <v>107</v>
      </c>
      <c r="N104" s="687">
        <v>96.341352999999998</v>
      </c>
      <c r="O104" s="687">
        <v>25.613894999999999</v>
      </c>
      <c r="P104" s="688">
        <v>251</v>
      </c>
      <c r="Q104" s="705">
        <v>51</v>
      </c>
      <c r="R104" s="706">
        <v>225</v>
      </c>
      <c r="S104" s="690">
        <f>IF(CampList[[#This Row],[HH]]&gt;0,CampList[[#This Row],[Total]]/CampList[[#This Row],[HH]],"NA")</f>
        <v>4.4117647058823533</v>
      </c>
      <c r="T104" s="664" t="s">
        <v>511</v>
      </c>
      <c r="U104" s="664" t="s">
        <v>1191</v>
      </c>
      <c r="V104" s="664" t="s">
        <v>554</v>
      </c>
      <c r="W104" s="664" t="s">
        <v>803</v>
      </c>
      <c r="X104" s="691">
        <v>41487</v>
      </c>
      <c r="Y104" s="692">
        <v>3</v>
      </c>
      <c r="Z104" s="691" t="s">
        <v>1090</v>
      </c>
      <c r="AA104" s="704" t="s">
        <v>842</v>
      </c>
      <c r="AB104" s="693"/>
      <c r="AC104" s="694">
        <v>42745</v>
      </c>
      <c r="AD104" s="686" t="s">
        <v>1549</v>
      </c>
      <c r="AE104" s="696" t="s">
        <v>1093</v>
      </c>
      <c r="AF104" s="483">
        <f>IF(CampList[[#This Row],[Type of Accomodation]]="camp",MAX(0,CampList[[#This Row],[HH]]-SUMIF(Table_Shelter[Pcode],CampList[[#This Row],[CP_Pcode]],Table_Shelter[HH Covered])),0)</f>
        <v>0</v>
      </c>
      <c r="AG104" s="664"/>
      <c r="AH104" s="693">
        <f>MIN(CampList[[#This Row],[Shelter Gap]],CampList[[#This Row],[Land Status]])</f>
        <v>0</v>
      </c>
      <c r="AI104" s="664" t="str">
        <f ca="1">IFERROR(OFFSET(DistanceToCamp[Nearest Town],MATCH(CampList[[#This Row],[CP_Pcode]],DistanceToCamp[CP_Pcode],0)-1,0,1,1),"")</f>
        <v>Hpakant Town</v>
      </c>
      <c r="AJ104" s="697">
        <f ca="1">IFERROR(OFFSET(DistanceToCamp[distance],MATCH(CampList[[#This Row],[CP_Pcode]],DistanceToCamp[CP_Pcode],0)-1,0,1,1),"")</f>
        <v>2.9334852607184256</v>
      </c>
      <c r="AK104" s="698">
        <f ca="1">IFERROR(INT(CampList[[#This Row],[Distance]]/5)+1,"")</f>
        <v>1</v>
      </c>
    </row>
    <row r="105" spans="1:37" s="445" customFormat="1" ht="15.75" hidden="1" customHeight="1" x14ac:dyDescent="0.25">
      <c r="A105" s="686" t="s">
        <v>843</v>
      </c>
      <c r="B105" s="662" t="s">
        <v>380</v>
      </c>
      <c r="C105" s="662" t="s">
        <v>525</v>
      </c>
      <c r="D105" s="662" t="s">
        <v>180</v>
      </c>
      <c r="E105" s="662" t="s">
        <v>526</v>
      </c>
      <c r="F105" s="662" t="s">
        <v>527</v>
      </c>
      <c r="G105" s="662" t="s">
        <v>528</v>
      </c>
      <c r="H105" s="662"/>
      <c r="I105" s="662"/>
      <c r="J105" s="662"/>
      <c r="K105" s="662"/>
      <c r="L105" s="662" t="s">
        <v>96</v>
      </c>
      <c r="M105" s="662" t="s">
        <v>95</v>
      </c>
      <c r="N105" s="687"/>
      <c r="O105" s="687"/>
      <c r="P105" s="711"/>
      <c r="Q105" s="705">
        <v>0</v>
      </c>
      <c r="R105" s="706">
        <v>0</v>
      </c>
      <c r="S105" s="690" t="str">
        <f>IF(CampList[[#This Row],[HH]]&gt;0,CampList[[#This Row],[Total]]/CampList[[#This Row],[HH]],"NA")</f>
        <v>NA</v>
      </c>
      <c r="T105" s="664" t="s">
        <v>511</v>
      </c>
      <c r="U105" s="699" t="s">
        <v>1191</v>
      </c>
      <c r="V105" s="664" t="s">
        <v>554</v>
      </c>
      <c r="W105" s="699"/>
      <c r="X105" s="719"/>
      <c r="Y105" s="710"/>
      <c r="Z105" s="720"/>
      <c r="AA105" s="724"/>
      <c r="AB105" s="693"/>
      <c r="AC105" s="723"/>
      <c r="AD105" s="686" t="s">
        <v>601</v>
      </c>
      <c r="AE105" s="721" t="s">
        <v>1007</v>
      </c>
      <c r="AF105" s="483">
        <f>IF(CampList[[#This Row],[Type of Accomodation]]="camp",MAX(0,CampList[[#This Row],[HH]]-SUMIF(Table_Shelter[Pcode],CampList[[#This Row],[CP_Pcode]],Table_Shelter[HH Covered])),0)</f>
        <v>0</v>
      </c>
      <c r="AG105" s="664"/>
      <c r="AH105" s="693">
        <f>MIN(CampList[[#This Row],[Shelter Gap]],CampList[[#This Row],[Land Status]])</f>
        <v>0</v>
      </c>
      <c r="AI105" s="664" t="str">
        <f ca="1">IFERROR(OFFSET(DistanceToCamp[Nearest Town],MATCH(CampList[[#This Row],[CP_Pcode]],DistanceToCamp[CP_Pcode],0)-1,0,1,1),"")</f>
        <v/>
      </c>
      <c r="AJ105" s="697" t="str">
        <f ca="1">IFERROR(OFFSET(DistanceToCamp[distance],MATCH(CampList[[#This Row],[CP_Pcode]],DistanceToCamp[CP_Pcode],0)-1,0,1,1),"")</f>
        <v/>
      </c>
      <c r="AK105" s="698" t="str">
        <f ca="1">IFERROR(INT(CampList[[#This Row],[Distance]]/5)+1,"")</f>
        <v/>
      </c>
    </row>
    <row r="106" spans="1:37" s="445" customFormat="1" ht="15.75" customHeight="1" x14ac:dyDescent="0.25">
      <c r="A106" s="686" t="s">
        <v>500</v>
      </c>
      <c r="B106" s="662" t="s">
        <v>380</v>
      </c>
      <c r="C106" s="662" t="s">
        <v>525</v>
      </c>
      <c r="D106" s="662" t="s">
        <v>180</v>
      </c>
      <c r="E106" s="662" t="s">
        <v>526</v>
      </c>
      <c r="F106" s="662" t="s">
        <v>527</v>
      </c>
      <c r="G106" s="662" t="s">
        <v>528</v>
      </c>
      <c r="H106" s="695" t="s">
        <v>609</v>
      </c>
      <c r="I106" s="695" t="s">
        <v>610</v>
      </c>
      <c r="J106" s="662" t="s">
        <v>609</v>
      </c>
      <c r="K106" s="709">
        <v>166776</v>
      </c>
      <c r="L106" s="662" t="s">
        <v>140</v>
      </c>
      <c r="M106" s="662" t="s">
        <v>139</v>
      </c>
      <c r="N106" s="687">
        <v>96.306910999999999</v>
      </c>
      <c r="O106" s="687">
        <v>25.599250000000001</v>
      </c>
      <c r="P106" s="688">
        <v>0</v>
      </c>
      <c r="Q106" s="689">
        <v>12</v>
      </c>
      <c r="R106" s="689">
        <v>43</v>
      </c>
      <c r="S106" s="690">
        <f>IF(CampList[[#This Row],[HH]]&gt;0,CampList[[#This Row],[Total]]/CampList[[#This Row],[HH]],"NA")</f>
        <v>3.5833333333333335</v>
      </c>
      <c r="T106" s="664" t="s">
        <v>511</v>
      </c>
      <c r="U106" s="664" t="s">
        <v>1191</v>
      </c>
      <c r="V106" s="664" t="s">
        <v>554</v>
      </c>
      <c r="W106" s="664" t="s">
        <v>803</v>
      </c>
      <c r="X106" s="691">
        <v>41122</v>
      </c>
      <c r="Y106" s="692">
        <v>1</v>
      </c>
      <c r="Z106" s="691" t="s">
        <v>460</v>
      </c>
      <c r="AA106" s="693" t="s">
        <v>842</v>
      </c>
      <c r="AB106" s="693"/>
      <c r="AC106" s="694">
        <v>42745</v>
      </c>
      <c r="AD106" s="695" t="s">
        <v>1524</v>
      </c>
      <c r="AE106" s="696" t="s">
        <v>1093</v>
      </c>
      <c r="AF106" s="483">
        <f>IF(CampList[[#This Row],[Type of Accomodation]]="camp",MAX(0,CampList[[#This Row],[HH]]-SUMIF(Table_Shelter[Pcode],CampList[[#This Row],[CP_Pcode]],Table_Shelter[HH Covered])),0)</f>
        <v>2</v>
      </c>
      <c r="AG106" s="664"/>
      <c r="AH106" s="693">
        <f>MIN(CampList[[#This Row],[Shelter Gap]],CampList[[#This Row],[Land Status]])</f>
        <v>2</v>
      </c>
      <c r="AI106" s="664" t="str">
        <f ca="1">IFERROR(OFFSET(DistanceToCamp[Nearest Town],MATCH(CampList[[#This Row],[CP_Pcode]],DistanceToCamp[CP_Pcode],0)-1,0,1,1),"")</f>
        <v>Hpakant Town</v>
      </c>
      <c r="AJ106" s="697">
        <f ca="1">IFERROR(OFFSET(DistanceToCamp[distance],MATCH(CampList[[#This Row],[CP_Pcode]],DistanceToCamp[CP_Pcode],0)-1,0,1,1),"")</f>
        <v>1.5942018764815451</v>
      </c>
      <c r="AK106" s="698">
        <f ca="1">IFERROR(INT(CampList[[#This Row],[Distance]]/5)+1,"")</f>
        <v>1</v>
      </c>
    </row>
    <row r="107" spans="1:37" s="445" customFormat="1" ht="15.75" hidden="1" customHeight="1" x14ac:dyDescent="0.25">
      <c r="A107" s="686" t="s">
        <v>843</v>
      </c>
      <c r="B107" s="662" t="s">
        <v>380</v>
      </c>
      <c r="C107" s="662" t="s">
        <v>525</v>
      </c>
      <c r="D107" s="662" t="s">
        <v>180</v>
      </c>
      <c r="E107" s="662" t="s">
        <v>526</v>
      </c>
      <c r="F107" s="662" t="s">
        <v>527</v>
      </c>
      <c r="G107" s="662" t="s">
        <v>528</v>
      </c>
      <c r="H107" s="662"/>
      <c r="I107" s="662"/>
      <c r="J107" s="662"/>
      <c r="K107" s="662"/>
      <c r="L107" s="662" t="s">
        <v>136</v>
      </c>
      <c r="M107" s="662" t="s">
        <v>135</v>
      </c>
      <c r="N107" s="687">
        <v>96.343350000000001</v>
      </c>
      <c r="O107" s="687">
        <v>25.6447</v>
      </c>
      <c r="P107" s="710"/>
      <c r="Q107" s="705">
        <v>0</v>
      </c>
      <c r="R107" s="706">
        <v>0</v>
      </c>
      <c r="S107" s="690" t="str">
        <f>IF(CampList[[#This Row],[HH]]&gt;0,CampList[[#This Row],[Total]]/CampList[[#This Row],[HH]],"NA")</f>
        <v>NA</v>
      </c>
      <c r="T107" s="664" t="s">
        <v>511</v>
      </c>
      <c r="U107" s="699" t="s">
        <v>1191</v>
      </c>
      <c r="V107" s="664" t="s">
        <v>554</v>
      </c>
      <c r="W107" s="699"/>
      <c r="X107" s="719"/>
      <c r="Y107" s="710"/>
      <c r="Z107" s="720"/>
      <c r="AA107" s="724"/>
      <c r="AB107" s="693"/>
      <c r="AC107" s="723"/>
      <c r="AD107" s="686" t="s">
        <v>601</v>
      </c>
      <c r="AE107" s="721" t="s">
        <v>1007</v>
      </c>
      <c r="AF107" s="483">
        <f>IF(CampList[[#This Row],[Type of Accomodation]]="camp",MAX(0,CampList[[#This Row],[HH]]-SUMIF(Table_Shelter[Pcode],CampList[[#This Row],[CP_Pcode]],Table_Shelter[HH Covered])),0)</f>
        <v>0</v>
      </c>
      <c r="AG107" s="664"/>
      <c r="AH107" s="693">
        <f>MIN(CampList[[#This Row],[Shelter Gap]],CampList[[#This Row],[Land Status]])</f>
        <v>0</v>
      </c>
      <c r="AI107" s="664" t="str">
        <f ca="1">IFERROR(OFFSET(DistanceToCamp[Nearest Town],MATCH(CampList[[#This Row],[CP_Pcode]],DistanceToCamp[CP_Pcode],0)-1,0,1,1),"")</f>
        <v/>
      </c>
      <c r="AJ107" s="697" t="str">
        <f ca="1">IFERROR(OFFSET(DistanceToCamp[distance],MATCH(CampList[[#This Row],[CP_Pcode]],DistanceToCamp[CP_Pcode],0)-1,0,1,1),"")</f>
        <v/>
      </c>
      <c r="AK107" s="698" t="str">
        <f ca="1">IFERROR(INT(CampList[[#This Row],[Distance]]/5)+1,"")</f>
        <v/>
      </c>
    </row>
    <row r="108" spans="1:37" s="445" customFormat="1" ht="15.75" hidden="1" customHeight="1" x14ac:dyDescent="0.25">
      <c r="A108" s="686" t="s">
        <v>843</v>
      </c>
      <c r="B108" s="662" t="s">
        <v>380</v>
      </c>
      <c r="C108" s="662" t="s">
        <v>525</v>
      </c>
      <c r="D108" s="662" t="s">
        <v>180</v>
      </c>
      <c r="E108" s="662" t="s">
        <v>526</v>
      </c>
      <c r="F108" s="662" t="s">
        <v>527</v>
      </c>
      <c r="G108" s="662" t="s">
        <v>528</v>
      </c>
      <c r="H108" s="695" t="s">
        <v>598</v>
      </c>
      <c r="I108" s="695" t="s">
        <v>599</v>
      </c>
      <c r="J108" s="695" t="s">
        <v>708</v>
      </c>
      <c r="K108" s="695">
        <v>166790</v>
      </c>
      <c r="L108" s="662" t="s">
        <v>94</v>
      </c>
      <c r="M108" s="662" t="s">
        <v>93</v>
      </c>
      <c r="N108" s="687"/>
      <c r="O108" s="687"/>
      <c r="P108" s="710"/>
      <c r="Q108" s="705">
        <v>0</v>
      </c>
      <c r="R108" s="706">
        <v>0</v>
      </c>
      <c r="S108" s="690" t="str">
        <f>IF(CampList[[#This Row],[HH]]&gt;0,CampList[[#This Row],[Total]]/CampList[[#This Row],[HH]],"NA")</f>
        <v>NA</v>
      </c>
      <c r="T108" s="664" t="s">
        <v>511</v>
      </c>
      <c r="U108" s="699" t="s">
        <v>1191</v>
      </c>
      <c r="V108" s="664" t="s">
        <v>554</v>
      </c>
      <c r="W108" s="699"/>
      <c r="X108" s="719"/>
      <c r="Y108" s="710"/>
      <c r="Z108" s="720"/>
      <c r="AA108" s="724"/>
      <c r="AB108" s="693"/>
      <c r="AC108" s="723"/>
      <c r="AD108" s="686" t="s">
        <v>601</v>
      </c>
      <c r="AE108" s="721" t="s">
        <v>1007</v>
      </c>
      <c r="AF108" s="483">
        <f>IF(CampList[[#This Row],[Type of Accomodation]]="camp",MAX(0,CampList[[#This Row],[HH]]-SUMIF(Table_Shelter[Pcode],CampList[[#This Row],[CP_Pcode]],Table_Shelter[HH Covered])),0)</f>
        <v>0</v>
      </c>
      <c r="AG108" s="664"/>
      <c r="AH108" s="693">
        <f>MIN(CampList[[#This Row],[Shelter Gap]],CampList[[#This Row],[Land Status]])</f>
        <v>0</v>
      </c>
      <c r="AI108" s="664" t="str">
        <f ca="1">IFERROR(OFFSET(DistanceToCamp[Nearest Town],MATCH(CampList[[#This Row],[CP_Pcode]],DistanceToCamp[CP_Pcode],0)-1,0,1,1),"")</f>
        <v/>
      </c>
      <c r="AJ108" s="697" t="str">
        <f ca="1">IFERROR(OFFSET(DistanceToCamp[distance],MATCH(CampList[[#This Row],[CP_Pcode]],DistanceToCamp[CP_Pcode],0)-1,0,1,1),"")</f>
        <v/>
      </c>
      <c r="AK108" s="698" t="str">
        <f ca="1">IFERROR(INT(CampList[[#This Row],[Distance]]/5)+1,"")</f>
        <v/>
      </c>
    </row>
    <row r="109" spans="1:37" s="445" customFormat="1" ht="15.75" hidden="1" customHeight="1" x14ac:dyDescent="0.25">
      <c r="A109" s="686" t="s">
        <v>843</v>
      </c>
      <c r="B109" s="662" t="s">
        <v>380</v>
      </c>
      <c r="C109" s="662" t="s">
        <v>525</v>
      </c>
      <c r="D109" s="662" t="s">
        <v>180</v>
      </c>
      <c r="E109" s="662" t="s">
        <v>526</v>
      </c>
      <c r="F109" s="662" t="s">
        <v>527</v>
      </c>
      <c r="G109" s="662" t="s">
        <v>528</v>
      </c>
      <c r="H109" s="662"/>
      <c r="I109" s="662"/>
      <c r="J109" s="662"/>
      <c r="K109" s="662"/>
      <c r="L109" s="662" t="s">
        <v>122</v>
      </c>
      <c r="M109" s="662" t="s">
        <v>121</v>
      </c>
      <c r="N109" s="687"/>
      <c r="O109" s="687"/>
      <c r="P109" s="711"/>
      <c r="Q109" s="705">
        <v>0</v>
      </c>
      <c r="R109" s="706">
        <v>0</v>
      </c>
      <c r="S109" s="690" t="str">
        <f>IF(CampList[[#This Row],[HH]]&gt;0,CampList[[#This Row],[Total]]/CampList[[#This Row],[HH]],"NA")</f>
        <v>NA</v>
      </c>
      <c r="T109" s="664" t="s">
        <v>511</v>
      </c>
      <c r="U109" s="699" t="s">
        <v>1191</v>
      </c>
      <c r="V109" s="664" t="s">
        <v>554</v>
      </c>
      <c r="W109" s="699"/>
      <c r="X109" s="719"/>
      <c r="Y109" s="710"/>
      <c r="Z109" s="720"/>
      <c r="AA109" s="724"/>
      <c r="AB109" s="693"/>
      <c r="AC109" s="723"/>
      <c r="AD109" s="686"/>
      <c r="AE109" s="721" t="s">
        <v>1007</v>
      </c>
      <c r="AF109" s="483">
        <f>IF(CampList[[#This Row],[Type of Accomodation]]="camp",MAX(0,CampList[[#This Row],[HH]]-SUMIF(Table_Shelter[Pcode],CampList[[#This Row],[CP_Pcode]],Table_Shelter[HH Covered])),0)</f>
        <v>0</v>
      </c>
      <c r="AG109" s="664"/>
      <c r="AH109" s="693">
        <f>MIN(CampList[[#This Row],[Shelter Gap]],CampList[[#This Row],[Land Status]])</f>
        <v>0</v>
      </c>
      <c r="AI109" s="664" t="str">
        <f ca="1">IFERROR(OFFSET(DistanceToCamp[Nearest Town],MATCH(CampList[[#This Row],[CP_Pcode]],DistanceToCamp[CP_Pcode],0)-1,0,1,1),"")</f>
        <v/>
      </c>
      <c r="AJ109" s="697" t="str">
        <f ca="1">IFERROR(OFFSET(DistanceToCamp[distance],MATCH(CampList[[#This Row],[CP_Pcode]],DistanceToCamp[CP_Pcode],0)-1,0,1,1),"")</f>
        <v/>
      </c>
      <c r="AK109" s="698" t="str">
        <f ca="1">IFERROR(INT(CampList[[#This Row],[Distance]]/5)+1,"")</f>
        <v/>
      </c>
    </row>
    <row r="110" spans="1:37" s="445" customFormat="1" ht="15.75" customHeight="1" x14ac:dyDescent="0.25">
      <c r="A110" s="686" t="s">
        <v>500</v>
      </c>
      <c r="B110" s="662" t="s">
        <v>380</v>
      </c>
      <c r="C110" s="662" t="s">
        <v>525</v>
      </c>
      <c r="D110" s="662" t="s">
        <v>180</v>
      </c>
      <c r="E110" s="662" t="s">
        <v>526</v>
      </c>
      <c r="F110" s="662" t="s">
        <v>527</v>
      </c>
      <c r="G110" s="662" t="s">
        <v>528</v>
      </c>
      <c r="H110" s="695" t="s">
        <v>598</v>
      </c>
      <c r="I110" s="695" t="s">
        <v>599</v>
      </c>
      <c r="J110" s="695" t="s">
        <v>598</v>
      </c>
      <c r="K110" s="695">
        <v>166783</v>
      </c>
      <c r="L110" s="662" t="s">
        <v>72</v>
      </c>
      <c r="M110" s="662" t="s">
        <v>71</v>
      </c>
      <c r="N110" s="687">
        <v>96.283377000000002</v>
      </c>
      <c r="O110" s="687">
        <v>25.582065</v>
      </c>
      <c r="P110" s="688">
        <v>0</v>
      </c>
      <c r="Q110" s="55">
        <v>6</v>
      </c>
      <c r="R110" s="98">
        <v>30</v>
      </c>
      <c r="S110" s="690">
        <f>IF(CampList[[#This Row],[HH]]&gt;0,CampList[[#This Row],[Total]]/CampList[[#This Row],[HH]],"NA")</f>
        <v>5</v>
      </c>
      <c r="T110" s="664" t="s">
        <v>511</v>
      </c>
      <c r="U110" s="664" t="s">
        <v>1191</v>
      </c>
      <c r="V110" s="664" t="s">
        <v>554</v>
      </c>
      <c r="W110" s="483" t="s">
        <v>803</v>
      </c>
      <c r="X110" s="691">
        <v>41487</v>
      </c>
      <c r="Y110" s="692">
        <v>1</v>
      </c>
      <c r="Z110" s="691" t="s">
        <v>505</v>
      </c>
      <c r="AA110" s="704" t="s">
        <v>842</v>
      </c>
      <c r="AB110" s="693"/>
      <c r="AC110" s="694">
        <v>42745</v>
      </c>
      <c r="AD110" s="686" t="s">
        <v>1563</v>
      </c>
      <c r="AE110" s="696" t="s">
        <v>1093</v>
      </c>
      <c r="AF110" s="483">
        <f>IF(CampList[[#This Row],[Type of Accomodation]]="camp",MAX(0,CampList[[#This Row],[HH]]-SUMIF(Table_Shelter[Pcode],CampList[[#This Row],[CP_Pcode]],Table_Shelter[HH Covered])),0)</f>
        <v>0</v>
      </c>
      <c r="AG110" s="664"/>
      <c r="AH110" s="693">
        <f>MIN(CampList[[#This Row],[Shelter Gap]],CampList[[#This Row],[Land Status]])</f>
        <v>0</v>
      </c>
      <c r="AI110" s="664" t="str">
        <f ca="1">IFERROR(OFFSET(DistanceToCamp[Nearest Town],MATCH(CampList[[#This Row],[CP_Pcode]],DistanceToCamp[CP_Pcode],0)-1,0,1,1),"")</f>
        <v>Hpakant Town</v>
      </c>
      <c r="AJ110" s="697">
        <f ca="1">IFERROR(OFFSET(DistanceToCamp[distance],MATCH(CampList[[#This Row],[CP_Pcode]],DistanceToCamp[CP_Pcode],0)-1,0,1,1),"")</f>
        <v>4.4704963044882238</v>
      </c>
      <c r="AK110" s="698">
        <f ca="1">IFERROR(INT(CampList[[#This Row],[Distance]]/5)+1,"")</f>
        <v>1</v>
      </c>
    </row>
    <row r="111" spans="1:37" s="445" customFormat="1" ht="15.75" hidden="1" customHeight="1" x14ac:dyDescent="0.25">
      <c r="A111" s="686" t="s">
        <v>843</v>
      </c>
      <c r="B111" s="662" t="s">
        <v>380</v>
      </c>
      <c r="C111" s="662" t="s">
        <v>525</v>
      </c>
      <c r="D111" s="662" t="s">
        <v>180</v>
      </c>
      <c r="E111" s="662" t="s">
        <v>526</v>
      </c>
      <c r="F111" s="662" t="s">
        <v>527</v>
      </c>
      <c r="G111" s="662" t="s">
        <v>528</v>
      </c>
      <c r="H111" s="695" t="s">
        <v>712</v>
      </c>
      <c r="I111" s="695" t="s">
        <v>713</v>
      </c>
      <c r="J111" s="695" t="s">
        <v>712</v>
      </c>
      <c r="K111" s="695">
        <v>166794</v>
      </c>
      <c r="L111" s="662" t="s">
        <v>132</v>
      </c>
      <c r="M111" s="662" t="s">
        <v>131</v>
      </c>
      <c r="N111" s="687"/>
      <c r="O111" s="687"/>
      <c r="P111" s="710"/>
      <c r="Q111" s="705">
        <v>0</v>
      </c>
      <c r="R111" s="706">
        <v>0</v>
      </c>
      <c r="S111" s="690" t="str">
        <f>IF(CampList[[#This Row],[HH]]&gt;0,CampList[[#This Row],[Total]]/CampList[[#This Row],[HH]],"NA")</f>
        <v>NA</v>
      </c>
      <c r="T111" s="664" t="s">
        <v>511</v>
      </c>
      <c r="U111" s="699" t="s">
        <v>1191</v>
      </c>
      <c r="V111" s="664" t="s">
        <v>554</v>
      </c>
      <c r="W111" s="699"/>
      <c r="X111" s="719"/>
      <c r="Y111" s="710"/>
      <c r="Z111" s="720"/>
      <c r="AA111" s="724"/>
      <c r="AB111" s="693"/>
      <c r="AC111" s="723"/>
      <c r="AD111" s="686"/>
      <c r="AE111" s="721" t="s">
        <v>1007</v>
      </c>
      <c r="AF111" s="483">
        <f>IF(CampList[[#This Row],[Type of Accomodation]]="camp",MAX(0,CampList[[#This Row],[HH]]-SUMIF(Table_Shelter[Pcode],CampList[[#This Row],[CP_Pcode]],Table_Shelter[HH Covered])),0)</f>
        <v>0</v>
      </c>
      <c r="AG111" s="664"/>
      <c r="AH111" s="693">
        <f>MIN(CampList[[#This Row],[Shelter Gap]],CampList[[#This Row],[Land Status]])</f>
        <v>0</v>
      </c>
      <c r="AI111" s="664" t="str">
        <f ca="1">IFERROR(OFFSET(DistanceToCamp[Nearest Town],MATCH(CampList[[#This Row],[CP_Pcode]],DistanceToCamp[CP_Pcode],0)-1,0,1,1),"")</f>
        <v/>
      </c>
      <c r="AJ111" s="697" t="str">
        <f ca="1">IFERROR(OFFSET(DistanceToCamp[distance],MATCH(CampList[[#This Row],[CP_Pcode]],DistanceToCamp[CP_Pcode],0)-1,0,1,1),"")</f>
        <v/>
      </c>
      <c r="AK111" s="698" t="str">
        <f ca="1">IFERROR(INT(CampList[[#This Row],[Distance]]/5)+1,"")</f>
        <v/>
      </c>
    </row>
    <row r="112" spans="1:37" s="445" customFormat="1" ht="15.75" customHeight="1" x14ac:dyDescent="0.25">
      <c r="A112" s="717" t="s">
        <v>500</v>
      </c>
      <c r="B112" s="662" t="s">
        <v>380</v>
      </c>
      <c r="C112" s="662" t="s">
        <v>525</v>
      </c>
      <c r="D112" s="662" t="s">
        <v>237</v>
      </c>
      <c r="E112" s="662" t="s">
        <v>531</v>
      </c>
      <c r="F112" s="662" t="s">
        <v>310</v>
      </c>
      <c r="G112" s="662" t="s">
        <v>532</v>
      </c>
      <c r="H112" s="662" t="s">
        <v>764</v>
      </c>
      <c r="I112" s="662" t="s">
        <v>765</v>
      </c>
      <c r="J112" s="702" t="s">
        <v>1395</v>
      </c>
      <c r="K112" s="702">
        <v>220360</v>
      </c>
      <c r="L112" s="662" t="s">
        <v>1245</v>
      </c>
      <c r="M112" s="662" t="s">
        <v>356</v>
      </c>
      <c r="N112" s="687">
        <v>97.756789999999995</v>
      </c>
      <c r="O112" s="687">
        <v>25.106670000000001</v>
      </c>
      <c r="P112" s="688">
        <v>756</v>
      </c>
      <c r="Q112" s="689">
        <v>604</v>
      </c>
      <c r="R112" s="689">
        <v>2785</v>
      </c>
      <c r="S112" s="690">
        <f>IF(CampList[[#This Row],[HH]]&gt;0,CampList[[#This Row],[Total]]/CampList[[#This Row],[HH]],"NA")</f>
        <v>4.6109271523178812</v>
      </c>
      <c r="T112" s="664" t="s">
        <v>513</v>
      </c>
      <c r="U112" s="664" t="s">
        <v>1191</v>
      </c>
      <c r="V112" s="664" t="s">
        <v>554</v>
      </c>
      <c r="W112" s="664" t="s">
        <v>856</v>
      </c>
      <c r="X112" s="691">
        <v>40848</v>
      </c>
      <c r="Y112" s="692">
        <v>3</v>
      </c>
      <c r="Z112" s="691" t="s">
        <v>460</v>
      </c>
      <c r="AA112" s="693" t="s">
        <v>842</v>
      </c>
      <c r="AB112" s="693"/>
      <c r="AC112" s="694">
        <v>42745</v>
      </c>
      <c r="AD112" s="695" t="s">
        <v>1477</v>
      </c>
      <c r="AE112" s="696" t="s">
        <v>1078</v>
      </c>
      <c r="AF112" s="483">
        <f>IF(CampList[[#This Row],[Type of Accomodation]]="camp",MAX(0,CampList[[#This Row],[HH]]-SUMIF(Table_Shelter[Pcode],CampList[[#This Row],[CP_Pcode]],Table_Shelter[HH Covered])),0)</f>
        <v>0</v>
      </c>
      <c r="AG112" s="664"/>
      <c r="AH112" s="693">
        <f>MIN(CampList[[#This Row],[Shelter Gap]],CampList[[#This Row],[Land Status]])</f>
        <v>0</v>
      </c>
      <c r="AI112" s="664" t="str">
        <f ca="1">IFERROR(OFFSET(DistanceToCamp[Nearest Town],MATCH(CampList[[#This Row],[CP_Pcode]],DistanceToCamp[CP_Pcode],0)-1,0,1,1),"")</f>
        <v>Sadung Town</v>
      </c>
      <c r="AJ112" s="697">
        <f ca="1">IFERROR(OFFSET(DistanceToCamp[distance],MATCH(CampList[[#This Row],[CP_Pcode]],DistanceToCamp[CP_Pcode],0)-1,0,1,1),"")</f>
        <v>32.827754639406997</v>
      </c>
      <c r="AK112" s="698">
        <f ca="1">IFERROR(INT(CampList[[#This Row],[Distance]]/5)+1,"")</f>
        <v>7</v>
      </c>
    </row>
    <row r="113" spans="1:37" s="445" customFormat="1" ht="15.75" customHeight="1" x14ac:dyDescent="0.25">
      <c r="A113" s="722" t="s">
        <v>500</v>
      </c>
      <c r="B113" s="663" t="s">
        <v>380</v>
      </c>
      <c r="C113" s="663" t="s">
        <v>525</v>
      </c>
      <c r="D113" s="663" t="s">
        <v>237</v>
      </c>
      <c r="E113" s="663" t="s">
        <v>531</v>
      </c>
      <c r="F113" s="663" t="s">
        <v>310</v>
      </c>
      <c r="G113" s="663" t="s">
        <v>532</v>
      </c>
      <c r="H113" s="663" t="s">
        <v>718</v>
      </c>
      <c r="I113" s="709" t="s">
        <v>769</v>
      </c>
      <c r="J113" s="663" t="s">
        <v>770</v>
      </c>
      <c r="K113" s="663">
        <v>165895</v>
      </c>
      <c r="L113" s="663" t="s">
        <v>334</v>
      </c>
      <c r="M113" s="663" t="s">
        <v>333</v>
      </c>
      <c r="N113" s="689">
        <v>97.915833000000006</v>
      </c>
      <c r="O113" s="689">
        <v>25.220278</v>
      </c>
      <c r="P113" s="711">
        <v>2404</v>
      </c>
      <c r="Q113" s="794">
        <v>161</v>
      </c>
      <c r="R113" s="794">
        <v>637</v>
      </c>
      <c r="S113" s="690">
        <f>IF(CampList[[#This Row],[HH]]&gt;0,CampList[[#This Row],[Total]]/CampList[[#This Row],[HH]],"NA")</f>
        <v>3.9565217391304346</v>
      </c>
      <c r="T113" s="483" t="s">
        <v>513</v>
      </c>
      <c r="U113" s="664" t="s">
        <v>1191</v>
      </c>
      <c r="V113" s="483" t="s">
        <v>554</v>
      </c>
      <c r="W113" s="483" t="s">
        <v>857</v>
      </c>
      <c r="X113" s="712">
        <v>40848</v>
      </c>
      <c r="Y113" s="711">
        <v>3</v>
      </c>
      <c r="Z113" s="711" t="s">
        <v>1090</v>
      </c>
      <c r="AA113" s="689" t="s">
        <v>842</v>
      </c>
      <c r="AB113" s="689"/>
      <c r="AC113" s="694">
        <v>42745</v>
      </c>
      <c r="AD113" s="713" t="s">
        <v>1550</v>
      </c>
      <c r="AE113" s="696" t="s">
        <v>1077</v>
      </c>
      <c r="AF113" s="714">
        <f>IF(CampList[[#This Row],[Type of Accomodation]]="camp",MAX(0,CampList[[#This Row],[HH]]-SUMIF(Table_Shelter[Pcode],CampList[[#This Row],[CP_Pcode]],Table_Shelter[HH Covered])),0)</f>
        <v>0</v>
      </c>
      <c r="AG113" s="483"/>
      <c r="AH113" s="688">
        <f>MIN(CampList[[#This Row],[Shelter Gap]],CampList[[#This Row],[Land Status]])</f>
        <v>0</v>
      </c>
      <c r="AI113" s="714" t="str">
        <f ca="1">IFERROR(OFFSET(DistanceToCamp[Nearest Town],MATCH(CampList[[#This Row],[CP_Pcode]],DistanceToCamp[CP_Pcode],0)-1,0,1,1),"")</f>
        <v>Sadung Town</v>
      </c>
      <c r="AJ113" s="697">
        <f ca="1">IFERROR(OFFSET(DistanceToCamp[distance],MATCH(CampList[[#This Row],[CP_Pcode]],DistanceToCamp[CP_Pcode],0)-1,0,1,1),"")</f>
        <v>18.198335991626355</v>
      </c>
      <c r="AK113" s="715">
        <f ca="1">IFERROR(INT(CampList[[#This Row],[Distance]]/5)+1,"")</f>
        <v>4</v>
      </c>
    </row>
    <row r="114" spans="1:37" s="445" customFormat="1" ht="15.75" hidden="1" customHeight="1" x14ac:dyDescent="0.25">
      <c r="A114" s="686" t="s">
        <v>843</v>
      </c>
      <c r="B114" s="662" t="s">
        <v>380</v>
      </c>
      <c r="C114" s="662" t="s">
        <v>525</v>
      </c>
      <c r="D114" s="662" t="s">
        <v>237</v>
      </c>
      <c r="E114" s="662" t="s">
        <v>531</v>
      </c>
      <c r="F114" s="662" t="s">
        <v>310</v>
      </c>
      <c r="G114" s="662" t="s">
        <v>532</v>
      </c>
      <c r="H114" s="695" t="s">
        <v>718</v>
      </c>
      <c r="I114" s="662"/>
      <c r="J114" s="662"/>
      <c r="K114" s="662"/>
      <c r="L114" s="662" t="s">
        <v>358</v>
      </c>
      <c r="M114" s="662" t="s">
        <v>357</v>
      </c>
      <c r="N114" s="687">
        <v>97.837778</v>
      </c>
      <c r="O114" s="687">
        <v>25.273333000000001</v>
      </c>
      <c r="P114" s="710"/>
      <c r="Q114" s="705">
        <v>0</v>
      </c>
      <c r="R114" s="706">
        <v>0</v>
      </c>
      <c r="S114" s="690" t="str">
        <f>IF(CampList[[#This Row],[HH]]&gt;0,CampList[[#This Row],[Total]]/CampList[[#This Row],[HH]],"NA")</f>
        <v>NA</v>
      </c>
      <c r="T114" s="664" t="s">
        <v>513</v>
      </c>
      <c r="U114" s="699" t="s">
        <v>1191</v>
      </c>
      <c r="V114" s="664" t="s">
        <v>554</v>
      </c>
      <c r="W114" s="699"/>
      <c r="X114" s="719"/>
      <c r="Y114" s="710"/>
      <c r="Z114" s="720"/>
      <c r="AA114" s="704"/>
      <c r="AB114" s="693"/>
      <c r="AC114" s="723"/>
      <c r="AD114" s="686"/>
      <c r="AE114" s="721" t="s">
        <v>1007</v>
      </c>
      <c r="AF114" s="483">
        <f>IF(CampList[[#This Row],[Type of Accomodation]]="camp",MAX(0,CampList[[#This Row],[HH]]-SUMIF(Table_Shelter[Pcode],CampList[[#This Row],[CP_Pcode]],Table_Shelter[HH Covered])),0)</f>
        <v>0</v>
      </c>
      <c r="AG114" s="664"/>
      <c r="AH114" s="693">
        <f>MIN(CampList[[#This Row],[Shelter Gap]],CampList[[#This Row],[Land Status]])</f>
        <v>0</v>
      </c>
      <c r="AI114" s="664" t="str">
        <f ca="1">IFERROR(OFFSET(DistanceToCamp[Nearest Town],MATCH(CampList[[#This Row],[CP_Pcode]],DistanceToCamp[CP_Pcode],0)-1,0,1,1),"")</f>
        <v/>
      </c>
      <c r="AJ114" s="697" t="str">
        <f ca="1">IFERROR(OFFSET(DistanceToCamp[distance],MATCH(CampList[[#This Row],[CP_Pcode]],DistanceToCamp[CP_Pcode],0)-1,0,1,1),"")</f>
        <v/>
      </c>
      <c r="AK114" s="698" t="str">
        <f ca="1">IFERROR(INT(CampList[[#This Row],[Distance]]/5)+1,"")</f>
        <v/>
      </c>
    </row>
    <row r="115" spans="1:37" s="445" customFormat="1" ht="15.75" customHeight="1" x14ac:dyDescent="0.25">
      <c r="A115" s="717" t="s">
        <v>500</v>
      </c>
      <c r="B115" s="662" t="s">
        <v>380</v>
      </c>
      <c r="C115" s="662" t="s">
        <v>525</v>
      </c>
      <c r="D115" s="662" t="s">
        <v>237</v>
      </c>
      <c r="E115" s="662" t="s">
        <v>531</v>
      </c>
      <c r="F115" s="662" t="s">
        <v>310</v>
      </c>
      <c r="G115" s="662" t="s">
        <v>532</v>
      </c>
      <c r="H115" s="662" t="s">
        <v>770</v>
      </c>
      <c r="I115" s="662" t="s">
        <v>769</v>
      </c>
      <c r="J115" s="707" t="s">
        <v>1371</v>
      </c>
      <c r="K115" s="707"/>
      <c r="L115" s="662" t="s">
        <v>336</v>
      </c>
      <c r="M115" s="662" t="s">
        <v>335</v>
      </c>
      <c r="N115" s="687">
        <v>97.807182999999995</v>
      </c>
      <c r="O115" s="687">
        <v>25.200333000000001</v>
      </c>
      <c r="P115" s="688">
        <v>1023</v>
      </c>
      <c r="Q115" s="689">
        <v>148</v>
      </c>
      <c r="R115" s="689">
        <v>1076</v>
      </c>
      <c r="S115" s="690">
        <f>IF(CampList[[#This Row],[HH]]&gt;0,CampList[[#This Row],[Total]]/CampList[[#This Row],[HH]],"NA")</f>
        <v>7.2702702702702702</v>
      </c>
      <c r="T115" s="664" t="s">
        <v>513</v>
      </c>
      <c r="U115" s="664" t="s">
        <v>1191</v>
      </c>
      <c r="V115" s="664" t="s">
        <v>554</v>
      </c>
      <c r="W115" s="664" t="s">
        <v>856</v>
      </c>
      <c r="X115" s="691">
        <v>40878</v>
      </c>
      <c r="Y115" s="692">
        <v>3</v>
      </c>
      <c r="Z115" s="691" t="s">
        <v>460</v>
      </c>
      <c r="AA115" s="704" t="s">
        <v>842</v>
      </c>
      <c r="AB115" s="693"/>
      <c r="AC115" s="694">
        <v>42745</v>
      </c>
      <c r="AD115" s="686" t="s">
        <v>1477</v>
      </c>
      <c r="AE115" s="696" t="s">
        <v>1077</v>
      </c>
      <c r="AF115" s="483">
        <f>IF(CampList[[#This Row],[Type of Accomodation]]="camp",MAX(0,CampList[[#This Row],[HH]]-SUMIF(Table_Shelter[Pcode],CampList[[#This Row],[CP_Pcode]],Table_Shelter[HH Covered])),0)</f>
        <v>48</v>
      </c>
      <c r="AG115" s="664"/>
      <c r="AH115" s="693">
        <f>MIN(CampList[[#This Row],[Shelter Gap]],CampList[[#This Row],[Land Status]])</f>
        <v>48</v>
      </c>
      <c r="AI115" s="664" t="str">
        <f ca="1">IFERROR(OFFSET(DistanceToCamp[Nearest Town],MATCH(CampList[[#This Row],[CP_Pcode]],DistanceToCamp[CP_Pcode],0)-1,0,1,1),"")</f>
        <v>Sadung Town</v>
      </c>
      <c r="AJ115" s="697">
        <f ca="1">IFERROR(OFFSET(DistanceToCamp[distance],MATCH(CampList[[#This Row],[CP_Pcode]],DistanceToCamp[CP_Pcode],0)-1,0,1,1),"")</f>
        <v>21.287604662770121</v>
      </c>
      <c r="AK115" s="698">
        <f ca="1">IFERROR(INT(CampList[[#This Row],[Distance]]/5)+1,"")</f>
        <v>5</v>
      </c>
    </row>
    <row r="116" spans="1:37" s="445" customFormat="1" ht="15.75" customHeight="1" x14ac:dyDescent="0.25">
      <c r="A116" s="722" t="s">
        <v>500</v>
      </c>
      <c r="B116" s="663" t="s">
        <v>380</v>
      </c>
      <c r="C116" s="663" t="s">
        <v>525</v>
      </c>
      <c r="D116" s="663" t="s">
        <v>237</v>
      </c>
      <c r="E116" s="663" t="s">
        <v>531</v>
      </c>
      <c r="F116" s="663" t="s">
        <v>310</v>
      </c>
      <c r="G116" s="663" t="s">
        <v>532</v>
      </c>
      <c r="H116" s="663" t="s">
        <v>727</v>
      </c>
      <c r="I116" s="709" t="s">
        <v>728</v>
      </c>
      <c r="J116" s="663" t="s">
        <v>727</v>
      </c>
      <c r="K116" s="663">
        <v>165772</v>
      </c>
      <c r="L116" s="663" t="s">
        <v>353</v>
      </c>
      <c r="M116" s="663" t="s">
        <v>352</v>
      </c>
      <c r="N116" s="689">
        <v>97.546893999999995</v>
      </c>
      <c r="O116" s="689">
        <v>24.755253</v>
      </c>
      <c r="P116" s="711">
        <v>316</v>
      </c>
      <c r="Q116" s="689">
        <v>1371</v>
      </c>
      <c r="R116" s="711">
        <v>6701</v>
      </c>
      <c r="S116" s="690">
        <f>IF(CampList[[#This Row],[HH]]&gt;0,CampList[[#This Row],[Total]]/CampList[[#This Row],[HH]],"NA")</f>
        <v>4.8876732312180886</v>
      </c>
      <c r="T116" s="483" t="s">
        <v>513</v>
      </c>
      <c r="U116" s="664" t="s">
        <v>1191</v>
      </c>
      <c r="V116" s="483" t="s">
        <v>554</v>
      </c>
      <c r="W116" s="483" t="s">
        <v>803</v>
      </c>
      <c r="X116" s="712">
        <v>40695</v>
      </c>
      <c r="Y116" s="711">
        <v>5</v>
      </c>
      <c r="Z116" s="711" t="s">
        <v>1090</v>
      </c>
      <c r="AA116" s="689" t="s">
        <v>842</v>
      </c>
      <c r="AB116" s="689"/>
      <c r="AC116" s="694">
        <v>42745</v>
      </c>
      <c r="AD116" s="713" t="s">
        <v>1551</v>
      </c>
      <c r="AE116" s="696" t="s">
        <v>1093</v>
      </c>
      <c r="AF116" s="714">
        <f>IF(CampList[[#This Row],[Type of Accomodation]]="camp",MAX(0,CampList[[#This Row],[HH]]-SUMIF(Table_Shelter[Pcode],CampList[[#This Row],[CP_Pcode]],Table_Shelter[HH Covered])),0)</f>
        <v>1211</v>
      </c>
      <c r="AG116" s="483"/>
      <c r="AH116" s="688">
        <f>MIN(CampList[[#This Row],[Shelter Gap]],CampList[[#This Row],[Land Status]])</f>
        <v>1211</v>
      </c>
      <c r="AI116" s="714" t="str">
        <f ca="1">IFERROR(OFFSET(DistanceToCamp[Nearest Town],MATCH(CampList[[#This Row],[CP_Pcode]],DistanceToCamp[CP_Pcode],0)-1,0,1,1),"")</f>
        <v>Laiza town</v>
      </c>
      <c r="AJ116" s="697">
        <f ca="1">IFERROR(OFFSET(DistanceToCamp[distance],MATCH(CampList[[#This Row],[CP_Pcode]],DistanceToCamp[CP_Pcode],0)-1,0,1,1),"")</f>
        <v>1.7420415164460403</v>
      </c>
      <c r="AK116" s="715">
        <f ca="1">IFERROR(INT(CampList[[#This Row],[Distance]]/5)+1,"")</f>
        <v>1</v>
      </c>
    </row>
    <row r="117" spans="1:37" s="445" customFormat="1" ht="15.75" hidden="1" customHeight="1" x14ac:dyDescent="0.25">
      <c r="A117" s="686" t="s">
        <v>843</v>
      </c>
      <c r="B117" s="662" t="s">
        <v>380</v>
      </c>
      <c r="C117" s="662" t="s">
        <v>525</v>
      </c>
      <c r="D117" s="662" t="s">
        <v>237</v>
      </c>
      <c r="E117" s="662" t="s">
        <v>531</v>
      </c>
      <c r="F117" s="662" t="s">
        <v>310</v>
      </c>
      <c r="G117" s="662" t="s">
        <v>532</v>
      </c>
      <c r="H117" s="695" t="s">
        <v>727</v>
      </c>
      <c r="I117" s="695" t="s">
        <v>728</v>
      </c>
      <c r="J117" s="695" t="s">
        <v>727</v>
      </c>
      <c r="K117" s="695">
        <v>165772</v>
      </c>
      <c r="L117" s="662" t="s">
        <v>1248</v>
      </c>
      <c r="M117" s="662" t="s">
        <v>314</v>
      </c>
      <c r="N117" s="687">
        <v>97.551507000000001</v>
      </c>
      <c r="O117" s="687">
        <v>24.747212999999999</v>
      </c>
      <c r="P117" s="703">
        <v>221</v>
      </c>
      <c r="Q117" s="705">
        <v>0</v>
      </c>
      <c r="R117" s="706">
        <v>0</v>
      </c>
      <c r="S117" s="690" t="str">
        <f>IF(CampList[[#This Row],[HH]]&gt;0,CampList[[#This Row],[Total]]/CampList[[#This Row],[HH]],"NA")</f>
        <v>NA</v>
      </c>
      <c r="T117" s="664" t="s">
        <v>513</v>
      </c>
      <c r="U117" s="699" t="s">
        <v>1191</v>
      </c>
      <c r="V117" s="664" t="s">
        <v>554</v>
      </c>
      <c r="W117" s="699" t="s">
        <v>856</v>
      </c>
      <c r="X117" s="700">
        <v>40695</v>
      </c>
      <c r="Y117" s="701">
        <v>3</v>
      </c>
      <c r="Z117" s="700" t="s">
        <v>1090</v>
      </c>
      <c r="AA117" s="704" t="s">
        <v>842</v>
      </c>
      <c r="AB117" s="693"/>
      <c r="AC117" s="694">
        <v>42180</v>
      </c>
      <c r="AD117" s="686" t="s">
        <v>1263</v>
      </c>
      <c r="AE117" s="696" t="s">
        <v>1078</v>
      </c>
      <c r="AF117" s="483">
        <f>IF(CampList[[#This Row],[Type of Accomodation]]="camp",MAX(0,CampList[[#This Row],[HH]]-SUMIF(Table_Shelter[Pcode],CampList[[#This Row],[CP_Pcode]],Table_Shelter[HH Covered])),0)</f>
        <v>0</v>
      </c>
      <c r="AG117" s="664">
        <v>0</v>
      </c>
      <c r="AH117" s="693">
        <f>MIN(CampList[[#This Row],[Shelter Gap]],CampList[[#This Row],[Land Status]])</f>
        <v>0</v>
      </c>
      <c r="AI117" s="664" t="str">
        <f ca="1">IFERROR(OFFSET(DistanceToCamp[Nearest Town],MATCH(CampList[[#This Row],[CP_Pcode]],DistanceToCamp[CP_Pcode],0)-1,0,1,1),"")</f>
        <v>Laiza town</v>
      </c>
      <c r="AJ117" s="697">
        <f ca="1">IFERROR(OFFSET(DistanceToCamp[distance],MATCH(CampList[[#This Row],[CP_Pcode]],DistanceToCamp[CP_Pcode],0)-1,0,1,1),"")</f>
        <v>1.857513522619473</v>
      </c>
      <c r="AK117" s="698">
        <f ca="1">IFERROR(INT(CampList[[#This Row],[Distance]]/5)+1,"")</f>
        <v>1</v>
      </c>
    </row>
    <row r="118" spans="1:37" s="445" customFormat="1" ht="15.75" hidden="1" customHeight="1" x14ac:dyDescent="0.25">
      <c r="A118" s="686" t="s">
        <v>843</v>
      </c>
      <c r="B118" s="662" t="s">
        <v>380</v>
      </c>
      <c r="C118" s="662" t="s">
        <v>525</v>
      </c>
      <c r="D118" s="662" t="s">
        <v>237</v>
      </c>
      <c r="E118" s="662" t="s">
        <v>531</v>
      </c>
      <c r="F118" s="662" t="s">
        <v>310</v>
      </c>
      <c r="G118" s="662" t="s">
        <v>532</v>
      </c>
      <c r="H118" s="695" t="s">
        <v>727</v>
      </c>
      <c r="I118" s="695" t="s">
        <v>728</v>
      </c>
      <c r="J118" s="695" t="s">
        <v>727</v>
      </c>
      <c r="K118" s="695">
        <v>165772</v>
      </c>
      <c r="L118" s="662" t="s">
        <v>332</v>
      </c>
      <c r="M118" s="662" t="s">
        <v>331</v>
      </c>
      <c r="N118" s="687">
        <v>97.550267000000005</v>
      </c>
      <c r="O118" s="687">
        <v>24.747966999999999</v>
      </c>
      <c r="P118" s="710"/>
      <c r="Q118" s="705">
        <v>0</v>
      </c>
      <c r="R118" s="706">
        <v>0</v>
      </c>
      <c r="S118" s="690" t="str">
        <f>IF(CampList[[#This Row],[HH]]&gt;0,CampList[[#This Row],[Total]]/CampList[[#This Row],[HH]],"NA")</f>
        <v>NA</v>
      </c>
      <c r="T118" s="664" t="s">
        <v>511</v>
      </c>
      <c r="U118" s="699" t="s">
        <v>1191</v>
      </c>
      <c r="V118" s="664" t="s">
        <v>554</v>
      </c>
      <c r="W118" s="699"/>
      <c r="X118" s="719"/>
      <c r="Y118" s="710"/>
      <c r="Z118" s="720"/>
      <c r="AA118" s="704"/>
      <c r="AB118" s="693"/>
      <c r="AC118" s="723"/>
      <c r="AD118" s="686" t="s">
        <v>844</v>
      </c>
      <c r="AE118" s="721" t="s">
        <v>1007</v>
      </c>
      <c r="AF118" s="483">
        <f>IF(CampList[[#This Row],[Type of Accomodation]]="camp",MAX(0,CampList[[#This Row],[HH]]-SUMIF(Table_Shelter[Pcode],CampList[[#This Row],[CP_Pcode]],Table_Shelter[HH Covered])),0)</f>
        <v>0</v>
      </c>
      <c r="AG118" s="664"/>
      <c r="AH118" s="693">
        <f>MIN(CampList[[#This Row],[Shelter Gap]],CampList[[#This Row],[Land Status]])</f>
        <v>0</v>
      </c>
      <c r="AI118" s="664" t="str">
        <f ca="1">IFERROR(OFFSET(DistanceToCamp[Nearest Town],MATCH(CampList[[#This Row],[CP_Pcode]],DistanceToCamp[CP_Pcode],0)-1,0,1,1),"")</f>
        <v/>
      </c>
      <c r="AJ118" s="697" t="str">
        <f ca="1">IFERROR(OFFSET(DistanceToCamp[distance],MATCH(CampList[[#This Row],[CP_Pcode]],DistanceToCamp[CP_Pcode],0)-1,0,1,1),"")</f>
        <v/>
      </c>
      <c r="AK118" s="698" t="str">
        <f ca="1">IFERROR(INT(CampList[[#This Row],[Distance]]/5)+1,"")</f>
        <v/>
      </c>
    </row>
    <row r="119" spans="1:37" s="445" customFormat="1" ht="15.75" customHeight="1" x14ac:dyDescent="0.25">
      <c r="A119" s="722" t="s">
        <v>500</v>
      </c>
      <c r="B119" s="663" t="s">
        <v>380</v>
      </c>
      <c r="C119" s="663" t="s">
        <v>525</v>
      </c>
      <c r="D119" s="663" t="s">
        <v>237</v>
      </c>
      <c r="E119" s="663" t="s">
        <v>531</v>
      </c>
      <c r="F119" s="663" t="s">
        <v>310</v>
      </c>
      <c r="G119" s="663" t="s">
        <v>532</v>
      </c>
      <c r="H119" s="663" t="s">
        <v>755</v>
      </c>
      <c r="I119" s="709" t="s">
        <v>756</v>
      </c>
      <c r="J119" s="663" t="s">
        <v>757</v>
      </c>
      <c r="K119" s="663">
        <v>165790</v>
      </c>
      <c r="L119" s="663" t="s">
        <v>322</v>
      </c>
      <c r="M119" s="663" t="s">
        <v>321</v>
      </c>
      <c r="N119" s="689">
        <v>97.715230000000005</v>
      </c>
      <c r="O119" s="689">
        <v>24.980250000000002</v>
      </c>
      <c r="P119" s="711">
        <v>984</v>
      </c>
      <c r="Q119" s="689">
        <v>585</v>
      </c>
      <c r="R119" s="711">
        <v>2585</v>
      </c>
      <c r="S119" s="690">
        <f>IF(CampList[[#This Row],[HH]]&gt;0,CampList[[#This Row],[Total]]/CampList[[#This Row],[HH]],"NA")</f>
        <v>4.4188034188034191</v>
      </c>
      <c r="T119" s="483" t="s">
        <v>513</v>
      </c>
      <c r="U119" s="664" t="s">
        <v>1191</v>
      </c>
      <c r="V119" s="483" t="s">
        <v>554</v>
      </c>
      <c r="W119" s="483" t="s">
        <v>856</v>
      </c>
      <c r="X119" s="712">
        <v>40695</v>
      </c>
      <c r="Y119" s="711">
        <v>5</v>
      </c>
      <c r="Z119" s="711" t="s">
        <v>1090</v>
      </c>
      <c r="AA119" s="689" t="s">
        <v>842</v>
      </c>
      <c r="AB119" s="689"/>
      <c r="AC119" s="694">
        <v>42745</v>
      </c>
      <c r="AD119" s="713" t="s">
        <v>1552</v>
      </c>
      <c r="AE119" s="696" t="s">
        <v>1078</v>
      </c>
      <c r="AF119" s="714">
        <f>IF(CampList[[#This Row],[Type of Accomodation]]="camp",MAX(0,CampList[[#This Row],[HH]]-SUMIF(Table_Shelter[Pcode],CampList[[#This Row],[CP_Pcode]],Table_Shelter[HH Covered])),0)</f>
        <v>0</v>
      </c>
      <c r="AG119" s="483"/>
      <c r="AH119" s="688">
        <f>MIN(CampList[[#This Row],[Shelter Gap]],CampList[[#This Row],[Land Status]])</f>
        <v>0</v>
      </c>
      <c r="AI119" s="714" t="str">
        <f ca="1">IFERROR(OFFSET(DistanceToCamp[Nearest Town],MATCH(CampList[[#This Row],[CP_Pcode]],DistanceToCamp[CP_Pcode],0)-1,0,1,1),"")</f>
        <v>Laiza town</v>
      </c>
      <c r="AJ119" s="697">
        <f ca="1">IFERROR(OFFSET(DistanceToCamp[distance],MATCH(CampList[[#This Row],[CP_Pcode]],DistanceToCamp[CP_Pcode],0)-1,0,1,1),"")</f>
        <v>28.888856599204185</v>
      </c>
      <c r="AK119" s="715">
        <f ca="1">IFERROR(INT(CampList[[#This Row],[Distance]]/5)+1,"")</f>
        <v>6</v>
      </c>
    </row>
    <row r="120" spans="1:37" s="445" customFormat="1" ht="15.75" customHeight="1" x14ac:dyDescent="0.25">
      <c r="A120" s="717" t="s">
        <v>500</v>
      </c>
      <c r="B120" s="662" t="s">
        <v>380</v>
      </c>
      <c r="C120" s="662" t="s">
        <v>525</v>
      </c>
      <c r="D120" s="662" t="s">
        <v>237</v>
      </c>
      <c r="E120" s="662" t="s">
        <v>531</v>
      </c>
      <c r="F120" s="662" t="s">
        <v>310</v>
      </c>
      <c r="G120" s="662" t="s">
        <v>532</v>
      </c>
      <c r="H120" s="662" t="s">
        <v>755</v>
      </c>
      <c r="I120" s="662" t="s">
        <v>756</v>
      </c>
      <c r="J120" s="702" t="s">
        <v>1396</v>
      </c>
      <c r="K120" s="702">
        <v>165792</v>
      </c>
      <c r="L120" s="662" t="s">
        <v>1243</v>
      </c>
      <c r="M120" s="662" t="s">
        <v>345</v>
      </c>
      <c r="N120" s="687">
        <v>97.751389000000003</v>
      </c>
      <c r="O120" s="687">
        <v>24.831944</v>
      </c>
      <c r="P120" s="688">
        <v>2330</v>
      </c>
      <c r="Q120" s="689">
        <v>180</v>
      </c>
      <c r="R120" s="689">
        <v>857</v>
      </c>
      <c r="S120" s="690">
        <f>IF(CampList[[#This Row],[HH]]&gt;0,CampList[[#This Row],[Total]]/CampList[[#This Row],[HH]],"NA")</f>
        <v>4.7611111111111111</v>
      </c>
      <c r="T120" s="664" t="s">
        <v>513</v>
      </c>
      <c r="U120" s="664" t="s">
        <v>1191</v>
      </c>
      <c r="V120" s="664" t="s">
        <v>554</v>
      </c>
      <c r="W120" s="664" t="s">
        <v>856</v>
      </c>
      <c r="X120" s="691">
        <v>40725</v>
      </c>
      <c r="Y120" s="692">
        <v>3</v>
      </c>
      <c r="Z120" s="691" t="s">
        <v>460</v>
      </c>
      <c r="AA120" s="693" t="s">
        <v>842</v>
      </c>
      <c r="AB120" s="693"/>
      <c r="AC120" s="694">
        <v>42745</v>
      </c>
      <c r="AD120" s="695" t="s">
        <v>1510</v>
      </c>
      <c r="AE120" s="696" t="s">
        <v>1077</v>
      </c>
      <c r="AF120" s="483">
        <f>IF(CampList[[#This Row],[Type of Accomodation]]="camp",MAX(0,CampList[[#This Row],[HH]]-SUMIF(Table_Shelter[Pcode],CampList[[#This Row],[CP_Pcode]],Table_Shelter[HH Covered])),0)</f>
        <v>145</v>
      </c>
      <c r="AG120" s="483"/>
      <c r="AH120" s="693">
        <f>MIN(CampList[[#This Row],[Shelter Gap]],CampList[[#This Row],[Land Status]])</f>
        <v>145</v>
      </c>
      <c r="AI120" s="664" t="str">
        <f ca="1">IFERROR(OFFSET(DistanceToCamp[Nearest Town],MATCH(CampList[[#This Row],[CP_Pcode]],DistanceToCamp[CP_Pcode],0)-1,0,1,1),"")</f>
        <v>Laiza town</v>
      </c>
      <c r="AJ120" s="697">
        <f ca="1">IFERROR(OFFSET(DistanceToCamp[distance],MATCH(CampList[[#This Row],[CP_Pcode]],DistanceToCamp[CP_Pcode],0)-1,0,1,1),"")</f>
        <v>20.599512012485512</v>
      </c>
      <c r="AK120" s="698">
        <f ca="1">IFERROR(INT(CampList[[#This Row],[Distance]]/5)+1,"")</f>
        <v>5</v>
      </c>
    </row>
    <row r="121" spans="1:37" s="445" customFormat="1" ht="15.75" customHeight="1" x14ac:dyDescent="0.25">
      <c r="A121" s="708" t="s">
        <v>500</v>
      </c>
      <c r="B121" s="663" t="s">
        <v>380</v>
      </c>
      <c r="C121" s="663" t="s">
        <v>525</v>
      </c>
      <c r="D121" s="663" t="s">
        <v>5</v>
      </c>
      <c r="E121" s="663" t="s">
        <v>529</v>
      </c>
      <c r="F121" s="663" t="s">
        <v>310</v>
      </c>
      <c r="G121" s="663" t="s">
        <v>532</v>
      </c>
      <c r="H121" s="663" t="s">
        <v>764</v>
      </c>
      <c r="I121" s="709" t="s">
        <v>765</v>
      </c>
      <c r="J121" s="663" t="s">
        <v>802</v>
      </c>
      <c r="K121" s="663">
        <v>165816</v>
      </c>
      <c r="L121" s="663" t="s">
        <v>196</v>
      </c>
      <c r="M121" s="663" t="s">
        <v>195</v>
      </c>
      <c r="N121" s="689">
        <v>97.568331999999998</v>
      </c>
      <c r="O121" s="689">
        <v>24.688338999999999</v>
      </c>
      <c r="P121" s="711">
        <v>314</v>
      </c>
      <c r="Q121" s="689">
        <v>1649</v>
      </c>
      <c r="R121" s="711">
        <v>8965</v>
      </c>
      <c r="S121" s="690">
        <f>IF(CampList[[#This Row],[HH]]&gt;0,CampList[[#This Row],[Total]]/CampList[[#This Row],[HH]],"NA")</f>
        <v>5.4366282595512434</v>
      </c>
      <c r="T121" s="483" t="s">
        <v>513</v>
      </c>
      <c r="U121" s="664" t="s">
        <v>1191</v>
      </c>
      <c r="V121" s="483" t="s">
        <v>554</v>
      </c>
      <c r="W121" s="483" t="s">
        <v>856</v>
      </c>
      <c r="X121" s="712">
        <v>41061</v>
      </c>
      <c r="Y121" s="711">
        <v>7</v>
      </c>
      <c r="Z121" s="711" t="s">
        <v>1090</v>
      </c>
      <c r="AA121" s="689" t="s">
        <v>842</v>
      </c>
      <c r="AB121" s="689"/>
      <c r="AC121" s="694">
        <v>42745</v>
      </c>
      <c r="AD121" s="713" t="s">
        <v>1553</v>
      </c>
      <c r="AE121" s="696" t="s">
        <v>1078</v>
      </c>
      <c r="AF121" s="714">
        <f>IF(CampList[[#This Row],[Type of Accomodation]]="camp",MAX(0,CampList[[#This Row],[HH]]-SUMIF(Table_Shelter[Pcode],CampList[[#This Row],[CP_Pcode]],Table_Shelter[HH Covered])),0)</f>
        <v>454</v>
      </c>
      <c r="AG121" s="483"/>
      <c r="AH121" s="688">
        <f>MIN(CampList[[#This Row],[Shelter Gap]],CampList[[#This Row],[Land Status]])</f>
        <v>454</v>
      </c>
      <c r="AI121" s="714" t="str">
        <f ca="1">IFERROR(OFFSET(DistanceToCamp[Nearest Town],MATCH(CampList[[#This Row],[CP_Pcode]],DistanceToCamp[CP_Pcode],0)-1,0,1,1),"")</f>
        <v>Laiza town</v>
      </c>
      <c r="AJ121" s="697">
        <f ca="1">IFERROR(OFFSET(DistanceToCamp[distance],MATCH(CampList[[#This Row],[CP_Pcode]],DistanceToCamp[CP_Pcode],0)-1,0,1,1),"")</f>
        <v>7.985347533011188</v>
      </c>
      <c r="AK121" s="715">
        <f ca="1">IFERROR(INT(CampList[[#This Row],[Distance]]/5)+1,"")</f>
        <v>2</v>
      </c>
    </row>
    <row r="122" spans="1:37" s="445" customFormat="1" ht="15.75" customHeight="1" x14ac:dyDescent="0.25">
      <c r="A122" s="708" t="s">
        <v>500</v>
      </c>
      <c r="B122" s="663" t="s">
        <v>380</v>
      </c>
      <c r="C122" s="663" t="s">
        <v>525</v>
      </c>
      <c r="D122" s="663" t="s">
        <v>5</v>
      </c>
      <c r="E122" s="663" t="s">
        <v>529</v>
      </c>
      <c r="F122" s="663" t="s">
        <v>185</v>
      </c>
      <c r="G122" s="663" t="s">
        <v>533</v>
      </c>
      <c r="H122" s="663" t="s">
        <v>734</v>
      </c>
      <c r="I122" s="709" t="s">
        <v>735</v>
      </c>
      <c r="J122" s="663" t="s">
        <v>736</v>
      </c>
      <c r="K122" s="663">
        <v>167223</v>
      </c>
      <c r="L122" s="663" t="s">
        <v>194</v>
      </c>
      <c r="M122" s="663" t="s">
        <v>193</v>
      </c>
      <c r="N122" s="689">
        <v>97.573126000000002</v>
      </c>
      <c r="O122" s="689">
        <v>24.661905999999998</v>
      </c>
      <c r="P122" s="711">
        <v>415</v>
      </c>
      <c r="Q122" s="689">
        <v>641</v>
      </c>
      <c r="R122" s="711">
        <v>2862</v>
      </c>
      <c r="S122" s="690">
        <f>IF(CampList[[#This Row],[HH]]&gt;0,CampList[[#This Row],[Total]]/CampList[[#This Row],[HH]],"NA")</f>
        <v>4.4648985959438381</v>
      </c>
      <c r="T122" s="483" t="s">
        <v>513</v>
      </c>
      <c r="U122" s="664" t="s">
        <v>1191</v>
      </c>
      <c r="V122" s="483" t="s">
        <v>554</v>
      </c>
      <c r="W122" s="483" t="s">
        <v>856</v>
      </c>
      <c r="X122" s="712">
        <v>40695</v>
      </c>
      <c r="Y122" s="711">
        <v>5</v>
      </c>
      <c r="Z122" s="711" t="s">
        <v>1090</v>
      </c>
      <c r="AA122" s="689" t="s">
        <v>842</v>
      </c>
      <c r="AB122" s="689"/>
      <c r="AC122" s="694">
        <v>42745</v>
      </c>
      <c r="AD122" s="713" t="s">
        <v>1554</v>
      </c>
      <c r="AE122" s="696" t="s">
        <v>1078</v>
      </c>
      <c r="AF122" s="714">
        <f>IF(CampList[[#This Row],[Type of Accomodation]]="camp",MAX(0,CampList[[#This Row],[HH]]-SUMIF(Table_Shelter[Pcode],CampList[[#This Row],[CP_Pcode]],Table_Shelter[HH Covered])),0)</f>
        <v>23</v>
      </c>
      <c r="AG122" s="483"/>
      <c r="AH122" s="688">
        <f>MIN(CampList[[#This Row],[Shelter Gap]],CampList[[#This Row],[Land Status]])</f>
        <v>23</v>
      </c>
      <c r="AI122" s="714" t="str">
        <f ca="1">IFERROR(OFFSET(DistanceToCamp[Nearest Town],MATCH(CampList[[#This Row],[CP_Pcode]],DistanceToCamp[CP_Pcode],0)-1,0,1,1),"")</f>
        <v>Laiza town</v>
      </c>
      <c r="AJ122" s="697">
        <f ca="1">IFERROR(OFFSET(DistanceToCamp[distance],MATCH(CampList[[#This Row],[CP_Pcode]],DistanceToCamp[CP_Pcode],0)-1,0,1,1),"")</f>
        <v>10.953347686331073</v>
      </c>
      <c r="AK122" s="715">
        <f ca="1">IFERROR(INT(CampList[[#This Row],[Distance]]/5)+1,"")</f>
        <v>3</v>
      </c>
    </row>
    <row r="123" spans="1:37" s="445" customFormat="1" ht="15.75" customHeight="1" x14ac:dyDescent="0.25">
      <c r="A123" s="708" t="s">
        <v>500</v>
      </c>
      <c r="B123" s="663" t="s">
        <v>380</v>
      </c>
      <c r="C123" s="663" t="s">
        <v>525</v>
      </c>
      <c r="D123" s="663" t="s">
        <v>5</v>
      </c>
      <c r="E123" s="663" t="s">
        <v>529</v>
      </c>
      <c r="F123" s="663" t="s">
        <v>185</v>
      </c>
      <c r="G123" s="663" t="s">
        <v>533</v>
      </c>
      <c r="H123" s="663" t="s">
        <v>725</v>
      </c>
      <c r="I123" s="709" t="s">
        <v>726</v>
      </c>
      <c r="J123" s="663" t="s">
        <v>574</v>
      </c>
      <c r="K123" s="663">
        <v>167343</v>
      </c>
      <c r="L123" s="663" t="s">
        <v>192</v>
      </c>
      <c r="M123" s="663" t="s">
        <v>191</v>
      </c>
      <c r="N123" s="689">
        <v>97.537099999999995</v>
      </c>
      <c r="O123" s="689">
        <v>24.461033</v>
      </c>
      <c r="P123" s="711">
        <v>360</v>
      </c>
      <c r="Q123" s="794">
        <v>109</v>
      </c>
      <c r="R123" s="794">
        <v>408</v>
      </c>
      <c r="S123" s="690">
        <f>IF(CampList[[#This Row],[HH]]&gt;0,CampList[[#This Row],[Total]]/CampList[[#This Row],[HH]],"NA")</f>
        <v>3.7431192660550461</v>
      </c>
      <c r="T123" s="483" t="s">
        <v>513</v>
      </c>
      <c r="U123" s="664" t="s">
        <v>1191</v>
      </c>
      <c r="V123" s="483" t="s">
        <v>554</v>
      </c>
      <c r="W123" s="483" t="s">
        <v>857</v>
      </c>
      <c r="X123" s="712">
        <v>40756</v>
      </c>
      <c r="Y123" s="711">
        <v>4</v>
      </c>
      <c r="Z123" s="711" t="s">
        <v>1090</v>
      </c>
      <c r="AA123" s="689" t="s">
        <v>842</v>
      </c>
      <c r="AB123" s="689"/>
      <c r="AC123" s="694">
        <v>42745</v>
      </c>
      <c r="AD123" s="713" t="s">
        <v>1555</v>
      </c>
      <c r="AE123" s="696" t="s">
        <v>1078</v>
      </c>
      <c r="AF123" s="714">
        <f>IF(CampList[[#This Row],[Type of Accomodation]]="camp",MAX(0,CampList[[#This Row],[HH]]-SUMIF(Table_Shelter[Pcode],CampList[[#This Row],[CP_Pcode]],Table_Shelter[HH Covered])),0)</f>
        <v>0</v>
      </c>
      <c r="AG123" s="483"/>
      <c r="AH123" s="688">
        <f>MIN(CampList[[#This Row],[Shelter Gap]],CampList[[#This Row],[Land Status]])</f>
        <v>0</v>
      </c>
      <c r="AI123" s="714" t="str">
        <f ca="1">IFERROR(OFFSET(DistanceToCamp[Nearest Town],MATCH(CampList[[#This Row],[CP_Pcode]],DistanceToCamp[CP_Pcode],0)-1,0,1,1),"")</f>
        <v>Dawthponeyan  Town</v>
      </c>
      <c r="AJ123" s="697">
        <f ca="1">IFERROR(OFFSET(DistanceToCamp[distance],MATCH(CampList[[#This Row],[CP_Pcode]],DistanceToCamp[CP_Pcode],0)-1,0,1,1),"")</f>
        <v>18.65617244319267</v>
      </c>
      <c r="AK123" s="715">
        <f ca="1">IFERROR(INT(CampList[[#This Row],[Distance]]/5)+1,"")</f>
        <v>4</v>
      </c>
    </row>
    <row r="124" spans="1:37" s="445" customFormat="1" ht="15.75" customHeight="1" x14ac:dyDescent="0.25">
      <c r="A124" s="708" t="s">
        <v>500</v>
      </c>
      <c r="B124" s="663" t="s">
        <v>380</v>
      </c>
      <c r="C124" s="663" t="s">
        <v>525</v>
      </c>
      <c r="D124" s="663" t="s">
        <v>5</v>
      </c>
      <c r="E124" s="663" t="s">
        <v>529</v>
      </c>
      <c r="F124" s="663" t="s">
        <v>185</v>
      </c>
      <c r="G124" s="663" t="s">
        <v>533</v>
      </c>
      <c r="H124" s="663" t="s">
        <v>761</v>
      </c>
      <c r="I124" s="709" t="s">
        <v>762</v>
      </c>
      <c r="J124" s="663" t="s">
        <v>763</v>
      </c>
      <c r="K124" s="663">
        <v>216913</v>
      </c>
      <c r="L124" s="663" t="s">
        <v>219</v>
      </c>
      <c r="M124" s="663" t="s">
        <v>218</v>
      </c>
      <c r="N124" s="689">
        <v>97.752667000000002</v>
      </c>
      <c r="O124" s="689">
        <v>24.2744</v>
      </c>
      <c r="P124" s="711">
        <v>978</v>
      </c>
      <c r="Q124" s="792">
        <v>669</v>
      </c>
      <c r="R124" s="727">
        <v>3643</v>
      </c>
      <c r="S124" s="690">
        <f>IF(CampList[[#This Row],[HH]]&gt;0,CampList[[#This Row],[Total]]/CampList[[#This Row],[HH]],"NA")</f>
        <v>5.4454409566517192</v>
      </c>
      <c r="T124" s="483" t="s">
        <v>513</v>
      </c>
      <c r="U124" s="664" t="s">
        <v>1191</v>
      </c>
      <c r="V124" s="483" t="s">
        <v>554</v>
      </c>
      <c r="W124" s="483" t="s">
        <v>856</v>
      </c>
      <c r="X124" s="712">
        <v>41000</v>
      </c>
      <c r="Y124" s="711">
        <v>2</v>
      </c>
      <c r="Z124" s="711" t="s">
        <v>1089</v>
      </c>
      <c r="AA124" s="689" t="s">
        <v>842</v>
      </c>
      <c r="AB124" s="689"/>
      <c r="AC124" s="694">
        <v>42745</v>
      </c>
      <c r="AD124" s="713" t="s">
        <v>1532</v>
      </c>
      <c r="AE124" s="696" t="s">
        <v>1078</v>
      </c>
      <c r="AF124" s="714">
        <f>IF(CampList[[#This Row],[Type of Accomodation]]="camp",MAX(0,CampList[[#This Row],[HH]]-SUMIF(Table_Shelter[Pcode],CampList[[#This Row],[CP_Pcode]],Table_Shelter[HH Covered])),0)</f>
        <v>0</v>
      </c>
      <c r="AG124" s="483"/>
      <c r="AH124" s="688">
        <f>MIN(CampList[[#This Row],[Shelter Gap]],CampList[[#This Row],[Land Status]])</f>
        <v>0</v>
      </c>
      <c r="AI124" s="714" t="str">
        <f ca="1">IFERROR(OFFSET(DistanceToCamp[Nearest Town],MATCH(CampList[[#This Row],[CP_Pcode]],DistanceToCamp[CP_Pcode],0)-1,0,1,1),"")</f>
        <v>Lwegel Town</v>
      </c>
      <c r="AJ124" s="697">
        <f ca="1">IFERROR(OFFSET(DistanceToCamp[distance],MATCH(CampList[[#This Row],[CP_Pcode]],DistanceToCamp[CP_Pcode],0)-1,0,1,1),"")</f>
        <v>8.953204937938569</v>
      </c>
      <c r="AK124" s="715">
        <f ca="1">IFERROR(INT(CampList[[#This Row],[Distance]]/5)+1,"")</f>
        <v>2</v>
      </c>
    </row>
    <row r="125" spans="1:37" s="445" customFormat="1" ht="15.75" customHeight="1" x14ac:dyDescent="0.25">
      <c r="A125" s="708" t="s">
        <v>500</v>
      </c>
      <c r="B125" s="663" t="s">
        <v>380</v>
      </c>
      <c r="C125" s="663" t="s">
        <v>525</v>
      </c>
      <c r="D125" s="663" t="s">
        <v>5</v>
      </c>
      <c r="E125" s="663" t="s">
        <v>529</v>
      </c>
      <c r="F125" s="663" t="s">
        <v>151</v>
      </c>
      <c r="G125" s="663" t="s">
        <v>539</v>
      </c>
      <c r="H125" s="663" t="s">
        <v>743</v>
      </c>
      <c r="I125" s="709" t="s">
        <v>744</v>
      </c>
      <c r="J125" s="663" t="s">
        <v>745</v>
      </c>
      <c r="K125" s="663">
        <v>216948</v>
      </c>
      <c r="L125" s="663" t="s">
        <v>198</v>
      </c>
      <c r="M125" s="663" t="s">
        <v>197</v>
      </c>
      <c r="N125" s="689">
        <v>97.625617000000005</v>
      </c>
      <c r="O125" s="689">
        <v>24.056132999999999</v>
      </c>
      <c r="P125" s="711">
        <v>866</v>
      </c>
      <c r="Q125" s="727">
        <v>546</v>
      </c>
      <c r="R125" s="727">
        <v>2514</v>
      </c>
      <c r="S125" s="690">
        <f>IF(CampList[[#This Row],[HH]]&gt;0,CampList[[#This Row],[Total]]/CampList[[#This Row],[HH]],"NA")</f>
        <v>4.604395604395604</v>
      </c>
      <c r="T125" s="483" t="s">
        <v>513</v>
      </c>
      <c r="U125" s="664" t="s">
        <v>1191</v>
      </c>
      <c r="V125" s="483" t="s">
        <v>554</v>
      </c>
      <c r="W125" s="483" t="s">
        <v>856</v>
      </c>
      <c r="X125" s="712">
        <v>40817</v>
      </c>
      <c r="Y125" s="711">
        <v>2</v>
      </c>
      <c r="Z125" s="711" t="s">
        <v>1089</v>
      </c>
      <c r="AA125" s="689" t="s">
        <v>842</v>
      </c>
      <c r="AB125" s="689"/>
      <c r="AC125" s="694">
        <v>42745</v>
      </c>
      <c r="AD125" s="713" t="s">
        <v>1533</v>
      </c>
      <c r="AE125" s="696" t="s">
        <v>1078</v>
      </c>
      <c r="AF125" s="714">
        <f>IF(CampList[[#This Row],[Type of Accomodation]]="camp",MAX(0,CampList[[#This Row],[HH]]-SUMIF(Table_Shelter[Pcode],CampList[[#This Row],[CP_Pcode]],Table_Shelter[HH Covered])),0)</f>
        <v>12</v>
      </c>
      <c r="AG125" s="483"/>
      <c r="AH125" s="688">
        <f>MIN(CampList[[#This Row],[Shelter Gap]],CampList[[#This Row],[Land Status]])</f>
        <v>12</v>
      </c>
      <c r="AI125" s="714" t="str">
        <f ca="1">IFERROR(OFFSET(DistanceToCamp[Nearest Town],MATCH(CampList[[#This Row],[CP_Pcode]],DistanceToCamp[CP_Pcode],0)-1,0,1,1),"")</f>
        <v>Lwegel Town</v>
      </c>
      <c r="AJ125" s="697">
        <f ca="1">IFERROR(OFFSET(DistanceToCamp[distance],MATCH(CampList[[#This Row],[CP_Pcode]],DistanceToCamp[CP_Pcode],0)-1,0,1,1),"")</f>
        <v>18.620903555062636</v>
      </c>
      <c r="AK125" s="715">
        <f ca="1">IFERROR(INT(CampList[[#This Row],[Distance]]/5)+1,"")</f>
        <v>4</v>
      </c>
    </row>
    <row r="126" spans="1:37" s="445" customFormat="1" ht="15.75" customHeight="1" x14ac:dyDescent="0.25">
      <c r="A126" s="686" t="s">
        <v>500</v>
      </c>
      <c r="B126" s="662" t="s">
        <v>380</v>
      </c>
      <c r="C126" s="662" t="s">
        <v>525</v>
      </c>
      <c r="D126" s="662" t="s">
        <v>5</v>
      </c>
      <c r="E126" s="662" t="s">
        <v>529</v>
      </c>
      <c r="F126" s="695" t="s">
        <v>151</v>
      </c>
      <c r="G126" s="695" t="s">
        <v>539</v>
      </c>
      <c r="H126" s="695" t="s">
        <v>739</v>
      </c>
      <c r="I126" s="695" t="s">
        <v>740</v>
      </c>
      <c r="J126" s="695" t="s">
        <v>739</v>
      </c>
      <c r="K126" s="695" t="s">
        <v>739</v>
      </c>
      <c r="L126" s="662" t="s">
        <v>188</v>
      </c>
      <c r="M126" s="662" t="s">
        <v>187</v>
      </c>
      <c r="N126" s="687">
        <v>97.609832999999995</v>
      </c>
      <c r="O126" s="687">
        <v>24.002433</v>
      </c>
      <c r="P126" s="688">
        <v>854</v>
      </c>
      <c r="Q126" s="705">
        <v>440</v>
      </c>
      <c r="R126" s="706">
        <v>1957</v>
      </c>
      <c r="S126" s="690">
        <f>IF(CampList[[#This Row],[HH]]&gt;0,CampList[[#This Row],[Total]]/CampList[[#This Row],[HH]],"NA")</f>
        <v>4.4477272727272723</v>
      </c>
      <c r="T126" s="664" t="s">
        <v>513</v>
      </c>
      <c r="U126" s="664" t="s">
        <v>1191</v>
      </c>
      <c r="V126" s="664" t="s">
        <v>554</v>
      </c>
      <c r="W126" s="664" t="s">
        <v>856</v>
      </c>
      <c r="X126" s="691">
        <v>40817</v>
      </c>
      <c r="Y126" s="692">
        <v>2</v>
      </c>
      <c r="Z126" s="691" t="s">
        <v>1089</v>
      </c>
      <c r="AA126" s="704" t="s">
        <v>842</v>
      </c>
      <c r="AB126" s="693"/>
      <c r="AC126" s="694">
        <v>42745</v>
      </c>
      <c r="AD126" s="686" t="s">
        <v>1534</v>
      </c>
      <c r="AE126" s="696" t="s">
        <v>1078</v>
      </c>
      <c r="AF126" s="483">
        <f>IF(CampList[[#This Row],[Type of Accomodation]]="camp",MAX(0,CampList[[#This Row],[HH]]-SUMIF(Table_Shelter[Pcode],CampList[[#This Row],[CP_Pcode]],Table_Shelter[HH Covered])),0)</f>
        <v>250</v>
      </c>
      <c r="AG126" s="664"/>
      <c r="AH126" s="693">
        <f>MIN(CampList[[#This Row],[Shelter Gap]],CampList[[#This Row],[Land Status]])</f>
        <v>250</v>
      </c>
      <c r="AI126" s="664" t="str">
        <f ca="1">IFERROR(OFFSET(DistanceToCamp[Nearest Town],MATCH(CampList[[#This Row],[CP_Pcode]],DistanceToCamp[CP_Pcode],0)-1,0,1,1),"")</f>
        <v>Namhkan Town</v>
      </c>
      <c r="AJ126" s="697">
        <f ca="1">IFERROR(OFFSET(DistanceToCamp[distance],MATCH(CampList[[#This Row],[CP_Pcode]],DistanceToCamp[CP_Pcode],0)-1,0,1,1),"")</f>
        <v>19.796407430638478</v>
      </c>
      <c r="AK126" s="698">
        <f ca="1">IFERROR(INT(CampList[[#This Row],[Distance]]/5)+1,"")</f>
        <v>4</v>
      </c>
    </row>
    <row r="127" spans="1:37" s="445" customFormat="1" ht="15.75" customHeight="1" x14ac:dyDescent="0.25">
      <c r="A127" s="708" t="s">
        <v>500</v>
      </c>
      <c r="B127" s="663" t="s">
        <v>380</v>
      </c>
      <c r="C127" s="663" t="s">
        <v>525</v>
      </c>
      <c r="D127" s="663" t="s">
        <v>5</v>
      </c>
      <c r="E127" s="663" t="s">
        <v>529</v>
      </c>
      <c r="F127" s="663" t="s">
        <v>185</v>
      </c>
      <c r="G127" s="663" t="s">
        <v>533</v>
      </c>
      <c r="H127" s="663" t="s">
        <v>746</v>
      </c>
      <c r="I127" s="709" t="s">
        <v>747</v>
      </c>
      <c r="J127" s="663" t="s">
        <v>748</v>
      </c>
      <c r="K127" s="663">
        <v>167138</v>
      </c>
      <c r="L127" s="663" t="s">
        <v>215</v>
      </c>
      <c r="M127" s="663" t="s">
        <v>214</v>
      </c>
      <c r="N127" s="689">
        <v>97.669366999999994</v>
      </c>
      <c r="O127" s="689">
        <v>24.378167000000001</v>
      </c>
      <c r="P127" s="711">
        <v>1149</v>
      </c>
      <c r="Q127" s="727">
        <v>355</v>
      </c>
      <c r="R127" s="727">
        <v>1678</v>
      </c>
      <c r="S127" s="690">
        <f>IF(CampList[[#This Row],[HH]]&gt;0,CampList[[#This Row],[Total]]/CampList[[#This Row],[HH]],"NA")</f>
        <v>4.7267605633802816</v>
      </c>
      <c r="T127" s="483" t="s">
        <v>513</v>
      </c>
      <c r="U127" s="664" t="s">
        <v>1191</v>
      </c>
      <c r="V127" s="483" t="s">
        <v>554</v>
      </c>
      <c r="W127" s="483" t="s">
        <v>856</v>
      </c>
      <c r="X127" s="712">
        <v>41000</v>
      </c>
      <c r="Y127" s="711">
        <v>2</v>
      </c>
      <c r="Z127" s="711" t="s">
        <v>1089</v>
      </c>
      <c r="AA127" s="689" t="s">
        <v>842</v>
      </c>
      <c r="AB127" s="689"/>
      <c r="AC127" s="694">
        <v>42745</v>
      </c>
      <c r="AD127" s="713" t="s">
        <v>1535</v>
      </c>
      <c r="AE127" s="696" t="s">
        <v>1077</v>
      </c>
      <c r="AF127" s="714">
        <f>IF(CampList[[#This Row],[Type of Accomodation]]="camp",MAX(0,CampList[[#This Row],[HH]]-SUMIF(Table_Shelter[Pcode],CampList[[#This Row],[CP_Pcode]],Table_Shelter[HH Covered])),0)</f>
        <v>0</v>
      </c>
      <c r="AG127" s="483"/>
      <c r="AH127" s="688">
        <f>MIN(CampList[[#This Row],[Shelter Gap]],CampList[[#This Row],[Land Status]])</f>
        <v>0</v>
      </c>
      <c r="AI127" s="714" t="str">
        <f ca="1">IFERROR(OFFSET(DistanceToCamp[Nearest Town],MATCH(CampList[[#This Row],[CP_Pcode]],DistanceToCamp[CP_Pcode],0)-1,0,1,1),"")</f>
        <v>Lwegel Town</v>
      </c>
      <c r="AJ127" s="697">
        <f ca="1">IFERROR(OFFSET(DistanceToCamp[distance],MATCH(CampList[[#This Row],[CP_Pcode]],DistanceToCamp[CP_Pcode],0)-1,0,1,1),"")</f>
        <v>20.558236360788097</v>
      </c>
      <c r="AK127" s="715">
        <f ca="1">IFERROR(INT(CampList[[#This Row],[Distance]]/5)+1,"")</f>
        <v>5</v>
      </c>
    </row>
    <row r="128" spans="1:37" s="445" customFormat="1" ht="15.75" customHeight="1" x14ac:dyDescent="0.25">
      <c r="A128" s="708" t="s">
        <v>500</v>
      </c>
      <c r="B128" s="663" t="s">
        <v>380</v>
      </c>
      <c r="C128" s="663" t="s">
        <v>525</v>
      </c>
      <c r="D128" s="663" t="s">
        <v>5</v>
      </c>
      <c r="E128" s="663" t="s">
        <v>529</v>
      </c>
      <c r="F128" s="663" t="s">
        <v>151</v>
      </c>
      <c r="G128" s="663" t="s">
        <v>539</v>
      </c>
      <c r="H128" s="663" t="s">
        <v>660</v>
      </c>
      <c r="I128" s="709" t="s">
        <v>661</v>
      </c>
      <c r="J128" s="695" t="s">
        <v>660</v>
      </c>
      <c r="K128" s="716">
        <v>167405</v>
      </c>
      <c r="L128" s="663" t="s">
        <v>154</v>
      </c>
      <c r="M128" s="663" t="s">
        <v>153</v>
      </c>
      <c r="N128" s="689">
        <v>97.578490000000002</v>
      </c>
      <c r="O128" s="689">
        <v>23.835319999999999</v>
      </c>
      <c r="P128" s="711">
        <v>795</v>
      </c>
      <c r="Q128" s="727">
        <v>440</v>
      </c>
      <c r="R128" s="727">
        <v>2236</v>
      </c>
      <c r="S128" s="690">
        <f>IF(CampList[[#This Row],[HH]]&gt;0,CampList[[#This Row],[Total]]/CampList[[#This Row],[HH]],"NA")</f>
        <v>5.081818181818182</v>
      </c>
      <c r="T128" s="483" t="s">
        <v>511</v>
      </c>
      <c r="U128" s="664" t="s">
        <v>1191</v>
      </c>
      <c r="V128" s="483" t="s">
        <v>554</v>
      </c>
      <c r="W128" s="483" t="s">
        <v>856</v>
      </c>
      <c r="X128" s="712">
        <v>40848</v>
      </c>
      <c r="Y128" s="711">
        <v>2</v>
      </c>
      <c r="Z128" s="711" t="s">
        <v>1089</v>
      </c>
      <c r="AA128" s="689" t="s">
        <v>842</v>
      </c>
      <c r="AB128" s="689"/>
      <c r="AC128" s="694">
        <v>42745</v>
      </c>
      <c r="AD128" s="713" t="s">
        <v>1536</v>
      </c>
      <c r="AE128" s="696" t="s">
        <v>1093</v>
      </c>
      <c r="AF128" s="714">
        <f>IF(CampList[[#This Row],[Type of Accomodation]]="camp",MAX(0,CampList[[#This Row],[HH]]-SUMIF(Table_Shelter[Pcode],CampList[[#This Row],[CP_Pcode]],Table_Shelter[HH Covered])),0)</f>
        <v>240</v>
      </c>
      <c r="AG128" s="664"/>
      <c r="AH128" s="693">
        <f>MIN(CampList[[#This Row],[Shelter Gap]],CampList[[#This Row],[Land Status]])</f>
        <v>240</v>
      </c>
      <c r="AI128" s="714" t="str">
        <f ca="1">IFERROR(OFFSET(DistanceToCamp[Nearest Town],MATCH(CampList[[#This Row],[CP_Pcode]],DistanceToCamp[CP_Pcode],0)-1,0,1,1),"")</f>
        <v>Namhkan Town</v>
      </c>
      <c r="AJ128" s="697">
        <f ca="1">IFERROR(OFFSET(DistanceToCamp[distance],MATCH(CampList[[#This Row],[CP_Pcode]],DistanceToCamp[CP_Pcode],0)-1,0,1,1),"")</f>
        <v>10.509375400480517</v>
      </c>
      <c r="AK128" s="715">
        <f ca="1">IFERROR(INT(CampList[[#This Row],[Distance]]/5)+1,"")</f>
        <v>3</v>
      </c>
    </row>
    <row r="129" spans="1:37" s="445" customFormat="1" ht="15.75" customHeight="1" x14ac:dyDescent="0.25">
      <c r="A129" s="686" t="s">
        <v>500</v>
      </c>
      <c r="B129" s="662" t="s">
        <v>380</v>
      </c>
      <c r="C129" s="662" t="s">
        <v>525</v>
      </c>
      <c r="D129" s="662" t="s">
        <v>5</v>
      </c>
      <c r="E129" s="662" t="s">
        <v>529</v>
      </c>
      <c r="F129" s="662" t="s">
        <v>151</v>
      </c>
      <c r="G129" s="662" t="s">
        <v>539</v>
      </c>
      <c r="H129" s="695" t="s">
        <v>660</v>
      </c>
      <c r="I129" s="695" t="s">
        <v>661</v>
      </c>
      <c r="J129" s="695" t="s">
        <v>660</v>
      </c>
      <c r="K129" s="716">
        <v>167405</v>
      </c>
      <c r="L129" s="662" t="s">
        <v>160</v>
      </c>
      <c r="M129" s="662" t="s">
        <v>159</v>
      </c>
      <c r="N129" s="687">
        <v>97.589979999999997</v>
      </c>
      <c r="O129" s="687">
        <v>23.83013</v>
      </c>
      <c r="P129" s="688">
        <v>741</v>
      </c>
      <c r="Q129" s="689">
        <v>107</v>
      </c>
      <c r="R129" s="689">
        <v>528</v>
      </c>
      <c r="S129" s="690">
        <f>IF(CampList[[#This Row],[HH]]&gt;0,CampList[[#This Row],[Total]]/CampList[[#This Row],[HH]],"NA")</f>
        <v>4.9345794392523361</v>
      </c>
      <c r="T129" s="664" t="s">
        <v>511</v>
      </c>
      <c r="U129" s="664" t="s">
        <v>1191</v>
      </c>
      <c r="V129" s="664" t="s">
        <v>554</v>
      </c>
      <c r="W129" s="664" t="s">
        <v>856</v>
      </c>
      <c r="X129" s="691">
        <v>40940</v>
      </c>
      <c r="Y129" s="692">
        <v>2</v>
      </c>
      <c r="Z129" s="691" t="s">
        <v>460</v>
      </c>
      <c r="AA129" s="704" t="s">
        <v>842</v>
      </c>
      <c r="AB129" s="693"/>
      <c r="AC129" s="694">
        <v>42745</v>
      </c>
      <c r="AD129" s="695" t="s">
        <v>1497</v>
      </c>
      <c r="AE129" s="696" t="s">
        <v>1093</v>
      </c>
      <c r="AF129" s="483">
        <f>IF(CampList[[#This Row],[Type of Accomodation]]="camp",MAX(0,CampList[[#This Row],[HH]]-SUMIF(Table_Shelter[Pcode],CampList[[#This Row],[CP_Pcode]],Table_Shelter[HH Covered])),0)</f>
        <v>33</v>
      </c>
      <c r="AG129" s="664"/>
      <c r="AH129" s="693">
        <f>MIN(CampList[[#This Row],[Shelter Gap]],CampList[[#This Row],[Land Status]])</f>
        <v>33</v>
      </c>
      <c r="AI129" s="664" t="str">
        <f ca="1">IFERROR(OFFSET(DistanceToCamp[Nearest Town],MATCH(CampList[[#This Row],[CP_Pcode]],DistanceToCamp[CP_Pcode],0)-1,0,1,1),"")</f>
        <v>Namhkan Town</v>
      </c>
      <c r="AJ129" s="697">
        <f ca="1">IFERROR(OFFSET(DistanceToCamp[distance],MATCH(CampList[[#This Row],[CP_Pcode]],DistanceToCamp[CP_Pcode],0)-1,0,1,1),"")</f>
        <v>9.3704379947870464</v>
      </c>
      <c r="AK129" s="698">
        <f ca="1">IFERROR(INT(CampList[[#This Row],[Distance]]/5)+1,"")</f>
        <v>2</v>
      </c>
    </row>
    <row r="130" spans="1:37" s="445" customFormat="1" ht="15.75" customHeight="1" x14ac:dyDescent="0.25">
      <c r="A130" s="686" t="s">
        <v>500</v>
      </c>
      <c r="B130" s="662" t="s">
        <v>380</v>
      </c>
      <c r="C130" s="662" t="s">
        <v>525</v>
      </c>
      <c r="D130" s="662" t="s">
        <v>5</v>
      </c>
      <c r="E130" s="662" t="s">
        <v>529</v>
      </c>
      <c r="F130" s="662" t="s">
        <v>151</v>
      </c>
      <c r="G130" s="662" t="s">
        <v>539</v>
      </c>
      <c r="H130" s="695" t="s">
        <v>660</v>
      </c>
      <c r="I130" s="695" t="s">
        <v>661</v>
      </c>
      <c r="J130" s="695" t="s">
        <v>660</v>
      </c>
      <c r="K130" s="695">
        <v>167405</v>
      </c>
      <c r="L130" s="662" t="s">
        <v>156</v>
      </c>
      <c r="M130" s="662" t="s">
        <v>155</v>
      </c>
      <c r="N130" s="687">
        <v>97.588291999999996</v>
      </c>
      <c r="O130" s="687">
        <v>23.827870999999998</v>
      </c>
      <c r="P130" s="711"/>
      <c r="Q130" s="705">
        <v>175</v>
      </c>
      <c r="R130" s="706">
        <v>834</v>
      </c>
      <c r="S130" s="690">
        <f>IF(CampList[[#This Row],[HH]]&gt;0,CampList[[#This Row],[Total]]/CampList[[#This Row],[HH]],"NA")</f>
        <v>4.765714285714286</v>
      </c>
      <c r="T130" s="664" t="s">
        <v>511</v>
      </c>
      <c r="U130" s="664" t="s">
        <v>1191</v>
      </c>
      <c r="V130" s="725" t="s">
        <v>12</v>
      </c>
      <c r="W130" s="664" t="s">
        <v>856</v>
      </c>
      <c r="X130" s="712"/>
      <c r="Y130" s="711"/>
      <c r="Z130" s="693"/>
      <c r="AA130" s="704" t="s">
        <v>842</v>
      </c>
      <c r="AB130" s="693"/>
      <c r="AC130" s="694">
        <v>42397</v>
      </c>
      <c r="AD130" s="695" t="s">
        <v>1324</v>
      </c>
      <c r="AE130" s="721" t="s">
        <v>1093</v>
      </c>
      <c r="AF130" s="483">
        <f>IF(CampList[[#This Row],[Type of Accomodation]]="camp",MAX(0,CampList[[#This Row],[HH]]-SUMIF(Table_Shelter[Pcode],CampList[[#This Row],[CP_Pcode]],Table_Shelter[HH Covered])),0)</f>
        <v>0</v>
      </c>
      <c r="AG130" s="664"/>
      <c r="AH130" s="693">
        <f>MIN(CampList[[#This Row],[Shelter Gap]],CampList[[#This Row],[Land Status]])</f>
        <v>0</v>
      </c>
      <c r="AI130" s="664" t="str">
        <f ca="1">IFERROR(OFFSET(DistanceToCamp[Nearest Town],MATCH(CampList[[#This Row],[CP_Pcode]],DistanceToCamp[CP_Pcode],0)-1,0,1,1),"")</f>
        <v>Namhkan Town</v>
      </c>
      <c r="AJ130" s="697">
        <f ca="1">IFERROR(OFFSET(DistanceToCamp[distance],MATCH(CampList[[#This Row],[CP_Pcode]],DistanceToCamp[CP_Pcode],0)-1,0,1,1),"")</f>
        <v>9.5650381623500511</v>
      </c>
      <c r="AK130" s="698">
        <f ca="1">IFERROR(INT(CampList[[#This Row],[Distance]]/5)+1,"")</f>
        <v>2</v>
      </c>
    </row>
    <row r="131" spans="1:37" s="445" customFormat="1" ht="15.75" hidden="1" customHeight="1" x14ac:dyDescent="0.25">
      <c r="A131" s="686" t="s">
        <v>843</v>
      </c>
      <c r="B131" s="662" t="s">
        <v>380</v>
      </c>
      <c r="C131" s="662" t="s">
        <v>525</v>
      </c>
      <c r="D131" s="662" t="s">
        <v>5</v>
      </c>
      <c r="E131" s="662" t="s">
        <v>529</v>
      </c>
      <c r="F131" s="662" t="s">
        <v>151</v>
      </c>
      <c r="G131" s="662" t="s">
        <v>539</v>
      </c>
      <c r="H131" s="695" t="s">
        <v>737</v>
      </c>
      <c r="I131" s="695" t="s">
        <v>738</v>
      </c>
      <c r="J131" s="695"/>
      <c r="K131" s="695"/>
      <c r="L131" s="662" t="s">
        <v>158</v>
      </c>
      <c r="M131" s="662" t="s">
        <v>157</v>
      </c>
      <c r="N131" s="687">
        <v>97.585667000000001</v>
      </c>
      <c r="O131" s="687">
        <v>23.9055</v>
      </c>
      <c r="P131" s="703">
        <v>745</v>
      </c>
      <c r="Q131" s="705">
        <v>0</v>
      </c>
      <c r="R131" s="706">
        <v>0</v>
      </c>
      <c r="S131" s="690" t="str">
        <f>IF(CampList[[#This Row],[HH]]&gt;0,CampList[[#This Row],[Total]]/CampList[[#This Row],[HH]],"NA")</f>
        <v>NA</v>
      </c>
      <c r="T131" s="664" t="s">
        <v>513</v>
      </c>
      <c r="U131" s="699" t="s">
        <v>1191</v>
      </c>
      <c r="V131" s="664" t="s">
        <v>554</v>
      </c>
      <c r="W131" s="699" t="s">
        <v>857</v>
      </c>
      <c r="X131" s="700">
        <v>41122</v>
      </c>
      <c r="Y131" s="701">
        <v>2</v>
      </c>
      <c r="Z131" s="700" t="s">
        <v>1089</v>
      </c>
      <c r="AA131" s="704" t="s">
        <v>842</v>
      </c>
      <c r="AB131" s="693"/>
      <c r="AC131" s="694">
        <v>42235</v>
      </c>
      <c r="AD131" s="686" t="s">
        <v>1291</v>
      </c>
      <c r="AE131" s="696" t="s">
        <v>1078</v>
      </c>
      <c r="AF131" s="483">
        <f>IF(CampList[[#This Row],[Type of Accomodation]]="camp",MAX(0,CampList[[#This Row],[HH]]-SUMIF(Table_Shelter[Pcode],CampList[[#This Row],[CP_Pcode]],Table_Shelter[HH Covered])),0)</f>
        <v>0</v>
      </c>
      <c r="AG131" s="664"/>
      <c r="AH131" s="693">
        <f>MIN(CampList[[#This Row],[Shelter Gap]],CampList[[#This Row],[Land Status]])</f>
        <v>0</v>
      </c>
      <c r="AI131" s="664" t="str">
        <f ca="1">IFERROR(OFFSET(DistanceToCamp[Nearest Town],MATCH(CampList[[#This Row],[CP_Pcode]],DistanceToCamp[CP_Pcode],0)-1,0,1,1),"")</f>
        <v>Namhkan Town</v>
      </c>
      <c r="AJ131" s="697">
        <f ca="1">IFERROR(OFFSET(DistanceToCamp[distance],MATCH(CampList[[#This Row],[CP_Pcode]],DistanceToCamp[CP_Pcode],0)-1,0,1,1),"")</f>
        <v>12.392289083396149</v>
      </c>
      <c r="AK131" s="698">
        <f ca="1">IFERROR(INT(CampList[[#This Row],[Distance]]/5)+1,"")</f>
        <v>3</v>
      </c>
    </row>
    <row r="132" spans="1:37" s="445" customFormat="1" ht="15.75" hidden="1" customHeight="1" x14ac:dyDescent="0.25">
      <c r="A132" s="686" t="s">
        <v>843</v>
      </c>
      <c r="B132" s="662" t="s">
        <v>380</v>
      </c>
      <c r="C132" s="662" t="s">
        <v>525</v>
      </c>
      <c r="D132" s="662" t="s">
        <v>5</v>
      </c>
      <c r="E132" s="662" t="s">
        <v>529</v>
      </c>
      <c r="F132" s="662" t="s">
        <v>151</v>
      </c>
      <c r="G132" s="662" t="s">
        <v>539</v>
      </c>
      <c r="H132" s="695" t="s">
        <v>660</v>
      </c>
      <c r="I132" s="695" t="s">
        <v>661</v>
      </c>
      <c r="J132" s="695"/>
      <c r="K132" s="695"/>
      <c r="L132" s="662" t="s">
        <v>162</v>
      </c>
      <c r="M132" s="662" t="s">
        <v>161</v>
      </c>
      <c r="N132" s="687"/>
      <c r="O132" s="687"/>
      <c r="P132" s="711"/>
      <c r="Q132" s="705">
        <v>0</v>
      </c>
      <c r="R132" s="706">
        <v>0</v>
      </c>
      <c r="S132" s="690" t="str">
        <f>IF(CampList[[#This Row],[HH]]&gt;0,CampList[[#This Row],[Total]]/CampList[[#This Row],[HH]],"NA")</f>
        <v>NA</v>
      </c>
      <c r="T132" s="664" t="s">
        <v>513</v>
      </c>
      <c r="U132" s="699" t="s">
        <v>1191</v>
      </c>
      <c r="V132" s="664" t="s">
        <v>554</v>
      </c>
      <c r="W132" s="699"/>
      <c r="X132" s="719"/>
      <c r="Y132" s="710"/>
      <c r="Z132" s="720"/>
      <c r="AA132" s="704" t="s">
        <v>842</v>
      </c>
      <c r="AB132" s="693"/>
      <c r="AC132" s="694">
        <v>41737</v>
      </c>
      <c r="AD132" s="686" t="s">
        <v>1044</v>
      </c>
      <c r="AE132" s="721" t="s">
        <v>1007</v>
      </c>
      <c r="AF132" s="483">
        <f>IF(CampList[[#This Row],[Type of Accomodation]]="camp",MAX(0,CampList[[#This Row],[HH]]-SUMIF(Table_Shelter[Pcode],CampList[[#This Row],[CP_Pcode]],Table_Shelter[HH Covered])),0)</f>
        <v>0</v>
      </c>
      <c r="AG132" s="664"/>
      <c r="AH132" s="693">
        <f>MIN(CampList[[#This Row],[Shelter Gap]],CampList[[#This Row],[Land Status]])</f>
        <v>0</v>
      </c>
      <c r="AI132" s="664" t="str">
        <f ca="1">IFERROR(OFFSET(DistanceToCamp[Nearest Town],MATCH(CampList[[#This Row],[CP_Pcode]],DistanceToCamp[CP_Pcode],0)-1,0,1,1),"")</f>
        <v/>
      </c>
      <c r="AJ132" s="697" t="str">
        <f ca="1">IFERROR(OFFSET(DistanceToCamp[distance],MATCH(CampList[[#This Row],[CP_Pcode]],DistanceToCamp[CP_Pcode],0)-1,0,1,1),"")</f>
        <v/>
      </c>
      <c r="AK132" s="698" t="str">
        <f ca="1">IFERROR(INT(CampList[[#This Row],[Distance]]/5)+1,"")</f>
        <v/>
      </c>
    </row>
    <row r="133" spans="1:37" s="445" customFormat="1" ht="15.75" hidden="1" customHeight="1" x14ac:dyDescent="0.25">
      <c r="A133" s="686" t="s">
        <v>843</v>
      </c>
      <c r="B133" s="662" t="s">
        <v>380</v>
      </c>
      <c r="C133" s="662" t="s">
        <v>525</v>
      </c>
      <c r="D133" s="662" t="s">
        <v>5</v>
      </c>
      <c r="E133" s="662" t="s">
        <v>529</v>
      </c>
      <c r="F133" s="662" t="s">
        <v>151</v>
      </c>
      <c r="G133" s="662" t="s">
        <v>539</v>
      </c>
      <c r="H133" s="695" t="s">
        <v>628</v>
      </c>
      <c r="I133" s="695" t="s">
        <v>629</v>
      </c>
      <c r="J133" s="695"/>
      <c r="K133" s="695"/>
      <c r="L133" s="662" t="s">
        <v>164</v>
      </c>
      <c r="M133" s="662" t="s">
        <v>163</v>
      </c>
      <c r="N133" s="687">
        <v>97.132339999999999</v>
      </c>
      <c r="O133" s="687">
        <v>23.75817</v>
      </c>
      <c r="P133" s="711"/>
      <c r="Q133" s="705">
        <v>0</v>
      </c>
      <c r="R133" s="706">
        <v>0</v>
      </c>
      <c r="S133" s="690" t="str">
        <f>IF(CampList[[#This Row],[HH]]&gt;0,CampList[[#This Row],[Total]]/CampList[[#This Row],[HH]],"NA")</f>
        <v>NA</v>
      </c>
      <c r="T133" s="664" t="s">
        <v>513</v>
      </c>
      <c r="U133" s="699" t="s">
        <v>1191</v>
      </c>
      <c r="V133" s="664" t="s">
        <v>554</v>
      </c>
      <c r="W133" s="699"/>
      <c r="X133" s="719"/>
      <c r="Y133" s="710"/>
      <c r="Z133" s="720"/>
      <c r="AA133" s="704" t="s">
        <v>572</v>
      </c>
      <c r="AB133" s="693"/>
      <c r="AC133" s="723"/>
      <c r="AD133" s="686" t="s">
        <v>845</v>
      </c>
      <c r="AE133" s="721" t="s">
        <v>1007</v>
      </c>
      <c r="AF133" s="483">
        <f>IF(CampList[[#This Row],[Type of Accomodation]]="camp",MAX(0,CampList[[#This Row],[HH]]-SUMIF(Table_Shelter[Pcode],CampList[[#This Row],[CP_Pcode]],Table_Shelter[HH Covered])),0)</f>
        <v>0</v>
      </c>
      <c r="AG133" s="664"/>
      <c r="AH133" s="693">
        <f>MIN(CampList[[#This Row],[Shelter Gap]],CampList[[#This Row],[Land Status]])</f>
        <v>0</v>
      </c>
      <c r="AI133" s="664" t="str">
        <f ca="1">IFERROR(OFFSET(DistanceToCamp[Nearest Town],MATCH(CampList[[#This Row],[CP_Pcode]],DistanceToCamp[CP_Pcode],0)-1,0,1,1),"")</f>
        <v/>
      </c>
      <c r="AJ133" s="697" t="str">
        <f ca="1">IFERROR(OFFSET(DistanceToCamp[distance],MATCH(CampList[[#This Row],[CP_Pcode]],DistanceToCamp[CP_Pcode],0)-1,0,1,1),"")</f>
        <v/>
      </c>
      <c r="AK133" s="698" t="str">
        <f ca="1">IFERROR(INT(CampList[[#This Row],[Distance]]/5)+1,"")</f>
        <v/>
      </c>
    </row>
    <row r="134" spans="1:37" s="445" customFormat="1" ht="15.75" hidden="1" customHeight="1" x14ac:dyDescent="0.25">
      <c r="A134" s="686" t="s">
        <v>843</v>
      </c>
      <c r="B134" s="662" t="s">
        <v>380</v>
      </c>
      <c r="C134" s="662" t="s">
        <v>525</v>
      </c>
      <c r="D134" s="662" t="s">
        <v>237</v>
      </c>
      <c r="E134" s="662" t="s">
        <v>531</v>
      </c>
      <c r="F134" s="662" t="s">
        <v>363</v>
      </c>
      <c r="G134" s="662" t="s">
        <v>548</v>
      </c>
      <c r="H134" s="662"/>
      <c r="I134" s="662"/>
      <c r="J134" s="662"/>
      <c r="K134" s="662"/>
      <c r="L134" s="662" t="s">
        <v>35</v>
      </c>
      <c r="M134" s="662" t="s">
        <v>362</v>
      </c>
      <c r="N134" s="687"/>
      <c r="O134" s="687"/>
      <c r="P134" s="710"/>
      <c r="Q134" s="705">
        <v>0</v>
      </c>
      <c r="R134" s="706">
        <v>0</v>
      </c>
      <c r="S134" s="690" t="str">
        <f>IF(CampList[[#This Row],[HH]]&gt;0,CampList[[#This Row],[Total]]/CampList[[#This Row],[HH]],"NA")</f>
        <v>NA</v>
      </c>
      <c r="T134" s="664" t="s">
        <v>511</v>
      </c>
      <c r="U134" s="699" t="s">
        <v>1191</v>
      </c>
      <c r="V134" s="664" t="s">
        <v>554</v>
      </c>
      <c r="W134" s="699"/>
      <c r="X134" s="719"/>
      <c r="Y134" s="710"/>
      <c r="Z134" s="720"/>
      <c r="AA134" s="704"/>
      <c r="AB134" s="693"/>
      <c r="AC134" s="694">
        <v>41712</v>
      </c>
      <c r="AD134" s="686" t="s">
        <v>1023</v>
      </c>
      <c r="AE134" s="721" t="s">
        <v>1007</v>
      </c>
      <c r="AF134" s="483">
        <f>IF(CampList[[#This Row],[Type of Accomodation]]="camp",MAX(0,CampList[[#This Row],[HH]]-SUMIF(Table_Shelter[Pcode],CampList[[#This Row],[CP_Pcode]],Table_Shelter[HH Covered])),0)</f>
        <v>0</v>
      </c>
      <c r="AG134" s="664"/>
      <c r="AH134" s="693">
        <f>MIN(CampList[[#This Row],[Shelter Gap]],CampList[[#This Row],[Land Status]])</f>
        <v>0</v>
      </c>
      <c r="AI134" s="664" t="str">
        <f ca="1">IFERROR(OFFSET(DistanceToCamp[Nearest Town],MATCH(CampList[[#This Row],[CP_Pcode]],DistanceToCamp[CP_Pcode],0)-1,0,1,1),"")</f>
        <v/>
      </c>
      <c r="AJ134" s="697" t="str">
        <f ca="1">IFERROR(OFFSET(DistanceToCamp[distance],MATCH(CampList[[#This Row],[CP_Pcode]],DistanceToCamp[CP_Pcode],0)-1,0,1,1),"")</f>
        <v/>
      </c>
      <c r="AK134" s="698" t="str">
        <f ca="1">IFERROR(INT(CampList[[#This Row],[Distance]]/5)+1,"")</f>
        <v/>
      </c>
    </row>
    <row r="135" spans="1:37" s="445" customFormat="1" ht="15.75" customHeight="1" x14ac:dyDescent="0.25">
      <c r="A135" s="717" t="s">
        <v>500</v>
      </c>
      <c r="B135" s="662" t="s">
        <v>380</v>
      </c>
      <c r="C135" s="662" t="s">
        <v>525</v>
      </c>
      <c r="D135" s="662" t="s">
        <v>5</v>
      </c>
      <c r="E135" s="662" t="s">
        <v>529</v>
      </c>
      <c r="F135" s="662" t="s">
        <v>302</v>
      </c>
      <c r="G135" s="662" t="s">
        <v>540</v>
      </c>
      <c r="H135" s="662"/>
      <c r="I135" s="662"/>
      <c r="J135" s="662"/>
      <c r="K135" s="662"/>
      <c r="L135" s="662" t="s">
        <v>304</v>
      </c>
      <c r="M135" s="662" t="s">
        <v>303</v>
      </c>
      <c r="N135" s="687"/>
      <c r="O135" s="687"/>
      <c r="P135" s="711"/>
      <c r="Q135" s="705">
        <v>375</v>
      </c>
      <c r="R135" s="706">
        <v>1691</v>
      </c>
      <c r="S135" s="690">
        <f>IF(CampList[[#This Row],[HH]]&gt;0,CampList[[#This Row],[Total]]/CampList[[#This Row],[HH]],"NA")</f>
        <v>4.5093333333333332</v>
      </c>
      <c r="T135" s="664" t="s">
        <v>513</v>
      </c>
      <c r="U135" s="664" t="s">
        <v>1191</v>
      </c>
      <c r="V135" s="664" t="s">
        <v>12</v>
      </c>
      <c r="W135" s="664" t="s">
        <v>856</v>
      </c>
      <c r="X135" s="712">
        <v>41701</v>
      </c>
      <c r="Y135" s="711"/>
      <c r="Z135" s="693"/>
      <c r="AA135" s="704" t="s">
        <v>572</v>
      </c>
      <c r="AB135" s="693"/>
      <c r="AC135" s="694">
        <v>41701</v>
      </c>
      <c r="AD135" s="686" t="s">
        <v>1011</v>
      </c>
      <c r="AE135" s="721" t="s">
        <v>1093</v>
      </c>
      <c r="AF135" s="483">
        <f>IF(CampList[[#This Row],[Type of Accomodation]]="camp",MAX(0,CampList[[#This Row],[HH]]-SUMIF(Table_Shelter[Pcode],CampList[[#This Row],[CP_Pcode]],Table_Shelter[HH Covered])),0)</f>
        <v>0</v>
      </c>
      <c r="AG135" s="664"/>
      <c r="AH135" s="693">
        <f>MIN(CampList[[#This Row],[Shelter Gap]],CampList[[#This Row],[Land Status]])</f>
        <v>0</v>
      </c>
      <c r="AI135" s="664" t="str">
        <f ca="1">IFERROR(OFFSET(DistanceToCamp[Nearest Town],MATCH(CampList[[#This Row],[CP_Pcode]],DistanceToCamp[CP_Pcode],0)-1,0,1,1),"")</f>
        <v/>
      </c>
      <c r="AJ135" s="697" t="str">
        <f ca="1">IFERROR(OFFSET(DistanceToCamp[distance],MATCH(CampList[[#This Row],[CP_Pcode]],DistanceToCamp[CP_Pcode],0)-1,0,1,1),"")</f>
        <v/>
      </c>
      <c r="AK135" s="698" t="str">
        <f ca="1">IFERROR(INT(CampList[[#This Row],[Distance]]/5)+1,"")</f>
        <v/>
      </c>
    </row>
    <row r="136" spans="1:37" s="445" customFormat="1" ht="15.75" customHeight="1" x14ac:dyDescent="0.25">
      <c r="A136" s="686" t="s">
        <v>500</v>
      </c>
      <c r="B136" s="662" t="s">
        <v>380</v>
      </c>
      <c r="C136" s="662" t="s">
        <v>525</v>
      </c>
      <c r="D136" s="662" t="s">
        <v>180</v>
      </c>
      <c r="E136" s="662" t="s">
        <v>526</v>
      </c>
      <c r="F136" s="662" t="s">
        <v>527</v>
      </c>
      <c r="G136" s="662" t="s">
        <v>528</v>
      </c>
      <c r="H136" s="662" t="s">
        <v>1130</v>
      </c>
      <c r="I136" s="662" t="s">
        <v>1253</v>
      </c>
      <c r="J136" s="662" t="s">
        <v>1372</v>
      </c>
      <c r="K136" s="716">
        <v>220512</v>
      </c>
      <c r="L136" s="662" t="s">
        <v>88</v>
      </c>
      <c r="M136" s="662" t="s">
        <v>87</v>
      </c>
      <c r="N136" s="687">
        <v>96.705960000000005</v>
      </c>
      <c r="O136" s="687">
        <v>25.51352</v>
      </c>
      <c r="P136" s="688">
        <v>0</v>
      </c>
      <c r="Q136" s="689">
        <v>13</v>
      </c>
      <c r="R136" s="689">
        <v>46</v>
      </c>
      <c r="S136" s="690">
        <f>IF(CampList[[#This Row],[HH]]&gt;0,CampList[[#This Row],[Total]]/CampList[[#This Row],[HH]],"NA")</f>
        <v>3.5384615384615383</v>
      </c>
      <c r="T136" s="664" t="s">
        <v>511</v>
      </c>
      <c r="U136" s="664" t="s">
        <v>1191</v>
      </c>
      <c r="V136" s="664" t="s">
        <v>554</v>
      </c>
      <c r="W136" s="664" t="s">
        <v>803</v>
      </c>
      <c r="X136" s="691">
        <v>41183</v>
      </c>
      <c r="Y136" s="692">
        <v>1</v>
      </c>
      <c r="Z136" s="691" t="s">
        <v>460</v>
      </c>
      <c r="AA136" s="704" t="s">
        <v>842</v>
      </c>
      <c r="AB136" s="693"/>
      <c r="AC136" s="694">
        <v>42745</v>
      </c>
      <c r="AD136" s="686" t="s">
        <v>1478</v>
      </c>
      <c r="AE136" s="696" t="s">
        <v>1093</v>
      </c>
      <c r="AF136" s="483">
        <f>IF(CampList[[#This Row],[Type of Accomodation]]="camp",MAX(0,CampList[[#This Row],[HH]]-SUMIF(Table_Shelter[Pcode],CampList[[#This Row],[CP_Pcode]],Table_Shelter[HH Covered])),0)</f>
        <v>13</v>
      </c>
      <c r="AG136" s="664"/>
      <c r="AH136" s="693">
        <f>MIN(CampList[[#This Row],[Shelter Gap]],CampList[[#This Row],[Land Status]])</f>
        <v>13</v>
      </c>
      <c r="AI136" s="664" t="str">
        <f ca="1">IFERROR(OFFSET(DistanceToCamp[Nearest Town],MATCH(CampList[[#This Row],[CP_Pcode]],DistanceToCamp[CP_Pcode],0)-1,0,1,1),"")</f>
        <v>Kamaing Town</v>
      </c>
      <c r="AJ136" s="697">
        <f ca="1">IFERROR(OFFSET(DistanceToCamp[distance],MATCH(CampList[[#This Row],[CP_Pcode]],DistanceToCamp[CP_Pcode],0)-1,0,1,1),"")</f>
        <v>1.1537462444167914</v>
      </c>
      <c r="AK136" s="698">
        <f ca="1">IFERROR(INT(CampList[[#This Row],[Distance]]/5)+1,"")</f>
        <v>1</v>
      </c>
    </row>
    <row r="137" spans="1:37" s="445" customFormat="1" ht="15.75" customHeight="1" x14ac:dyDescent="0.25">
      <c r="A137" s="717" t="s">
        <v>500</v>
      </c>
      <c r="B137" s="662" t="s">
        <v>380</v>
      </c>
      <c r="C137" s="662" t="s">
        <v>525</v>
      </c>
      <c r="D137" s="662" t="s">
        <v>237</v>
      </c>
      <c r="E137" s="662" t="s">
        <v>531</v>
      </c>
      <c r="F137" s="662" t="s">
        <v>310</v>
      </c>
      <c r="G137" s="662" t="s">
        <v>532</v>
      </c>
      <c r="H137" s="662" t="s">
        <v>764</v>
      </c>
      <c r="I137" s="662" t="s">
        <v>765</v>
      </c>
      <c r="J137" s="662" t="s">
        <v>802</v>
      </c>
      <c r="K137" s="662">
        <v>165816</v>
      </c>
      <c r="L137" s="662" t="s">
        <v>340</v>
      </c>
      <c r="M137" s="662" t="s">
        <v>339</v>
      </c>
      <c r="N137" s="687">
        <v>97.718008999999995</v>
      </c>
      <c r="O137" s="687">
        <v>25.108011999999999</v>
      </c>
      <c r="P137" s="711"/>
      <c r="Q137" s="705">
        <v>355</v>
      </c>
      <c r="R137" s="706">
        <v>4450</v>
      </c>
      <c r="S137" s="690">
        <f>IF(CampList[[#This Row],[HH]]&gt;0,CampList[[#This Row],[Total]]/CampList[[#This Row],[HH]],"NA")</f>
        <v>12.535211267605634</v>
      </c>
      <c r="T137" s="664" t="s">
        <v>513</v>
      </c>
      <c r="U137" s="664" t="s">
        <v>1236</v>
      </c>
      <c r="V137" s="729" t="s">
        <v>1235</v>
      </c>
      <c r="W137" s="664" t="s">
        <v>803</v>
      </c>
      <c r="X137" s="712"/>
      <c r="Y137" s="711"/>
      <c r="Z137" s="693"/>
      <c r="AA137" s="704" t="s">
        <v>572</v>
      </c>
      <c r="AB137" s="693"/>
      <c r="AC137" s="694">
        <v>41803</v>
      </c>
      <c r="AD137" s="686" t="s">
        <v>1234</v>
      </c>
      <c r="AE137" s="721" t="s">
        <v>1093</v>
      </c>
      <c r="AF137" s="483">
        <f>IF(CampList[[#This Row],[Type of Accomodation]]="camp",MAX(0,CampList[[#This Row],[HH]]-SUMIF(Table_Shelter[Pcode],CampList[[#This Row],[CP_Pcode]],Table_Shelter[HH Covered])),0)</f>
        <v>0</v>
      </c>
      <c r="AG137" s="664"/>
      <c r="AH137" s="693">
        <f>MIN(CampList[[#This Row],[Shelter Gap]],CampList[[#This Row],[Land Status]])</f>
        <v>0</v>
      </c>
      <c r="AI137" s="664" t="str">
        <f ca="1">IFERROR(OFFSET(DistanceToCamp[Nearest Town],MATCH(CampList[[#This Row],[CP_Pcode]],DistanceToCamp[CP_Pcode],0)-1,0,1,1),"")</f>
        <v>Sadung Town</v>
      </c>
      <c r="AJ137" s="697">
        <f ca="1">IFERROR(OFFSET(DistanceToCamp[distance],MATCH(CampList[[#This Row],[CP_Pcode]],DistanceToCamp[CP_Pcode],0)-1,0,1,1),"")</f>
        <v>34.344689881690819</v>
      </c>
      <c r="AK137" s="698">
        <f ca="1">IFERROR(INT(CampList[[#This Row],[Distance]]/5)+1,"")</f>
        <v>7</v>
      </c>
    </row>
    <row r="138" spans="1:37" s="445" customFormat="1" ht="15.75" customHeight="1" x14ac:dyDescent="0.25">
      <c r="A138" s="686" t="s">
        <v>500</v>
      </c>
      <c r="B138" s="662" t="s">
        <v>380</v>
      </c>
      <c r="C138" s="662" t="s">
        <v>525</v>
      </c>
      <c r="D138" s="662" t="s">
        <v>180</v>
      </c>
      <c r="E138" s="662" t="s">
        <v>526</v>
      </c>
      <c r="F138" s="662" t="s">
        <v>180</v>
      </c>
      <c r="G138" s="662" t="s">
        <v>551</v>
      </c>
      <c r="H138" s="662" t="s">
        <v>616</v>
      </c>
      <c r="I138" s="662" t="s">
        <v>617</v>
      </c>
      <c r="J138" s="662" t="s">
        <v>934</v>
      </c>
      <c r="K138" s="662"/>
      <c r="L138" s="662" t="s">
        <v>287</v>
      </c>
      <c r="M138" s="662" t="s">
        <v>286</v>
      </c>
      <c r="N138" s="687">
        <v>96.364949999999993</v>
      </c>
      <c r="O138" s="687">
        <v>24.998349999999999</v>
      </c>
      <c r="P138" s="688"/>
      <c r="Q138" s="689">
        <v>10</v>
      </c>
      <c r="R138" s="689">
        <v>60</v>
      </c>
      <c r="S138" s="690">
        <f>IF(CampList[[#This Row],[HH]]&gt;0,CampList[[#This Row],[Total]]/CampList[[#This Row],[HH]],"NA")</f>
        <v>6</v>
      </c>
      <c r="T138" s="664" t="s">
        <v>511</v>
      </c>
      <c r="U138" s="664" t="s">
        <v>1191</v>
      </c>
      <c r="V138" s="664" t="s">
        <v>554</v>
      </c>
      <c r="W138" s="664" t="s">
        <v>856</v>
      </c>
      <c r="X138" s="691">
        <v>40940</v>
      </c>
      <c r="Y138" s="692">
        <v>1</v>
      </c>
      <c r="Z138" s="691" t="s">
        <v>460</v>
      </c>
      <c r="AA138" s="693" t="s">
        <v>842</v>
      </c>
      <c r="AB138" s="693"/>
      <c r="AC138" s="694">
        <v>42745</v>
      </c>
      <c r="AD138" s="695" t="s">
        <v>1508</v>
      </c>
      <c r="AE138" s="696" t="s">
        <v>1093</v>
      </c>
      <c r="AF138" s="483">
        <f>IF(CampList[[#This Row],[Type of Accomodation]]="camp",MAX(0,CampList[[#This Row],[HH]]-SUMIF(Table_Shelter[Pcode],CampList[[#This Row],[CP_Pcode]],Table_Shelter[HH Covered])),0)</f>
        <v>0</v>
      </c>
      <c r="AG138" s="664"/>
      <c r="AH138" s="693">
        <f>MIN(CampList[[#This Row],[Shelter Gap]],CampList[[#This Row],[Land Status]])</f>
        <v>0</v>
      </c>
      <c r="AI138" s="664" t="str">
        <f ca="1">IFERROR(OFFSET(DistanceToCamp[Nearest Town],MATCH(CampList[[#This Row],[CP_Pcode]],DistanceToCamp[CP_Pcode],0)-1,0,1,1),"")</f>
        <v>Hopin Town</v>
      </c>
      <c r="AJ138" s="697">
        <f ca="1">IFERROR(OFFSET(DistanceToCamp[distance],MATCH(CampList[[#This Row],[CP_Pcode]],DistanceToCamp[CP_Pcode],0)-1,0,1,1),"")</f>
        <v>16.668825701583572</v>
      </c>
      <c r="AK138" s="698">
        <f ca="1">IFERROR(INT(CampList[[#This Row],[Distance]]/5)+1,"")</f>
        <v>4</v>
      </c>
    </row>
    <row r="139" spans="1:37" s="445" customFormat="1" ht="15.75" hidden="1" customHeight="1" x14ac:dyDescent="0.25">
      <c r="A139" s="686" t="s">
        <v>843</v>
      </c>
      <c r="B139" s="662" t="s">
        <v>380</v>
      </c>
      <c r="C139" s="662" t="s">
        <v>525</v>
      </c>
      <c r="D139" s="662" t="s">
        <v>5</v>
      </c>
      <c r="E139" s="662" t="s">
        <v>529</v>
      </c>
      <c r="F139" s="662" t="s">
        <v>5</v>
      </c>
      <c r="G139" s="662" t="s">
        <v>530</v>
      </c>
      <c r="H139" s="662"/>
      <c r="I139" s="662"/>
      <c r="J139" s="662"/>
      <c r="K139" s="662"/>
      <c r="L139" s="662" t="s">
        <v>10</v>
      </c>
      <c r="M139" s="662" t="s">
        <v>9</v>
      </c>
      <c r="N139" s="687"/>
      <c r="O139" s="687"/>
      <c r="P139" s="710"/>
      <c r="Q139" s="705">
        <v>0</v>
      </c>
      <c r="R139" s="706">
        <v>0</v>
      </c>
      <c r="S139" s="690" t="str">
        <f>IF(CampList[[#This Row],[HH]]&gt;0,CampList[[#This Row],[Total]]/CampList[[#This Row],[HH]],"NA")</f>
        <v>NA</v>
      </c>
      <c r="T139" s="664" t="s">
        <v>511</v>
      </c>
      <c r="U139" s="699" t="s">
        <v>1191</v>
      </c>
      <c r="V139" s="725" t="s">
        <v>12</v>
      </c>
      <c r="W139" s="699"/>
      <c r="X139" s="719"/>
      <c r="Y139" s="710"/>
      <c r="Z139" s="720"/>
      <c r="AA139" s="724"/>
      <c r="AB139" s="693" t="s">
        <v>1250</v>
      </c>
      <c r="AC139" s="730">
        <v>41666</v>
      </c>
      <c r="AD139" s="695" t="s">
        <v>939</v>
      </c>
      <c r="AE139" s="721" t="s">
        <v>1007</v>
      </c>
      <c r="AF139" s="483">
        <f>IF(CampList[[#This Row],[Type of Accomodation]]="camp",MAX(0,CampList[[#This Row],[HH]]-SUMIF(Table_Shelter[Pcode],CampList[[#This Row],[CP_Pcode]],Table_Shelter[HH Covered])),0)</f>
        <v>0</v>
      </c>
      <c r="AG139" s="664"/>
      <c r="AH139" s="693">
        <f>MIN(CampList[[#This Row],[Shelter Gap]],CampList[[#This Row],[Land Status]])</f>
        <v>0</v>
      </c>
      <c r="AI139" s="664" t="str">
        <f ca="1">IFERROR(OFFSET(DistanceToCamp[Nearest Town],MATCH(CampList[[#This Row],[CP_Pcode]],DistanceToCamp[CP_Pcode],0)-1,0,1,1),"")</f>
        <v/>
      </c>
      <c r="AJ139" s="697" t="str">
        <f ca="1">IFERROR(OFFSET(DistanceToCamp[distance],MATCH(CampList[[#This Row],[CP_Pcode]],DistanceToCamp[CP_Pcode],0)-1,0,1,1),"")</f>
        <v/>
      </c>
      <c r="AK139" s="698" t="str">
        <f ca="1">IFERROR(INT(CampList[[#This Row],[Distance]]/5)+1,"")</f>
        <v/>
      </c>
    </row>
    <row r="140" spans="1:37" s="445" customFormat="1" ht="15.75" customHeight="1" x14ac:dyDescent="0.25">
      <c r="A140" s="722" t="s">
        <v>500</v>
      </c>
      <c r="B140" s="663" t="s">
        <v>380</v>
      </c>
      <c r="C140" s="663" t="s">
        <v>525</v>
      </c>
      <c r="D140" s="663" t="s">
        <v>237</v>
      </c>
      <c r="E140" s="663" t="s">
        <v>531</v>
      </c>
      <c r="F140" s="663" t="s">
        <v>310</v>
      </c>
      <c r="G140" s="663" t="s">
        <v>532</v>
      </c>
      <c r="H140" s="702" t="s">
        <v>770</v>
      </c>
      <c r="I140" s="702" t="s">
        <v>769</v>
      </c>
      <c r="J140" s="702" t="s">
        <v>770</v>
      </c>
      <c r="K140" s="702">
        <v>165895</v>
      </c>
      <c r="L140" s="663" t="s">
        <v>355</v>
      </c>
      <c r="M140" s="663" t="s">
        <v>354</v>
      </c>
      <c r="N140" s="689">
        <v>97.990555999999998</v>
      </c>
      <c r="O140" s="689">
        <v>25.265277999999999</v>
      </c>
      <c r="P140" s="711">
        <v>2764</v>
      </c>
      <c r="Q140" s="689">
        <v>98</v>
      </c>
      <c r="R140" s="689">
        <v>563</v>
      </c>
      <c r="S140" s="690">
        <f>IF(CampList[[#This Row],[HH]]&gt;0,CampList[[#This Row],[Total]]/CampList[[#This Row],[HH]],"NA")</f>
        <v>5.7448979591836737</v>
      </c>
      <c r="T140" s="483" t="s">
        <v>513</v>
      </c>
      <c r="U140" s="664" t="s">
        <v>1191</v>
      </c>
      <c r="V140" s="483" t="s">
        <v>554</v>
      </c>
      <c r="W140" s="483" t="s">
        <v>857</v>
      </c>
      <c r="X140" s="712">
        <v>40848</v>
      </c>
      <c r="Y140" s="711">
        <v>2</v>
      </c>
      <c r="Z140" s="711" t="s">
        <v>1090</v>
      </c>
      <c r="AA140" s="689" t="s">
        <v>842</v>
      </c>
      <c r="AB140" s="689"/>
      <c r="AC140" s="694">
        <v>42745</v>
      </c>
      <c r="AD140" s="713" t="s">
        <v>1556</v>
      </c>
      <c r="AE140" s="696" t="s">
        <v>1077</v>
      </c>
      <c r="AF140" s="714">
        <f>IF(CampList[[#This Row],[Type of Accomodation]]="camp",MAX(0,CampList[[#This Row],[HH]]-SUMIF(Table_Shelter[Pcode],CampList[[#This Row],[CP_Pcode]],Table_Shelter[HH Covered])),0)</f>
        <v>33</v>
      </c>
      <c r="AG140" s="483"/>
      <c r="AH140" s="688">
        <f>MIN(CampList[[#This Row],[Shelter Gap]],CampList[[#This Row],[Land Status]])</f>
        <v>33</v>
      </c>
      <c r="AI140" s="714" t="str">
        <f ca="1">IFERROR(OFFSET(DistanceToCamp[Nearest Town],MATCH(CampList[[#This Row],[CP_Pcode]],DistanceToCamp[CP_Pcode],0)-1,0,1,1),"")</f>
        <v>Sadung Town</v>
      </c>
      <c r="AJ140" s="697">
        <f ca="1">IFERROR(OFFSET(DistanceToCamp[distance],MATCH(CampList[[#This Row],[CP_Pcode]],DistanceToCamp[CP_Pcode],0)-1,0,1,1),"")</f>
        <v>17.035515422123492</v>
      </c>
      <c r="AK140" s="715">
        <f ca="1">IFERROR(INT(CampList[[#This Row],[Distance]]/5)+1,"")</f>
        <v>4</v>
      </c>
    </row>
    <row r="141" spans="1:37" s="445" customFormat="1" ht="15.75" customHeight="1" x14ac:dyDescent="0.25">
      <c r="A141" s="708" t="s">
        <v>500</v>
      </c>
      <c r="B141" s="663" t="s">
        <v>380</v>
      </c>
      <c r="C141" s="663" t="s">
        <v>525</v>
      </c>
      <c r="D141" s="663" t="s">
        <v>237</v>
      </c>
      <c r="E141" s="663" t="s">
        <v>531</v>
      </c>
      <c r="F141" s="663" t="s">
        <v>237</v>
      </c>
      <c r="G141" s="663" t="s">
        <v>535</v>
      </c>
      <c r="H141" s="663" t="s">
        <v>709</v>
      </c>
      <c r="I141" s="709" t="s">
        <v>710</v>
      </c>
      <c r="J141" s="663" t="s">
        <v>711</v>
      </c>
      <c r="K141" s="663">
        <v>165685</v>
      </c>
      <c r="L141" s="663" t="s">
        <v>273</v>
      </c>
      <c r="M141" s="663" t="s">
        <v>272</v>
      </c>
      <c r="N141" s="689">
        <v>97.4345</v>
      </c>
      <c r="O141" s="689">
        <v>25.493819999999999</v>
      </c>
      <c r="P141" s="711"/>
      <c r="Q141" s="689">
        <v>46</v>
      </c>
      <c r="R141" s="711">
        <v>278</v>
      </c>
      <c r="S141" s="690">
        <f>IF(CampList[[#This Row],[HH]]&gt;0,CampList[[#This Row],[Total]]/CampList[[#This Row],[HH]],"NA")</f>
        <v>6.0434782608695654</v>
      </c>
      <c r="T141" s="483" t="s">
        <v>511</v>
      </c>
      <c r="U141" s="664" t="s">
        <v>1191</v>
      </c>
      <c r="V141" s="483" t="s">
        <v>554</v>
      </c>
      <c r="W141" s="483" t="s">
        <v>803</v>
      </c>
      <c r="X141" s="712">
        <v>41244</v>
      </c>
      <c r="Y141" s="711"/>
      <c r="Z141" s="711" t="s">
        <v>1090</v>
      </c>
      <c r="AA141" s="689" t="s">
        <v>842</v>
      </c>
      <c r="AB141" s="689"/>
      <c r="AC141" s="694">
        <v>42745</v>
      </c>
      <c r="AD141" s="713" t="s">
        <v>1557</v>
      </c>
      <c r="AE141" s="696" t="s">
        <v>1093</v>
      </c>
      <c r="AF141" s="714">
        <f>IF(CampList[[#This Row],[Type of Accomodation]]="camp",MAX(0,CampList[[#This Row],[HH]]-SUMIF(Table_Shelter[Pcode],CampList[[#This Row],[CP_Pcode]],Table_Shelter[HH Covered])),0)</f>
        <v>2</v>
      </c>
      <c r="AG141" s="483"/>
      <c r="AH141" s="688">
        <f>MIN(CampList[[#This Row],[Shelter Gap]],CampList[[#This Row],[Land Status]])</f>
        <v>2</v>
      </c>
      <c r="AI141" s="714" t="str">
        <f ca="1">IFERROR(OFFSET(DistanceToCamp[Nearest Town],MATCH(CampList[[#This Row],[CP_Pcode]],DistanceToCamp[CP_Pcode],0)-1,0,1,1),"")</f>
        <v>Myitkyina Town</v>
      </c>
      <c r="AJ141" s="697">
        <f ca="1">IFERROR(OFFSET(DistanceToCamp[distance],MATCH(CampList[[#This Row],[CP_Pcode]],DistanceToCamp[CP_Pcode],0)-1,0,1,1),"")</f>
        <v>12.627188913244609</v>
      </c>
      <c r="AK141" s="715">
        <f ca="1">IFERROR(INT(CampList[[#This Row],[Distance]]/5)+1,"")</f>
        <v>3</v>
      </c>
    </row>
    <row r="142" spans="1:37" s="445" customFormat="1" ht="15.75" customHeight="1" x14ac:dyDescent="0.25">
      <c r="A142" s="686" t="s">
        <v>500</v>
      </c>
      <c r="B142" s="662" t="s">
        <v>380</v>
      </c>
      <c r="C142" s="662" t="s">
        <v>525</v>
      </c>
      <c r="D142" s="662" t="s">
        <v>5</v>
      </c>
      <c r="E142" s="662" t="s">
        <v>529</v>
      </c>
      <c r="F142" s="662" t="s">
        <v>5</v>
      </c>
      <c r="G142" s="662" t="s">
        <v>530</v>
      </c>
      <c r="H142" s="695" t="s">
        <v>637</v>
      </c>
      <c r="I142" s="695" t="s">
        <v>638</v>
      </c>
      <c r="J142" s="662"/>
      <c r="K142" s="662"/>
      <c r="L142" s="662" t="s">
        <v>12</v>
      </c>
      <c r="M142" s="662" t="s">
        <v>11</v>
      </c>
      <c r="N142" s="687">
        <v>97.228835000000004</v>
      </c>
      <c r="O142" s="687">
        <v>24.263786</v>
      </c>
      <c r="P142" s="711"/>
      <c r="Q142" s="705">
        <v>211</v>
      </c>
      <c r="R142" s="706">
        <v>989</v>
      </c>
      <c r="S142" s="690">
        <f>IF(CampList[[#This Row],[HH]]&gt;0,CampList[[#This Row],[Total]]/CampList[[#This Row],[HH]],"NA")</f>
        <v>4.6872037914691944</v>
      </c>
      <c r="T142" s="664" t="s">
        <v>511</v>
      </c>
      <c r="U142" s="664" t="s">
        <v>1191</v>
      </c>
      <c r="V142" s="725" t="s">
        <v>12</v>
      </c>
      <c r="W142" s="664" t="s">
        <v>803</v>
      </c>
      <c r="X142" s="712"/>
      <c r="Y142" s="711"/>
      <c r="Z142" s="693"/>
      <c r="AA142" s="704" t="s">
        <v>842</v>
      </c>
      <c r="AB142" s="693"/>
      <c r="AC142" s="730">
        <v>42317</v>
      </c>
      <c r="AD142" s="686" t="s">
        <v>1318</v>
      </c>
      <c r="AE142" s="721" t="s">
        <v>1093</v>
      </c>
      <c r="AF142" s="483">
        <f>IF(CampList[[#This Row],[Type of Accomodation]]="camp",MAX(0,CampList[[#This Row],[HH]]-SUMIF(Table_Shelter[Pcode],CampList[[#This Row],[CP_Pcode]],Table_Shelter[HH Covered])),0)</f>
        <v>0</v>
      </c>
      <c r="AG142" s="664"/>
      <c r="AH142" s="693">
        <f>MIN(CampList[[#This Row],[Shelter Gap]],CampList[[#This Row],[Land Status]])</f>
        <v>0</v>
      </c>
      <c r="AI142" s="664" t="str">
        <f ca="1">IFERROR(OFFSET(DistanceToCamp[Nearest Town],MATCH(CampList[[#This Row],[CP_Pcode]],DistanceToCamp[CP_Pcode],0)-1,0,1,1),"")</f>
        <v>Bhamo Town</v>
      </c>
      <c r="AJ142" s="697">
        <f ca="1">IFERROR(OFFSET(DistanceToCamp[distance],MATCH(CampList[[#This Row],[CP_Pcode]],DistanceToCamp[CP_Pcode],0)-1,0,1,1),"")</f>
        <v>1.1354007641426449</v>
      </c>
      <c r="AK142" s="698">
        <f ca="1">IFERROR(INT(CampList[[#This Row],[Distance]]/5)+1,"")</f>
        <v>1</v>
      </c>
    </row>
    <row r="143" spans="1:37" s="445" customFormat="1" ht="15.75" customHeight="1" x14ac:dyDescent="0.25">
      <c r="A143" s="686" t="s">
        <v>500</v>
      </c>
      <c r="B143" s="662" t="s">
        <v>380</v>
      </c>
      <c r="C143" s="662" t="s">
        <v>525</v>
      </c>
      <c r="D143" s="662" t="s">
        <v>180</v>
      </c>
      <c r="E143" s="662" t="s">
        <v>526</v>
      </c>
      <c r="F143" s="662" t="s">
        <v>527</v>
      </c>
      <c r="G143" s="662" t="s">
        <v>528</v>
      </c>
      <c r="H143" s="662" t="s">
        <v>603</v>
      </c>
      <c r="I143" s="662" t="s">
        <v>604</v>
      </c>
      <c r="J143" s="662" t="s">
        <v>607</v>
      </c>
      <c r="K143" s="662" t="s">
        <v>608</v>
      </c>
      <c r="L143" s="662" t="s">
        <v>92</v>
      </c>
      <c r="M143" s="662" t="s">
        <v>91</v>
      </c>
      <c r="N143" s="687">
        <v>96.316400000000002</v>
      </c>
      <c r="O143" s="687">
        <v>25.61842</v>
      </c>
      <c r="P143" s="688">
        <v>250</v>
      </c>
      <c r="Q143" s="55">
        <v>15</v>
      </c>
      <c r="R143" s="98">
        <v>73</v>
      </c>
      <c r="S143" s="690">
        <f>IF(CampList[[#This Row],[HH]]&gt;0,CampList[[#This Row],[Total]]/CampList[[#This Row],[HH]],"NA")</f>
        <v>4.8666666666666663</v>
      </c>
      <c r="T143" s="664" t="s">
        <v>511</v>
      </c>
      <c r="U143" s="664" t="s">
        <v>1191</v>
      </c>
      <c r="V143" s="664" t="s">
        <v>554</v>
      </c>
      <c r="W143" s="664" t="s">
        <v>803</v>
      </c>
      <c r="X143" s="691">
        <v>41275</v>
      </c>
      <c r="Y143" s="692">
        <v>1</v>
      </c>
      <c r="Z143" s="691" t="s">
        <v>505</v>
      </c>
      <c r="AA143" s="704" t="s">
        <v>842</v>
      </c>
      <c r="AB143" s="693"/>
      <c r="AC143" s="694">
        <v>42745</v>
      </c>
      <c r="AD143" s="686" t="s">
        <v>1570</v>
      </c>
      <c r="AE143" s="696" t="s">
        <v>1093</v>
      </c>
      <c r="AF143" s="483">
        <f>IF(CampList[[#This Row],[Type of Accomodation]]="camp",MAX(0,CampList[[#This Row],[HH]]-SUMIF(Table_Shelter[Pcode],CampList[[#This Row],[CP_Pcode]],Table_Shelter[HH Covered])),0)</f>
        <v>0</v>
      </c>
      <c r="AG143" s="664"/>
      <c r="AH143" s="693">
        <f>MIN(CampList[[#This Row],[Shelter Gap]],CampList[[#This Row],[Land Status]])</f>
        <v>0</v>
      </c>
      <c r="AI143" s="664" t="str">
        <f ca="1">IFERROR(OFFSET(DistanceToCamp[Nearest Town],MATCH(CampList[[#This Row],[CP_Pcode]],DistanceToCamp[CP_Pcode],0)-1,0,1,1),"")</f>
        <v>Hpakant Town</v>
      </c>
      <c r="AJ143" s="697">
        <f ca="1">IFERROR(OFFSET(DistanceToCamp[distance],MATCH(CampList[[#This Row],[CP_Pcode]],DistanceToCamp[CP_Pcode],0)-1,0,1,1),"")</f>
        <v>0.75842119772531946</v>
      </c>
      <c r="AK143" s="698">
        <f ca="1">IFERROR(INT(CampList[[#This Row],[Distance]]/5)+1,"")</f>
        <v>1</v>
      </c>
    </row>
    <row r="144" spans="1:37" s="445" customFormat="1" ht="15.75" customHeight="1" x14ac:dyDescent="0.25">
      <c r="A144" s="686" t="s">
        <v>500</v>
      </c>
      <c r="B144" s="662" t="s">
        <v>380</v>
      </c>
      <c r="C144" s="662" t="s">
        <v>525</v>
      </c>
      <c r="D144" s="662" t="s">
        <v>180</v>
      </c>
      <c r="E144" s="662" t="s">
        <v>526</v>
      </c>
      <c r="F144" s="662" t="s">
        <v>527</v>
      </c>
      <c r="G144" s="662" t="s">
        <v>528</v>
      </c>
      <c r="H144" s="695" t="s">
        <v>612</v>
      </c>
      <c r="I144" s="695" t="s">
        <v>613</v>
      </c>
      <c r="J144" s="695" t="s">
        <v>612</v>
      </c>
      <c r="K144" s="695">
        <v>166773</v>
      </c>
      <c r="L144" s="662" t="s">
        <v>120</v>
      </c>
      <c r="M144" s="662" t="s">
        <v>119</v>
      </c>
      <c r="N144" s="687">
        <v>96.353070000000002</v>
      </c>
      <c r="O144" s="687">
        <v>25.655819999999999</v>
      </c>
      <c r="P144" s="688">
        <v>317</v>
      </c>
      <c r="Q144" s="705">
        <v>77</v>
      </c>
      <c r="R144" s="706">
        <v>411</v>
      </c>
      <c r="S144" s="690">
        <f>IF(CampList[[#This Row],[HH]]&gt;0,CampList[[#This Row],[Total]]/CampList[[#This Row],[HH]],"NA")</f>
        <v>5.337662337662338</v>
      </c>
      <c r="T144" s="664" t="s">
        <v>511</v>
      </c>
      <c r="U144" s="664" t="s">
        <v>1191</v>
      </c>
      <c r="V144" s="664" t="s">
        <v>554</v>
      </c>
      <c r="W144" s="664" t="s">
        <v>856</v>
      </c>
      <c r="X144" s="691">
        <v>41275</v>
      </c>
      <c r="Y144" s="692"/>
      <c r="Z144" s="691" t="s">
        <v>1090</v>
      </c>
      <c r="AA144" s="704" t="s">
        <v>842</v>
      </c>
      <c r="AB144" s="693"/>
      <c r="AC144" s="694">
        <v>42745</v>
      </c>
      <c r="AD144" s="686" t="s">
        <v>1558</v>
      </c>
      <c r="AE144" s="696" t="s">
        <v>1093</v>
      </c>
      <c r="AF144" s="483">
        <f>IF(CampList[[#This Row],[Type of Accomodation]]="camp",MAX(0,CampList[[#This Row],[HH]]-SUMIF(Table_Shelter[Pcode],CampList[[#This Row],[CP_Pcode]],Table_Shelter[HH Covered])),0)</f>
        <v>65</v>
      </c>
      <c r="AG144" s="664"/>
      <c r="AH144" s="693">
        <f>MIN(CampList[[#This Row],[Shelter Gap]],CampList[[#This Row],[Land Status]])</f>
        <v>65</v>
      </c>
      <c r="AI144" s="664" t="str">
        <f ca="1">IFERROR(OFFSET(DistanceToCamp[Nearest Town],MATCH(CampList[[#This Row],[CP_Pcode]],DistanceToCamp[CP_Pcode],0)-1,0,1,1),"")</f>
        <v>Hpakant Town</v>
      </c>
      <c r="AJ144" s="697">
        <f ca="1">IFERROR(OFFSET(DistanceToCamp[distance],MATCH(CampList[[#This Row],[CP_Pcode]],DistanceToCamp[CP_Pcode],0)-1,0,1,1),"")</f>
        <v>6.3039408411778268</v>
      </c>
      <c r="AK144" s="698">
        <f ca="1">IFERROR(INT(CampList[[#This Row],[Distance]]/5)+1,"")</f>
        <v>2</v>
      </c>
    </row>
    <row r="145" spans="1:37" s="445" customFormat="1" ht="15.75" customHeight="1" x14ac:dyDescent="0.25">
      <c r="A145" s="686" t="s">
        <v>500</v>
      </c>
      <c r="B145" s="662" t="s">
        <v>380</v>
      </c>
      <c r="C145" s="662" t="s">
        <v>525</v>
      </c>
      <c r="D145" s="662" t="s">
        <v>180</v>
      </c>
      <c r="E145" s="662" t="s">
        <v>526</v>
      </c>
      <c r="F145" s="662" t="s">
        <v>527</v>
      </c>
      <c r="G145" s="662" t="s">
        <v>528</v>
      </c>
      <c r="H145" s="695" t="s">
        <v>612</v>
      </c>
      <c r="I145" s="695" t="s">
        <v>613</v>
      </c>
      <c r="J145" s="695" t="s">
        <v>614</v>
      </c>
      <c r="K145" s="695">
        <v>166775</v>
      </c>
      <c r="L145" s="662" t="s">
        <v>52</v>
      </c>
      <c r="M145" s="662" t="s">
        <v>51</v>
      </c>
      <c r="N145" s="687">
        <v>96.346469999999997</v>
      </c>
      <c r="O145" s="687">
        <v>25.647649999999999</v>
      </c>
      <c r="P145" s="688">
        <v>0</v>
      </c>
      <c r="Q145" s="689">
        <v>38</v>
      </c>
      <c r="R145" s="689">
        <v>233</v>
      </c>
      <c r="S145" s="690">
        <f>IF(CampList[[#This Row],[HH]]&gt;0,CampList[[#This Row],[Total]]/CampList[[#This Row],[HH]],"NA")</f>
        <v>6.1315789473684212</v>
      </c>
      <c r="T145" s="664" t="s">
        <v>511</v>
      </c>
      <c r="U145" s="664" t="s">
        <v>1191</v>
      </c>
      <c r="V145" s="664" t="s">
        <v>554</v>
      </c>
      <c r="W145" s="664" t="s">
        <v>856</v>
      </c>
      <c r="X145" s="691">
        <v>41275</v>
      </c>
      <c r="Y145" s="692">
        <v>2</v>
      </c>
      <c r="Z145" s="691" t="s">
        <v>460</v>
      </c>
      <c r="AA145" s="704" t="s">
        <v>842</v>
      </c>
      <c r="AB145" s="693"/>
      <c r="AC145" s="694">
        <v>42745</v>
      </c>
      <c r="AD145" s="686" t="s">
        <v>1475</v>
      </c>
      <c r="AE145" s="696" t="s">
        <v>1093</v>
      </c>
      <c r="AF145" s="483">
        <f>IF(CampList[[#This Row],[Type of Accomodation]]="camp",MAX(0,CampList[[#This Row],[HH]]-SUMIF(Table_Shelter[Pcode],CampList[[#This Row],[CP_Pcode]],Table_Shelter[HH Covered])),0)</f>
        <v>18</v>
      </c>
      <c r="AG145" s="664"/>
      <c r="AH145" s="693">
        <f>MIN(CampList[[#This Row],[Shelter Gap]],CampList[[#This Row],[Land Status]])</f>
        <v>18</v>
      </c>
      <c r="AI145" s="664" t="str">
        <f ca="1">IFERROR(OFFSET(DistanceToCamp[Nearest Town],MATCH(CampList[[#This Row],[CP_Pcode]],DistanceToCamp[CP_Pcode],0)-1,0,1,1),"")</f>
        <v>Hpakant Town</v>
      </c>
      <c r="AJ145" s="697">
        <f ca="1">IFERROR(OFFSET(DistanceToCamp[distance],MATCH(CampList[[#This Row],[CP_Pcode]],DistanceToCamp[CP_Pcode],0)-1,0,1,1),"")</f>
        <v>5.184483270539272</v>
      </c>
      <c r="AK145" s="698">
        <f ca="1">IFERROR(INT(CampList[[#This Row],[Distance]]/5)+1,"")</f>
        <v>2</v>
      </c>
    </row>
    <row r="146" spans="1:37" s="445" customFormat="1" ht="15.75" hidden="1" customHeight="1" x14ac:dyDescent="0.25">
      <c r="A146" s="686" t="s">
        <v>843</v>
      </c>
      <c r="B146" s="662" t="s">
        <v>380</v>
      </c>
      <c r="C146" s="662" t="s">
        <v>525</v>
      </c>
      <c r="D146" s="662" t="s">
        <v>180</v>
      </c>
      <c r="E146" s="662" t="s">
        <v>526</v>
      </c>
      <c r="F146" s="662" t="s">
        <v>527</v>
      </c>
      <c r="G146" s="662" t="s">
        <v>528</v>
      </c>
      <c r="H146" s="695" t="s">
        <v>612</v>
      </c>
      <c r="I146" s="695" t="s">
        <v>613</v>
      </c>
      <c r="J146" s="695" t="s">
        <v>760</v>
      </c>
      <c r="K146" s="695">
        <v>216877</v>
      </c>
      <c r="L146" s="662" t="s">
        <v>48</v>
      </c>
      <c r="M146" s="662" t="s">
        <v>47</v>
      </c>
      <c r="N146" s="687">
        <v>96.339870000000005</v>
      </c>
      <c r="O146" s="687">
        <v>25.655989999999999</v>
      </c>
      <c r="P146" s="710"/>
      <c r="Q146" s="705">
        <v>0</v>
      </c>
      <c r="R146" s="706">
        <v>0</v>
      </c>
      <c r="S146" s="690" t="str">
        <f>IF(CampList[[#This Row],[HH]]&gt;0,CampList[[#This Row],[Total]]/CampList[[#This Row],[HH]],"NA")</f>
        <v>NA</v>
      </c>
      <c r="T146" s="664" t="s">
        <v>511</v>
      </c>
      <c r="U146" s="699" t="s">
        <v>1191</v>
      </c>
      <c r="V146" s="664" t="s">
        <v>554</v>
      </c>
      <c r="W146" s="699"/>
      <c r="X146" s="719"/>
      <c r="Y146" s="710"/>
      <c r="Z146" s="720"/>
      <c r="AA146" s="704"/>
      <c r="AB146" s="693"/>
      <c r="AC146" s="723"/>
      <c r="AD146" s="686" t="s">
        <v>601</v>
      </c>
      <c r="AE146" s="721" t="s">
        <v>1007</v>
      </c>
      <c r="AF146" s="483">
        <f>IF(CampList[[#This Row],[Type of Accomodation]]="camp",MAX(0,CampList[[#This Row],[HH]]-SUMIF(Table_Shelter[Pcode],CampList[[#This Row],[CP_Pcode]],Table_Shelter[HH Covered])),0)</f>
        <v>0</v>
      </c>
      <c r="AG146" s="664"/>
      <c r="AH146" s="693">
        <f>MIN(CampList[[#This Row],[Shelter Gap]],CampList[[#This Row],[Land Status]])</f>
        <v>0</v>
      </c>
      <c r="AI146" s="664" t="str">
        <f ca="1">IFERROR(OFFSET(DistanceToCamp[Nearest Town],MATCH(CampList[[#This Row],[CP_Pcode]],DistanceToCamp[CP_Pcode],0)-1,0,1,1),"")</f>
        <v/>
      </c>
      <c r="AJ146" s="697" t="str">
        <f ca="1">IFERROR(OFFSET(DistanceToCamp[distance],MATCH(CampList[[#This Row],[CP_Pcode]],DistanceToCamp[CP_Pcode],0)-1,0,1,1),"")</f>
        <v/>
      </c>
      <c r="AK146" s="698" t="str">
        <f ca="1">IFERROR(INT(CampList[[#This Row],[Distance]]/5)+1,"")</f>
        <v/>
      </c>
    </row>
    <row r="147" spans="1:37" s="445" customFormat="1" ht="15.75" hidden="1" customHeight="1" x14ac:dyDescent="0.25">
      <c r="A147" s="686" t="s">
        <v>843</v>
      </c>
      <c r="B147" s="662" t="s">
        <v>380</v>
      </c>
      <c r="C147" s="662" t="s">
        <v>525</v>
      </c>
      <c r="D147" s="662" t="s">
        <v>180</v>
      </c>
      <c r="E147" s="662" t="s">
        <v>526</v>
      </c>
      <c r="F147" s="662" t="s">
        <v>527</v>
      </c>
      <c r="G147" s="662" t="s">
        <v>528</v>
      </c>
      <c r="H147" s="695" t="s">
        <v>612</v>
      </c>
      <c r="I147" s="695" t="s">
        <v>613</v>
      </c>
      <c r="J147" s="695" t="s">
        <v>612</v>
      </c>
      <c r="K147" s="695">
        <v>166773</v>
      </c>
      <c r="L147" s="662" t="s">
        <v>128</v>
      </c>
      <c r="M147" s="662" t="s">
        <v>127</v>
      </c>
      <c r="N147" s="687">
        <v>96.359549999999999</v>
      </c>
      <c r="O147" s="687">
        <v>25.658650000000002</v>
      </c>
      <c r="P147" s="710"/>
      <c r="Q147" s="705">
        <v>0</v>
      </c>
      <c r="R147" s="706">
        <v>0</v>
      </c>
      <c r="S147" s="690" t="str">
        <f>IF(CampList[[#This Row],[HH]]&gt;0,CampList[[#This Row],[Total]]/CampList[[#This Row],[HH]],"NA")</f>
        <v>NA</v>
      </c>
      <c r="T147" s="664" t="s">
        <v>511</v>
      </c>
      <c r="U147" s="699" t="s">
        <v>1191</v>
      </c>
      <c r="V147" s="664" t="s">
        <v>554</v>
      </c>
      <c r="W147" s="699"/>
      <c r="X147" s="719"/>
      <c r="Y147" s="710"/>
      <c r="Z147" s="720"/>
      <c r="AA147" s="704"/>
      <c r="AB147" s="693"/>
      <c r="AC147" s="723"/>
      <c r="AD147" s="686" t="s">
        <v>601</v>
      </c>
      <c r="AE147" s="731" t="s">
        <v>1007</v>
      </c>
      <c r="AF147" s="483">
        <f>IF(CampList[[#This Row],[Type of Accomodation]]="camp",MAX(0,CampList[[#This Row],[HH]]-SUMIF(Table_Shelter[Pcode],CampList[[#This Row],[CP_Pcode]],Table_Shelter[HH Covered])),0)</f>
        <v>0</v>
      </c>
      <c r="AG147" s="664"/>
      <c r="AH147" s="693">
        <f>MIN(CampList[[#This Row],[Shelter Gap]],CampList[[#This Row],[Land Status]])</f>
        <v>0</v>
      </c>
      <c r="AI147" s="664" t="str">
        <f ca="1">IFERROR(OFFSET(DistanceToCamp[Nearest Town],MATCH(CampList[[#This Row],[CP_Pcode]],DistanceToCamp[CP_Pcode],0)-1,0,1,1),"")</f>
        <v/>
      </c>
      <c r="AJ147" s="697" t="str">
        <f ca="1">IFERROR(OFFSET(DistanceToCamp[distance],MATCH(CampList[[#This Row],[CP_Pcode]],DistanceToCamp[CP_Pcode],0)-1,0,1,1),"")</f>
        <v/>
      </c>
      <c r="AK147" s="698" t="str">
        <f ca="1">IFERROR(INT(CampList[[#This Row],[Distance]]/5)+1,"")</f>
        <v/>
      </c>
    </row>
    <row r="148" spans="1:37" s="445" customFormat="1" ht="15.75" hidden="1" customHeight="1" x14ac:dyDescent="0.25">
      <c r="A148" s="686" t="s">
        <v>843</v>
      </c>
      <c r="B148" s="662" t="s">
        <v>380</v>
      </c>
      <c r="C148" s="662" t="s">
        <v>525</v>
      </c>
      <c r="D148" s="662" t="s">
        <v>180</v>
      </c>
      <c r="E148" s="662" t="s">
        <v>526</v>
      </c>
      <c r="F148" s="662" t="s">
        <v>527</v>
      </c>
      <c r="G148" s="662" t="s">
        <v>528</v>
      </c>
      <c r="H148" s="695" t="s">
        <v>612</v>
      </c>
      <c r="I148" s="695" t="s">
        <v>613</v>
      </c>
      <c r="J148" s="695" t="s">
        <v>615</v>
      </c>
      <c r="K148" s="695">
        <v>216880</v>
      </c>
      <c r="L148" s="662" t="s">
        <v>60</v>
      </c>
      <c r="M148" s="662" t="s">
        <v>59</v>
      </c>
      <c r="N148" s="687">
        <v>96.353070000000002</v>
      </c>
      <c r="O148" s="687">
        <v>25.668469999999999</v>
      </c>
      <c r="P148" s="703">
        <v>256</v>
      </c>
      <c r="Q148" s="705">
        <v>0</v>
      </c>
      <c r="R148" s="706">
        <v>0</v>
      </c>
      <c r="S148" s="690" t="str">
        <f>IF(CampList[[#This Row],[HH]]&gt;0,CampList[[#This Row],[Total]]/CampList[[#This Row],[HH]],"NA")</f>
        <v>NA</v>
      </c>
      <c r="T148" s="664" t="s">
        <v>511</v>
      </c>
      <c r="U148" s="699" t="s">
        <v>1191</v>
      </c>
      <c r="V148" s="664" t="s">
        <v>554</v>
      </c>
      <c r="W148" s="699" t="s">
        <v>856</v>
      </c>
      <c r="X148" s="700">
        <v>41275</v>
      </c>
      <c r="Y148" s="701"/>
      <c r="Z148" s="700"/>
      <c r="AA148" s="704" t="s">
        <v>841</v>
      </c>
      <c r="AB148" s="693"/>
      <c r="AC148" s="694">
        <v>41774</v>
      </c>
      <c r="AD148" s="686" t="s">
        <v>1046</v>
      </c>
      <c r="AE148" s="696" t="s">
        <v>1007</v>
      </c>
      <c r="AF148" s="483">
        <f>IF(CampList[[#This Row],[Type of Accomodation]]="camp",MAX(0,CampList[[#This Row],[HH]]-SUMIF(Table_Shelter[Pcode],CampList[[#This Row],[CP_Pcode]],Table_Shelter[HH Covered])),0)</f>
        <v>0</v>
      </c>
      <c r="AG148" s="664"/>
      <c r="AH148" s="693">
        <f>MIN(CampList[[#This Row],[Shelter Gap]],CampList[[#This Row],[Land Status]])</f>
        <v>0</v>
      </c>
      <c r="AI148" s="664" t="str">
        <f ca="1">IFERROR(OFFSET(DistanceToCamp[Nearest Town],MATCH(CampList[[#This Row],[CP_Pcode]],DistanceToCamp[CP_Pcode],0)-1,0,1,1),"")</f>
        <v/>
      </c>
      <c r="AJ148" s="697" t="str">
        <f ca="1">IFERROR(OFFSET(DistanceToCamp[distance],MATCH(CampList[[#This Row],[CP_Pcode]],DistanceToCamp[CP_Pcode],0)-1,0,1,1),"")</f>
        <v/>
      </c>
      <c r="AK148" s="698" t="str">
        <f ca="1">IFERROR(INT(CampList[[#This Row],[Distance]]/5)+1,"")</f>
        <v/>
      </c>
    </row>
    <row r="149" spans="1:37" s="445" customFormat="1" ht="15.75" hidden="1" customHeight="1" x14ac:dyDescent="0.25">
      <c r="A149" s="686" t="s">
        <v>843</v>
      </c>
      <c r="B149" s="662" t="s">
        <v>380</v>
      </c>
      <c r="C149" s="662" t="s">
        <v>525</v>
      </c>
      <c r="D149" s="662" t="s">
        <v>180</v>
      </c>
      <c r="E149" s="662" t="s">
        <v>526</v>
      </c>
      <c r="F149" s="662" t="s">
        <v>527</v>
      </c>
      <c r="G149" s="662" t="s">
        <v>528</v>
      </c>
      <c r="H149" s="695" t="s">
        <v>612</v>
      </c>
      <c r="I149" s="695" t="s">
        <v>613</v>
      </c>
      <c r="J149" s="695" t="s">
        <v>614</v>
      </c>
      <c r="K149" s="695">
        <v>166775</v>
      </c>
      <c r="L149" s="662" t="s">
        <v>39</v>
      </c>
      <c r="M149" s="662" t="s">
        <v>38</v>
      </c>
      <c r="N149" s="687"/>
      <c r="O149" s="687"/>
      <c r="P149" s="710"/>
      <c r="Q149" s="705">
        <v>0</v>
      </c>
      <c r="R149" s="706">
        <v>0</v>
      </c>
      <c r="S149" s="690" t="str">
        <f>IF(CampList[[#This Row],[HH]]&gt;0,CampList[[#This Row],[Total]]/CampList[[#This Row],[HH]],"NA")</f>
        <v>NA</v>
      </c>
      <c r="T149" s="664" t="s">
        <v>511</v>
      </c>
      <c r="U149" s="699" t="s">
        <v>1191</v>
      </c>
      <c r="V149" s="664" t="s">
        <v>554</v>
      </c>
      <c r="W149" s="699"/>
      <c r="X149" s="719"/>
      <c r="Y149" s="710"/>
      <c r="Z149" s="720"/>
      <c r="AA149" s="704"/>
      <c r="AB149" s="693"/>
      <c r="AC149" s="723"/>
      <c r="AD149" s="686" t="s">
        <v>601</v>
      </c>
      <c r="AE149" s="721" t="s">
        <v>1007</v>
      </c>
      <c r="AF149" s="483">
        <f>IF(CampList[[#This Row],[Type of Accomodation]]="camp",MAX(0,CampList[[#This Row],[HH]]-SUMIF(Table_Shelter[Pcode],CampList[[#This Row],[CP_Pcode]],Table_Shelter[HH Covered])),0)</f>
        <v>0</v>
      </c>
      <c r="AG149" s="664"/>
      <c r="AH149" s="693">
        <f>MIN(CampList[[#This Row],[Shelter Gap]],CampList[[#This Row],[Land Status]])</f>
        <v>0</v>
      </c>
      <c r="AI149" s="664" t="str">
        <f ca="1">IFERROR(OFFSET(DistanceToCamp[Nearest Town],MATCH(CampList[[#This Row],[CP_Pcode]],DistanceToCamp[CP_Pcode],0)-1,0,1,1),"")</f>
        <v/>
      </c>
      <c r="AJ149" s="697" t="str">
        <f ca="1">IFERROR(OFFSET(DistanceToCamp[distance],MATCH(CampList[[#This Row],[CP_Pcode]],DistanceToCamp[CP_Pcode],0)-1,0,1,1),"")</f>
        <v/>
      </c>
      <c r="AK149" s="698" t="str">
        <f ca="1">IFERROR(INT(CampList[[#This Row],[Distance]]/5)+1,"")</f>
        <v/>
      </c>
    </row>
    <row r="150" spans="1:37" s="445" customFormat="1" ht="15.75" customHeight="1" x14ac:dyDescent="0.25">
      <c r="A150" s="686" t="s">
        <v>500</v>
      </c>
      <c r="B150" s="662" t="s">
        <v>380</v>
      </c>
      <c r="C150" s="662" t="s">
        <v>525</v>
      </c>
      <c r="D150" s="662" t="s">
        <v>180</v>
      </c>
      <c r="E150" s="662" t="s">
        <v>526</v>
      </c>
      <c r="F150" s="662" t="s">
        <v>527</v>
      </c>
      <c r="G150" s="662" t="s">
        <v>528</v>
      </c>
      <c r="H150" s="695" t="s">
        <v>612</v>
      </c>
      <c r="I150" s="695" t="s">
        <v>613</v>
      </c>
      <c r="J150" s="695" t="s">
        <v>1370</v>
      </c>
      <c r="K150" s="716">
        <v>216876</v>
      </c>
      <c r="L150" s="662" t="s">
        <v>76</v>
      </c>
      <c r="M150" s="662" t="s">
        <v>75</v>
      </c>
      <c r="N150" s="687">
        <v>96.35257</v>
      </c>
      <c r="O150" s="687">
        <v>25.637309999999999</v>
      </c>
      <c r="P150" s="688">
        <v>277.60000000000002</v>
      </c>
      <c r="Q150" s="55">
        <v>66</v>
      </c>
      <c r="R150" s="98">
        <v>362</v>
      </c>
      <c r="S150" s="690">
        <f>IF(CampList[[#This Row],[HH]]&gt;0,CampList[[#This Row],[Total]]/CampList[[#This Row],[HH]],"NA")</f>
        <v>5.4848484848484844</v>
      </c>
      <c r="T150" s="664" t="s">
        <v>511</v>
      </c>
      <c r="U150" s="664" t="s">
        <v>1191</v>
      </c>
      <c r="V150" s="664" t="s">
        <v>554</v>
      </c>
      <c r="W150" s="483" t="s">
        <v>803</v>
      </c>
      <c r="X150" s="691">
        <v>41275</v>
      </c>
      <c r="Y150" s="692">
        <v>1</v>
      </c>
      <c r="Z150" s="691" t="s">
        <v>505</v>
      </c>
      <c r="AA150" s="704" t="s">
        <v>842</v>
      </c>
      <c r="AB150" s="693"/>
      <c r="AC150" s="694">
        <v>42745</v>
      </c>
      <c r="AD150" s="686" t="s">
        <v>1565</v>
      </c>
      <c r="AE150" s="696" t="s">
        <v>1093</v>
      </c>
      <c r="AF150" s="483">
        <f>IF(CampList[[#This Row],[Type of Accomodation]]="camp",MAX(0,CampList[[#This Row],[HH]]-SUMIF(Table_Shelter[Pcode],CampList[[#This Row],[CP_Pcode]],Table_Shelter[HH Covered])),0)</f>
        <v>0</v>
      </c>
      <c r="AG150" s="664"/>
      <c r="AH150" s="693">
        <f>MIN(CampList[[#This Row],[Shelter Gap]],CampList[[#This Row],[Land Status]])</f>
        <v>0</v>
      </c>
      <c r="AI150" s="664" t="str">
        <f ca="1">IFERROR(OFFSET(DistanceToCamp[Nearest Town],MATCH(CampList[[#This Row],[CP_Pcode]],DistanceToCamp[CP_Pcode],0)-1,0,1,1),"")</f>
        <v>Hpakant Town</v>
      </c>
      <c r="AJ150" s="697">
        <f ca="1">IFERROR(OFFSET(DistanceToCamp[distance],MATCH(CampList[[#This Row],[CP_Pcode]],DistanceToCamp[CP_Pcode],0)-1,0,1,1),"")</f>
        <v>4.8862832644478198</v>
      </c>
      <c r="AK150" s="698">
        <f ca="1">IFERROR(INT(CampList[[#This Row],[Distance]]/5)+1,"")</f>
        <v>1</v>
      </c>
    </row>
    <row r="151" spans="1:37" s="445" customFormat="1" ht="15.75" hidden="1" customHeight="1" x14ac:dyDescent="0.25">
      <c r="A151" s="686" t="s">
        <v>843</v>
      </c>
      <c r="B151" s="662" t="s">
        <v>380</v>
      </c>
      <c r="C151" s="662" t="s">
        <v>525</v>
      </c>
      <c r="D151" s="662" t="s">
        <v>180</v>
      </c>
      <c r="E151" s="662" t="s">
        <v>526</v>
      </c>
      <c r="F151" s="662" t="s">
        <v>527</v>
      </c>
      <c r="G151" s="662" t="s">
        <v>528</v>
      </c>
      <c r="H151" s="695" t="s">
        <v>603</v>
      </c>
      <c r="I151" s="695" t="s">
        <v>604</v>
      </c>
      <c r="J151" s="695" t="s">
        <v>701</v>
      </c>
      <c r="K151" s="695" t="s">
        <v>702</v>
      </c>
      <c r="L151" s="662" t="s">
        <v>74</v>
      </c>
      <c r="M151" s="662" t="s">
        <v>73</v>
      </c>
      <c r="N151" s="687"/>
      <c r="O151" s="687"/>
      <c r="P151" s="710"/>
      <c r="Q151" s="705">
        <v>0</v>
      </c>
      <c r="R151" s="706">
        <v>0</v>
      </c>
      <c r="S151" s="690" t="str">
        <f>IF(CampList[[#This Row],[HH]]&gt;0,CampList[[#This Row],[Total]]/CampList[[#This Row],[HH]],"NA")</f>
        <v>NA</v>
      </c>
      <c r="T151" s="664" t="s">
        <v>511</v>
      </c>
      <c r="U151" s="699" t="s">
        <v>1191</v>
      </c>
      <c r="V151" s="664" t="s">
        <v>554</v>
      </c>
      <c r="W151" s="699"/>
      <c r="X151" s="719"/>
      <c r="Y151" s="710"/>
      <c r="Z151" s="720"/>
      <c r="AA151" s="704"/>
      <c r="AB151" s="693"/>
      <c r="AC151" s="723"/>
      <c r="AD151" s="686" t="s">
        <v>601</v>
      </c>
      <c r="AE151" s="721" t="s">
        <v>1007</v>
      </c>
      <c r="AF151" s="483">
        <f>IF(CampList[[#This Row],[Type of Accomodation]]="camp",MAX(0,CampList[[#This Row],[HH]]-SUMIF(Table_Shelter[Pcode],CampList[[#This Row],[CP_Pcode]],Table_Shelter[HH Covered])),0)</f>
        <v>0</v>
      </c>
      <c r="AG151" s="664"/>
      <c r="AH151" s="693">
        <f>MIN(CampList[[#This Row],[Shelter Gap]],CampList[[#This Row],[Land Status]])</f>
        <v>0</v>
      </c>
      <c r="AI151" s="664" t="str">
        <f ca="1">IFERROR(OFFSET(DistanceToCamp[Nearest Town],MATCH(CampList[[#This Row],[CP_Pcode]],DistanceToCamp[CP_Pcode],0)-1,0,1,1),"")</f>
        <v/>
      </c>
      <c r="AJ151" s="697" t="str">
        <f ca="1">IFERROR(OFFSET(DistanceToCamp[distance],MATCH(CampList[[#This Row],[CP_Pcode]],DistanceToCamp[CP_Pcode],0)-1,0,1,1),"")</f>
        <v/>
      </c>
      <c r="AK151" s="698" t="str">
        <f ca="1">IFERROR(INT(CampList[[#This Row],[Distance]]/5)+1,"")</f>
        <v/>
      </c>
    </row>
    <row r="152" spans="1:37" s="445" customFormat="1" ht="15.75" customHeight="1" x14ac:dyDescent="0.25">
      <c r="A152" s="686" t="s">
        <v>500</v>
      </c>
      <c r="B152" s="662" t="s">
        <v>380</v>
      </c>
      <c r="C152" s="662" t="s">
        <v>525</v>
      </c>
      <c r="D152" s="662" t="s">
        <v>180</v>
      </c>
      <c r="E152" s="662" t="s">
        <v>526</v>
      </c>
      <c r="F152" s="662" t="s">
        <v>527</v>
      </c>
      <c r="G152" s="662" t="s">
        <v>528</v>
      </c>
      <c r="H152" s="695" t="s">
        <v>612</v>
      </c>
      <c r="I152" s="695" t="s">
        <v>613</v>
      </c>
      <c r="J152" s="695" t="s">
        <v>612</v>
      </c>
      <c r="K152" s="702">
        <v>166773</v>
      </c>
      <c r="L152" s="662" t="s">
        <v>41</v>
      </c>
      <c r="M152" s="662" t="s">
        <v>40</v>
      </c>
      <c r="N152" s="687">
        <v>96.345569999999995</v>
      </c>
      <c r="O152" s="687">
        <v>25.635300000000001</v>
      </c>
      <c r="P152" s="688">
        <v>0</v>
      </c>
      <c r="Q152" s="55">
        <v>67</v>
      </c>
      <c r="R152" s="98">
        <v>353</v>
      </c>
      <c r="S152" s="690">
        <f>IF(CampList[[#This Row],[HH]]&gt;0,CampList[[#This Row],[Total]]/CampList[[#This Row],[HH]],"NA")</f>
        <v>5.2686567164179108</v>
      </c>
      <c r="T152" s="664" t="s">
        <v>511</v>
      </c>
      <c r="U152" s="664" t="s">
        <v>1191</v>
      </c>
      <c r="V152" s="664" t="s">
        <v>554</v>
      </c>
      <c r="W152" s="664" t="s">
        <v>803</v>
      </c>
      <c r="X152" s="691">
        <v>41275</v>
      </c>
      <c r="Y152" s="692">
        <v>1</v>
      </c>
      <c r="Z152" s="691" t="s">
        <v>505</v>
      </c>
      <c r="AA152" s="704" t="s">
        <v>842</v>
      </c>
      <c r="AB152" s="693"/>
      <c r="AC152" s="694">
        <v>42745</v>
      </c>
      <c r="AD152" s="686" t="s">
        <v>1562</v>
      </c>
      <c r="AE152" s="696" t="s">
        <v>1093</v>
      </c>
      <c r="AF152" s="483">
        <f>IF(CampList[[#This Row],[Type of Accomodation]]="camp",MAX(0,CampList[[#This Row],[HH]]-SUMIF(Table_Shelter[Pcode],CampList[[#This Row],[CP_Pcode]],Table_Shelter[HH Covered])),0)</f>
        <v>7</v>
      </c>
      <c r="AG152" s="664"/>
      <c r="AH152" s="693">
        <f>MIN(CampList[[#This Row],[Shelter Gap]],CampList[[#This Row],[Land Status]])</f>
        <v>7</v>
      </c>
      <c r="AI152" s="664" t="str">
        <f ca="1">IFERROR(OFFSET(DistanceToCamp[Nearest Town],MATCH(CampList[[#This Row],[CP_Pcode]],DistanceToCamp[CP_Pcode],0)-1,0,1,1),"")</f>
        <v>Hpakant Town</v>
      </c>
      <c r="AJ152" s="697">
        <f ca="1">IFERROR(OFFSET(DistanceToCamp[distance],MATCH(CampList[[#This Row],[CP_Pcode]],DistanceToCamp[CP_Pcode],0)-1,0,1,1),"")</f>
        <v>4.1842484710239098</v>
      </c>
      <c r="AK152" s="698">
        <f ca="1">IFERROR(INT(CampList[[#This Row],[Distance]]/5)+1,"")</f>
        <v>1</v>
      </c>
    </row>
    <row r="153" spans="1:37" s="445" customFormat="1" ht="15.75" hidden="1" customHeight="1" x14ac:dyDescent="0.25">
      <c r="A153" s="686" t="s">
        <v>843</v>
      </c>
      <c r="B153" s="662" t="s">
        <v>380</v>
      </c>
      <c r="C153" s="662" t="s">
        <v>525</v>
      </c>
      <c r="D153" s="662" t="s">
        <v>180</v>
      </c>
      <c r="E153" s="662" t="s">
        <v>526</v>
      </c>
      <c r="F153" s="662" t="s">
        <v>527</v>
      </c>
      <c r="G153" s="662" t="s">
        <v>528</v>
      </c>
      <c r="H153" s="695" t="s">
        <v>612</v>
      </c>
      <c r="I153" s="695" t="s">
        <v>613</v>
      </c>
      <c r="J153" s="695" t="s">
        <v>612</v>
      </c>
      <c r="K153" s="695">
        <v>166773</v>
      </c>
      <c r="L153" s="662" t="s">
        <v>142</v>
      </c>
      <c r="M153" s="662" t="s">
        <v>141</v>
      </c>
      <c r="N153" s="687">
        <v>96.354159999999993</v>
      </c>
      <c r="O153" s="687">
        <v>25.658670000000001</v>
      </c>
      <c r="P153" s="688">
        <v>0</v>
      </c>
      <c r="Q153" s="705">
        <v>0</v>
      </c>
      <c r="R153" s="706">
        <v>0</v>
      </c>
      <c r="S153" s="690" t="str">
        <f>IF(CampList[[#This Row],[HH]]&gt;0,CampList[[#This Row],[Total]]/CampList[[#This Row],[HH]],"NA")</f>
        <v>NA</v>
      </c>
      <c r="T153" s="664" t="s">
        <v>511</v>
      </c>
      <c r="U153" s="699" t="s">
        <v>1191</v>
      </c>
      <c r="V153" s="664" t="s">
        <v>554</v>
      </c>
      <c r="W153" s="699" t="s">
        <v>856</v>
      </c>
      <c r="X153" s="700">
        <v>41275</v>
      </c>
      <c r="Y153" s="701"/>
      <c r="Z153" s="700"/>
      <c r="AA153" s="704" t="s">
        <v>841</v>
      </c>
      <c r="AB153" s="693"/>
      <c r="AC153" s="694">
        <v>41774</v>
      </c>
      <c r="AD153" s="686" t="s">
        <v>1048</v>
      </c>
      <c r="AE153" s="696" t="s">
        <v>1007</v>
      </c>
      <c r="AF153" s="483">
        <f>IF(CampList[[#This Row],[Type of Accomodation]]="camp",MAX(0,CampList[[#This Row],[HH]]-SUMIF(Table_Shelter[Pcode],CampList[[#This Row],[CP_Pcode]],Table_Shelter[HH Covered])),0)</f>
        <v>0</v>
      </c>
      <c r="AG153" s="664"/>
      <c r="AH153" s="693">
        <f>MIN(CampList[[#This Row],[Shelter Gap]],CampList[[#This Row],[Land Status]])</f>
        <v>0</v>
      </c>
      <c r="AI153" s="664" t="str">
        <f ca="1">IFERROR(OFFSET(DistanceToCamp[Nearest Town],MATCH(CampList[[#This Row],[CP_Pcode]],DistanceToCamp[CP_Pcode],0)-1,0,1,1),"")</f>
        <v/>
      </c>
      <c r="AJ153" s="697" t="str">
        <f ca="1">IFERROR(OFFSET(DistanceToCamp[distance],MATCH(CampList[[#This Row],[CP_Pcode]],DistanceToCamp[CP_Pcode],0)-1,0,1,1),"")</f>
        <v/>
      </c>
      <c r="AK153" s="698" t="str">
        <f ca="1">IFERROR(INT(CampList[[#This Row],[Distance]]/5)+1,"")</f>
        <v/>
      </c>
    </row>
    <row r="154" spans="1:37" s="445" customFormat="1" ht="15.75" hidden="1" customHeight="1" x14ac:dyDescent="0.25">
      <c r="A154" s="686" t="s">
        <v>843</v>
      </c>
      <c r="B154" s="662" t="s">
        <v>380</v>
      </c>
      <c r="C154" s="662" t="s">
        <v>525</v>
      </c>
      <c r="D154" s="662" t="s">
        <v>180</v>
      </c>
      <c r="E154" s="662" t="s">
        <v>526</v>
      </c>
      <c r="F154" s="662" t="s">
        <v>527</v>
      </c>
      <c r="G154" s="662" t="s">
        <v>528</v>
      </c>
      <c r="H154" s="695" t="s">
        <v>612</v>
      </c>
      <c r="I154" s="695" t="s">
        <v>613</v>
      </c>
      <c r="J154" s="695" t="s">
        <v>612</v>
      </c>
      <c r="K154" s="695">
        <v>166773</v>
      </c>
      <c r="L154" s="662" t="s">
        <v>98</v>
      </c>
      <c r="M154" s="662" t="s">
        <v>97</v>
      </c>
      <c r="N154" s="687">
        <v>96.359309999999994</v>
      </c>
      <c r="O154" s="687">
        <v>25.651440000000001</v>
      </c>
      <c r="P154" s="711"/>
      <c r="Q154" s="705">
        <v>0</v>
      </c>
      <c r="R154" s="706">
        <v>0</v>
      </c>
      <c r="S154" s="690" t="str">
        <f>IF(CampList[[#This Row],[HH]]&gt;0,CampList[[#This Row],[Total]]/CampList[[#This Row],[HH]],"NA")</f>
        <v>NA</v>
      </c>
      <c r="T154" s="664" t="s">
        <v>511</v>
      </c>
      <c r="U154" s="699" t="s">
        <v>1191</v>
      </c>
      <c r="V154" s="664" t="s">
        <v>554</v>
      </c>
      <c r="W154" s="699"/>
      <c r="X154" s="719"/>
      <c r="Y154" s="710"/>
      <c r="Z154" s="720"/>
      <c r="AA154" s="704"/>
      <c r="AB154" s="693"/>
      <c r="AC154" s="723"/>
      <c r="AD154" s="686" t="s">
        <v>601</v>
      </c>
      <c r="AE154" s="721" t="s">
        <v>1007</v>
      </c>
      <c r="AF154" s="483">
        <f>IF(CampList[[#This Row],[Type of Accomodation]]="camp",MAX(0,CampList[[#This Row],[HH]]-SUMIF(Table_Shelter[Pcode],CampList[[#This Row],[CP_Pcode]],Table_Shelter[HH Covered])),0)</f>
        <v>0</v>
      </c>
      <c r="AG154" s="664"/>
      <c r="AH154" s="693">
        <f>MIN(CampList[[#This Row],[Shelter Gap]],CampList[[#This Row],[Land Status]])</f>
        <v>0</v>
      </c>
      <c r="AI154" s="664" t="str">
        <f ca="1">IFERROR(OFFSET(DistanceToCamp[Nearest Town],MATCH(CampList[[#This Row],[CP_Pcode]],DistanceToCamp[CP_Pcode],0)-1,0,1,1),"")</f>
        <v/>
      </c>
      <c r="AJ154" s="697" t="str">
        <f ca="1">IFERROR(OFFSET(DistanceToCamp[distance],MATCH(CampList[[#This Row],[CP_Pcode]],DistanceToCamp[CP_Pcode],0)-1,0,1,1),"")</f>
        <v/>
      </c>
      <c r="AK154" s="698" t="str">
        <f ca="1">IFERROR(INT(CampList[[#This Row],[Distance]]/5)+1,"")</f>
        <v/>
      </c>
    </row>
    <row r="155" spans="1:37" s="445" customFormat="1" ht="15.75" customHeight="1" x14ac:dyDescent="0.25">
      <c r="A155" s="686" t="s">
        <v>500</v>
      </c>
      <c r="B155" s="662" t="s">
        <v>380</v>
      </c>
      <c r="C155" s="662" t="s">
        <v>525</v>
      </c>
      <c r="D155" s="662" t="s">
        <v>180</v>
      </c>
      <c r="E155" s="662" t="s">
        <v>526</v>
      </c>
      <c r="F155" s="662" t="s">
        <v>527</v>
      </c>
      <c r="G155" s="662" t="s">
        <v>528</v>
      </c>
      <c r="H155" s="695" t="s">
        <v>612</v>
      </c>
      <c r="I155" s="695" t="s">
        <v>613</v>
      </c>
      <c r="J155" s="695" t="s">
        <v>612</v>
      </c>
      <c r="K155" s="695">
        <v>166773</v>
      </c>
      <c r="L155" s="662" t="s">
        <v>62</v>
      </c>
      <c r="M155" s="662" t="s">
        <v>61</v>
      </c>
      <c r="N155" s="687">
        <v>96.355270000000004</v>
      </c>
      <c r="O155" s="687">
        <v>25.656130000000001</v>
      </c>
      <c r="P155" s="688">
        <v>0</v>
      </c>
      <c r="Q155" s="689">
        <v>67</v>
      </c>
      <c r="R155" s="689">
        <v>350</v>
      </c>
      <c r="S155" s="690">
        <f>IF(CampList[[#This Row],[HH]]&gt;0,CampList[[#This Row],[Total]]/CampList[[#This Row],[HH]],"NA")</f>
        <v>5.2238805970149258</v>
      </c>
      <c r="T155" s="664" t="s">
        <v>511</v>
      </c>
      <c r="U155" s="664" t="s">
        <v>1191</v>
      </c>
      <c r="V155" s="664" t="s">
        <v>554</v>
      </c>
      <c r="W155" s="664" t="s">
        <v>856</v>
      </c>
      <c r="X155" s="691">
        <v>41275</v>
      </c>
      <c r="Y155" s="692">
        <v>2</v>
      </c>
      <c r="Z155" s="691" t="s">
        <v>460</v>
      </c>
      <c r="AA155" s="704" t="s">
        <v>842</v>
      </c>
      <c r="AB155" s="693"/>
      <c r="AC155" s="694">
        <v>42745</v>
      </c>
      <c r="AD155" s="686" t="s">
        <v>1473</v>
      </c>
      <c r="AE155" s="696" t="s">
        <v>1093</v>
      </c>
      <c r="AF155" s="483">
        <f>IF(CampList[[#This Row],[Type of Accomodation]]="camp",MAX(0,CampList[[#This Row],[HH]]-SUMIF(Table_Shelter[Pcode],CampList[[#This Row],[CP_Pcode]],Table_Shelter[HH Covered])),0)</f>
        <v>47</v>
      </c>
      <c r="AG155" s="664"/>
      <c r="AH155" s="693">
        <f>MIN(CampList[[#This Row],[Shelter Gap]],CampList[[#This Row],[Land Status]])</f>
        <v>47</v>
      </c>
      <c r="AI155" s="664" t="str">
        <f ca="1">IFERROR(OFFSET(DistanceToCamp[Nearest Town],MATCH(CampList[[#This Row],[CP_Pcode]],DistanceToCamp[CP_Pcode],0)-1,0,1,1),"")</f>
        <v>Hpakant Town</v>
      </c>
      <c r="AJ155" s="697">
        <f ca="1">IFERROR(OFFSET(DistanceToCamp[distance],MATCH(CampList[[#This Row],[CP_Pcode]],DistanceToCamp[CP_Pcode],0)-1,0,1,1),"")</f>
        <v>6.4753396248436657</v>
      </c>
      <c r="AK155" s="698">
        <f ca="1">IFERROR(INT(CampList[[#This Row],[Distance]]/5)+1,"")</f>
        <v>2</v>
      </c>
    </row>
    <row r="156" spans="1:37" s="445" customFormat="1" ht="15.75" hidden="1" customHeight="1" x14ac:dyDescent="0.25">
      <c r="A156" s="686" t="s">
        <v>843</v>
      </c>
      <c r="B156" s="662" t="s">
        <v>380</v>
      </c>
      <c r="C156" s="662" t="s">
        <v>525</v>
      </c>
      <c r="D156" s="662" t="s">
        <v>180</v>
      </c>
      <c r="E156" s="662" t="s">
        <v>526</v>
      </c>
      <c r="F156" s="662" t="s">
        <v>527</v>
      </c>
      <c r="G156" s="662" t="s">
        <v>528</v>
      </c>
      <c r="H156" s="695" t="s">
        <v>598</v>
      </c>
      <c r="I156" s="695" t="s">
        <v>599</v>
      </c>
      <c r="J156" s="695" t="s">
        <v>598</v>
      </c>
      <c r="K156" s="695">
        <v>166783</v>
      </c>
      <c r="L156" s="662" t="s">
        <v>78</v>
      </c>
      <c r="M156" s="662" t="s">
        <v>77</v>
      </c>
      <c r="N156" s="687"/>
      <c r="O156" s="687"/>
      <c r="P156" s="710"/>
      <c r="Q156" s="705">
        <v>0</v>
      </c>
      <c r="R156" s="706">
        <v>0</v>
      </c>
      <c r="S156" s="690" t="str">
        <f>IF(CampList[[#This Row],[HH]]&gt;0,CampList[[#This Row],[Total]]/CampList[[#This Row],[HH]],"NA")</f>
        <v>NA</v>
      </c>
      <c r="T156" s="664" t="s">
        <v>511</v>
      </c>
      <c r="U156" s="699" t="s">
        <v>1191</v>
      </c>
      <c r="V156" s="664" t="s">
        <v>554</v>
      </c>
      <c r="W156" s="699" t="s">
        <v>856</v>
      </c>
      <c r="X156" s="719"/>
      <c r="Y156" s="710"/>
      <c r="Z156" s="720"/>
      <c r="AA156" s="704" t="s">
        <v>842</v>
      </c>
      <c r="AB156" s="693"/>
      <c r="AC156" s="694">
        <v>41774</v>
      </c>
      <c r="AD156" s="686" t="s">
        <v>1048</v>
      </c>
      <c r="AE156" s="721" t="s">
        <v>1007</v>
      </c>
      <c r="AF156" s="483">
        <f>IF(CampList[[#This Row],[Type of Accomodation]]="camp",MAX(0,CampList[[#This Row],[HH]]-SUMIF(Table_Shelter[Pcode],CampList[[#This Row],[CP_Pcode]],Table_Shelter[HH Covered])),0)</f>
        <v>0</v>
      </c>
      <c r="AG156" s="664"/>
      <c r="AH156" s="693">
        <f>MIN(CampList[[#This Row],[Shelter Gap]],CampList[[#This Row],[Land Status]])</f>
        <v>0</v>
      </c>
      <c r="AI156" s="664" t="str">
        <f ca="1">IFERROR(OFFSET(DistanceToCamp[Nearest Town],MATCH(CampList[[#This Row],[CP_Pcode]],DistanceToCamp[CP_Pcode],0)-1,0,1,1),"")</f>
        <v/>
      </c>
      <c r="AJ156" s="697" t="str">
        <f ca="1">IFERROR(OFFSET(DistanceToCamp[distance],MATCH(CampList[[#This Row],[CP_Pcode]],DistanceToCamp[CP_Pcode],0)-1,0,1,1),"")</f>
        <v/>
      </c>
      <c r="AK156" s="698" t="str">
        <f ca="1">IFERROR(INT(CampList[[#This Row],[Distance]]/5)+1,"")</f>
        <v/>
      </c>
    </row>
    <row r="157" spans="1:37" s="445" customFormat="1" ht="15.75" customHeight="1" x14ac:dyDescent="0.25">
      <c r="A157" s="686" t="s">
        <v>500</v>
      </c>
      <c r="B157" s="662" t="s">
        <v>380</v>
      </c>
      <c r="C157" s="662" t="s">
        <v>525</v>
      </c>
      <c r="D157" s="662" t="s">
        <v>180</v>
      </c>
      <c r="E157" s="662" t="s">
        <v>526</v>
      </c>
      <c r="F157" s="662" t="s">
        <v>527</v>
      </c>
      <c r="G157" s="662" t="s">
        <v>528</v>
      </c>
      <c r="H157" s="662" t="s">
        <v>598</v>
      </c>
      <c r="I157" s="662" t="s">
        <v>599</v>
      </c>
      <c r="J157" s="695" t="s">
        <v>600</v>
      </c>
      <c r="K157" s="695">
        <v>166785</v>
      </c>
      <c r="L157" s="662" t="s">
        <v>90</v>
      </c>
      <c r="M157" s="662" t="s">
        <v>89</v>
      </c>
      <c r="N157" s="687">
        <v>96.269199999999998</v>
      </c>
      <c r="O157" s="687">
        <v>25.566510000000001</v>
      </c>
      <c r="P157" s="688">
        <v>278</v>
      </c>
      <c r="Q157" s="55">
        <v>25</v>
      </c>
      <c r="R157" s="98">
        <v>118</v>
      </c>
      <c r="S157" s="690">
        <f>IF(CampList[[#This Row],[HH]]&gt;0,CampList[[#This Row],[Total]]/CampList[[#This Row],[HH]],"NA")</f>
        <v>4.72</v>
      </c>
      <c r="T157" s="664" t="s">
        <v>511</v>
      </c>
      <c r="U157" s="664" t="s">
        <v>1191</v>
      </c>
      <c r="V157" s="664" t="s">
        <v>554</v>
      </c>
      <c r="W157" s="664" t="s">
        <v>856</v>
      </c>
      <c r="X157" s="691">
        <v>41275</v>
      </c>
      <c r="Y157" s="692">
        <v>1</v>
      </c>
      <c r="Z157" s="691" t="s">
        <v>505</v>
      </c>
      <c r="AA157" s="704" t="s">
        <v>842</v>
      </c>
      <c r="AB157" s="693"/>
      <c r="AC157" s="694">
        <v>42745</v>
      </c>
      <c r="AD157" s="686" t="s">
        <v>1569</v>
      </c>
      <c r="AE157" s="696" t="s">
        <v>1093</v>
      </c>
      <c r="AF157" s="483">
        <f>IF(CampList[[#This Row],[Type of Accomodation]]="camp",MAX(0,CampList[[#This Row],[HH]]-SUMIF(Table_Shelter[Pcode],CampList[[#This Row],[CP_Pcode]],Table_Shelter[HH Covered])),0)</f>
        <v>0</v>
      </c>
      <c r="AG157" s="664"/>
      <c r="AH157" s="693">
        <f>MIN(CampList[[#This Row],[Shelter Gap]],CampList[[#This Row],[Land Status]])</f>
        <v>0</v>
      </c>
      <c r="AI157" s="664" t="str">
        <f ca="1">IFERROR(OFFSET(DistanceToCamp[Nearest Town],MATCH(CampList[[#This Row],[CP_Pcode]],DistanceToCamp[CP_Pcode],0)-1,0,1,1),"")</f>
        <v>Hpakant Town</v>
      </c>
      <c r="AJ157" s="697">
        <f ca="1">IFERROR(OFFSET(DistanceToCamp[distance],MATCH(CampList[[#This Row],[CP_Pcode]],DistanceToCamp[CP_Pcode],0)-1,0,1,1),"")</f>
        <v>6.7094919928483892</v>
      </c>
      <c r="AK157" s="698">
        <f ca="1">IFERROR(INT(CampList[[#This Row],[Distance]]/5)+1,"")</f>
        <v>2</v>
      </c>
    </row>
    <row r="158" spans="1:37" s="445" customFormat="1" ht="15.75" customHeight="1" x14ac:dyDescent="0.25">
      <c r="A158" s="686" t="s">
        <v>500</v>
      </c>
      <c r="B158" s="662" t="s">
        <v>380</v>
      </c>
      <c r="C158" s="662" t="s">
        <v>525</v>
      </c>
      <c r="D158" s="662" t="s">
        <v>180</v>
      </c>
      <c r="E158" s="662" t="s">
        <v>526</v>
      </c>
      <c r="F158" s="662" t="s">
        <v>527</v>
      </c>
      <c r="G158" s="662" t="s">
        <v>528</v>
      </c>
      <c r="H158" s="662" t="s">
        <v>598</v>
      </c>
      <c r="I158" s="662" t="s">
        <v>599</v>
      </c>
      <c r="J158" s="662" t="s">
        <v>600</v>
      </c>
      <c r="K158" s="662">
        <v>166785</v>
      </c>
      <c r="L158" s="662" t="s">
        <v>118</v>
      </c>
      <c r="M158" s="662" t="s">
        <v>117</v>
      </c>
      <c r="N158" s="687">
        <v>96.279200000000003</v>
      </c>
      <c r="O158" s="687">
        <v>25.56551</v>
      </c>
      <c r="P158" s="688">
        <v>259</v>
      </c>
      <c r="Q158" s="55">
        <v>10</v>
      </c>
      <c r="R158" s="98">
        <v>39</v>
      </c>
      <c r="S158" s="690">
        <f>IF(CampList[[#This Row],[HH]]&gt;0,CampList[[#This Row],[Total]]/CampList[[#This Row],[HH]],"NA")</f>
        <v>3.9</v>
      </c>
      <c r="T158" s="664" t="s">
        <v>511</v>
      </c>
      <c r="U158" s="664" t="s">
        <v>1191</v>
      </c>
      <c r="V158" s="664" t="s">
        <v>554</v>
      </c>
      <c r="W158" s="664" t="s">
        <v>856</v>
      </c>
      <c r="X158" s="691">
        <v>41275</v>
      </c>
      <c r="Y158" s="692">
        <v>1</v>
      </c>
      <c r="Z158" s="691" t="s">
        <v>505</v>
      </c>
      <c r="AA158" s="693" t="s">
        <v>842</v>
      </c>
      <c r="AB158" s="693"/>
      <c r="AC158" s="694">
        <v>42745</v>
      </c>
      <c r="AD158" s="695" t="s">
        <v>1581</v>
      </c>
      <c r="AE158" s="696" t="s">
        <v>1093</v>
      </c>
      <c r="AF158" s="483">
        <f>IF(CampList[[#This Row],[Type of Accomodation]]="camp",MAX(0,CampList[[#This Row],[HH]]-SUMIF(Table_Shelter[Pcode],CampList[[#This Row],[CP_Pcode]],Table_Shelter[HH Covered])),0)</f>
        <v>0</v>
      </c>
      <c r="AG158" s="483"/>
      <c r="AH158" s="693">
        <f>MIN(CampList[[#This Row],[Shelter Gap]],CampList[[#This Row],[Land Status]])</f>
        <v>0</v>
      </c>
      <c r="AI158" s="664" t="str">
        <f ca="1">IFERROR(OFFSET(DistanceToCamp[Nearest Town],MATCH(CampList[[#This Row],[CP_Pcode]],DistanceToCamp[CP_Pcode],0)-1,0,1,1),"")</f>
        <v>Hpakant Town</v>
      </c>
      <c r="AJ158" s="697">
        <f ca="1">IFERROR(OFFSET(DistanceToCamp[distance],MATCH(CampList[[#This Row],[CP_Pcode]],DistanceToCamp[CP_Pcode],0)-1,0,1,1),"")</f>
        <v>6.2085564346706201</v>
      </c>
      <c r="AK158" s="698">
        <f ca="1">IFERROR(INT(CampList[[#This Row],[Distance]]/5)+1,"")</f>
        <v>2</v>
      </c>
    </row>
    <row r="159" spans="1:37" s="445" customFormat="1" ht="15.75" customHeight="1" x14ac:dyDescent="0.25">
      <c r="A159" s="686" t="s">
        <v>500</v>
      </c>
      <c r="B159" s="662" t="s">
        <v>380</v>
      </c>
      <c r="C159" s="662" t="s">
        <v>525</v>
      </c>
      <c r="D159" s="662" t="s">
        <v>180</v>
      </c>
      <c r="E159" s="662" t="s">
        <v>526</v>
      </c>
      <c r="F159" s="662" t="s">
        <v>527</v>
      </c>
      <c r="G159" s="662" t="s">
        <v>528</v>
      </c>
      <c r="H159" s="662" t="s">
        <v>598</v>
      </c>
      <c r="I159" s="662" t="s">
        <v>599</v>
      </c>
      <c r="J159" s="662" t="s">
        <v>600</v>
      </c>
      <c r="K159" s="709">
        <v>166785</v>
      </c>
      <c r="L159" s="662" t="s">
        <v>124</v>
      </c>
      <c r="M159" s="662" t="s">
        <v>123</v>
      </c>
      <c r="N159" s="687">
        <v>96.353030000000004</v>
      </c>
      <c r="O159" s="687">
        <v>25.668399999999998</v>
      </c>
      <c r="P159" s="688">
        <v>0</v>
      </c>
      <c r="Q159" s="689">
        <v>8</v>
      </c>
      <c r="R159" s="689">
        <v>36</v>
      </c>
      <c r="S159" s="690">
        <f>IF(CampList[[#This Row],[HH]]&gt;0,CampList[[#This Row],[Total]]/CampList[[#This Row],[HH]],"NA")</f>
        <v>4.5</v>
      </c>
      <c r="T159" s="664" t="s">
        <v>511</v>
      </c>
      <c r="U159" s="664" t="s">
        <v>1191</v>
      </c>
      <c r="V159" s="664" t="s">
        <v>554</v>
      </c>
      <c r="W159" s="664" t="s">
        <v>856</v>
      </c>
      <c r="X159" s="691">
        <v>41275</v>
      </c>
      <c r="Y159" s="692">
        <v>1</v>
      </c>
      <c r="Z159" s="691" t="s">
        <v>460</v>
      </c>
      <c r="AA159" s="693" t="s">
        <v>842</v>
      </c>
      <c r="AB159" s="693"/>
      <c r="AC159" s="694">
        <v>42745</v>
      </c>
      <c r="AD159" s="695" t="s">
        <v>1514</v>
      </c>
      <c r="AE159" s="696" t="s">
        <v>1093</v>
      </c>
      <c r="AF159" s="483">
        <f>IF(CampList[[#This Row],[Type of Accomodation]]="camp",MAX(0,CampList[[#This Row],[HH]]-SUMIF(Table_Shelter[Pcode],CampList[[#This Row],[CP_Pcode]],Table_Shelter[HH Covered])),0)</f>
        <v>3</v>
      </c>
      <c r="AG159" s="483"/>
      <c r="AH159" s="693">
        <f>MIN(CampList[[#This Row],[Shelter Gap]],CampList[[#This Row],[Land Status]])</f>
        <v>3</v>
      </c>
      <c r="AI159" s="664" t="str">
        <f ca="1">IFERROR(OFFSET(DistanceToCamp[Nearest Town],MATCH(CampList[[#This Row],[CP_Pcode]],DistanceToCamp[CP_Pcode],0)-1,0,1,1),"")</f>
        <v>Hpakant Town</v>
      </c>
      <c r="AJ159" s="697">
        <f ca="1">IFERROR(OFFSET(DistanceToCamp[distance],MATCH(CampList[[#This Row],[CP_Pcode]],DistanceToCamp[CP_Pcode],0)-1,0,1,1),"")</f>
        <v>7.419312682373878</v>
      </c>
      <c r="AK159" s="698">
        <f ca="1">IFERROR(INT(CampList[[#This Row],[Distance]]/5)+1,"")</f>
        <v>2</v>
      </c>
    </row>
    <row r="160" spans="1:37" s="445" customFormat="1" ht="15.75" customHeight="1" x14ac:dyDescent="0.25">
      <c r="A160" s="686" t="s">
        <v>500</v>
      </c>
      <c r="B160" s="662" t="s">
        <v>380</v>
      </c>
      <c r="C160" s="662" t="s">
        <v>525</v>
      </c>
      <c r="D160" s="662" t="s">
        <v>180</v>
      </c>
      <c r="E160" s="662" t="s">
        <v>526</v>
      </c>
      <c r="F160" s="662" t="s">
        <v>527</v>
      </c>
      <c r="G160" s="662" t="s">
        <v>528</v>
      </c>
      <c r="H160" s="662" t="s">
        <v>598</v>
      </c>
      <c r="I160" s="662" t="s">
        <v>599</v>
      </c>
      <c r="J160" s="662" t="s">
        <v>602</v>
      </c>
      <c r="K160" s="662">
        <v>166788</v>
      </c>
      <c r="L160" s="662" t="s">
        <v>126</v>
      </c>
      <c r="M160" s="662" t="s">
        <v>125</v>
      </c>
      <c r="N160" s="687">
        <v>96.286680000000004</v>
      </c>
      <c r="O160" s="687">
        <v>25.577559999999998</v>
      </c>
      <c r="P160" s="688">
        <v>0</v>
      </c>
      <c r="Q160" s="689">
        <v>35</v>
      </c>
      <c r="R160" s="689">
        <v>173</v>
      </c>
      <c r="S160" s="690">
        <f>IF(CampList[[#This Row],[HH]]&gt;0,CampList[[#This Row],[Total]]/CampList[[#This Row],[HH]],"NA")</f>
        <v>4.9428571428571431</v>
      </c>
      <c r="T160" s="664" t="s">
        <v>511</v>
      </c>
      <c r="U160" s="664" t="s">
        <v>1191</v>
      </c>
      <c r="V160" s="664" t="s">
        <v>554</v>
      </c>
      <c r="W160" s="664" t="s">
        <v>803</v>
      </c>
      <c r="X160" s="691">
        <v>41275</v>
      </c>
      <c r="Y160" s="692">
        <v>2</v>
      </c>
      <c r="Z160" s="691" t="s">
        <v>460</v>
      </c>
      <c r="AA160" s="693" t="s">
        <v>842</v>
      </c>
      <c r="AB160" s="693"/>
      <c r="AC160" s="694">
        <v>42745</v>
      </c>
      <c r="AD160" s="695" t="s">
        <v>1523</v>
      </c>
      <c r="AE160" s="696" t="s">
        <v>1093</v>
      </c>
      <c r="AF160" s="483">
        <f>IF(CampList[[#This Row],[Type of Accomodation]]="camp",MAX(0,CampList[[#This Row],[HH]]-SUMIF(Table_Shelter[Pcode],CampList[[#This Row],[CP_Pcode]],Table_Shelter[HH Covered])),0)</f>
        <v>20</v>
      </c>
      <c r="AG160" s="664"/>
      <c r="AH160" s="693">
        <f>MIN(CampList[[#This Row],[Shelter Gap]],CampList[[#This Row],[Land Status]])</f>
        <v>20</v>
      </c>
      <c r="AI160" s="664" t="str">
        <f ca="1">IFERROR(OFFSET(DistanceToCamp[Nearest Town],MATCH(CampList[[#This Row],[CP_Pcode]],DistanceToCamp[CP_Pcode],0)-1,0,1,1),"")</f>
        <v>Hpakant Town</v>
      </c>
      <c r="AJ160" s="697">
        <f ca="1">IFERROR(OFFSET(DistanceToCamp[distance],MATCH(CampList[[#This Row],[CP_Pcode]],DistanceToCamp[CP_Pcode],0)-1,0,1,1),"")</f>
        <v>4.6754712546149264</v>
      </c>
      <c r="AK160" s="698">
        <f ca="1">IFERROR(INT(CampList[[#This Row],[Distance]]/5)+1,"")</f>
        <v>1</v>
      </c>
    </row>
    <row r="161" spans="1:37" s="445" customFormat="1" ht="15.75" hidden="1" customHeight="1" x14ac:dyDescent="0.25">
      <c r="A161" s="686" t="s">
        <v>843</v>
      </c>
      <c r="B161" s="662" t="s">
        <v>380</v>
      </c>
      <c r="C161" s="662" t="s">
        <v>525</v>
      </c>
      <c r="D161" s="662" t="s">
        <v>180</v>
      </c>
      <c r="E161" s="662" t="s">
        <v>526</v>
      </c>
      <c r="F161" s="662" t="s">
        <v>527</v>
      </c>
      <c r="G161" s="662" t="s">
        <v>528</v>
      </c>
      <c r="H161" s="695" t="s">
        <v>598</v>
      </c>
      <c r="I161" s="695" t="s">
        <v>599</v>
      </c>
      <c r="J161" s="695" t="s">
        <v>598</v>
      </c>
      <c r="K161" s="695">
        <v>166783</v>
      </c>
      <c r="L161" s="662" t="s">
        <v>64</v>
      </c>
      <c r="M161" s="662" t="s">
        <v>63</v>
      </c>
      <c r="N161" s="687">
        <v>96.288250000000005</v>
      </c>
      <c r="O161" s="687">
        <v>25.57921</v>
      </c>
      <c r="P161" s="703">
        <v>0</v>
      </c>
      <c r="Q161" s="705">
        <v>0</v>
      </c>
      <c r="R161" s="706">
        <v>0</v>
      </c>
      <c r="S161" s="690" t="str">
        <f>IF(CampList[[#This Row],[HH]]&gt;0,CampList[[#This Row],[Total]]/CampList[[#This Row],[HH]],"NA")</f>
        <v>NA</v>
      </c>
      <c r="T161" s="664" t="s">
        <v>511</v>
      </c>
      <c r="U161" s="699" t="s">
        <v>1191</v>
      </c>
      <c r="V161" s="664" t="s">
        <v>554</v>
      </c>
      <c r="W161" s="699" t="s">
        <v>856</v>
      </c>
      <c r="X161" s="700">
        <v>41275</v>
      </c>
      <c r="Y161" s="701"/>
      <c r="Z161" s="700" t="s">
        <v>1090</v>
      </c>
      <c r="AA161" s="704" t="s">
        <v>841</v>
      </c>
      <c r="AB161" s="693"/>
      <c r="AC161" s="694">
        <v>41736</v>
      </c>
      <c r="AD161" s="695" t="s">
        <v>1038</v>
      </c>
      <c r="AE161" s="696" t="s">
        <v>1007</v>
      </c>
      <c r="AF161" s="483">
        <f>IF(CampList[[#This Row],[Type of Accomodation]]="camp",MAX(0,CampList[[#This Row],[HH]]-SUMIF(Table_Shelter[Pcode],CampList[[#This Row],[CP_Pcode]],Table_Shelter[HH Covered])),0)</f>
        <v>0</v>
      </c>
      <c r="AG161" s="664"/>
      <c r="AH161" s="693">
        <f>MIN(CampList[[#This Row],[Shelter Gap]],CampList[[#This Row],[Land Status]])</f>
        <v>0</v>
      </c>
      <c r="AI161" s="664" t="str">
        <f ca="1">IFERROR(OFFSET(DistanceToCamp[Nearest Town],MATCH(CampList[[#This Row],[CP_Pcode]],DistanceToCamp[CP_Pcode],0)-1,0,1,1),"")</f>
        <v/>
      </c>
      <c r="AJ161" s="697" t="str">
        <f ca="1">IFERROR(OFFSET(DistanceToCamp[distance],MATCH(CampList[[#This Row],[CP_Pcode]],DistanceToCamp[CP_Pcode],0)-1,0,1,1),"")</f>
        <v/>
      </c>
      <c r="AK161" s="698" t="str">
        <f ca="1">IFERROR(INT(CampList[[#This Row],[Distance]]/5)+1,"")</f>
        <v/>
      </c>
    </row>
    <row r="162" spans="1:37" s="445" customFormat="1" ht="15.75" hidden="1" customHeight="1" x14ac:dyDescent="0.25">
      <c r="A162" s="686" t="s">
        <v>843</v>
      </c>
      <c r="B162" s="662" t="s">
        <v>380</v>
      </c>
      <c r="C162" s="662" t="s">
        <v>525</v>
      </c>
      <c r="D162" s="662" t="s">
        <v>180</v>
      </c>
      <c r="E162" s="662" t="s">
        <v>526</v>
      </c>
      <c r="F162" s="662" t="s">
        <v>527</v>
      </c>
      <c r="G162" s="662" t="s">
        <v>528</v>
      </c>
      <c r="H162" s="695" t="s">
        <v>598</v>
      </c>
      <c r="I162" s="695" t="s">
        <v>599</v>
      </c>
      <c r="J162" s="695" t="s">
        <v>598</v>
      </c>
      <c r="K162" s="695">
        <v>166783</v>
      </c>
      <c r="L162" s="662" t="s">
        <v>82</v>
      </c>
      <c r="M162" s="662" t="s">
        <v>81</v>
      </c>
      <c r="N162" s="687"/>
      <c r="O162" s="687"/>
      <c r="P162" s="710"/>
      <c r="Q162" s="705">
        <v>0</v>
      </c>
      <c r="R162" s="706">
        <v>0</v>
      </c>
      <c r="S162" s="690" t="str">
        <f>IF(CampList[[#This Row],[HH]]&gt;0,CampList[[#This Row],[Total]]/CampList[[#This Row],[HH]],"NA")</f>
        <v>NA</v>
      </c>
      <c r="T162" s="664" t="s">
        <v>511</v>
      </c>
      <c r="U162" s="699" t="s">
        <v>1191</v>
      </c>
      <c r="V162" s="664" t="s">
        <v>554</v>
      </c>
      <c r="W162" s="699"/>
      <c r="X162" s="719"/>
      <c r="Y162" s="710"/>
      <c r="Z162" s="720"/>
      <c r="AA162" s="704" t="s">
        <v>841</v>
      </c>
      <c r="AB162" s="693"/>
      <c r="AC162" s="694">
        <v>41663</v>
      </c>
      <c r="AD162" s="686" t="s">
        <v>938</v>
      </c>
      <c r="AE162" s="721" t="s">
        <v>1007</v>
      </c>
      <c r="AF162" s="483">
        <f>IF(CampList[[#This Row],[Type of Accomodation]]="camp",MAX(0,CampList[[#This Row],[HH]]-SUMIF(Table_Shelter[Pcode],CampList[[#This Row],[CP_Pcode]],Table_Shelter[HH Covered])),0)</f>
        <v>0</v>
      </c>
      <c r="AG162" s="664"/>
      <c r="AH162" s="693">
        <f>MIN(CampList[[#This Row],[Shelter Gap]],CampList[[#This Row],[Land Status]])</f>
        <v>0</v>
      </c>
      <c r="AI162" s="664" t="str">
        <f ca="1">IFERROR(OFFSET(DistanceToCamp[Nearest Town],MATCH(CampList[[#This Row],[CP_Pcode]],DistanceToCamp[CP_Pcode],0)-1,0,1,1),"")</f>
        <v/>
      </c>
      <c r="AJ162" s="697" t="str">
        <f ca="1">IFERROR(OFFSET(DistanceToCamp[distance],MATCH(CampList[[#This Row],[CP_Pcode]],DistanceToCamp[CP_Pcode],0)-1,0,1,1),"")</f>
        <v/>
      </c>
      <c r="AK162" s="698" t="str">
        <f ca="1">IFERROR(INT(CampList[[#This Row],[Distance]]/5)+1,"")</f>
        <v/>
      </c>
    </row>
    <row r="163" spans="1:37" s="445" customFormat="1" ht="15.75" hidden="1" customHeight="1" x14ac:dyDescent="0.25">
      <c r="A163" s="686" t="s">
        <v>843</v>
      </c>
      <c r="B163" s="662" t="s">
        <v>380</v>
      </c>
      <c r="C163" s="662" t="s">
        <v>525</v>
      </c>
      <c r="D163" s="662" t="s">
        <v>180</v>
      </c>
      <c r="E163" s="662" t="s">
        <v>526</v>
      </c>
      <c r="F163" s="662" t="s">
        <v>527</v>
      </c>
      <c r="G163" s="662" t="s">
        <v>528</v>
      </c>
      <c r="H163" s="695" t="s">
        <v>618</v>
      </c>
      <c r="I163" s="695" t="s">
        <v>619</v>
      </c>
      <c r="J163" s="695" t="s">
        <v>620</v>
      </c>
      <c r="K163" s="695">
        <v>166817</v>
      </c>
      <c r="L163" s="662" t="s">
        <v>58</v>
      </c>
      <c r="M163" s="662" t="s">
        <v>57</v>
      </c>
      <c r="N163" s="687">
        <v>96.673805000000002</v>
      </c>
      <c r="O163" s="687">
        <v>25.728653000000001</v>
      </c>
      <c r="P163" s="710"/>
      <c r="Q163" s="705">
        <v>0</v>
      </c>
      <c r="R163" s="706">
        <v>0</v>
      </c>
      <c r="S163" s="690" t="str">
        <f>IF(CampList[[#This Row],[HH]]&gt;0,CampList[[#This Row],[Total]]/CampList[[#This Row],[HH]],"NA")</f>
        <v>NA</v>
      </c>
      <c r="T163" s="664" t="s">
        <v>511</v>
      </c>
      <c r="U163" s="699" t="s">
        <v>1191</v>
      </c>
      <c r="V163" s="664" t="s">
        <v>554</v>
      </c>
      <c r="W163" s="699" t="s">
        <v>856</v>
      </c>
      <c r="X163" s="719"/>
      <c r="Y163" s="710">
        <v>1</v>
      </c>
      <c r="Z163" s="700" t="s">
        <v>505</v>
      </c>
      <c r="AA163" s="704" t="s">
        <v>842</v>
      </c>
      <c r="AB163" s="693"/>
      <c r="AC163" s="694">
        <v>42096</v>
      </c>
      <c r="AD163" s="686" t="s">
        <v>1297</v>
      </c>
      <c r="AE163" s="721" t="s">
        <v>1093</v>
      </c>
      <c r="AF163" s="483">
        <f>IF(CampList[[#This Row],[Type of Accomodation]]="camp",MAX(0,CampList[[#This Row],[HH]]-SUMIF(Table_Shelter[Pcode],CampList[[#This Row],[CP_Pcode]],Table_Shelter[HH Covered])),0)</f>
        <v>0</v>
      </c>
      <c r="AG163" s="664"/>
      <c r="AH163" s="693">
        <f>MIN(CampList[[#This Row],[Shelter Gap]],CampList[[#This Row],[Land Status]])</f>
        <v>0</v>
      </c>
      <c r="AI163" s="664" t="str">
        <f ca="1">IFERROR(OFFSET(DistanceToCamp[Nearest Town],MATCH(CampList[[#This Row],[CP_Pcode]],DistanceToCamp[CP_Pcode],0)-1,0,1,1),"")</f>
        <v>Kamaing Town</v>
      </c>
      <c r="AJ163" s="697">
        <f ca="1">IFERROR(OFFSET(DistanceToCamp[distance],MATCH(CampList[[#This Row],[CP_Pcode]],DistanceToCamp[CP_Pcode],0)-1,0,1,1),"")</f>
        <v>23.222739740353646</v>
      </c>
      <c r="AK163" s="698">
        <f ca="1">IFERROR(INT(CampList[[#This Row],[Distance]]/5)+1,"")</f>
        <v>5</v>
      </c>
    </row>
    <row r="164" spans="1:37" s="445" customFormat="1" ht="15.75" hidden="1" customHeight="1" x14ac:dyDescent="0.25">
      <c r="A164" s="686" t="s">
        <v>843</v>
      </c>
      <c r="B164" s="662" t="s">
        <v>380</v>
      </c>
      <c r="C164" s="662" t="s">
        <v>525</v>
      </c>
      <c r="D164" s="662" t="s">
        <v>180</v>
      </c>
      <c r="E164" s="662" t="s">
        <v>526</v>
      </c>
      <c r="F164" s="662" t="s">
        <v>527</v>
      </c>
      <c r="G164" s="662" t="s">
        <v>528</v>
      </c>
      <c r="H164" s="695" t="s">
        <v>603</v>
      </c>
      <c r="I164" s="695" t="s">
        <v>604</v>
      </c>
      <c r="J164" s="695" t="s">
        <v>607</v>
      </c>
      <c r="K164" s="695" t="s">
        <v>608</v>
      </c>
      <c r="L164" s="662" t="s">
        <v>56</v>
      </c>
      <c r="M164" s="662" t="s">
        <v>55</v>
      </c>
      <c r="N164" s="687"/>
      <c r="O164" s="687"/>
      <c r="P164" s="710"/>
      <c r="Q164" s="705">
        <v>0</v>
      </c>
      <c r="R164" s="706">
        <v>0</v>
      </c>
      <c r="S164" s="690" t="str">
        <f>IF(CampList[[#This Row],[HH]]&gt;0,CampList[[#This Row],[Total]]/CampList[[#This Row],[HH]],"NA")</f>
        <v>NA</v>
      </c>
      <c r="T164" s="664" t="s">
        <v>511</v>
      </c>
      <c r="U164" s="699" t="s">
        <v>1191</v>
      </c>
      <c r="V164" s="664" t="s">
        <v>554</v>
      </c>
      <c r="W164" s="699"/>
      <c r="X164" s="719"/>
      <c r="Y164" s="710"/>
      <c r="Z164" s="720"/>
      <c r="AA164" s="704"/>
      <c r="AB164" s="693"/>
      <c r="AC164" s="723"/>
      <c r="AD164" s="686"/>
      <c r="AE164" s="721" t="s">
        <v>1007</v>
      </c>
      <c r="AF164" s="483">
        <f>IF(CampList[[#This Row],[Type of Accomodation]]="camp",MAX(0,CampList[[#This Row],[HH]]-SUMIF(Table_Shelter[Pcode],CampList[[#This Row],[CP_Pcode]],Table_Shelter[HH Covered])),0)</f>
        <v>0</v>
      </c>
      <c r="AG164" s="664"/>
      <c r="AH164" s="693">
        <f>MIN(CampList[[#This Row],[Shelter Gap]],CampList[[#This Row],[Land Status]])</f>
        <v>0</v>
      </c>
      <c r="AI164" s="664" t="str">
        <f ca="1">IFERROR(OFFSET(DistanceToCamp[Nearest Town],MATCH(CampList[[#This Row],[CP_Pcode]],DistanceToCamp[CP_Pcode],0)-1,0,1,1),"")</f>
        <v/>
      </c>
      <c r="AJ164" s="697" t="str">
        <f ca="1">IFERROR(OFFSET(DistanceToCamp[distance],MATCH(CampList[[#This Row],[CP_Pcode]],DistanceToCamp[CP_Pcode],0)-1,0,1,1),"")</f>
        <v/>
      </c>
      <c r="AK164" s="698" t="str">
        <f ca="1">IFERROR(INT(CampList[[#This Row],[Distance]]/5)+1,"")</f>
        <v/>
      </c>
    </row>
    <row r="165" spans="1:37" s="445" customFormat="1" ht="15.75" customHeight="1" x14ac:dyDescent="0.25">
      <c r="A165" s="686" t="s">
        <v>500</v>
      </c>
      <c r="B165" s="662" t="s">
        <v>380</v>
      </c>
      <c r="C165" s="662" t="s">
        <v>525</v>
      </c>
      <c r="D165" s="662" t="s">
        <v>180</v>
      </c>
      <c r="E165" s="662" t="s">
        <v>526</v>
      </c>
      <c r="F165" s="662" t="s">
        <v>527</v>
      </c>
      <c r="G165" s="662" t="s">
        <v>528</v>
      </c>
      <c r="H165" s="695" t="s">
        <v>603</v>
      </c>
      <c r="I165" s="695" t="s">
        <v>604</v>
      </c>
      <c r="J165" s="695" t="s">
        <v>607</v>
      </c>
      <c r="K165" s="695" t="s">
        <v>608</v>
      </c>
      <c r="L165" s="662" t="s">
        <v>43</v>
      </c>
      <c r="M165" s="662" t="s">
        <v>42</v>
      </c>
      <c r="N165" s="687">
        <v>96.317350000000005</v>
      </c>
      <c r="O165" s="687">
        <v>25.616509000000001</v>
      </c>
      <c r="P165" s="688">
        <v>264</v>
      </c>
      <c r="Q165" s="55">
        <v>14</v>
      </c>
      <c r="R165" s="98">
        <v>83</v>
      </c>
      <c r="S165" s="690">
        <f>IF(CampList[[#This Row],[HH]]&gt;0,CampList[[#This Row],[Total]]/CampList[[#This Row],[HH]],"NA")</f>
        <v>5.9285714285714288</v>
      </c>
      <c r="T165" s="664" t="s">
        <v>511</v>
      </c>
      <c r="U165" s="664" t="s">
        <v>1191</v>
      </c>
      <c r="V165" s="664" t="s">
        <v>554</v>
      </c>
      <c r="W165" s="483" t="s">
        <v>803</v>
      </c>
      <c r="X165" s="691">
        <v>41275</v>
      </c>
      <c r="Y165" s="692">
        <v>1</v>
      </c>
      <c r="Z165" s="691" t="s">
        <v>505</v>
      </c>
      <c r="AA165" s="704" t="s">
        <v>842</v>
      </c>
      <c r="AB165" s="693"/>
      <c r="AC165" s="694">
        <v>42745</v>
      </c>
      <c r="AD165" s="686" t="s">
        <v>1562</v>
      </c>
      <c r="AE165" s="696" t="s">
        <v>1093</v>
      </c>
      <c r="AF165" s="483">
        <f>IF(CampList[[#This Row],[Type of Accomodation]]="camp",MAX(0,CampList[[#This Row],[HH]]-SUMIF(Table_Shelter[Pcode],CampList[[#This Row],[CP_Pcode]],Table_Shelter[HH Covered])),0)</f>
        <v>4</v>
      </c>
      <c r="AG165" s="664"/>
      <c r="AH165" s="693">
        <f>MIN(CampList[[#This Row],[Shelter Gap]],CampList[[#This Row],[Land Status]])</f>
        <v>4</v>
      </c>
      <c r="AI165" s="664" t="str">
        <f ca="1">IFERROR(OFFSET(DistanceToCamp[Nearest Town],MATCH(CampList[[#This Row],[CP_Pcode]],DistanceToCamp[CP_Pcode],0)-1,0,1,1),"")</f>
        <v>Hpakant Town</v>
      </c>
      <c r="AJ165" s="697">
        <f ca="1">IFERROR(OFFSET(DistanceToCamp[distance],MATCH(CampList[[#This Row],[CP_Pcode]],DistanceToCamp[CP_Pcode],0)-1,0,1,1),"")</f>
        <v>0.66733171900141897</v>
      </c>
      <c r="AK165" s="698">
        <f ca="1">IFERROR(INT(CampList[[#This Row],[Distance]]/5)+1,"")</f>
        <v>1</v>
      </c>
    </row>
    <row r="166" spans="1:37" s="445" customFormat="1" ht="15.75" customHeight="1" x14ac:dyDescent="0.25">
      <c r="A166" s="686" t="s">
        <v>500</v>
      </c>
      <c r="B166" s="662" t="s">
        <v>380</v>
      </c>
      <c r="C166" s="662" t="s">
        <v>525</v>
      </c>
      <c r="D166" s="662" t="s">
        <v>180</v>
      </c>
      <c r="E166" s="662" t="s">
        <v>526</v>
      </c>
      <c r="F166" s="662" t="s">
        <v>527</v>
      </c>
      <c r="G166" s="662" t="s">
        <v>528</v>
      </c>
      <c r="H166" s="695" t="s">
        <v>603</v>
      </c>
      <c r="I166" s="695" t="s">
        <v>604</v>
      </c>
      <c r="J166" s="695" t="s">
        <v>607</v>
      </c>
      <c r="K166" s="695" t="s">
        <v>608</v>
      </c>
      <c r="L166" s="662" t="s">
        <v>44</v>
      </c>
      <c r="M166" s="662" t="s">
        <v>45</v>
      </c>
      <c r="N166" s="687">
        <v>96.316564</v>
      </c>
      <c r="O166" s="687">
        <v>25.615960999999999</v>
      </c>
      <c r="P166" s="688">
        <v>281</v>
      </c>
      <c r="Q166" s="55">
        <v>5</v>
      </c>
      <c r="R166" s="98">
        <v>34</v>
      </c>
      <c r="S166" s="690">
        <f>IF(CampList[[#This Row],[HH]]&gt;0,CampList[[#This Row],[Total]]/CampList[[#This Row],[HH]],"NA")</f>
        <v>6.8</v>
      </c>
      <c r="T166" s="664" t="s">
        <v>511</v>
      </c>
      <c r="U166" s="664" t="s">
        <v>1191</v>
      </c>
      <c r="V166" s="664" t="s">
        <v>554</v>
      </c>
      <c r="W166" s="664" t="s">
        <v>803</v>
      </c>
      <c r="X166" s="691">
        <v>41122</v>
      </c>
      <c r="Y166" s="692">
        <v>1</v>
      </c>
      <c r="Z166" s="691" t="s">
        <v>505</v>
      </c>
      <c r="AA166" s="704" t="s">
        <v>842</v>
      </c>
      <c r="AB166" s="693"/>
      <c r="AC166" s="694">
        <v>42745</v>
      </c>
      <c r="AD166" s="686" t="s">
        <v>1567</v>
      </c>
      <c r="AE166" s="696" t="s">
        <v>1093</v>
      </c>
      <c r="AF166" s="483">
        <f>IF(CampList[[#This Row],[Type of Accomodation]]="camp",MAX(0,CampList[[#This Row],[HH]]-SUMIF(Table_Shelter[Pcode],CampList[[#This Row],[CP_Pcode]],Table_Shelter[HH Covered])),0)</f>
        <v>0</v>
      </c>
      <c r="AG166" s="664"/>
      <c r="AH166" s="693">
        <f>MIN(CampList[[#This Row],[Shelter Gap]],CampList[[#This Row],[Land Status]])</f>
        <v>0</v>
      </c>
      <c r="AI166" s="664" t="str">
        <f ca="1">IFERROR(OFFSET(DistanceToCamp[Nearest Town],MATCH(CampList[[#This Row],[CP_Pcode]],DistanceToCamp[CP_Pcode],0)-1,0,1,1),"")</f>
        <v>Hpakant Town</v>
      </c>
      <c r="AJ166" s="697">
        <f ca="1">IFERROR(OFFSET(DistanceToCamp[distance],MATCH(CampList[[#This Row],[CP_Pcode]],DistanceToCamp[CP_Pcode],0)-1,0,1,1),"")</f>
        <v>0.56771790814545575</v>
      </c>
      <c r="AK166" s="698">
        <f ca="1">IFERROR(INT(CampList[[#This Row],[Distance]]/5)+1,"")</f>
        <v>1</v>
      </c>
    </row>
    <row r="167" spans="1:37" s="445" customFormat="1" ht="15.75" customHeight="1" x14ac:dyDescent="0.25">
      <c r="A167" s="686" t="s">
        <v>500</v>
      </c>
      <c r="B167" s="662" t="s">
        <v>380</v>
      </c>
      <c r="C167" s="662" t="s">
        <v>525</v>
      </c>
      <c r="D167" s="662" t="s">
        <v>180</v>
      </c>
      <c r="E167" s="662" t="s">
        <v>526</v>
      </c>
      <c r="F167" s="662" t="s">
        <v>527</v>
      </c>
      <c r="G167" s="662" t="s">
        <v>528</v>
      </c>
      <c r="H167" s="695" t="s">
        <v>609</v>
      </c>
      <c r="I167" s="695" t="s">
        <v>610</v>
      </c>
      <c r="J167" s="695" t="s">
        <v>609</v>
      </c>
      <c r="K167" s="695">
        <v>166776</v>
      </c>
      <c r="L167" s="662" t="s">
        <v>611</v>
      </c>
      <c r="M167" s="662" t="s">
        <v>46</v>
      </c>
      <c r="N167" s="687">
        <v>96.339590000000001</v>
      </c>
      <c r="O167" s="687">
        <v>25.617998</v>
      </c>
      <c r="P167" s="711"/>
      <c r="Q167" s="55">
        <v>12</v>
      </c>
      <c r="R167" s="98">
        <v>50</v>
      </c>
      <c r="S167" s="690">
        <f>IF(CampList[[#This Row],[HH]]&gt;0,CampList[[#This Row],[Total]]/CampList[[#This Row],[HH]],"NA")</f>
        <v>4.166666666666667</v>
      </c>
      <c r="T167" s="664" t="s">
        <v>511</v>
      </c>
      <c r="U167" s="664" t="s">
        <v>1191</v>
      </c>
      <c r="V167" s="664" t="s">
        <v>554</v>
      </c>
      <c r="W167" s="664" t="s">
        <v>803</v>
      </c>
      <c r="X167" s="691">
        <v>41275</v>
      </c>
      <c r="Y167" s="692">
        <v>1</v>
      </c>
      <c r="Z167" s="691" t="s">
        <v>505</v>
      </c>
      <c r="AA167" s="704" t="s">
        <v>842</v>
      </c>
      <c r="AB167" s="693"/>
      <c r="AC167" s="694">
        <v>42745</v>
      </c>
      <c r="AD167" s="686" t="s">
        <v>1577</v>
      </c>
      <c r="AE167" s="696" t="s">
        <v>1093</v>
      </c>
      <c r="AF167" s="483">
        <f>IF(CampList[[#This Row],[Type of Accomodation]]="camp",MAX(0,CampList[[#This Row],[HH]]-SUMIF(Table_Shelter[Pcode],CampList[[#This Row],[CP_Pcode]],Table_Shelter[HH Covered])),0)</f>
        <v>0</v>
      </c>
      <c r="AG167" s="664"/>
      <c r="AH167" s="693">
        <f>MIN(CampList[[#This Row],[Shelter Gap]],CampList[[#This Row],[Land Status]])</f>
        <v>0</v>
      </c>
      <c r="AI167" s="664" t="str">
        <f ca="1">IFERROR(OFFSET(DistanceToCamp[Nearest Town],MATCH(CampList[[#This Row],[CP_Pcode]],DistanceToCamp[CP_Pcode],0)-1,0,1,1),"")</f>
        <v>Hpakant Town</v>
      </c>
      <c r="AJ167" s="697">
        <f ca="1">IFERROR(OFFSET(DistanceToCamp[distance],MATCH(CampList[[#This Row],[CP_Pcode]],DistanceToCamp[CP_Pcode],0)-1,0,1,1),"")</f>
        <v>2.814225084976667</v>
      </c>
      <c r="AK167" s="698">
        <f ca="1">IFERROR(INT(CampList[[#This Row],[Distance]]/5)+1,"")</f>
        <v>1</v>
      </c>
    </row>
    <row r="168" spans="1:37" s="445" customFormat="1" ht="15.75" customHeight="1" x14ac:dyDescent="0.25">
      <c r="A168" s="686" t="s">
        <v>500</v>
      </c>
      <c r="B168" s="662" t="s">
        <v>380</v>
      </c>
      <c r="C168" s="662" t="s">
        <v>525</v>
      </c>
      <c r="D168" s="662" t="s">
        <v>5</v>
      </c>
      <c r="E168" s="662" t="s">
        <v>529</v>
      </c>
      <c r="F168" s="662" t="s">
        <v>5</v>
      </c>
      <c r="G168" s="662" t="s">
        <v>530</v>
      </c>
      <c r="H168" s="662" t="s">
        <v>645</v>
      </c>
      <c r="I168" s="662" t="s">
        <v>646</v>
      </c>
      <c r="J168" s="662" t="s">
        <v>647</v>
      </c>
      <c r="K168" s="662">
        <v>166854</v>
      </c>
      <c r="L168" s="662" t="s">
        <v>366</v>
      </c>
      <c r="M168" s="662" t="s">
        <v>376</v>
      </c>
      <c r="N168" s="687">
        <v>97.252650000000003</v>
      </c>
      <c r="O168" s="687">
        <v>24.222349999999999</v>
      </c>
      <c r="P168" s="688">
        <v>0</v>
      </c>
      <c r="Q168" s="689">
        <v>150</v>
      </c>
      <c r="R168" s="689">
        <v>761</v>
      </c>
      <c r="S168" s="690">
        <f>IF(CampList[[#This Row],[HH]]&gt;0,CampList[[#This Row],[Total]]/CampList[[#This Row],[HH]],"NA")</f>
        <v>5.0733333333333333</v>
      </c>
      <c r="T168" s="664" t="s">
        <v>511</v>
      </c>
      <c r="U168" s="664" t="s">
        <v>1191</v>
      </c>
      <c r="V168" s="664" t="s">
        <v>554</v>
      </c>
      <c r="W168" s="664" t="s">
        <v>803</v>
      </c>
      <c r="X168" s="691">
        <v>41275</v>
      </c>
      <c r="Y168" s="692">
        <v>1</v>
      </c>
      <c r="Z168" s="691" t="s">
        <v>460</v>
      </c>
      <c r="AA168" s="693" t="s">
        <v>842</v>
      </c>
      <c r="AB168" s="693"/>
      <c r="AC168" s="694">
        <v>42745</v>
      </c>
      <c r="AD168" s="695" t="s">
        <v>1511</v>
      </c>
      <c r="AE168" s="696" t="s">
        <v>1093</v>
      </c>
      <c r="AF168" s="483">
        <f>IF(CampList[[#This Row],[Type of Accomodation]]="camp",MAX(0,CampList[[#This Row],[HH]]-SUMIF(Table_Shelter[Pcode],CampList[[#This Row],[CP_Pcode]],Table_Shelter[HH Covered])),0)</f>
        <v>24</v>
      </c>
      <c r="AG168" s="483"/>
      <c r="AH168" s="693">
        <f>MIN(CampList[[#This Row],[Shelter Gap]],CampList[[#This Row],[Land Status]])</f>
        <v>24</v>
      </c>
      <c r="AI168" s="664" t="str">
        <f ca="1">IFERROR(OFFSET(DistanceToCamp[Nearest Town],MATCH(CampList[[#This Row],[CP_Pcode]],DistanceToCamp[CP_Pcode],0)-1,0,1,1),"")</f>
        <v>Bhamo Town</v>
      </c>
      <c r="AJ168" s="697">
        <f ca="1">IFERROR(OFFSET(DistanceToCamp[distance],MATCH(CampList[[#This Row],[CP_Pcode]],DistanceToCamp[CP_Pcode],0)-1,0,1,1),"")</f>
        <v>4.067486452659054</v>
      </c>
      <c r="AK168" s="698">
        <f ca="1">IFERROR(INT(CampList[[#This Row],[Distance]]/5)+1,"")</f>
        <v>1</v>
      </c>
    </row>
    <row r="169" spans="1:37" s="445" customFormat="1" ht="15.75" customHeight="1" x14ac:dyDescent="0.25">
      <c r="A169" s="686" t="s">
        <v>500</v>
      </c>
      <c r="B169" s="662" t="s">
        <v>380</v>
      </c>
      <c r="C169" s="662" t="s">
        <v>525</v>
      </c>
      <c r="D169" s="662" t="s">
        <v>5</v>
      </c>
      <c r="E169" s="662" t="s">
        <v>529</v>
      </c>
      <c r="F169" s="662" t="s">
        <v>5</v>
      </c>
      <c r="G169" s="662" t="s">
        <v>530</v>
      </c>
      <c r="H169" s="695" t="s">
        <v>1367</v>
      </c>
      <c r="I169" s="695" t="s">
        <v>1366</v>
      </c>
      <c r="J169" s="695" t="s">
        <v>1367</v>
      </c>
      <c r="K169" s="716">
        <v>166904</v>
      </c>
      <c r="L169" s="662" t="s">
        <v>512</v>
      </c>
      <c r="M169" s="662" t="s">
        <v>377</v>
      </c>
      <c r="N169" s="687">
        <v>97.252650000000003</v>
      </c>
      <c r="O169" s="687">
        <v>24.260466999999998</v>
      </c>
      <c r="P169" s="688">
        <v>0</v>
      </c>
      <c r="Q169" s="689">
        <v>12</v>
      </c>
      <c r="R169" s="689">
        <v>56</v>
      </c>
      <c r="S169" s="690">
        <f>IF(CampList[[#This Row],[HH]]&gt;0,CampList[[#This Row],[Total]]/CampList[[#This Row],[HH]],"NA")</f>
        <v>4.666666666666667</v>
      </c>
      <c r="T169" s="664" t="s">
        <v>511</v>
      </c>
      <c r="U169" s="664" t="s">
        <v>1191</v>
      </c>
      <c r="V169" s="664" t="s">
        <v>554</v>
      </c>
      <c r="W169" s="664" t="s">
        <v>803</v>
      </c>
      <c r="X169" s="691">
        <v>40787</v>
      </c>
      <c r="Y169" s="692">
        <v>1</v>
      </c>
      <c r="Z169" s="691" t="s">
        <v>460</v>
      </c>
      <c r="AA169" s="704" t="s">
        <v>842</v>
      </c>
      <c r="AB169" s="693"/>
      <c r="AC169" s="694">
        <v>42745</v>
      </c>
      <c r="AD169" s="686" t="s">
        <v>1474</v>
      </c>
      <c r="AE169" s="696" t="s">
        <v>1093</v>
      </c>
      <c r="AF169" s="483">
        <f>IF(CampList[[#This Row],[Type of Accomodation]]="camp",MAX(0,CampList[[#This Row],[HH]]-SUMIF(Table_Shelter[Pcode],CampList[[#This Row],[CP_Pcode]],Table_Shelter[HH Covered])),0)</f>
        <v>0</v>
      </c>
      <c r="AG169" s="664"/>
      <c r="AH169" s="693">
        <f>MIN(CampList[[#This Row],[Shelter Gap]],CampList[[#This Row],[Land Status]])</f>
        <v>0</v>
      </c>
      <c r="AI169" s="664" t="str">
        <f ca="1">IFERROR(OFFSET(DistanceToCamp[Nearest Town],MATCH(CampList[[#This Row],[CP_Pcode]],DistanceToCamp[CP_Pcode],0)-1,0,1,1),"")</f>
        <v>Bhamo Town</v>
      </c>
      <c r="AJ169" s="697">
        <f ca="1">IFERROR(OFFSET(DistanceToCamp[distance],MATCH(CampList[[#This Row],[CP_Pcode]],DistanceToCamp[CP_Pcode],0)-1,0,1,1),"")</f>
        <v>1.9489261822960435</v>
      </c>
      <c r="AK169" s="698">
        <f ca="1">IFERROR(INT(CampList[[#This Row],[Distance]]/5)+1,"")</f>
        <v>1</v>
      </c>
    </row>
    <row r="170" spans="1:37" s="445" customFormat="1" ht="15.75" customHeight="1" x14ac:dyDescent="0.25">
      <c r="A170" s="686" t="s">
        <v>500</v>
      </c>
      <c r="B170" s="662" t="s">
        <v>380</v>
      </c>
      <c r="C170" s="662" t="s">
        <v>525</v>
      </c>
      <c r="D170" s="662" t="s">
        <v>237</v>
      </c>
      <c r="E170" s="662" t="s">
        <v>531</v>
      </c>
      <c r="F170" s="662" t="s">
        <v>27</v>
      </c>
      <c r="G170" s="662" t="s">
        <v>534</v>
      </c>
      <c r="H170" s="718" t="s">
        <v>803</v>
      </c>
      <c r="I170" s="662" t="s">
        <v>792</v>
      </c>
      <c r="J170" s="718" t="s">
        <v>804</v>
      </c>
      <c r="K170" s="718"/>
      <c r="L170" s="662" t="s">
        <v>365</v>
      </c>
      <c r="M170" s="662" t="s">
        <v>378</v>
      </c>
      <c r="N170" s="687">
        <v>98.129990000000006</v>
      </c>
      <c r="O170" s="687">
        <v>25.887339999999998</v>
      </c>
      <c r="P170" s="711">
        <v>259.10000000000002</v>
      </c>
      <c r="Q170" s="57">
        <v>143</v>
      </c>
      <c r="R170" s="98">
        <v>637</v>
      </c>
      <c r="S170" s="690">
        <f>IF(CampList[[#This Row],[HH]]&gt;0,CampList[[#This Row],[Total]]/CampList[[#This Row],[HH]],"NA")</f>
        <v>4.4545454545454541</v>
      </c>
      <c r="T170" s="664" t="s">
        <v>511</v>
      </c>
      <c r="U170" s="664" t="s">
        <v>1191</v>
      </c>
      <c r="V170" s="664" t="s">
        <v>554</v>
      </c>
      <c r="W170" s="664" t="s">
        <v>856</v>
      </c>
      <c r="X170" s="691">
        <v>40940</v>
      </c>
      <c r="Y170" s="692">
        <v>1</v>
      </c>
      <c r="Z170" s="691" t="s">
        <v>505</v>
      </c>
      <c r="AA170" s="704" t="s">
        <v>842</v>
      </c>
      <c r="AB170" s="693"/>
      <c r="AC170" s="694">
        <v>42745</v>
      </c>
      <c r="AD170" s="686" t="s">
        <v>1568</v>
      </c>
      <c r="AE170" s="696" t="s">
        <v>1077</v>
      </c>
      <c r="AF170" s="483">
        <f>IF(CampList[[#This Row],[Type of Accomodation]]="camp",MAX(0,CampList[[#This Row],[HH]]-SUMIF(Table_Shelter[Pcode],CampList[[#This Row],[CP_Pcode]],Table_Shelter[HH Covered])),0)</f>
        <v>70</v>
      </c>
      <c r="AG170" s="664"/>
      <c r="AH170" s="693">
        <f>MIN(CampList[[#This Row],[Shelter Gap]],CampList[[#This Row],[Land Status]])</f>
        <v>70</v>
      </c>
      <c r="AI170" s="664" t="str">
        <f ca="1">IFERROR(OFFSET(DistanceToCamp[Nearest Town],MATCH(CampList[[#This Row],[CP_Pcode]],DistanceToCamp[CP_Pcode],0)-1,0,1,1),"")</f>
        <v>Chipwi Town</v>
      </c>
      <c r="AJ170" s="697">
        <f ca="1">IFERROR(OFFSET(DistanceToCamp[distance],MATCH(CampList[[#This Row],[CP_Pcode]],DistanceToCamp[CP_Pcode],0)-1,0,1,1),"")</f>
        <v>0</v>
      </c>
      <c r="AK170" s="698">
        <f ca="1">IFERROR(INT(CampList[[#This Row],[Distance]]/5)+1,"")</f>
        <v>1</v>
      </c>
    </row>
    <row r="171" spans="1:37" s="445" customFormat="1" ht="15.75" customHeight="1" x14ac:dyDescent="0.25">
      <c r="A171" s="686" t="s">
        <v>500</v>
      </c>
      <c r="B171" s="662" t="s">
        <v>380</v>
      </c>
      <c r="C171" s="662" t="s">
        <v>525</v>
      </c>
      <c r="D171" s="662" t="s">
        <v>5</v>
      </c>
      <c r="E171" s="662" t="s">
        <v>529</v>
      </c>
      <c r="F171" s="662" t="s">
        <v>151</v>
      </c>
      <c r="G171" s="662" t="s">
        <v>539</v>
      </c>
      <c r="H171" s="695" t="s">
        <v>650</v>
      </c>
      <c r="I171" s="695" t="s">
        <v>651</v>
      </c>
      <c r="J171" s="662"/>
      <c r="K171" s="662"/>
      <c r="L171" s="662" t="s">
        <v>12</v>
      </c>
      <c r="M171" s="662" t="s">
        <v>390</v>
      </c>
      <c r="N171" s="687">
        <v>97.298055000000005</v>
      </c>
      <c r="O171" s="687">
        <v>24.118618999999999</v>
      </c>
      <c r="P171" s="711"/>
      <c r="Q171" s="705">
        <v>76</v>
      </c>
      <c r="R171" s="706">
        <v>256</v>
      </c>
      <c r="S171" s="690">
        <f>IF(CampList[[#This Row],[HH]]&gt;0,CampList[[#This Row],[Total]]/CampList[[#This Row],[HH]],"NA")</f>
        <v>3.3684210526315788</v>
      </c>
      <c r="T171" s="664" t="s">
        <v>511</v>
      </c>
      <c r="U171" s="664" t="s">
        <v>1191</v>
      </c>
      <c r="V171" s="725" t="s">
        <v>12</v>
      </c>
      <c r="W171" s="664" t="s">
        <v>803</v>
      </c>
      <c r="X171" s="712"/>
      <c r="Y171" s="711"/>
      <c r="Z171" s="693"/>
      <c r="AA171" s="704" t="s">
        <v>842</v>
      </c>
      <c r="AB171" s="693"/>
      <c r="AC171" s="730">
        <v>42317</v>
      </c>
      <c r="AD171" s="686" t="s">
        <v>1320</v>
      </c>
      <c r="AE171" s="721" t="s">
        <v>1093</v>
      </c>
      <c r="AF171" s="483">
        <f>IF(CampList[[#This Row],[Type of Accomodation]]="camp",MAX(0,CampList[[#This Row],[HH]]-SUMIF(Table_Shelter[Pcode],CampList[[#This Row],[CP_Pcode]],Table_Shelter[HH Covered])),0)</f>
        <v>0</v>
      </c>
      <c r="AG171" s="664"/>
      <c r="AH171" s="693">
        <f>MIN(CampList[[#This Row],[Shelter Gap]],CampList[[#This Row],[Land Status]])</f>
        <v>0</v>
      </c>
      <c r="AI171" s="664" t="str">
        <f ca="1">IFERROR(OFFSET(DistanceToCamp[Nearest Town],MATCH(CampList[[#This Row],[CP_Pcode]],DistanceToCamp[CP_Pcode],0)-1,0,1,1),"")</f>
        <v>Mansi Town</v>
      </c>
      <c r="AJ171" s="697">
        <f ca="1">IFERROR(OFFSET(DistanceToCamp[distance],MATCH(CampList[[#This Row],[CP_Pcode]],DistanceToCamp[CP_Pcode],0)-1,0,1,1),"")</f>
        <v>0.51447052329458698</v>
      </c>
      <c r="AK171" s="698">
        <f ca="1">IFERROR(INT(CampList[[#This Row],[Distance]]/5)+1,"")</f>
        <v>1</v>
      </c>
    </row>
    <row r="172" spans="1:37" s="445" customFormat="1" ht="15.75" customHeight="1" x14ac:dyDescent="0.25">
      <c r="A172" s="686" t="s">
        <v>500</v>
      </c>
      <c r="B172" s="662" t="s">
        <v>380</v>
      </c>
      <c r="C172" s="662" t="s">
        <v>525</v>
      </c>
      <c r="D172" s="662" t="s">
        <v>5</v>
      </c>
      <c r="E172" s="662" t="s">
        <v>529</v>
      </c>
      <c r="F172" s="662" t="s">
        <v>185</v>
      </c>
      <c r="G172" s="662" t="s">
        <v>533</v>
      </c>
      <c r="H172" s="662" t="s">
        <v>662</v>
      </c>
      <c r="I172" s="662" t="s">
        <v>663</v>
      </c>
      <c r="J172" s="662"/>
      <c r="K172" s="662"/>
      <c r="L172" s="662" t="s">
        <v>12</v>
      </c>
      <c r="M172" s="662" t="s">
        <v>391</v>
      </c>
      <c r="N172" s="687">
        <v>97.348405</v>
      </c>
      <c r="O172" s="687">
        <v>24.251232000000002</v>
      </c>
      <c r="P172" s="711"/>
      <c r="Q172" s="705">
        <v>320</v>
      </c>
      <c r="R172" s="706">
        <v>1125</v>
      </c>
      <c r="S172" s="690">
        <f>IF(CampList[[#This Row],[HH]]&gt;0,CampList[[#This Row],[Total]]/CampList[[#This Row],[HH]],"NA")</f>
        <v>3.515625</v>
      </c>
      <c r="T172" s="664" t="s">
        <v>511</v>
      </c>
      <c r="U172" s="664" t="s">
        <v>1191</v>
      </c>
      <c r="V172" s="725" t="s">
        <v>12</v>
      </c>
      <c r="W172" s="664" t="s">
        <v>803</v>
      </c>
      <c r="X172" s="712"/>
      <c r="Y172" s="711"/>
      <c r="Z172" s="693"/>
      <c r="AA172" s="704" t="s">
        <v>841</v>
      </c>
      <c r="AB172" s="693"/>
      <c r="AC172" s="730">
        <v>42317</v>
      </c>
      <c r="AD172" s="686" t="s">
        <v>1319</v>
      </c>
      <c r="AE172" s="721" t="s">
        <v>1093</v>
      </c>
      <c r="AF172" s="483">
        <f>IF(CampList[[#This Row],[Type of Accomodation]]="camp",MAX(0,CampList[[#This Row],[HH]]-SUMIF(Table_Shelter[Pcode],CampList[[#This Row],[CP_Pcode]],Table_Shelter[HH Covered])),0)</f>
        <v>0</v>
      </c>
      <c r="AG172" s="664"/>
      <c r="AH172" s="693">
        <f>MIN(CampList[[#This Row],[Shelter Gap]],CampList[[#This Row],[Land Status]])</f>
        <v>0</v>
      </c>
      <c r="AI172" s="664" t="str">
        <f ca="1">IFERROR(OFFSET(DistanceToCamp[Nearest Town],MATCH(CampList[[#This Row],[CP_Pcode]],DistanceToCamp[CP_Pcode],0)-1,0,1,1),"")</f>
        <v>Momauk Town</v>
      </c>
      <c r="AJ172" s="697">
        <f ca="1">IFERROR(OFFSET(DistanceToCamp[distance],MATCH(CampList[[#This Row],[CP_Pcode]],DistanceToCamp[CP_Pcode],0)-1,0,1,1),"")</f>
        <v>0.60629049139006752</v>
      </c>
      <c r="AK172" s="698">
        <f ca="1">IFERROR(INT(CampList[[#This Row],[Distance]]/5)+1,"")</f>
        <v>1</v>
      </c>
    </row>
    <row r="173" spans="1:37" s="445" customFormat="1" ht="15.75" customHeight="1" x14ac:dyDescent="0.25">
      <c r="A173" s="686" t="s">
        <v>500</v>
      </c>
      <c r="B173" s="662" t="s">
        <v>380</v>
      </c>
      <c r="C173" s="662" t="s">
        <v>525</v>
      </c>
      <c r="D173" s="662" t="s">
        <v>5</v>
      </c>
      <c r="E173" s="662" t="s">
        <v>529</v>
      </c>
      <c r="F173" s="662" t="s">
        <v>185</v>
      </c>
      <c r="G173" s="662" t="s">
        <v>533</v>
      </c>
      <c r="H173" s="695" t="s">
        <v>805</v>
      </c>
      <c r="I173" s="695" t="s">
        <v>806</v>
      </c>
      <c r="J173" s="695" t="s">
        <v>807</v>
      </c>
      <c r="K173" s="695">
        <v>167270</v>
      </c>
      <c r="L173" s="662" t="s">
        <v>205</v>
      </c>
      <c r="M173" s="662" t="s">
        <v>392</v>
      </c>
      <c r="N173" s="687">
        <v>97.276591999999994</v>
      </c>
      <c r="O173" s="687">
        <v>24.759551999999999</v>
      </c>
      <c r="P173" s="711"/>
      <c r="Q173" s="705"/>
      <c r="R173" s="706"/>
      <c r="S173" s="690" t="str">
        <f>IF(CampList[[#This Row],[HH]]&gt;0,CampList[[#This Row],[Total]]/CampList[[#This Row],[HH]],"NA")</f>
        <v>NA</v>
      </c>
      <c r="T173" s="664" t="s">
        <v>511</v>
      </c>
      <c r="U173" s="664" t="s">
        <v>1191</v>
      </c>
      <c r="V173" s="725" t="s">
        <v>12</v>
      </c>
      <c r="W173" s="664" t="s">
        <v>856</v>
      </c>
      <c r="X173" s="712"/>
      <c r="Y173" s="711"/>
      <c r="Z173" s="693"/>
      <c r="AA173" s="704" t="s">
        <v>841</v>
      </c>
      <c r="AB173" s="693"/>
      <c r="AC173" s="694">
        <v>41803</v>
      </c>
      <c r="AD173" s="686" t="s">
        <v>1068</v>
      </c>
      <c r="AE173" s="721" t="s">
        <v>1093</v>
      </c>
      <c r="AF173" s="483">
        <f>IF(CampList[[#This Row],[Type of Accomodation]]="camp",MAX(0,CampList[[#This Row],[HH]]-SUMIF(Table_Shelter[Pcode],CampList[[#This Row],[CP_Pcode]],Table_Shelter[HH Covered])),0)</f>
        <v>0</v>
      </c>
      <c r="AG173" s="664"/>
      <c r="AH173" s="693">
        <f>MIN(CampList[[#This Row],[Shelter Gap]],CampList[[#This Row],[Land Status]])</f>
        <v>0</v>
      </c>
      <c r="AI173" s="664" t="str">
        <f ca="1">IFERROR(OFFSET(DistanceToCamp[Nearest Town],MATCH(CampList[[#This Row],[CP_Pcode]],DistanceToCamp[CP_Pcode],0)-1,0,1,1),"")</f>
        <v>Dawthponeyan  Town</v>
      </c>
      <c r="AJ173" s="697">
        <f ca="1">IFERROR(OFFSET(DistanceToCamp[distance],MATCH(CampList[[#This Row],[CP_Pcode]],DistanceToCamp[CP_Pcode],0)-1,0,1,1),"")</f>
        <v>24.701686141136339</v>
      </c>
      <c r="AK173" s="698">
        <f ca="1">IFERROR(INT(CampList[[#This Row],[Distance]]/5)+1,"")</f>
        <v>5</v>
      </c>
    </row>
    <row r="174" spans="1:37" s="445" customFormat="1" ht="15.75" customHeight="1" x14ac:dyDescent="0.25">
      <c r="A174" s="717" t="s">
        <v>500</v>
      </c>
      <c r="B174" s="662" t="s">
        <v>380</v>
      </c>
      <c r="C174" s="662" t="s">
        <v>525</v>
      </c>
      <c r="D174" s="662" t="s">
        <v>5</v>
      </c>
      <c r="E174" s="662" t="s">
        <v>529</v>
      </c>
      <c r="F174" s="662" t="s">
        <v>302</v>
      </c>
      <c r="G174" s="662" t="s">
        <v>540</v>
      </c>
      <c r="H174" s="662" t="s">
        <v>621</v>
      </c>
      <c r="I174" s="662" t="s">
        <v>622</v>
      </c>
      <c r="J174" s="662"/>
      <c r="K174" s="662"/>
      <c r="L174" s="662" t="s">
        <v>12</v>
      </c>
      <c r="M174" s="662" t="s">
        <v>393</v>
      </c>
      <c r="N174" s="687">
        <v>96.793177</v>
      </c>
      <c r="O174" s="687">
        <v>24.224830999999998</v>
      </c>
      <c r="P174" s="711"/>
      <c r="Q174" s="705">
        <v>9</v>
      </c>
      <c r="R174" s="706">
        <v>30</v>
      </c>
      <c r="S174" s="690">
        <f>IF(CampList[[#This Row],[HH]]&gt;0,CampList[[#This Row],[Total]]/CampList[[#This Row],[HH]],"NA")</f>
        <v>3.3333333333333335</v>
      </c>
      <c r="T174" s="664" t="s">
        <v>511</v>
      </c>
      <c r="U174" s="664" t="s">
        <v>1191</v>
      </c>
      <c r="V174" s="729" t="s">
        <v>12</v>
      </c>
      <c r="W174" s="664" t="s">
        <v>803</v>
      </c>
      <c r="X174" s="712"/>
      <c r="Y174" s="711"/>
      <c r="Z174" s="693"/>
      <c r="AA174" s="704" t="s">
        <v>841</v>
      </c>
      <c r="AB174" s="693"/>
      <c r="AC174" s="694"/>
      <c r="AD174" s="686"/>
      <c r="AE174" s="721" t="s">
        <v>1093</v>
      </c>
      <c r="AF174" s="483">
        <f>IF(CampList[[#This Row],[Type of Accomodation]]="camp",MAX(0,CampList[[#This Row],[HH]]-SUMIF(Table_Shelter[Pcode],CampList[[#This Row],[CP_Pcode]],Table_Shelter[HH Covered])),0)</f>
        <v>0</v>
      </c>
      <c r="AG174" s="664"/>
      <c r="AH174" s="693">
        <f>MIN(CampList[[#This Row],[Shelter Gap]],CampList[[#This Row],[Land Status]])</f>
        <v>0</v>
      </c>
      <c r="AI174" s="664" t="str">
        <f ca="1">IFERROR(OFFSET(DistanceToCamp[Nearest Town],MATCH(CampList[[#This Row],[CP_Pcode]],DistanceToCamp[CP_Pcode],0)-1,0,1,1),"")</f>
        <v>Shwegu Town</v>
      </c>
      <c r="AJ174" s="697">
        <f ca="1">IFERROR(OFFSET(DistanceToCamp[distance],MATCH(CampList[[#This Row],[CP_Pcode]],DistanceToCamp[CP_Pcode],0)-1,0,1,1),"")</f>
        <v>2.3794331620169178</v>
      </c>
      <c r="AK174" s="698">
        <f ca="1">IFERROR(INT(CampList[[#This Row],[Distance]]/5)+1,"")</f>
        <v>1</v>
      </c>
    </row>
    <row r="175" spans="1:37" s="445" customFormat="1" ht="15.75" customHeight="1" x14ac:dyDescent="0.25">
      <c r="A175" s="686" t="s">
        <v>500</v>
      </c>
      <c r="B175" s="662" t="s">
        <v>380</v>
      </c>
      <c r="C175" s="662" t="s">
        <v>525</v>
      </c>
      <c r="D175" s="662" t="s">
        <v>5</v>
      </c>
      <c r="E175" s="662" t="s">
        <v>529</v>
      </c>
      <c r="F175" s="662" t="s">
        <v>185</v>
      </c>
      <c r="G175" s="662" t="s">
        <v>533</v>
      </c>
      <c r="H175" s="662" t="s">
        <v>1076</v>
      </c>
      <c r="I175" s="662" t="s">
        <v>1075</v>
      </c>
      <c r="J175" s="662" t="s">
        <v>1076</v>
      </c>
      <c r="K175" s="662">
        <v>167060</v>
      </c>
      <c r="L175" s="662" t="s">
        <v>521</v>
      </c>
      <c r="M175" s="662" t="s">
        <v>522</v>
      </c>
      <c r="N175" s="732">
        <v>97.343406999999999</v>
      </c>
      <c r="O175" s="687">
        <v>24.377054000000001</v>
      </c>
      <c r="P175" s="711"/>
      <c r="Q175" s="705">
        <v>4</v>
      </c>
      <c r="R175" s="706">
        <v>26</v>
      </c>
      <c r="S175" s="690">
        <f>IF(CampList[[#This Row],[HH]]&gt;0,CampList[[#This Row],[Total]]/CampList[[#This Row],[HH]],"NA")</f>
        <v>6.5</v>
      </c>
      <c r="T175" s="664" t="s">
        <v>511</v>
      </c>
      <c r="U175" s="664" t="s">
        <v>1191</v>
      </c>
      <c r="V175" s="664" t="s">
        <v>12</v>
      </c>
      <c r="W175" s="664" t="s">
        <v>856</v>
      </c>
      <c r="X175" s="712"/>
      <c r="Y175" s="711"/>
      <c r="Z175" s="693"/>
      <c r="AA175" s="704" t="s">
        <v>841</v>
      </c>
      <c r="AB175" s="693"/>
      <c r="AC175" s="694">
        <v>41701</v>
      </c>
      <c r="AD175" s="686" t="s">
        <v>1011</v>
      </c>
      <c r="AE175" s="721" t="s">
        <v>1093</v>
      </c>
      <c r="AF175" s="483">
        <f>IF(CampList[[#This Row],[Type of Accomodation]]="camp",MAX(0,CampList[[#This Row],[HH]]-SUMIF(Table_Shelter[Pcode],CampList[[#This Row],[CP_Pcode]],Table_Shelter[HH Covered])),0)</f>
        <v>0</v>
      </c>
      <c r="AG175" s="664"/>
      <c r="AH175" s="693">
        <f>MIN(CampList[[#This Row],[Shelter Gap]],CampList[[#This Row],[Land Status]])</f>
        <v>0</v>
      </c>
      <c r="AI175" s="664" t="str">
        <f ca="1">IFERROR(OFFSET(DistanceToCamp[Nearest Town],MATCH(CampList[[#This Row],[CP_Pcode]],DistanceToCamp[CP_Pcode],0)-1,0,1,1),"")</f>
        <v>Momauk Town</v>
      </c>
      <c r="AJ175" s="697">
        <f ca="1">IFERROR(OFFSET(DistanceToCamp[distance],MATCH(CampList[[#This Row],[CP_Pcode]],DistanceToCamp[CP_Pcode],0)-1,0,1,1),"")</f>
        <v>13.446032768350749</v>
      </c>
      <c r="AK175" s="698">
        <f ca="1">IFERROR(INT(CampList[[#This Row],[Distance]]/5)+1,"")</f>
        <v>3</v>
      </c>
    </row>
    <row r="176" spans="1:37" s="445" customFormat="1" ht="15.75" hidden="1" customHeight="1" x14ac:dyDescent="0.25">
      <c r="A176" s="686" t="s">
        <v>843</v>
      </c>
      <c r="B176" s="662" t="s">
        <v>380</v>
      </c>
      <c r="C176" s="662" t="s">
        <v>525</v>
      </c>
      <c r="D176" s="662" t="s">
        <v>180</v>
      </c>
      <c r="E176" s="662" t="s">
        <v>526</v>
      </c>
      <c r="F176" s="662" t="s">
        <v>527</v>
      </c>
      <c r="G176" s="662" t="s">
        <v>528</v>
      </c>
      <c r="H176" s="695" t="s">
        <v>603</v>
      </c>
      <c r="I176" s="695" t="s">
        <v>604</v>
      </c>
      <c r="J176" s="695" t="s">
        <v>607</v>
      </c>
      <c r="K176" s="695" t="s">
        <v>608</v>
      </c>
      <c r="L176" s="662" t="s">
        <v>514</v>
      </c>
      <c r="M176" s="662" t="s">
        <v>515</v>
      </c>
      <c r="N176" s="687">
        <v>96.315601999999998</v>
      </c>
      <c r="O176" s="687">
        <v>25.615006000000001</v>
      </c>
      <c r="P176" s="710"/>
      <c r="Q176" s="705">
        <v>0</v>
      </c>
      <c r="R176" s="706">
        <v>0</v>
      </c>
      <c r="S176" s="690" t="str">
        <f>IF(CampList[[#This Row],[HH]]&gt;0,CampList[[#This Row],[Total]]/CampList[[#This Row],[HH]],"NA")</f>
        <v>NA</v>
      </c>
      <c r="T176" s="664" t="s">
        <v>511</v>
      </c>
      <c r="U176" s="699" t="s">
        <v>1191</v>
      </c>
      <c r="V176" s="664" t="s">
        <v>554</v>
      </c>
      <c r="W176" s="699"/>
      <c r="X176" s="719"/>
      <c r="Y176" s="710"/>
      <c r="Z176" s="720"/>
      <c r="AA176" s="704"/>
      <c r="AB176" s="693"/>
      <c r="AC176" s="723"/>
      <c r="AD176" s="686" t="s">
        <v>601</v>
      </c>
      <c r="AE176" s="721" t="s">
        <v>1007</v>
      </c>
      <c r="AF176" s="483">
        <f>IF(CampList[[#This Row],[Type of Accomodation]]="camp",MAX(0,CampList[[#This Row],[HH]]-SUMIF(Table_Shelter[Pcode],CampList[[#This Row],[CP_Pcode]],Table_Shelter[HH Covered])),0)</f>
        <v>0</v>
      </c>
      <c r="AG176" s="664"/>
      <c r="AH176" s="693">
        <f>MIN(CampList[[#This Row],[Shelter Gap]],CampList[[#This Row],[Land Status]])</f>
        <v>0</v>
      </c>
      <c r="AI176" s="664" t="str">
        <f ca="1">IFERROR(OFFSET(DistanceToCamp[Nearest Town],MATCH(CampList[[#This Row],[CP_Pcode]],DistanceToCamp[CP_Pcode],0)-1,0,1,1),"")</f>
        <v/>
      </c>
      <c r="AJ176" s="697" t="str">
        <f ca="1">IFERROR(OFFSET(DistanceToCamp[distance],MATCH(CampList[[#This Row],[CP_Pcode]],DistanceToCamp[CP_Pcode],0)-1,0,1,1),"")</f>
        <v/>
      </c>
      <c r="AK176" s="698" t="str">
        <f ca="1">IFERROR(INT(CampList[[#This Row],[Distance]]/5)+1,"")</f>
        <v/>
      </c>
    </row>
    <row r="177" spans="1:37" s="445" customFormat="1" ht="15.75" hidden="1" customHeight="1" x14ac:dyDescent="0.25">
      <c r="A177" s="686" t="s">
        <v>843</v>
      </c>
      <c r="B177" s="662" t="s">
        <v>380</v>
      </c>
      <c r="C177" s="662" t="s">
        <v>525</v>
      </c>
      <c r="D177" s="662" t="s">
        <v>5</v>
      </c>
      <c r="E177" s="662" t="s">
        <v>529</v>
      </c>
      <c r="F177" s="662" t="s">
        <v>151</v>
      </c>
      <c r="G177" s="662" t="s">
        <v>539</v>
      </c>
      <c r="H177" s="695" t="s">
        <v>741</v>
      </c>
      <c r="I177" s="695" t="s">
        <v>742</v>
      </c>
      <c r="J177" s="695"/>
      <c r="K177" s="695"/>
      <c r="L177" s="662" t="s">
        <v>516</v>
      </c>
      <c r="M177" s="662" t="s">
        <v>517</v>
      </c>
      <c r="N177" s="687">
        <v>97.601243999999994</v>
      </c>
      <c r="O177" s="687">
        <v>23.867713999999999</v>
      </c>
      <c r="P177" s="703">
        <v>755</v>
      </c>
      <c r="Q177" s="705">
        <v>0</v>
      </c>
      <c r="R177" s="706">
        <v>0</v>
      </c>
      <c r="S177" s="690" t="str">
        <f>IF(CampList[[#This Row],[HH]]&gt;0,CampList[[#This Row],[Total]]/CampList[[#This Row],[HH]],"NA")</f>
        <v>NA</v>
      </c>
      <c r="T177" s="664" t="s">
        <v>513</v>
      </c>
      <c r="U177" s="699" t="s">
        <v>1191</v>
      </c>
      <c r="V177" s="664" t="s">
        <v>554</v>
      </c>
      <c r="W177" s="699" t="s">
        <v>856</v>
      </c>
      <c r="X177" s="700">
        <v>41365</v>
      </c>
      <c r="Y177" s="701">
        <v>2</v>
      </c>
      <c r="Z177" s="700" t="s">
        <v>1089</v>
      </c>
      <c r="AA177" s="704" t="s">
        <v>842</v>
      </c>
      <c r="AB177" s="693"/>
      <c r="AC177" s="694">
        <v>41811</v>
      </c>
      <c r="AD177" s="686" t="s">
        <v>1100</v>
      </c>
      <c r="AE177" s="696" t="s">
        <v>1093</v>
      </c>
      <c r="AF177" s="483">
        <f>IF(CampList[[#This Row],[Type of Accomodation]]="camp",MAX(0,CampList[[#This Row],[HH]]-SUMIF(Table_Shelter[Pcode],CampList[[#This Row],[CP_Pcode]],Table_Shelter[HH Covered])),0)</f>
        <v>0</v>
      </c>
      <c r="AG177" s="664"/>
      <c r="AH177" s="693">
        <f>MIN(CampList[[#This Row],[Shelter Gap]],CampList[[#This Row],[Land Status]])</f>
        <v>0</v>
      </c>
      <c r="AI177" s="664" t="str">
        <f ca="1">IFERROR(OFFSET(DistanceToCamp[Nearest Town],MATCH(CampList[[#This Row],[CP_Pcode]],DistanceToCamp[CP_Pcode],0)-1,0,1,1),"")</f>
        <v/>
      </c>
      <c r="AJ177" s="697" t="str">
        <f ca="1">IFERROR(OFFSET(DistanceToCamp[distance],MATCH(CampList[[#This Row],[CP_Pcode]],DistanceToCamp[CP_Pcode],0)-1,0,1,1),"")</f>
        <v/>
      </c>
      <c r="AK177" s="698" t="str">
        <f ca="1">IFERROR(INT(CampList[[#This Row],[Distance]]/5)+1,"")</f>
        <v/>
      </c>
    </row>
    <row r="178" spans="1:37" s="445" customFormat="1" ht="15.75" hidden="1" customHeight="1" x14ac:dyDescent="0.25">
      <c r="A178" s="686" t="s">
        <v>843</v>
      </c>
      <c r="B178" s="662" t="s">
        <v>380</v>
      </c>
      <c r="C178" s="662" t="s">
        <v>525</v>
      </c>
      <c r="D178" s="662" t="s">
        <v>5</v>
      </c>
      <c r="E178" s="662" t="s">
        <v>529</v>
      </c>
      <c r="F178" s="662" t="s">
        <v>151</v>
      </c>
      <c r="G178" s="662" t="s">
        <v>539</v>
      </c>
      <c r="H178" s="695" t="s">
        <v>626</v>
      </c>
      <c r="I178" s="695" t="s">
        <v>627</v>
      </c>
      <c r="J178" s="695"/>
      <c r="K178" s="695"/>
      <c r="L178" s="662" t="s">
        <v>518</v>
      </c>
      <c r="M178" s="662" t="s">
        <v>519</v>
      </c>
      <c r="N178" s="687">
        <v>96.808850000000007</v>
      </c>
      <c r="O178" s="687">
        <v>24.20645</v>
      </c>
      <c r="P178" s="688">
        <v>781.8</v>
      </c>
      <c r="Q178" s="705">
        <v>0</v>
      </c>
      <c r="R178" s="706">
        <v>0</v>
      </c>
      <c r="S178" s="690" t="str">
        <f>IF(CampList[[#This Row],[HH]]&gt;0,CampList[[#This Row],[Total]]/CampList[[#This Row],[HH]],"NA")</f>
        <v>NA</v>
      </c>
      <c r="T178" s="664" t="s">
        <v>513</v>
      </c>
      <c r="U178" s="699" t="s">
        <v>1191</v>
      </c>
      <c r="V178" s="664" t="s">
        <v>554</v>
      </c>
      <c r="W178" s="699" t="s">
        <v>856</v>
      </c>
      <c r="X178" s="700">
        <v>41091</v>
      </c>
      <c r="Y178" s="701"/>
      <c r="Z178" s="700"/>
      <c r="AA178" s="704" t="s">
        <v>842</v>
      </c>
      <c r="AB178" s="693"/>
      <c r="AC178" s="694">
        <v>41661</v>
      </c>
      <c r="AD178" s="686" t="s">
        <v>937</v>
      </c>
      <c r="AE178" s="696" t="s">
        <v>1007</v>
      </c>
      <c r="AF178" s="483">
        <f>IF(CampList[[#This Row],[Type of Accomodation]]="camp",MAX(0,CampList[[#This Row],[HH]]-SUMIF(Table_Shelter[Pcode],CampList[[#This Row],[CP_Pcode]],Table_Shelter[HH Covered])),0)</f>
        <v>0</v>
      </c>
      <c r="AG178" s="664"/>
      <c r="AH178" s="693">
        <f>MIN(CampList[[#This Row],[Shelter Gap]],CampList[[#This Row],[Land Status]])</f>
        <v>0</v>
      </c>
      <c r="AI178" s="664" t="str">
        <f ca="1">IFERROR(OFFSET(DistanceToCamp[Nearest Town],MATCH(CampList[[#This Row],[CP_Pcode]],DistanceToCamp[CP_Pcode],0)-1,0,1,1),"")</f>
        <v/>
      </c>
      <c r="AJ178" s="697" t="str">
        <f ca="1">IFERROR(OFFSET(DistanceToCamp[distance],MATCH(CampList[[#This Row],[CP_Pcode]],DistanceToCamp[CP_Pcode],0)-1,0,1,1),"")</f>
        <v/>
      </c>
      <c r="AK178" s="698" t="str">
        <f ca="1">IFERROR(INT(CampList[[#This Row],[Distance]]/5)+1,"")</f>
        <v/>
      </c>
    </row>
    <row r="179" spans="1:37" s="445" customFormat="1" ht="15.75" hidden="1" customHeight="1" x14ac:dyDescent="0.25">
      <c r="A179" s="686" t="s">
        <v>843</v>
      </c>
      <c r="B179" s="662" t="s">
        <v>380</v>
      </c>
      <c r="C179" s="662" t="s">
        <v>525</v>
      </c>
      <c r="D179" s="662" t="s">
        <v>5</v>
      </c>
      <c r="E179" s="662" t="s">
        <v>529</v>
      </c>
      <c r="F179" s="662" t="s">
        <v>151</v>
      </c>
      <c r="G179" s="662" t="s">
        <v>539</v>
      </c>
      <c r="H179" s="695" t="s">
        <v>628</v>
      </c>
      <c r="I179" s="695" t="s">
        <v>629</v>
      </c>
      <c r="J179" s="695"/>
      <c r="K179" s="695"/>
      <c r="L179" s="662" t="s">
        <v>865</v>
      </c>
      <c r="M179" s="662" t="s">
        <v>520</v>
      </c>
      <c r="N179" s="687">
        <v>97.132339999999999</v>
      </c>
      <c r="O179" s="687">
        <v>23.75817</v>
      </c>
      <c r="P179" s="688">
        <v>781.8</v>
      </c>
      <c r="Q179" s="705">
        <v>0</v>
      </c>
      <c r="R179" s="706">
        <v>0</v>
      </c>
      <c r="S179" s="690" t="str">
        <f>IF(CampList[[#This Row],[HH]]&gt;0,CampList[[#This Row],[Total]]/CampList[[#This Row],[HH]],"NA")</f>
        <v>NA</v>
      </c>
      <c r="T179" s="664" t="s">
        <v>513</v>
      </c>
      <c r="U179" s="699" t="s">
        <v>1191</v>
      </c>
      <c r="V179" s="664" t="s">
        <v>554</v>
      </c>
      <c r="W179" s="699" t="s">
        <v>856</v>
      </c>
      <c r="X179" s="700">
        <v>41091</v>
      </c>
      <c r="Y179" s="701"/>
      <c r="Z179" s="700"/>
      <c r="AA179" s="704" t="s">
        <v>842</v>
      </c>
      <c r="AB179" s="693"/>
      <c r="AC179" s="723"/>
      <c r="AD179" s="686" t="s">
        <v>937</v>
      </c>
      <c r="AE179" s="696" t="s">
        <v>1007</v>
      </c>
      <c r="AF179" s="483">
        <f>IF(CampList[[#This Row],[Type of Accomodation]]="camp",MAX(0,CampList[[#This Row],[HH]]-SUMIF(Table_Shelter[Pcode],CampList[[#This Row],[CP_Pcode]],Table_Shelter[HH Covered])),0)</f>
        <v>0</v>
      </c>
      <c r="AG179" s="664"/>
      <c r="AH179" s="693">
        <f>MIN(CampList[[#This Row],[Shelter Gap]],CampList[[#This Row],[Land Status]])</f>
        <v>0</v>
      </c>
      <c r="AI179" s="664" t="str">
        <f ca="1">IFERROR(OFFSET(DistanceToCamp[Nearest Town],MATCH(CampList[[#This Row],[CP_Pcode]],DistanceToCamp[CP_Pcode],0)-1,0,1,1),"")</f>
        <v/>
      </c>
      <c r="AJ179" s="697" t="str">
        <f ca="1">IFERROR(OFFSET(DistanceToCamp[distance],MATCH(CampList[[#This Row],[CP_Pcode]],DistanceToCamp[CP_Pcode],0)-1,0,1,1),"")</f>
        <v/>
      </c>
      <c r="AK179" s="698" t="str">
        <f ca="1">IFERROR(INT(CampList[[#This Row],[Distance]]/5)+1,"")</f>
        <v/>
      </c>
    </row>
    <row r="180" spans="1:37" s="445" customFormat="1" ht="15.75" customHeight="1" x14ac:dyDescent="0.25">
      <c r="A180" s="717" t="s">
        <v>500</v>
      </c>
      <c r="B180" s="662" t="s">
        <v>380</v>
      </c>
      <c r="C180" s="662" t="s">
        <v>525</v>
      </c>
      <c r="D180" s="662" t="s">
        <v>300</v>
      </c>
      <c r="E180" s="662" t="s">
        <v>546</v>
      </c>
      <c r="F180" s="662" t="s">
        <v>808</v>
      </c>
      <c r="G180" s="662" t="s">
        <v>809</v>
      </c>
      <c r="H180" s="662" t="s">
        <v>810</v>
      </c>
      <c r="I180" s="662" t="s">
        <v>811</v>
      </c>
      <c r="J180" s="662"/>
      <c r="K180" s="662"/>
      <c r="L180" s="662" t="s">
        <v>808</v>
      </c>
      <c r="M180" s="662" t="s">
        <v>812</v>
      </c>
      <c r="N180" s="687">
        <v>97.568836000000005</v>
      </c>
      <c r="O180" s="687">
        <v>26.541930000000001</v>
      </c>
      <c r="P180" s="688">
        <v>1025</v>
      </c>
      <c r="Q180" s="688">
        <v>5</v>
      </c>
      <c r="R180" s="711">
        <v>32</v>
      </c>
      <c r="S180" s="690">
        <f>IF(CampList[[#This Row],[HH]]&gt;0,CampList[[#This Row],[Total]]/CampList[[#This Row],[HH]],"NA")</f>
        <v>6.4</v>
      </c>
      <c r="T180" s="664" t="s">
        <v>511</v>
      </c>
      <c r="U180" s="664" t="s">
        <v>1191</v>
      </c>
      <c r="V180" s="664" t="s">
        <v>554</v>
      </c>
      <c r="W180" s="664" t="s">
        <v>856</v>
      </c>
      <c r="X180" s="691"/>
      <c r="Y180" s="692"/>
      <c r="Z180" s="691"/>
      <c r="AA180" s="693" t="s">
        <v>841</v>
      </c>
      <c r="AB180" s="693"/>
      <c r="AC180" s="694"/>
      <c r="AD180" s="695" t="s">
        <v>601</v>
      </c>
      <c r="AE180" s="696" t="s">
        <v>1093</v>
      </c>
      <c r="AF180" s="483">
        <f>IF(CampList[[#This Row],[Type of Accomodation]]="camp",MAX(0,CampList[[#This Row],[HH]]-SUMIF(Table_Shelter[Pcode],CampList[[#This Row],[CP_Pcode]],Table_Shelter[HH Covered])),0)</f>
        <v>5</v>
      </c>
      <c r="AG180" s="664"/>
      <c r="AH180" s="693">
        <f>MIN(CampList[[#This Row],[Shelter Gap]],CampList[[#This Row],[Land Status]])</f>
        <v>5</v>
      </c>
      <c r="AI180" s="664" t="str">
        <f ca="1">IFERROR(OFFSET(DistanceToCamp[Nearest Town],MATCH(CampList[[#This Row],[CP_Pcode]],DistanceToCamp[CP_Pcode],0)-1,0,1,1),"")</f>
        <v>Sumprabum Town</v>
      </c>
      <c r="AJ180" s="697">
        <f ca="1">IFERROR(OFFSET(DistanceToCamp[distance],MATCH(CampList[[#This Row],[CP_Pcode]],DistanceToCamp[CP_Pcode],0)-1,0,1,1),"")</f>
        <v>0.23004407510846425</v>
      </c>
      <c r="AK180" s="698">
        <f ca="1">IFERROR(INT(CampList[[#This Row],[Distance]]/5)+1,"")</f>
        <v>1</v>
      </c>
    </row>
    <row r="181" spans="1:37" s="445" customFormat="1" ht="15.75" customHeight="1" x14ac:dyDescent="0.25">
      <c r="A181" s="717" t="s">
        <v>500</v>
      </c>
      <c r="B181" s="662" t="s">
        <v>380</v>
      </c>
      <c r="C181" s="662" t="s">
        <v>525</v>
      </c>
      <c r="D181" s="662" t="s">
        <v>237</v>
      </c>
      <c r="E181" s="662" t="s">
        <v>531</v>
      </c>
      <c r="F181" s="662" t="s">
        <v>310</v>
      </c>
      <c r="G181" s="662" t="s">
        <v>532</v>
      </c>
      <c r="H181" s="662" t="s">
        <v>727</v>
      </c>
      <c r="I181" s="662" t="s">
        <v>728</v>
      </c>
      <c r="J181" s="662"/>
      <c r="K181" s="707"/>
      <c r="L181" s="662" t="s">
        <v>813</v>
      </c>
      <c r="M181" s="662" t="s">
        <v>814</v>
      </c>
      <c r="N181" s="687">
        <v>97.541793999999996</v>
      </c>
      <c r="O181" s="687">
        <v>24.752471</v>
      </c>
      <c r="P181" s="711"/>
      <c r="Q181" s="689"/>
      <c r="R181" s="711">
        <v>1047</v>
      </c>
      <c r="S181" s="690" t="str">
        <f>IF(CampList[[#This Row],[HH]]&gt;0,CampList[[#This Row],[Total]]/CampList[[#This Row],[HH]],"NA")</f>
        <v>NA</v>
      </c>
      <c r="T181" s="664" t="s">
        <v>513</v>
      </c>
      <c r="U181" s="664" t="s">
        <v>1191</v>
      </c>
      <c r="V181" s="664" t="s">
        <v>986</v>
      </c>
      <c r="W181" s="664" t="s">
        <v>803</v>
      </c>
      <c r="X181" s="712"/>
      <c r="Y181" s="711"/>
      <c r="Z181" s="693"/>
      <c r="AA181" s="704" t="s">
        <v>572</v>
      </c>
      <c r="AB181" s="693"/>
      <c r="AC181" s="694">
        <v>41899</v>
      </c>
      <c r="AD181" s="695" t="s">
        <v>1115</v>
      </c>
      <c r="AE181" s="721" t="s">
        <v>1078</v>
      </c>
      <c r="AF181" s="483">
        <f>IF(CampList[[#This Row],[Type of Accomodation]]="camp",MAX(0,CampList[[#This Row],[HH]]-SUMIF(Table_Shelter[Pcode],CampList[[#This Row],[CP_Pcode]],Table_Shelter[HH Covered])),0)</f>
        <v>0</v>
      </c>
      <c r="AG181" s="664"/>
      <c r="AH181" s="693">
        <f>MIN(CampList[[#This Row],[Shelter Gap]],CampList[[#This Row],[Land Status]])</f>
        <v>0</v>
      </c>
      <c r="AI181" s="664" t="str">
        <f ca="1">IFERROR(OFFSET(DistanceToCamp[Nearest Town],MATCH(CampList[[#This Row],[CP_Pcode]],DistanceToCamp[CP_Pcode],0)-1,0,1,1),"")</f>
        <v>Laiza town</v>
      </c>
      <c r="AJ181" s="697">
        <f ca="1">IFERROR(OFFSET(DistanceToCamp[distance],MATCH(CampList[[#This Row],[CP_Pcode]],DistanceToCamp[CP_Pcode],0)-1,0,1,1),"")</f>
        <v>2.3307568207764655</v>
      </c>
      <c r="AK181" s="698">
        <f ca="1">IFERROR(INT(CampList[[#This Row],[Distance]]/5)+1,"")</f>
        <v>1</v>
      </c>
    </row>
    <row r="182" spans="1:37" s="445" customFormat="1" ht="15.75" hidden="1" customHeight="1" x14ac:dyDescent="0.25">
      <c r="A182" s="686" t="s">
        <v>843</v>
      </c>
      <c r="B182" s="662" t="s">
        <v>380</v>
      </c>
      <c r="C182" s="662" t="s">
        <v>525</v>
      </c>
      <c r="D182" s="662" t="s">
        <v>5</v>
      </c>
      <c r="E182" s="662" t="s">
        <v>529</v>
      </c>
      <c r="F182" s="662" t="s">
        <v>151</v>
      </c>
      <c r="G182" s="662" t="s">
        <v>539</v>
      </c>
      <c r="H182" s="695" t="s">
        <v>628</v>
      </c>
      <c r="I182" s="695" t="s">
        <v>629</v>
      </c>
      <c r="J182" s="662"/>
      <c r="K182" s="707"/>
      <c r="L182" s="662" t="s">
        <v>866</v>
      </c>
      <c r="M182" s="662" t="s">
        <v>867</v>
      </c>
      <c r="N182" s="687"/>
      <c r="O182" s="687"/>
      <c r="P182" s="711"/>
      <c r="Q182" s="705">
        <v>0</v>
      </c>
      <c r="R182" s="706">
        <v>0</v>
      </c>
      <c r="S182" s="690" t="str">
        <f>IF(CampList[[#This Row],[HH]]&gt;0,CampList[[#This Row],[Total]]/CampList[[#This Row],[HH]],"NA")</f>
        <v>NA</v>
      </c>
      <c r="T182" s="664" t="s">
        <v>513</v>
      </c>
      <c r="U182" s="699" t="s">
        <v>1191</v>
      </c>
      <c r="V182" s="664" t="s">
        <v>554</v>
      </c>
      <c r="W182" s="664"/>
      <c r="X182" s="712"/>
      <c r="Y182" s="711"/>
      <c r="Z182" s="693"/>
      <c r="AA182" s="704" t="s">
        <v>842</v>
      </c>
      <c r="AB182" s="693"/>
      <c r="AC182" s="723"/>
      <c r="AD182" s="686" t="s">
        <v>937</v>
      </c>
      <c r="AE182" s="721" t="s">
        <v>1007</v>
      </c>
      <c r="AF182" s="483">
        <f>IF(CampList[[#This Row],[Type of Accomodation]]="camp",MAX(0,CampList[[#This Row],[HH]]-SUMIF(Table_Shelter[Pcode],CampList[[#This Row],[CP_Pcode]],Table_Shelter[HH Covered])),0)</f>
        <v>0</v>
      </c>
      <c r="AG182" s="664"/>
      <c r="AH182" s="693">
        <f>MIN(CampList[[#This Row],[Shelter Gap]],CampList[[#This Row],[Land Status]])</f>
        <v>0</v>
      </c>
      <c r="AI182" s="664" t="str">
        <f ca="1">IFERROR(OFFSET(DistanceToCamp[Nearest Town],MATCH(CampList[[#This Row],[CP_Pcode]],DistanceToCamp[CP_Pcode],0)-1,0,1,1),"")</f>
        <v/>
      </c>
      <c r="AJ182" s="697" t="str">
        <f ca="1">IFERROR(OFFSET(DistanceToCamp[distance],MATCH(CampList[[#This Row],[CP_Pcode]],DistanceToCamp[CP_Pcode],0)-1,0,1,1),"")</f>
        <v/>
      </c>
      <c r="AK182" s="698" t="str">
        <f ca="1">IFERROR(INT(CampList[[#This Row],[Distance]]/5)+1,"")</f>
        <v/>
      </c>
    </row>
    <row r="183" spans="1:37" s="445" customFormat="1" ht="15.75" customHeight="1" x14ac:dyDescent="0.25">
      <c r="A183" s="708" t="s">
        <v>500</v>
      </c>
      <c r="B183" s="663" t="s">
        <v>380</v>
      </c>
      <c r="C183" s="663" t="s">
        <v>525</v>
      </c>
      <c r="D183" s="663" t="s">
        <v>237</v>
      </c>
      <c r="E183" s="663" t="s">
        <v>531</v>
      </c>
      <c r="F183" s="663" t="s">
        <v>27</v>
      </c>
      <c r="G183" s="663" t="s">
        <v>534</v>
      </c>
      <c r="H183" s="663" t="s">
        <v>1195</v>
      </c>
      <c r="I183" s="709" t="s">
        <v>1379</v>
      </c>
      <c r="J183" s="663" t="s">
        <v>716</v>
      </c>
      <c r="K183" s="663" t="s">
        <v>1380</v>
      </c>
      <c r="L183" s="663" t="s">
        <v>864</v>
      </c>
      <c r="M183" s="663" t="s">
        <v>863</v>
      </c>
      <c r="N183" s="689">
        <v>98.377780000000001</v>
      </c>
      <c r="O183" s="689">
        <v>25.60867</v>
      </c>
      <c r="P183" s="711">
        <v>2345</v>
      </c>
      <c r="Q183" s="689">
        <v>61</v>
      </c>
      <c r="R183" s="711">
        <v>273</v>
      </c>
      <c r="S183" s="690">
        <f>IF(CampList[[#This Row],[HH]]&gt;0,CampList[[#This Row],[Total]]/CampList[[#This Row],[HH]],"NA")</f>
        <v>4.4754098360655741</v>
      </c>
      <c r="T183" s="483" t="s">
        <v>511</v>
      </c>
      <c r="U183" s="664" t="s">
        <v>1191</v>
      </c>
      <c r="V183" s="483" t="s">
        <v>554</v>
      </c>
      <c r="W183" s="483" t="s">
        <v>856</v>
      </c>
      <c r="X183" s="712">
        <v>41091</v>
      </c>
      <c r="Y183" s="711">
        <v>1</v>
      </c>
      <c r="Z183" s="711" t="s">
        <v>1090</v>
      </c>
      <c r="AA183" s="689" t="s">
        <v>842</v>
      </c>
      <c r="AB183" s="689"/>
      <c r="AC183" s="694">
        <v>42745</v>
      </c>
      <c r="AD183" s="713" t="s">
        <v>1559</v>
      </c>
      <c r="AE183" s="696" t="s">
        <v>1077</v>
      </c>
      <c r="AF183" s="714">
        <f>IF(CampList[[#This Row],[Type of Accomodation]]="camp",MAX(0,CampList[[#This Row],[HH]]-SUMIF(Table_Shelter[Pcode],CampList[[#This Row],[CP_Pcode]],Table_Shelter[HH Covered])),0)</f>
        <v>61</v>
      </c>
      <c r="AG183" s="483"/>
      <c r="AH183" s="688">
        <f>MIN(CampList[[#This Row],[Shelter Gap]],CampList[[#This Row],[Land Status]])</f>
        <v>61</v>
      </c>
      <c r="AI183" s="714" t="str">
        <f ca="1">IFERROR(OFFSET(DistanceToCamp[Nearest Town],MATCH(CampList[[#This Row],[CP_Pcode]],DistanceToCamp[CP_Pcode],0)-1,0,1,1),"")</f>
        <v>Pang War Town</v>
      </c>
      <c r="AJ183" s="697">
        <f ca="1">IFERROR(OFFSET(DistanceToCamp[distance],MATCH(CampList[[#This Row],[CP_Pcode]],DistanceToCamp[CP_Pcode],0)-1,0,1,1),"")</f>
        <v>0.18710270881855062</v>
      </c>
      <c r="AK183" s="715">
        <f ca="1">IFERROR(INT(CampList[[#This Row],[Distance]]/5)+1,"")</f>
        <v>1</v>
      </c>
    </row>
    <row r="184" spans="1:37" s="445" customFormat="1" ht="15.75" hidden="1" customHeight="1" x14ac:dyDescent="0.25">
      <c r="A184" s="686" t="s">
        <v>843</v>
      </c>
      <c r="B184" s="662" t="s">
        <v>380</v>
      </c>
      <c r="C184" s="662" t="s">
        <v>525</v>
      </c>
      <c r="D184" s="662" t="s">
        <v>5</v>
      </c>
      <c r="E184" s="662" t="s">
        <v>529</v>
      </c>
      <c r="F184" s="662" t="s">
        <v>5</v>
      </c>
      <c r="G184" s="662" t="s">
        <v>530</v>
      </c>
      <c r="H184" s="695"/>
      <c r="I184" s="695"/>
      <c r="J184" s="695"/>
      <c r="K184" s="695"/>
      <c r="L184" s="662" t="s">
        <v>869</v>
      </c>
      <c r="M184" s="662" t="s">
        <v>855</v>
      </c>
      <c r="N184" s="687"/>
      <c r="O184" s="687"/>
      <c r="P184" s="703"/>
      <c r="Q184" s="705">
        <v>0</v>
      </c>
      <c r="R184" s="706">
        <v>0</v>
      </c>
      <c r="S184" s="690" t="str">
        <f>IF(CampList[[#This Row],[HH]]&gt;0,CampList[[#This Row],[Total]]/CampList[[#This Row],[HH]],"NA")</f>
        <v>NA</v>
      </c>
      <c r="T184" s="664" t="s">
        <v>511</v>
      </c>
      <c r="U184" s="699" t="s">
        <v>1191</v>
      </c>
      <c r="V184" s="664" t="s">
        <v>554</v>
      </c>
      <c r="W184" s="699" t="s">
        <v>803</v>
      </c>
      <c r="X184" s="700"/>
      <c r="Y184" s="701"/>
      <c r="Z184" s="700"/>
      <c r="AA184" s="704" t="s">
        <v>842</v>
      </c>
      <c r="AB184" s="693"/>
      <c r="AC184" s="694">
        <v>41701</v>
      </c>
      <c r="AD184" s="686" t="s">
        <v>1017</v>
      </c>
      <c r="AE184" s="696" t="s">
        <v>1007</v>
      </c>
      <c r="AF184" s="483">
        <f>IF(CampList[[#This Row],[Type of Accomodation]]="camp",MAX(0,CampList[[#This Row],[HH]]-SUMIF(Table_Shelter[Pcode],CampList[[#This Row],[CP_Pcode]],Table_Shelter[HH Covered])),0)</f>
        <v>0</v>
      </c>
      <c r="AG184" s="664"/>
      <c r="AH184" s="693">
        <f>MIN(CampList[[#This Row],[Shelter Gap]],CampList[[#This Row],[Land Status]])</f>
        <v>0</v>
      </c>
      <c r="AI184" s="664" t="str">
        <f ca="1">IFERROR(OFFSET(DistanceToCamp[Nearest Town],MATCH(CampList[[#This Row],[CP_Pcode]],DistanceToCamp[CP_Pcode],0)-1,0,1,1),"")</f>
        <v/>
      </c>
      <c r="AJ184" s="697" t="str">
        <f ca="1">IFERROR(OFFSET(DistanceToCamp[distance],MATCH(CampList[[#This Row],[CP_Pcode]],DistanceToCamp[CP_Pcode],0)-1,0,1,1),"")</f>
        <v/>
      </c>
      <c r="AK184" s="698" t="str">
        <f ca="1">IFERROR(INT(CampList[[#This Row],[Distance]]/5)+1,"")</f>
        <v/>
      </c>
    </row>
    <row r="185" spans="1:37" s="445" customFormat="1" ht="15.75" hidden="1" customHeight="1" x14ac:dyDescent="0.25">
      <c r="A185" s="686" t="s">
        <v>843</v>
      </c>
      <c r="B185" s="662" t="s">
        <v>380</v>
      </c>
      <c r="C185" s="662" t="s">
        <v>525</v>
      </c>
      <c r="D185" s="662" t="s">
        <v>5</v>
      </c>
      <c r="E185" s="662" t="s">
        <v>529</v>
      </c>
      <c r="F185" s="662" t="s">
        <v>151</v>
      </c>
      <c r="G185" s="662" t="s">
        <v>539</v>
      </c>
      <c r="H185" s="695" t="s">
        <v>872</v>
      </c>
      <c r="I185" s="695" t="s">
        <v>873</v>
      </c>
      <c r="J185" s="695" t="s">
        <v>871</v>
      </c>
      <c r="K185" s="695">
        <v>167391</v>
      </c>
      <c r="L185" s="662" t="s">
        <v>876</v>
      </c>
      <c r="M185" s="662" t="s">
        <v>870</v>
      </c>
      <c r="N185" s="687">
        <v>97.710989999999995</v>
      </c>
      <c r="O185" s="733">
        <v>24.181640000000002</v>
      </c>
      <c r="P185" s="710"/>
      <c r="Q185" s="705">
        <v>0</v>
      </c>
      <c r="R185" s="706">
        <v>0</v>
      </c>
      <c r="S185" s="690" t="str">
        <f>IF(CampList[[#This Row],[HH]]&gt;0,CampList[[#This Row],[Total]]/CampList[[#This Row],[HH]],"NA")</f>
        <v>NA</v>
      </c>
      <c r="T185" s="664" t="s">
        <v>511</v>
      </c>
      <c r="U185" s="699" t="s">
        <v>1191</v>
      </c>
      <c r="V185" s="664" t="s">
        <v>554</v>
      </c>
      <c r="W185" s="699"/>
      <c r="X185" s="719"/>
      <c r="Y185" s="710"/>
      <c r="Z185" s="720"/>
      <c r="AA185" s="704" t="s">
        <v>842</v>
      </c>
      <c r="AB185" s="693"/>
      <c r="AC185" s="694">
        <v>41701</v>
      </c>
      <c r="AD185" s="686" t="s">
        <v>1012</v>
      </c>
      <c r="AE185" s="721" t="s">
        <v>1007</v>
      </c>
      <c r="AF185" s="483">
        <f>IF(CampList[[#This Row],[Type of Accomodation]]="camp",MAX(0,CampList[[#This Row],[HH]]-SUMIF(Table_Shelter[Pcode],CampList[[#This Row],[CP_Pcode]],Table_Shelter[HH Covered])),0)</f>
        <v>0</v>
      </c>
      <c r="AG185" s="664"/>
      <c r="AH185" s="693">
        <f>MIN(CampList[[#This Row],[Shelter Gap]],CampList[[#This Row],[Land Status]])</f>
        <v>0</v>
      </c>
      <c r="AI185" s="664" t="str">
        <f ca="1">IFERROR(OFFSET(DistanceToCamp[Nearest Town],MATCH(CampList[[#This Row],[CP_Pcode]],DistanceToCamp[CP_Pcode],0)-1,0,1,1),"")</f>
        <v/>
      </c>
      <c r="AJ185" s="697" t="str">
        <f ca="1">IFERROR(OFFSET(DistanceToCamp[distance],MATCH(CampList[[#This Row],[CP_Pcode]],DistanceToCamp[CP_Pcode],0)-1,0,1,1),"")</f>
        <v/>
      </c>
      <c r="AK185" s="698" t="str">
        <f ca="1">IFERROR(INT(CampList[[#This Row],[Distance]]/5)+1,"")</f>
        <v/>
      </c>
    </row>
    <row r="186" spans="1:37" s="445" customFormat="1" ht="15.75" hidden="1" customHeight="1" x14ac:dyDescent="0.25">
      <c r="A186" s="686" t="s">
        <v>843</v>
      </c>
      <c r="B186" s="662" t="s">
        <v>380</v>
      </c>
      <c r="C186" s="662" t="s">
        <v>525</v>
      </c>
      <c r="D186" s="662" t="s">
        <v>5</v>
      </c>
      <c r="E186" s="662" t="s">
        <v>529</v>
      </c>
      <c r="F186" s="662" t="s">
        <v>151</v>
      </c>
      <c r="G186" s="662" t="s">
        <v>539</v>
      </c>
      <c r="H186" s="695" t="s">
        <v>872</v>
      </c>
      <c r="I186" s="695" t="s">
        <v>873</v>
      </c>
      <c r="J186" s="695" t="s">
        <v>871</v>
      </c>
      <c r="K186" s="695">
        <v>167391</v>
      </c>
      <c r="L186" s="662" t="s">
        <v>875</v>
      </c>
      <c r="M186" s="662" t="s">
        <v>874</v>
      </c>
      <c r="N186" s="687">
        <v>97.710989999999995</v>
      </c>
      <c r="O186" s="733">
        <v>24.181640000000002</v>
      </c>
      <c r="P186" s="710"/>
      <c r="Q186" s="705">
        <v>0</v>
      </c>
      <c r="R186" s="706">
        <v>0</v>
      </c>
      <c r="S186" s="690" t="str">
        <f>IF(CampList[[#This Row],[HH]]&gt;0,CampList[[#This Row],[Total]]/CampList[[#This Row],[HH]],"NA")</f>
        <v>NA</v>
      </c>
      <c r="T186" s="664" t="s">
        <v>511</v>
      </c>
      <c r="U186" s="699" t="s">
        <v>1191</v>
      </c>
      <c r="V186" s="664" t="s">
        <v>554</v>
      </c>
      <c r="W186" s="699"/>
      <c r="X186" s="719"/>
      <c r="Y186" s="710"/>
      <c r="Z186" s="720"/>
      <c r="AA186" s="704" t="s">
        <v>842</v>
      </c>
      <c r="AB186" s="693"/>
      <c r="AC186" s="694">
        <v>41701</v>
      </c>
      <c r="AD186" s="686" t="s">
        <v>1012</v>
      </c>
      <c r="AE186" s="721" t="s">
        <v>1007</v>
      </c>
      <c r="AF186" s="483">
        <f>IF(CampList[[#This Row],[Type of Accomodation]]="camp",MAX(0,CampList[[#This Row],[HH]]-SUMIF(Table_Shelter[Pcode],CampList[[#This Row],[CP_Pcode]],Table_Shelter[HH Covered])),0)</f>
        <v>0</v>
      </c>
      <c r="AG186" s="664"/>
      <c r="AH186" s="693">
        <f>MIN(CampList[[#This Row],[Shelter Gap]],CampList[[#This Row],[Land Status]])</f>
        <v>0</v>
      </c>
      <c r="AI186" s="664" t="str">
        <f ca="1">IFERROR(OFFSET(DistanceToCamp[Nearest Town],MATCH(CampList[[#This Row],[CP_Pcode]],DistanceToCamp[CP_Pcode],0)-1,0,1,1),"")</f>
        <v/>
      </c>
      <c r="AJ186" s="697" t="str">
        <f ca="1">IFERROR(OFFSET(DistanceToCamp[distance],MATCH(CampList[[#This Row],[CP_Pcode]],DistanceToCamp[CP_Pcode],0)-1,0,1,1),"")</f>
        <v/>
      </c>
      <c r="AK186" s="698" t="str">
        <f ca="1">IFERROR(INT(CampList[[#This Row],[Distance]]/5)+1,"")</f>
        <v/>
      </c>
    </row>
    <row r="187" spans="1:37" s="445" customFormat="1" ht="15.75" hidden="1" customHeight="1" x14ac:dyDescent="0.25">
      <c r="A187" s="686" t="s">
        <v>843</v>
      </c>
      <c r="B187" s="662" t="s">
        <v>380</v>
      </c>
      <c r="C187" s="662" t="s">
        <v>525</v>
      </c>
      <c r="D187" s="662" t="s">
        <v>5</v>
      </c>
      <c r="E187" s="662" t="s">
        <v>529</v>
      </c>
      <c r="F187" s="662" t="s">
        <v>151</v>
      </c>
      <c r="G187" s="662" t="s">
        <v>539</v>
      </c>
      <c r="H187" s="695"/>
      <c r="I187" s="695"/>
      <c r="J187" s="695"/>
      <c r="K187" s="695"/>
      <c r="L187" s="662" t="s">
        <v>878</v>
      </c>
      <c r="M187" s="662" t="s">
        <v>879</v>
      </c>
      <c r="N187" s="687"/>
      <c r="O187" s="687"/>
      <c r="P187" s="710"/>
      <c r="Q187" s="705">
        <v>0</v>
      </c>
      <c r="R187" s="706">
        <v>0</v>
      </c>
      <c r="S187" s="690" t="str">
        <f>IF(CampList[[#This Row],[HH]]&gt;0,CampList[[#This Row],[Total]]/CampList[[#This Row],[HH]],"NA")</f>
        <v>NA</v>
      </c>
      <c r="T187" s="664" t="s">
        <v>511</v>
      </c>
      <c r="U187" s="699" t="s">
        <v>1191</v>
      </c>
      <c r="V187" s="664" t="s">
        <v>554</v>
      </c>
      <c r="W187" s="699"/>
      <c r="X187" s="719"/>
      <c r="Y187" s="710"/>
      <c r="Z187" s="720"/>
      <c r="AA187" s="704" t="s">
        <v>842</v>
      </c>
      <c r="AB187" s="693"/>
      <c r="AC187" s="694">
        <v>41701</v>
      </c>
      <c r="AD187" s="686" t="s">
        <v>1010</v>
      </c>
      <c r="AE187" s="721" t="s">
        <v>1007</v>
      </c>
      <c r="AF187" s="483">
        <f>IF(CampList[[#This Row],[Type of Accomodation]]="camp",MAX(0,CampList[[#This Row],[HH]]-SUMIF(Table_Shelter[Pcode],CampList[[#This Row],[CP_Pcode]],Table_Shelter[HH Covered])),0)</f>
        <v>0</v>
      </c>
      <c r="AG187" s="664"/>
      <c r="AH187" s="693">
        <f>MIN(CampList[[#This Row],[Shelter Gap]],CampList[[#This Row],[Land Status]])</f>
        <v>0</v>
      </c>
      <c r="AI187" s="664" t="str">
        <f ca="1">IFERROR(OFFSET(DistanceToCamp[Nearest Town],MATCH(CampList[[#This Row],[CP_Pcode]],DistanceToCamp[CP_Pcode],0)-1,0,1,1),"")</f>
        <v/>
      </c>
      <c r="AJ187" s="697" t="str">
        <f ca="1">IFERROR(OFFSET(DistanceToCamp[distance],MATCH(CampList[[#This Row],[CP_Pcode]],DistanceToCamp[CP_Pcode],0)-1,0,1,1),"")</f>
        <v/>
      </c>
      <c r="AK187" s="698" t="str">
        <f ca="1">IFERROR(INT(CampList[[#This Row],[Distance]]/5)+1,"")</f>
        <v/>
      </c>
    </row>
    <row r="188" spans="1:37" s="445" customFormat="1" ht="15.75" hidden="1" customHeight="1" x14ac:dyDescent="0.25">
      <c r="A188" s="686" t="s">
        <v>843</v>
      </c>
      <c r="B188" s="662" t="s">
        <v>380</v>
      </c>
      <c r="C188" s="662" t="s">
        <v>525</v>
      </c>
      <c r="D188" s="662" t="s">
        <v>5</v>
      </c>
      <c r="E188" s="662" t="s">
        <v>529</v>
      </c>
      <c r="F188" s="662" t="s">
        <v>151</v>
      </c>
      <c r="G188" s="662" t="s">
        <v>539</v>
      </c>
      <c r="H188" s="695"/>
      <c r="I188" s="695"/>
      <c r="J188" s="695"/>
      <c r="K188" s="695"/>
      <c r="L188" s="662" t="s">
        <v>882</v>
      </c>
      <c r="M188" s="662" t="s">
        <v>880</v>
      </c>
      <c r="N188" s="687"/>
      <c r="O188" s="687"/>
      <c r="P188" s="710"/>
      <c r="Q188" s="705">
        <v>0</v>
      </c>
      <c r="R188" s="706">
        <v>0</v>
      </c>
      <c r="S188" s="690" t="str">
        <f>IF(CampList[[#This Row],[HH]]&gt;0,CampList[[#This Row],[Total]]/CampList[[#This Row],[HH]],"NA")</f>
        <v>NA</v>
      </c>
      <c r="T188" s="664" t="s">
        <v>511</v>
      </c>
      <c r="U188" s="699" t="s">
        <v>1191</v>
      </c>
      <c r="V188" s="664" t="s">
        <v>554</v>
      </c>
      <c r="W188" s="699"/>
      <c r="X188" s="719"/>
      <c r="Y188" s="710"/>
      <c r="Z188" s="720"/>
      <c r="AA188" s="704" t="s">
        <v>842</v>
      </c>
      <c r="AB188" s="693"/>
      <c r="AC188" s="694">
        <v>41701</v>
      </c>
      <c r="AD188" s="686" t="s">
        <v>1010</v>
      </c>
      <c r="AE188" s="721" t="s">
        <v>1007</v>
      </c>
      <c r="AF188" s="483">
        <f>IF(CampList[[#This Row],[Type of Accomodation]]="camp",MAX(0,CampList[[#This Row],[HH]]-SUMIF(Table_Shelter[Pcode],CampList[[#This Row],[CP_Pcode]],Table_Shelter[HH Covered])),0)</f>
        <v>0</v>
      </c>
      <c r="AG188" s="664"/>
      <c r="AH188" s="693">
        <f>MIN(CampList[[#This Row],[Shelter Gap]],CampList[[#This Row],[Land Status]])</f>
        <v>0</v>
      </c>
      <c r="AI188" s="664" t="str">
        <f ca="1">IFERROR(OFFSET(DistanceToCamp[Nearest Town],MATCH(CampList[[#This Row],[CP_Pcode]],DistanceToCamp[CP_Pcode],0)-1,0,1,1),"")</f>
        <v/>
      </c>
      <c r="AJ188" s="697" t="str">
        <f ca="1">IFERROR(OFFSET(DistanceToCamp[distance],MATCH(CampList[[#This Row],[CP_Pcode]],DistanceToCamp[CP_Pcode],0)-1,0,1,1),"")</f>
        <v/>
      </c>
      <c r="AK188" s="698" t="str">
        <f ca="1">IFERROR(INT(CampList[[#This Row],[Distance]]/5)+1,"")</f>
        <v/>
      </c>
    </row>
    <row r="189" spans="1:37" s="445" customFormat="1" ht="15.75" hidden="1" customHeight="1" x14ac:dyDescent="0.25">
      <c r="A189" s="686" t="s">
        <v>843</v>
      </c>
      <c r="B189" s="662" t="s">
        <v>380</v>
      </c>
      <c r="C189" s="662" t="s">
        <v>525</v>
      </c>
      <c r="D189" s="662" t="s">
        <v>5</v>
      </c>
      <c r="E189" s="662" t="s">
        <v>529</v>
      </c>
      <c r="F189" s="662" t="s">
        <v>151</v>
      </c>
      <c r="G189" s="662" t="s">
        <v>539</v>
      </c>
      <c r="H189" s="695"/>
      <c r="I189" s="695"/>
      <c r="J189" s="695"/>
      <c r="K189" s="695"/>
      <c r="L189" s="662" t="s">
        <v>877</v>
      </c>
      <c r="M189" s="662" t="s">
        <v>881</v>
      </c>
      <c r="N189" s="687"/>
      <c r="O189" s="687"/>
      <c r="P189" s="710"/>
      <c r="Q189" s="705">
        <v>0</v>
      </c>
      <c r="R189" s="706">
        <v>0</v>
      </c>
      <c r="S189" s="690" t="str">
        <f>IF(CampList[[#This Row],[HH]]&gt;0,CampList[[#This Row],[Total]]/CampList[[#This Row],[HH]],"NA")</f>
        <v>NA</v>
      </c>
      <c r="T189" s="664" t="s">
        <v>511</v>
      </c>
      <c r="U189" s="699" t="s">
        <v>1191</v>
      </c>
      <c r="V189" s="664" t="s">
        <v>12</v>
      </c>
      <c r="W189" s="699" t="s">
        <v>856</v>
      </c>
      <c r="X189" s="719"/>
      <c r="Y189" s="710"/>
      <c r="Z189" s="720"/>
      <c r="AA189" s="704" t="s">
        <v>842</v>
      </c>
      <c r="AB189" s="693"/>
      <c r="AC189" s="694">
        <v>42090</v>
      </c>
      <c r="AD189" s="686" t="s">
        <v>1237</v>
      </c>
      <c r="AE189" s="721" t="s">
        <v>1093</v>
      </c>
      <c r="AF189" s="483">
        <f>IF(CampList[[#This Row],[Type of Accomodation]]="camp",MAX(0,CampList[[#This Row],[HH]]-SUMIF(Table_Shelter[Pcode],CampList[[#This Row],[CP_Pcode]],Table_Shelter[HH Covered])),0)</f>
        <v>0</v>
      </c>
      <c r="AG189" s="664"/>
      <c r="AH189" s="693">
        <f>MIN(CampList[[#This Row],[Shelter Gap]],CampList[[#This Row],[Land Status]])</f>
        <v>0</v>
      </c>
      <c r="AI189" s="664" t="str">
        <f ca="1">IFERROR(OFFSET(DistanceToCamp[Nearest Town],MATCH(CampList[[#This Row],[CP_Pcode]],DistanceToCamp[CP_Pcode],0)-1,0,1,1),"")</f>
        <v/>
      </c>
      <c r="AJ189" s="697" t="str">
        <f ca="1">IFERROR(OFFSET(DistanceToCamp[distance],MATCH(CampList[[#This Row],[CP_Pcode]],DistanceToCamp[CP_Pcode],0)-1,0,1,1),"")</f>
        <v/>
      </c>
      <c r="AK189" s="698" t="str">
        <f ca="1">IFERROR(INT(CampList[[#This Row],[Distance]]/5)+1,"")</f>
        <v/>
      </c>
    </row>
    <row r="190" spans="1:37" s="445" customFormat="1" ht="15.75" hidden="1" customHeight="1" x14ac:dyDescent="0.25">
      <c r="A190" s="686" t="s">
        <v>843</v>
      </c>
      <c r="B190" s="662" t="s">
        <v>380</v>
      </c>
      <c r="C190" s="662" t="s">
        <v>525</v>
      </c>
      <c r="D190" s="662" t="s">
        <v>5</v>
      </c>
      <c r="E190" s="662" t="s">
        <v>529</v>
      </c>
      <c r="F190" s="662" t="s">
        <v>151</v>
      </c>
      <c r="G190" s="662" t="s">
        <v>539</v>
      </c>
      <c r="H190" s="695"/>
      <c r="I190" s="695"/>
      <c r="J190" s="695"/>
      <c r="K190" s="695"/>
      <c r="L190" s="662" t="s">
        <v>884</v>
      </c>
      <c r="M190" s="662" t="s">
        <v>883</v>
      </c>
      <c r="N190" s="687"/>
      <c r="O190" s="733"/>
      <c r="P190" s="710"/>
      <c r="Q190" s="705">
        <v>0</v>
      </c>
      <c r="R190" s="706">
        <v>0</v>
      </c>
      <c r="S190" s="690" t="str">
        <f>IF(CampList[[#This Row],[HH]]&gt;0,CampList[[#This Row],[Total]]/CampList[[#This Row],[HH]],"NA")</f>
        <v>NA</v>
      </c>
      <c r="T190" s="664" t="s">
        <v>511</v>
      </c>
      <c r="U190" s="699" t="s">
        <v>1191</v>
      </c>
      <c r="V190" s="664" t="s">
        <v>856</v>
      </c>
      <c r="W190" s="699"/>
      <c r="X190" s="719"/>
      <c r="Y190" s="710"/>
      <c r="Z190" s="720"/>
      <c r="AA190" s="704" t="s">
        <v>842</v>
      </c>
      <c r="AB190" s="693"/>
      <c r="AC190" s="694">
        <v>41677</v>
      </c>
      <c r="AD190" s="686" t="s">
        <v>943</v>
      </c>
      <c r="AE190" s="721" t="s">
        <v>1007</v>
      </c>
      <c r="AF190" s="483">
        <f>IF(CampList[[#This Row],[Type of Accomodation]]="camp",MAX(0,CampList[[#This Row],[HH]]-SUMIF(Table_Shelter[Pcode],CampList[[#This Row],[CP_Pcode]],Table_Shelter[HH Covered])),0)</f>
        <v>0</v>
      </c>
      <c r="AG190" s="664"/>
      <c r="AH190" s="693">
        <f>MIN(CampList[[#This Row],[Shelter Gap]],CampList[[#This Row],[Land Status]])</f>
        <v>0</v>
      </c>
      <c r="AI190" s="664" t="str">
        <f ca="1">IFERROR(OFFSET(DistanceToCamp[Nearest Town],MATCH(CampList[[#This Row],[CP_Pcode]],DistanceToCamp[CP_Pcode],0)-1,0,1,1),"")</f>
        <v/>
      </c>
      <c r="AJ190" s="697" t="str">
        <f ca="1">IFERROR(OFFSET(DistanceToCamp[distance],MATCH(CampList[[#This Row],[CP_Pcode]],DistanceToCamp[CP_Pcode],0)-1,0,1,1),"")</f>
        <v/>
      </c>
      <c r="AK190" s="698" t="str">
        <f ca="1">IFERROR(INT(CampList[[#This Row],[Distance]]/5)+1,"")</f>
        <v/>
      </c>
    </row>
    <row r="191" spans="1:37" s="445" customFormat="1" ht="15.75" customHeight="1" x14ac:dyDescent="0.25">
      <c r="A191" s="686" t="s">
        <v>500</v>
      </c>
      <c r="B191" s="662" t="s">
        <v>380</v>
      </c>
      <c r="C191" s="662" t="s">
        <v>525</v>
      </c>
      <c r="D191" s="662" t="s">
        <v>5</v>
      </c>
      <c r="E191" s="662" t="s">
        <v>529</v>
      </c>
      <c r="F191" s="662" t="s">
        <v>151</v>
      </c>
      <c r="G191" s="662" t="s">
        <v>539</v>
      </c>
      <c r="H191" s="662" t="s">
        <v>885</v>
      </c>
      <c r="I191" s="662" t="s">
        <v>1383</v>
      </c>
      <c r="J191" s="662" t="s">
        <v>885</v>
      </c>
      <c r="K191" s="662">
        <v>167301</v>
      </c>
      <c r="L191" s="662" t="s">
        <v>885</v>
      </c>
      <c r="M191" s="662" t="s">
        <v>886</v>
      </c>
      <c r="N191" s="687">
        <v>97.225881000000001</v>
      </c>
      <c r="O191" s="687">
        <v>23.972453000000002</v>
      </c>
      <c r="P191" s="711">
        <v>466</v>
      </c>
      <c r="Q191" s="689">
        <v>374</v>
      </c>
      <c r="R191" s="689">
        <v>1662</v>
      </c>
      <c r="S191" s="690">
        <f>IF(CampList[[#This Row],[HH]]&gt;0,CampList[[#This Row],[Total]]/CampList[[#This Row],[HH]],"NA")</f>
        <v>4.4438502673796796</v>
      </c>
      <c r="T191" s="664" t="s">
        <v>511</v>
      </c>
      <c r="U191" s="664" t="s">
        <v>1191</v>
      </c>
      <c r="V191" s="664" t="s">
        <v>554</v>
      </c>
      <c r="W191" s="664" t="s">
        <v>856</v>
      </c>
      <c r="X191" s="691">
        <v>41548</v>
      </c>
      <c r="Y191" s="692">
        <v>2</v>
      </c>
      <c r="Z191" s="691" t="s">
        <v>460</v>
      </c>
      <c r="AA191" s="704" t="s">
        <v>842</v>
      </c>
      <c r="AB191" s="693"/>
      <c r="AC191" s="694">
        <v>42745</v>
      </c>
      <c r="AD191" s="686" t="s">
        <v>1494</v>
      </c>
      <c r="AE191" s="696" t="s">
        <v>1093</v>
      </c>
      <c r="AF191" s="483">
        <f>IF(CampList[[#This Row],[Type of Accomodation]]="camp",MAX(0,CampList[[#This Row],[HH]]-SUMIF(Table_Shelter[Pcode],CampList[[#This Row],[CP_Pcode]],Table_Shelter[HH Covered])),0)</f>
        <v>65</v>
      </c>
      <c r="AG191" s="664"/>
      <c r="AH191" s="693">
        <f>MIN(CampList[[#This Row],[Shelter Gap]],CampList[[#This Row],[Land Status]])</f>
        <v>65</v>
      </c>
      <c r="AI191" s="664" t="str">
        <f ca="1">IFERROR(OFFSET(DistanceToCamp[Nearest Town],MATCH(CampList[[#This Row],[CP_Pcode]],DistanceToCamp[CP_Pcode],0)-1,0,1,1),"")</f>
        <v>Mansi Town</v>
      </c>
      <c r="AJ191" s="697">
        <f ca="1">IFERROR(OFFSET(DistanceToCamp[distance],MATCH(CampList[[#This Row],[CP_Pcode]],DistanceToCamp[CP_Pcode],0)-1,0,1,1),"")</f>
        <v>17.731070777343263</v>
      </c>
      <c r="AK191" s="698">
        <f ca="1">IFERROR(INT(CampList[[#This Row],[Distance]]/5)+1,"")</f>
        <v>4</v>
      </c>
    </row>
    <row r="192" spans="1:37" s="445" customFormat="1" ht="15.75" hidden="1" customHeight="1" x14ac:dyDescent="0.25">
      <c r="A192" s="686" t="s">
        <v>843</v>
      </c>
      <c r="B192" s="662" t="s">
        <v>380</v>
      </c>
      <c r="C192" s="662" t="s">
        <v>525</v>
      </c>
      <c r="D192" s="662" t="s">
        <v>5</v>
      </c>
      <c r="E192" s="662" t="s">
        <v>529</v>
      </c>
      <c r="F192" s="662" t="s">
        <v>151</v>
      </c>
      <c r="G192" s="662" t="s">
        <v>539</v>
      </c>
      <c r="H192" s="662"/>
      <c r="I192" s="662"/>
      <c r="J192" s="662"/>
      <c r="K192" s="662"/>
      <c r="L192" s="662" t="s">
        <v>887</v>
      </c>
      <c r="M192" s="662" t="s">
        <v>888</v>
      </c>
      <c r="N192" s="689"/>
      <c r="O192" s="689"/>
      <c r="P192" s="711"/>
      <c r="Q192" s="705">
        <v>0</v>
      </c>
      <c r="R192" s="706">
        <v>0</v>
      </c>
      <c r="S192" s="690" t="str">
        <f>IF(CampList[[#This Row],[HH]]&gt;0,CampList[[#This Row],[Total]]/CampList[[#This Row],[HH]],"NA")</f>
        <v>NA</v>
      </c>
      <c r="T192" s="664" t="s">
        <v>511</v>
      </c>
      <c r="U192" s="699" t="s">
        <v>1191</v>
      </c>
      <c r="V192" s="664" t="s">
        <v>554</v>
      </c>
      <c r="W192" s="664" t="s">
        <v>856</v>
      </c>
      <c r="X192" s="712"/>
      <c r="Y192" s="711"/>
      <c r="Z192" s="693"/>
      <c r="AA192" s="693" t="s">
        <v>842</v>
      </c>
      <c r="AB192" s="693"/>
      <c r="AC192" s="694">
        <v>41652</v>
      </c>
      <c r="AD192" s="686" t="s">
        <v>928</v>
      </c>
      <c r="AE192" s="721" t="s">
        <v>1007</v>
      </c>
      <c r="AF192" s="483">
        <f>IF(CampList[[#This Row],[Type of Accomodation]]="camp",MAX(0,CampList[[#This Row],[HH]]-SUMIF(Table_Shelter[Pcode],CampList[[#This Row],[CP_Pcode]],Table_Shelter[HH Covered])),0)</f>
        <v>0</v>
      </c>
      <c r="AG192" s="664"/>
      <c r="AH192" s="693">
        <f>MIN(CampList[[#This Row],[Shelter Gap]],CampList[[#This Row],[Land Status]])</f>
        <v>0</v>
      </c>
      <c r="AI192" s="664" t="str">
        <f ca="1">IFERROR(OFFSET(DistanceToCamp[Nearest Town],MATCH(CampList[[#This Row],[CP_Pcode]],DistanceToCamp[CP_Pcode],0)-1,0,1,1),"")</f>
        <v/>
      </c>
      <c r="AJ192" s="697" t="str">
        <f ca="1">IFERROR(OFFSET(DistanceToCamp[distance],MATCH(CampList[[#This Row],[CP_Pcode]],DistanceToCamp[CP_Pcode],0)-1,0,1,1),"")</f>
        <v/>
      </c>
      <c r="AK192" s="698" t="str">
        <f ca="1">IFERROR(INT(CampList[[#This Row],[Distance]]/5)+1,"")</f>
        <v/>
      </c>
    </row>
    <row r="193" spans="1:37" s="445" customFormat="1" ht="15.75" hidden="1" customHeight="1" x14ac:dyDescent="0.25">
      <c r="A193" s="686" t="s">
        <v>843</v>
      </c>
      <c r="B193" s="662" t="s">
        <v>380</v>
      </c>
      <c r="C193" s="662" t="s">
        <v>525</v>
      </c>
      <c r="D193" s="662" t="s">
        <v>300</v>
      </c>
      <c r="E193" s="662" t="s">
        <v>546</v>
      </c>
      <c r="F193" s="662" t="s">
        <v>300</v>
      </c>
      <c r="G193" s="662" t="s">
        <v>552</v>
      </c>
      <c r="H193" s="662" t="s">
        <v>1029</v>
      </c>
      <c r="I193" s="662" t="s">
        <v>1030</v>
      </c>
      <c r="J193" s="662" t="s">
        <v>1031</v>
      </c>
      <c r="K193" s="662">
        <v>167567</v>
      </c>
      <c r="L193" s="662" t="s">
        <v>890</v>
      </c>
      <c r="M193" s="662" t="s">
        <v>891</v>
      </c>
      <c r="N193" s="687">
        <v>97.58184</v>
      </c>
      <c r="O193" s="687">
        <v>27.270199999999999</v>
      </c>
      <c r="P193" s="688">
        <v>372.9</v>
      </c>
      <c r="Q193" s="688">
        <v>0</v>
      </c>
      <c r="R193" s="711">
        <v>0</v>
      </c>
      <c r="S193" s="690" t="str">
        <f>IF(CampList[[#This Row],[HH]]&gt;0,CampList[[#This Row],[Total]]/CampList[[#This Row],[HH]],"NA")</f>
        <v>NA</v>
      </c>
      <c r="T193" s="664" t="s">
        <v>511</v>
      </c>
      <c r="U193" s="699" t="s">
        <v>1191</v>
      </c>
      <c r="V193" s="664" t="s">
        <v>554</v>
      </c>
      <c r="W193" s="699" t="s">
        <v>856</v>
      </c>
      <c r="X193" s="700">
        <v>41487</v>
      </c>
      <c r="Y193" s="701"/>
      <c r="Z193" s="700"/>
      <c r="AA193" s="693" t="s">
        <v>842</v>
      </c>
      <c r="AB193" s="693"/>
      <c r="AC193" s="694">
        <v>41725</v>
      </c>
      <c r="AD193" s="695" t="s">
        <v>1265</v>
      </c>
      <c r="AE193" s="696" t="s">
        <v>1079</v>
      </c>
      <c r="AF193" s="483">
        <f>IF(CampList[[#This Row],[Type of Accomodation]]="camp",MAX(0,CampList[[#This Row],[HH]]-SUMIF(Table_Shelter[Pcode],CampList[[#This Row],[CP_Pcode]],Table_Shelter[HH Covered])),0)</f>
        <v>0</v>
      </c>
      <c r="AG193" s="664"/>
      <c r="AH193" s="693">
        <f>MIN(CampList[[#This Row],[Shelter Gap]],CampList[[#This Row],[Land Status]])</f>
        <v>0</v>
      </c>
      <c r="AI193" s="664" t="str">
        <f ca="1">IFERROR(OFFSET(DistanceToCamp[Nearest Town],MATCH(CampList[[#This Row],[CP_Pcode]],DistanceToCamp[CP_Pcode],0)-1,0,1,1),"")</f>
        <v>Machanbaw Town</v>
      </c>
      <c r="AJ193" s="697">
        <f ca="1">IFERROR(OFFSET(DistanceToCamp[distance],MATCH(CampList[[#This Row],[CP_Pcode]],DistanceToCamp[CP_Pcode],0)-1,0,1,1),"")</f>
        <v>1.7005689699647599</v>
      </c>
      <c r="AK193" s="698">
        <f ca="1">IFERROR(INT(CampList[[#This Row],[Distance]]/5)+1,"")</f>
        <v>1</v>
      </c>
    </row>
    <row r="194" spans="1:37" s="445" customFormat="1" ht="15.75" hidden="1" customHeight="1" x14ac:dyDescent="0.25">
      <c r="A194" s="686" t="s">
        <v>843</v>
      </c>
      <c r="B194" s="662" t="s">
        <v>380</v>
      </c>
      <c r="C194" s="662" t="s">
        <v>525</v>
      </c>
      <c r="D194" s="662" t="s">
        <v>300</v>
      </c>
      <c r="E194" s="662" t="s">
        <v>546</v>
      </c>
      <c r="F194" s="662" t="s">
        <v>892</v>
      </c>
      <c r="G194" s="662" t="s">
        <v>893</v>
      </c>
      <c r="H194" s="662"/>
      <c r="I194" s="662"/>
      <c r="J194" s="662"/>
      <c r="K194" s="662"/>
      <c r="L194" s="662" t="s">
        <v>894</v>
      </c>
      <c r="M194" s="662" t="s">
        <v>895</v>
      </c>
      <c r="N194" s="687">
        <v>97.586470000000006</v>
      </c>
      <c r="O194" s="687">
        <v>27.274059999999999</v>
      </c>
      <c r="P194" s="711">
        <v>403</v>
      </c>
      <c r="Q194" s="689">
        <v>0</v>
      </c>
      <c r="R194" s="711">
        <v>0</v>
      </c>
      <c r="S194" s="690" t="str">
        <f>IF(CampList[[#This Row],[HH]]&gt;0,CampList[[#This Row],[Total]]/CampList[[#This Row],[HH]],"NA")</f>
        <v>NA</v>
      </c>
      <c r="T194" s="664" t="s">
        <v>511</v>
      </c>
      <c r="U194" s="699" t="s">
        <v>1191</v>
      </c>
      <c r="V194" s="664" t="s">
        <v>554</v>
      </c>
      <c r="W194" s="664" t="s">
        <v>856</v>
      </c>
      <c r="X194" s="712">
        <v>41518</v>
      </c>
      <c r="Y194" s="711"/>
      <c r="Z194" s="734"/>
      <c r="AA194" s="693" t="s">
        <v>842</v>
      </c>
      <c r="AB194" s="693"/>
      <c r="AC194" s="694">
        <v>42180</v>
      </c>
      <c r="AD194" s="686" t="s">
        <v>1264</v>
      </c>
      <c r="AE194" s="721" t="s">
        <v>1079</v>
      </c>
      <c r="AF194" s="483">
        <f>IF(CampList[[#This Row],[Type of Accomodation]]="camp",MAX(0,CampList[[#This Row],[HH]]-SUMIF(Table_Shelter[Pcode],CampList[[#This Row],[CP_Pcode]],Table_Shelter[HH Covered])),0)</f>
        <v>0</v>
      </c>
      <c r="AG194" s="664"/>
      <c r="AH194" s="693">
        <f>MIN(CampList[[#This Row],[Shelter Gap]],CampList[[#This Row],[Land Status]])</f>
        <v>0</v>
      </c>
      <c r="AI194" s="664" t="str">
        <f ca="1">IFERROR(OFFSET(DistanceToCamp[Nearest Town],MATCH(CampList[[#This Row],[CP_Pcode]],DistanceToCamp[CP_Pcode],0)-1,0,1,1),"")</f>
        <v>Machanbaw Town</v>
      </c>
      <c r="AJ194" s="697">
        <f ca="1">IFERROR(OFFSET(DistanceToCamp[distance],MATCH(CampList[[#This Row],[CP_Pcode]],DistanceToCamp[CP_Pcode],0)-1,0,1,1),"")</f>
        <v>1.136583238544624</v>
      </c>
      <c r="AK194" s="698">
        <f ca="1">IFERROR(INT(CampList[[#This Row],[Distance]]/5)+1,"")</f>
        <v>1</v>
      </c>
    </row>
    <row r="195" spans="1:37" s="445" customFormat="1" ht="15.75" hidden="1" customHeight="1" x14ac:dyDescent="0.25">
      <c r="A195" s="686" t="s">
        <v>843</v>
      </c>
      <c r="B195" s="662" t="s">
        <v>380</v>
      </c>
      <c r="C195" s="662" t="s">
        <v>525</v>
      </c>
      <c r="D195" s="662" t="s">
        <v>5</v>
      </c>
      <c r="E195" s="662" t="s">
        <v>529</v>
      </c>
      <c r="F195" s="662" t="s">
        <v>5</v>
      </c>
      <c r="G195" s="662" t="s">
        <v>530</v>
      </c>
      <c r="H195" s="662"/>
      <c r="I195" s="662"/>
      <c r="J195" s="662"/>
      <c r="K195" s="662"/>
      <c r="L195" s="662" t="s">
        <v>897</v>
      </c>
      <c r="M195" s="662" t="s">
        <v>896</v>
      </c>
      <c r="N195" s="687"/>
      <c r="O195" s="687"/>
      <c r="P195" s="711"/>
      <c r="Q195" s="705">
        <v>0</v>
      </c>
      <c r="R195" s="706">
        <v>0</v>
      </c>
      <c r="S195" s="690" t="str">
        <f>IF(CampList[[#This Row],[HH]]&gt;0,CampList[[#This Row],[Total]]/CampList[[#This Row],[HH]],"NA")</f>
        <v>NA</v>
      </c>
      <c r="T195" s="664" t="s">
        <v>511</v>
      </c>
      <c r="U195" s="699" t="s">
        <v>1191</v>
      </c>
      <c r="V195" s="664" t="s">
        <v>554</v>
      </c>
      <c r="W195" s="699" t="s">
        <v>803</v>
      </c>
      <c r="X195" s="712"/>
      <c r="Y195" s="711"/>
      <c r="Z195" s="693"/>
      <c r="AA195" s="704" t="s">
        <v>842</v>
      </c>
      <c r="AB195" s="693"/>
      <c r="AC195" s="694">
        <v>41702</v>
      </c>
      <c r="AD195" s="695" t="s">
        <v>1016</v>
      </c>
      <c r="AE195" s="721" t="s">
        <v>1007</v>
      </c>
      <c r="AF195" s="483">
        <f>IF(CampList[[#This Row],[Type of Accomodation]]="camp",MAX(0,CampList[[#This Row],[HH]]-SUMIF(Table_Shelter[Pcode],CampList[[#This Row],[CP_Pcode]],Table_Shelter[HH Covered])),0)</f>
        <v>0</v>
      </c>
      <c r="AG195" s="664"/>
      <c r="AH195" s="693">
        <f>MIN(CampList[[#This Row],[Shelter Gap]],CampList[[#This Row],[Land Status]])</f>
        <v>0</v>
      </c>
      <c r="AI195" s="664" t="str">
        <f ca="1">IFERROR(OFFSET(DistanceToCamp[Nearest Town],MATCH(CampList[[#This Row],[CP_Pcode]],DistanceToCamp[CP_Pcode],0)-1,0,1,1),"")</f>
        <v/>
      </c>
      <c r="AJ195" s="697" t="str">
        <f ca="1">IFERROR(OFFSET(DistanceToCamp[distance],MATCH(CampList[[#This Row],[CP_Pcode]],DistanceToCamp[CP_Pcode],0)-1,0,1,1),"")</f>
        <v/>
      </c>
      <c r="AK195" s="698" t="str">
        <f ca="1">IFERROR(INT(CampList[[#This Row],[Distance]]/5)+1,"")</f>
        <v/>
      </c>
    </row>
    <row r="196" spans="1:37" s="445" customFormat="1" ht="15.75" customHeight="1" x14ac:dyDescent="0.25">
      <c r="A196" s="686" t="s">
        <v>500</v>
      </c>
      <c r="B196" s="662" t="s">
        <v>380</v>
      </c>
      <c r="C196" s="662" t="s">
        <v>525</v>
      </c>
      <c r="D196" s="662" t="s">
        <v>5</v>
      </c>
      <c r="E196" s="662" t="s">
        <v>529</v>
      </c>
      <c r="F196" s="662" t="s">
        <v>151</v>
      </c>
      <c r="G196" s="662" t="s">
        <v>539</v>
      </c>
      <c r="H196" s="662" t="s">
        <v>885</v>
      </c>
      <c r="I196" s="662" t="s">
        <v>1383</v>
      </c>
      <c r="J196" s="662" t="s">
        <v>885</v>
      </c>
      <c r="K196" s="662">
        <v>167301</v>
      </c>
      <c r="L196" s="662" t="s">
        <v>942</v>
      </c>
      <c r="M196" s="662" t="s">
        <v>941</v>
      </c>
      <c r="N196" s="687">
        <v>97.227057000000002</v>
      </c>
      <c r="O196" s="687">
        <v>23.976571</v>
      </c>
      <c r="P196" s="711">
        <v>478</v>
      </c>
      <c r="Q196" s="727">
        <v>140</v>
      </c>
      <c r="R196" s="727">
        <v>639</v>
      </c>
      <c r="S196" s="690">
        <f>IF(CampList[[#This Row],[HH]]&gt;0,CampList[[#This Row],[Total]]/CampList[[#This Row],[HH]],"NA")</f>
        <v>4.5642857142857141</v>
      </c>
      <c r="T196" s="664" t="s">
        <v>511</v>
      </c>
      <c r="U196" s="664" t="s">
        <v>1191</v>
      </c>
      <c r="V196" s="664" t="s">
        <v>554</v>
      </c>
      <c r="W196" s="664" t="s">
        <v>856</v>
      </c>
      <c r="X196" s="691">
        <v>41548</v>
      </c>
      <c r="Y196" s="711">
        <v>2</v>
      </c>
      <c r="Z196" s="691" t="s">
        <v>1089</v>
      </c>
      <c r="AA196" s="693" t="s">
        <v>842</v>
      </c>
      <c r="AB196" s="693"/>
      <c r="AC196" s="694">
        <v>42745</v>
      </c>
      <c r="AD196" s="695" t="s">
        <v>1537</v>
      </c>
      <c r="AE196" s="721" t="s">
        <v>1093</v>
      </c>
      <c r="AF196" s="483">
        <f>IF(CampList[[#This Row],[Type of Accomodation]]="camp",MAX(0,CampList[[#This Row],[HH]]-SUMIF(Table_Shelter[Pcode],CampList[[#This Row],[CP_Pcode]],Table_Shelter[HH Covered])),0)</f>
        <v>90</v>
      </c>
      <c r="AG196" s="664"/>
      <c r="AH196" s="693">
        <f>MIN(CampList[[#This Row],[Shelter Gap]],CampList[[#This Row],[Land Status]])</f>
        <v>90</v>
      </c>
      <c r="AI196" s="664" t="str">
        <f ca="1">IFERROR(OFFSET(DistanceToCamp[Nearest Town],MATCH(CampList[[#This Row],[CP_Pcode]],DistanceToCamp[CP_Pcode],0)-1,0,1,1),"")</f>
        <v>Kamaing Town</v>
      </c>
      <c r="AJ196" s="697">
        <f ca="1">IFERROR(OFFSET(DistanceToCamp[distance],MATCH(CampList[[#This Row],[CP_Pcode]],DistanceToCamp[CP_Pcode],0)-1,0,1,1),"")</f>
        <v>12.257552920582597</v>
      </c>
      <c r="AK196" s="698">
        <f ca="1">IFERROR(INT(CampList[[#This Row],[Distance]]/5)+1,"")</f>
        <v>3</v>
      </c>
    </row>
    <row r="197" spans="1:37" s="445" customFormat="1" ht="15.75" hidden="1" customHeight="1" x14ac:dyDescent="0.25">
      <c r="A197" s="686" t="s">
        <v>843</v>
      </c>
      <c r="B197" s="662" t="s">
        <v>380</v>
      </c>
      <c r="C197" s="662" t="s">
        <v>525</v>
      </c>
      <c r="D197" s="662" t="s">
        <v>5</v>
      </c>
      <c r="E197" s="662" t="s">
        <v>529</v>
      </c>
      <c r="F197" s="662" t="s">
        <v>5</v>
      </c>
      <c r="G197" s="662" t="s">
        <v>530</v>
      </c>
      <c r="H197" s="662" t="s">
        <v>645</v>
      </c>
      <c r="I197" s="662" t="s">
        <v>646</v>
      </c>
      <c r="J197" s="662"/>
      <c r="K197" s="662"/>
      <c r="L197" s="662" t="s">
        <v>1021</v>
      </c>
      <c r="M197" s="662" t="s">
        <v>1018</v>
      </c>
      <c r="N197" s="687">
        <v>97.239130000000003</v>
      </c>
      <c r="O197" s="689">
        <v>24.229189999999999</v>
      </c>
      <c r="P197" s="711">
        <v>126</v>
      </c>
      <c r="Q197" s="689">
        <v>0</v>
      </c>
      <c r="R197" s="711">
        <v>0</v>
      </c>
      <c r="S197" s="690" t="str">
        <f>IF(CampList[[#This Row],[HH]]&gt;0,CampList[[#This Row],[Total]]/CampList[[#This Row],[HH]],"NA")</f>
        <v>NA</v>
      </c>
      <c r="T197" s="664" t="s">
        <v>511</v>
      </c>
      <c r="U197" s="699" t="s">
        <v>1191</v>
      </c>
      <c r="V197" s="664" t="s">
        <v>554</v>
      </c>
      <c r="W197" s="664" t="s">
        <v>803</v>
      </c>
      <c r="X197" s="712"/>
      <c r="Y197" s="711"/>
      <c r="Z197" s="693" t="s">
        <v>505</v>
      </c>
      <c r="AA197" s="693" t="s">
        <v>842</v>
      </c>
      <c r="AB197" s="693"/>
      <c r="AC197" s="694">
        <v>41906</v>
      </c>
      <c r="AD197" s="695" t="s">
        <v>1116</v>
      </c>
      <c r="AE197" s="721" t="s">
        <v>1093</v>
      </c>
      <c r="AF197" s="483">
        <f>IF(CampList[[#This Row],[Type of Accomodation]]="camp",MAX(0,CampList[[#This Row],[HH]]-SUMIF(Table_Shelter[Pcode],CampList[[#This Row],[CP_Pcode]],Table_Shelter[HH Covered])),0)</f>
        <v>0</v>
      </c>
      <c r="AG197" s="664"/>
      <c r="AH197" s="693">
        <f>MIN(CampList[[#This Row],[Shelter Gap]],CampList[[#This Row],[Land Status]])</f>
        <v>0</v>
      </c>
      <c r="AI197" s="664" t="str">
        <f ca="1">IFERROR(OFFSET(DistanceToCamp[Nearest Town],MATCH(CampList[[#This Row],[CP_Pcode]],DistanceToCamp[CP_Pcode],0)-1,0,1,1),"")</f>
        <v/>
      </c>
      <c r="AJ197" s="697" t="str">
        <f ca="1">IFERROR(OFFSET(DistanceToCamp[distance],MATCH(CampList[[#This Row],[CP_Pcode]],DistanceToCamp[CP_Pcode],0)-1,0,1,1),"")</f>
        <v/>
      </c>
      <c r="AK197" s="698" t="str">
        <f ca="1">IFERROR(INT(CampList[[#This Row],[Distance]]/5)+1,"")</f>
        <v/>
      </c>
    </row>
    <row r="198" spans="1:37" s="445" customFormat="1" ht="15.75" customHeight="1" x14ac:dyDescent="0.25">
      <c r="A198" s="708" t="s">
        <v>500</v>
      </c>
      <c r="B198" s="663" t="s">
        <v>380</v>
      </c>
      <c r="C198" s="663" t="s">
        <v>525</v>
      </c>
      <c r="D198" s="663" t="s">
        <v>237</v>
      </c>
      <c r="E198" s="663" t="s">
        <v>531</v>
      </c>
      <c r="F198" s="663" t="s">
        <v>27</v>
      </c>
      <c r="G198" s="663" t="s">
        <v>534</v>
      </c>
      <c r="H198" s="663" t="s">
        <v>790</v>
      </c>
      <c r="I198" s="709" t="s">
        <v>789</v>
      </c>
      <c r="J198" s="663" t="s">
        <v>1019</v>
      </c>
      <c r="K198" s="663"/>
      <c r="L198" s="663" t="s">
        <v>1019</v>
      </c>
      <c r="M198" s="663" t="s">
        <v>1020</v>
      </c>
      <c r="N198" s="689">
        <v>98.356260000000006</v>
      </c>
      <c r="O198" s="689">
        <v>25.645959999999999</v>
      </c>
      <c r="P198" s="711">
        <v>1945</v>
      </c>
      <c r="Q198" s="689">
        <v>31</v>
      </c>
      <c r="R198" s="711">
        <v>180</v>
      </c>
      <c r="S198" s="690">
        <f>IF(CampList[[#This Row],[HH]]&gt;0,CampList[[#This Row],[Total]]/CampList[[#This Row],[HH]],"NA")</f>
        <v>5.806451612903226</v>
      </c>
      <c r="T198" s="483" t="s">
        <v>511</v>
      </c>
      <c r="U198" s="664" t="s">
        <v>1191</v>
      </c>
      <c r="V198" s="483" t="s">
        <v>554</v>
      </c>
      <c r="W198" s="483" t="s">
        <v>803</v>
      </c>
      <c r="X198" s="712">
        <v>41091</v>
      </c>
      <c r="Y198" s="711"/>
      <c r="Z198" s="711" t="s">
        <v>1090</v>
      </c>
      <c r="AA198" s="689" t="s">
        <v>842</v>
      </c>
      <c r="AB198" s="689"/>
      <c r="AC198" s="694">
        <v>42745</v>
      </c>
      <c r="AD198" s="713" t="s">
        <v>1560</v>
      </c>
      <c r="AE198" s="696" t="s">
        <v>1077</v>
      </c>
      <c r="AF198" s="714">
        <f>IF(CampList[[#This Row],[Type of Accomodation]]="camp",MAX(0,CampList[[#This Row],[HH]]-SUMIF(Table_Shelter[Pcode],CampList[[#This Row],[CP_Pcode]],Table_Shelter[HH Covered])),0)</f>
        <v>31</v>
      </c>
      <c r="AG198" s="483"/>
      <c r="AH198" s="688">
        <f>MIN(CampList[[#This Row],[Shelter Gap]],CampList[[#This Row],[Land Status]])</f>
        <v>31</v>
      </c>
      <c r="AI198" s="714" t="str">
        <f ca="1">IFERROR(OFFSET(DistanceToCamp[Nearest Town],MATCH(CampList[[#This Row],[CP_Pcode]],DistanceToCamp[CP_Pcode],0)-1,0,1,1),"")</f>
        <v>Naypyitaw Town</v>
      </c>
      <c r="AJ198" s="697">
        <f ca="1">IFERROR(OFFSET(DistanceToCamp[distance],MATCH(CampList[[#This Row],[CP_Pcode]],DistanceToCamp[CP_Pcode],0)-1,0,1,1),"")</f>
        <v>0</v>
      </c>
      <c r="AK198" s="715">
        <f ca="1">IFERROR(INT(CampList[[#This Row],[Distance]]/5)+1,"")</f>
        <v>1</v>
      </c>
    </row>
    <row r="199" spans="1:37" s="445" customFormat="1" ht="15.75" hidden="1" customHeight="1" x14ac:dyDescent="0.25">
      <c r="A199" s="686" t="s">
        <v>843</v>
      </c>
      <c r="B199" s="662" t="s">
        <v>380</v>
      </c>
      <c r="C199" s="662" t="s">
        <v>525</v>
      </c>
      <c r="D199" s="662" t="s">
        <v>5</v>
      </c>
      <c r="E199" s="662" t="s">
        <v>529</v>
      </c>
      <c r="F199" s="662" t="s">
        <v>151</v>
      </c>
      <c r="G199" s="662" t="s">
        <v>539</v>
      </c>
      <c r="H199" s="662" t="s">
        <v>739</v>
      </c>
      <c r="I199" s="662" t="s">
        <v>740</v>
      </c>
      <c r="J199" s="662" t="s">
        <v>739</v>
      </c>
      <c r="K199" s="709">
        <v>167343</v>
      </c>
      <c r="L199" s="662" t="s">
        <v>1034</v>
      </c>
      <c r="M199" s="662" t="s">
        <v>1035</v>
      </c>
      <c r="N199" s="687">
        <v>97.608249999999998</v>
      </c>
      <c r="O199" s="687">
        <v>24.000250000000001</v>
      </c>
      <c r="P199" s="711"/>
      <c r="Q199" s="689"/>
      <c r="R199" s="711"/>
      <c r="S199" s="690" t="str">
        <f>IF(CampList[[#This Row],[HH]]&gt;0,CampList[[#This Row],[Total]]/CampList[[#This Row],[HH]],"NA")</f>
        <v>NA</v>
      </c>
      <c r="T199" s="664" t="s">
        <v>513</v>
      </c>
      <c r="U199" s="664" t="s">
        <v>1191</v>
      </c>
      <c r="V199" s="664" t="s">
        <v>554</v>
      </c>
      <c r="W199" s="664" t="s">
        <v>856</v>
      </c>
      <c r="X199" s="712">
        <v>40817</v>
      </c>
      <c r="Y199" s="711"/>
      <c r="Z199" s="691" t="s">
        <v>1089</v>
      </c>
      <c r="AA199" s="693" t="s">
        <v>842</v>
      </c>
      <c r="AB199" s="693"/>
      <c r="AC199" s="694">
        <v>42629</v>
      </c>
      <c r="AD199" s="686" t="s">
        <v>1464</v>
      </c>
      <c r="AE199" s="721" t="s">
        <v>1078</v>
      </c>
      <c r="AF199" s="483">
        <f>IF(CampList[[#This Row],[Type of Accomodation]]="camp",MAX(0,CampList[[#This Row],[HH]]-SUMIF(Table_Shelter[Pcode],CampList[[#This Row],[CP_Pcode]],Table_Shelter[HH Covered])),0)</f>
        <v>0</v>
      </c>
      <c r="AG199" s="664"/>
      <c r="AH199" s="693">
        <f>MIN(CampList[[#This Row],[Shelter Gap]],CampList[[#This Row],[Land Status]])</f>
        <v>0</v>
      </c>
      <c r="AI199" s="664" t="str">
        <f ca="1">IFERROR(OFFSET(DistanceToCamp[Nearest Town],MATCH(CampList[[#This Row],[CP_Pcode]],DistanceToCamp[CP_Pcode],0)-1,0,1,1),"")</f>
        <v>Namhkan Town</v>
      </c>
      <c r="AJ199" s="697">
        <f ca="1">IFERROR(OFFSET(DistanceToCamp[distance],MATCH(CampList[[#This Row],[CP_Pcode]],DistanceToCamp[CP_Pcode],0)-1,0,1,1),"")</f>
        <v>19.631786732140053</v>
      </c>
      <c r="AK199" s="698">
        <f ca="1">IFERROR(INT(CampList[[#This Row],[Distance]]/5)+1,"")</f>
        <v>4</v>
      </c>
    </row>
    <row r="200" spans="1:37" s="445" customFormat="1" ht="15.75" customHeight="1" x14ac:dyDescent="0.25">
      <c r="A200" s="686" t="s">
        <v>500</v>
      </c>
      <c r="B200" s="662" t="s">
        <v>380</v>
      </c>
      <c r="C200" s="662" t="s">
        <v>525</v>
      </c>
      <c r="D200" s="662" t="s">
        <v>300</v>
      </c>
      <c r="E200" s="662" t="s">
        <v>546</v>
      </c>
      <c r="F200" s="662" t="s">
        <v>300</v>
      </c>
      <c r="G200" s="662" t="s">
        <v>552</v>
      </c>
      <c r="H200" s="662" t="s">
        <v>1029</v>
      </c>
      <c r="I200" s="662" t="s">
        <v>1030</v>
      </c>
      <c r="J200" s="662" t="s">
        <v>1040</v>
      </c>
      <c r="K200" s="662">
        <v>217032</v>
      </c>
      <c r="L200" s="662" t="s">
        <v>1041</v>
      </c>
      <c r="M200" s="662" t="s">
        <v>1043</v>
      </c>
      <c r="N200" s="689">
        <v>97.561105999999995</v>
      </c>
      <c r="O200" s="689">
        <v>27.248964999999998</v>
      </c>
      <c r="P200" s="711">
        <v>398</v>
      </c>
      <c r="Q200" s="689">
        <v>10</v>
      </c>
      <c r="R200" s="711">
        <v>56</v>
      </c>
      <c r="S200" s="690">
        <f>IF(CampList[[#This Row],[HH]]&gt;0,CampList[[#This Row],[Total]]/CampList[[#This Row],[HH]],"NA")</f>
        <v>5.6</v>
      </c>
      <c r="T200" s="664" t="s">
        <v>511</v>
      </c>
      <c r="U200" s="664" t="s">
        <v>1191</v>
      </c>
      <c r="V200" s="664" t="s">
        <v>12</v>
      </c>
      <c r="W200" s="664" t="s">
        <v>856</v>
      </c>
      <c r="X200" s="712">
        <v>41487</v>
      </c>
      <c r="Y200" s="711"/>
      <c r="Z200" s="693"/>
      <c r="AA200" s="693" t="s">
        <v>842</v>
      </c>
      <c r="AB200" s="693"/>
      <c r="AC200" s="694">
        <v>41736</v>
      </c>
      <c r="AD200" s="695" t="s">
        <v>1042</v>
      </c>
      <c r="AE200" s="721" t="s">
        <v>1079</v>
      </c>
      <c r="AF200" s="483">
        <f>IF(CampList[[#This Row],[Type of Accomodation]]="camp",MAX(0,CampList[[#This Row],[HH]]-SUMIF(Table_Shelter[Pcode],CampList[[#This Row],[CP_Pcode]],Table_Shelter[HH Covered])),0)</f>
        <v>0</v>
      </c>
      <c r="AG200" s="664"/>
      <c r="AH200" s="693">
        <f>MIN(CampList[[#This Row],[Shelter Gap]],CampList[[#This Row],[Land Status]])</f>
        <v>0</v>
      </c>
      <c r="AI200" s="664" t="str">
        <f ca="1">IFERROR(OFFSET(DistanceToCamp[Nearest Town],MATCH(CampList[[#This Row],[CP_Pcode]],DistanceToCamp[CP_Pcode],0)-1,0,1,1),"")</f>
        <v>Machanbaw Town</v>
      </c>
      <c r="AJ200" s="697">
        <f ca="1">IFERROR(OFFSET(DistanceToCamp[distance],MATCH(CampList[[#This Row],[CP_Pcode]],DistanceToCamp[CP_Pcode],0)-1,0,1,1),"")</f>
        <v>4.789460146835963</v>
      </c>
      <c r="AK200" s="698">
        <f ca="1">IFERROR(INT(CampList[[#This Row],[Distance]]/5)+1,"")</f>
        <v>1</v>
      </c>
    </row>
    <row r="201" spans="1:37" s="445" customFormat="1" ht="15.75" customHeight="1" x14ac:dyDescent="0.25">
      <c r="A201" s="708" t="s">
        <v>500</v>
      </c>
      <c r="B201" s="663" t="s">
        <v>380</v>
      </c>
      <c r="C201" s="663" t="s">
        <v>525</v>
      </c>
      <c r="D201" s="663" t="s">
        <v>5</v>
      </c>
      <c r="E201" s="663" t="s">
        <v>529</v>
      </c>
      <c r="F201" s="663" t="s">
        <v>151</v>
      </c>
      <c r="G201" s="663" t="s">
        <v>539</v>
      </c>
      <c r="H201" s="663" t="s">
        <v>660</v>
      </c>
      <c r="I201" s="709" t="s">
        <v>661</v>
      </c>
      <c r="J201" s="695" t="s">
        <v>660</v>
      </c>
      <c r="K201" s="716">
        <v>167405</v>
      </c>
      <c r="L201" s="663" t="s">
        <v>1061</v>
      </c>
      <c r="M201" s="663" t="s">
        <v>1062</v>
      </c>
      <c r="N201" s="689">
        <v>97.578367</v>
      </c>
      <c r="O201" s="689">
        <v>23.833477999999999</v>
      </c>
      <c r="P201" s="711">
        <v>925</v>
      </c>
      <c r="Q201" s="727">
        <v>112</v>
      </c>
      <c r="R201" s="727">
        <v>524</v>
      </c>
      <c r="S201" s="690">
        <f>IF(CampList[[#This Row],[HH]]&gt;0,CampList[[#This Row],[Total]]/CampList[[#This Row],[HH]],"NA")</f>
        <v>4.6785714285714288</v>
      </c>
      <c r="T201" s="483" t="s">
        <v>511</v>
      </c>
      <c r="U201" s="664" t="s">
        <v>1191</v>
      </c>
      <c r="V201" s="483" t="s">
        <v>554</v>
      </c>
      <c r="W201" s="483" t="s">
        <v>856</v>
      </c>
      <c r="X201" s="712">
        <v>41791</v>
      </c>
      <c r="Y201" s="711"/>
      <c r="Z201" s="711" t="s">
        <v>1089</v>
      </c>
      <c r="AA201" s="689" t="s">
        <v>842</v>
      </c>
      <c r="AB201" s="689"/>
      <c r="AC201" s="694">
        <v>42745</v>
      </c>
      <c r="AD201" s="713" t="s">
        <v>1538</v>
      </c>
      <c r="AE201" s="696" t="s">
        <v>1093</v>
      </c>
      <c r="AF201" s="714">
        <f>IF(CampList[[#This Row],[Type of Accomodation]]="camp",MAX(0,CampList[[#This Row],[HH]]-SUMIF(Table_Shelter[Pcode],CampList[[#This Row],[CP_Pcode]],Table_Shelter[HH Covered])),0)</f>
        <v>112</v>
      </c>
      <c r="AG201" s="664"/>
      <c r="AH201" s="693">
        <f>MIN(CampList[[#This Row],[Shelter Gap]],CampList[[#This Row],[Land Status]])</f>
        <v>112</v>
      </c>
      <c r="AI201" s="714" t="str">
        <f ca="1">IFERROR(OFFSET(DistanceToCamp[Nearest Town],MATCH(CampList[[#This Row],[CP_Pcode]],DistanceToCamp[CP_Pcode],0)-1,0,1,1),"")</f>
        <v>Namhkan Town</v>
      </c>
      <c r="AJ201" s="697">
        <f ca="1">IFERROR(OFFSET(DistanceToCamp[distance],MATCH(CampList[[#This Row],[CP_Pcode]],DistanceToCamp[CP_Pcode],0)-1,0,1,1),"")</f>
        <v>10.527586947557506</v>
      </c>
      <c r="AK201" s="715">
        <f ca="1">IFERROR(INT(CampList[[#This Row],[Distance]]/5)+1,"")</f>
        <v>3</v>
      </c>
    </row>
    <row r="202" spans="1:37" s="445" customFormat="1" ht="15.75" customHeight="1" x14ac:dyDescent="0.25">
      <c r="A202" s="686" t="s">
        <v>500</v>
      </c>
      <c r="B202" s="662" t="s">
        <v>380</v>
      </c>
      <c r="C202" s="662" t="s">
        <v>525</v>
      </c>
      <c r="D202" s="662" t="s">
        <v>180</v>
      </c>
      <c r="E202" s="662" t="s">
        <v>526</v>
      </c>
      <c r="F202" s="662" t="s">
        <v>527</v>
      </c>
      <c r="G202" s="662" t="s">
        <v>528</v>
      </c>
      <c r="H202" s="695" t="s">
        <v>609</v>
      </c>
      <c r="I202" s="695" t="s">
        <v>610</v>
      </c>
      <c r="J202" s="695" t="s">
        <v>609</v>
      </c>
      <c r="K202" s="695">
        <v>166776</v>
      </c>
      <c r="L202" s="662" t="s">
        <v>1065</v>
      </c>
      <c r="M202" s="662" t="s">
        <v>1066</v>
      </c>
      <c r="N202" s="687">
        <v>96.312790000000007</v>
      </c>
      <c r="O202" s="687">
        <v>25.611160000000002</v>
      </c>
      <c r="P202" s="711"/>
      <c r="Q202" s="689">
        <v>103</v>
      </c>
      <c r="R202" s="689">
        <v>489</v>
      </c>
      <c r="S202" s="690">
        <f>IF(CampList[[#This Row],[HH]]&gt;0,CampList[[#This Row],[Total]]/CampList[[#This Row],[HH]],"NA")</f>
        <v>4.7475728155339807</v>
      </c>
      <c r="T202" s="664" t="s">
        <v>511</v>
      </c>
      <c r="U202" s="664" t="s">
        <v>1191</v>
      </c>
      <c r="V202" s="664" t="s">
        <v>554</v>
      </c>
      <c r="W202" s="664" t="s">
        <v>803</v>
      </c>
      <c r="X202" s="712">
        <v>41122</v>
      </c>
      <c r="Y202" s="711"/>
      <c r="Z202" s="693" t="s">
        <v>460</v>
      </c>
      <c r="AA202" s="693" t="s">
        <v>842</v>
      </c>
      <c r="AB202" s="693"/>
      <c r="AC202" s="694">
        <v>42745</v>
      </c>
      <c r="AD202" s="695" t="s">
        <v>1479</v>
      </c>
      <c r="AE202" s="721" t="s">
        <v>1093</v>
      </c>
      <c r="AF202" s="483">
        <f>IF(CampList[[#This Row],[Type of Accomodation]]="camp",MAX(0,CampList[[#This Row],[HH]]-SUMIF(Table_Shelter[Pcode],CampList[[#This Row],[CP_Pcode]],Table_Shelter[HH Covered])),0)</f>
        <v>103</v>
      </c>
      <c r="AG202" s="664"/>
      <c r="AH202" s="693">
        <f>MIN(CampList[[#This Row],[Shelter Gap]],CampList[[#This Row],[Land Status]])</f>
        <v>103</v>
      </c>
      <c r="AI202" s="664" t="str">
        <f ca="1">IFERROR(OFFSET(DistanceToCamp[Nearest Town],MATCH(CampList[[#This Row],[CP_Pcode]],DistanceToCamp[CP_Pcode],0)-1,0,1,1),"")</f>
        <v>Hpakant Town</v>
      </c>
      <c r="AJ202" s="697">
        <f ca="1">IFERROR(OFFSET(DistanceToCamp[distance],MATCH(CampList[[#This Row],[CP_Pcode]],DistanceToCamp[CP_Pcode],0)-1,0,1,1),"")</f>
        <v>0.19374952337076978</v>
      </c>
      <c r="AK202" s="715">
        <f ca="1">IFERROR(INT(CampList[[#This Row],[Distance]]/5)+1,"")</f>
        <v>1</v>
      </c>
    </row>
    <row r="203" spans="1:37" s="445" customFormat="1" ht="15.75" customHeight="1" x14ac:dyDescent="0.25">
      <c r="A203" s="686" t="s">
        <v>500</v>
      </c>
      <c r="B203" s="662" t="s">
        <v>380</v>
      </c>
      <c r="C203" s="662" t="s">
        <v>525</v>
      </c>
      <c r="D203" s="662" t="s">
        <v>5</v>
      </c>
      <c r="E203" s="662" t="s">
        <v>529</v>
      </c>
      <c r="F203" s="662" t="s">
        <v>151</v>
      </c>
      <c r="G203" s="662" t="s">
        <v>539</v>
      </c>
      <c r="H203" s="662" t="s">
        <v>660</v>
      </c>
      <c r="I203" s="662" t="s">
        <v>661</v>
      </c>
      <c r="J203" s="662" t="s">
        <v>660</v>
      </c>
      <c r="K203" s="662">
        <v>167405</v>
      </c>
      <c r="L203" s="662" t="s">
        <v>1095</v>
      </c>
      <c r="M203" s="662" t="s">
        <v>1096</v>
      </c>
      <c r="N203" s="689">
        <v>97.590767</v>
      </c>
      <c r="O203" s="689">
        <v>23.829599000000002</v>
      </c>
      <c r="P203" s="711"/>
      <c r="Q203" s="689">
        <v>114</v>
      </c>
      <c r="R203" s="689">
        <v>515</v>
      </c>
      <c r="S203" s="690">
        <f>IF(CampList[[#This Row],[HH]]&gt;0,CampList[[#This Row],[Total]]/CampList[[#This Row],[HH]],"NA")</f>
        <v>4.5175438596491224</v>
      </c>
      <c r="T203" s="664" t="s">
        <v>511</v>
      </c>
      <c r="U203" s="664" t="s">
        <v>1191</v>
      </c>
      <c r="V203" s="664" t="s">
        <v>554</v>
      </c>
      <c r="W203" s="664" t="s">
        <v>856</v>
      </c>
      <c r="X203" s="712">
        <v>41730</v>
      </c>
      <c r="Y203" s="711"/>
      <c r="Z203" s="693" t="s">
        <v>460</v>
      </c>
      <c r="AA203" s="693" t="s">
        <v>842</v>
      </c>
      <c r="AB203" s="693"/>
      <c r="AC203" s="694">
        <v>42745</v>
      </c>
      <c r="AD203" s="695" t="s">
        <v>1498</v>
      </c>
      <c r="AE203" s="721" t="s">
        <v>1007</v>
      </c>
      <c r="AF203" s="483">
        <f>IF(CampList[[#This Row],[Type of Accomodation]]="camp",MAX(0,CampList[[#This Row],[HH]]-SUMIF(Table_Shelter[Pcode],CampList[[#This Row],[CP_Pcode]],Table_Shelter[HH Covered])),0)</f>
        <v>114</v>
      </c>
      <c r="AG203" s="664"/>
      <c r="AH203" s="693">
        <f>MIN(CampList[[#This Row],[Shelter Gap]],CampList[[#This Row],[Land Status]])</f>
        <v>114</v>
      </c>
      <c r="AI203" s="664" t="str">
        <f ca="1">IFERROR(OFFSET(DistanceToCamp[Nearest Town],MATCH(CampList[[#This Row],[CP_Pcode]],DistanceToCamp[CP_Pcode],0)-1,0,1,1),"")</f>
        <v>Namhkan Town</v>
      </c>
      <c r="AJ203" s="697">
        <f ca="1">IFERROR(OFFSET(DistanceToCamp[distance],MATCH(CampList[[#This Row],[CP_Pcode]],DistanceToCamp[CP_Pcode],0)-1,0,1,1),"")</f>
        <v>9.2957189123335944</v>
      </c>
      <c r="AK203" s="715">
        <f ca="1">IFERROR(INT(CampList[[#This Row],[Distance]]/5)+1,"")</f>
        <v>2</v>
      </c>
    </row>
    <row r="204" spans="1:37" s="445" customFormat="1" ht="15.75" customHeight="1" x14ac:dyDescent="0.25">
      <c r="A204" s="686" t="s">
        <v>500</v>
      </c>
      <c r="B204" s="662" t="s">
        <v>380</v>
      </c>
      <c r="C204" s="662" t="s">
        <v>525</v>
      </c>
      <c r="D204" s="662" t="s">
        <v>180</v>
      </c>
      <c r="E204" s="662" t="s">
        <v>526</v>
      </c>
      <c r="F204" s="662" t="s">
        <v>527</v>
      </c>
      <c r="G204" s="662" t="s">
        <v>528</v>
      </c>
      <c r="H204" s="662" t="s">
        <v>612</v>
      </c>
      <c r="I204" s="662" t="s">
        <v>613</v>
      </c>
      <c r="J204" s="662" t="s">
        <v>760</v>
      </c>
      <c r="K204" s="662">
        <v>216877</v>
      </c>
      <c r="L204" s="662" t="s">
        <v>1120</v>
      </c>
      <c r="M204" s="662" t="s">
        <v>1121</v>
      </c>
      <c r="N204" s="689">
        <v>96.637</v>
      </c>
      <c r="O204" s="689">
        <v>25.806999999999999</v>
      </c>
      <c r="P204" s="711"/>
      <c r="Q204" s="689">
        <v>52</v>
      </c>
      <c r="R204" s="689">
        <v>248</v>
      </c>
      <c r="S204" s="690">
        <f>IF(CampList[[#This Row],[HH]]&gt;0,CampList[[#This Row],[Total]]/CampList[[#This Row],[HH]],"NA")</f>
        <v>4.7692307692307692</v>
      </c>
      <c r="T204" s="664" t="s">
        <v>511</v>
      </c>
      <c r="U204" s="664" t="s">
        <v>1191</v>
      </c>
      <c r="V204" s="664" t="s">
        <v>554</v>
      </c>
      <c r="W204" s="664" t="s">
        <v>856</v>
      </c>
      <c r="X204" s="691">
        <v>42019</v>
      </c>
      <c r="Y204" s="711"/>
      <c r="Z204" s="693" t="s">
        <v>460</v>
      </c>
      <c r="AA204" s="693" t="s">
        <v>842</v>
      </c>
      <c r="AB204" s="693"/>
      <c r="AC204" s="694">
        <v>42745</v>
      </c>
      <c r="AD204" s="695" t="s">
        <v>1483</v>
      </c>
      <c r="AE204" s="696"/>
      <c r="AF204" s="483">
        <f>IF(CampList[[#This Row],[Type of Accomodation]]="camp",MAX(0,CampList[[#This Row],[HH]]-SUMIF(Table_Shelter[Pcode],CampList[[#This Row],[CP_Pcode]],Table_Shelter[HH Covered])),0)</f>
        <v>2</v>
      </c>
      <c r="AG204" s="664"/>
      <c r="AH204" s="693">
        <f>MIN(CampList[[#This Row],[Shelter Gap]],CampList[[#This Row],[Land Status]])</f>
        <v>2</v>
      </c>
      <c r="AI204" s="664" t="str">
        <f ca="1">IFERROR(OFFSET(DistanceToCamp[Nearest Town],MATCH(CampList[[#This Row],[CP_Pcode]],DistanceToCamp[CP_Pcode],0)-1,0,1,1),"")</f>
        <v>Hpakant Town</v>
      </c>
      <c r="AJ204" s="697">
        <f ca="1">IFERROR(OFFSET(DistanceToCamp[distance],MATCH(CampList[[#This Row],[CP_Pcode]],DistanceToCamp[CP_Pcode],0)-1,0,1,1),"")</f>
        <v>10</v>
      </c>
      <c r="AK204" s="715">
        <f ca="1">IFERROR(INT(CampList[[#This Row],[Distance]]/5)+1,"")</f>
        <v>3</v>
      </c>
    </row>
    <row r="205" spans="1:37" s="445" customFormat="1" ht="15.75" customHeight="1" x14ac:dyDescent="0.25">
      <c r="A205" s="686" t="s">
        <v>500</v>
      </c>
      <c r="B205" s="662" t="s">
        <v>380</v>
      </c>
      <c r="C205" s="662" t="s">
        <v>525</v>
      </c>
      <c r="D205" s="662" t="s">
        <v>180</v>
      </c>
      <c r="E205" s="662" t="s">
        <v>526</v>
      </c>
      <c r="F205" s="662" t="s">
        <v>180</v>
      </c>
      <c r="G205" s="662" t="s">
        <v>551</v>
      </c>
      <c r="H205" s="662" t="s">
        <v>1203</v>
      </c>
      <c r="I205" s="662" t="s">
        <v>1385</v>
      </c>
      <c r="J205" s="662" t="s">
        <v>1386</v>
      </c>
      <c r="K205" s="662" t="s">
        <v>1387</v>
      </c>
      <c r="L205" s="662" t="s">
        <v>1157</v>
      </c>
      <c r="M205" s="662" t="s">
        <v>1159</v>
      </c>
      <c r="N205" s="689">
        <v>96.52534</v>
      </c>
      <c r="O205" s="689">
        <v>24.996279999999999</v>
      </c>
      <c r="P205" s="711"/>
      <c r="Q205" s="689">
        <v>36</v>
      </c>
      <c r="R205" s="711">
        <v>153</v>
      </c>
      <c r="S205" s="690">
        <f>IF(CampList[[#This Row],[HH]]&gt;0,CampList[[#This Row],[Total]]/CampList[[#This Row],[HH]],"NA")</f>
        <v>4.25</v>
      </c>
      <c r="T205" s="664" t="s">
        <v>511</v>
      </c>
      <c r="U205" s="664" t="s">
        <v>1191</v>
      </c>
      <c r="V205" s="725" t="s">
        <v>12</v>
      </c>
      <c r="W205" s="664" t="s">
        <v>803</v>
      </c>
      <c r="X205" s="712">
        <v>41275</v>
      </c>
      <c r="Y205" s="711"/>
      <c r="Z205" s="693"/>
      <c r="AA205" s="693" t="s">
        <v>842</v>
      </c>
      <c r="AB205" s="693"/>
      <c r="AC205" s="694">
        <v>42082</v>
      </c>
      <c r="AD205" s="695" t="s">
        <v>1238</v>
      </c>
      <c r="AE205" s="696"/>
      <c r="AF205" s="483">
        <f>IF(CampList[[#This Row],[Type of Accomodation]]="camp",MAX(0,CampList[[#This Row],[HH]]-SUMIF(Table_Shelter[Pcode],CampList[[#This Row],[CP_Pcode]],Table_Shelter[HH Covered])),0)</f>
        <v>0</v>
      </c>
      <c r="AG205" s="664"/>
      <c r="AH205" s="693">
        <f>MIN(CampList[[#This Row],[Shelter Gap]],CampList[[#This Row],[Land Status]])</f>
        <v>0</v>
      </c>
      <c r="AI205" s="664" t="str">
        <f ca="1">IFERROR(OFFSET(DistanceToCamp[Nearest Town],MATCH(CampList[[#This Row],[CP_Pcode]],DistanceToCamp[CP_Pcode],0)-1,0,1,1),"")</f>
        <v>Hopin Town</v>
      </c>
      <c r="AJ205" s="697">
        <f ca="1">IFERROR(OFFSET(DistanceToCamp[distance],MATCH(CampList[[#This Row],[CP_Pcode]],DistanceToCamp[CP_Pcode],0)-1,0,1,1),"")</f>
        <v>0</v>
      </c>
      <c r="AK205" s="698">
        <f ca="1">IFERROR(INT(CampList[[#This Row],[Distance]]/5)+1,"")</f>
        <v>1</v>
      </c>
    </row>
    <row r="206" spans="1:37" s="445" customFormat="1" ht="15.75" customHeight="1" x14ac:dyDescent="0.25">
      <c r="A206" s="686" t="s">
        <v>500</v>
      </c>
      <c r="B206" s="662" t="s">
        <v>380</v>
      </c>
      <c r="C206" s="662" t="s">
        <v>525</v>
      </c>
      <c r="D206" s="662" t="s">
        <v>180</v>
      </c>
      <c r="E206" s="662" t="s">
        <v>526</v>
      </c>
      <c r="F206" s="662" t="s">
        <v>180</v>
      </c>
      <c r="G206" s="662" t="s">
        <v>551</v>
      </c>
      <c r="H206" s="662" t="s">
        <v>1131</v>
      </c>
      <c r="I206" s="662" t="s">
        <v>1252</v>
      </c>
      <c r="J206" s="662"/>
      <c r="K206" s="662"/>
      <c r="L206" s="662" t="s">
        <v>1158</v>
      </c>
      <c r="M206" s="662" t="s">
        <v>1160</v>
      </c>
      <c r="N206" s="689">
        <v>96.366919999999993</v>
      </c>
      <c r="O206" s="689">
        <v>24.764959999999999</v>
      </c>
      <c r="P206" s="711"/>
      <c r="Q206" s="689">
        <v>14</v>
      </c>
      <c r="R206" s="711">
        <v>63</v>
      </c>
      <c r="S206" s="690">
        <f>IF(CampList[[#This Row],[HH]]&gt;0,CampList[[#This Row],[Total]]/CampList[[#This Row],[HH]],"NA")</f>
        <v>4.5</v>
      </c>
      <c r="T206" s="664" t="s">
        <v>511</v>
      </c>
      <c r="U206" s="664" t="s">
        <v>1191</v>
      </c>
      <c r="V206" s="725" t="s">
        <v>12</v>
      </c>
      <c r="W206" s="664" t="s">
        <v>803</v>
      </c>
      <c r="X206" s="712">
        <v>41275</v>
      </c>
      <c r="Y206" s="711"/>
      <c r="Z206" s="693"/>
      <c r="AA206" s="693" t="s">
        <v>842</v>
      </c>
      <c r="AB206" s="693"/>
      <c r="AC206" s="694">
        <v>42745</v>
      </c>
      <c r="AD206" s="695" t="s">
        <v>1544</v>
      </c>
      <c r="AE206" s="696"/>
      <c r="AF206" s="483">
        <f>IF(CampList[[#This Row],[Type of Accomodation]]="camp",MAX(0,CampList[[#This Row],[HH]]-SUMIF(Table_Shelter[Pcode],CampList[[#This Row],[CP_Pcode]],Table_Shelter[HH Covered])),0)</f>
        <v>0</v>
      </c>
      <c r="AG206" s="664"/>
      <c r="AH206" s="693">
        <f>MIN(CampList[[#This Row],[Shelter Gap]],CampList[[#This Row],[Land Status]])</f>
        <v>0</v>
      </c>
      <c r="AI206" s="664" t="str">
        <f ca="1">IFERROR(OFFSET(DistanceToCamp[Nearest Town],MATCH(CampList[[#This Row],[CP_Pcode]],DistanceToCamp[CP_Pcode],0)-1,0,1,1),"")</f>
        <v>Mohnyin Town</v>
      </c>
      <c r="AJ206" s="697">
        <f ca="1">IFERROR(OFFSET(DistanceToCamp[distance],MATCH(CampList[[#This Row],[CP_Pcode]],DistanceToCamp[CP_Pcode],0)-1,0,1,1),"")</f>
        <v>0</v>
      </c>
      <c r="AK206" s="698">
        <f ca="1">IFERROR(INT(CampList[[#This Row],[Distance]]/5)+1,"")</f>
        <v>1</v>
      </c>
    </row>
    <row r="207" spans="1:37" s="445" customFormat="1" ht="15.75" customHeight="1" x14ac:dyDescent="0.25">
      <c r="A207" s="686" t="s">
        <v>500</v>
      </c>
      <c r="B207" s="662" t="s">
        <v>380</v>
      </c>
      <c r="C207" s="662" t="s">
        <v>525</v>
      </c>
      <c r="D207" s="662" t="s">
        <v>300</v>
      </c>
      <c r="E207" s="662" t="s">
        <v>546</v>
      </c>
      <c r="F207" s="662" t="s">
        <v>300</v>
      </c>
      <c r="G207" s="662" t="s">
        <v>552</v>
      </c>
      <c r="H207" s="663" t="s">
        <v>800</v>
      </c>
      <c r="I207" s="709" t="s">
        <v>801</v>
      </c>
      <c r="J207" s="663" t="s">
        <v>1266</v>
      </c>
      <c r="K207" s="695" t="s">
        <v>1267</v>
      </c>
      <c r="L207" s="663" t="s">
        <v>1260</v>
      </c>
      <c r="M207" s="662" t="s">
        <v>1259</v>
      </c>
      <c r="N207" s="735">
        <v>97.416121000000004</v>
      </c>
      <c r="O207" s="735">
        <v>27.337499999999999</v>
      </c>
      <c r="P207" s="711"/>
      <c r="Q207" s="689">
        <v>59</v>
      </c>
      <c r="R207" s="689">
        <v>268</v>
      </c>
      <c r="S207" s="690">
        <f>IF(CampList[[#This Row],[HH]]&gt;0,CampList[[#This Row],[Total]]/CampList[[#This Row],[HH]],"NA")</f>
        <v>4.5423728813559325</v>
      </c>
      <c r="T207" s="664" t="s">
        <v>511</v>
      </c>
      <c r="U207" s="664" t="s">
        <v>1191</v>
      </c>
      <c r="V207" s="664" t="s">
        <v>554</v>
      </c>
      <c r="W207" s="483" t="s">
        <v>803</v>
      </c>
      <c r="X207" s="712">
        <v>42180</v>
      </c>
      <c r="Y207" s="711"/>
      <c r="Z207" s="711" t="s">
        <v>460</v>
      </c>
      <c r="AA207" s="693" t="s">
        <v>842</v>
      </c>
      <c r="AB207" s="689"/>
      <c r="AC207" s="694">
        <v>42745</v>
      </c>
      <c r="AD207" s="713" t="s">
        <v>1490</v>
      </c>
      <c r="AE207" s="696"/>
      <c r="AF207" s="714">
        <f>IF(CampList[[#This Row],[Type of Accomodation]]="camp",MAX(0,CampList[[#This Row],[HH]]-SUMIF(Table_Shelter[Pcode],CampList[[#This Row],[CP_Pcode]],Table_Shelter[HH Covered])),0)</f>
        <v>0</v>
      </c>
      <c r="AG207" s="483"/>
      <c r="AH207" s="688">
        <f>MIN(CampList[[#This Row],[Shelter Gap]],CampList[[#This Row],[Land Status]])</f>
        <v>0</v>
      </c>
      <c r="AI207" s="664" t="str">
        <f ca="1">IFERROR(OFFSET(DistanceToCamp[Nearest Town],MATCH(CampList[[#This Row],[CP_Pcode]],DistanceToCamp[CP_Pcode],0)-1,0,1,1),"")</f>
        <v>Puta-O Town</v>
      </c>
      <c r="AJ207" s="697">
        <f ca="1">IFERROR(OFFSET(DistanceToCamp[distance],MATCH(CampList[[#This Row],[CP_Pcode]],DistanceToCamp[CP_Pcode],0)-1,0,1,1),"")</f>
        <v>0</v>
      </c>
      <c r="AK207" s="698">
        <f ca="1">IFERROR(INT(CampList[[#This Row],[Distance]]/5)+1,"")</f>
        <v>1</v>
      </c>
    </row>
    <row r="208" spans="1:37" s="445" customFormat="1" ht="15.75" customHeight="1" x14ac:dyDescent="0.25">
      <c r="A208" s="686" t="s">
        <v>500</v>
      </c>
      <c r="B208" s="662" t="s">
        <v>380</v>
      </c>
      <c r="C208" s="662" t="s">
        <v>525</v>
      </c>
      <c r="D208" s="662" t="s">
        <v>180</v>
      </c>
      <c r="E208" s="662" t="s">
        <v>526</v>
      </c>
      <c r="F208" s="662" t="s">
        <v>173</v>
      </c>
      <c r="G208" s="662" t="s">
        <v>545</v>
      </c>
      <c r="H208" s="662" t="s">
        <v>1273</v>
      </c>
      <c r="I208" s="662" t="s">
        <v>1274</v>
      </c>
      <c r="J208" s="662" t="s">
        <v>1273</v>
      </c>
      <c r="K208" s="718">
        <v>166724</v>
      </c>
      <c r="L208" s="662" t="s">
        <v>1278</v>
      </c>
      <c r="M208" s="662" t="s">
        <v>1269</v>
      </c>
      <c r="N208" s="687">
        <v>96.793999999999997</v>
      </c>
      <c r="O208" s="687">
        <v>25.225000000000001</v>
      </c>
      <c r="P208" s="711"/>
      <c r="Q208" s="689">
        <v>24</v>
      </c>
      <c r="R208" s="711">
        <v>83</v>
      </c>
      <c r="S208" s="690">
        <f>IF(CampList[[#This Row],[HH]]&gt;0,CampList[[#This Row],[Total]]/CampList[[#This Row],[HH]],"NA")</f>
        <v>3.4583333333333335</v>
      </c>
      <c r="T208" s="664" t="s">
        <v>511</v>
      </c>
      <c r="U208" s="664" t="s">
        <v>1191</v>
      </c>
      <c r="V208" s="664" t="s">
        <v>12</v>
      </c>
      <c r="W208" s="664" t="s">
        <v>856</v>
      </c>
      <c r="X208" s="712">
        <v>42125</v>
      </c>
      <c r="Y208" s="711"/>
      <c r="Z208" s="693"/>
      <c r="AA208" s="693" t="s">
        <v>841</v>
      </c>
      <c r="AB208" s="693"/>
      <c r="AC208" s="694">
        <v>42180</v>
      </c>
      <c r="AD208" s="695" t="s">
        <v>1272</v>
      </c>
      <c r="AE208" s="721"/>
      <c r="AF208" s="483">
        <f>IF(CampList[[#This Row],[Type of Accomodation]]="camp",MAX(0,CampList[[#This Row],[HH]]-SUMIF(Table_Shelter[Pcode],CampList[[#This Row],[CP_Pcode]],Table_Shelter[HH Covered])),0)</f>
        <v>0</v>
      </c>
      <c r="AG208" s="664"/>
      <c r="AH208" s="693">
        <f>MIN(CampList[[#This Row],[Shelter Gap]],CampList[[#This Row],[Land Status]])</f>
        <v>0</v>
      </c>
      <c r="AI208" s="664" t="str">
        <f ca="1">IFERROR(OFFSET(DistanceToCamp[Nearest Town],MATCH(CampList[[#This Row],[CP_Pcode]],DistanceToCamp[CP_Pcode],0)-1,0,1,1),"")</f>
        <v>Mogaung Town</v>
      </c>
      <c r="AJ208" s="697">
        <f ca="1">IFERROR(OFFSET(DistanceToCamp[distance],MATCH(CampList[[#This Row],[CP_Pcode]],DistanceToCamp[CP_Pcode],0)-1,0,1,1),"")</f>
        <v>5</v>
      </c>
      <c r="AK208" s="698">
        <f ca="1">IFERROR(INT(CampList[[#This Row],[Distance]]/5)+1,"")</f>
        <v>2</v>
      </c>
    </row>
    <row r="209" spans="1:37" s="445" customFormat="1" ht="15.75" customHeight="1" x14ac:dyDescent="0.25">
      <c r="A209" s="686" t="s">
        <v>500</v>
      </c>
      <c r="B209" s="662" t="s">
        <v>380</v>
      </c>
      <c r="C209" s="662" t="s">
        <v>525</v>
      </c>
      <c r="D209" s="662" t="s">
        <v>180</v>
      </c>
      <c r="E209" s="662" t="s">
        <v>526</v>
      </c>
      <c r="F209" s="662" t="s">
        <v>173</v>
      </c>
      <c r="G209" s="662" t="s">
        <v>545</v>
      </c>
      <c r="H209" s="662" t="s">
        <v>1273</v>
      </c>
      <c r="I209" s="662" t="s">
        <v>1274</v>
      </c>
      <c r="J209" s="662" t="s">
        <v>1273</v>
      </c>
      <c r="K209" s="662">
        <v>166724</v>
      </c>
      <c r="L209" s="662" t="s">
        <v>1277</v>
      </c>
      <c r="M209" s="662" t="s">
        <v>1270</v>
      </c>
      <c r="N209" s="687">
        <v>96.793999999999997</v>
      </c>
      <c r="O209" s="687">
        <v>25.225000000000001</v>
      </c>
      <c r="P209" s="711"/>
      <c r="Q209" s="689">
        <v>30</v>
      </c>
      <c r="R209" s="689">
        <v>140</v>
      </c>
      <c r="S209" s="690">
        <f>IF(CampList[[#This Row],[HH]]&gt;0,CampList[[#This Row],[Total]]/CampList[[#This Row],[HH]],"NA")</f>
        <v>4.666666666666667</v>
      </c>
      <c r="T209" s="664" t="s">
        <v>511</v>
      </c>
      <c r="U209" s="664" t="s">
        <v>1191</v>
      </c>
      <c r="V209" s="664" t="s">
        <v>554</v>
      </c>
      <c r="W209" s="664" t="s">
        <v>856</v>
      </c>
      <c r="X209" s="712">
        <v>42125</v>
      </c>
      <c r="Y209" s="711"/>
      <c r="Z209" s="693" t="s">
        <v>460</v>
      </c>
      <c r="AA209" s="693" t="s">
        <v>841</v>
      </c>
      <c r="AB209" s="693"/>
      <c r="AC209" s="694">
        <v>42745</v>
      </c>
      <c r="AD209" s="695" t="s">
        <v>1515</v>
      </c>
      <c r="AE209" s="721"/>
      <c r="AF209" s="483">
        <f>IF(CampList[[#This Row],[Type of Accomodation]]="camp",MAX(0,CampList[[#This Row],[HH]]-SUMIF(Table_Shelter[Pcode],CampList[[#This Row],[CP_Pcode]],Table_Shelter[HH Covered])),0)</f>
        <v>0</v>
      </c>
      <c r="AG209" s="664"/>
      <c r="AH209" s="693">
        <f>MIN(CampList[[#This Row],[Shelter Gap]],CampList[[#This Row],[Land Status]])</f>
        <v>0</v>
      </c>
      <c r="AI209" s="664" t="str">
        <f ca="1">IFERROR(OFFSET(DistanceToCamp[Nearest Town],MATCH(CampList[[#This Row],[CP_Pcode]],DistanceToCamp[CP_Pcode],0)-1,0,1,1),"")</f>
        <v>Mogaung Town</v>
      </c>
      <c r="AJ209" s="697">
        <f ca="1">IFERROR(OFFSET(DistanceToCamp[distance],MATCH(CampList[[#This Row],[CP_Pcode]],DistanceToCamp[CP_Pcode],0)-1,0,1,1),"")</f>
        <v>5</v>
      </c>
      <c r="AK209" s="698">
        <f ca="1">IFERROR(INT(CampList[[#This Row],[Distance]]/5)+1,"")</f>
        <v>2</v>
      </c>
    </row>
    <row r="210" spans="1:37" s="445" customFormat="1" ht="15.75" hidden="1" customHeight="1" x14ac:dyDescent="0.25">
      <c r="A210" s="708" t="s">
        <v>843</v>
      </c>
      <c r="B210" s="663" t="s">
        <v>380</v>
      </c>
      <c r="C210" s="662" t="s">
        <v>525</v>
      </c>
      <c r="D210" s="662" t="s">
        <v>180</v>
      </c>
      <c r="E210" s="662" t="s">
        <v>526</v>
      </c>
      <c r="F210" s="663" t="s">
        <v>173</v>
      </c>
      <c r="G210" s="663" t="s">
        <v>545</v>
      </c>
      <c r="H210" s="663" t="s">
        <v>632</v>
      </c>
      <c r="I210" s="709" t="s">
        <v>633</v>
      </c>
      <c r="J210" s="663" t="s">
        <v>634</v>
      </c>
      <c r="K210" s="663">
        <v>166676</v>
      </c>
      <c r="L210" s="663" t="s">
        <v>1268</v>
      </c>
      <c r="M210" s="663" t="s">
        <v>1271</v>
      </c>
      <c r="N210" s="689">
        <v>96.942279999999997</v>
      </c>
      <c r="O210" s="689">
        <v>25.299679999999999</v>
      </c>
      <c r="P210" s="711"/>
      <c r="Q210" s="689"/>
      <c r="R210" s="711"/>
      <c r="S210" s="690" t="str">
        <f>IF(CampList[[#This Row],[HH]]&gt;0,CampList[[#This Row],[Total]]/CampList[[#This Row],[HH]],"NA")</f>
        <v>NA</v>
      </c>
      <c r="T210" s="483" t="s">
        <v>511</v>
      </c>
      <c r="U210" s="664" t="s">
        <v>1191</v>
      </c>
      <c r="V210" s="483" t="s">
        <v>554</v>
      </c>
      <c r="W210" s="483" t="s">
        <v>803</v>
      </c>
      <c r="X210" s="712">
        <v>42125</v>
      </c>
      <c r="Y210" s="711"/>
      <c r="Z210" s="711" t="s">
        <v>1090</v>
      </c>
      <c r="AA210" s="689" t="s">
        <v>842</v>
      </c>
      <c r="AB210" s="689"/>
      <c r="AC210" s="694">
        <v>42768</v>
      </c>
      <c r="AD210" s="713" t="s">
        <v>1641</v>
      </c>
      <c r="AE210" s="696"/>
      <c r="AF210" s="714">
        <f>IF(CampList[[#This Row],[Type of Accomodation]]="camp",MAX(0,CampList[[#This Row],[HH]]-SUMIF(Table_Shelter[Pcode],CampList[[#This Row],[CP_Pcode]],Table_Shelter[HH Covered])),0)</f>
        <v>0</v>
      </c>
      <c r="AG210" s="483"/>
      <c r="AH210" s="688">
        <f>MIN(CampList[[#This Row],[Shelter Gap]],CampList[[#This Row],[Land Status]])</f>
        <v>0</v>
      </c>
      <c r="AI210" s="664" t="str">
        <f ca="1">IFERROR(OFFSET(DistanceToCamp[Nearest Town],MATCH(CampList[[#This Row],[CP_Pcode]],DistanceToCamp[CP_Pcode],0)-1,0,1,1),"")</f>
        <v>Mogaung Town</v>
      </c>
      <c r="AJ210" s="697">
        <f ca="1">IFERROR(OFFSET(DistanceToCamp[distance],MATCH(CampList[[#This Row],[CP_Pcode]],DistanceToCamp[CP_Pcode],0)-1,0,1,1),"")</f>
        <v>0.75</v>
      </c>
      <c r="AK210" s="698">
        <f ca="1">IFERROR(INT(CampList[[#This Row],[Distance]]/5)+1,"")</f>
        <v>1</v>
      </c>
    </row>
    <row r="211" spans="1:37" s="445" customFormat="1" ht="15.75" customHeight="1" x14ac:dyDescent="0.25">
      <c r="A211" s="708" t="s">
        <v>500</v>
      </c>
      <c r="B211" s="663" t="s">
        <v>380</v>
      </c>
      <c r="C211" s="662" t="s">
        <v>525</v>
      </c>
      <c r="D211" s="662" t="s">
        <v>300</v>
      </c>
      <c r="E211" s="662" t="s">
        <v>546</v>
      </c>
      <c r="F211" s="662" t="s">
        <v>808</v>
      </c>
      <c r="G211" s="662" t="s">
        <v>809</v>
      </c>
      <c r="H211" s="663"/>
      <c r="I211" s="709"/>
      <c r="J211" s="663"/>
      <c r="K211" s="663"/>
      <c r="L211" s="662" t="s">
        <v>1298</v>
      </c>
      <c r="M211" s="663" t="s">
        <v>1299</v>
      </c>
      <c r="N211" s="735">
        <v>97.745480999999998</v>
      </c>
      <c r="O211" s="735">
        <v>26.569633</v>
      </c>
      <c r="P211" s="711"/>
      <c r="Q211" s="689">
        <v>161</v>
      </c>
      <c r="R211" s="711">
        <v>711</v>
      </c>
      <c r="S211" s="690">
        <f>IF(CampList[[#This Row],[HH]]&gt;0,CampList[[#This Row],[Total]]/CampList[[#This Row],[HH]],"NA")</f>
        <v>4.4161490683229809</v>
      </c>
      <c r="T211" s="483" t="s">
        <v>511</v>
      </c>
      <c r="U211" s="664" t="s">
        <v>1191</v>
      </c>
      <c r="V211" s="483" t="s">
        <v>554</v>
      </c>
      <c r="W211" s="483" t="s">
        <v>856</v>
      </c>
      <c r="X211" s="712">
        <v>42036</v>
      </c>
      <c r="Y211" s="711"/>
      <c r="Z211" s="711"/>
      <c r="AA211" s="689" t="s">
        <v>842</v>
      </c>
      <c r="AB211" s="689"/>
      <c r="AC211" s="694">
        <v>42279</v>
      </c>
      <c r="AD211" s="736" t="s">
        <v>1449</v>
      </c>
      <c r="AE211" s="696"/>
      <c r="AF211" s="714">
        <f>IF(CampList[[#This Row],[Type of Accomodation]]="camp",MAX(0,CampList[[#This Row],[HH]]-SUMIF(Table_Shelter[Pcode],CampList[[#This Row],[CP_Pcode]],Table_Shelter[HH Covered])),0)</f>
        <v>161</v>
      </c>
      <c r="AG211" s="483"/>
      <c r="AH211" s="688">
        <f>MIN(CampList[[#This Row],[Shelter Gap]],CampList[[#This Row],[Land Status]])</f>
        <v>161</v>
      </c>
      <c r="AI211" s="664" t="str">
        <f ca="1">IFERROR(OFFSET(DistanceToCamp[Nearest Town],MATCH(CampList[[#This Row],[CP_Pcode]],DistanceToCamp[CP_Pcode],0)-1,0,1,1),"")</f>
        <v>Sumprabum Town</v>
      </c>
      <c r="AJ211" s="697">
        <f ca="1">IFERROR(OFFSET(DistanceToCamp[distance],MATCH(CampList[[#This Row],[CP_Pcode]],DistanceToCamp[CP_Pcode],0)-1,0,1,1),"")</f>
        <v>0</v>
      </c>
      <c r="AK211" s="698">
        <f ca="1">IFERROR(INT(CampList[[#This Row],[Distance]]/5)+1,"")</f>
        <v>1</v>
      </c>
    </row>
    <row r="212" spans="1:37" s="445" customFormat="1" ht="15.75" customHeight="1" x14ac:dyDescent="0.25">
      <c r="A212" s="708" t="s">
        <v>500</v>
      </c>
      <c r="B212" s="663" t="s">
        <v>380</v>
      </c>
      <c r="C212" s="662" t="s">
        <v>525</v>
      </c>
      <c r="D212" s="662" t="s">
        <v>300</v>
      </c>
      <c r="E212" s="662" t="s">
        <v>546</v>
      </c>
      <c r="F212" s="662" t="s">
        <v>808</v>
      </c>
      <c r="G212" s="662" t="s">
        <v>809</v>
      </c>
      <c r="H212" s="663"/>
      <c r="I212" s="709"/>
      <c r="J212" s="663"/>
      <c r="K212" s="663"/>
      <c r="L212" s="663" t="s">
        <v>1300</v>
      </c>
      <c r="M212" s="663" t="s">
        <v>1301</v>
      </c>
      <c r="N212" s="735">
        <v>97.75609</v>
      </c>
      <c r="O212" s="735">
        <v>26.548506</v>
      </c>
      <c r="P212" s="711"/>
      <c r="Q212" s="689"/>
      <c r="R212" s="711">
        <v>489</v>
      </c>
      <c r="S212" s="690" t="str">
        <f>IF(CampList[[#This Row],[HH]]&gt;0,CampList[[#This Row],[Total]]/CampList[[#This Row],[HH]],"NA")</f>
        <v>NA</v>
      </c>
      <c r="T212" s="483" t="s">
        <v>511</v>
      </c>
      <c r="U212" s="664" t="s">
        <v>1191</v>
      </c>
      <c r="V212" s="483" t="s">
        <v>554</v>
      </c>
      <c r="W212" s="483" t="s">
        <v>856</v>
      </c>
      <c r="X212" s="712">
        <v>42036</v>
      </c>
      <c r="Y212" s="711"/>
      <c r="Z212" s="711"/>
      <c r="AA212" s="689" t="s">
        <v>842</v>
      </c>
      <c r="AB212" s="689"/>
      <c r="AC212" s="694">
        <v>42279</v>
      </c>
      <c r="AD212" s="736" t="s">
        <v>1449</v>
      </c>
      <c r="AE212" s="696"/>
      <c r="AF212" s="714">
        <f>IF(CampList[[#This Row],[Type of Accomodation]]="camp",MAX(0,CampList[[#This Row],[HH]]-SUMIF(Table_Shelter[Pcode],CampList[[#This Row],[CP_Pcode]],Table_Shelter[HH Covered])),0)</f>
        <v>0</v>
      </c>
      <c r="AG212" s="483"/>
      <c r="AH212" s="688">
        <f>MIN(CampList[[#This Row],[Shelter Gap]],CampList[[#This Row],[Land Status]])</f>
        <v>0</v>
      </c>
      <c r="AI212" s="664" t="str">
        <f ca="1">IFERROR(OFFSET(DistanceToCamp[Nearest Town],MATCH(CampList[[#This Row],[CP_Pcode]],DistanceToCamp[CP_Pcode],0)-1,0,1,1),"")</f>
        <v>Sumprabum Town</v>
      </c>
      <c r="AJ212" s="697">
        <f ca="1">IFERROR(OFFSET(DistanceToCamp[distance],MATCH(CampList[[#This Row],[CP_Pcode]],DistanceToCamp[CP_Pcode],0)-1,0,1,1),"")</f>
        <v>0</v>
      </c>
      <c r="AK212" s="698">
        <f ca="1">IFERROR(INT(CampList[[#This Row],[Distance]]/5)+1,"")</f>
        <v>1</v>
      </c>
    </row>
    <row r="213" spans="1:37" s="445" customFormat="1" ht="15.75" customHeight="1" x14ac:dyDescent="0.25">
      <c r="A213" s="708" t="s">
        <v>500</v>
      </c>
      <c r="B213" s="662" t="s">
        <v>380</v>
      </c>
      <c r="C213" s="662" t="s">
        <v>525</v>
      </c>
      <c r="D213" s="662" t="s">
        <v>5</v>
      </c>
      <c r="E213" s="662" t="s">
        <v>529</v>
      </c>
      <c r="F213" s="741" t="s">
        <v>185</v>
      </c>
      <c r="G213" s="741" t="s">
        <v>533</v>
      </c>
      <c r="H213" s="741" t="s">
        <v>1205</v>
      </c>
      <c r="I213" s="741" t="s">
        <v>1312</v>
      </c>
      <c r="J213" s="663" t="s">
        <v>716</v>
      </c>
      <c r="K213" s="662" t="s">
        <v>1384</v>
      </c>
      <c r="L213" s="662" t="s">
        <v>1313</v>
      </c>
      <c r="M213" s="662" t="s">
        <v>1314</v>
      </c>
      <c r="N213" s="742">
        <v>97.461271999999994</v>
      </c>
      <c r="O213" s="742">
        <v>24.613976000000001</v>
      </c>
      <c r="P213" s="711"/>
      <c r="Q213" s="688"/>
      <c r="R213" s="711">
        <v>49</v>
      </c>
      <c r="S213" s="690" t="str">
        <f>IF(CampList[[#This Row],[HH]]&gt;0,CampList[[#This Row],[Total]]/CampList[[#This Row],[HH]],"NA")</f>
        <v>NA</v>
      </c>
      <c r="T213" s="664" t="s">
        <v>511</v>
      </c>
      <c r="U213" s="664" t="s">
        <v>1191</v>
      </c>
      <c r="V213" s="664" t="s">
        <v>986</v>
      </c>
      <c r="W213" s="664" t="s">
        <v>856</v>
      </c>
      <c r="X213" s="691"/>
      <c r="Y213" s="692"/>
      <c r="Z213" s="691"/>
      <c r="AA213" s="693" t="s">
        <v>1466</v>
      </c>
      <c r="AB213" s="693"/>
      <c r="AC213" s="694">
        <v>42317</v>
      </c>
      <c r="AD213" s="695" t="s">
        <v>1465</v>
      </c>
      <c r="AE213" s="696"/>
      <c r="AF213" s="714">
        <f>IF(CampList[[#This Row],[Type of Accomodation]]="camp",MAX(0,CampList[[#This Row],[HH]]-SUMIF(Table_Shelter[Pcode],CampList[[#This Row],[CP_Pcode]],Table_Shelter[HH Covered])),0)</f>
        <v>0</v>
      </c>
      <c r="AG213" s="664"/>
      <c r="AH213" s="688">
        <f>MIN(CampList[[#This Row],[Shelter Gap]],CampList[[#This Row],[Land Status]])</f>
        <v>0</v>
      </c>
      <c r="AI213" s="664" t="str">
        <f ca="1">IFERROR(OFFSET(DistanceToCamp[Nearest Town],MATCH(CampList[[#This Row],[CP_Pcode]],DistanceToCamp[CP_Pcode],0)-1,0,1,1),"")</f>
        <v>Dawthponeyan  Town</v>
      </c>
      <c r="AJ213" s="697">
        <f ca="1">IFERROR(OFFSET(DistanceToCamp[distance],MATCH(CampList[[#This Row],[CP_Pcode]],DistanceToCamp[CP_Pcode],0)-1,0,1,1),"")</f>
        <v>0</v>
      </c>
      <c r="AK213" s="698">
        <f ca="1">IFERROR(INT(CampList[[#This Row],[Distance]]/5)+1,"")</f>
        <v>1</v>
      </c>
    </row>
    <row r="214" spans="1:37" s="488" customFormat="1" ht="15.75" hidden="1" customHeight="1" x14ac:dyDescent="0.25">
      <c r="A214" s="739" t="s">
        <v>843</v>
      </c>
      <c r="B214" s="662" t="s">
        <v>380</v>
      </c>
      <c r="C214" s="662" t="s">
        <v>525</v>
      </c>
      <c r="D214" s="662" t="s">
        <v>5</v>
      </c>
      <c r="E214" s="662" t="s">
        <v>529</v>
      </c>
      <c r="F214" s="662" t="s">
        <v>151</v>
      </c>
      <c r="G214" s="662" t="s">
        <v>539</v>
      </c>
      <c r="H214" s="662" t="s">
        <v>626</v>
      </c>
      <c r="I214" s="662" t="s">
        <v>627</v>
      </c>
      <c r="J214" s="662" t="s">
        <v>626</v>
      </c>
      <c r="K214" s="662">
        <v>167495</v>
      </c>
      <c r="L214" s="662" t="s">
        <v>296</v>
      </c>
      <c r="M214" s="662" t="s">
        <v>1414</v>
      </c>
      <c r="N214" s="687">
        <v>97.174999999999997</v>
      </c>
      <c r="O214" s="687">
        <v>23.867000000000001</v>
      </c>
      <c r="P214" s="711"/>
      <c r="Q214" s="705">
        <v>0</v>
      </c>
      <c r="R214" s="706">
        <v>0</v>
      </c>
      <c r="S214" s="690" t="str">
        <f>IF(CampList[[#This Row],[HH]]&gt;0,CampList[[#This Row],[Total]]/CampList[[#This Row],[HH]],"NA")</f>
        <v>NA</v>
      </c>
      <c r="T214" s="664" t="s">
        <v>513</v>
      </c>
      <c r="U214" s="699" t="s">
        <v>1191</v>
      </c>
      <c r="V214" s="664" t="s">
        <v>554</v>
      </c>
      <c r="W214" s="699"/>
      <c r="X214" s="719"/>
      <c r="Y214" s="710"/>
      <c r="Z214" s="720"/>
      <c r="AA214" s="704"/>
      <c r="AB214" s="693"/>
      <c r="AC214" s="694">
        <v>41701</v>
      </c>
      <c r="AD214" s="686" t="s">
        <v>1013</v>
      </c>
      <c r="AE214" s="721" t="s">
        <v>1007</v>
      </c>
      <c r="AF214" s="483">
        <f>IF(CampList[[#This Row],[Type of Accomodation]]="camp",MAX(0,CampList[[#This Row],[HH]]-SUMIF(Table_Shelter[Pcode],CampList[[#This Row],[CP_Pcode]],Table_Shelter[HH Covered])),0)</f>
        <v>0</v>
      </c>
      <c r="AG214" s="664"/>
      <c r="AH214" s="693">
        <f>MIN(CampList[[#This Row],[Shelter Gap]],CampList[[#This Row],[Land Status]])</f>
        <v>0</v>
      </c>
      <c r="AI214" s="664" t="str">
        <f ca="1">IFERROR(OFFSET(DistanceToCamp[Nearest Town],MATCH(CampList[[#This Row],[CP_Pcode]],DistanceToCamp[CP_Pcode],0)-1,0,1,1),"")</f>
        <v/>
      </c>
      <c r="AJ214" s="697" t="str">
        <f ca="1">IFERROR(OFFSET(DistanceToCamp[distance],MATCH(CampList[[#This Row],[CP_Pcode]],DistanceToCamp[CP_Pcode],0)-1,0,1,1),"")</f>
        <v/>
      </c>
      <c r="AK214" s="698" t="str">
        <f ca="1">IFERROR(INT(CampList[[#This Row],[Distance]]/5)+1,"")</f>
        <v/>
      </c>
    </row>
    <row r="215" spans="1:37" s="488" customFormat="1" ht="15.75" customHeight="1" x14ac:dyDescent="0.25">
      <c r="A215" s="708" t="s">
        <v>500</v>
      </c>
      <c r="B215" s="662" t="s">
        <v>380</v>
      </c>
      <c r="C215" s="662" t="s">
        <v>525</v>
      </c>
      <c r="D215" s="663" t="s">
        <v>237</v>
      </c>
      <c r="E215" s="663" t="s">
        <v>531</v>
      </c>
      <c r="F215" s="663" t="s">
        <v>527</v>
      </c>
      <c r="G215" s="663" t="s">
        <v>1417</v>
      </c>
      <c r="H215" s="663" t="s">
        <v>1447</v>
      </c>
      <c r="I215" s="709" t="s">
        <v>1448</v>
      </c>
      <c r="J215" s="662" t="s">
        <v>1447</v>
      </c>
      <c r="K215" s="709">
        <v>166818</v>
      </c>
      <c r="L215" s="663" t="s">
        <v>1415</v>
      </c>
      <c r="M215" s="662" t="s">
        <v>1416</v>
      </c>
      <c r="N215" s="689">
        <v>96.637</v>
      </c>
      <c r="O215" s="689">
        <v>25.806999999999999</v>
      </c>
      <c r="P215" s="711"/>
      <c r="Q215" s="688">
        <v>6</v>
      </c>
      <c r="R215" s="711">
        <v>9</v>
      </c>
      <c r="S215" s="690">
        <f>IF(CampList[[#This Row],[HH]]&gt;0,CampList[[#This Row],[Total]]/CampList[[#This Row],[HH]],"NA")</f>
        <v>1.5</v>
      </c>
      <c r="T215" s="664" t="s">
        <v>511</v>
      </c>
      <c r="U215" s="664" t="s">
        <v>1191</v>
      </c>
      <c r="V215" s="664" t="s">
        <v>554</v>
      </c>
      <c r="W215" s="664" t="s">
        <v>856</v>
      </c>
      <c r="X215" s="712">
        <v>42370</v>
      </c>
      <c r="Y215" s="692"/>
      <c r="Z215" s="691"/>
      <c r="AA215" s="693" t="s">
        <v>842</v>
      </c>
      <c r="AB215" s="693"/>
      <c r="AC215" s="694">
        <v>42576</v>
      </c>
      <c r="AD215" s="686" t="s">
        <v>1413</v>
      </c>
      <c r="AE215" s="696"/>
      <c r="AF215" s="714">
        <f>IF(CampList[[#This Row],[Type of Accomodation]]="camp",MAX(0,CampList[[#This Row],[HH]]-SUMIF(Table_Shelter[Pcode],CampList[[#This Row],[CP_Pcode]],Table_Shelter[HH Covered])),0)</f>
        <v>6</v>
      </c>
      <c r="AG215" s="664"/>
      <c r="AH215" s="688">
        <f>MIN(CampList[[#This Row],[Shelter Gap]],CampList[[#This Row],[Land Status]])</f>
        <v>6</v>
      </c>
      <c r="AI215" s="664" t="str">
        <f ca="1">IFERROR(OFFSET(DistanceToCamp[Nearest Town],MATCH(CampList[[#This Row],[CP_Pcode]],DistanceToCamp[CP_Pcode],0)-1,0,1,1),"")</f>
        <v>Hpakant Town</v>
      </c>
      <c r="AJ215" s="697">
        <f ca="1">IFERROR(OFFSET(DistanceToCamp[distance],MATCH(CampList[[#This Row],[CP_Pcode]],DistanceToCamp[CP_Pcode],0)-1,0,1,1),"")</f>
        <v>0</v>
      </c>
      <c r="AK215" s="698">
        <f ca="1">IFERROR(INT(CampList[[#This Row],[Distance]]/5)+1,"")</f>
        <v>1</v>
      </c>
    </row>
    <row r="216" spans="1:37" s="488" customFormat="1" ht="15.75" customHeight="1" x14ac:dyDescent="0.25">
      <c r="A216" s="686" t="s">
        <v>500</v>
      </c>
      <c r="B216" s="662" t="s">
        <v>380</v>
      </c>
      <c r="C216" s="662" t="s">
        <v>525</v>
      </c>
      <c r="D216" s="662" t="s">
        <v>180</v>
      </c>
      <c r="E216" s="662" t="s">
        <v>526</v>
      </c>
      <c r="F216" s="662" t="s">
        <v>527</v>
      </c>
      <c r="G216" s="662" t="s">
        <v>528</v>
      </c>
      <c r="H216" s="663" t="s">
        <v>1447</v>
      </c>
      <c r="I216" s="709" t="s">
        <v>1448</v>
      </c>
      <c r="J216" s="663" t="s">
        <v>1457</v>
      </c>
      <c r="K216" s="663">
        <v>166819</v>
      </c>
      <c r="L216" s="55" t="s">
        <v>1452</v>
      </c>
      <c r="M216" s="663" t="s">
        <v>1458</v>
      </c>
      <c r="N216" s="743">
        <v>96.662092000000001</v>
      </c>
      <c r="O216" s="743">
        <v>25.920006000000001</v>
      </c>
      <c r="P216" s="711"/>
      <c r="Q216" s="689">
        <v>32</v>
      </c>
      <c r="R216" s="711">
        <v>83</v>
      </c>
      <c r="S216" s="690">
        <f>IF(CampList[[#This Row],[HH]]&gt;0,CampList[[#This Row],[Total]]/CampList[[#This Row],[HH]],"NA")</f>
        <v>2.59375</v>
      </c>
      <c r="T216" s="483" t="s">
        <v>511</v>
      </c>
      <c r="U216" s="664" t="s">
        <v>1191</v>
      </c>
      <c r="V216" s="483" t="s">
        <v>554</v>
      </c>
      <c r="W216" s="483" t="s">
        <v>856</v>
      </c>
      <c r="X216" s="712">
        <v>42584</v>
      </c>
      <c r="Y216" s="711"/>
      <c r="Z216" s="711"/>
      <c r="AA216" s="689" t="s">
        <v>842</v>
      </c>
      <c r="AB216" s="689"/>
      <c r="AC216" s="694">
        <v>42629</v>
      </c>
      <c r="AD216" s="713" t="s">
        <v>1463</v>
      </c>
      <c r="AE216" s="696"/>
      <c r="AF216" s="714">
        <f>IF(CampList[[#This Row],[Type of Accomodation]]="camp",MAX(0,CampList[[#This Row],[HH]]-SUMIF(Table_Shelter[Pcode],CampList[[#This Row],[CP_Pcode]],Table_Shelter[HH Covered])),0)</f>
        <v>32</v>
      </c>
      <c r="AG216" s="483"/>
      <c r="AH216" s="688">
        <f>MIN(CampList[[#This Row],[Shelter Gap]],CampList[[#This Row],[Land Status]])</f>
        <v>32</v>
      </c>
      <c r="AI216" s="714" t="str">
        <f ca="1">IFERROR(OFFSET(DistanceToCamp[Nearest Town],MATCH(CampList[[#This Row],[CP_Pcode]],DistanceToCamp[CP_Pcode],0)-1,0,1,1),"")</f>
        <v>Hpakant Town</v>
      </c>
      <c r="AJ216" s="697">
        <f ca="1">IFERROR(OFFSET(DistanceToCamp[distance],MATCH(CampList[[#This Row],[CP_Pcode]],DistanceToCamp[CP_Pcode],0)-1,0,1,1),"")</f>
        <v>0</v>
      </c>
      <c r="AK216" s="715">
        <f ca="1">IFERROR(INT(CampList[[#This Row],[Distance]]/5)+1,"")</f>
        <v>1</v>
      </c>
    </row>
    <row r="217" spans="1:37" s="488" customFormat="1" ht="15.75" customHeight="1" x14ac:dyDescent="0.25">
      <c r="A217" s="686" t="s">
        <v>500</v>
      </c>
      <c r="B217" s="662" t="s">
        <v>380</v>
      </c>
      <c r="C217" s="662" t="s">
        <v>525</v>
      </c>
      <c r="D217" s="662" t="s">
        <v>180</v>
      </c>
      <c r="E217" s="662" t="s">
        <v>526</v>
      </c>
      <c r="F217" s="662" t="s">
        <v>527</v>
      </c>
      <c r="G217" s="662" t="s">
        <v>528</v>
      </c>
      <c r="H217" s="663" t="s">
        <v>1447</v>
      </c>
      <c r="I217" s="709" t="s">
        <v>1448</v>
      </c>
      <c r="J217" s="663" t="s">
        <v>1457</v>
      </c>
      <c r="K217" s="663">
        <v>166819</v>
      </c>
      <c r="L217" s="55" t="s">
        <v>1456</v>
      </c>
      <c r="M217" s="663" t="s">
        <v>1459</v>
      </c>
      <c r="N217" s="743">
        <v>96.662092000000001</v>
      </c>
      <c r="O217" s="743">
        <v>25.920006000000001</v>
      </c>
      <c r="P217" s="711"/>
      <c r="Q217" s="689">
        <v>42</v>
      </c>
      <c r="R217" s="711">
        <v>138</v>
      </c>
      <c r="S217" s="690">
        <f>IF(CampList[[#This Row],[HH]]&gt;0,CampList[[#This Row],[Total]]/CampList[[#This Row],[HH]],"NA")</f>
        <v>3.2857142857142856</v>
      </c>
      <c r="T217" s="483" t="s">
        <v>511</v>
      </c>
      <c r="U217" s="664" t="s">
        <v>1191</v>
      </c>
      <c r="V217" s="483" t="s">
        <v>554</v>
      </c>
      <c r="W217" s="483" t="s">
        <v>856</v>
      </c>
      <c r="X217" s="712">
        <v>42584</v>
      </c>
      <c r="Y217" s="711"/>
      <c r="Z217" s="711"/>
      <c r="AA217" s="689" t="s">
        <v>842</v>
      </c>
      <c r="AB217" s="689"/>
      <c r="AC217" s="694">
        <v>42629</v>
      </c>
      <c r="AD217" s="713" t="s">
        <v>1463</v>
      </c>
      <c r="AE217" s="696"/>
      <c r="AF217" s="714">
        <f>IF(CampList[[#This Row],[Type of Accomodation]]="camp",MAX(0,CampList[[#This Row],[HH]]-SUMIF(Table_Shelter[Pcode],CampList[[#This Row],[CP_Pcode]],Table_Shelter[HH Covered])),0)</f>
        <v>42</v>
      </c>
      <c r="AG217" s="483"/>
      <c r="AH217" s="688">
        <f>MIN(CampList[[#This Row],[Shelter Gap]],CampList[[#This Row],[Land Status]])</f>
        <v>42</v>
      </c>
      <c r="AI217" s="714" t="str">
        <f ca="1">IFERROR(OFFSET(DistanceToCamp[Nearest Town],MATCH(CampList[[#This Row],[CP_Pcode]],DistanceToCamp[CP_Pcode],0)-1,0,1,1),"")</f>
        <v>Hpakant Town</v>
      </c>
      <c r="AJ217" s="697">
        <f ca="1">IFERROR(OFFSET(DistanceToCamp[distance],MATCH(CampList[[#This Row],[CP_Pcode]],DistanceToCamp[CP_Pcode],0)-1,0,1,1),"")</f>
        <v>0</v>
      </c>
      <c r="AK217" s="715">
        <f ca="1">IFERROR(INT(CampList[[#This Row],[Distance]]/5)+1,"")</f>
        <v>1</v>
      </c>
    </row>
    <row r="218" spans="1:37" s="488" customFormat="1" ht="15.75" customHeight="1" x14ac:dyDescent="0.25">
      <c r="A218" s="686" t="s">
        <v>500</v>
      </c>
      <c r="B218" s="662" t="s">
        <v>380</v>
      </c>
      <c r="C218" s="662" t="s">
        <v>525</v>
      </c>
      <c r="D218" s="662" t="s">
        <v>180</v>
      </c>
      <c r="E218" s="662" t="s">
        <v>526</v>
      </c>
      <c r="F218" s="662" t="s">
        <v>527</v>
      </c>
      <c r="G218" s="662" t="s">
        <v>528</v>
      </c>
      <c r="H218" s="663" t="s">
        <v>1447</v>
      </c>
      <c r="I218" s="709" t="s">
        <v>1448</v>
      </c>
      <c r="J218" s="663" t="s">
        <v>1457</v>
      </c>
      <c r="K218" s="663">
        <v>166819</v>
      </c>
      <c r="L218" s="55" t="s">
        <v>1453</v>
      </c>
      <c r="M218" s="663" t="s">
        <v>1460</v>
      </c>
      <c r="N218" s="743">
        <v>96.662092000000001</v>
      </c>
      <c r="O218" s="743">
        <v>25.920006000000001</v>
      </c>
      <c r="P218" s="711"/>
      <c r="Q218" s="689">
        <v>13</v>
      </c>
      <c r="R218" s="711">
        <v>47</v>
      </c>
      <c r="S218" s="690">
        <f>IF(CampList[[#This Row],[HH]]&gt;0,CampList[[#This Row],[Total]]/CampList[[#This Row],[HH]],"NA")</f>
        <v>3.6153846153846154</v>
      </c>
      <c r="T218" s="483" t="s">
        <v>511</v>
      </c>
      <c r="U218" s="664" t="s">
        <v>1191</v>
      </c>
      <c r="V218" s="483" t="s">
        <v>554</v>
      </c>
      <c r="W218" s="483" t="s">
        <v>856</v>
      </c>
      <c r="X218" s="712">
        <v>42584</v>
      </c>
      <c r="Y218" s="711"/>
      <c r="Z218" s="711"/>
      <c r="AA218" s="689" t="s">
        <v>842</v>
      </c>
      <c r="AB218" s="689"/>
      <c r="AC218" s="694">
        <v>42629</v>
      </c>
      <c r="AD218" s="713" t="s">
        <v>1463</v>
      </c>
      <c r="AE218" s="696"/>
      <c r="AF218" s="714">
        <f>IF(CampList[[#This Row],[Type of Accomodation]]="camp",MAX(0,CampList[[#This Row],[HH]]-SUMIF(Table_Shelter[Pcode],CampList[[#This Row],[CP_Pcode]],Table_Shelter[HH Covered])),0)</f>
        <v>13</v>
      </c>
      <c r="AG218" s="483"/>
      <c r="AH218" s="688">
        <f>MIN(CampList[[#This Row],[Shelter Gap]],CampList[[#This Row],[Land Status]])</f>
        <v>13</v>
      </c>
      <c r="AI218" s="714" t="str">
        <f ca="1">IFERROR(OFFSET(DistanceToCamp[Nearest Town],MATCH(CampList[[#This Row],[CP_Pcode]],DistanceToCamp[CP_Pcode],0)-1,0,1,1),"")</f>
        <v>Hpakant Town</v>
      </c>
      <c r="AJ218" s="697">
        <f ca="1">IFERROR(OFFSET(DistanceToCamp[distance],MATCH(CampList[[#This Row],[CP_Pcode]],DistanceToCamp[CP_Pcode],0)-1,0,1,1),"")</f>
        <v>0</v>
      </c>
      <c r="AK218" s="715">
        <f ca="1">IFERROR(INT(CampList[[#This Row],[Distance]]/5)+1,"")</f>
        <v>1</v>
      </c>
    </row>
    <row r="219" spans="1:37" s="488" customFormat="1" ht="15.75" customHeight="1" x14ac:dyDescent="0.25">
      <c r="A219" s="686" t="s">
        <v>500</v>
      </c>
      <c r="B219" s="662" t="s">
        <v>380</v>
      </c>
      <c r="C219" s="662" t="s">
        <v>525</v>
      </c>
      <c r="D219" s="662" t="s">
        <v>180</v>
      </c>
      <c r="E219" s="662" t="s">
        <v>526</v>
      </c>
      <c r="F219" s="662" t="s">
        <v>527</v>
      </c>
      <c r="G219" s="662" t="s">
        <v>528</v>
      </c>
      <c r="H219" s="663" t="s">
        <v>1447</v>
      </c>
      <c r="I219" s="709" t="s">
        <v>1448</v>
      </c>
      <c r="J219" s="663" t="s">
        <v>1457</v>
      </c>
      <c r="K219" s="663">
        <v>166819</v>
      </c>
      <c r="L219" s="55" t="s">
        <v>1455</v>
      </c>
      <c r="M219" s="663" t="s">
        <v>1461</v>
      </c>
      <c r="N219" s="743">
        <v>96.662092000000001</v>
      </c>
      <c r="O219" s="743">
        <v>25.920006000000001</v>
      </c>
      <c r="P219" s="711"/>
      <c r="Q219" s="689">
        <v>7</v>
      </c>
      <c r="R219" s="711">
        <v>19</v>
      </c>
      <c r="S219" s="690">
        <f>IF(CampList[[#This Row],[HH]]&gt;0,CampList[[#This Row],[Total]]/CampList[[#This Row],[HH]],"NA")</f>
        <v>2.7142857142857144</v>
      </c>
      <c r="T219" s="483" t="s">
        <v>511</v>
      </c>
      <c r="U219" s="664" t="s">
        <v>1191</v>
      </c>
      <c r="V219" s="483" t="s">
        <v>554</v>
      </c>
      <c r="W219" s="483" t="s">
        <v>856</v>
      </c>
      <c r="X219" s="712">
        <v>42584</v>
      </c>
      <c r="Y219" s="711"/>
      <c r="Z219" s="711"/>
      <c r="AA219" s="689" t="s">
        <v>842</v>
      </c>
      <c r="AB219" s="689"/>
      <c r="AC219" s="694">
        <v>42629</v>
      </c>
      <c r="AD219" s="713" t="s">
        <v>1463</v>
      </c>
      <c r="AE219" s="696"/>
      <c r="AF219" s="714">
        <f>IF(CampList[[#This Row],[Type of Accomodation]]="camp",MAX(0,CampList[[#This Row],[HH]]-SUMIF(Table_Shelter[Pcode],CampList[[#This Row],[CP_Pcode]],Table_Shelter[HH Covered])),0)</f>
        <v>7</v>
      </c>
      <c r="AG219" s="483"/>
      <c r="AH219" s="688">
        <f>MIN(CampList[[#This Row],[Shelter Gap]],CampList[[#This Row],[Land Status]])</f>
        <v>7</v>
      </c>
      <c r="AI219" s="714" t="str">
        <f ca="1">IFERROR(OFFSET(DistanceToCamp[Nearest Town],MATCH(CampList[[#This Row],[CP_Pcode]],DistanceToCamp[CP_Pcode],0)-1,0,1,1),"")</f>
        <v>Hpakant Town</v>
      </c>
      <c r="AJ219" s="697">
        <f ca="1">IFERROR(OFFSET(DistanceToCamp[distance],MATCH(CampList[[#This Row],[CP_Pcode]],DistanceToCamp[CP_Pcode],0)-1,0,1,1),"")</f>
        <v>0</v>
      </c>
      <c r="AK219" s="715">
        <f ca="1">IFERROR(INT(CampList[[#This Row],[Distance]]/5)+1,"")</f>
        <v>1</v>
      </c>
    </row>
    <row r="220" spans="1:37" s="488" customFormat="1" ht="15.75" customHeight="1" x14ac:dyDescent="0.25">
      <c r="A220" s="686" t="s">
        <v>500</v>
      </c>
      <c r="B220" s="662" t="s">
        <v>380</v>
      </c>
      <c r="C220" s="662" t="s">
        <v>525</v>
      </c>
      <c r="D220" s="662" t="s">
        <v>180</v>
      </c>
      <c r="E220" s="662" t="s">
        <v>526</v>
      </c>
      <c r="F220" s="662" t="s">
        <v>527</v>
      </c>
      <c r="G220" s="662" t="s">
        <v>528</v>
      </c>
      <c r="H220" s="663" t="s">
        <v>1447</v>
      </c>
      <c r="I220" s="709" t="s">
        <v>1448</v>
      </c>
      <c r="J220" s="663" t="s">
        <v>1457</v>
      </c>
      <c r="K220" s="663">
        <v>166819</v>
      </c>
      <c r="L220" s="55" t="s">
        <v>1454</v>
      </c>
      <c r="M220" s="663" t="s">
        <v>1462</v>
      </c>
      <c r="N220" s="743">
        <v>96.662092000000001</v>
      </c>
      <c r="O220" s="743">
        <v>25.920006000000001</v>
      </c>
      <c r="P220" s="711"/>
      <c r="Q220" s="689">
        <v>22</v>
      </c>
      <c r="R220" s="711">
        <v>52</v>
      </c>
      <c r="S220" s="690">
        <f>IF(CampList[[#This Row],[HH]]&gt;0,CampList[[#This Row],[Total]]/CampList[[#This Row],[HH]],"NA")</f>
        <v>2.3636363636363638</v>
      </c>
      <c r="T220" s="483" t="s">
        <v>511</v>
      </c>
      <c r="U220" s="664" t="s">
        <v>1191</v>
      </c>
      <c r="V220" s="483" t="s">
        <v>554</v>
      </c>
      <c r="W220" s="483" t="s">
        <v>856</v>
      </c>
      <c r="X220" s="712">
        <v>42584</v>
      </c>
      <c r="Y220" s="711"/>
      <c r="Z220" s="711"/>
      <c r="AA220" s="689" t="s">
        <v>842</v>
      </c>
      <c r="AB220" s="689"/>
      <c r="AC220" s="694">
        <v>42629</v>
      </c>
      <c r="AD220" s="713" t="s">
        <v>1463</v>
      </c>
      <c r="AE220" s="696"/>
      <c r="AF220" s="714">
        <f>IF(CampList[[#This Row],[Type of Accomodation]]="camp",MAX(0,CampList[[#This Row],[HH]]-SUMIF(Table_Shelter[Pcode],CampList[[#This Row],[CP_Pcode]],Table_Shelter[HH Covered])),0)</f>
        <v>22</v>
      </c>
      <c r="AG220" s="483"/>
      <c r="AH220" s="688">
        <f>MIN(CampList[[#This Row],[Shelter Gap]],CampList[[#This Row],[Land Status]])</f>
        <v>22</v>
      </c>
      <c r="AI220" s="714" t="str">
        <f ca="1">IFERROR(OFFSET(DistanceToCamp[Nearest Town],MATCH(CampList[[#This Row],[CP_Pcode]],DistanceToCamp[CP_Pcode],0)-1,0,1,1),"")</f>
        <v>Hpakant Town</v>
      </c>
      <c r="AJ220" s="697">
        <f ca="1">IFERROR(OFFSET(DistanceToCamp[distance],MATCH(CampList[[#This Row],[CP_Pcode]],DistanceToCamp[CP_Pcode],0)-1,0,1,1),"")</f>
        <v>0</v>
      </c>
      <c r="AK220" s="715">
        <f ca="1">IFERROR(INT(CampList[[#This Row],[Distance]]/5)+1,"")</f>
        <v>1</v>
      </c>
    </row>
    <row r="221" spans="1:37" s="488" customFormat="1" ht="15.75" customHeight="1" x14ac:dyDescent="0.25">
      <c r="A221" s="686" t="s">
        <v>500</v>
      </c>
      <c r="B221" s="662" t="s">
        <v>553</v>
      </c>
      <c r="C221" s="662" t="s">
        <v>536</v>
      </c>
      <c r="D221" s="662" t="s">
        <v>230</v>
      </c>
      <c r="E221" s="662" t="s">
        <v>537</v>
      </c>
      <c r="F221" s="662" t="s">
        <v>289</v>
      </c>
      <c r="G221" s="662" t="s">
        <v>549</v>
      </c>
      <c r="H221" s="662" t="s">
        <v>751</v>
      </c>
      <c r="I221" s="662" t="s">
        <v>752</v>
      </c>
      <c r="J221" s="662" t="s">
        <v>751</v>
      </c>
      <c r="K221" s="662">
        <v>208353</v>
      </c>
      <c r="L221" s="662" t="s">
        <v>290</v>
      </c>
      <c r="M221" s="662" t="s">
        <v>288</v>
      </c>
      <c r="N221" s="687">
        <v>97.669557999999995</v>
      </c>
      <c r="O221" s="687">
        <v>23.828520000000001</v>
      </c>
      <c r="P221" s="688">
        <v>740</v>
      </c>
      <c r="Q221" s="689">
        <v>69</v>
      </c>
      <c r="R221" s="689">
        <v>344</v>
      </c>
      <c r="S221" s="690">
        <f>IF(CampList[[#This Row],[HH]]&gt;0,CampList[[#This Row],[Total]]/CampList[[#This Row],[HH]],"NA")</f>
        <v>4.9855072463768115</v>
      </c>
      <c r="T221" s="664" t="s">
        <v>511</v>
      </c>
      <c r="U221" s="664" t="s">
        <v>1191</v>
      </c>
      <c r="V221" s="664" t="s">
        <v>554</v>
      </c>
      <c r="W221" s="664" t="s">
        <v>803</v>
      </c>
      <c r="X221" s="691">
        <v>40878</v>
      </c>
      <c r="Y221" s="692">
        <v>2</v>
      </c>
      <c r="Z221" s="691" t="s">
        <v>460</v>
      </c>
      <c r="AA221" s="704" t="s">
        <v>842</v>
      </c>
      <c r="AB221" s="693"/>
      <c r="AC221" s="694">
        <v>42745</v>
      </c>
      <c r="AD221" s="695" t="s">
        <v>1498</v>
      </c>
      <c r="AE221" s="696" t="s">
        <v>1079</v>
      </c>
      <c r="AF221" s="483">
        <f>IF(CampList[[#This Row],[Type of Accomodation]]="camp",MAX(0,CampList[[#This Row],[HH]]-SUMIF(Table_Shelter[Pcode],CampList[[#This Row],[CP_Pcode]],Table_Shelter[HH Covered])),0)</f>
        <v>39</v>
      </c>
      <c r="AG221" s="664"/>
      <c r="AH221" s="693">
        <f>MIN(CampList[[#This Row],[Shelter Gap]],CampList[[#This Row],[Land Status]])</f>
        <v>39</v>
      </c>
      <c r="AI221" s="664" t="str">
        <f ca="1">IFERROR(OFFSET(DistanceToCamp[Nearest Town],MATCH(CampList[[#This Row],[CP_Pcode]],DistanceToCamp[CP_Pcode],0)-1,0,1,1),"")</f>
        <v>Namhkan Town</v>
      </c>
      <c r="AJ221" s="697">
        <f ca="1">IFERROR(OFFSET(DistanceToCamp[distance],MATCH(CampList[[#This Row],[CP_Pcode]],DistanceToCamp[CP_Pcode],0)-1,0,1,1),"")</f>
        <v>1.5619149693996526</v>
      </c>
      <c r="AK221" s="698">
        <f ca="1">IFERROR(INT(CampList[[#This Row],[Distance]]/5)+1,"")</f>
        <v>1</v>
      </c>
    </row>
    <row r="222" spans="1:37" s="446" customFormat="1" ht="15.75" hidden="1" customHeight="1" x14ac:dyDescent="0.25">
      <c r="A222" s="686" t="s">
        <v>843</v>
      </c>
      <c r="B222" s="662" t="s">
        <v>553</v>
      </c>
      <c r="C222" s="662" t="s">
        <v>536</v>
      </c>
      <c r="D222" s="662" t="s">
        <v>230</v>
      </c>
      <c r="E222" s="662" t="s">
        <v>537</v>
      </c>
      <c r="F222" s="662" t="s">
        <v>289</v>
      </c>
      <c r="G222" s="662" t="s">
        <v>549</v>
      </c>
      <c r="H222" s="662" t="s">
        <v>751</v>
      </c>
      <c r="I222" s="662" t="s">
        <v>752</v>
      </c>
      <c r="J222" s="662" t="s">
        <v>751</v>
      </c>
      <c r="K222" s="662">
        <v>208353</v>
      </c>
      <c r="L222" s="662" t="s">
        <v>294</v>
      </c>
      <c r="M222" s="662" t="s">
        <v>293</v>
      </c>
      <c r="N222" s="687"/>
      <c r="O222" s="687"/>
      <c r="P222" s="711"/>
      <c r="Q222" s="705">
        <v>0</v>
      </c>
      <c r="R222" s="706">
        <v>0</v>
      </c>
      <c r="S222" s="690" t="str">
        <f>IF(CampList[[#This Row],[HH]]&gt;0,CampList[[#This Row],[Total]]/CampList[[#This Row],[HH]],"NA")</f>
        <v>NA</v>
      </c>
      <c r="T222" s="664" t="s">
        <v>513</v>
      </c>
      <c r="U222" s="699" t="s">
        <v>1191</v>
      </c>
      <c r="V222" s="664" t="s">
        <v>554</v>
      </c>
      <c r="W222" s="699"/>
      <c r="X222" s="719"/>
      <c r="Y222" s="710"/>
      <c r="Z222" s="720"/>
      <c r="AA222" s="704" t="s">
        <v>842</v>
      </c>
      <c r="AB222" s="693"/>
      <c r="AC222" s="694">
        <v>41701</v>
      </c>
      <c r="AD222" s="686" t="s">
        <v>1014</v>
      </c>
      <c r="AE222" s="721" t="s">
        <v>1007</v>
      </c>
      <c r="AF222" s="483">
        <f>IF(CampList[[#This Row],[Type of Accomodation]]="camp",MAX(0,CampList[[#This Row],[HH]]-SUMIF(Table_Shelter[Pcode],CampList[[#This Row],[CP_Pcode]],Table_Shelter[HH Covered])),0)</f>
        <v>0</v>
      </c>
      <c r="AG222" s="664"/>
      <c r="AH222" s="693">
        <f>MIN(CampList[[#This Row],[Shelter Gap]],CampList[[#This Row],[Land Status]])</f>
        <v>0</v>
      </c>
      <c r="AI222" s="664" t="str">
        <f ca="1">IFERROR(OFFSET(DistanceToCamp[Nearest Town],MATCH(CampList[[#This Row],[CP_Pcode]],DistanceToCamp[CP_Pcode],0)-1,0,1,1),"")</f>
        <v/>
      </c>
      <c r="AJ222" s="697" t="str">
        <f ca="1">IFERROR(OFFSET(DistanceToCamp[distance],MATCH(CampList[[#This Row],[CP_Pcode]],DistanceToCamp[CP_Pcode],0)-1,0,1,1),"")</f>
        <v/>
      </c>
      <c r="AK222" s="698" t="str">
        <f ca="1">IFERROR(INT(CampList[[#This Row],[Distance]]/5)+1,"")</f>
        <v/>
      </c>
    </row>
    <row r="223" spans="1:37" s="488" customFormat="1" ht="15.75" customHeight="1" x14ac:dyDescent="0.25">
      <c r="A223" s="708" t="s">
        <v>500</v>
      </c>
      <c r="B223" s="663" t="s">
        <v>553</v>
      </c>
      <c r="C223" s="663" t="s">
        <v>536</v>
      </c>
      <c r="D223" s="663" t="s">
        <v>230</v>
      </c>
      <c r="E223" s="663" t="s">
        <v>537</v>
      </c>
      <c r="F223" s="663" t="s">
        <v>289</v>
      </c>
      <c r="G223" s="663" t="s">
        <v>549</v>
      </c>
      <c r="H223" s="663" t="s">
        <v>751</v>
      </c>
      <c r="I223" s="709" t="s">
        <v>752</v>
      </c>
      <c r="J223" s="663" t="s">
        <v>751</v>
      </c>
      <c r="K223" s="663">
        <v>208353</v>
      </c>
      <c r="L223" s="663" t="s">
        <v>374</v>
      </c>
      <c r="M223" s="663" t="s">
        <v>295</v>
      </c>
      <c r="N223" s="689">
        <v>97.670360000000002</v>
      </c>
      <c r="O223" s="689">
        <v>23.828150000000001</v>
      </c>
      <c r="P223" s="711">
        <v>751.8</v>
      </c>
      <c r="Q223" s="689">
        <v>43</v>
      </c>
      <c r="R223" s="711">
        <v>215</v>
      </c>
      <c r="S223" s="690">
        <f>IF(CampList[[#This Row],[HH]]&gt;0,CampList[[#This Row],[Total]]/CampList[[#This Row],[HH]],"NA")</f>
        <v>5</v>
      </c>
      <c r="T223" s="483" t="s">
        <v>511</v>
      </c>
      <c r="U223" s="664" t="s">
        <v>1191</v>
      </c>
      <c r="V223" s="483" t="s">
        <v>554</v>
      </c>
      <c r="W223" s="483" t="s">
        <v>803</v>
      </c>
      <c r="X223" s="712">
        <v>40878</v>
      </c>
      <c r="Y223" s="711"/>
      <c r="Z223" s="711" t="s">
        <v>1262</v>
      </c>
      <c r="AA223" s="689" t="s">
        <v>842</v>
      </c>
      <c r="AB223" s="689"/>
      <c r="AC223" s="694">
        <v>42745</v>
      </c>
      <c r="AD223" s="713" t="s">
        <v>1539</v>
      </c>
      <c r="AE223" s="696" t="s">
        <v>1079</v>
      </c>
      <c r="AF223" s="714">
        <f>IF(CampList[[#This Row],[Type of Accomodation]]="camp",MAX(0,CampList[[#This Row],[HH]]-SUMIF(Table_Shelter[Pcode],CampList[[#This Row],[CP_Pcode]],Table_Shelter[HH Covered])),0)</f>
        <v>43</v>
      </c>
      <c r="AG223" s="483"/>
      <c r="AH223" s="688">
        <f>MIN(CampList[[#This Row],[Shelter Gap]],CampList[[#This Row],[Land Status]])</f>
        <v>43</v>
      </c>
      <c r="AI223" s="714" t="str">
        <f ca="1">IFERROR(OFFSET(DistanceToCamp[Nearest Town],MATCH(CampList[[#This Row],[CP_Pcode]],DistanceToCamp[CP_Pcode],0)-1,0,1,1),"")</f>
        <v>Namhkan Town</v>
      </c>
      <c r="AJ223" s="697">
        <f ca="1">IFERROR(OFFSET(DistanceToCamp[distance],MATCH(CampList[[#This Row],[CP_Pcode]],DistanceToCamp[CP_Pcode],0)-1,0,1,1),"")</f>
        <v>1.5239325151406049</v>
      </c>
      <c r="AK223" s="715">
        <f ca="1">IFERROR(INT(CampList[[#This Row],[Distance]]/5)+1,"")</f>
        <v>1</v>
      </c>
    </row>
    <row r="224" spans="1:37" s="488" customFormat="1" ht="15.75" customHeight="1" x14ac:dyDescent="0.25">
      <c r="A224" s="686" t="s">
        <v>500</v>
      </c>
      <c r="B224" s="662" t="s">
        <v>553</v>
      </c>
      <c r="C224" s="662" t="s">
        <v>536</v>
      </c>
      <c r="D224" s="662" t="s">
        <v>230</v>
      </c>
      <c r="E224" s="662" t="s">
        <v>537</v>
      </c>
      <c r="F224" s="662" t="s">
        <v>289</v>
      </c>
      <c r="G224" s="662" t="s">
        <v>549</v>
      </c>
      <c r="H224" s="662" t="s">
        <v>751</v>
      </c>
      <c r="I224" s="662" t="s">
        <v>752</v>
      </c>
      <c r="J224" s="662" t="s">
        <v>751</v>
      </c>
      <c r="K224" s="662">
        <v>208353</v>
      </c>
      <c r="L224" s="662" t="s">
        <v>292</v>
      </c>
      <c r="M224" s="662" t="s">
        <v>291</v>
      </c>
      <c r="N224" s="687">
        <v>97.681970000000007</v>
      </c>
      <c r="O224" s="687">
        <v>23.821380000000001</v>
      </c>
      <c r="P224" s="688">
        <v>811.6</v>
      </c>
      <c r="Q224" s="689">
        <v>75</v>
      </c>
      <c r="R224" s="689">
        <v>373</v>
      </c>
      <c r="S224" s="690">
        <f>IF(CampList[[#This Row],[HH]]&gt;0,CampList[[#This Row],[Total]]/CampList[[#This Row],[HH]],"NA")</f>
        <v>4.9733333333333336</v>
      </c>
      <c r="T224" s="664" t="s">
        <v>511</v>
      </c>
      <c r="U224" s="664" t="s">
        <v>1191</v>
      </c>
      <c r="V224" s="664" t="s">
        <v>554</v>
      </c>
      <c r="W224" s="664" t="s">
        <v>803</v>
      </c>
      <c r="X224" s="691">
        <v>41609</v>
      </c>
      <c r="Y224" s="692">
        <v>2</v>
      </c>
      <c r="Z224" s="691" t="s">
        <v>460</v>
      </c>
      <c r="AA224" s="704" t="s">
        <v>842</v>
      </c>
      <c r="AB224" s="693"/>
      <c r="AC224" s="694">
        <v>42745</v>
      </c>
      <c r="AD224" s="695" t="s">
        <v>1498</v>
      </c>
      <c r="AE224" s="696" t="s">
        <v>1079</v>
      </c>
      <c r="AF224" s="483">
        <f>IF(CampList[[#This Row],[Type of Accomodation]]="camp",MAX(0,CampList[[#This Row],[HH]]-SUMIF(Table_Shelter[Pcode],CampList[[#This Row],[CP_Pcode]],Table_Shelter[HH Covered])),0)</f>
        <v>0</v>
      </c>
      <c r="AG224" s="664"/>
      <c r="AH224" s="693">
        <f>MIN(CampList[[#This Row],[Shelter Gap]],CampList[[#This Row],[Land Status]])</f>
        <v>0</v>
      </c>
      <c r="AI224" s="664" t="str">
        <f ca="1">IFERROR(OFFSET(DistanceToCamp[Nearest Town],MATCH(CampList[[#This Row],[CP_Pcode]],DistanceToCamp[CP_Pcode],0)-1,0,1,1),"")</f>
        <v>Namhkan Town</v>
      </c>
      <c r="AJ224" s="697">
        <f ca="1">IFERROR(OFFSET(DistanceToCamp[distance],MATCH(CampList[[#This Row],[CP_Pcode]],DistanceToCamp[CP_Pcode],0)-1,0,1,1),"")</f>
        <v>1.7369508287203668</v>
      </c>
      <c r="AK224" s="698">
        <f ca="1">IFERROR(INT(CampList[[#This Row],[Distance]]/5)+1,"")</f>
        <v>1</v>
      </c>
    </row>
    <row r="225" spans="1:37" s="488" customFormat="1" ht="15.75" customHeight="1" x14ac:dyDescent="0.25">
      <c r="A225" s="686" t="s">
        <v>500</v>
      </c>
      <c r="B225" s="662" t="s">
        <v>553</v>
      </c>
      <c r="C225" s="662" t="s">
        <v>536</v>
      </c>
      <c r="D225" s="662" t="s">
        <v>230</v>
      </c>
      <c r="E225" s="662" t="s">
        <v>537</v>
      </c>
      <c r="F225" s="662" t="s">
        <v>230</v>
      </c>
      <c r="G225" s="662" t="s">
        <v>538</v>
      </c>
      <c r="H225" s="662" t="s">
        <v>235</v>
      </c>
      <c r="I225" s="662" t="s">
        <v>1133</v>
      </c>
      <c r="J225" s="662" t="s">
        <v>235</v>
      </c>
      <c r="K225" s="662"/>
      <c r="L225" s="662" t="s">
        <v>235</v>
      </c>
      <c r="M225" s="662" t="s">
        <v>234</v>
      </c>
      <c r="N225" s="687">
        <v>98.054946000000001</v>
      </c>
      <c r="O225" s="687">
        <v>24.008452999999999</v>
      </c>
      <c r="P225" s="711">
        <v>3396</v>
      </c>
      <c r="Q225" s="705">
        <v>123</v>
      </c>
      <c r="R225" s="706">
        <v>503</v>
      </c>
      <c r="S225" s="690">
        <f>IF(CampList[[#This Row],[HH]]&gt;0,CampList[[#This Row],[Total]]/CampList[[#This Row],[HH]],"NA")</f>
        <v>4.0894308943089435</v>
      </c>
      <c r="T225" s="664" t="s">
        <v>513</v>
      </c>
      <c r="U225" s="664" t="s">
        <v>1191</v>
      </c>
      <c r="V225" s="664" t="s">
        <v>12</v>
      </c>
      <c r="W225" s="664" t="s">
        <v>856</v>
      </c>
      <c r="X225" s="712"/>
      <c r="Y225" s="711"/>
      <c r="Z225" s="693"/>
      <c r="AA225" s="693" t="s">
        <v>572</v>
      </c>
      <c r="AB225" s="693"/>
      <c r="AC225" s="694">
        <v>41701</v>
      </c>
      <c r="AD225" s="686" t="s">
        <v>1011</v>
      </c>
      <c r="AE225" s="721" t="s">
        <v>1077</v>
      </c>
      <c r="AF225" s="483">
        <f>IF(CampList[[#This Row],[Type of Accomodation]]="camp",MAX(0,CampList[[#This Row],[HH]]-SUMIF(Table_Shelter[Pcode],CampList[[#This Row],[CP_Pcode]],Table_Shelter[HH Covered])),0)</f>
        <v>0</v>
      </c>
      <c r="AG225" s="664"/>
      <c r="AH225" s="693">
        <f>MIN(CampList[[#This Row],[Shelter Gap]],CampList[[#This Row],[Land Status]])</f>
        <v>0</v>
      </c>
      <c r="AI225" s="664" t="str">
        <f ca="1">IFERROR(OFFSET(DistanceToCamp[Nearest Town],MATCH(CampList[[#This Row],[CP_Pcode]],DistanceToCamp[CP_Pcode],0)-1,0,1,1),"")</f>
        <v>Pang Hseng (Kyu Koke) Town</v>
      </c>
      <c r="AJ225" s="697">
        <f ca="1">IFERROR(OFFSET(DistanceToCamp[distance],MATCH(CampList[[#This Row],[CP_Pcode]],DistanceToCamp[CP_Pcode],0)-1,0,1,1),"")</f>
        <v>7.490291417449443</v>
      </c>
      <c r="AK225" s="698">
        <f ca="1">IFERROR(INT(CampList[[#This Row],[Distance]]/5)+1,"")</f>
        <v>2</v>
      </c>
    </row>
    <row r="226" spans="1:37" s="446" customFormat="1" ht="15.75" customHeight="1" x14ac:dyDescent="0.25">
      <c r="A226" s="686" t="s">
        <v>500</v>
      </c>
      <c r="B226" s="662" t="s">
        <v>553</v>
      </c>
      <c r="C226" s="662" t="s">
        <v>536</v>
      </c>
      <c r="D226" s="662" t="s">
        <v>230</v>
      </c>
      <c r="E226" s="662" t="s">
        <v>537</v>
      </c>
      <c r="F226" s="662" t="s">
        <v>146</v>
      </c>
      <c r="G226" s="662" t="s">
        <v>544</v>
      </c>
      <c r="H226" s="662" t="s">
        <v>785</v>
      </c>
      <c r="I226" s="662" t="s">
        <v>786</v>
      </c>
      <c r="J226" s="707" t="s">
        <v>787</v>
      </c>
      <c r="K226" s="663">
        <v>219842</v>
      </c>
      <c r="L226" s="662" t="s">
        <v>371</v>
      </c>
      <c r="M226" s="662" t="s">
        <v>147</v>
      </c>
      <c r="N226" s="687">
        <v>98.220614999999995</v>
      </c>
      <c r="O226" s="687">
        <v>23.400155999999999</v>
      </c>
      <c r="P226" s="688">
        <v>3109</v>
      </c>
      <c r="Q226" s="689">
        <v>49</v>
      </c>
      <c r="R226" s="689">
        <v>267</v>
      </c>
      <c r="S226" s="690">
        <f>IF(CampList[[#This Row],[HH]]&gt;0,CampList[[#This Row],[Total]]/CampList[[#This Row],[HH]],"NA")</f>
        <v>5.4489795918367347</v>
      </c>
      <c r="T226" s="664" t="s">
        <v>511</v>
      </c>
      <c r="U226" s="664" t="s">
        <v>1191</v>
      </c>
      <c r="V226" s="664" t="s">
        <v>554</v>
      </c>
      <c r="W226" s="664" t="s">
        <v>856</v>
      </c>
      <c r="X226" s="691">
        <v>40787</v>
      </c>
      <c r="Y226" s="692">
        <v>1</v>
      </c>
      <c r="Z226" s="691" t="s">
        <v>460</v>
      </c>
      <c r="AA226" s="704" t="s">
        <v>842</v>
      </c>
      <c r="AB226" s="693"/>
      <c r="AC226" s="694">
        <v>42745</v>
      </c>
      <c r="AD226" s="686" t="s">
        <v>1503</v>
      </c>
      <c r="AE226" s="696" t="s">
        <v>1077</v>
      </c>
      <c r="AF226" s="483">
        <f>IF(CampList[[#This Row],[Type of Accomodation]]="camp",MAX(0,CampList[[#This Row],[HH]]-SUMIF(Table_Shelter[Pcode],CampList[[#This Row],[CP_Pcode]],Table_Shelter[HH Covered])),0)</f>
        <v>44</v>
      </c>
      <c r="AG226" s="664"/>
      <c r="AH226" s="693">
        <f>MIN(CampList[[#This Row],[Shelter Gap]],CampList[[#This Row],[Land Status]])</f>
        <v>44</v>
      </c>
      <c r="AI226" s="664" t="str">
        <f ca="1">IFERROR(OFFSET(DistanceToCamp[Nearest Town],MATCH(CampList[[#This Row],[CP_Pcode]],DistanceToCamp[CP_Pcode],0)-1,0,1,1),"")</f>
        <v>Tarmoenye Town</v>
      </c>
      <c r="AJ226" s="697">
        <f ca="1">IFERROR(OFFSET(DistanceToCamp[distance],MATCH(CampList[[#This Row],[CP_Pcode]],DistanceToCamp[CP_Pcode],0)-1,0,1,1),"")</f>
        <v>23.172399462804503</v>
      </c>
      <c r="AK226" s="698">
        <f ca="1">IFERROR(INT(CampList[[#This Row],[Distance]]/5)+1,"")</f>
        <v>5</v>
      </c>
    </row>
    <row r="227" spans="1:37" s="488" customFormat="1" ht="15.75" customHeight="1" x14ac:dyDescent="0.25">
      <c r="A227" s="686" t="s">
        <v>500</v>
      </c>
      <c r="B227" s="662" t="s">
        <v>553</v>
      </c>
      <c r="C227" s="662" t="s">
        <v>536</v>
      </c>
      <c r="D227" s="662" t="s">
        <v>230</v>
      </c>
      <c r="E227" s="662" t="s">
        <v>537</v>
      </c>
      <c r="F227" s="662" t="s">
        <v>146</v>
      </c>
      <c r="G227" s="662" t="s">
        <v>544</v>
      </c>
      <c r="H227" s="718" t="s">
        <v>723</v>
      </c>
      <c r="I227" s="662" t="s">
        <v>1255</v>
      </c>
      <c r="J227" s="718" t="s">
        <v>724</v>
      </c>
      <c r="K227" s="737">
        <v>208696</v>
      </c>
      <c r="L227" s="662" t="s">
        <v>149</v>
      </c>
      <c r="M227" s="662" t="s">
        <v>148</v>
      </c>
      <c r="N227" s="687">
        <v>97.818979999999996</v>
      </c>
      <c r="O227" s="687">
        <v>23.694130000000001</v>
      </c>
      <c r="P227" s="688">
        <v>1135.7</v>
      </c>
      <c r="Q227" s="689">
        <v>64</v>
      </c>
      <c r="R227" s="689">
        <v>285</v>
      </c>
      <c r="S227" s="690">
        <f>IF(CampList[[#This Row],[HH]]&gt;0,CampList[[#This Row],[Total]]/CampList[[#This Row],[HH]],"NA")</f>
        <v>4.453125</v>
      </c>
      <c r="T227" s="664" t="s">
        <v>511</v>
      </c>
      <c r="U227" s="664" t="s">
        <v>1191</v>
      </c>
      <c r="V227" s="664" t="s">
        <v>554</v>
      </c>
      <c r="W227" s="664" t="s">
        <v>856</v>
      </c>
      <c r="X227" s="691">
        <v>40878</v>
      </c>
      <c r="Y227" s="692">
        <v>1</v>
      </c>
      <c r="Z227" s="691" t="s">
        <v>460</v>
      </c>
      <c r="AA227" s="704" t="s">
        <v>842</v>
      </c>
      <c r="AB227" s="693"/>
      <c r="AC227" s="694">
        <v>42745</v>
      </c>
      <c r="AD227" s="686" t="s">
        <v>1501</v>
      </c>
      <c r="AE227" s="696" t="s">
        <v>1079</v>
      </c>
      <c r="AF227" s="483">
        <f>IF(CampList[[#This Row],[Type of Accomodation]]="camp",MAX(0,CampList[[#This Row],[HH]]-SUMIF(Table_Shelter[Pcode],CampList[[#This Row],[CP_Pcode]],Table_Shelter[HH Covered])),0)</f>
        <v>38</v>
      </c>
      <c r="AG227" s="664"/>
      <c r="AH227" s="693">
        <f>MIN(CampList[[#This Row],[Shelter Gap]],CampList[[#This Row],[Land Status]])</f>
        <v>38</v>
      </c>
      <c r="AI227" s="664" t="str">
        <f ca="1">IFERROR(OFFSET(DistanceToCamp[Nearest Town],MATCH(CampList[[#This Row],[CP_Pcode]],DistanceToCamp[CP_Pcode],0)-1,0,1,1),"")</f>
        <v>Namhkan Town</v>
      </c>
      <c r="AJ227" s="697">
        <f ca="1">IFERROR(OFFSET(DistanceToCamp[distance],MATCH(CampList[[#This Row],[CP_Pcode]],DistanceToCamp[CP_Pcode],0)-1,0,1,1),"")</f>
        <v>21.148671772283631</v>
      </c>
      <c r="AK227" s="698">
        <f ca="1">IFERROR(INT(CampList[[#This Row],[Distance]]/5)+1,"")</f>
        <v>5</v>
      </c>
    </row>
    <row r="228" spans="1:37" s="488" customFormat="1" ht="15.75" customHeight="1" x14ac:dyDescent="0.25">
      <c r="A228" s="686" t="s">
        <v>500</v>
      </c>
      <c r="B228" s="662" t="s">
        <v>553</v>
      </c>
      <c r="C228" s="662" t="s">
        <v>536</v>
      </c>
      <c r="D228" s="662" t="s">
        <v>541</v>
      </c>
      <c r="E228" s="662" t="s">
        <v>542</v>
      </c>
      <c r="F228" s="662" t="s">
        <v>166</v>
      </c>
      <c r="G228" s="662" t="s">
        <v>543</v>
      </c>
      <c r="H228" s="718" t="s">
        <v>803</v>
      </c>
      <c r="I228" s="738" t="s">
        <v>1134</v>
      </c>
      <c r="J228" s="663" t="s">
        <v>716</v>
      </c>
      <c r="K228" s="663" t="s">
        <v>1378</v>
      </c>
      <c r="L228" s="662" t="s">
        <v>167</v>
      </c>
      <c r="M228" s="662" t="s">
        <v>165</v>
      </c>
      <c r="N228" s="687">
        <v>97.124403000000001</v>
      </c>
      <c r="O228" s="687">
        <v>23.250678000000001</v>
      </c>
      <c r="P228" s="688">
        <v>1250</v>
      </c>
      <c r="Q228" s="689">
        <v>36</v>
      </c>
      <c r="R228" s="689">
        <v>173</v>
      </c>
      <c r="S228" s="690">
        <f>IF(CampList[[#This Row],[HH]]&gt;0,CampList[[#This Row],[Total]]/CampList[[#This Row],[HH]],"NA")</f>
        <v>4.8055555555555554</v>
      </c>
      <c r="T228" s="664" t="s">
        <v>511</v>
      </c>
      <c r="U228" s="664" t="s">
        <v>1191</v>
      </c>
      <c r="V228" s="664" t="s">
        <v>554</v>
      </c>
      <c r="W228" s="664" t="s">
        <v>803</v>
      </c>
      <c r="X228" s="691">
        <v>41000</v>
      </c>
      <c r="Y228" s="692">
        <v>1</v>
      </c>
      <c r="Z228" s="691" t="s">
        <v>460</v>
      </c>
      <c r="AA228" s="704" t="s">
        <v>842</v>
      </c>
      <c r="AB228" s="693"/>
      <c r="AC228" s="694">
        <v>42745</v>
      </c>
      <c r="AD228" s="686" t="s">
        <v>1499</v>
      </c>
      <c r="AE228" s="696" t="s">
        <v>1078</v>
      </c>
      <c r="AF228" s="483">
        <f>IF(CampList[[#This Row],[Type of Accomodation]]="camp",MAX(0,CampList[[#This Row],[HH]]-SUMIF(Table_Shelter[Pcode],CampList[[#This Row],[CP_Pcode]],Table_Shelter[HH Covered])),0)</f>
        <v>0</v>
      </c>
      <c r="AG228" s="664"/>
      <c r="AH228" s="693">
        <f>MIN(CampList[[#This Row],[Shelter Gap]],CampList[[#This Row],[Land Status]])</f>
        <v>0</v>
      </c>
      <c r="AI228" s="664" t="str">
        <f ca="1">IFERROR(OFFSET(DistanceToCamp[Nearest Town],MATCH(CampList[[#This Row],[CP_Pcode]],DistanceToCamp[CP_Pcode],0)-1,0,1,1),"")</f>
        <v>Manton Town</v>
      </c>
      <c r="AJ228" s="697">
        <f ca="1">IFERROR(OFFSET(DistanceToCamp[distance],MATCH(CampList[[#This Row],[CP_Pcode]],DistanceToCamp[CP_Pcode],0)-1,0,1,1),"")</f>
        <v>0.43878855438285824</v>
      </c>
      <c r="AK228" s="698">
        <f ca="1">IFERROR(INT(CampList[[#This Row],[Distance]]/5)+1,"")</f>
        <v>1</v>
      </c>
    </row>
    <row r="229" spans="1:37" s="488" customFormat="1" ht="15.75" customHeight="1" x14ac:dyDescent="0.25">
      <c r="A229" s="686" t="s">
        <v>500</v>
      </c>
      <c r="B229" s="662" t="s">
        <v>553</v>
      </c>
      <c r="C229" s="662" t="s">
        <v>536</v>
      </c>
      <c r="D229" s="662" t="s">
        <v>230</v>
      </c>
      <c r="E229" s="662" t="s">
        <v>542</v>
      </c>
      <c r="F229" s="662" t="s">
        <v>230</v>
      </c>
      <c r="G229" s="662" t="s">
        <v>543</v>
      </c>
      <c r="H229" s="662" t="s">
        <v>1072</v>
      </c>
      <c r="I229" s="662" t="s">
        <v>1073</v>
      </c>
      <c r="J229" s="662" t="s">
        <v>1074</v>
      </c>
      <c r="K229" s="662"/>
      <c r="L229" s="662" t="s">
        <v>169</v>
      </c>
      <c r="M229" s="662" t="s">
        <v>168</v>
      </c>
      <c r="N229" s="687">
        <v>98.116817999999995</v>
      </c>
      <c r="O229" s="687">
        <v>23.917631</v>
      </c>
      <c r="P229" s="711"/>
      <c r="Q229" s="705">
        <v>32</v>
      </c>
      <c r="R229" s="706"/>
      <c r="S229" s="690">
        <f>IF(CampList[[#This Row],[HH]]&gt;0,CampList[[#This Row],[Total]]/CampList[[#This Row],[HH]],"NA")</f>
        <v>0</v>
      </c>
      <c r="T229" s="664" t="s">
        <v>511</v>
      </c>
      <c r="U229" s="664" t="s">
        <v>1191</v>
      </c>
      <c r="V229" s="664" t="s">
        <v>12</v>
      </c>
      <c r="W229" s="664" t="s">
        <v>856</v>
      </c>
      <c r="X229" s="712"/>
      <c r="Y229" s="711"/>
      <c r="Z229" s="693"/>
      <c r="AA229" s="704" t="s">
        <v>842</v>
      </c>
      <c r="AB229" s="693"/>
      <c r="AC229" s="694">
        <v>41701</v>
      </c>
      <c r="AD229" s="686" t="s">
        <v>1011</v>
      </c>
      <c r="AE229" s="721" t="s">
        <v>1079</v>
      </c>
      <c r="AF229" s="483">
        <f>IF(CampList[[#This Row],[Type of Accomodation]]="camp",MAX(0,CampList[[#This Row],[HH]]-SUMIF(Table_Shelter[Pcode],CampList[[#This Row],[CP_Pcode]],Table_Shelter[HH Covered])),0)</f>
        <v>0</v>
      </c>
      <c r="AG229" s="664"/>
      <c r="AH229" s="693">
        <f>MIN(CampList[[#This Row],[Shelter Gap]],CampList[[#This Row],[Land Status]])</f>
        <v>0</v>
      </c>
      <c r="AI229" s="664" t="str">
        <f ca="1">IFERROR(OFFSET(DistanceToCamp[Nearest Town],MATCH(CampList[[#This Row],[CP_Pcode]],DistanceToCamp[CP_Pcode],0)-1,0,1,1),"")</f>
        <v>Pang Hseng (Kyu Koke) Town</v>
      </c>
      <c r="AJ229" s="697">
        <f ca="1">IFERROR(OFFSET(DistanceToCamp[distance],MATCH(CampList[[#This Row],[CP_Pcode]],DistanceToCamp[CP_Pcode],0)-1,0,1,1),"")</f>
        <v>18.405283544772924</v>
      </c>
      <c r="AK229" s="698">
        <f ca="1">IFERROR(INT(CampList[[#This Row],[Distance]]/5)+1,"")</f>
        <v>4</v>
      </c>
    </row>
    <row r="230" spans="1:37" s="488" customFormat="1" ht="15.75" customHeight="1" x14ac:dyDescent="0.25">
      <c r="A230" s="686" t="s">
        <v>500</v>
      </c>
      <c r="B230" s="662" t="s">
        <v>553</v>
      </c>
      <c r="C230" s="662" t="s">
        <v>536</v>
      </c>
      <c r="D230" s="662" t="s">
        <v>230</v>
      </c>
      <c r="E230" s="662" t="s">
        <v>542</v>
      </c>
      <c r="F230" s="662" t="s">
        <v>230</v>
      </c>
      <c r="G230" s="662" t="s">
        <v>543</v>
      </c>
      <c r="H230" s="662" t="s">
        <v>1069</v>
      </c>
      <c r="I230" s="662" t="s">
        <v>1070</v>
      </c>
      <c r="J230" s="662" t="s">
        <v>1071</v>
      </c>
      <c r="K230" s="662">
        <v>208167</v>
      </c>
      <c r="L230" s="662" t="s">
        <v>171</v>
      </c>
      <c r="M230" s="662" t="s">
        <v>170</v>
      </c>
      <c r="N230" s="687">
        <v>98.129380999999995</v>
      </c>
      <c r="O230" s="687">
        <v>23.978088</v>
      </c>
      <c r="P230" s="711"/>
      <c r="Q230" s="705">
        <v>6</v>
      </c>
      <c r="R230" s="706"/>
      <c r="S230" s="690">
        <f>IF(CampList[[#This Row],[HH]]&gt;0,CampList[[#This Row],[Total]]/CampList[[#This Row],[HH]],"NA")</f>
        <v>0</v>
      </c>
      <c r="T230" s="664" t="s">
        <v>511</v>
      </c>
      <c r="U230" s="664" t="s">
        <v>1191</v>
      </c>
      <c r="V230" s="664" t="s">
        <v>12</v>
      </c>
      <c r="W230" s="664" t="s">
        <v>856</v>
      </c>
      <c r="X230" s="712"/>
      <c r="Y230" s="711"/>
      <c r="Z230" s="693"/>
      <c r="AA230" s="704" t="s">
        <v>842</v>
      </c>
      <c r="AB230" s="693"/>
      <c r="AC230" s="694">
        <v>41701</v>
      </c>
      <c r="AD230" s="686" t="s">
        <v>1011</v>
      </c>
      <c r="AE230" s="721" t="s">
        <v>1079</v>
      </c>
      <c r="AF230" s="483">
        <f>IF(CampList[[#This Row],[Type of Accomodation]]="camp",MAX(0,CampList[[#This Row],[HH]]-SUMIF(Table_Shelter[Pcode],CampList[[#This Row],[CP_Pcode]],Table_Shelter[HH Covered])),0)</f>
        <v>0</v>
      </c>
      <c r="AG230" s="664"/>
      <c r="AH230" s="693">
        <f>MIN(CampList[[#This Row],[Shelter Gap]],CampList[[#This Row],[Land Status]])</f>
        <v>0</v>
      </c>
      <c r="AI230" s="664" t="str">
        <f ca="1">IFERROR(OFFSET(DistanceToCamp[Nearest Town],MATCH(CampList[[#This Row],[CP_Pcode]],DistanceToCamp[CP_Pcode],0)-1,0,1,1),"")</f>
        <v>Pang Hseng (Kyu Koke) Town</v>
      </c>
      <c r="AJ230" s="697">
        <f ca="1">IFERROR(OFFSET(DistanceToCamp[distance],MATCH(CampList[[#This Row],[CP_Pcode]],DistanceToCamp[CP_Pcode],0)-1,0,1,1),"")</f>
        <v>12.794700705104317</v>
      </c>
      <c r="AK230" s="698">
        <f ca="1">IFERROR(INT(CampList[[#This Row],[Distance]]/5)+1,"")</f>
        <v>3</v>
      </c>
    </row>
    <row r="231" spans="1:37" s="446" customFormat="1" ht="15.75" hidden="1" customHeight="1" x14ac:dyDescent="0.25">
      <c r="A231" s="686" t="s">
        <v>843</v>
      </c>
      <c r="B231" s="662" t="s">
        <v>553</v>
      </c>
      <c r="C231" s="662" t="s">
        <v>536</v>
      </c>
      <c r="D231" s="662" t="s">
        <v>230</v>
      </c>
      <c r="E231" s="662" t="s">
        <v>537</v>
      </c>
      <c r="F231" s="662" t="s">
        <v>230</v>
      </c>
      <c r="G231" s="662" t="s">
        <v>538</v>
      </c>
      <c r="H231" s="718" t="s">
        <v>815</v>
      </c>
      <c r="I231" s="662" t="s">
        <v>1256</v>
      </c>
      <c r="J231" s="718" t="s">
        <v>816</v>
      </c>
      <c r="K231" s="718"/>
      <c r="L231" s="662" t="s">
        <v>233</v>
      </c>
      <c r="M231" s="662" t="s">
        <v>232</v>
      </c>
      <c r="N231" s="687">
        <v>98.320651999999995</v>
      </c>
      <c r="O231" s="687">
        <v>24.101320999999999</v>
      </c>
      <c r="P231" s="703">
        <v>2979</v>
      </c>
      <c r="Q231" s="705"/>
      <c r="R231" s="706"/>
      <c r="S231" s="690" t="str">
        <f>IF(CampList[[#This Row],[HH]]&gt;0,CampList[[#This Row],[Total]]/CampList[[#This Row],[HH]],"NA")</f>
        <v>NA</v>
      </c>
      <c r="T231" s="664" t="s">
        <v>513</v>
      </c>
      <c r="U231" s="699" t="s">
        <v>1191</v>
      </c>
      <c r="V231" s="664" t="s">
        <v>554</v>
      </c>
      <c r="W231" s="699" t="s">
        <v>803</v>
      </c>
      <c r="X231" s="700">
        <v>41091</v>
      </c>
      <c r="Y231" s="701">
        <v>1</v>
      </c>
      <c r="Z231" s="700" t="s">
        <v>460</v>
      </c>
      <c r="AA231" s="704" t="s">
        <v>842</v>
      </c>
      <c r="AB231" s="693"/>
      <c r="AC231" s="694">
        <v>42536</v>
      </c>
      <c r="AD231" s="686" t="s">
        <v>1390</v>
      </c>
      <c r="AE231" s="696" t="s">
        <v>1077</v>
      </c>
      <c r="AF231" s="483">
        <f>IF(CampList[[#This Row],[Type of Accomodation]]="camp",MAX(0,CampList[[#This Row],[HH]]-SUMIF(Table_Shelter[Pcode],CampList[[#This Row],[CP_Pcode]],Table_Shelter[HH Covered])),0)</f>
        <v>0</v>
      </c>
      <c r="AG231" s="664"/>
      <c r="AH231" s="693">
        <f>MIN(CampList[[#This Row],[Shelter Gap]],CampList[[#This Row],[Land Status]])</f>
        <v>0</v>
      </c>
      <c r="AI231" s="664" t="str">
        <f ca="1">IFERROR(OFFSET(DistanceToCamp[Nearest Town],MATCH(CampList[[#This Row],[CP_Pcode]],DistanceToCamp[CP_Pcode],0)-1,0,1,1),"")</f>
        <v>Monekoe Town</v>
      </c>
      <c r="AJ231" s="697">
        <f ca="1">IFERROR(OFFSET(DistanceToCamp[distance],MATCH(CampList[[#This Row],[CP_Pcode]],DistanceToCamp[CP_Pcode],0)-1,0,1,1),"")</f>
        <v>1.789574394782699</v>
      </c>
      <c r="AK231" s="698">
        <f ca="1">IFERROR(INT(CampList[[#This Row],[Distance]]/5)+1,"")</f>
        <v>1</v>
      </c>
    </row>
    <row r="232" spans="1:37" s="488" customFormat="1" ht="15.75" customHeight="1" x14ac:dyDescent="0.25">
      <c r="A232" s="686" t="s">
        <v>500</v>
      </c>
      <c r="B232" s="662" t="s">
        <v>553</v>
      </c>
      <c r="C232" s="662" t="s">
        <v>536</v>
      </c>
      <c r="D232" s="662" t="s">
        <v>541</v>
      </c>
      <c r="E232" s="662" t="s">
        <v>542</v>
      </c>
      <c r="F232" s="662" t="s">
        <v>298</v>
      </c>
      <c r="G232" s="662" t="s">
        <v>550</v>
      </c>
      <c r="H232" s="718" t="s">
        <v>817</v>
      </c>
      <c r="I232" s="662" t="s">
        <v>818</v>
      </c>
      <c r="J232" s="718" t="s">
        <v>819</v>
      </c>
      <c r="K232" s="718" t="s">
        <v>820</v>
      </c>
      <c r="L232" s="662" t="s">
        <v>821</v>
      </c>
      <c r="M232" s="662" t="s">
        <v>297</v>
      </c>
      <c r="N232" s="687">
        <v>97.404089999999997</v>
      </c>
      <c r="O232" s="687">
        <v>23.094290000000001</v>
      </c>
      <c r="P232" s="688">
        <v>534.29999999999995</v>
      </c>
      <c r="Q232" s="689">
        <v>8</v>
      </c>
      <c r="R232" s="689">
        <v>39</v>
      </c>
      <c r="S232" s="690">
        <f>IF(CampList[[#This Row],[HH]]&gt;0,CampList[[#This Row],[Total]]/CampList[[#This Row],[HH]],"NA")</f>
        <v>4.875</v>
      </c>
      <c r="T232" s="664" t="s">
        <v>511</v>
      </c>
      <c r="U232" s="664" t="s">
        <v>1191</v>
      </c>
      <c r="V232" s="664" t="s">
        <v>554</v>
      </c>
      <c r="W232" s="664" t="s">
        <v>803</v>
      </c>
      <c r="X232" s="691">
        <v>41000</v>
      </c>
      <c r="Y232" s="692">
        <v>1</v>
      </c>
      <c r="Z232" s="691" t="s">
        <v>460</v>
      </c>
      <c r="AA232" s="704" t="s">
        <v>842</v>
      </c>
      <c r="AB232" s="693"/>
      <c r="AC232" s="694">
        <v>42745</v>
      </c>
      <c r="AD232" s="686" t="s">
        <v>1501</v>
      </c>
      <c r="AE232" s="696" t="s">
        <v>1079</v>
      </c>
      <c r="AF232" s="483">
        <f>IF(CampList[[#This Row],[Type of Accomodation]]="camp",MAX(0,CampList[[#This Row],[HH]]-SUMIF(Table_Shelter[Pcode],CampList[[#This Row],[CP_Pcode]],Table_Shelter[HH Covered])),0)</f>
        <v>0</v>
      </c>
      <c r="AG232" s="664"/>
      <c r="AH232" s="693">
        <f>MIN(CampList[[#This Row],[Shelter Gap]],CampList[[#This Row],[Land Status]])</f>
        <v>0</v>
      </c>
      <c r="AI232" s="664" t="str">
        <f ca="1">IFERROR(OFFSET(DistanceToCamp[Nearest Town],MATCH(CampList[[#This Row],[CP_Pcode]],DistanceToCamp[CP_Pcode],0)-1,0,1,1),"")</f>
        <v>Namtu Town</v>
      </c>
      <c r="AJ232" s="697">
        <f ca="1">IFERROR(OFFSET(DistanceToCamp[distance],MATCH(CampList[[#This Row],[CP_Pcode]],DistanceToCamp[CP_Pcode],0)-1,0,1,1),"")</f>
        <v>0.37588352961435612</v>
      </c>
      <c r="AK232" s="698">
        <f ca="1">IFERROR(INT(CampList[[#This Row],[Distance]]/5)+1,"")</f>
        <v>1</v>
      </c>
    </row>
    <row r="233" spans="1:37" s="488" customFormat="1" ht="15.75" customHeight="1" x14ac:dyDescent="0.25">
      <c r="A233" s="686" t="s">
        <v>500</v>
      </c>
      <c r="B233" s="662" t="s">
        <v>553</v>
      </c>
      <c r="C233" s="662" t="s">
        <v>536</v>
      </c>
      <c r="D233" s="662" t="s">
        <v>230</v>
      </c>
      <c r="E233" s="662" t="s">
        <v>537</v>
      </c>
      <c r="F233" s="662" t="s">
        <v>146</v>
      </c>
      <c r="G233" s="662" t="s">
        <v>544</v>
      </c>
      <c r="H233" s="718" t="s">
        <v>766</v>
      </c>
      <c r="I233" s="662" t="s">
        <v>767</v>
      </c>
      <c r="J233" s="718" t="s">
        <v>768</v>
      </c>
      <c r="K233" s="718">
        <v>208557</v>
      </c>
      <c r="L233" s="662" t="s">
        <v>372</v>
      </c>
      <c r="M233" s="662" t="s">
        <v>382</v>
      </c>
      <c r="N233" s="687">
        <v>97.848529999999997</v>
      </c>
      <c r="O233" s="687">
        <v>23.4008</v>
      </c>
      <c r="P233" s="688">
        <v>0</v>
      </c>
      <c r="Q233" s="689">
        <v>88</v>
      </c>
      <c r="R233" s="689">
        <v>505</v>
      </c>
      <c r="S233" s="690">
        <f>IF(CampList[[#This Row],[HH]]&gt;0,CampList[[#This Row],[Total]]/CampList[[#This Row],[HH]],"NA")</f>
        <v>5.7386363636363633</v>
      </c>
      <c r="T233" s="664" t="s">
        <v>511</v>
      </c>
      <c r="U233" s="664" t="s">
        <v>1191</v>
      </c>
      <c r="V233" s="664" t="s">
        <v>554</v>
      </c>
      <c r="W233" s="664" t="s">
        <v>856</v>
      </c>
      <c r="X233" s="691">
        <v>41275</v>
      </c>
      <c r="Y233" s="692"/>
      <c r="Z233" s="691" t="s">
        <v>460</v>
      </c>
      <c r="AA233" s="704" t="s">
        <v>842</v>
      </c>
      <c r="AB233" s="693"/>
      <c r="AC233" s="694">
        <v>42569</v>
      </c>
      <c r="AD233" s="686" t="s">
        <v>1400</v>
      </c>
      <c r="AE233" s="696" t="s">
        <v>1079</v>
      </c>
      <c r="AF233" s="483">
        <f>IF(CampList[[#This Row],[Type of Accomodation]]="camp",MAX(0,CampList[[#This Row],[HH]]-SUMIF(Table_Shelter[Pcode],CampList[[#This Row],[CP_Pcode]],Table_Shelter[HH Covered])),0)</f>
        <v>0</v>
      </c>
      <c r="AG233" s="664"/>
      <c r="AH233" s="693">
        <f>MIN(CampList[[#This Row],[Shelter Gap]],CampList[[#This Row],[Land Status]])</f>
        <v>0</v>
      </c>
      <c r="AI233" s="664" t="str">
        <f ca="1">IFERROR(OFFSET(DistanceToCamp[Nearest Town],MATCH(CampList[[#This Row],[CP_Pcode]],DistanceToCamp[CP_Pcode],0)-1,0,1,1),"")</f>
        <v>Kutkai Town</v>
      </c>
      <c r="AJ233" s="697">
        <f ca="1">IFERROR(OFFSET(DistanceToCamp[distance],MATCH(CampList[[#This Row],[CP_Pcode]],DistanceToCamp[CP_Pcode],0)-1,0,1,1),"")</f>
        <v>11.65743881259678</v>
      </c>
      <c r="AK233" s="698">
        <f ca="1">IFERROR(INT(CampList[[#This Row],[Distance]]/5)+1,"")</f>
        <v>3</v>
      </c>
    </row>
    <row r="234" spans="1:37" s="488" customFormat="1" ht="15.75" customHeight="1" x14ac:dyDescent="0.25">
      <c r="A234" s="686" t="s">
        <v>500</v>
      </c>
      <c r="B234" s="662" t="s">
        <v>553</v>
      </c>
      <c r="C234" s="662" t="s">
        <v>536</v>
      </c>
      <c r="D234" s="662" t="s">
        <v>230</v>
      </c>
      <c r="E234" s="662" t="s">
        <v>537</v>
      </c>
      <c r="F234" s="662" t="s">
        <v>146</v>
      </c>
      <c r="G234" s="662" t="s">
        <v>544</v>
      </c>
      <c r="H234" s="662" t="s">
        <v>729</v>
      </c>
      <c r="I234" s="662" t="s">
        <v>730</v>
      </c>
      <c r="J234" s="662" t="s">
        <v>731</v>
      </c>
      <c r="K234" s="662" t="s">
        <v>732</v>
      </c>
      <c r="L234" s="662" t="s">
        <v>369</v>
      </c>
      <c r="M234" s="662" t="s">
        <v>383</v>
      </c>
      <c r="N234" s="687">
        <v>97.926813999999993</v>
      </c>
      <c r="O234" s="687">
        <v>23.450914000000001</v>
      </c>
      <c r="P234" s="688">
        <v>4336</v>
      </c>
      <c r="Q234" s="689">
        <v>61</v>
      </c>
      <c r="R234" s="689">
        <v>289</v>
      </c>
      <c r="S234" s="690">
        <f>IF(CampList[[#This Row],[HH]]&gt;0,CampList[[#This Row],[Total]]/CampList[[#This Row],[HH]],"NA")</f>
        <v>4.7377049180327866</v>
      </c>
      <c r="T234" s="664" t="s">
        <v>511</v>
      </c>
      <c r="U234" s="664" t="s">
        <v>1191</v>
      </c>
      <c r="V234" s="664" t="s">
        <v>554</v>
      </c>
      <c r="W234" s="664" t="s">
        <v>803</v>
      </c>
      <c r="X234" s="691">
        <v>41244</v>
      </c>
      <c r="Y234" s="692">
        <v>2</v>
      </c>
      <c r="Z234" s="691" t="s">
        <v>460</v>
      </c>
      <c r="AA234" s="704" t="s">
        <v>842</v>
      </c>
      <c r="AB234" s="693"/>
      <c r="AC234" s="694">
        <v>42745</v>
      </c>
      <c r="AD234" s="686" t="s">
        <v>1484</v>
      </c>
      <c r="AE234" s="696" t="s">
        <v>1079</v>
      </c>
      <c r="AF234" s="483">
        <f>IF(CampList[[#This Row],[Type of Accomodation]]="camp",MAX(0,CampList[[#This Row],[HH]]-SUMIF(Table_Shelter[Pcode],CampList[[#This Row],[CP_Pcode]],Table_Shelter[HH Covered])),0)</f>
        <v>0</v>
      </c>
      <c r="AG234" s="664"/>
      <c r="AH234" s="693">
        <f>MIN(CampList[[#This Row],[Shelter Gap]],CampList[[#This Row],[Land Status]])</f>
        <v>0</v>
      </c>
      <c r="AI234" s="664" t="str">
        <f ca="1">IFERROR(OFFSET(DistanceToCamp[Nearest Town],MATCH(CampList[[#This Row],[CP_Pcode]],DistanceToCamp[CP_Pcode],0)-1,0,1,1),"")</f>
        <v>Kutkai Town</v>
      </c>
      <c r="AJ234" s="697">
        <f ca="1">IFERROR(OFFSET(DistanceToCamp[distance],MATCH(CampList[[#This Row],[CP_Pcode]],DistanceToCamp[CP_Pcode],0)-1,0,1,1),"")</f>
        <v>1.9281430163271129</v>
      </c>
      <c r="AK234" s="698">
        <f ca="1">IFERROR(INT(CampList[[#This Row],[Distance]]/5)+1,"")</f>
        <v>1</v>
      </c>
    </row>
    <row r="235" spans="1:37" s="446" customFormat="1" ht="15.75" customHeight="1" x14ac:dyDescent="0.25">
      <c r="A235" s="708" t="s">
        <v>500</v>
      </c>
      <c r="B235" s="663" t="s">
        <v>553</v>
      </c>
      <c r="C235" s="663" t="s">
        <v>536</v>
      </c>
      <c r="D235" s="663" t="s">
        <v>230</v>
      </c>
      <c r="E235" s="663" t="s">
        <v>537</v>
      </c>
      <c r="F235" s="663" t="s">
        <v>146</v>
      </c>
      <c r="G235" s="663" t="s">
        <v>544</v>
      </c>
      <c r="H235" s="663" t="s">
        <v>729</v>
      </c>
      <c r="I235" s="709" t="s">
        <v>730</v>
      </c>
      <c r="J235" s="663" t="s">
        <v>714</v>
      </c>
      <c r="K235" s="663" t="s">
        <v>733</v>
      </c>
      <c r="L235" s="663" t="s">
        <v>370</v>
      </c>
      <c r="M235" s="663" t="s">
        <v>384</v>
      </c>
      <c r="N235" s="689">
        <v>97.947360000000003</v>
      </c>
      <c r="O235" s="689">
        <v>23.460349999999998</v>
      </c>
      <c r="P235" s="711">
        <v>4430</v>
      </c>
      <c r="Q235" s="689">
        <v>30</v>
      </c>
      <c r="R235" s="711">
        <v>138</v>
      </c>
      <c r="S235" s="690">
        <f>IF(CampList[[#This Row],[HH]]&gt;0,CampList[[#This Row],[Total]]/CampList[[#This Row],[HH]],"NA")</f>
        <v>4.5999999999999996</v>
      </c>
      <c r="T235" s="483" t="s">
        <v>511</v>
      </c>
      <c r="U235" s="664" t="s">
        <v>1191</v>
      </c>
      <c r="V235" s="483" t="s">
        <v>554</v>
      </c>
      <c r="W235" s="483" t="s">
        <v>803</v>
      </c>
      <c r="X235" s="712">
        <v>41244</v>
      </c>
      <c r="Y235" s="711"/>
      <c r="Z235" s="711" t="s">
        <v>1262</v>
      </c>
      <c r="AA235" s="689" t="s">
        <v>842</v>
      </c>
      <c r="AB235" s="689"/>
      <c r="AC235" s="694">
        <v>42745</v>
      </c>
      <c r="AD235" s="713" t="s">
        <v>1540</v>
      </c>
      <c r="AE235" s="696" t="s">
        <v>1079</v>
      </c>
      <c r="AF235" s="714">
        <f>IF(CampList[[#This Row],[Type of Accomodation]]="camp",MAX(0,CampList[[#This Row],[HH]]-SUMIF(Table_Shelter[Pcode],CampList[[#This Row],[CP_Pcode]],Table_Shelter[HH Covered])),0)</f>
        <v>0</v>
      </c>
      <c r="AG235" s="483"/>
      <c r="AH235" s="688">
        <f>MIN(CampList[[#This Row],[Shelter Gap]],CampList[[#This Row],[Land Status]])</f>
        <v>0</v>
      </c>
      <c r="AI235" s="714" t="str">
        <f ca="1">IFERROR(OFFSET(DistanceToCamp[Nearest Town],MATCH(CampList[[#This Row],[CP_Pcode]],DistanceToCamp[CP_Pcode],0)-1,0,1,1),"")</f>
        <v>Kutkai Town</v>
      </c>
      <c r="AJ235" s="697">
        <f ca="1">IFERROR(OFFSET(DistanceToCamp[distance],MATCH(CampList[[#This Row],[CP_Pcode]],DistanceToCamp[CP_Pcode],0)-1,0,1,1),"")</f>
        <v>0.42212558305526549</v>
      </c>
      <c r="AK235" s="715">
        <f ca="1">IFERROR(INT(CampList[[#This Row],[Distance]]/5)+1,"")</f>
        <v>1</v>
      </c>
    </row>
    <row r="236" spans="1:37" s="488" customFormat="1" ht="15.75" customHeight="1" x14ac:dyDescent="0.25">
      <c r="A236" s="686" t="s">
        <v>500</v>
      </c>
      <c r="B236" s="662" t="s">
        <v>553</v>
      </c>
      <c r="C236" s="662" t="s">
        <v>536</v>
      </c>
      <c r="D236" s="662" t="s">
        <v>230</v>
      </c>
      <c r="E236" s="662" t="s">
        <v>537</v>
      </c>
      <c r="F236" s="662" t="s">
        <v>146</v>
      </c>
      <c r="G236" s="662" t="s">
        <v>544</v>
      </c>
      <c r="H236" s="718" t="s">
        <v>722</v>
      </c>
      <c r="I236" s="662" t="s">
        <v>1254</v>
      </c>
      <c r="J236" s="718" t="s">
        <v>722</v>
      </c>
      <c r="K236" s="740">
        <v>208747</v>
      </c>
      <c r="L236" s="662" t="s">
        <v>368</v>
      </c>
      <c r="M236" s="662" t="s">
        <v>385</v>
      </c>
      <c r="N236" s="687">
        <v>97.793019999999999</v>
      </c>
      <c r="O236" s="687">
        <v>23.588920000000002</v>
      </c>
      <c r="P236" s="688">
        <v>1012.5</v>
      </c>
      <c r="Q236" s="689">
        <v>69</v>
      </c>
      <c r="R236" s="689">
        <v>306</v>
      </c>
      <c r="S236" s="690">
        <f>IF(CampList[[#This Row],[HH]]&gt;0,CampList[[#This Row],[Total]]/CampList[[#This Row],[HH]],"NA")</f>
        <v>4.4347826086956523</v>
      </c>
      <c r="T236" s="664" t="s">
        <v>511</v>
      </c>
      <c r="U236" s="664" t="s">
        <v>1191</v>
      </c>
      <c r="V236" s="664" t="s">
        <v>554</v>
      </c>
      <c r="W236" s="664" t="s">
        <v>856</v>
      </c>
      <c r="X236" s="691">
        <v>41275</v>
      </c>
      <c r="Y236" s="692">
        <v>2</v>
      </c>
      <c r="Z236" s="691" t="s">
        <v>460</v>
      </c>
      <c r="AA236" s="704" t="s">
        <v>842</v>
      </c>
      <c r="AB236" s="693"/>
      <c r="AC236" s="694">
        <v>42745</v>
      </c>
      <c r="AD236" s="686" t="s">
        <v>1501</v>
      </c>
      <c r="AE236" s="696" t="s">
        <v>1079</v>
      </c>
      <c r="AF236" s="483">
        <f>IF(CampList[[#This Row],[Type of Accomodation]]="camp",MAX(0,CampList[[#This Row],[HH]]-SUMIF(Table_Shelter[Pcode],CampList[[#This Row],[CP_Pcode]],Table_Shelter[HH Covered])),0)</f>
        <v>6</v>
      </c>
      <c r="AG236" s="664"/>
      <c r="AH236" s="693">
        <f>MIN(CampList[[#This Row],[Shelter Gap]],CampList[[#This Row],[Land Status]])</f>
        <v>6</v>
      </c>
      <c r="AI236" s="664" t="str">
        <f ca="1">IFERROR(OFFSET(DistanceToCamp[Nearest Town],MATCH(CampList[[#This Row],[CP_Pcode]],DistanceToCamp[CP_Pcode],0)-1,0,1,1),"")</f>
        <v>Kutkai Town</v>
      </c>
      <c r="AJ236" s="697">
        <f ca="1">IFERROR(OFFSET(DistanceToCamp[distance],MATCH(CampList[[#This Row],[CP_Pcode]],DistanceToCamp[CP_Pcode],0)-1,0,1,1),"")</f>
        <v>21.050742639251741</v>
      </c>
      <c r="AK236" s="698">
        <f ca="1">IFERROR(INT(CampList[[#This Row],[Distance]]/5)+1,"")</f>
        <v>5</v>
      </c>
    </row>
    <row r="237" spans="1:37" s="488" customFormat="1" ht="15.75" hidden="1" customHeight="1" x14ac:dyDescent="0.25">
      <c r="A237" s="686" t="s">
        <v>843</v>
      </c>
      <c r="B237" s="662" t="s">
        <v>553</v>
      </c>
      <c r="C237" s="662" t="s">
        <v>536</v>
      </c>
      <c r="D237" s="662" t="s">
        <v>230</v>
      </c>
      <c r="E237" s="662" t="s">
        <v>537</v>
      </c>
      <c r="F237" s="662" t="s">
        <v>146</v>
      </c>
      <c r="G237" s="662" t="s">
        <v>544</v>
      </c>
      <c r="H237" s="662" t="s">
        <v>785</v>
      </c>
      <c r="I237" s="662" t="s">
        <v>786</v>
      </c>
      <c r="J237" s="718" t="s">
        <v>787</v>
      </c>
      <c r="K237" s="718"/>
      <c r="L237" s="662" t="s">
        <v>367</v>
      </c>
      <c r="M237" s="662" t="s">
        <v>386</v>
      </c>
      <c r="N237" s="687">
        <v>98.213958000000005</v>
      </c>
      <c r="O237" s="687">
        <v>23.391741</v>
      </c>
      <c r="P237" s="688">
        <v>0</v>
      </c>
      <c r="Q237" s="705">
        <v>0</v>
      </c>
      <c r="R237" s="706">
        <v>0</v>
      </c>
      <c r="S237" s="690" t="str">
        <f>IF(CampList[[#This Row],[HH]]&gt;0,CampList[[#This Row],[Total]]/CampList[[#This Row],[HH]],"NA")</f>
        <v>NA</v>
      </c>
      <c r="T237" s="664" t="s">
        <v>511</v>
      </c>
      <c r="U237" s="699" t="s">
        <v>1191</v>
      </c>
      <c r="V237" s="664" t="s">
        <v>554</v>
      </c>
      <c r="W237" s="699" t="s">
        <v>856</v>
      </c>
      <c r="X237" s="700">
        <v>40787</v>
      </c>
      <c r="Y237" s="701"/>
      <c r="Z237" s="700"/>
      <c r="AA237" s="704" t="s">
        <v>842</v>
      </c>
      <c r="AB237" s="693"/>
      <c r="AC237" s="694">
        <v>41701</v>
      </c>
      <c r="AD237" s="686" t="s">
        <v>1015</v>
      </c>
      <c r="AE237" s="696" t="s">
        <v>1007</v>
      </c>
      <c r="AF237" s="483">
        <f>IF(CampList[[#This Row],[Type of Accomodation]]="camp",MAX(0,CampList[[#This Row],[HH]]-SUMIF(Table_Shelter[Pcode],CampList[[#This Row],[CP_Pcode]],Table_Shelter[HH Covered])),0)</f>
        <v>0</v>
      </c>
      <c r="AG237" s="664"/>
      <c r="AH237" s="693">
        <f>MIN(CampList[[#This Row],[Shelter Gap]],CampList[[#This Row],[Land Status]])</f>
        <v>0</v>
      </c>
      <c r="AI237" s="664" t="str">
        <f ca="1">IFERROR(OFFSET(DistanceToCamp[Nearest Town],MATCH(CampList[[#This Row],[CP_Pcode]],DistanceToCamp[CP_Pcode],0)-1,0,1,1),"")</f>
        <v/>
      </c>
      <c r="AJ237" s="697" t="str">
        <f ca="1">IFERROR(OFFSET(DistanceToCamp[distance],MATCH(CampList[[#This Row],[CP_Pcode]],DistanceToCamp[CP_Pcode],0)-1,0,1,1),"")</f>
        <v/>
      </c>
      <c r="AK237" s="698" t="str">
        <f ca="1">IFERROR(INT(CampList[[#This Row],[Distance]]/5)+1,"")</f>
        <v/>
      </c>
    </row>
    <row r="238" spans="1:37" s="488" customFormat="1" ht="15.75" customHeight="1" x14ac:dyDescent="0.25">
      <c r="A238" s="717" t="s">
        <v>500</v>
      </c>
      <c r="B238" s="662" t="s">
        <v>553</v>
      </c>
      <c r="C238" s="662" t="s">
        <v>536</v>
      </c>
      <c r="D238" s="662" t="s">
        <v>230</v>
      </c>
      <c r="E238" s="662" t="s">
        <v>537</v>
      </c>
      <c r="F238" s="662" t="s">
        <v>146</v>
      </c>
      <c r="G238" s="662" t="s">
        <v>544</v>
      </c>
      <c r="H238" s="662" t="s">
        <v>766</v>
      </c>
      <c r="I238" s="662" t="s">
        <v>767</v>
      </c>
      <c r="J238" s="662" t="s">
        <v>768</v>
      </c>
      <c r="K238" s="662">
        <v>208557</v>
      </c>
      <c r="L238" s="662" t="s">
        <v>373</v>
      </c>
      <c r="M238" s="662" t="s">
        <v>387</v>
      </c>
      <c r="N238" s="687">
        <v>97.837040000000002</v>
      </c>
      <c r="O238" s="687">
        <v>23.38503</v>
      </c>
      <c r="P238" s="688">
        <v>0</v>
      </c>
      <c r="Q238" s="689">
        <v>190</v>
      </c>
      <c r="R238" s="689">
        <v>917</v>
      </c>
      <c r="S238" s="690">
        <f>IF(CampList[[#This Row],[HH]]&gt;0,CampList[[#This Row],[Total]]/CampList[[#This Row],[HH]],"NA")</f>
        <v>4.8263157894736839</v>
      </c>
      <c r="T238" s="664" t="s">
        <v>511</v>
      </c>
      <c r="U238" s="664" t="s">
        <v>1191</v>
      </c>
      <c r="V238" s="664" t="s">
        <v>554</v>
      </c>
      <c r="W238" s="664" t="s">
        <v>856</v>
      </c>
      <c r="X238" s="691">
        <v>41244</v>
      </c>
      <c r="Y238" s="692"/>
      <c r="Z238" s="691" t="s">
        <v>460</v>
      </c>
      <c r="AA238" s="693" t="s">
        <v>842</v>
      </c>
      <c r="AB238" s="693"/>
      <c r="AC238" s="694">
        <v>42745</v>
      </c>
      <c r="AD238" s="695" t="s">
        <v>1525</v>
      </c>
      <c r="AE238" s="696" t="s">
        <v>1079</v>
      </c>
      <c r="AF238" s="483">
        <f>IF(CampList[[#This Row],[Type of Accomodation]]="camp",MAX(0,CampList[[#This Row],[HH]]-SUMIF(Table_Shelter[Pcode],CampList[[#This Row],[CP_Pcode]],Table_Shelter[HH Covered])),0)</f>
        <v>89</v>
      </c>
      <c r="AG238" s="664"/>
      <c r="AH238" s="693">
        <f>MIN(CampList[[#This Row],[Shelter Gap]],CampList[[#This Row],[Land Status]])</f>
        <v>89</v>
      </c>
      <c r="AI238" s="664" t="str">
        <f ca="1">IFERROR(OFFSET(DistanceToCamp[Nearest Town],MATCH(CampList[[#This Row],[CP_Pcode]],DistanceToCamp[CP_Pcode],0)-1,0,1,1),"")</f>
        <v>Kutkai Town</v>
      </c>
      <c r="AJ238" s="697">
        <f ca="1">IFERROR(OFFSET(DistanceToCamp[distance],MATCH(CampList[[#This Row],[CP_Pcode]],DistanceToCamp[CP_Pcode],0)-1,0,1,1),"")</f>
        <v>13.632081902964599</v>
      </c>
      <c r="AK238" s="698">
        <f ca="1">IFERROR(INT(CampList[[#This Row],[Distance]]/5)+1,"")</f>
        <v>3</v>
      </c>
    </row>
    <row r="239" spans="1:37" s="488" customFormat="1" ht="15.75" customHeight="1" x14ac:dyDescent="0.25">
      <c r="A239" s="686" t="s">
        <v>500</v>
      </c>
      <c r="B239" s="662" t="s">
        <v>553</v>
      </c>
      <c r="C239" s="662" t="s">
        <v>536</v>
      </c>
      <c r="D239" s="662" t="s">
        <v>230</v>
      </c>
      <c r="E239" s="662" t="s">
        <v>537</v>
      </c>
      <c r="F239" s="662" t="s">
        <v>230</v>
      </c>
      <c r="G239" s="662" t="s">
        <v>538</v>
      </c>
      <c r="H239" s="662" t="s">
        <v>774</v>
      </c>
      <c r="I239" s="662" t="s">
        <v>775</v>
      </c>
      <c r="J239" s="662" t="s">
        <v>776</v>
      </c>
      <c r="K239" s="662">
        <v>208156</v>
      </c>
      <c r="L239" s="662" t="s">
        <v>231</v>
      </c>
      <c r="M239" s="662" t="s">
        <v>388</v>
      </c>
      <c r="N239" s="687">
        <v>98.115809999999996</v>
      </c>
      <c r="O239" s="687">
        <v>24.08738</v>
      </c>
      <c r="P239" s="711"/>
      <c r="Q239" s="705">
        <v>32</v>
      </c>
      <c r="R239" s="706">
        <v>187</v>
      </c>
      <c r="S239" s="690">
        <f>IF(CampList[[#This Row],[HH]]&gt;0,CampList[[#This Row],[Total]]/CampList[[#This Row],[HH]],"NA")</f>
        <v>5.84375</v>
      </c>
      <c r="T239" s="664" t="s">
        <v>513</v>
      </c>
      <c r="U239" s="664" t="s">
        <v>1191</v>
      </c>
      <c r="V239" s="664" t="s">
        <v>12</v>
      </c>
      <c r="W239" s="664" t="s">
        <v>856</v>
      </c>
      <c r="X239" s="712"/>
      <c r="Y239" s="711"/>
      <c r="Z239" s="693"/>
      <c r="AA239" s="704" t="s">
        <v>572</v>
      </c>
      <c r="AB239" s="693"/>
      <c r="AC239" s="694">
        <v>41701</v>
      </c>
      <c r="AD239" s="686" t="s">
        <v>1011</v>
      </c>
      <c r="AE239" s="721" t="s">
        <v>1093</v>
      </c>
      <c r="AF239" s="483">
        <f>IF(CampList[[#This Row],[Type of Accomodation]]="camp",MAX(0,CampList[[#This Row],[HH]]-SUMIF(Table_Shelter[Pcode],CampList[[#This Row],[CP_Pcode]],Table_Shelter[HH Covered])),0)</f>
        <v>0</v>
      </c>
      <c r="AG239" s="664"/>
      <c r="AH239" s="693">
        <f>MIN(CampList[[#This Row],[Shelter Gap]],CampList[[#This Row],[Land Status]])</f>
        <v>0</v>
      </c>
      <c r="AI239" s="664" t="str">
        <f ca="1">IFERROR(OFFSET(DistanceToCamp[Nearest Town],MATCH(CampList[[#This Row],[CP_Pcode]],DistanceToCamp[CP_Pcode],0)-1,0,1,1),"")</f>
        <v>Pang Hseng (Kyu Koke) Town</v>
      </c>
      <c r="AJ239" s="697">
        <f ca="1">IFERROR(OFFSET(DistanceToCamp[distance],MATCH(CampList[[#This Row],[CP_Pcode]],DistanceToCamp[CP_Pcode],0)-1,0,1,1),"")</f>
        <v>5.5919136174199959</v>
      </c>
      <c r="AK239" s="698">
        <f ca="1">IFERROR(INT(CampList[[#This Row],[Distance]]/5)+1,"")</f>
        <v>2</v>
      </c>
    </row>
    <row r="240" spans="1:37" s="488" customFormat="1" ht="15.75" hidden="1" customHeight="1" x14ac:dyDescent="0.25">
      <c r="A240" s="686" t="s">
        <v>843</v>
      </c>
      <c r="B240" s="662" t="s">
        <v>553</v>
      </c>
      <c r="C240" s="662" t="s">
        <v>536</v>
      </c>
      <c r="D240" s="662" t="s">
        <v>230</v>
      </c>
      <c r="E240" s="662" t="s">
        <v>537</v>
      </c>
      <c r="F240" s="662" t="s">
        <v>289</v>
      </c>
      <c r="G240" s="662" t="s">
        <v>549</v>
      </c>
      <c r="H240" s="662" t="s">
        <v>751</v>
      </c>
      <c r="I240" s="662" t="s">
        <v>752</v>
      </c>
      <c r="J240" s="662" t="s">
        <v>751</v>
      </c>
      <c r="K240" s="662">
        <v>208353</v>
      </c>
      <c r="L240" s="662" t="s">
        <v>375</v>
      </c>
      <c r="M240" s="662" t="s">
        <v>389</v>
      </c>
      <c r="N240" s="687">
        <v>97.678299999999993</v>
      </c>
      <c r="O240" s="687">
        <v>23.82152</v>
      </c>
      <c r="P240" s="711">
        <v>813.4</v>
      </c>
      <c r="Q240" s="705">
        <v>0</v>
      </c>
      <c r="R240" s="706">
        <v>0</v>
      </c>
      <c r="S240" s="690" t="str">
        <f>IF(CampList[[#This Row],[HH]]&gt;0,CampList[[#This Row],[Total]]/CampList[[#This Row],[HH]],"NA")</f>
        <v>NA</v>
      </c>
      <c r="T240" s="664" t="s">
        <v>513</v>
      </c>
      <c r="U240" s="699" t="s">
        <v>1191</v>
      </c>
      <c r="V240" s="664" t="s">
        <v>554</v>
      </c>
      <c r="W240" s="699"/>
      <c r="X240" s="719"/>
      <c r="Y240" s="710"/>
      <c r="Z240" s="700" t="s">
        <v>1089</v>
      </c>
      <c r="AA240" s="704" t="s">
        <v>842</v>
      </c>
      <c r="AB240" s="693"/>
      <c r="AC240" s="694">
        <v>41712</v>
      </c>
      <c r="AD240" s="686" t="s">
        <v>1022</v>
      </c>
      <c r="AE240" s="721" t="s">
        <v>1007</v>
      </c>
      <c r="AF240" s="483">
        <f>IF(CampList[[#This Row],[Type of Accomodation]]="camp",MAX(0,CampList[[#This Row],[HH]]-SUMIF(Table_Shelter[Pcode],CampList[[#This Row],[CP_Pcode]],Table_Shelter[HH Covered])),0)</f>
        <v>0</v>
      </c>
      <c r="AG240" s="664"/>
      <c r="AH240" s="693">
        <f>MIN(CampList[[#This Row],[Shelter Gap]],CampList[[#This Row],[Land Status]])</f>
        <v>0</v>
      </c>
      <c r="AI240" s="664" t="str">
        <f ca="1">IFERROR(OFFSET(DistanceToCamp[Nearest Town],MATCH(CampList[[#This Row],[CP_Pcode]],DistanceToCamp[CP_Pcode],0)-1,0,1,1),"")</f>
        <v/>
      </c>
      <c r="AJ240" s="697" t="str">
        <f ca="1">IFERROR(OFFSET(DistanceToCamp[distance],MATCH(CampList[[#This Row],[CP_Pcode]],DistanceToCamp[CP_Pcode],0)-1,0,1,1),"")</f>
        <v/>
      </c>
      <c r="AK240" s="698" t="str">
        <f ca="1">IFERROR(INT(CampList[[#This Row],[Distance]]/5)+1,"")</f>
        <v/>
      </c>
    </row>
    <row r="241" spans="1:37" s="488" customFormat="1" ht="15.75" hidden="1" customHeight="1" x14ac:dyDescent="0.25">
      <c r="A241" s="686" t="s">
        <v>843</v>
      </c>
      <c r="B241" s="662" t="s">
        <v>553</v>
      </c>
      <c r="C241" s="662" t="s">
        <v>536</v>
      </c>
      <c r="D241" s="662" t="s">
        <v>230</v>
      </c>
      <c r="E241" s="662" t="s">
        <v>537</v>
      </c>
      <c r="F241" s="662" t="s">
        <v>230</v>
      </c>
      <c r="G241" s="662" t="s">
        <v>538</v>
      </c>
      <c r="H241" s="662" t="s">
        <v>1025</v>
      </c>
      <c r="I241" s="662" t="s">
        <v>1024</v>
      </c>
      <c r="J241" s="662" t="s">
        <v>1026</v>
      </c>
      <c r="K241" s="662">
        <v>208182</v>
      </c>
      <c r="L241" s="662" t="s">
        <v>361</v>
      </c>
      <c r="M241" s="662" t="s">
        <v>837</v>
      </c>
      <c r="N241" s="687"/>
      <c r="O241" s="687"/>
      <c r="P241" s="688">
        <v>0</v>
      </c>
      <c r="Q241" s="705"/>
      <c r="R241" s="706"/>
      <c r="S241" s="690" t="str">
        <f>IF(CampList[[#This Row],[HH]]&gt;0,CampList[[#This Row],[Total]]/CampList[[#This Row],[HH]],"NA")</f>
        <v>NA</v>
      </c>
      <c r="T241" s="664" t="s">
        <v>513</v>
      </c>
      <c r="U241" s="664" t="s">
        <v>1191</v>
      </c>
      <c r="V241" s="664" t="s">
        <v>554</v>
      </c>
      <c r="W241" s="664" t="s">
        <v>856</v>
      </c>
      <c r="X241" s="691">
        <v>40787</v>
      </c>
      <c r="Y241" s="692">
        <v>1</v>
      </c>
      <c r="Z241" s="691" t="s">
        <v>460</v>
      </c>
      <c r="AA241" s="704" t="s">
        <v>842</v>
      </c>
      <c r="AB241" s="693"/>
      <c r="AC241" s="694">
        <v>42432</v>
      </c>
      <c r="AD241" s="686" t="s">
        <v>1344</v>
      </c>
      <c r="AE241" s="696" t="s">
        <v>1078</v>
      </c>
      <c r="AF241" s="483">
        <f>IF(CampList[[#This Row],[Type of Accomodation]]="camp",MAX(0,CampList[[#This Row],[HH]]-SUMIF(Table_Shelter[Pcode],CampList[[#This Row],[CP_Pcode]],Table_Shelter[HH Covered])),0)</f>
        <v>0</v>
      </c>
      <c r="AG241" s="664"/>
      <c r="AH241" s="693">
        <f>MIN(CampList[[#This Row],[Shelter Gap]],CampList[[#This Row],[Land Status]])</f>
        <v>0</v>
      </c>
      <c r="AI241" s="664" t="str">
        <f ca="1">IFERROR(OFFSET(DistanceToCamp[Nearest Town],MATCH(CampList[[#This Row],[CP_Pcode]],DistanceToCamp[CP_Pcode],0)-1,0,1,1),"")</f>
        <v/>
      </c>
      <c r="AJ241" s="697" t="str">
        <f ca="1">IFERROR(OFFSET(DistanceToCamp[distance],MATCH(CampList[[#This Row],[CP_Pcode]],DistanceToCamp[CP_Pcode],0)-1,0,1,1),"")</f>
        <v/>
      </c>
      <c r="AK241" s="698" t="str">
        <f ca="1">IFERROR(INT(CampList[[#This Row],[Distance]]/5)+1,"")</f>
        <v/>
      </c>
    </row>
    <row r="242" spans="1:37" s="488" customFormat="1" ht="15.75" customHeight="1" x14ac:dyDescent="0.25">
      <c r="A242" s="686" t="s">
        <v>500</v>
      </c>
      <c r="B242" s="662" t="s">
        <v>553</v>
      </c>
      <c r="C242" s="662" t="s">
        <v>536</v>
      </c>
      <c r="D242" s="662" t="s">
        <v>777</v>
      </c>
      <c r="E242" s="662" t="s">
        <v>778</v>
      </c>
      <c r="F242" s="662" t="s">
        <v>779</v>
      </c>
      <c r="G242" s="662" t="s">
        <v>780</v>
      </c>
      <c r="H242" s="662" t="s">
        <v>781</v>
      </c>
      <c r="I242" s="662" t="s">
        <v>782</v>
      </c>
      <c r="J242" s="662" t="s">
        <v>781</v>
      </c>
      <c r="K242" s="662">
        <v>206422</v>
      </c>
      <c r="L242" s="662" t="s">
        <v>594</v>
      </c>
      <c r="M242" s="662" t="s">
        <v>838</v>
      </c>
      <c r="N242" s="687">
        <v>98.352670000000003</v>
      </c>
      <c r="O242" s="687">
        <v>23.372409999999999</v>
      </c>
      <c r="P242" s="688">
        <v>617.6</v>
      </c>
      <c r="Q242" s="688">
        <v>67</v>
      </c>
      <c r="R242" s="711">
        <v>392</v>
      </c>
      <c r="S242" s="690">
        <f>IF(CampList[[#This Row],[HH]]&gt;0,CampList[[#This Row],[Total]]/CampList[[#This Row],[HH]],"NA")</f>
        <v>5.8507462686567164</v>
      </c>
      <c r="T242" s="664" t="s">
        <v>513</v>
      </c>
      <c r="U242" s="664" t="s">
        <v>1191</v>
      </c>
      <c r="V242" s="664" t="s">
        <v>12</v>
      </c>
      <c r="W242" s="664" t="s">
        <v>856</v>
      </c>
      <c r="X242" s="691">
        <v>41365</v>
      </c>
      <c r="Y242" s="692"/>
      <c r="Z242" s="691"/>
      <c r="AA242" s="693" t="s">
        <v>842</v>
      </c>
      <c r="AB242" s="693"/>
      <c r="AC242" s="694">
        <v>41701</v>
      </c>
      <c r="AD242" s="695" t="s">
        <v>1011</v>
      </c>
      <c r="AE242" s="696" t="s">
        <v>1093</v>
      </c>
      <c r="AF242" s="483">
        <f>IF(CampList[[#This Row],[Type of Accomodation]]="camp",MAX(0,CampList[[#This Row],[HH]]-SUMIF(Table_Shelter[Pcode],CampList[[#This Row],[CP_Pcode]],Table_Shelter[HH Covered])),0)</f>
        <v>0</v>
      </c>
      <c r="AG242" s="664"/>
      <c r="AH242" s="693">
        <f>MIN(CampList[[#This Row],[Shelter Gap]],CampList[[#This Row],[Land Status]])</f>
        <v>0</v>
      </c>
      <c r="AI242" s="664" t="str">
        <f ca="1">IFERROR(OFFSET(DistanceToCamp[Nearest Town],MATCH(CampList[[#This Row],[CP_Pcode]],DistanceToCamp[CP_Pcode],0)-1,0,1,1),"")</f>
        <v>Kunlong Town</v>
      </c>
      <c r="AJ242" s="697">
        <f ca="1">IFERROR(OFFSET(DistanceToCamp[distance],MATCH(CampList[[#This Row],[CP_Pcode]],DistanceToCamp[CP_Pcode],0)-1,0,1,1),"")</f>
        <v>30.037709702375544</v>
      </c>
      <c r="AK242" s="698">
        <f ca="1">IFERROR(INT(CampList[[#This Row],[Distance]]/5)+1,"")</f>
        <v>7</v>
      </c>
    </row>
    <row r="243" spans="1:37" s="488" customFormat="1" ht="15.75" customHeight="1" x14ac:dyDescent="0.25">
      <c r="A243" s="708" t="s">
        <v>500</v>
      </c>
      <c r="B243" s="663" t="s">
        <v>553</v>
      </c>
      <c r="C243" s="663" t="s">
        <v>536</v>
      </c>
      <c r="D243" s="663" t="s">
        <v>541</v>
      </c>
      <c r="E243" s="663" t="s">
        <v>542</v>
      </c>
      <c r="F243" s="663" t="s">
        <v>166</v>
      </c>
      <c r="G243" s="663" t="s">
        <v>543</v>
      </c>
      <c r="H243" s="663" t="s">
        <v>803</v>
      </c>
      <c r="I243" s="709" t="s">
        <v>1134</v>
      </c>
      <c r="J243" s="663" t="s">
        <v>716</v>
      </c>
      <c r="K243" s="663" t="s">
        <v>1378</v>
      </c>
      <c r="L243" s="663" t="s">
        <v>822</v>
      </c>
      <c r="M243" s="663" t="s">
        <v>823</v>
      </c>
      <c r="N243" s="689">
        <v>97.116680000000002</v>
      </c>
      <c r="O243" s="689">
        <v>23.24661</v>
      </c>
      <c r="P243" s="711">
        <v>87.3</v>
      </c>
      <c r="Q243" s="689">
        <v>29</v>
      </c>
      <c r="R243" s="711">
        <v>178</v>
      </c>
      <c r="S243" s="690">
        <f>IF(CampList[[#This Row],[HH]]&gt;0,CampList[[#This Row],[Total]]/CampList[[#This Row],[HH]],"NA")</f>
        <v>6.1379310344827589</v>
      </c>
      <c r="T243" s="483" t="s">
        <v>511</v>
      </c>
      <c r="U243" s="664" t="s">
        <v>1191</v>
      </c>
      <c r="V243" s="483" t="s">
        <v>554</v>
      </c>
      <c r="W243" s="483" t="s">
        <v>803</v>
      </c>
      <c r="X243" s="712">
        <v>41030</v>
      </c>
      <c r="Y243" s="711"/>
      <c r="Z243" s="711" t="s">
        <v>1262</v>
      </c>
      <c r="AA243" s="689" t="s">
        <v>842</v>
      </c>
      <c r="AB243" s="689"/>
      <c r="AC243" s="694">
        <v>42745</v>
      </c>
      <c r="AD243" s="713" t="s">
        <v>1541</v>
      </c>
      <c r="AE243" s="696" t="s">
        <v>1079</v>
      </c>
      <c r="AF243" s="714">
        <f>IF(CampList[[#This Row],[Type of Accomodation]]="camp",MAX(0,CampList[[#This Row],[HH]]-SUMIF(Table_Shelter[Pcode],CampList[[#This Row],[CP_Pcode]],Table_Shelter[HH Covered])),0)</f>
        <v>0</v>
      </c>
      <c r="AG243" s="483"/>
      <c r="AH243" s="688">
        <f>MIN(CampList[[#This Row],[Shelter Gap]],CampList[[#This Row],[Land Status]])</f>
        <v>0</v>
      </c>
      <c r="AI243" s="714" t="str">
        <f ca="1">IFERROR(OFFSET(DistanceToCamp[Nearest Town],MATCH(CampList[[#This Row],[CP_Pcode]],DistanceToCamp[CP_Pcode],0)-1,0,1,1),"")</f>
        <v>Manton Town</v>
      </c>
      <c r="AJ243" s="697">
        <f ca="1">IFERROR(OFFSET(DistanceToCamp[distance],MATCH(CampList[[#This Row],[CP_Pcode]],DistanceToCamp[CP_Pcode],0)-1,0,1,1),"")</f>
        <v>0.71762888500316424</v>
      </c>
      <c r="AK243" s="715">
        <f ca="1">IFERROR(INT(CampList[[#This Row],[Distance]]/5)+1,"")</f>
        <v>1</v>
      </c>
    </row>
    <row r="244" spans="1:37" s="488" customFormat="1" ht="15.75" customHeight="1" x14ac:dyDescent="0.25">
      <c r="A244" s="686" t="s">
        <v>500</v>
      </c>
      <c r="B244" s="662" t="s">
        <v>553</v>
      </c>
      <c r="C244" s="662" t="s">
        <v>536</v>
      </c>
      <c r="D244" s="662" t="s">
        <v>541</v>
      </c>
      <c r="E244" s="662" t="s">
        <v>542</v>
      </c>
      <c r="F244" s="662" t="s">
        <v>298</v>
      </c>
      <c r="G244" s="662" t="s">
        <v>550</v>
      </c>
      <c r="H244" s="718" t="s">
        <v>817</v>
      </c>
      <c r="I244" s="662" t="s">
        <v>818</v>
      </c>
      <c r="J244" s="718" t="s">
        <v>819</v>
      </c>
      <c r="K244" s="718" t="s">
        <v>820</v>
      </c>
      <c r="L244" s="662" t="s">
        <v>593</v>
      </c>
      <c r="M244" s="662" t="s">
        <v>824</v>
      </c>
      <c r="N244" s="687">
        <v>97.398989</v>
      </c>
      <c r="O244" s="687">
        <v>23.088058</v>
      </c>
      <c r="P244" s="688">
        <v>1948</v>
      </c>
      <c r="Q244" s="705">
        <v>118</v>
      </c>
      <c r="R244" s="706">
        <v>520</v>
      </c>
      <c r="S244" s="690">
        <f>IF(CampList[[#This Row],[HH]]&gt;0,CampList[[#This Row],[Total]]/CampList[[#This Row],[HH]],"NA")</f>
        <v>4.406779661016949</v>
      </c>
      <c r="T244" s="664" t="s">
        <v>511</v>
      </c>
      <c r="U244" s="664" t="s">
        <v>1191</v>
      </c>
      <c r="V244" s="664" t="s">
        <v>12</v>
      </c>
      <c r="W244" s="664" t="s">
        <v>803</v>
      </c>
      <c r="X244" s="691"/>
      <c r="Y244" s="692"/>
      <c r="Z244" s="691"/>
      <c r="AA244" s="704" t="s">
        <v>842</v>
      </c>
      <c r="AB244" s="693"/>
      <c r="AC244" s="694">
        <v>41883</v>
      </c>
      <c r="AD244" s="686" t="s">
        <v>1109</v>
      </c>
      <c r="AE244" s="696" t="s">
        <v>1079</v>
      </c>
      <c r="AF244" s="483">
        <f>IF(CampList[[#This Row],[Type of Accomodation]]="camp",MAX(0,CampList[[#This Row],[HH]]-SUMIF(Table_Shelter[Pcode],CampList[[#This Row],[CP_Pcode]],Table_Shelter[HH Covered])),0)</f>
        <v>0</v>
      </c>
      <c r="AG244" s="664"/>
      <c r="AH244" s="693">
        <f>MIN(CampList[[#This Row],[Shelter Gap]],CampList[[#This Row],[Land Status]])</f>
        <v>0</v>
      </c>
      <c r="AI244" s="664" t="str">
        <f ca="1">IFERROR(OFFSET(DistanceToCamp[Nearest Town],MATCH(CampList[[#This Row],[CP_Pcode]],DistanceToCamp[CP_Pcode],0)-1,0,1,1),"")</f>
        <v>Namtu Town</v>
      </c>
      <c r="AJ244" s="697">
        <f ca="1">IFERROR(OFFSET(DistanceToCamp[distance],MATCH(CampList[[#This Row],[CP_Pcode]],DistanceToCamp[CP_Pcode],0)-1,0,1,1),"")</f>
        <v>0.63626694856259092</v>
      </c>
      <c r="AK244" s="698">
        <f ca="1">IFERROR(INT(CampList[[#This Row],[Distance]]/5)+1,"")</f>
        <v>1</v>
      </c>
    </row>
    <row r="245" spans="1:37" s="488" customFormat="1" ht="15.75" hidden="1" customHeight="1" x14ac:dyDescent="0.25">
      <c r="A245" s="739" t="s">
        <v>843</v>
      </c>
      <c r="B245" s="662" t="s">
        <v>553</v>
      </c>
      <c r="C245" s="662" t="s">
        <v>536</v>
      </c>
      <c r="D245" s="662" t="s">
        <v>230</v>
      </c>
      <c r="E245" s="662" t="s">
        <v>537</v>
      </c>
      <c r="F245" s="662" t="s">
        <v>146</v>
      </c>
      <c r="G245" s="662" t="s">
        <v>544</v>
      </c>
      <c r="H245" s="662" t="s">
        <v>929</v>
      </c>
      <c r="I245" s="662"/>
      <c r="J245" s="662" t="s">
        <v>929</v>
      </c>
      <c r="K245" s="662"/>
      <c r="L245" s="662" t="s">
        <v>930</v>
      </c>
      <c r="M245" s="662" t="s">
        <v>931</v>
      </c>
      <c r="N245" s="689"/>
      <c r="O245" s="689"/>
      <c r="P245" s="711"/>
      <c r="Q245" s="705">
        <v>0</v>
      </c>
      <c r="R245" s="706">
        <v>0</v>
      </c>
      <c r="S245" s="690" t="str">
        <f>IF(CampList[[#This Row],[HH]]&gt;0,CampList[[#This Row],[Total]]/CampList[[#This Row],[HH]],"NA")</f>
        <v>NA</v>
      </c>
      <c r="T245" s="664" t="s">
        <v>513</v>
      </c>
      <c r="U245" s="699" t="s">
        <v>1191</v>
      </c>
      <c r="V245" s="664" t="s">
        <v>554</v>
      </c>
      <c r="W245" s="664" t="s">
        <v>856</v>
      </c>
      <c r="X245" s="712"/>
      <c r="Y245" s="711"/>
      <c r="Z245" s="693"/>
      <c r="AA245" s="693" t="s">
        <v>842</v>
      </c>
      <c r="AB245" s="693"/>
      <c r="AC245" s="694">
        <v>41289</v>
      </c>
      <c r="AD245" s="695" t="s">
        <v>935</v>
      </c>
      <c r="AE245" s="721" t="s">
        <v>1007</v>
      </c>
      <c r="AF245" s="483">
        <f>IF(CampList[[#This Row],[Type of Accomodation]]="camp",MAX(0,CampList[[#This Row],[HH]]-SUMIF(Table_Shelter[Pcode],CampList[[#This Row],[CP_Pcode]],Table_Shelter[HH Covered])),0)</f>
        <v>0</v>
      </c>
      <c r="AG245" s="664"/>
      <c r="AH245" s="693">
        <f>MIN(CampList[[#This Row],[Shelter Gap]],CampList[[#This Row],[Land Status]])</f>
        <v>0</v>
      </c>
      <c r="AI245" s="664" t="str">
        <f ca="1">IFERROR(OFFSET(DistanceToCamp[Nearest Town],MATCH(CampList[[#This Row],[CP_Pcode]],DistanceToCamp[CP_Pcode],0)-1,0,1,1),"")</f>
        <v/>
      </c>
      <c r="AJ245" s="697" t="str">
        <f ca="1">IFERROR(OFFSET(DistanceToCamp[distance],MATCH(CampList[[#This Row],[CP_Pcode]],DistanceToCamp[CP_Pcode],0)-1,0,1,1),"")</f>
        <v/>
      </c>
      <c r="AK245" s="698" t="str">
        <f ca="1">IFERROR(INT(CampList[[#This Row],[Distance]]/5)+1,"")</f>
        <v/>
      </c>
    </row>
    <row r="246" spans="1:37" s="488" customFormat="1" ht="15.75" hidden="1" customHeight="1" x14ac:dyDescent="0.25">
      <c r="A246" s="739" t="s">
        <v>843</v>
      </c>
      <c r="B246" s="662" t="s">
        <v>553</v>
      </c>
      <c r="C246" s="662" t="s">
        <v>536</v>
      </c>
      <c r="D246" s="662" t="s">
        <v>230</v>
      </c>
      <c r="E246" s="662" t="s">
        <v>537</v>
      </c>
      <c r="F246" s="662" t="s">
        <v>146</v>
      </c>
      <c r="G246" s="662" t="s">
        <v>544</v>
      </c>
      <c r="H246" s="662" t="s">
        <v>929</v>
      </c>
      <c r="I246" s="662"/>
      <c r="J246" s="662" t="s">
        <v>929</v>
      </c>
      <c r="K246" s="662"/>
      <c r="L246" s="662" t="s">
        <v>932</v>
      </c>
      <c r="M246" s="662" t="s">
        <v>933</v>
      </c>
      <c r="N246" s="689"/>
      <c r="O246" s="689"/>
      <c r="P246" s="711"/>
      <c r="Q246" s="705">
        <v>0</v>
      </c>
      <c r="R246" s="706">
        <v>0</v>
      </c>
      <c r="S246" s="690" t="str">
        <f>IF(CampList[[#This Row],[HH]]&gt;0,CampList[[#This Row],[Total]]/CampList[[#This Row],[HH]],"NA")</f>
        <v>NA</v>
      </c>
      <c r="T246" s="664" t="s">
        <v>513</v>
      </c>
      <c r="U246" s="699" t="s">
        <v>1191</v>
      </c>
      <c r="V246" s="664" t="s">
        <v>554</v>
      </c>
      <c r="W246" s="664" t="s">
        <v>856</v>
      </c>
      <c r="X246" s="712"/>
      <c r="Y246" s="711"/>
      <c r="Z246" s="693"/>
      <c r="AA246" s="693" t="s">
        <v>842</v>
      </c>
      <c r="AB246" s="693"/>
      <c r="AC246" s="694">
        <v>41289</v>
      </c>
      <c r="AD246" s="695" t="s">
        <v>936</v>
      </c>
      <c r="AE246" s="721" t="s">
        <v>1007</v>
      </c>
      <c r="AF246" s="483">
        <f>IF(CampList[[#This Row],[Type of Accomodation]]="camp",MAX(0,CampList[[#This Row],[HH]]-SUMIF(Table_Shelter[Pcode],CampList[[#This Row],[CP_Pcode]],Table_Shelter[HH Covered])),0)</f>
        <v>0</v>
      </c>
      <c r="AG246" s="664"/>
      <c r="AH246" s="693">
        <f>MIN(CampList[[#This Row],[Shelter Gap]],CampList[[#This Row],[Land Status]])</f>
        <v>0</v>
      </c>
      <c r="AI246" s="664" t="str">
        <f ca="1">IFERROR(OFFSET(DistanceToCamp[Nearest Town],MATCH(CampList[[#This Row],[CP_Pcode]],DistanceToCamp[CP_Pcode],0)-1,0,1,1),"")</f>
        <v/>
      </c>
      <c r="AJ246" s="697" t="str">
        <f ca="1">IFERROR(OFFSET(DistanceToCamp[distance],MATCH(CampList[[#This Row],[CP_Pcode]],DistanceToCamp[CP_Pcode],0)-1,0,1,1),"")</f>
        <v/>
      </c>
      <c r="AK246" s="698" t="str">
        <f ca="1">IFERROR(INT(CampList[[#This Row],[Distance]]/5)+1,"")</f>
        <v/>
      </c>
    </row>
    <row r="247" spans="1:37" s="488" customFormat="1" ht="15.75" customHeight="1" x14ac:dyDescent="0.25">
      <c r="A247" s="686" t="s">
        <v>500</v>
      </c>
      <c r="B247" s="662" t="s">
        <v>553</v>
      </c>
      <c r="C247" s="662" t="s">
        <v>536</v>
      </c>
      <c r="D247" s="662" t="s">
        <v>230</v>
      </c>
      <c r="E247" s="662" t="s">
        <v>537</v>
      </c>
      <c r="F247" s="662" t="s">
        <v>230</v>
      </c>
      <c r="G247" s="662" t="s">
        <v>538</v>
      </c>
      <c r="H247" s="662" t="s">
        <v>1049</v>
      </c>
      <c r="I247" s="662" t="s">
        <v>1050</v>
      </c>
      <c r="J247" s="662" t="s">
        <v>1051</v>
      </c>
      <c r="K247" s="718" t="s">
        <v>1052</v>
      </c>
      <c r="L247" s="662" t="s">
        <v>1053</v>
      </c>
      <c r="M247" s="662" t="s">
        <v>1054</v>
      </c>
      <c r="N247" s="687">
        <v>97.909400000000005</v>
      </c>
      <c r="O247" s="687">
        <v>24.006319999999999</v>
      </c>
      <c r="P247" s="711">
        <v>812.7</v>
      </c>
      <c r="Q247" s="689">
        <v>51</v>
      </c>
      <c r="R247" s="689">
        <v>209</v>
      </c>
      <c r="S247" s="690">
        <f>IF(CampList[[#This Row],[HH]]&gt;0,CampList[[#This Row],[Total]]/CampList[[#This Row],[HH]],"NA")</f>
        <v>4.0980392156862742</v>
      </c>
      <c r="T247" s="664" t="s">
        <v>511</v>
      </c>
      <c r="U247" s="664" t="s">
        <v>1191</v>
      </c>
      <c r="V247" s="664" t="s">
        <v>554</v>
      </c>
      <c r="W247" s="664" t="s">
        <v>803</v>
      </c>
      <c r="X247" s="712">
        <v>41703</v>
      </c>
      <c r="Y247" s="711"/>
      <c r="Z247" s="693" t="s">
        <v>460</v>
      </c>
      <c r="AA247" s="693" t="s">
        <v>842</v>
      </c>
      <c r="AB247" s="693"/>
      <c r="AC247" s="694">
        <v>42745</v>
      </c>
      <c r="AD247" s="695" t="s">
        <v>1504</v>
      </c>
      <c r="AE247" s="721" t="s">
        <v>1093</v>
      </c>
      <c r="AF247" s="483">
        <f>IF(CampList[[#This Row],[Type of Accomodation]]="camp",MAX(0,CampList[[#This Row],[HH]]-SUMIF(Table_Shelter[Pcode],CampList[[#This Row],[CP_Pcode]],Table_Shelter[HH Covered])),0)</f>
        <v>7</v>
      </c>
      <c r="AG247" s="664"/>
      <c r="AH247" s="693">
        <f>MIN(CampList[[#This Row],[Shelter Gap]],CampList[[#This Row],[Land Status]])</f>
        <v>7</v>
      </c>
      <c r="AI247" s="664" t="str">
        <f ca="1">IFERROR(OFFSET(DistanceToCamp[Nearest Town],MATCH(CampList[[#This Row],[CP_Pcode]],DistanceToCamp[CP_Pcode],0)-1,0,1,1),"")</f>
        <v>Muse Town</v>
      </c>
      <c r="AJ247" s="697">
        <f ca="1">IFERROR(OFFSET(DistanceToCamp[distance],MATCH(CampList[[#This Row],[CP_Pcode]],DistanceToCamp[CP_Pcode],0)-1,0,1,1),"")</f>
        <v>1.989668595899414</v>
      </c>
      <c r="AK247" s="698">
        <f ca="1">IFERROR(INT(CampList[[#This Row],[Distance]]/5)+1,"")</f>
        <v>1</v>
      </c>
    </row>
    <row r="248" spans="1:37" s="445" customFormat="1" ht="15.75" customHeight="1" x14ac:dyDescent="0.25">
      <c r="A248" s="686" t="s">
        <v>500</v>
      </c>
      <c r="B248" s="662" t="s">
        <v>553</v>
      </c>
      <c r="C248" s="662" t="s">
        <v>536</v>
      </c>
      <c r="D248" s="662" t="s">
        <v>230</v>
      </c>
      <c r="E248" s="662" t="s">
        <v>537</v>
      </c>
      <c r="F248" s="662" t="s">
        <v>289</v>
      </c>
      <c r="G248" s="662" t="s">
        <v>549</v>
      </c>
      <c r="H248" s="662" t="s">
        <v>751</v>
      </c>
      <c r="I248" s="662" t="s">
        <v>752</v>
      </c>
      <c r="J248" s="662" t="s">
        <v>751</v>
      </c>
      <c r="K248" s="662">
        <v>208353</v>
      </c>
      <c r="L248" s="662" t="s">
        <v>1055</v>
      </c>
      <c r="M248" s="662" t="s">
        <v>1056</v>
      </c>
      <c r="N248" s="687">
        <v>97.700940000000003</v>
      </c>
      <c r="O248" s="687">
        <v>23.841646999999998</v>
      </c>
      <c r="P248" s="711">
        <v>798</v>
      </c>
      <c r="Q248" s="689">
        <v>36</v>
      </c>
      <c r="R248" s="689">
        <v>201</v>
      </c>
      <c r="S248" s="690">
        <f>IF(CampList[[#This Row],[HH]]&gt;0,CampList[[#This Row],[Total]]/CampList[[#This Row],[HH]],"NA")</f>
        <v>5.583333333333333</v>
      </c>
      <c r="T248" s="664" t="s">
        <v>511</v>
      </c>
      <c r="U248" s="664" t="s">
        <v>1191</v>
      </c>
      <c r="V248" s="664" t="s">
        <v>554</v>
      </c>
      <c r="W248" s="664" t="s">
        <v>803</v>
      </c>
      <c r="X248" s="712">
        <v>41947</v>
      </c>
      <c r="Y248" s="711"/>
      <c r="Z248" s="693" t="s">
        <v>460</v>
      </c>
      <c r="AA248" s="693" t="s">
        <v>842</v>
      </c>
      <c r="AB248" s="693"/>
      <c r="AC248" s="694">
        <v>42745</v>
      </c>
      <c r="AD248" s="695" t="s">
        <v>1498</v>
      </c>
      <c r="AE248" s="721" t="s">
        <v>1093</v>
      </c>
      <c r="AF248" s="483">
        <f>IF(CampList[[#This Row],[Type of Accomodation]]="camp",MAX(0,CampList[[#This Row],[HH]]-SUMIF(Table_Shelter[Pcode],CampList[[#This Row],[CP_Pcode]],Table_Shelter[HH Covered])),0)</f>
        <v>0</v>
      </c>
      <c r="AG248" s="664"/>
      <c r="AH248" s="693">
        <f>MIN(CampList[[#This Row],[Shelter Gap]],CampList[[#This Row],[Land Status]])</f>
        <v>0</v>
      </c>
      <c r="AI248" s="664" t="str">
        <f ca="1">IFERROR(OFFSET(DistanceToCamp[Nearest Town],MATCH(CampList[[#This Row],[CP_Pcode]],DistanceToCamp[CP_Pcode],0)-1,0,1,1),"")</f>
        <v>Namhkan Town</v>
      </c>
      <c r="AJ248" s="697">
        <f ca="1">IFERROR(OFFSET(DistanceToCamp[distance],MATCH(CampList[[#This Row],[CP_Pcode]],DistanceToCamp[CP_Pcode],0)-1,0,1,1),"")</f>
        <v>2.0141034419413328</v>
      </c>
      <c r="AK248" s="698">
        <f ca="1">IFERROR(INT(CampList[[#This Row],[Distance]]/5)+1,"")</f>
        <v>1</v>
      </c>
    </row>
    <row r="249" spans="1:37" s="445" customFormat="1" ht="15.75" customHeight="1" x14ac:dyDescent="0.25">
      <c r="A249" s="686" t="s">
        <v>500</v>
      </c>
      <c r="B249" s="662" t="s">
        <v>553</v>
      </c>
      <c r="C249" s="662" t="s">
        <v>536</v>
      </c>
      <c r="D249" s="662" t="s">
        <v>230</v>
      </c>
      <c r="E249" s="662" t="s">
        <v>537</v>
      </c>
      <c r="F249" s="662" t="s">
        <v>289</v>
      </c>
      <c r="G249" s="662" t="s">
        <v>549</v>
      </c>
      <c r="H249" s="662" t="s">
        <v>1058</v>
      </c>
      <c r="I249" s="662" t="s">
        <v>1057</v>
      </c>
      <c r="J249" s="662" t="s">
        <v>1059</v>
      </c>
      <c r="K249" s="718">
        <v>208338</v>
      </c>
      <c r="L249" s="662" t="s">
        <v>1067</v>
      </c>
      <c r="M249" s="662" t="s">
        <v>1060</v>
      </c>
      <c r="N249" s="687">
        <v>97.709879999999998</v>
      </c>
      <c r="O249" s="687">
        <v>23.838190000000001</v>
      </c>
      <c r="P249" s="711">
        <v>829.8</v>
      </c>
      <c r="Q249" s="689">
        <v>121</v>
      </c>
      <c r="R249" s="689">
        <v>570</v>
      </c>
      <c r="S249" s="690">
        <f>IF(CampList[[#This Row],[HH]]&gt;0,CampList[[#This Row],[Total]]/CampList[[#This Row],[HH]],"NA")</f>
        <v>4.7107438016528924</v>
      </c>
      <c r="T249" s="664" t="s">
        <v>511</v>
      </c>
      <c r="U249" s="664" t="s">
        <v>1191</v>
      </c>
      <c r="V249" s="664" t="s">
        <v>554</v>
      </c>
      <c r="W249" s="664" t="s">
        <v>803</v>
      </c>
      <c r="X249" s="712">
        <v>41747</v>
      </c>
      <c r="Y249" s="711"/>
      <c r="Z249" s="693" t="s">
        <v>460</v>
      </c>
      <c r="AA249" s="693" t="s">
        <v>842</v>
      </c>
      <c r="AB249" s="693"/>
      <c r="AC249" s="694">
        <v>42745</v>
      </c>
      <c r="AD249" s="695" t="s">
        <v>1506</v>
      </c>
      <c r="AE249" s="721" t="s">
        <v>1093</v>
      </c>
      <c r="AF249" s="483">
        <f>IF(CampList[[#This Row],[Type of Accomodation]]="camp",MAX(0,CampList[[#This Row],[HH]]-SUMIF(Table_Shelter[Pcode],CampList[[#This Row],[CP_Pcode]],Table_Shelter[HH Covered])),0)</f>
        <v>49</v>
      </c>
      <c r="AG249" s="664"/>
      <c r="AH249" s="693">
        <f>MIN(CampList[[#This Row],[Shelter Gap]],CampList[[#This Row],[Land Status]])</f>
        <v>49</v>
      </c>
      <c r="AI249" s="664" t="str">
        <f ca="1">IFERROR(OFFSET(DistanceToCamp[Nearest Town],MATCH(CampList[[#This Row],[CP_Pcode]],DistanceToCamp[CP_Pcode],0)-1,0,1,1),"")</f>
        <v>Namhkan Town</v>
      </c>
      <c r="AJ249" s="697">
        <f ca="1">IFERROR(OFFSET(DistanceToCamp[distance],MATCH(CampList[[#This Row],[CP_Pcode]],DistanceToCamp[CP_Pcode],0)-1,0,1,1),"")</f>
        <v>2.8590638493982405</v>
      </c>
      <c r="AK249" s="698">
        <f ca="1">IFERROR(INT(CampList[[#This Row],[Distance]]/5)+1,"")</f>
        <v>1</v>
      </c>
    </row>
    <row r="250" spans="1:37" s="445" customFormat="1" ht="15.75" customHeight="1" x14ac:dyDescent="0.25">
      <c r="A250" s="708" t="s">
        <v>500</v>
      </c>
      <c r="B250" s="663" t="s">
        <v>553</v>
      </c>
      <c r="C250" s="663" t="s">
        <v>536</v>
      </c>
      <c r="D250" s="663" t="s">
        <v>230</v>
      </c>
      <c r="E250" s="663" t="s">
        <v>537</v>
      </c>
      <c r="F250" s="663" t="s">
        <v>230</v>
      </c>
      <c r="G250" s="663" t="s">
        <v>538</v>
      </c>
      <c r="H250" s="663" t="s">
        <v>1049</v>
      </c>
      <c r="I250" s="709" t="s">
        <v>1050</v>
      </c>
      <c r="J250" s="663" t="s">
        <v>1051</v>
      </c>
      <c r="K250" s="663" t="s">
        <v>1052</v>
      </c>
      <c r="L250" s="663" t="s">
        <v>1063</v>
      </c>
      <c r="M250" s="663" t="s">
        <v>1064</v>
      </c>
      <c r="N250" s="689">
        <v>97.911647000000002</v>
      </c>
      <c r="O250" s="689">
        <v>24.006789000000001</v>
      </c>
      <c r="P250" s="711">
        <v>814</v>
      </c>
      <c r="Q250" s="689">
        <v>25</v>
      </c>
      <c r="R250" s="711">
        <v>113</v>
      </c>
      <c r="S250" s="690">
        <f>IF(CampList[[#This Row],[HH]]&gt;0,CampList[[#This Row],[Total]]/CampList[[#This Row],[HH]],"NA")</f>
        <v>4.5199999999999996</v>
      </c>
      <c r="T250" s="483" t="s">
        <v>511</v>
      </c>
      <c r="U250" s="664" t="s">
        <v>1191</v>
      </c>
      <c r="V250" s="483" t="s">
        <v>554</v>
      </c>
      <c r="W250" s="483" t="s">
        <v>803</v>
      </c>
      <c r="X250" s="712">
        <v>41734</v>
      </c>
      <c r="Y250" s="711"/>
      <c r="Z250" s="711" t="s">
        <v>1262</v>
      </c>
      <c r="AA250" s="689" t="s">
        <v>842</v>
      </c>
      <c r="AB250" s="689"/>
      <c r="AC250" s="694">
        <v>42745</v>
      </c>
      <c r="AD250" s="713" t="s">
        <v>1542</v>
      </c>
      <c r="AE250" s="696" t="s">
        <v>1093</v>
      </c>
      <c r="AF250" s="714">
        <f>IF(CampList[[#This Row],[Type of Accomodation]]="camp",MAX(0,CampList[[#This Row],[HH]]-SUMIF(Table_Shelter[Pcode],CampList[[#This Row],[CP_Pcode]],Table_Shelter[HH Covered])),0)</f>
        <v>0</v>
      </c>
      <c r="AG250" s="664"/>
      <c r="AH250" s="688">
        <f>MIN(CampList[[#This Row],[Shelter Gap]],CampList[[#This Row],[Land Status]])</f>
        <v>0</v>
      </c>
      <c r="AI250" s="714" t="str">
        <f ca="1">IFERROR(OFFSET(DistanceToCamp[Nearest Town],MATCH(CampList[[#This Row],[CP_Pcode]],DistanceToCamp[CP_Pcode],0)-1,0,1,1),"")</f>
        <v>Muse Town</v>
      </c>
      <c r="AJ250" s="697">
        <f ca="1">IFERROR(OFFSET(DistanceToCamp[distance],MATCH(CampList[[#This Row],[CP_Pcode]],DistanceToCamp[CP_Pcode],0)-1,0,1,1),"")</f>
        <v>2.1362355825722199</v>
      </c>
      <c r="AK250" s="715">
        <f ca="1">IFERROR(INT(CampList[[#This Row],[Distance]]/5)+1,"")</f>
        <v>1</v>
      </c>
    </row>
    <row r="251" spans="1:37" s="445" customFormat="1" ht="15.75" customHeight="1" x14ac:dyDescent="0.25">
      <c r="A251" s="708" t="s">
        <v>500</v>
      </c>
      <c r="B251" s="663" t="s">
        <v>553</v>
      </c>
      <c r="C251" s="663" t="s">
        <v>536</v>
      </c>
      <c r="D251" s="663" t="s">
        <v>230</v>
      </c>
      <c r="E251" s="663" t="s">
        <v>537</v>
      </c>
      <c r="F251" s="663" t="s">
        <v>146</v>
      </c>
      <c r="G251" s="663" t="s">
        <v>544</v>
      </c>
      <c r="H251" s="663" t="s">
        <v>785</v>
      </c>
      <c r="I251" s="709" t="s">
        <v>786</v>
      </c>
      <c r="J251" s="663" t="s">
        <v>787</v>
      </c>
      <c r="K251" s="663">
        <v>219842</v>
      </c>
      <c r="L251" s="663" t="s">
        <v>1102</v>
      </c>
      <c r="M251" s="663" t="s">
        <v>1101</v>
      </c>
      <c r="N251" s="689">
        <v>98.248999999999995</v>
      </c>
      <c r="O251" s="689">
        <v>23.463000000000001</v>
      </c>
      <c r="P251" s="711"/>
      <c r="Q251" s="689">
        <v>22</v>
      </c>
      <c r="R251" s="711">
        <v>111</v>
      </c>
      <c r="S251" s="690">
        <f>IF(CampList[[#This Row],[HH]]&gt;0,CampList[[#This Row],[Total]]/CampList[[#This Row],[HH]],"NA")</f>
        <v>5.0454545454545459</v>
      </c>
      <c r="T251" s="483" t="s">
        <v>511</v>
      </c>
      <c r="U251" s="664" t="s">
        <v>1191</v>
      </c>
      <c r="V251" s="483" t="s">
        <v>554</v>
      </c>
      <c r="W251" s="483" t="s">
        <v>856</v>
      </c>
      <c r="X251" s="712">
        <v>40787</v>
      </c>
      <c r="Y251" s="711"/>
      <c r="Z251" s="711" t="s">
        <v>1262</v>
      </c>
      <c r="AA251" s="689" t="s">
        <v>842</v>
      </c>
      <c r="AB251" s="689"/>
      <c r="AC251" s="694">
        <v>42745</v>
      </c>
      <c r="AD251" s="713" t="s">
        <v>1543</v>
      </c>
      <c r="AE251" s="696"/>
      <c r="AF251" s="714">
        <f>IF(CampList[[#This Row],[Type of Accomodation]]="camp",MAX(0,CampList[[#This Row],[HH]]-SUMIF(Table_Shelter[Pcode],CampList[[#This Row],[CP_Pcode]],Table_Shelter[HH Covered])),0)</f>
        <v>22</v>
      </c>
      <c r="AG251" s="664"/>
      <c r="AH251" s="688">
        <f>MIN(CampList[[#This Row],[Shelter Gap]],CampList[[#This Row],[Land Status]])</f>
        <v>22</v>
      </c>
      <c r="AI251" s="664"/>
      <c r="AJ251" s="697" t="str">
        <f ca="1">IFERROR(OFFSET(DistanceToCamp[distance],MATCH(CampList[[#This Row],[CP_Pcode]],DistanceToCamp[CP_Pcode],0)-1,0,1,1),"")</f>
        <v/>
      </c>
      <c r="AK251" s="715" t="str">
        <f ca="1">IFERROR(INT(CampList[[#This Row],[Distance]]/5)+1,"")</f>
        <v/>
      </c>
    </row>
    <row r="252" spans="1:37" s="445" customFormat="1" ht="15.75" customHeight="1" x14ac:dyDescent="0.25">
      <c r="A252" s="686" t="s">
        <v>500</v>
      </c>
      <c r="B252" s="662" t="s">
        <v>553</v>
      </c>
      <c r="C252" s="662" t="s">
        <v>536</v>
      </c>
      <c r="D252" s="662" t="s">
        <v>777</v>
      </c>
      <c r="E252" s="662" t="s">
        <v>778</v>
      </c>
      <c r="F252" s="662" t="s">
        <v>779</v>
      </c>
      <c r="G252" s="662" t="s">
        <v>780</v>
      </c>
      <c r="H252" s="662" t="s">
        <v>1275</v>
      </c>
      <c r="I252" s="662" t="s">
        <v>1276</v>
      </c>
      <c r="J252" s="662" t="s">
        <v>1275</v>
      </c>
      <c r="K252" s="662">
        <v>206352</v>
      </c>
      <c r="L252" s="662" t="s">
        <v>1275</v>
      </c>
      <c r="M252" s="662" t="s">
        <v>1258</v>
      </c>
      <c r="N252" s="735">
        <v>98.218626999999998</v>
      </c>
      <c r="O252" s="735">
        <v>23.354268999999999</v>
      </c>
      <c r="P252" s="711"/>
      <c r="Q252" s="689">
        <v>38</v>
      </c>
      <c r="R252" s="689">
        <v>205</v>
      </c>
      <c r="S252" s="690">
        <f>IF(CampList[[#This Row],[HH]]&gt;0,CampList[[#This Row],[Total]]/CampList[[#This Row],[HH]],"NA")</f>
        <v>5.3947368421052628</v>
      </c>
      <c r="T252" s="664" t="s">
        <v>511</v>
      </c>
      <c r="U252" s="664" t="s">
        <v>1191</v>
      </c>
      <c r="V252" s="664" t="s">
        <v>554</v>
      </c>
      <c r="W252" s="664" t="s">
        <v>856</v>
      </c>
      <c r="X252" s="712">
        <v>42036</v>
      </c>
      <c r="Y252" s="711"/>
      <c r="Z252" s="693" t="s">
        <v>460</v>
      </c>
      <c r="AA252" s="693" t="s">
        <v>842</v>
      </c>
      <c r="AB252" s="693"/>
      <c r="AC252" s="694">
        <v>42745</v>
      </c>
      <c r="AD252" s="695" t="s">
        <v>1505</v>
      </c>
      <c r="AE252" s="721"/>
      <c r="AF252" s="483">
        <f>IF(CampList[[#This Row],[Type of Accomodation]]="camp",MAX(0,CampList[[#This Row],[HH]]-SUMIF(Table_Shelter[Pcode],CampList[[#This Row],[CP_Pcode]],Table_Shelter[HH Covered])),0)</f>
        <v>3</v>
      </c>
      <c r="AG252" s="664"/>
      <c r="AH252" s="693">
        <f>MIN(CampList[[#This Row],[Shelter Gap]],CampList[[#This Row],[Land Status]])</f>
        <v>3</v>
      </c>
      <c r="AI252" s="664"/>
      <c r="AJ252" s="697" t="str">
        <f ca="1">IFERROR(OFFSET(DistanceToCamp[distance],MATCH(CampList[[#This Row],[CP_Pcode]],DistanceToCamp[CP_Pcode],0)-1,0,1,1),"")</f>
        <v/>
      </c>
      <c r="AK252" s="698" t="str">
        <f ca="1">IFERROR(INT(CampList[[#This Row],[Distance]]/5)+1,"")</f>
        <v/>
      </c>
    </row>
    <row r="253" spans="1:37" s="445" customFormat="1" ht="15.75" customHeight="1" x14ac:dyDescent="0.25">
      <c r="A253" s="686" t="s">
        <v>500</v>
      </c>
      <c r="B253" s="662" t="s">
        <v>553</v>
      </c>
      <c r="C253" s="662" t="s">
        <v>536</v>
      </c>
      <c r="D253" s="662" t="s">
        <v>230</v>
      </c>
      <c r="E253" s="663" t="s">
        <v>537</v>
      </c>
      <c r="F253" s="663" t="s">
        <v>146</v>
      </c>
      <c r="G253" s="663" t="s">
        <v>544</v>
      </c>
      <c r="H253" s="741" t="s">
        <v>766</v>
      </c>
      <c r="I253" s="709" t="s">
        <v>767</v>
      </c>
      <c r="J253" s="662"/>
      <c r="K253" s="662"/>
      <c r="L253" s="741" t="s">
        <v>1315</v>
      </c>
      <c r="M253" s="662" t="s">
        <v>1316</v>
      </c>
      <c r="N253" s="735">
        <v>97.868876999999998</v>
      </c>
      <c r="O253" s="735">
        <v>23.447111</v>
      </c>
      <c r="P253" s="711"/>
      <c r="Q253" s="688">
        <v>105</v>
      </c>
      <c r="R253" s="711">
        <v>568</v>
      </c>
      <c r="S253" s="690">
        <f>IF(CampList[[#This Row],[HH]]&gt;0,CampList[[#This Row],[Total]]/CampList[[#This Row],[HH]],"NA")</f>
        <v>5.4095238095238098</v>
      </c>
      <c r="T253" s="664" t="s">
        <v>511</v>
      </c>
      <c r="U253" s="664" t="s">
        <v>1191</v>
      </c>
      <c r="V253" s="664" t="s">
        <v>554</v>
      </c>
      <c r="W253" s="664" t="s">
        <v>856</v>
      </c>
      <c r="X253" s="691">
        <v>42036</v>
      </c>
      <c r="Y253" s="692"/>
      <c r="Z253" s="691"/>
      <c r="AA253" s="693" t="s">
        <v>842</v>
      </c>
      <c r="AB253" s="693"/>
      <c r="AC253" s="694">
        <v>42317</v>
      </c>
      <c r="AD253" s="695" t="s">
        <v>1317</v>
      </c>
      <c r="AE253" s="696"/>
      <c r="AF253" s="714">
        <f>IF(CampList[[#This Row],[Type of Accomodation]]="camp",MAX(0,CampList[[#This Row],[HH]]-SUMIF(Table_Shelter[Pcode],CampList[[#This Row],[CP_Pcode]],Table_Shelter[HH Covered])),0)</f>
        <v>105</v>
      </c>
      <c r="AG253" s="664"/>
      <c r="AH253" s="688">
        <f>MIN(CampList[[#This Row],[Shelter Gap]],CampList[[#This Row],[Land Status]])</f>
        <v>105</v>
      </c>
      <c r="AI253" s="664"/>
      <c r="AJ253" s="697" t="str">
        <f ca="1">IFERROR(OFFSET(DistanceToCamp[distance],MATCH(CampList[[#This Row],[CP_Pcode]],DistanceToCamp[CP_Pcode],0)-1,0,1,1),"")</f>
        <v/>
      </c>
      <c r="AK253" s="715" t="str">
        <f ca="1">IFERROR(INT(CampList[[#This Row],[Distance]]/5)+1,"")</f>
        <v/>
      </c>
    </row>
    <row r="254" spans="1:37" s="445" customFormat="1" ht="15.75" customHeight="1" x14ac:dyDescent="0.25">
      <c r="A254" s="686" t="s">
        <v>500</v>
      </c>
      <c r="B254" s="662" t="s">
        <v>553</v>
      </c>
      <c r="C254" s="662" t="s">
        <v>536</v>
      </c>
      <c r="D254" s="662" t="s">
        <v>230</v>
      </c>
      <c r="E254" s="662" t="s">
        <v>537</v>
      </c>
      <c r="F254" s="662" t="s">
        <v>146</v>
      </c>
      <c r="G254" s="662" t="s">
        <v>544</v>
      </c>
      <c r="H254" s="718" t="s">
        <v>722</v>
      </c>
      <c r="I254" s="662" t="s">
        <v>1254</v>
      </c>
      <c r="J254" s="718" t="s">
        <v>722</v>
      </c>
      <c r="K254" s="740">
        <v>208747</v>
      </c>
      <c r="L254" s="663" t="s">
        <v>1409</v>
      </c>
      <c r="M254" s="663" t="s">
        <v>1401</v>
      </c>
      <c r="N254" s="689">
        <v>97.796999999999997</v>
      </c>
      <c r="O254" s="689">
        <v>23.591999999999999</v>
      </c>
      <c r="P254" s="688"/>
      <c r="Q254" s="689">
        <v>146</v>
      </c>
      <c r="R254" s="711">
        <v>678</v>
      </c>
      <c r="S254" s="690">
        <f>IF(CampList[[#This Row],[HH]]&gt;0,CampList[[#This Row],[Total]]/CampList[[#This Row],[HH]],"NA")</f>
        <v>4.6438356164383565</v>
      </c>
      <c r="T254" s="483" t="s">
        <v>511</v>
      </c>
      <c r="U254" s="664" t="s">
        <v>1191</v>
      </c>
      <c r="V254" s="483" t="s">
        <v>554</v>
      </c>
      <c r="W254" s="483" t="s">
        <v>856</v>
      </c>
      <c r="X254" s="712">
        <v>42435</v>
      </c>
      <c r="Y254" s="711"/>
      <c r="Z254" s="711"/>
      <c r="AA254" s="689" t="s">
        <v>842</v>
      </c>
      <c r="AB254" s="689"/>
      <c r="AC254" s="694">
        <v>42379</v>
      </c>
      <c r="AD254" s="713" t="s">
        <v>1526</v>
      </c>
      <c r="AE254" s="696"/>
      <c r="AF254" s="714">
        <f>IF(CampList[[#This Row],[Type of Accomodation]]="camp",MAX(0,CampList[[#This Row],[HH]]-SUMIF(Table_Shelter[Pcode],CampList[[#This Row],[CP_Pcode]],Table_Shelter[HH Covered])),0)</f>
        <v>146</v>
      </c>
      <c r="AG254" s="483"/>
      <c r="AH254" s="688">
        <f>MIN(CampList[[#This Row],[Shelter Gap]],CampList[[#This Row],[Land Status]])</f>
        <v>146</v>
      </c>
      <c r="AI254" s="664"/>
      <c r="AJ254" s="697" t="str">
        <f ca="1">IFERROR(OFFSET(DistanceToCamp[distance],MATCH(CampList[[#This Row],[CP_Pcode]],DistanceToCamp[CP_Pcode],0)-1,0,1,1),"")</f>
        <v/>
      </c>
      <c r="AK254" s="715" t="str">
        <f ca="1">IFERROR(INT(CampList[[#This Row],[Distance]]/5)+1,"")</f>
        <v/>
      </c>
    </row>
    <row r="255" spans="1:37" s="445" customFormat="1" ht="15.75" customHeight="1" x14ac:dyDescent="0.25">
      <c r="A255" s="708" t="s">
        <v>500</v>
      </c>
      <c r="B255" s="662" t="s">
        <v>553</v>
      </c>
      <c r="C255" s="662" t="s">
        <v>536</v>
      </c>
      <c r="D255" s="662" t="s">
        <v>541</v>
      </c>
      <c r="E255" s="662" t="s">
        <v>542</v>
      </c>
      <c r="F255" s="662" t="s">
        <v>298</v>
      </c>
      <c r="G255" s="662" t="s">
        <v>550</v>
      </c>
      <c r="H255" s="662" t="s">
        <v>1059</v>
      </c>
      <c r="I255" s="709" t="s">
        <v>1420</v>
      </c>
      <c r="J255" s="662" t="s">
        <v>1421</v>
      </c>
      <c r="K255" s="709">
        <v>210455</v>
      </c>
      <c r="L255" s="662" t="s">
        <v>1419</v>
      </c>
      <c r="M255" s="663" t="s">
        <v>1402</v>
      </c>
      <c r="N255" s="687">
        <v>97.358999999999995</v>
      </c>
      <c r="O255" s="687">
        <v>22.765999999999998</v>
      </c>
      <c r="P255" s="711"/>
      <c r="Q255" s="705">
        <v>19</v>
      </c>
      <c r="R255" s="706">
        <v>82</v>
      </c>
      <c r="S255" s="690">
        <f>IF(CampList[[#This Row],[HH]]&gt;0,CampList[[#This Row],[Total]]/CampList[[#This Row],[HH]],"NA")</f>
        <v>4.3157894736842106</v>
      </c>
      <c r="T255" s="483" t="s">
        <v>511</v>
      </c>
      <c r="U255" s="664" t="s">
        <v>1191</v>
      </c>
      <c r="V255" s="483" t="s">
        <v>554</v>
      </c>
      <c r="W255" s="664" t="s">
        <v>856</v>
      </c>
      <c r="X255" s="712">
        <v>42370</v>
      </c>
      <c r="Y255" s="711"/>
      <c r="Z255" s="693"/>
      <c r="AA255" s="689" t="s">
        <v>842</v>
      </c>
      <c r="AB255" s="693"/>
      <c r="AC255" s="694">
        <v>42576</v>
      </c>
      <c r="AD255" s="686" t="s">
        <v>1413</v>
      </c>
      <c r="AE255" s="696"/>
      <c r="AF255" s="714">
        <f>IF(CampList[[#This Row],[Type of Accomodation]]="camp",MAX(0,CampList[[#This Row],[HH]]-SUMIF(Table_Shelter[Pcode],CampList[[#This Row],[CP_Pcode]],Table_Shelter[HH Covered])),0)</f>
        <v>19</v>
      </c>
      <c r="AG255" s="664"/>
      <c r="AH255" s="688">
        <f>MIN(CampList[[#This Row],[Shelter Gap]],CampList[[#This Row],[Land Status]])</f>
        <v>19</v>
      </c>
      <c r="AI255" s="664" t="str">
        <f ca="1">IFERROR(OFFSET(DistanceToCamp[Nearest Town],MATCH(CampList[[#This Row],[CP_Pcode]],DistanceToCamp[CP_Pcode],0)-1,0,1,1),"")</f>
        <v/>
      </c>
      <c r="AJ255" s="697" t="str">
        <f ca="1">IFERROR(OFFSET(DistanceToCamp[distance],MATCH(CampList[[#This Row],[CP_Pcode]],DistanceToCamp[CP_Pcode],0)-1,0,1,1),"")</f>
        <v/>
      </c>
      <c r="AK255" s="715" t="str">
        <f ca="1">IFERROR(INT(CampList[[#This Row],[Distance]]/5)+1,"")</f>
        <v/>
      </c>
    </row>
    <row r="256" spans="1:37" s="445" customFormat="1" ht="15.75" customHeight="1" x14ac:dyDescent="0.25">
      <c r="A256" s="708" t="s">
        <v>500</v>
      </c>
      <c r="B256" s="662" t="s">
        <v>553</v>
      </c>
      <c r="C256" s="662" t="s">
        <v>536</v>
      </c>
      <c r="D256" s="662" t="s">
        <v>541</v>
      </c>
      <c r="E256" s="662" t="s">
        <v>542</v>
      </c>
      <c r="F256" s="662" t="s">
        <v>166</v>
      </c>
      <c r="G256" s="662" t="s">
        <v>543</v>
      </c>
      <c r="H256" s="662"/>
      <c r="I256" s="709"/>
      <c r="J256" s="662"/>
      <c r="K256" s="662"/>
      <c r="L256" s="662" t="s">
        <v>1422</v>
      </c>
      <c r="M256" s="663" t="s">
        <v>1403</v>
      </c>
      <c r="N256" s="687"/>
      <c r="O256" s="687"/>
      <c r="P256" s="711"/>
      <c r="Q256" s="705">
        <v>36</v>
      </c>
      <c r="R256" s="706">
        <v>188</v>
      </c>
      <c r="S256" s="690">
        <f>IF(CampList[[#This Row],[HH]]&gt;0,CampList[[#This Row],[Total]]/CampList[[#This Row],[HH]],"NA")</f>
        <v>5.2222222222222223</v>
      </c>
      <c r="T256" s="483" t="s">
        <v>511</v>
      </c>
      <c r="U256" s="664" t="s">
        <v>1191</v>
      </c>
      <c r="V256" s="483" t="s">
        <v>554</v>
      </c>
      <c r="W256" s="664" t="s">
        <v>803</v>
      </c>
      <c r="X256" s="712">
        <v>42370</v>
      </c>
      <c r="Y256" s="711"/>
      <c r="Z256" s="693"/>
      <c r="AA256" s="689" t="s">
        <v>842</v>
      </c>
      <c r="AB256" s="693"/>
      <c r="AC256" s="694">
        <v>42576</v>
      </c>
      <c r="AD256" s="686" t="s">
        <v>1450</v>
      </c>
      <c r="AE256" s="696"/>
      <c r="AF256" s="714">
        <f>IF(CampList[[#This Row],[Type of Accomodation]]="camp",MAX(0,CampList[[#This Row],[HH]]-SUMIF(Table_Shelter[Pcode],CampList[[#This Row],[CP_Pcode]],Table_Shelter[HH Covered])),0)</f>
        <v>36</v>
      </c>
      <c r="AG256" s="664"/>
      <c r="AH256" s="688">
        <f>MIN(CampList[[#This Row],[Shelter Gap]],CampList[[#This Row],[Land Status]])</f>
        <v>36</v>
      </c>
      <c r="AI256" s="664" t="str">
        <f ca="1">IFERROR(OFFSET(DistanceToCamp[Nearest Town],MATCH(CampList[[#This Row],[CP_Pcode]],DistanceToCamp[CP_Pcode],0)-1,0,1,1),"")</f>
        <v/>
      </c>
      <c r="AJ256" s="697" t="str">
        <f ca="1">IFERROR(OFFSET(DistanceToCamp[distance],MATCH(CampList[[#This Row],[CP_Pcode]],DistanceToCamp[CP_Pcode],0)-1,0,1,1),"")</f>
        <v/>
      </c>
      <c r="AK256" s="715" t="str">
        <f ca="1">IFERROR(INT(CampList[[#This Row],[Distance]]/5)+1,"")</f>
        <v/>
      </c>
    </row>
    <row r="257" spans="1:51" s="679" customFormat="1" ht="15.75" customHeight="1" x14ac:dyDescent="0.25">
      <c r="A257" s="708" t="s">
        <v>500</v>
      </c>
      <c r="B257" s="662" t="s">
        <v>553</v>
      </c>
      <c r="C257" s="662" t="s">
        <v>536</v>
      </c>
      <c r="D257" s="662" t="s">
        <v>230</v>
      </c>
      <c r="E257" s="662" t="s">
        <v>537</v>
      </c>
      <c r="F257" s="662" t="s">
        <v>289</v>
      </c>
      <c r="G257" s="662" t="s">
        <v>549</v>
      </c>
      <c r="H257" s="662" t="s">
        <v>1423</v>
      </c>
      <c r="I257" s="709" t="s">
        <v>1424</v>
      </c>
      <c r="J257" s="662" t="s">
        <v>1423</v>
      </c>
      <c r="K257" s="709">
        <v>208469</v>
      </c>
      <c r="L257" s="662" t="s">
        <v>1410</v>
      </c>
      <c r="M257" s="663" t="s">
        <v>1404</v>
      </c>
      <c r="N257" s="687">
        <v>97.504999999999995</v>
      </c>
      <c r="O257" s="687">
        <v>23.611999999999998</v>
      </c>
      <c r="P257" s="711"/>
      <c r="Q257" s="705">
        <v>200</v>
      </c>
      <c r="R257" s="706">
        <v>827</v>
      </c>
      <c r="S257" s="690">
        <f>IF(CampList[[#This Row],[HH]]&gt;0,CampList[[#This Row],[Total]]/CampList[[#This Row],[HH]],"NA")</f>
        <v>4.1349999999999998</v>
      </c>
      <c r="T257" s="483" t="s">
        <v>511</v>
      </c>
      <c r="U257" s="664" t="s">
        <v>1191</v>
      </c>
      <c r="V257" s="483" t="s">
        <v>554</v>
      </c>
      <c r="W257" s="664" t="s">
        <v>856</v>
      </c>
      <c r="X257" s="712">
        <v>42401</v>
      </c>
      <c r="Y257" s="711"/>
      <c r="Z257" s="693"/>
      <c r="AA257" s="689" t="s">
        <v>842</v>
      </c>
      <c r="AB257" s="693"/>
      <c r="AC257" s="694">
        <v>42576</v>
      </c>
      <c r="AD257" s="686" t="s">
        <v>1413</v>
      </c>
      <c r="AE257" s="696"/>
      <c r="AF257" s="714">
        <f>IF(CampList[[#This Row],[Type of Accomodation]]="camp",MAX(0,CampList[[#This Row],[HH]]-SUMIF(Table_Shelter[Pcode],CampList[[#This Row],[CP_Pcode]],Table_Shelter[HH Covered])),0)</f>
        <v>200</v>
      </c>
      <c r="AG257" s="664"/>
      <c r="AH257" s="688">
        <f>MIN(CampList[[#This Row],[Shelter Gap]],CampList[[#This Row],[Land Status]])</f>
        <v>200</v>
      </c>
      <c r="AI257" s="664" t="str">
        <f ca="1">IFERROR(OFFSET(DistanceToCamp[Nearest Town],MATCH(CampList[[#This Row],[CP_Pcode]],DistanceToCamp[CP_Pcode],0)-1,0,1,1),"")</f>
        <v/>
      </c>
      <c r="AJ257" s="697" t="str">
        <f ca="1">IFERROR(OFFSET(DistanceToCamp[distance],MATCH(CampList[[#This Row],[CP_Pcode]],DistanceToCamp[CP_Pcode],0)-1,0,1,1),"")</f>
        <v/>
      </c>
      <c r="AK257" s="715" t="str">
        <f ca="1">IFERROR(INT(CampList[[#This Row],[Distance]]/5)+1,"")</f>
        <v/>
      </c>
      <c r="AL257" s="445"/>
      <c r="AM257" s="445"/>
      <c r="AX257" s="680"/>
      <c r="AY257" s="680"/>
    </row>
    <row r="258" spans="1:51" s="679" customFormat="1" ht="15.75" customHeight="1" x14ac:dyDescent="0.25">
      <c r="A258" s="708" t="s">
        <v>500</v>
      </c>
      <c r="B258" s="662" t="s">
        <v>553</v>
      </c>
      <c r="C258" s="662" t="s">
        <v>536</v>
      </c>
      <c r="D258" s="662" t="s">
        <v>230</v>
      </c>
      <c r="E258" s="662" t="s">
        <v>537</v>
      </c>
      <c r="F258" s="662" t="s">
        <v>289</v>
      </c>
      <c r="G258" s="662" t="s">
        <v>549</v>
      </c>
      <c r="H258" s="662" t="s">
        <v>1423</v>
      </c>
      <c r="I258" s="709" t="s">
        <v>1424</v>
      </c>
      <c r="J258" s="662" t="s">
        <v>1423</v>
      </c>
      <c r="K258" s="709">
        <v>208469</v>
      </c>
      <c r="L258" s="662" t="s">
        <v>1411</v>
      </c>
      <c r="M258" s="663" t="s">
        <v>1405</v>
      </c>
      <c r="N258" s="687">
        <v>97.506</v>
      </c>
      <c r="O258" s="687">
        <v>23.611999999999998</v>
      </c>
      <c r="P258" s="711"/>
      <c r="Q258" s="705">
        <v>61</v>
      </c>
      <c r="R258" s="706">
        <v>247</v>
      </c>
      <c r="S258" s="690">
        <f>IF(CampList[[#This Row],[HH]]&gt;0,CampList[[#This Row],[Total]]/CampList[[#This Row],[HH]],"NA")</f>
        <v>4.0491803278688527</v>
      </c>
      <c r="T258" s="483" t="s">
        <v>511</v>
      </c>
      <c r="U258" s="664" t="s">
        <v>1191</v>
      </c>
      <c r="V258" s="483" t="s">
        <v>554</v>
      </c>
      <c r="W258" s="664" t="s">
        <v>856</v>
      </c>
      <c r="X258" s="712">
        <v>42430</v>
      </c>
      <c r="Y258" s="711"/>
      <c r="Z258" s="693"/>
      <c r="AA258" s="689" t="s">
        <v>842</v>
      </c>
      <c r="AB258" s="693"/>
      <c r="AC258" s="694">
        <v>42576</v>
      </c>
      <c r="AD258" s="686" t="s">
        <v>1413</v>
      </c>
      <c r="AE258" s="696"/>
      <c r="AF258" s="714">
        <f>IF(CampList[[#This Row],[Type of Accomodation]]="camp",MAX(0,CampList[[#This Row],[HH]]-SUMIF(Table_Shelter[Pcode],CampList[[#This Row],[CP_Pcode]],Table_Shelter[HH Covered])),0)</f>
        <v>61</v>
      </c>
      <c r="AG258" s="664"/>
      <c r="AH258" s="688">
        <f>MIN(CampList[[#This Row],[Shelter Gap]],CampList[[#This Row],[Land Status]])</f>
        <v>61</v>
      </c>
      <c r="AI258" s="664" t="str">
        <f ca="1">IFERROR(OFFSET(DistanceToCamp[Nearest Town],MATCH(CampList[[#This Row],[CP_Pcode]],DistanceToCamp[CP_Pcode],0)-1,0,1,1),"")</f>
        <v/>
      </c>
      <c r="AJ258" s="697" t="str">
        <f ca="1">IFERROR(OFFSET(DistanceToCamp[distance],MATCH(CampList[[#This Row],[CP_Pcode]],DistanceToCamp[CP_Pcode],0)-1,0,1,1),"")</f>
        <v/>
      </c>
      <c r="AK258" s="715" t="str">
        <f ca="1">IFERROR(INT(CampList[[#This Row],[Distance]]/5)+1,"")</f>
        <v/>
      </c>
      <c r="AL258" s="445"/>
      <c r="AM258" s="445"/>
      <c r="AX258" s="680"/>
      <c r="AY258" s="680"/>
    </row>
    <row r="259" spans="1:51" s="679" customFormat="1" ht="15.75" customHeight="1" x14ac:dyDescent="0.25">
      <c r="A259" s="708" t="s">
        <v>500</v>
      </c>
      <c r="B259" s="662" t="s">
        <v>553</v>
      </c>
      <c r="C259" s="662" t="s">
        <v>536</v>
      </c>
      <c r="D259" s="662" t="s">
        <v>230</v>
      </c>
      <c r="E259" s="662" t="s">
        <v>537</v>
      </c>
      <c r="F259" s="662" t="s">
        <v>146</v>
      </c>
      <c r="G259" s="662" t="s">
        <v>544</v>
      </c>
      <c r="H259" s="718" t="s">
        <v>723</v>
      </c>
      <c r="I259" s="662" t="s">
        <v>1255</v>
      </c>
      <c r="J259" s="718" t="s">
        <v>1393</v>
      </c>
      <c r="K259" s="737"/>
      <c r="L259" s="662" t="s">
        <v>1412</v>
      </c>
      <c r="M259" s="663" t="s">
        <v>1406</v>
      </c>
      <c r="N259" s="687">
        <v>97.506</v>
      </c>
      <c r="O259" s="687">
        <v>23.611999999999998</v>
      </c>
      <c r="P259" s="711"/>
      <c r="Q259" s="705">
        <v>176</v>
      </c>
      <c r="R259" s="706">
        <v>798</v>
      </c>
      <c r="S259" s="690">
        <f>IF(CampList[[#This Row],[HH]]&gt;0,CampList[[#This Row],[Total]]/CampList[[#This Row],[HH]],"NA")</f>
        <v>4.5340909090909092</v>
      </c>
      <c r="T259" s="483" t="s">
        <v>511</v>
      </c>
      <c r="U259" s="664" t="s">
        <v>1191</v>
      </c>
      <c r="V259" s="483" t="s">
        <v>554</v>
      </c>
      <c r="W259" s="664" t="s">
        <v>803</v>
      </c>
      <c r="X259" s="712">
        <v>42401</v>
      </c>
      <c r="Y259" s="711"/>
      <c r="Z259" s="693"/>
      <c r="AA259" s="689" t="s">
        <v>842</v>
      </c>
      <c r="AB259" s="693"/>
      <c r="AC259" s="694">
        <v>42576</v>
      </c>
      <c r="AD259" s="686" t="s">
        <v>1413</v>
      </c>
      <c r="AE259" s="696"/>
      <c r="AF259" s="714">
        <f>IF(CampList[[#This Row],[Type of Accomodation]]="camp",MAX(0,CampList[[#This Row],[HH]]-SUMIF(Table_Shelter[Pcode],CampList[[#This Row],[CP_Pcode]],Table_Shelter[HH Covered])),0)</f>
        <v>176</v>
      </c>
      <c r="AG259" s="664"/>
      <c r="AH259" s="688">
        <f>MIN(CampList[[#This Row],[Shelter Gap]],CampList[[#This Row],[Land Status]])</f>
        <v>176</v>
      </c>
      <c r="AI259" s="664" t="str">
        <f ca="1">IFERROR(OFFSET(DistanceToCamp[Nearest Town],MATCH(CampList[[#This Row],[CP_Pcode]],DistanceToCamp[CP_Pcode],0)-1,0,1,1),"")</f>
        <v/>
      </c>
      <c r="AJ259" s="697" t="str">
        <f ca="1">IFERROR(OFFSET(DistanceToCamp[distance],MATCH(CampList[[#This Row],[CP_Pcode]],DistanceToCamp[CP_Pcode],0)-1,0,1,1),"")</f>
        <v/>
      </c>
      <c r="AK259" s="715" t="str">
        <f ca="1">IFERROR(INT(CampList[[#This Row],[Distance]]/5)+1,"")</f>
        <v/>
      </c>
      <c r="AL259" s="445"/>
      <c r="AM259" s="445"/>
      <c r="AX259" s="680"/>
      <c r="AY259" s="680"/>
    </row>
    <row r="260" spans="1:51" s="679" customFormat="1" ht="15.75" customHeight="1" x14ac:dyDescent="0.25">
      <c r="A260" s="708" t="s">
        <v>500</v>
      </c>
      <c r="B260" s="662" t="s">
        <v>553</v>
      </c>
      <c r="C260" s="662" t="s">
        <v>536</v>
      </c>
      <c r="D260" s="662" t="s">
        <v>777</v>
      </c>
      <c r="E260" s="662" t="s">
        <v>778</v>
      </c>
      <c r="F260" s="662" t="s">
        <v>779</v>
      </c>
      <c r="G260" s="662" t="s">
        <v>780</v>
      </c>
      <c r="H260" s="662" t="s">
        <v>1426</v>
      </c>
      <c r="I260" s="709" t="s">
        <v>1427</v>
      </c>
      <c r="J260" s="662" t="s">
        <v>1426</v>
      </c>
      <c r="K260" s="709">
        <v>206395</v>
      </c>
      <c r="L260" s="662" t="s">
        <v>1425</v>
      </c>
      <c r="M260" s="663" t="s">
        <v>1407</v>
      </c>
      <c r="N260" s="687">
        <v>98.221000000000004</v>
      </c>
      <c r="O260" s="687">
        <v>23.353999999999999</v>
      </c>
      <c r="P260" s="711"/>
      <c r="Q260" s="705">
        <v>20</v>
      </c>
      <c r="R260" s="706">
        <v>75</v>
      </c>
      <c r="S260" s="690">
        <f>IF(CampList[[#This Row],[HH]]&gt;0,CampList[[#This Row],[Total]]/CampList[[#This Row],[HH]],"NA")</f>
        <v>3.75</v>
      </c>
      <c r="T260" s="483" t="s">
        <v>511</v>
      </c>
      <c r="U260" s="664" t="s">
        <v>1191</v>
      </c>
      <c r="V260" s="483" t="s">
        <v>554</v>
      </c>
      <c r="W260" s="664" t="s">
        <v>803</v>
      </c>
      <c r="X260" s="712">
        <v>42430</v>
      </c>
      <c r="Y260" s="711"/>
      <c r="Z260" s="693"/>
      <c r="AA260" s="689" t="s">
        <v>842</v>
      </c>
      <c r="AB260" s="693"/>
      <c r="AC260" s="694">
        <v>42576</v>
      </c>
      <c r="AD260" s="686" t="s">
        <v>1413</v>
      </c>
      <c r="AE260" s="696"/>
      <c r="AF260" s="714">
        <f>IF(CampList[[#This Row],[Type of Accomodation]]="camp",MAX(0,CampList[[#This Row],[HH]]-SUMIF(Table_Shelter[Pcode],CampList[[#This Row],[CP_Pcode]],Table_Shelter[HH Covered])),0)</f>
        <v>20</v>
      </c>
      <c r="AG260" s="664"/>
      <c r="AH260" s="688">
        <f>MIN(CampList[[#This Row],[Shelter Gap]],CampList[[#This Row],[Land Status]])</f>
        <v>20</v>
      </c>
      <c r="AI260" s="664" t="str">
        <f ca="1">IFERROR(OFFSET(DistanceToCamp[Nearest Town],MATCH(CampList[[#This Row],[CP_Pcode]],DistanceToCamp[CP_Pcode],0)-1,0,1,1),"")</f>
        <v/>
      </c>
      <c r="AJ260" s="697" t="str">
        <f ca="1">IFERROR(OFFSET(DistanceToCamp[distance],MATCH(CampList[[#This Row],[CP_Pcode]],DistanceToCamp[CP_Pcode],0)-1,0,1,1),"")</f>
        <v/>
      </c>
      <c r="AK260" s="715" t="str">
        <f ca="1">IFERROR(INT(CampList[[#This Row],[Distance]]/5)+1,"")</f>
        <v/>
      </c>
      <c r="AL260" s="445"/>
      <c r="AM260" s="445"/>
      <c r="AX260" s="680"/>
      <c r="AY260" s="680"/>
    </row>
    <row r="261" spans="1:51" s="679" customFormat="1" ht="15.75" customHeight="1" x14ac:dyDescent="0.25">
      <c r="A261" s="708" t="s">
        <v>500</v>
      </c>
      <c r="B261" s="662" t="s">
        <v>553</v>
      </c>
      <c r="C261" s="662" t="s">
        <v>536</v>
      </c>
      <c r="D261" s="662" t="s">
        <v>230</v>
      </c>
      <c r="E261" s="662" t="s">
        <v>537</v>
      </c>
      <c r="F261" s="662" t="s">
        <v>146</v>
      </c>
      <c r="G261" s="662" t="s">
        <v>544</v>
      </c>
      <c r="H261" s="662" t="s">
        <v>1429</v>
      </c>
      <c r="I261" s="709"/>
      <c r="J261" s="662" t="s">
        <v>1430</v>
      </c>
      <c r="K261" s="662"/>
      <c r="L261" s="662" t="s">
        <v>1428</v>
      </c>
      <c r="M261" s="663" t="s">
        <v>1408</v>
      </c>
      <c r="N261" s="687">
        <v>98.337999999999994</v>
      </c>
      <c r="O261" s="687">
        <v>23.850999999999999</v>
      </c>
      <c r="P261" s="711"/>
      <c r="Q261" s="705">
        <v>30</v>
      </c>
      <c r="R261" s="706">
        <v>170</v>
      </c>
      <c r="S261" s="690">
        <f>IF(CampList[[#This Row],[HH]]&gt;0,CampList[[#This Row],[Total]]/CampList[[#This Row],[HH]],"NA")</f>
        <v>5.666666666666667</v>
      </c>
      <c r="T261" s="483" t="s">
        <v>511</v>
      </c>
      <c r="U261" s="664" t="s">
        <v>1191</v>
      </c>
      <c r="V261" s="483" t="s">
        <v>554</v>
      </c>
      <c r="W261" s="664" t="s">
        <v>856</v>
      </c>
      <c r="X261" s="712">
        <v>42401</v>
      </c>
      <c r="Y261" s="711"/>
      <c r="Z261" s="693"/>
      <c r="AA261" s="689" t="s">
        <v>842</v>
      </c>
      <c r="AB261" s="693"/>
      <c r="AC261" s="694">
        <v>42576</v>
      </c>
      <c r="AD261" s="686" t="s">
        <v>1413</v>
      </c>
      <c r="AE261" s="696"/>
      <c r="AF261" s="714">
        <f>IF(CampList[[#This Row],[Type of Accomodation]]="camp",MAX(0,CampList[[#This Row],[HH]]-SUMIF(Table_Shelter[Pcode],CampList[[#This Row],[CP_Pcode]],Table_Shelter[HH Covered])),0)</f>
        <v>30</v>
      </c>
      <c r="AG261" s="664"/>
      <c r="AH261" s="688">
        <f>MIN(CampList[[#This Row],[Shelter Gap]],CampList[[#This Row],[Land Status]])</f>
        <v>30</v>
      </c>
      <c r="AI261" s="664" t="str">
        <f ca="1">IFERROR(OFFSET(DistanceToCamp[Nearest Town],MATCH(CampList[[#This Row],[CP_Pcode]],DistanceToCamp[CP_Pcode],0)-1,0,1,1),"")</f>
        <v/>
      </c>
      <c r="AJ261" s="697" t="str">
        <f ca="1">IFERROR(OFFSET(DistanceToCamp[distance],MATCH(CampList[[#This Row],[CP_Pcode]],DistanceToCamp[CP_Pcode],0)-1,0,1,1),"")</f>
        <v/>
      </c>
      <c r="AK261" s="715" t="str">
        <f ca="1">IFERROR(INT(CampList[[#This Row],[Distance]]/5)+1,"")</f>
        <v/>
      </c>
      <c r="AL261" s="445"/>
      <c r="AM261" s="445"/>
      <c r="AX261" s="680"/>
      <c r="AY261" s="680"/>
    </row>
    <row r="262" spans="1:51" s="679" customFormat="1" ht="15.75" customHeight="1" x14ac:dyDescent="0.25">
      <c r="A262" s="797" t="s">
        <v>500</v>
      </c>
      <c r="B262" s="798" t="s">
        <v>553</v>
      </c>
      <c r="C262" s="798" t="s">
        <v>536</v>
      </c>
      <c r="D262" s="798" t="s">
        <v>541</v>
      </c>
      <c r="E262" s="798" t="s">
        <v>542</v>
      </c>
      <c r="F262" s="798" t="s">
        <v>298</v>
      </c>
      <c r="G262" s="798" t="s">
        <v>550</v>
      </c>
      <c r="H262" s="799" t="s">
        <v>817</v>
      </c>
      <c r="I262" s="800" t="s">
        <v>818</v>
      </c>
      <c r="J262" s="799" t="s">
        <v>819</v>
      </c>
      <c r="K262" s="799" t="s">
        <v>820</v>
      </c>
      <c r="L262" s="801" t="s">
        <v>1607</v>
      </c>
      <c r="M262" s="802" t="s">
        <v>1590</v>
      </c>
      <c r="N262" s="803"/>
      <c r="O262" s="803"/>
      <c r="P262" s="804"/>
      <c r="Q262" s="805">
        <v>224</v>
      </c>
      <c r="R262" s="805">
        <v>767</v>
      </c>
      <c r="S262" s="806">
        <f>IF(CampList[[#This Row],[HH]]&gt;0,CampList[[#This Row],[Total]]/CampList[[#This Row],[HH]],"NA")</f>
        <v>3.4241071428571428</v>
      </c>
      <c r="T262" s="823" t="s">
        <v>511</v>
      </c>
      <c r="U262" s="808" t="s">
        <v>1191</v>
      </c>
      <c r="V262" s="807" t="s">
        <v>554</v>
      </c>
      <c r="W262" s="807" t="s">
        <v>803</v>
      </c>
      <c r="X262" s="809"/>
      <c r="Y262" s="804"/>
      <c r="Z262" s="804"/>
      <c r="AA262" s="803"/>
      <c r="AB262" s="803"/>
      <c r="AC262" s="810">
        <v>42752</v>
      </c>
      <c r="AD262" s="811" t="s">
        <v>1608</v>
      </c>
      <c r="AE262" s="812"/>
      <c r="AF262" s="813">
        <f>IF(CampList[[#This Row],[Type of Accomodation]]="camp",MAX(0,CampList[[#This Row],[HH]]-SUMIF(Table_Shelter[Pcode],CampList[[#This Row],[CP_Pcode]],Table_Shelter[HH Covered])),0)</f>
        <v>224</v>
      </c>
      <c r="AG262" s="807"/>
      <c r="AH262" s="814">
        <f>MIN(CampList[[#This Row],[Shelter Gap]],CampList[[#This Row],[Land Status]])</f>
        <v>224</v>
      </c>
      <c r="AI262" s="813" t="str">
        <f ca="1">IFERROR(OFFSET(DistanceToCamp[Nearest Town],MATCH(CampList[[#This Row],[CP_Pcode]],DistanceToCamp[CP_Pcode],0)-1,0,1,1),"")</f>
        <v/>
      </c>
      <c r="AJ262" s="815" t="str">
        <f ca="1">IFERROR(OFFSET(DistanceToCamp[distance],MATCH(CampList[[#This Row],[CP_Pcode]],DistanceToCamp[CP_Pcode],0)-1,0,1,1),"")</f>
        <v/>
      </c>
      <c r="AK262" s="816" t="str">
        <f ca="1">IFERROR(INT(CampList[[#This Row],[Distance]]/5)+1,"")</f>
        <v/>
      </c>
      <c r="AL262" s="445"/>
      <c r="AM262" s="445"/>
      <c r="AX262" s="680"/>
      <c r="AY262" s="680"/>
    </row>
    <row r="263" spans="1:51" ht="15.75" customHeight="1" x14ac:dyDescent="0.25">
      <c r="A263" s="797" t="s">
        <v>500</v>
      </c>
      <c r="B263" s="798" t="s">
        <v>553</v>
      </c>
      <c r="C263" s="798" t="s">
        <v>536</v>
      </c>
      <c r="D263" s="798" t="s">
        <v>541</v>
      </c>
      <c r="E263" s="798" t="s">
        <v>542</v>
      </c>
      <c r="F263" s="798" t="s">
        <v>298</v>
      </c>
      <c r="G263" s="798" t="s">
        <v>550</v>
      </c>
      <c r="H263" s="799" t="s">
        <v>817</v>
      </c>
      <c r="I263" s="800" t="s">
        <v>818</v>
      </c>
      <c r="J263" s="799" t="s">
        <v>819</v>
      </c>
      <c r="K263" s="799" t="s">
        <v>820</v>
      </c>
      <c r="L263" s="801" t="s">
        <v>1609</v>
      </c>
      <c r="M263" s="802" t="s">
        <v>1591</v>
      </c>
      <c r="N263" s="803"/>
      <c r="O263" s="803"/>
      <c r="P263" s="804"/>
      <c r="Q263" s="805">
        <v>13</v>
      </c>
      <c r="R263" s="805">
        <v>45</v>
      </c>
      <c r="S263" s="806">
        <f>IF(CampList[[#This Row],[HH]]&gt;0,CampList[[#This Row],[Total]]/CampList[[#This Row],[HH]],"NA")</f>
        <v>3.4615384615384617</v>
      </c>
      <c r="T263" s="823" t="s">
        <v>511</v>
      </c>
      <c r="U263" s="808" t="s">
        <v>1191</v>
      </c>
      <c r="V263" s="807" t="s">
        <v>554</v>
      </c>
      <c r="W263" s="807" t="s">
        <v>803</v>
      </c>
      <c r="X263" s="809"/>
      <c r="Y263" s="804"/>
      <c r="Z263" s="804"/>
      <c r="AA263" s="803"/>
      <c r="AB263" s="803"/>
      <c r="AC263" s="810">
        <v>42752</v>
      </c>
      <c r="AD263" s="811" t="s">
        <v>1608</v>
      </c>
      <c r="AE263" s="812"/>
      <c r="AF263" s="813">
        <f>IF(CampList[[#This Row],[Type of Accomodation]]="camp",MAX(0,CampList[[#This Row],[HH]]-SUMIF(Table_Shelter[Pcode],CampList[[#This Row],[CP_Pcode]],Table_Shelter[HH Covered])),0)</f>
        <v>13</v>
      </c>
      <c r="AG263" s="807"/>
      <c r="AH263" s="814">
        <f>MIN(CampList[[#This Row],[Shelter Gap]],CampList[[#This Row],[Land Status]])</f>
        <v>13</v>
      </c>
      <c r="AI263" s="813" t="str">
        <f ca="1">IFERROR(OFFSET(DistanceToCamp[Nearest Town],MATCH(CampList[[#This Row],[CP_Pcode]],DistanceToCamp[CP_Pcode],0)-1,0,1,1),"")</f>
        <v/>
      </c>
      <c r="AJ263" s="815" t="str">
        <f ca="1">IFERROR(OFFSET(DistanceToCamp[distance],MATCH(CampList[[#This Row],[CP_Pcode]],DistanceToCamp[CP_Pcode],0)-1,0,1,1),"")</f>
        <v/>
      </c>
      <c r="AK263" s="816" t="str">
        <f ca="1">IFERROR(INT(CampList[[#This Row],[Distance]]/5)+1,"")</f>
        <v/>
      </c>
    </row>
    <row r="264" spans="1:51" ht="15.75" customHeight="1" x14ac:dyDescent="0.25">
      <c r="A264" s="797" t="s">
        <v>500</v>
      </c>
      <c r="B264" s="798" t="s">
        <v>553</v>
      </c>
      <c r="C264" s="798" t="s">
        <v>536</v>
      </c>
      <c r="D264" s="798" t="s">
        <v>541</v>
      </c>
      <c r="E264" s="798" t="s">
        <v>542</v>
      </c>
      <c r="F264" s="798" t="s">
        <v>298</v>
      </c>
      <c r="G264" s="798" t="s">
        <v>550</v>
      </c>
      <c r="H264" s="799" t="s">
        <v>817</v>
      </c>
      <c r="I264" s="800" t="s">
        <v>818</v>
      </c>
      <c r="J264" s="799" t="s">
        <v>819</v>
      </c>
      <c r="K264" s="799" t="s">
        <v>820</v>
      </c>
      <c r="L264" s="801" t="s">
        <v>1610</v>
      </c>
      <c r="M264" s="802" t="s">
        <v>1592</v>
      </c>
      <c r="N264" s="803"/>
      <c r="O264" s="803"/>
      <c r="P264" s="804"/>
      <c r="Q264" s="805">
        <v>41</v>
      </c>
      <c r="R264" s="805">
        <v>191</v>
      </c>
      <c r="S264" s="806">
        <f>IF(CampList[[#This Row],[HH]]&gt;0,CampList[[#This Row],[Total]]/CampList[[#This Row],[HH]],"NA")</f>
        <v>4.6585365853658534</v>
      </c>
      <c r="T264" s="823" t="s">
        <v>511</v>
      </c>
      <c r="U264" s="808" t="s">
        <v>1191</v>
      </c>
      <c r="V264" s="807" t="s">
        <v>554</v>
      </c>
      <c r="W264" s="807" t="s">
        <v>803</v>
      </c>
      <c r="X264" s="809"/>
      <c r="Y264" s="804"/>
      <c r="Z264" s="804"/>
      <c r="AA264" s="803"/>
      <c r="AB264" s="803"/>
      <c r="AC264" s="810">
        <v>42752</v>
      </c>
      <c r="AD264" s="811" t="s">
        <v>1608</v>
      </c>
      <c r="AE264" s="812"/>
      <c r="AF264" s="813">
        <f>IF(CampList[[#This Row],[Type of Accomodation]]="camp",MAX(0,CampList[[#This Row],[HH]]-SUMIF(Table_Shelter[Pcode],CampList[[#This Row],[CP_Pcode]],Table_Shelter[HH Covered])),0)</f>
        <v>41</v>
      </c>
      <c r="AG264" s="807"/>
      <c r="AH264" s="814">
        <f>MIN(CampList[[#This Row],[Shelter Gap]],CampList[[#This Row],[Land Status]])</f>
        <v>41</v>
      </c>
      <c r="AI264" s="813" t="str">
        <f ca="1">IFERROR(OFFSET(DistanceToCamp[Nearest Town],MATCH(CampList[[#This Row],[CP_Pcode]],DistanceToCamp[CP_Pcode],0)-1,0,1,1),"")</f>
        <v/>
      </c>
      <c r="AJ264" s="815" t="str">
        <f ca="1">IFERROR(OFFSET(DistanceToCamp[distance],MATCH(CampList[[#This Row],[CP_Pcode]],DistanceToCamp[CP_Pcode],0)-1,0,1,1),"")</f>
        <v/>
      </c>
      <c r="AK264" s="816" t="str">
        <f ca="1">IFERROR(INT(CampList[[#This Row],[Distance]]/5)+1,"")</f>
        <v/>
      </c>
    </row>
    <row r="265" spans="1:51" ht="15.75" customHeight="1" x14ac:dyDescent="0.25">
      <c r="A265" s="797" t="s">
        <v>500</v>
      </c>
      <c r="B265" s="798" t="s">
        <v>553</v>
      </c>
      <c r="C265" s="798" t="s">
        <v>536</v>
      </c>
      <c r="D265" s="798" t="s">
        <v>541</v>
      </c>
      <c r="E265" s="798" t="s">
        <v>542</v>
      </c>
      <c r="F265" s="798" t="s">
        <v>298</v>
      </c>
      <c r="G265" s="798" t="s">
        <v>550</v>
      </c>
      <c r="H265" s="799" t="s">
        <v>817</v>
      </c>
      <c r="I265" s="800" t="s">
        <v>818</v>
      </c>
      <c r="J265" s="799" t="s">
        <v>819</v>
      </c>
      <c r="K265" s="799" t="s">
        <v>820</v>
      </c>
      <c r="L265" s="801" t="s">
        <v>1611</v>
      </c>
      <c r="M265" s="802" t="s">
        <v>1593</v>
      </c>
      <c r="N265" s="803"/>
      <c r="O265" s="803"/>
      <c r="P265" s="804"/>
      <c r="Q265" s="805">
        <v>19</v>
      </c>
      <c r="R265" s="805">
        <v>66</v>
      </c>
      <c r="S265" s="806">
        <f>IF(CampList[[#This Row],[HH]]&gt;0,CampList[[#This Row],[Total]]/CampList[[#This Row],[HH]],"NA")</f>
        <v>3.4736842105263159</v>
      </c>
      <c r="T265" s="823" t="s">
        <v>511</v>
      </c>
      <c r="U265" s="808" t="s">
        <v>1191</v>
      </c>
      <c r="V265" s="807" t="s">
        <v>554</v>
      </c>
      <c r="W265" s="807" t="s">
        <v>803</v>
      </c>
      <c r="X265" s="809"/>
      <c r="Y265" s="804"/>
      <c r="Z265" s="804"/>
      <c r="AA265" s="803"/>
      <c r="AB265" s="803"/>
      <c r="AC265" s="810">
        <v>42752</v>
      </c>
      <c r="AD265" s="811" t="s">
        <v>1608</v>
      </c>
      <c r="AE265" s="812"/>
      <c r="AF265" s="813">
        <f>IF(CampList[[#This Row],[Type of Accomodation]]="camp",MAX(0,CampList[[#This Row],[HH]]-SUMIF(Table_Shelter[Pcode],CampList[[#This Row],[CP_Pcode]],Table_Shelter[HH Covered])),0)</f>
        <v>19</v>
      </c>
      <c r="AG265" s="807"/>
      <c r="AH265" s="814">
        <f>MIN(CampList[[#This Row],[Shelter Gap]],CampList[[#This Row],[Land Status]])</f>
        <v>19</v>
      </c>
      <c r="AI265" s="813" t="str">
        <f ca="1">IFERROR(OFFSET(DistanceToCamp[Nearest Town],MATCH(CampList[[#This Row],[CP_Pcode]],DistanceToCamp[CP_Pcode],0)-1,0,1,1),"")</f>
        <v/>
      </c>
      <c r="AJ265" s="815" t="str">
        <f ca="1">IFERROR(OFFSET(DistanceToCamp[distance],MATCH(CampList[[#This Row],[CP_Pcode]],DistanceToCamp[CP_Pcode],0)-1,0,1,1),"")</f>
        <v/>
      </c>
      <c r="AK265" s="816" t="str">
        <f ca="1">IFERROR(INT(CampList[[#This Row],[Distance]]/5)+1,"")</f>
        <v/>
      </c>
    </row>
    <row r="266" spans="1:51" ht="15.75" customHeight="1" x14ac:dyDescent="0.25">
      <c r="A266" s="797" t="s">
        <v>500</v>
      </c>
      <c r="B266" s="798" t="s">
        <v>553</v>
      </c>
      <c r="C266" s="798" t="s">
        <v>536</v>
      </c>
      <c r="D266" s="798" t="s">
        <v>541</v>
      </c>
      <c r="E266" s="798" t="s">
        <v>542</v>
      </c>
      <c r="F266" s="798" t="s">
        <v>298</v>
      </c>
      <c r="G266" s="798" t="s">
        <v>550</v>
      </c>
      <c r="H266" s="799" t="s">
        <v>817</v>
      </c>
      <c r="I266" s="800" t="s">
        <v>818</v>
      </c>
      <c r="J266" s="799" t="s">
        <v>819</v>
      </c>
      <c r="K266" s="799" t="s">
        <v>820</v>
      </c>
      <c r="L266" s="801" t="s">
        <v>1612</v>
      </c>
      <c r="M266" s="802" t="s">
        <v>1594</v>
      </c>
      <c r="N266" s="803"/>
      <c r="O266" s="803"/>
      <c r="P266" s="804"/>
      <c r="Q266" s="805">
        <v>59</v>
      </c>
      <c r="R266" s="805">
        <v>268</v>
      </c>
      <c r="S266" s="806">
        <f>IF(CampList[[#This Row],[HH]]&gt;0,CampList[[#This Row],[Total]]/CampList[[#This Row],[HH]],"NA")</f>
        <v>4.5423728813559325</v>
      </c>
      <c r="T266" s="823" t="s">
        <v>511</v>
      </c>
      <c r="U266" s="808" t="s">
        <v>1191</v>
      </c>
      <c r="V266" s="807" t="s">
        <v>554</v>
      </c>
      <c r="W266" s="807" t="s">
        <v>803</v>
      </c>
      <c r="X266" s="809"/>
      <c r="Y266" s="804"/>
      <c r="Z266" s="804"/>
      <c r="AA266" s="803"/>
      <c r="AB266" s="803"/>
      <c r="AC266" s="810">
        <v>42752</v>
      </c>
      <c r="AD266" s="811" t="s">
        <v>1608</v>
      </c>
      <c r="AE266" s="812"/>
      <c r="AF266" s="813">
        <f>IF(CampList[[#This Row],[Type of Accomodation]]="camp",MAX(0,CampList[[#This Row],[HH]]-SUMIF(Table_Shelter[Pcode],CampList[[#This Row],[CP_Pcode]],Table_Shelter[HH Covered])),0)</f>
        <v>59</v>
      </c>
      <c r="AG266" s="807"/>
      <c r="AH266" s="814">
        <f>MIN(CampList[[#This Row],[Shelter Gap]],CampList[[#This Row],[Land Status]])</f>
        <v>59</v>
      </c>
      <c r="AI266" s="813" t="str">
        <f ca="1">IFERROR(OFFSET(DistanceToCamp[Nearest Town],MATCH(CampList[[#This Row],[CP_Pcode]],DistanceToCamp[CP_Pcode],0)-1,0,1,1),"")</f>
        <v/>
      </c>
      <c r="AJ266" s="815" t="str">
        <f ca="1">IFERROR(OFFSET(DistanceToCamp[distance],MATCH(CampList[[#This Row],[CP_Pcode]],DistanceToCamp[CP_Pcode],0)-1,0,1,1),"")</f>
        <v/>
      </c>
      <c r="AK266" s="816" t="str">
        <f ca="1">IFERROR(INT(CampList[[#This Row],[Distance]]/5)+1,"")</f>
        <v/>
      </c>
    </row>
    <row r="267" spans="1:51" ht="15.75" customHeight="1" x14ac:dyDescent="0.25">
      <c r="A267" s="797" t="s">
        <v>500</v>
      </c>
      <c r="B267" s="798" t="s">
        <v>553</v>
      </c>
      <c r="C267" s="798" t="s">
        <v>536</v>
      </c>
      <c r="D267" s="798" t="s">
        <v>230</v>
      </c>
      <c r="E267" s="798" t="s">
        <v>537</v>
      </c>
      <c r="F267" s="798" t="s">
        <v>230</v>
      </c>
      <c r="G267" s="798" t="s">
        <v>538</v>
      </c>
      <c r="H267" s="799" t="s">
        <v>1049</v>
      </c>
      <c r="I267" s="800" t="s">
        <v>1050</v>
      </c>
      <c r="J267" s="799" t="s">
        <v>1051</v>
      </c>
      <c r="K267" s="799" t="s">
        <v>1052</v>
      </c>
      <c r="L267" s="817" t="s">
        <v>1619</v>
      </c>
      <c r="M267" s="802" t="s">
        <v>1595</v>
      </c>
      <c r="N267" s="803"/>
      <c r="O267" s="803"/>
      <c r="P267" s="804"/>
      <c r="Q267" s="803"/>
      <c r="R267" s="818">
        <v>142</v>
      </c>
      <c r="S267" s="806" t="str">
        <f>IF(CampList[[#This Row],[HH]]&gt;0,CampList[[#This Row],[Total]]/CampList[[#This Row],[HH]],"NA")</f>
        <v>NA</v>
      </c>
      <c r="T267" s="823" t="s">
        <v>511</v>
      </c>
      <c r="U267" s="808" t="s">
        <v>1191</v>
      </c>
      <c r="V267" s="807" t="s">
        <v>554</v>
      </c>
      <c r="W267" s="807" t="s">
        <v>803</v>
      </c>
      <c r="X267" s="809"/>
      <c r="Y267" s="804"/>
      <c r="Z267" s="804"/>
      <c r="AA267" s="803"/>
      <c r="AB267" s="803"/>
      <c r="AC267" s="810">
        <v>42752</v>
      </c>
      <c r="AD267" s="811" t="s">
        <v>1608</v>
      </c>
      <c r="AE267" s="812"/>
      <c r="AF267" s="813">
        <f>IF(CampList[[#This Row],[Type of Accomodation]]="camp",MAX(0,CampList[[#This Row],[HH]]-SUMIF(Table_Shelter[Pcode],CampList[[#This Row],[CP_Pcode]],Table_Shelter[HH Covered])),0)</f>
        <v>0</v>
      </c>
      <c r="AG267" s="807"/>
      <c r="AH267" s="814">
        <f>MIN(CampList[[#This Row],[Shelter Gap]],CampList[[#This Row],[Land Status]])</f>
        <v>0</v>
      </c>
      <c r="AI267" s="813" t="str">
        <f ca="1">IFERROR(OFFSET(DistanceToCamp[Nearest Town],MATCH(CampList[[#This Row],[CP_Pcode]],DistanceToCamp[CP_Pcode],0)-1,0,1,1),"")</f>
        <v/>
      </c>
      <c r="AJ267" s="815" t="str">
        <f ca="1">IFERROR(OFFSET(DistanceToCamp[distance],MATCH(CampList[[#This Row],[CP_Pcode]],DistanceToCamp[CP_Pcode],0)-1,0,1,1),"")</f>
        <v/>
      </c>
      <c r="AK267" s="816" t="str">
        <f ca="1">IFERROR(INT(CampList[[#This Row],[Distance]]/5)+1,"")</f>
        <v/>
      </c>
    </row>
    <row r="268" spans="1:51" ht="15.75" hidden="1" customHeight="1" x14ac:dyDescent="0.25">
      <c r="A268" s="797" t="s">
        <v>843</v>
      </c>
      <c r="B268" s="798" t="s">
        <v>553</v>
      </c>
      <c r="C268" s="798" t="s">
        <v>536</v>
      </c>
      <c r="D268" s="798" t="s">
        <v>230</v>
      </c>
      <c r="E268" s="798" t="s">
        <v>537</v>
      </c>
      <c r="F268" s="798" t="s">
        <v>230</v>
      </c>
      <c r="G268" s="798" t="s">
        <v>538</v>
      </c>
      <c r="H268" s="799" t="s">
        <v>1049</v>
      </c>
      <c r="I268" s="800" t="s">
        <v>1050</v>
      </c>
      <c r="J268" s="799" t="s">
        <v>1623</v>
      </c>
      <c r="K268" s="799" t="s">
        <v>1624</v>
      </c>
      <c r="L268" s="817" t="s">
        <v>1629</v>
      </c>
      <c r="M268" s="802" t="s">
        <v>1596</v>
      </c>
      <c r="N268" s="803"/>
      <c r="O268" s="803"/>
      <c r="P268" s="804"/>
      <c r="Q268" s="803"/>
      <c r="R268" s="818">
        <v>0</v>
      </c>
      <c r="S268" s="806" t="str">
        <f>IF(CampList[[#This Row],[HH]]&gt;0,CampList[[#This Row],[Total]]/CampList[[#This Row],[HH]],"NA")</f>
        <v>NA</v>
      </c>
      <c r="T268" s="823" t="s">
        <v>511</v>
      </c>
      <c r="U268" s="808" t="s">
        <v>1191</v>
      </c>
      <c r="V268" s="807" t="s">
        <v>554</v>
      </c>
      <c r="W268" s="807" t="s">
        <v>803</v>
      </c>
      <c r="X268" s="809"/>
      <c r="Y268" s="804"/>
      <c r="Z268" s="804"/>
      <c r="AA268" s="803"/>
      <c r="AB268" s="803"/>
      <c r="AC268" s="810">
        <v>42752</v>
      </c>
      <c r="AD268" s="811" t="s">
        <v>1608</v>
      </c>
      <c r="AE268" s="812"/>
      <c r="AF268" s="813">
        <f>IF(CampList[[#This Row],[Type of Accomodation]]="camp",MAX(0,CampList[[#This Row],[HH]]-SUMIF(Table_Shelter[Pcode],CampList[[#This Row],[CP_Pcode]],Table_Shelter[HH Covered])),0)</f>
        <v>0</v>
      </c>
      <c r="AG268" s="807"/>
      <c r="AH268" s="814">
        <f>MIN(CampList[[#This Row],[Shelter Gap]],CampList[[#This Row],[Land Status]])</f>
        <v>0</v>
      </c>
      <c r="AI268" s="813" t="str">
        <f ca="1">IFERROR(OFFSET(DistanceToCamp[Nearest Town],MATCH(CampList[[#This Row],[CP_Pcode]],DistanceToCamp[CP_Pcode],0)-1,0,1,1),"")</f>
        <v/>
      </c>
      <c r="AJ268" s="815" t="str">
        <f ca="1">IFERROR(OFFSET(DistanceToCamp[distance],MATCH(CampList[[#This Row],[CP_Pcode]],DistanceToCamp[CP_Pcode],0)-1,0,1,1),"")</f>
        <v/>
      </c>
      <c r="AK268" s="816" t="str">
        <f ca="1">IFERROR(INT(CampList[[#This Row],[Distance]]/5)+1,"")</f>
        <v/>
      </c>
    </row>
    <row r="269" spans="1:51" ht="15.75" hidden="1" customHeight="1" x14ac:dyDescent="0.25">
      <c r="A269" s="797" t="s">
        <v>843</v>
      </c>
      <c r="B269" s="798" t="s">
        <v>553</v>
      </c>
      <c r="C269" s="798" t="s">
        <v>536</v>
      </c>
      <c r="D269" s="798" t="s">
        <v>230</v>
      </c>
      <c r="E269" s="798" t="s">
        <v>537</v>
      </c>
      <c r="F269" s="798" t="s">
        <v>230</v>
      </c>
      <c r="G269" s="798" t="s">
        <v>538</v>
      </c>
      <c r="H269" s="799" t="s">
        <v>1049</v>
      </c>
      <c r="I269" s="800" t="s">
        <v>1050</v>
      </c>
      <c r="J269" s="799" t="s">
        <v>1625</v>
      </c>
      <c r="K269" s="799" t="s">
        <v>1626</v>
      </c>
      <c r="L269" s="817" t="s">
        <v>1630</v>
      </c>
      <c r="M269" s="802" t="s">
        <v>1597</v>
      </c>
      <c r="N269" s="803"/>
      <c r="O269" s="803"/>
      <c r="P269" s="804"/>
      <c r="Q269" s="803"/>
      <c r="R269" s="818">
        <v>0</v>
      </c>
      <c r="S269" s="806" t="str">
        <f>IF(CampList[[#This Row],[HH]]&gt;0,CampList[[#This Row],[Total]]/CampList[[#This Row],[HH]],"NA")</f>
        <v>NA</v>
      </c>
      <c r="T269" s="823" t="s">
        <v>511</v>
      </c>
      <c r="U269" s="808" t="s">
        <v>1191</v>
      </c>
      <c r="V269" s="807" t="s">
        <v>554</v>
      </c>
      <c r="W269" s="807" t="s">
        <v>803</v>
      </c>
      <c r="X269" s="809"/>
      <c r="Y269" s="804"/>
      <c r="Z269" s="804"/>
      <c r="AA269" s="803"/>
      <c r="AB269" s="803"/>
      <c r="AC269" s="810">
        <v>42752</v>
      </c>
      <c r="AD269" s="811" t="s">
        <v>1608</v>
      </c>
      <c r="AE269" s="812"/>
      <c r="AF269" s="813">
        <f>IF(CampList[[#This Row],[Type of Accomodation]]="camp",MAX(0,CampList[[#This Row],[HH]]-SUMIF(Table_Shelter[Pcode],CampList[[#This Row],[CP_Pcode]],Table_Shelter[HH Covered])),0)</f>
        <v>0</v>
      </c>
      <c r="AG269" s="807"/>
      <c r="AH269" s="814">
        <f>MIN(CampList[[#This Row],[Shelter Gap]],CampList[[#This Row],[Land Status]])</f>
        <v>0</v>
      </c>
      <c r="AI269" s="813" t="str">
        <f ca="1">IFERROR(OFFSET(DistanceToCamp[Nearest Town],MATCH(CampList[[#This Row],[CP_Pcode]],DistanceToCamp[CP_Pcode],0)-1,0,1,1),"")</f>
        <v/>
      </c>
      <c r="AJ269" s="815" t="str">
        <f ca="1">IFERROR(OFFSET(DistanceToCamp[distance],MATCH(CampList[[#This Row],[CP_Pcode]],DistanceToCamp[CP_Pcode],0)-1,0,1,1),"")</f>
        <v/>
      </c>
      <c r="AK269" s="816" t="str">
        <f ca="1">IFERROR(INT(CampList[[#This Row],[Distance]]/5)+1,"")</f>
        <v/>
      </c>
    </row>
    <row r="270" spans="1:51" ht="15.75" customHeight="1" x14ac:dyDescent="0.25">
      <c r="A270" s="797" t="s">
        <v>500</v>
      </c>
      <c r="B270" s="798" t="s">
        <v>553</v>
      </c>
      <c r="C270" s="798" t="s">
        <v>536</v>
      </c>
      <c r="D270" s="798" t="s">
        <v>230</v>
      </c>
      <c r="E270" s="798" t="s">
        <v>537</v>
      </c>
      <c r="F270" s="798" t="s">
        <v>230</v>
      </c>
      <c r="G270" s="798" t="s">
        <v>538</v>
      </c>
      <c r="H270" s="799"/>
      <c r="I270" s="800"/>
      <c r="J270" s="799"/>
      <c r="K270" s="799"/>
      <c r="L270" s="817" t="s">
        <v>1620</v>
      </c>
      <c r="M270" s="802" t="s">
        <v>1598</v>
      </c>
      <c r="N270" s="803"/>
      <c r="O270" s="803"/>
      <c r="P270" s="804"/>
      <c r="Q270" s="803"/>
      <c r="R270" s="818">
        <v>134</v>
      </c>
      <c r="S270" s="806" t="str">
        <f>IF(CampList[[#This Row],[HH]]&gt;0,CampList[[#This Row],[Total]]/CampList[[#This Row],[HH]],"NA")</f>
        <v>NA</v>
      </c>
      <c r="T270" s="823" t="s">
        <v>511</v>
      </c>
      <c r="U270" s="808" t="s">
        <v>1191</v>
      </c>
      <c r="V270" s="807" t="s">
        <v>554</v>
      </c>
      <c r="W270" s="807"/>
      <c r="X270" s="809"/>
      <c r="Y270" s="804"/>
      <c r="Z270" s="804"/>
      <c r="AA270" s="803"/>
      <c r="AB270" s="803"/>
      <c r="AC270" s="810">
        <v>42752</v>
      </c>
      <c r="AD270" s="811" t="s">
        <v>1608</v>
      </c>
      <c r="AE270" s="812"/>
      <c r="AF270" s="813">
        <f>IF(CampList[[#This Row],[Type of Accomodation]]="camp",MAX(0,CampList[[#This Row],[HH]]-SUMIF(Table_Shelter[Pcode],CampList[[#This Row],[CP_Pcode]],Table_Shelter[HH Covered])),0)</f>
        <v>0</v>
      </c>
      <c r="AG270" s="807"/>
      <c r="AH270" s="814">
        <f>MIN(CampList[[#This Row],[Shelter Gap]],CampList[[#This Row],[Land Status]])</f>
        <v>0</v>
      </c>
      <c r="AI270" s="813" t="str">
        <f ca="1">IFERROR(OFFSET(DistanceToCamp[Nearest Town],MATCH(CampList[[#This Row],[CP_Pcode]],DistanceToCamp[CP_Pcode],0)-1,0,1,1),"")</f>
        <v/>
      </c>
      <c r="AJ270" s="815" t="str">
        <f ca="1">IFERROR(OFFSET(DistanceToCamp[distance],MATCH(CampList[[#This Row],[CP_Pcode]],DistanceToCamp[CP_Pcode],0)-1,0,1,1),"")</f>
        <v/>
      </c>
      <c r="AK270" s="816" t="str">
        <f ca="1">IFERROR(INT(CampList[[#This Row],[Distance]]/5)+1,"")</f>
        <v/>
      </c>
    </row>
    <row r="271" spans="1:51" ht="15.75" customHeight="1" x14ac:dyDescent="0.25">
      <c r="A271" s="797" t="s">
        <v>500</v>
      </c>
      <c r="B271" s="798" t="s">
        <v>553</v>
      </c>
      <c r="C271" s="798" t="s">
        <v>536</v>
      </c>
      <c r="D271" s="798" t="s">
        <v>230</v>
      </c>
      <c r="E271" s="798" t="s">
        <v>537</v>
      </c>
      <c r="F271" s="798" t="s">
        <v>230</v>
      </c>
      <c r="G271" s="798" t="s">
        <v>538</v>
      </c>
      <c r="H271" s="799" t="s">
        <v>1049</v>
      </c>
      <c r="I271" s="800" t="s">
        <v>1050</v>
      </c>
      <c r="J271" s="799" t="s">
        <v>1627</v>
      </c>
      <c r="K271" s="799" t="s">
        <v>1628</v>
      </c>
      <c r="L271" s="817" t="s">
        <v>1631</v>
      </c>
      <c r="M271" s="802" t="s">
        <v>1599</v>
      </c>
      <c r="N271" s="803"/>
      <c r="O271" s="803"/>
      <c r="P271" s="804"/>
      <c r="Q271" s="803"/>
      <c r="R271" s="818">
        <v>46</v>
      </c>
      <c r="S271" s="806" t="str">
        <f>IF(CampList[[#This Row],[HH]]&gt;0,CampList[[#This Row],[Total]]/CampList[[#This Row],[HH]],"NA")</f>
        <v>NA</v>
      </c>
      <c r="T271" s="823" t="s">
        <v>511</v>
      </c>
      <c r="U271" s="808" t="s">
        <v>1191</v>
      </c>
      <c r="V271" s="807" t="s">
        <v>554</v>
      </c>
      <c r="W271" s="807" t="s">
        <v>803</v>
      </c>
      <c r="X271" s="809"/>
      <c r="Y271" s="804"/>
      <c r="Z271" s="804"/>
      <c r="AA271" s="803"/>
      <c r="AB271" s="803"/>
      <c r="AC271" s="810">
        <v>42752</v>
      </c>
      <c r="AD271" s="811" t="s">
        <v>1608</v>
      </c>
      <c r="AE271" s="812"/>
      <c r="AF271" s="813">
        <f>IF(CampList[[#This Row],[Type of Accomodation]]="camp",MAX(0,CampList[[#This Row],[HH]]-SUMIF(Table_Shelter[Pcode],CampList[[#This Row],[CP_Pcode]],Table_Shelter[HH Covered])),0)</f>
        <v>0</v>
      </c>
      <c r="AG271" s="807"/>
      <c r="AH271" s="814">
        <f>MIN(CampList[[#This Row],[Shelter Gap]],CampList[[#This Row],[Land Status]])</f>
        <v>0</v>
      </c>
      <c r="AI271" s="813" t="str">
        <f ca="1">IFERROR(OFFSET(DistanceToCamp[Nearest Town],MATCH(CampList[[#This Row],[CP_Pcode]],DistanceToCamp[CP_Pcode],0)-1,0,1,1),"")</f>
        <v/>
      </c>
      <c r="AJ271" s="815" t="str">
        <f ca="1">IFERROR(OFFSET(DistanceToCamp[distance],MATCH(CampList[[#This Row],[CP_Pcode]],DistanceToCamp[CP_Pcode],0)-1,0,1,1),"")</f>
        <v/>
      </c>
      <c r="AK271" s="816" t="str">
        <f ca="1">IFERROR(INT(CampList[[#This Row],[Distance]]/5)+1,"")</f>
        <v/>
      </c>
    </row>
    <row r="272" spans="1:51" ht="15.75" customHeight="1" x14ac:dyDescent="0.25">
      <c r="A272" s="797" t="s">
        <v>500</v>
      </c>
      <c r="B272" s="798" t="s">
        <v>553</v>
      </c>
      <c r="C272" s="798" t="s">
        <v>536</v>
      </c>
      <c r="D272" s="798" t="s">
        <v>230</v>
      </c>
      <c r="E272" s="798" t="s">
        <v>537</v>
      </c>
      <c r="F272" s="798" t="s">
        <v>230</v>
      </c>
      <c r="G272" s="798" t="s">
        <v>538</v>
      </c>
      <c r="H272" s="799" t="s">
        <v>1632</v>
      </c>
      <c r="I272" s="800" t="s">
        <v>1633</v>
      </c>
      <c r="J272" s="799" t="s">
        <v>1634</v>
      </c>
      <c r="K272" s="799">
        <v>208003</v>
      </c>
      <c r="L272" s="817" t="s">
        <v>1635</v>
      </c>
      <c r="M272" s="802" t="s">
        <v>1600</v>
      </c>
      <c r="N272" s="803"/>
      <c r="O272" s="803"/>
      <c r="P272" s="804"/>
      <c r="Q272" s="803"/>
      <c r="R272" s="818">
        <v>8</v>
      </c>
      <c r="S272" s="806" t="str">
        <f>IF(CampList[[#This Row],[HH]]&gt;0,CampList[[#This Row],[Total]]/CampList[[#This Row],[HH]],"NA")</f>
        <v>NA</v>
      </c>
      <c r="T272" s="823" t="s">
        <v>511</v>
      </c>
      <c r="U272" s="808" t="s">
        <v>1191</v>
      </c>
      <c r="V272" s="807" t="s">
        <v>554</v>
      </c>
      <c r="W272" s="807" t="s">
        <v>856</v>
      </c>
      <c r="X272" s="809"/>
      <c r="Y272" s="804"/>
      <c r="Z272" s="804"/>
      <c r="AA272" s="803"/>
      <c r="AB272" s="803"/>
      <c r="AC272" s="810">
        <v>42752</v>
      </c>
      <c r="AD272" s="811" t="s">
        <v>1608</v>
      </c>
      <c r="AE272" s="812"/>
      <c r="AF272" s="813">
        <f>IF(CampList[[#This Row],[Type of Accomodation]]="camp",MAX(0,CampList[[#This Row],[HH]]-SUMIF(Table_Shelter[Pcode],CampList[[#This Row],[CP_Pcode]],Table_Shelter[HH Covered])),0)</f>
        <v>0</v>
      </c>
      <c r="AG272" s="807"/>
      <c r="AH272" s="814">
        <f>MIN(CampList[[#This Row],[Shelter Gap]],CampList[[#This Row],[Land Status]])</f>
        <v>0</v>
      </c>
      <c r="AI272" s="813" t="str">
        <f ca="1">IFERROR(OFFSET(DistanceToCamp[Nearest Town],MATCH(CampList[[#This Row],[CP_Pcode]],DistanceToCamp[CP_Pcode],0)-1,0,1,1),"")</f>
        <v/>
      </c>
      <c r="AJ272" s="815" t="str">
        <f ca="1">IFERROR(OFFSET(DistanceToCamp[distance],MATCH(CampList[[#This Row],[CP_Pcode]],DistanceToCamp[CP_Pcode],0)-1,0,1,1),"")</f>
        <v/>
      </c>
      <c r="AK272" s="816" t="str">
        <f ca="1">IFERROR(INT(CampList[[#This Row],[Distance]]/5)+1,"")</f>
        <v/>
      </c>
    </row>
    <row r="273" spans="1:37" ht="15.75" customHeight="1" x14ac:dyDescent="0.25">
      <c r="A273" s="797" t="s">
        <v>500</v>
      </c>
      <c r="B273" s="798" t="s">
        <v>553</v>
      </c>
      <c r="C273" s="798" t="s">
        <v>536</v>
      </c>
      <c r="D273" s="798" t="s">
        <v>230</v>
      </c>
      <c r="E273" s="798" t="s">
        <v>537</v>
      </c>
      <c r="F273" s="798" t="s">
        <v>230</v>
      </c>
      <c r="G273" s="798" t="s">
        <v>538</v>
      </c>
      <c r="H273" s="799" t="s">
        <v>1049</v>
      </c>
      <c r="I273" s="800" t="s">
        <v>1050</v>
      </c>
      <c r="J273" s="799" t="s">
        <v>1051</v>
      </c>
      <c r="K273" s="799" t="s">
        <v>1052</v>
      </c>
      <c r="L273" s="817" t="s">
        <v>1613</v>
      </c>
      <c r="M273" s="802" t="s">
        <v>1601</v>
      </c>
      <c r="N273" s="803"/>
      <c r="O273" s="803"/>
      <c r="P273" s="804"/>
      <c r="Q273" s="803"/>
      <c r="R273" s="818">
        <v>44</v>
      </c>
      <c r="S273" s="806" t="str">
        <f>IF(CampList[[#This Row],[HH]]&gt;0,CampList[[#This Row],[Total]]/CampList[[#This Row],[HH]],"NA")</f>
        <v>NA</v>
      </c>
      <c r="T273" s="823" t="s">
        <v>511</v>
      </c>
      <c r="U273" s="808" t="s">
        <v>1191</v>
      </c>
      <c r="V273" s="807" t="s">
        <v>554</v>
      </c>
      <c r="W273" s="807" t="s">
        <v>803</v>
      </c>
      <c r="X273" s="809"/>
      <c r="Y273" s="804"/>
      <c r="Z273" s="804"/>
      <c r="AA273" s="803"/>
      <c r="AB273" s="803"/>
      <c r="AC273" s="810">
        <v>42752</v>
      </c>
      <c r="AD273" s="811" t="s">
        <v>1608</v>
      </c>
      <c r="AE273" s="812"/>
      <c r="AF273" s="813">
        <f>IF(CampList[[#This Row],[Type of Accomodation]]="camp",MAX(0,CampList[[#This Row],[HH]]-SUMIF(Table_Shelter[Pcode],CampList[[#This Row],[CP_Pcode]],Table_Shelter[HH Covered])),0)</f>
        <v>0</v>
      </c>
      <c r="AG273" s="807"/>
      <c r="AH273" s="814">
        <f>MIN(CampList[[#This Row],[Shelter Gap]],CampList[[#This Row],[Land Status]])</f>
        <v>0</v>
      </c>
      <c r="AI273" s="813" t="str">
        <f ca="1">IFERROR(OFFSET(DistanceToCamp[Nearest Town],MATCH(CampList[[#This Row],[CP_Pcode]],DistanceToCamp[CP_Pcode],0)-1,0,1,1),"")</f>
        <v/>
      </c>
      <c r="AJ273" s="815" t="str">
        <f ca="1">IFERROR(OFFSET(DistanceToCamp[distance],MATCH(CampList[[#This Row],[CP_Pcode]],DistanceToCamp[CP_Pcode],0)-1,0,1,1),"")</f>
        <v/>
      </c>
      <c r="AK273" s="816" t="str">
        <f ca="1">IFERROR(INT(CampList[[#This Row],[Distance]]/5)+1,"")</f>
        <v/>
      </c>
    </row>
    <row r="274" spans="1:37" ht="15.75" hidden="1" customHeight="1" x14ac:dyDescent="0.25">
      <c r="A274" s="797" t="s">
        <v>843</v>
      </c>
      <c r="B274" s="798" t="s">
        <v>553</v>
      </c>
      <c r="C274" s="798" t="s">
        <v>536</v>
      </c>
      <c r="D274" s="798" t="s">
        <v>230</v>
      </c>
      <c r="E274" s="798" t="s">
        <v>537</v>
      </c>
      <c r="F274" s="798" t="s">
        <v>230</v>
      </c>
      <c r="G274" s="798" t="s">
        <v>538</v>
      </c>
      <c r="H274" s="799" t="s">
        <v>1049</v>
      </c>
      <c r="I274" s="800" t="s">
        <v>1050</v>
      </c>
      <c r="J274" s="799"/>
      <c r="K274" s="799"/>
      <c r="L274" s="817" t="s">
        <v>1614</v>
      </c>
      <c r="M274" s="802" t="s">
        <v>1602</v>
      </c>
      <c r="N274" s="803"/>
      <c r="O274" s="803"/>
      <c r="P274" s="804"/>
      <c r="Q274" s="803"/>
      <c r="R274" s="818">
        <v>0</v>
      </c>
      <c r="S274" s="806" t="str">
        <f>IF(CampList[[#This Row],[HH]]&gt;0,CampList[[#This Row],[Total]]/CampList[[#This Row],[HH]],"NA")</f>
        <v>NA</v>
      </c>
      <c r="T274" s="823" t="s">
        <v>511</v>
      </c>
      <c r="U274" s="808" t="s">
        <v>1191</v>
      </c>
      <c r="V274" s="807" t="s">
        <v>554</v>
      </c>
      <c r="W274" s="807"/>
      <c r="X274" s="809"/>
      <c r="Y274" s="804"/>
      <c r="Z274" s="804"/>
      <c r="AA274" s="803"/>
      <c r="AB274" s="803"/>
      <c r="AC274" s="810">
        <v>42752</v>
      </c>
      <c r="AD274" s="811" t="s">
        <v>1608</v>
      </c>
      <c r="AE274" s="812"/>
      <c r="AF274" s="813">
        <f>IF(CampList[[#This Row],[Type of Accomodation]]="camp",MAX(0,CampList[[#This Row],[HH]]-SUMIF(Table_Shelter[Pcode],CampList[[#This Row],[CP_Pcode]],Table_Shelter[HH Covered])),0)</f>
        <v>0</v>
      </c>
      <c r="AG274" s="807"/>
      <c r="AH274" s="814">
        <f>MIN(CampList[[#This Row],[Shelter Gap]],CampList[[#This Row],[Land Status]])</f>
        <v>0</v>
      </c>
      <c r="AI274" s="813" t="str">
        <f ca="1">IFERROR(OFFSET(DistanceToCamp[Nearest Town],MATCH(CampList[[#This Row],[CP_Pcode]],DistanceToCamp[CP_Pcode],0)-1,0,1,1),"")</f>
        <v/>
      </c>
      <c r="AJ274" s="815" t="str">
        <f ca="1">IFERROR(OFFSET(DistanceToCamp[distance],MATCH(CampList[[#This Row],[CP_Pcode]],DistanceToCamp[CP_Pcode],0)-1,0,1,1),"")</f>
        <v/>
      </c>
      <c r="AK274" s="816" t="str">
        <f ca="1">IFERROR(INT(CampList[[#This Row],[Distance]]/5)+1,"")</f>
        <v/>
      </c>
    </row>
    <row r="275" spans="1:37" ht="15.75" customHeight="1" x14ac:dyDescent="0.25">
      <c r="A275" s="797" t="s">
        <v>500</v>
      </c>
      <c r="B275" s="798" t="s">
        <v>553</v>
      </c>
      <c r="C275" s="798" t="s">
        <v>536</v>
      </c>
      <c r="D275" s="798" t="s">
        <v>230</v>
      </c>
      <c r="E275" s="798" t="s">
        <v>537</v>
      </c>
      <c r="F275" s="798" t="s">
        <v>230</v>
      </c>
      <c r="G275" s="798" t="s">
        <v>538</v>
      </c>
      <c r="H275" s="799" t="s">
        <v>1049</v>
      </c>
      <c r="I275" s="800" t="s">
        <v>1050</v>
      </c>
      <c r="J275" s="799" t="s">
        <v>1051</v>
      </c>
      <c r="K275" s="799" t="s">
        <v>1052</v>
      </c>
      <c r="L275" s="817" t="s">
        <v>1615</v>
      </c>
      <c r="M275" s="802" t="s">
        <v>1603</v>
      </c>
      <c r="N275" s="803"/>
      <c r="O275" s="803"/>
      <c r="P275" s="804"/>
      <c r="Q275" s="803"/>
      <c r="R275" s="818">
        <v>150</v>
      </c>
      <c r="S275" s="806" t="str">
        <f>IF(CampList[[#This Row],[HH]]&gt;0,CampList[[#This Row],[Total]]/CampList[[#This Row],[HH]],"NA")</f>
        <v>NA</v>
      </c>
      <c r="T275" s="823" t="s">
        <v>511</v>
      </c>
      <c r="U275" s="808" t="s">
        <v>1191</v>
      </c>
      <c r="V275" s="807" t="s">
        <v>554</v>
      </c>
      <c r="W275" s="807" t="s">
        <v>803</v>
      </c>
      <c r="X275" s="809"/>
      <c r="Y275" s="804"/>
      <c r="Z275" s="804"/>
      <c r="AA275" s="803"/>
      <c r="AB275" s="803"/>
      <c r="AC275" s="810">
        <v>42752</v>
      </c>
      <c r="AD275" s="811" t="s">
        <v>1608</v>
      </c>
      <c r="AE275" s="812"/>
      <c r="AF275" s="813">
        <f>IF(CampList[[#This Row],[Type of Accomodation]]="camp",MAX(0,CampList[[#This Row],[HH]]-SUMIF(Table_Shelter[Pcode],CampList[[#This Row],[CP_Pcode]],Table_Shelter[HH Covered])),0)</f>
        <v>0</v>
      </c>
      <c r="AG275" s="807"/>
      <c r="AH275" s="814">
        <f>MIN(CampList[[#This Row],[Shelter Gap]],CampList[[#This Row],[Land Status]])</f>
        <v>0</v>
      </c>
      <c r="AI275" s="813" t="str">
        <f ca="1">IFERROR(OFFSET(DistanceToCamp[Nearest Town],MATCH(CampList[[#This Row],[CP_Pcode]],DistanceToCamp[CP_Pcode],0)-1,0,1,1),"")</f>
        <v/>
      </c>
      <c r="AJ275" s="815" t="str">
        <f ca="1">IFERROR(OFFSET(DistanceToCamp[distance],MATCH(CampList[[#This Row],[CP_Pcode]],DistanceToCamp[CP_Pcode],0)-1,0,1,1),"")</f>
        <v/>
      </c>
      <c r="AK275" s="816" t="str">
        <f ca="1">IFERROR(INT(CampList[[#This Row],[Distance]]/5)+1,"")</f>
        <v/>
      </c>
    </row>
    <row r="276" spans="1:37" ht="15.75" customHeight="1" x14ac:dyDescent="0.25">
      <c r="A276" s="797" t="s">
        <v>500</v>
      </c>
      <c r="B276" s="798" t="s">
        <v>553</v>
      </c>
      <c r="C276" s="798" t="s">
        <v>536</v>
      </c>
      <c r="D276" s="798" t="s">
        <v>230</v>
      </c>
      <c r="E276" s="798" t="s">
        <v>537</v>
      </c>
      <c r="F276" s="798" t="s">
        <v>230</v>
      </c>
      <c r="G276" s="798" t="s">
        <v>538</v>
      </c>
      <c r="H276" s="799" t="s">
        <v>1049</v>
      </c>
      <c r="I276" s="800" t="s">
        <v>1050</v>
      </c>
      <c r="J276" s="799" t="s">
        <v>1051</v>
      </c>
      <c r="K276" s="799" t="s">
        <v>1052</v>
      </c>
      <c r="L276" s="817" t="s">
        <v>1616</v>
      </c>
      <c r="M276" s="802" t="s">
        <v>1604</v>
      </c>
      <c r="N276" s="803"/>
      <c r="O276" s="803"/>
      <c r="P276" s="804"/>
      <c r="Q276" s="803"/>
      <c r="R276" s="818">
        <v>11</v>
      </c>
      <c r="S276" s="806" t="str">
        <f>IF(CampList[[#This Row],[HH]]&gt;0,CampList[[#This Row],[Total]]/CampList[[#This Row],[HH]],"NA")</f>
        <v>NA</v>
      </c>
      <c r="T276" s="823" t="s">
        <v>511</v>
      </c>
      <c r="U276" s="808" t="s">
        <v>1191</v>
      </c>
      <c r="V276" s="807" t="s">
        <v>554</v>
      </c>
      <c r="W276" s="807" t="s">
        <v>803</v>
      </c>
      <c r="X276" s="809"/>
      <c r="Y276" s="804"/>
      <c r="Z276" s="804"/>
      <c r="AA276" s="803"/>
      <c r="AB276" s="803"/>
      <c r="AC276" s="810">
        <v>42752</v>
      </c>
      <c r="AD276" s="811" t="s">
        <v>1608</v>
      </c>
      <c r="AE276" s="812"/>
      <c r="AF276" s="813">
        <f>IF(CampList[[#This Row],[Type of Accomodation]]="camp",MAX(0,CampList[[#This Row],[HH]]-SUMIF(Table_Shelter[Pcode],CampList[[#This Row],[CP_Pcode]],Table_Shelter[HH Covered])),0)</f>
        <v>0</v>
      </c>
      <c r="AG276" s="807"/>
      <c r="AH276" s="814">
        <f>MIN(CampList[[#This Row],[Shelter Gap]],CampList[[#This Row],[Land Status]])</f>
        <v>0</v>
      </c>
      <c r="AI276" s="813" t="str">
        <f ca="1">IFERROR(OFFSET(DistanceToCamp[Nearest Town],MATCH(CampList[[#This Row],[CP_Pcode]],DistanceToCamp[CP_Pcode],0)-1,0,1,1),"")</f>
        <v/>
      </c>
      <c r="AJ276" s="815" t="str">
        <f ca="1">IFERROR(OFFSET(DistanceToCamp[distance],MATCH(CampList[[#This Row],[CP_Pcode]],DistanceToCamp[CP_Pcode],0)-1,0,1,1),"")</f>
        <v/>
      </c>
      <c r="AK276" s="816" t="str">
        <f ca="1">IFERROR(INT(CampList[[#This Row],[Distance]]/5)+1,"")</f>
        <v/>
      </c>
    </row>
    <row r="277" spans="1:37" ht="15.75" customHeight="1" x14ac:dyDescent="0.25">
      <c r="A277" s="797" t="s">
        <v>500</v>
      </c>
      <c r="B277" s="798" t="s">
        <v>553</v>
      </c>
      <c r="C277" s="798" t="s">
        <v>536</v>
      </c>
      <c r="D277" s="798" t="s">
        <v>230</v>
      </c>
      <c r="E277" s="798" t="s">
        <v>537</v>
      </c>
      <c r="F277" s="798" t="s">
        <v>230</v>
      </c>
      <c r="G277" s="798" t="s">
        <v>538</v>
      </c>
      <c r="H277" s="799"/>
      <c r="I277" s="800"/>
      <c r="J277" s="799"/>
      <c r="K277" s="799"/>
      <c r="L277" s="817" t="s">
        <v>1617</v>
      </c>
      <c r="M277" s="802" t="s">
        <v>1605</v>
      </c>
      <c r="N277" s="803"/>
      <c r="O277" s="803"/>
      <c r="P277" s="804"/>
      <c r="Q277" s="803"/>
      <c r="R277" s="819">
        <v>304</v>
      </c>
      <c r="S277" s="806" t="str">
        <f>IF(CampList[[#This Row],[HH]]&gt;0,CampList[[#This Row],[Total]]/CampList[[#This Row],[HH]],"NA")</f>
        <v>NA</v>
      </c>
      <c r="T277" s="823" t="s">
        <v>511</v>
      </c>
      <c r="U277" s="808" t="s">
        <v>1191</v>
      </c>
      <c r="V277" s="807" t="s">
        <v>554</v>
      </c>
      <c r="W277" s="807"/>
      <c r="X277" s="809"/>
      <c r="Y277" s="804"/>
      <c r="Z277" s="804"/>
      <c r="AA277" s="803"/>
      <c r="AB277" s="803"/>
      <c r="AC277" s="810">
        <v>42752</v>
      </c>
      <c r="AD277" s="811" t="s">
        <v>1608</v>
      </c>
      <c r="AE277" s="812"/>
      <c r="AF277" s="813">
        <f>IF(CampList[[#This Row],[Type of Accomodation]]="camp",MAX(0,CampList[[#This Row],[HH]]-SUMIF(Table_Shelter[Pcode],CampList[[#This Row],[CP_Pcode]],Table_Shelter[HH Covered])),0)</f>
        <v>0</v>
      </c>
      <c r="AG277" s="807"/>
      <c r="AH277" s="814">
        <f>MIN(CampList[[#This Row],[Shelter Gap]],CampList[[#This Row],[Land Status]])</f>
        <v>0</v>
      </c>
      <c r="AI277" s="813" t="str">
        <f ca="1">IFERROR(OFFSET(DistanceToCamp[Nearest Town],MATCH(CampList[[#This Row],[CP_Pcode]],DistanceToCamp[CP_Pcode],0)-1,0,1,1),"")</f>
        <v/>
      </c>
      <c r="AJ277" s="815" t="str">
        <f ca="1">IFERROR(OFFSET(DistanceToCamp[distance],MATCH(CampList[[#This Row],[CP_Pcode]],DistanceToCamp[CP_Pcode],0)-1,0,1,1),"")</f>
        <v/>
      </c>
      <c r="AK277" s="816" t="str">
        <f ca="1">IFERROR(INT(CampList[[#This Row],[Distance]]/5)+1,"")</f>
        <v/>
      </c>
    </row>
    <row r="278" spans="1:37" ht="15.75" customHeight="1" x14ac:dyDescent="0.25">
      <c r="A278" s="797" t="s">
        <v>500</v>
      </c>
      <c r="B278" s="798" t="s">
        <v>553</v>
      </c>
      <c r="C278" s="798" t="s">
        <v>536</v>
      </c>
      <c r="D278" s="798" t="s">
        <v>541</v>
      </c>
      <c r="E278" s="798" t="s">
        <v>542</v>
      </c>
      <c r="F278" s="798" t="s">
        <v>1621</v>
      </c>
      <c r="G278" s="798" t="s">
        <v>1622</v>
      </c>
      <c r="H278" s="799" t="s">
        <v>1637</v>
      </c>
      <c r="I278" s="800" t="s">
        <v>1638</v>
      </c>
      <c r="J278" s="799" t="s">
        <v>1636</v>
      </c>
      <c r="K278" s="799">
        <v>209986</v>
      </c>
      <c r="L278" s="817" t="s">
        <v>1618</v>
      </c>
      <c r="M278" s="802" t="s">
        <v>1606</v>
      </c>
      <c r="N278" s="803"/>
      <c r="O278" s="803"/>
      <c r="P278" s="804"/>
      <c r="Q278" s="803">
        <v>37</v>
      </c>
      <c r="R278" s="819">
        <v>120</v>
      </c>
      <c r="S278" s="806">
        <f>IF(CampList[[#This Row],[HH]]&gt;0,CampList[[#This Row],[Total]]/CampList[[#This Row],[HH]],"NA")</f>
        <v>3.2432432432432434</v>
      </c>
      <c r="T278" s="823" t="s">
        <v>511</v>
      </c>
      <c r="U278" s="808" t="s">
        <v>1191</v>
      </c>
      <c r="V278" s="807" t="s">
        <v>554</v>
      </c>
      <c r="W278" s="807" t="s">
        <v>856</v>
      </c>
      <c r="X278" s="809"/>
      <c r="Y278" s="804"/>
      <c r="Z278" s="804"/>
      <c r="AA278" s="803"/>
      <c r="AB278" s="803"/>
      <c r="AC278" s="810">
        <v>42752</v>
      </c>
      <c r="AD278" s="811" t="s">
        <v>1608</v>
      </c>
      <c r="AE278" s="812"/>
      <c r="AF278" s="813">
        <f>IF(CampList[[#This Row],[Type of Accomodation]]="camp",MAX(0,CampList[[#This Row],[HH]]-SUMIF(Table_Shelter[Pcode],CampList[[#This Row],[CP_Pcode]],Table_Shelter[HH Covered])),0)</f>
        <v>37</v>
      </c>
      <c r="AG278" s="807"/>
      <c r="AH278" s="814">
        <f>MIN(CampList[[#This Row],[Shelter Gap]],CampList[[#This Row],[Land Status]])</f>
        <v>37</v>
      </c>
      <c r="AI278" s="813" t="str">
        <f ca="1">IFERROR(OFFSET(DistanceToCamp[Nearest Town],MATCH(CampList[[#This Row],[CP_Pcode]],DistanceToCamp[CP_Pcode],0)-1,0,1,1),"")</f>
        <v/>
      </c>
      <c r="AJ278" s="815" t="str">
        <f ca="1">IFERROR(OFFSET(DistanceToCamp[distance],MATCH(CampList[[#This Row],[CP_Pcode]],DistanceToCamp[CP_Pcode],0)-1,0,1,1),"")</f>
        <v/>
      </c>
      <c r="AK278" s="816" t="str">
        <f ca="1">IFERROR(INT(CampList[[#This Row],[Distance]]/5)+1,"")</f>
        <v/>
      </c>
    </row>
    <row r="279" spans="1:37" ht="15.6" customHeight="1" x14ac:dyDescent="0.3">
      <c r="F279" s="796"/>
    </row>
  </sheetData>
  <sortState ref="A73:AK238">
    <sortCondition ref="G1:G1048576"/>
    <sortCondition ref="L1:L1048576"/>
  </sortState>
  <mergeCells count="1">
    <mergeCell ref="A3:C3"/>
  </mergeCells>
  <conditionalFormatting sqref="A117:A155 A5:A110">
    <cfRule type="cellIs" dxfId="2240" priority="79" operator="equal">
      <formula>"closed"</formula>
    </cfRule>
  </conditionalFormatting>
  <conditionalFormatting sqref="A111">
    <cfRule type="cellIs" dxfId="2239" priority="75" operator="equal">
      <formula>"closed"</formula>
    </cfRule>
  </conditionalFormatting>
  <conditionalFormatting sqref="A112">
    <cfRule type="cellIs" dxfId="2238" priority="74" operator="equal">
      <formula>"closed"</formula>
    </cfRule>
  </conditionalFormatting>
  <conditionalFormatting sqref="A113:A115">
    <cfRule type="cellIs" dxfId="2237" priority="73" operator="equal">
      <formula>"closed"</formula>
    </cfRule>
  </conditionalFormatting>
  <conditionalFormatting sqref="A116">
    <cfRule type="cellIs" dxfId="2236" priority="72" operator="equal">
      <formula>"closed"</formula>
    </cfRule>
  </conditionalFormatting>
  <conditionalFormatting sqref="AB1:AB3 AA4:AA155 AB214:AB1048576">
    <cfRule type="cellIs" dxfId="2235" priority="68" operator="equal">
      <formula>"RRD"</formula>
    </cfRule>
    <cfRule type="cellIs" dxfId="2234" priority="69" operator="equal">
      <formula>"IP"</formula>
    </cfRule>
    <cfRule type="cellIs" dxfId="2233" priority="70" operator="equal">
      <formula>"IRRC"</formula>
    </cfRule>
  </conditionalFormatting>
  <conditionalFormatting sqref="A156:A205">
    <cfRule type="cellIs" dxfId="2232" priority="48" operator="equal">
      <formula>"closed"</formula>
    </cfRule>
  </conditionalFormatting>
  <conditionalFormatting sqref="AA156:AA205">
    <cfRule type="cellIs" dxfId="2231" priority="45" operator="equal">
      <formula>"RRD"</formula>
    </cfRule>
    <cfRule type="cellIs" dxfId="2230" priority="46" operator="equal">
      <formula>"IP"</formula>
    </cfRule>
    <cfRule type="cellIs" dxfId="2229" priority="47" operator="equal">
      <formula>"IRRC"</formula>
    </cfRule>
  </conditionalFormatting>
  <conditionalFormatting sqref="A206">
    <cfRule type="cellIs" dxfId="2228" priority="44" operator="equal">
      <formula>"closed"</formula>
    </cfRule>
  </conditionalFormatting>
  <conditionalFormatting sqref="AA206">
    <cfRule type="cellIs" dxfId="2227" priority="41" operator="equal">
      <formula>"RRD"</formula>
    </cfRule>
    <cfRule type="cellIs" dxfId="2226" priority="42" operator="equal">
      <formula>"IP"</formula>
    </cfRule>
    <cfRule type="cellIs" dxfId="2225" priority="43" operator="equal">
      <formula>"IRRC"</formula>
    </cfRule>
  </conditionalFormatting>
  <conditionalFormatting sqref="AG5:AG213">
    <cfRule type="notContainsBlanks" dxfId="2224" priority="80">
      <formula>LEN(TRIM(AG5))&gt;0</formula>
    </cfRule>
  </conditionalFormatting>
  <conditionalFormatting sqref="AA208 AA210 AA212">
    <cfRule type="cellIs" dxfId="2223" priority="4" operator="equal">
      <formula>"RRD"</formula>
    </cfRule>
    <cfRule type="cellIs" dxfId="2222" priority="5" operator="equal">
      <formula>"IP"</formula>
    </cfRule>
    <cfRule type="cellIs" dxfId="2221" priority="6" operator="equal">
      <formula>"IRRC"</formula>
    </cfRule>
  </conditionalFormatting>
  <conditionalFormatting sqref="A207 A209 A211 A213">
    <cfRule type="cellIs" dxfId="2220" priority="11" operator="equal">
      <formula>"closed"</formula>
    </cfRule>
  </conditionalFormatting>
  <conditionalFormatting sqref="AA207 AA209 AA211 AA213">
    <cfRule type="cellIs" dxfId="2219" priority="8" operator="equal">
      <formula>"RRD"</formula>
    </cfRule>
    <cfRule type="cellIs" dxfId="2218" priority="9" operator="equal">
      <formula>"IP"</formula>
    </cfRule>
    <cfRule type="cellIs" dxfId="2217" priority="10" operator="equal">
      <formula>"IRRC"</formula>
    </cfRule>
  </conditionalFormatting>
  <conditionalFormatting sqref="A208 A210 A212">
    <cfRule type="cellIs" dxfId="2216" priority="7" operator="equal">
      <formula>"closed"</formula>
    </cfRule>
  </conditionalFormatting>
  <conditionalFormatting sqref="A237">
    <cfRule type="cellIs" dxfId="2215" priority="3" operator="equal">
      <formula>"closed"</formula>
    </cfRule>
  </conditionalFormatting>
  <conditionalFormatting sqref="A257:A261">
    <cfRule type="cellIs" dxfId="2214" priority="2" operator="equal">
      <formula>"closed"</formula>
    </cfRule>
  </conditionalFormatting>
  <pageMargins left="0.7" right="0.7" top="0.75" bottom="0.75" header="0.3" footer="0.3"/>
  <pageSetup scale="82"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containsText" priority="1" operator="containsText" id="{1070DF20-8AC9-49A6-9DCA-85B18B49670D}">
            <xm:f>NOT(ISERROR(SEARCH($A$268,A1)))</xm:f>
            <xm:f>$A$268</xm:f>
            <x14:dxf>
              <fill>
                <patternFill>
                  <bgColor rgb="FFFF0000"/>
                </patternFill>
              </fill>
            </x14:dxf>
          </x14:cfRule>
          <xm:sqref>A1:A1048576</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BJ101"/>
  <sheetViews>
    <sheetView showZeros="0" zoomScaleNormal="100" zoomScaleSheetLayoutView="80" workbookViewId="0">
      <selection activeCell="F13" sqref="F12:F18"/>
    </sheetView>
  </sheetViews>
  <sheetFormatPr defaultColWidth="11.42578125" defaultRowHeight="15" x14ac:dyDescent="0.25"/>
  <cols>
    <col min="1" max="1" width="2.42578125" style="92" customWidth="1"/>
    <col min="2" max="2" width="1.5703125" style="92" customWidth="1"/>
    <col min="3" max="3" width="12.28515625" style="27" customWidth="1"/>
    <col min="4" max="5" width="6.85546875" style="27" customWidth="1"/>
    <col min="6" max="6" width="9.140625" style="27" customWidth="1"/>
    <col min="7" max="7" width="9" style="27" customWidth="1"/>
    <col min="8" max="8" width="5.7109375" style="27" customWidth="1"/>
    <col min="9" max="10" width="6.85546875" style="27" customWidth="1"/>
    <col min="11" max="11" width="6.85546875" style="92" customWidth="1"/>
    <col min="12" max="12" width="17" style="27" customWidth="1"/>
    <col min="13" max="13" width="6.85546875" style="27" customWidth="1"/>
    <col min="14" max="14" width="7.42578125" style="27" customWidth="1"/>
    <col min="15" max="15" width="8" style="27" customWidth="1"/>
    <col min="16" max="16" width="6.85546875" style="27" customWidth="1"/>
    <col min="17" max="17" width="6.85546875" style="28" customWidth="1"/>
    <col min="18" max="19" width="6.85546875" style="92" customWidth="1"/>
    <col min="20" max="20" width="1.28515625" style="92" customWidth="1"/>
    <col min="21" max="21" width="5" style="92" customWidth="1"/>
    <col min="22" max="22" width="7.7109375" style="92" customWidth="1"/>
    <col min="23" max="23" width="6.7109375" style="92" hidden="1" customWidth="1"/>
    <col min="24" max="24" width="4.28515625" style="92" hidden="1" customWidth="1"/>
    <col min="25" max="25" width="7.140625" style="92" hidden="1" customWidth="1"/>
    <col min="26" max="26" width="6.140625" style="92" hidden="1" customWidth="1"/>
    <col min="27" max="27" width="5.42578125" style="92" hidden="1" customWidth="1"/>
    <col min="28" max="28" width="9.5703125" style="92" hidden="1" customWidth="1"/>
    <col min="29" max="29" width="11.5703125" style="92" hidden="1" customWidth="1"/>
    <col min="30" max="30" width="11.85546875" style="92" hidden="1" customWidth="1"/>
    <col min="31" max="31" width="3.28515625" style="92" hidden="1" customWidth="1"/>
    <col min="32" max="32" width="8.85546875" style="27" hidden="1" customWidth="1"/>
    <col min="33" max="33" width="12.28515625" style="27" customWidth="1"/>
    <col min="34" max="34" width="23.5703125" style="27" customWidth="1"/>
    <col min="35" max="259" width="11.42578125" style="27"/>
    <col min="260" max="260" width="5.28515625" style="27" customWidth="1"/>
    <col min="261" max="261" width="15.28515625" style="27" customWidth="1"/>
    <col min="262" max="262" width="14.42578125" style="27" bestFit="1" customWidth="1"/>
    <col min="263" max="263" width="10.42578125" style="27" bestFit="1" customWidth="1"/>
    <col min="264" max="264" width="12.28515625" style="27" customWidth="1"/>
    <col min="265" max="269" width="11.42578125" style="27" customWidth="1"/>
    <col min="270" max="271" width="10.5703125" style="27" bestFit="1" customWidth="1"/>
    <col min="272" max="273" width="11.42578125" style="27" customWidth="1"/>
    <col min="274" max="274" width="6.140625" style="27" customWidth="1"/>
    <col min="275" max="285" width="11.42578125" style="27" customWidth="1"/>
    <col min="286" max="515" width="11.42578125" style="27"/>
    <col min="516" max="516" width="5.28515625" style="27" customWidth="1"/>
    <col min="517" max="517" width="15.28515625" style="27" customWidth="1"/>
    <col min="518" max="518" width="14.42578125" style="27" bestFit="1" customWidth="1"/>
    <col min="519" max="519" width="10.42578125" style="27" bestFit="1" customWidth="1"/>
    <col min="520" max="520" width="12.28515625" style="27" customWidth="1"/>
    <col min="521" max="525" width="11.42578125" style="27" customWidth="1"/>
    <col min="526" max="527" width="10.5703125" style="27" bestFit="1" customWidth="1"/>
    <col min="528" max="529" width="11.42578125" style="27" customWidth="1"/>
    <col min="530" max="530" width="6.140625" style="27" customWidth="1"/>
    <col min="531" max="541" width="11.42578125" style="27" customWidth="1"/>
    <col min="542" max="771" width="11.42578125" style="27"/>
    <col min="772" max="772" width="5.28515625" style="27" customWidth="1"/>
    <col min="773" max="773" width="15.28515625" style="27" customWidth="1"/>
    <col min="774" max="774" width="14.42578125" style="27" bestFit="1" customWidth="1"/>
    <col min="775" max="775" width="10.42578125" style="27" bestFit="1" customWidth="1"/>
    <col min="776" max="776" width="12.28515625" style="27" customWidth="1"/>
    <col min="777" max="781" width="11.42578125" style="27" customWidth="1"/>
    <col min="782" max="783" width="10.5703125" style="27" bestFit="1" customWidth="1"/>
    <col min="784" max="785" width="11.42578125" style="27" customWidth="1"/>
    <col min="786" max="786" width="6.140625" style="27" customWidth="1"/>
    <col min="787" max="797" width="11.42578125" style="27" customWidth="1"/>
    <col min="798" max="1027" width="11.42578125" style="27"/>
    <col min="1028" max="1028" width="5.28515625" style="27" customWidth="1"/>
    <col min="1029" max="1029" width="15.28515625" style="27" customWidth="1"/>
    <col min="1030" max="1030" width="14.42578125" style="27" bestFit="1" customWidth="1"/>
    <col min="1031" max="1031" width="10.42578125" style="27" bestFit="1" customWidth="1"/>
    <col min="1032" max="1032" width="12.28515625" style="27" customWidth="1"/>
    <col min="1033" max="1037" width="11.42578125" style="27" customWidth="1"/>
    <col min="1038" max="1039" width="10.5703125" style="27" bestFit="1" customWidth="1"/>
    <col min="1040" max="1041" width="11.42578125" style="27" customWidth="1"/>
    <col min="1042" max="1042" width="6.140625" style="27" customWidth="1"/>
    <col min="1043" max="1053" width="11.42578125" style="27" customWidth="1"/>
    <col min="1054" max="1283" width="11.42578125" style="27"/>
    <col min="1284" max="1284" width="5.28515625" style="27" customWidth="1"/>
    <col min="1285" max="1285" width="15.28515625" style="27" customWidth="1"/>
    <col min="1286" max="1286" width="14.42578125" style="27" bestFit="1" customWidth="1"/>
    <col min="1287" max="1287" width="10.42578125" style="27" bestFit="1" customWidth="1"/>
    <col min="1288" max="1288" width="12.28515625" style="27" customWidth="1"/>
    <col min="1289" max="1293" width="11.42578125" style="27" customWidth="1"/>
    <col min="1294" max="1295" width="10.5703125" style="27" bestFit="1" customWidth="1"/>
    <col min="1296" max="1297" width="11.42578125" style="27" customWidth="1"/>
    <col min="1298" max="1298" width="6.140625" style="27" customWidth="1"/>
    <col min="1299" max="1309" width="11.42578125" style="27" customWidth="1"/>
    <col min="1310" max="1539" width="11.42578125" style="27"/>
    <col min="1540" max="1540" width="5.28515625" style="27" customWidth="1"/>
    <col min="1541" max="1541" width="15.28515625" style="27" customWidth="1"/>
    <col min="1542" max="1542" width="14.42578125" style="27" bestFit="1" customWidth="1"/>
    <col min="1543" max="1543" width="10.42578125" style="27" bestFit="1" customWidth="1"/>
    <col min="1544" max="1544" width="12.28515625" style="27" customWidth="1"/>
    <col min="1545" max="1549" width="11.42578125" style="27" customWidth="1"/>
    <col min="1550" max="1551" width="10.5703125" style="27" bestFit="1" customWidth="1"/>
    <col min="1552" max="1553" width="11.42578125" style="27" customWidth="1"/>
    <col min="1554" max="1554" width="6.140625" style="27" customWidth="1"/>
    <col min="1555" max="1565" width="11.42578125" style="27" customWidth="1"/>
    <col min="1566" max="1795" width="11.42578125" style="27"/>
    <col min="1796" max="1796" width="5.28515625" style="27" customWidth="1"/>
    <col min="1797" max="1797" width="15.28515625" style="27" customWidth="1"/>
    <col min="1798" max="1798" width="14.42578125" style="27" bestFit="1" customWidth="1"/>
    <col min="1799" max="1799" width="10.42578125" style="27" bestFit="1" customWidth="1"/>
    <col min="1800" max="1800" width="12.28515625" style="27" customWidth="1"/>
    <col min="1801" max="1805" width="11.42578125" style="27" customWidth="1"/>
    <col min="1806" max="1807" width="10.5703125" style="27" bestFit="1" customWidth="1"/>
    <col min="1808" max="1809" width="11.42578125" style="27" customWidth="1"/>
    <col min="1810" max="1810" width="6.140625" style="27" customWidth="1"/>
    <col min="1811" max="1821" width="11.42578125" style="27" customWidth="1"/>
    <col min="1822" max="2051" width="11.42578125" style="27"/>
    <col min="2052" max="2052" width="5.28515625" style="27" customWidth="1"/>
    <col min="2053" max="2053" width="15.28515625" style="27" customWidth="1"/>
    <col min="2054" max="2054" width="14.42578125" style="27" bestFit="1" customWidth="1"/>
    <col min="2055" max="2055" width="10.42578125" style="27" bestFit="1" customWidth="1"/>
    <col min="2056" max="2056" width="12.28515625" style="27" customWidth="1"/>
    <col min="2057" max="2061" width="11.42578125" style="27" customWidth="1"/>
    <col min="2062" max="2063" width="10.5703125" style="27" bestFit="1" customWidth="1"/>
    <col min="2064" max="2065" width="11.42578125" style="27" customWidth="1"/>
    <col min="2066" max="2066" width="6.140625" style="27" customWidth="1"/>
    <col min="2067" max="2077" width="11.42578125" style="27" customWidth="1"/>
    <col min="2078" max="2307" width="11.42578125" style="27"/>
    <col min="2308" max="2308" width="5.28515625" style="27" customWidth="1"/>
    <col min="2309" max="2309" width="15.28515625" style="27" customWidth="1"/>
    <col min="2310" max="2310" width="14.42578125" style="27" bestFit="1" customWidth="1"/>
    <col min="2311" max="2311" width="10.42578125" style="27" bestFit="1" customWidth="1"/>
    <col min="2312" max="2312" width="12.28515625" style="27" customWidth="1"/>
    <col min="2313" max="2317" width="11.42578125" style="27" customWidth="1"/>
    <col min="2318" max="2319" width="10.5703125" style="27" bestFit="1" customWidth="1"/>
    <col min="2320" max="2321" width="11.42578125" style="27" customWidth="1"/>
    <col min="2322" max="2322" width="6.140625" style="27" customWidth="1"/>
    <col min="2323" max="2333" width="11.42578125" style="27" customWidth="1"/>
    <col min="2334" max="2563" width="11.42578125" style="27"/>
    <col min="2564" max="2564" width="5.28515625" style="27" customWidth="1"/>
    <col min="2565" max="2565" width="15.28515625" style="27" customWidth="1"/>
    <col min="2566" max="2566" width="14.42578125" style="27" bestFit="1" customWidth="1"/>
    <col min="2567" max="2567" width="10.42578125" style="27" bestFit="1" customWidth="1"/>
    <col min="2568" max="2568" width="12.28515625" style="27" customWidth="1"/>
    <col min="2569" max="2573" width="11.42578125" style="27" customWidth="1"/>
    <col min="2574" max="2575" width="10.5703125" style="27" bestFit="1" customWidth="1"/>
    <col min="2576" max="2577" width="11.42578125" style="27" customWidth="1"/>
    <col min="2578" max="2578" width="6.140625" style="27" customWidth="1"/>
    <col min="2579" max="2589" width="11.42578125" style="27" customWidth="1"/>
    <col min="2590" max="2819" width="11.42578125" style="27"/>
    <col min="2820" max="2820" width="5.28515625" style="27" customWidth="1"/>
    <col min="2821" max="2821" width="15.28515625" style="27" customWidth="1"/>
    <col min="2822" max="2822" width="14.42578125" style="27" bestFit="1" customWidth="1"/>
    <col min="2823" max="2823" width="10.42578125" style="27" bestFit="1" customWidth="1"/>
    <col min="2824" max="2824" width="12.28515625" style="27" customWidth="1"/>
    <col min="2825" max="2829" width="11.42578125" style="27" customWidth="1"/>
    <col min="2830" max="2831" width="10.5703125" style="27" bestFit="1" customWidth="1"/>
    <col min="2832" max="2833" width="11.42578125" style="27" customWidth="1"/>
    <col min="2834" max="2834" width="6.140625" style="27" customWidth="1"/>
    <col min="2835" max="2845" width="11.42578125" style="27" customWidth="1"/>
    <col min="2846" max="3075" width="11.42578125" style="27"/>
    <col min="3076" max="3076" width="5.28515625" style="27" customWidth="1"/>
    <col min="3077" max="3077" width="15.28515625" style="27" customWidth="1"/>
    <col min="3078" max="3078" width="14.42578125" style="27" bestFit="1" customWidth="1"/>
    <col min="3079" max="3079" width="10.42578125" style="27" bestFit="1" customWidth="1"/>
    <col min="3080" max="3080" width="12.28515625" style="27" customWidth="1"/>
    <col min="3081" max="3085" width="11.42578125" style="27" customWidth="1"/>
    <col min="3086" max="3087" width="10.5703125" style="27" bestFit="1" customWidth="1"/>
    <col min="3088" max="3089" width="11.42578125" style="27" customWidth="1"/>
    <col min="3090" max="3090" width="6.140625" style="27" customWidth="1"/>
    <col min="3091" max="3101" width="11.42578125" style="27" customWidth="1"/>
    <col min="3102" max="3331" width="11.42578125" style="27"/>
    <col min="3332" max="3332" width="5.28515625" style="27" customWidth="1"/>
    <col min="3333" max="3333" width="15.28515625" style="27" customWidth="1"/>
    <col min="3334" max="3334" width="14.42578125" style="27" bestFit="1" customWidth="1"/>
    <col min="3335" max="3335" width="10.42578125" style="27" bestFit="1" customWidth="1"/>
    <col min="3336" max="3336" width="12.28515625" style="27" customWidth="1"/>
    <col min="3337" max="3341" width="11.42578125" style="27" customWidth="1"/>
    <col min="3342" max="3343" width="10.5703125" style="27" bestFit="1" customWidth="1"/>
    <col min="3344" max="3345" width="11.42578125" style="27" customWidth="1"/>
    <col min="3346" max="3346" width="6.140625" style="27" customWidth="1"/>
    <col min="3347" max="3357" width="11.42578125" style="27" customWidth="1"/>
    <col min="3358" max="3587" width="11.42578125" style="27"/>
    <col min="3588" max="3588" width="5.28515625" style="27" customWidth="1"/>
    <col min="3589" max="3589" width="15.28515625" style="27" customWidth="1"/>
    <col min="3590" max="3590" width="14.42578125" style="27" bestFit="1" customWidth="1"/>
    <col min="3591" max="3591" width="10.42578125" style="27" bestFit="1" customWidth="1"/>
    <col min="3592" max="3592" width="12.28515625" style="27" customWidth="1"/>
    <col min="3593" max="3597" width="11.42578125" style="27" customWidth="1"/>
    <col min="3598" max="3599" width="10.5703125" style="27" bestFit="1" customWidth="1"/>
    <col min="3600" max="3601" width="11.42578125" style="27" customWidth="1"/>
    <col min="3602" max="3602" width="6.140625" style="27" customWidth="1"/>
    <col min="3603" max="3613" width="11.42578125" style="27" customWidth="1"/>
    <col min="3614" max="3843" width="11.42578125" style="27"/>
    <col min="3844" max="3844" width="5.28515625" style="27" customWidth="1"/>
    <col min="3845" max="3845" width="15.28515625" style="27" customWidth="1"/>
    <col min="3846" max="3846" width="14.42578125" style="27" bestFit="1" customWidth="1"/>
    <col min="3847" max="3847" width="10.42578125" style="27" bestFit="1" customWidth="1"/>
    <col min="3848" max="3848" width="12.28515625" style="27" customWidth="1"/>
    <col min="3849" max="3853" width="11.42578125" style="27" customWidth="1"/>
    <col min="3854" max="3855" width="10.5703125" style="27" bestFit="1" customWidth="1"/>
    <col min="3856" max="3857" width="11.42578125" style="27" customWidth="1"/>
    <col min="3858" max="3858" width="6.140625" style="27" customWidth="1"/>
    <col min="3859" max="3869" width="11.42578125" style="27" customWidth="1"/>
    <col min="3870" max="4099" width="11.42578125" style="27"/>
    <col min="4100" max="4100" width="5.28515625" style="27" customWidth="1"/>
    <col min="4101" max="4101" width="15.28515625" style="27" customWidth="1"/>
    <col min="4102" max="4102" width="14.42578125" style="27" bestFit="1" customWidth="1"/>
    <col min="4103" max="4103" width="10.42578125" style="27" bestFit="1" customWidth="1"/>
    <col min="4104" max="4104" width="12.28515625" style="27" customWidth="1"/>
    <col min="4105" max="4109" width="11.42578125" style="27" customWidth="1"/>
    <col min="4110" max="4111" width="10.5703125" style="27" bestFit="1" customWidth="1"/>
    <col min="4112" max="4113" width="11.42578125" style="27" customWidth="1"/>
    <col min="4114" max="4114" width="6.140625" style="27" customWidth="1"/>
    <col min="4115" max="4125" width="11.42578125" style="27" customWidth="1"/>
    <col min="4126" max="4355" width="11.42578125" style="27"/>
    <col min="4356" max="4356" width="5.28515625" style="27" customWidth="1"/>
    <col min="4357" max="4357" width="15.28515625" style="27" customWidth="1"/>
    <col min="4358" max="4358" width="14.42578125" style="27" bestFit="1" customWidth="1"/>
    <col min="4359" max="4359" width="10.42578125" style="27" bestFit="1" customWidth="1"/>
    <col min="4360" max="4360" width="12.28515625" style="27" customWidth="1"/>
    <col min="4361" max="4365" width="11.42578125" style="27" customWidth="1"/>
    <col min="4366" max="4367" width="10.5703125" style="27" bestFit="1" customWidth="1"/>
    <col min="4368" max="4369" width="11.42578125" style="27" customWidth="1"/>
    <col min="4370" max="4370" width="6.140625" style="27" customWidth="1"/>
    <col min="4371" max="4381" width="11.42578125" style="27" customWidth="1"/>
    <col min="4382" max="4611" width="11.42578125" style="27"/>
    <col min="4612" max="4612" width="5.28515625" style="27" customWidth="1"/>
    <col min="4613" max="4613" width="15.28515625" style="27" customWidth="1"/>
    <col min="4614" max="4614" width="14.42578125" style="27" bestFit="1" customWidth="1"/>
    <col min="4615" max="4615" width="10.42578125" style="27" bestFit="1" customWidth="1"/>
    <col min="4616" max="4616" width="12.28515625" style="27" customWidth="1"/>
    <col min="4617" max="4621" width="11.42578125" style="27" customWidth="1"/>
    <col min="4622" max="4623" width="10.5703125" style="27" bestFit="1" customWidth="1"/>
    <col min="4624" max="4625" width="11.42578125" style="27" customWidth="1"/>
    <col min="4626" max="4626" width="6.140625" style="27" customWidth="1"/>
    <col min="4627" max="4637" width="11.42578125" style="27" customWidth="1"/>
    <col min="4638" max="4867" width="11.42578125" style="27"/>
    <col min="4868" max="4868" width="5.28515625" style="27" customWidth="1"/>
    <col min="4869" max="4869" width="15.28515625" style="27" customWidth="1"/>
    <col min="4870" max="4870" width="14.42578125" style="27" bestFit="1" customWidth="1"/>
    <col min="4871" max="4871" width="10.42578125" style="27" bestFit="1" customWidth="1"/>
    <col min="4872" max="4872" width="12.28515625" style="27" customWidth="1"/>
    <col min="4873" max="4877" width="11.42578125" style="27" customWidth="1"/>
    <col min="4878" max="4879" width="10.5703125" style="27" bestFit="1" customWidth="1"/>
    <col min="4880" max="4881" width="11.42578125" style="27" customWidth="1"/>
    <col min="4882" max="4882" width="6.140625" style="27" customWidth="1"/>
    <col min="4883" max="4893" width="11.42578125" style="27" customWidth="1"/>
    <col min="4894" max="5123" width="11.42578125" style="27"/>
    <col min="5124" max="5124" width="5.28515625" style="27" customWidth="1"/>
    <col min="5125" max="5125" width="15.28515625" style="27" customWidth="1"/>
    <col min="5126" max="5126" width="14.42578125" style="27" bestFit="1" customWidth="1"/>
    <col min="5127" max="5127" width="10.42578125" style="27" bestFit="1" customWidth="1"/>
    <col min="5128" max="5128" width="12.28515625" style="27" customWidth="1"/>
    <col min="5129" max="5133" width="11.42578125" style="27" customWidth="1"/>
    <col min="5134" max="5135" width="10.5703125" style="27" bestFit="1" customWidth="1"/>
    <col min="5136" max="5137" width="11.42578125" style="27" customWidth="1"/>
    <col min="5138" max="5138" width="6.140625" style="27" customWidth="1"/>
    <col min="5139" max="5149" width="11.42578125" style="27" customWidth="1"/>
    <col min="5150" max="5379" width="11.42578125" style="27"/>
    <col min="5380" max="5380" width="5.28515625" style="27" customWidth="1"/>
    <col min="5381" max="5381" width="15.28515625" style="27" customWidth="1"/>
    <col min="5382" max="5382" width="14.42578125" style="27" bestFit="1" customWidth="1"/>
    <col min="5383" max="5383" width="10.42578125" style="27" bestFit="1" customWidth="1"/>
    <col min="5384" max="5384" width="12.28515625" style="27" customWidth="1"/>
    <col min="5385" max="5389" width="11.42578125" style="27" customWidth="1"/>
    <col min="5390" max="5391" width="10.5703125" style="27" bestFit="1" customWidth="1"/>
    <col min="5392" max="5393" width="11.42578125" style="27" customWidth="1"/>
    <col min="5394" max="5394" width="6.140625" style="27" customWidth="1"/>
    <col min="5395" max="5405" width="11.42578125" style="27" customWidth="1"/>
    <col min="5406" max="5635" width="11.42578125" style="27"/>
    <col min="5636" max="5636" width="5.28515625" style="27" customWidth="1"/>
    <col min="5637" max="5637" width="15.28515625" style="27" customWidth="1"/>
    <col min="5638" max="5638" width="14.42578125" style="27" bestFit="1" customWidth="1"/>
    <col min="5639" max="5639" width="10.42578125" style="27" bestFit="1" customWidth="1"/>
    <col min="5640" max="5640" width="12.28515625" style="27" customWidth="1"/>
    <col min="5641" max="5645" width="11.42578125" style="27" customWidth="1"/>
    <col min="5646" max="5647" width="10.5703125" style="27" bestFit="1" customWidth="1"/>
    <col min="5648" max="5649" width="11.42578125" style="27" customWidth="1"/>
    <col min="5650" max="5650" width="6.140625" style="27" customWidth="1"/>
    <col min="5651" max="5661" width="11.42578125" style="27" customWidth="1"/>
    <col min="5662" max="5891" width="11.42578125" style="27"/>
    <col min="5892" max="5892" width="5.28515625" style="27" customWidth="1"/>
    <col min="5893" max="5893" width="15.28515625" style="27" customWidth="1"/>
    <col min="5894" max="5894" width="14.42578125" style="27" bestFit="1" customWidth="1"/>
    <col min="5895" max="5895" width="10.42578125" style="27" bestFit="1" customWidth="1"/>
    <col min="5896" max="5896" width="12.28515625" style="27" customWidth="1"/>
    <col min="5897" max="5901" width="11.42578125" style="27" customWidth="1"/>
    <col min="5902" max="5903" width="10.5703125" style="27" bestFit="1" customWidth="1"/>
    <col min="5904" max="5905" width="11.42578125" style="27" customWidth="1"/>
    <col min="5906" max="5906" width="6.140625" style="27" customWidth="1"/>
    <col min="5907" max="5917" width="11.42578125" style="27" customWidth="1"/>
    <col min="5918" max="6147" width="11.42578125" style="27"/>
    <col min="6148" max="6148" width="5.28515625" style="27" customWidth="1"/>
    <col min="6149" max="6149" width="15.28515625" style="27" customWidth="1"/>
    <col min="6150" max="6150" width="14.42578125" style="27" bestFit="1" customWidth="1"/>
    <col min="6151" max="6151" width="10.42578125" style="27" bestFit="1" customWidth="1"/>
    <col min="6152" max="6152" width="12.28515625" style="27" customWidth="1"/>
    <col min="6153" max="6157" width="11.42578125" style="27" customWidth="1"/>
    <col min="6158" max="6159" width="10.5703125" style="27" bestFit="1" customWidth="1"/>
    <col min="6160" max="6161" width="11.42578125" style="27" customWidth="1"/>
    <col min="6162" max="6162" width="6.140625" style="27" customWidth="1"/>
    <col min="6163" max="6173" width="11.42578125" style="27" customWidth="1"/>
    <col min="6174" max="6403" width="11.42578125" style="27"/>
    <col min="6404" max="6404" width="5.28515625" style="27" customWidth="1"/>
    <col min="6405" max="6405" width="15.28515625" style="27" customWidth="1"/>
    <col min="6406" max="6406" width="14.42578125" style="27" bestFit="1" customWidth="1"/>
    <col min="6407" max="6407" width="10.42578125" style="27" bestFit="1" customWidth="1"/>
    <col min="6408" max="6408" width="12.28515625" style="27" customWidth="1"/>
    <col min="6409" max="6413" width="11.42578125" style="27" customWidth="1"/>
    <col min="6414" max="6415" width="10.5703125" style="27" bestFit="1" customWidth="1"/>
    <col min="6416" max="6417" width="11.42578125" style="27" customWidth="1"/>
    <col min="6418" max="6418" width="6.140625" style="27" customWidth="1"/>
    <col min="6419" max="6429" width="11.42578125" style="27" customWidth="1"/>
    <col min="6430" max="6659" width="11.42578125" style="27"/>
    <col min="6660" max="6660" width="5.28515625" style="27" customWidth="1"/>
    <col min="6661" max="6661" width="15.28515625" style="27" customWidth="1"/>
    <col min="6662" max="6662" width="14.42578125" style="27" bestFit="1" customWidth="1"/>
    <col min="6663" max="6663" width="10.42578125" style="27" bestFit="1" customWidth="1"/>
    <col min="6664" max="6664" width="12.28515625" style="27" customWidth="1"/>
    <col min="6665" max="6669" width="11.42578125" style="27" customWidth="1"/>
    <col min="6670" max="6671" width="10.5703125" style="27" bestFit="1" customWidth="1"/>
    <col min="6672" max="6673" width="11.42578125" style="27" customWidth="1"/>
    <col min="6674" max="6674" width="6.140625" style="27" customWidth="1"/>
    <col min="6675" max="6685" width="11.42578125" style="27" customWidth="1"/>
    <col min="6686" max="6915" width="11.42578125" style="27"/>
    <col min="6916" max="6916" width="5.28515625" style="27" customWidth="1"/>
    <col min="6917" max="6917" width="15.28515625" style="27" customWidth="1"/>
    <col min="6918" max="6918" width="14.42578125" style="27" bestFit="1" customWidth="1"/>
    <col min="6919" max="6919" width="10.42578125" style="27" bestFit="1" customWidth="1"/>
    <col min="6920" max="6920" width="12.28515625" style="27" customWidth="1"/>
    <col min="6921" max="6925" width="11.42578125" style="27" customWidth="1"/>
    <col min="6926" max="6927" width="10.5703125" style="27" bestFit="1" customWidth="1"/>
    <col min="6928" max="6929" width="11.42578125" style="27" customWidth="1"/>
    <col min="6930" max="6930" width="6.140625" style="27" customWidth="1"/>
    <col min="6931" max="6941" width="11.42578125" style="27" customWidth="1"/>
    <col min="6942" max="7171" width="11.42578125" style="27"/>
    <col min="7172" max="7172" width="5.28515625" style="27" customWidth="1"/>
    <col min="7173" max="7173" width="15.28515625" style="27" customWidth="1"/>
    <col min="7174" max="7174" width="14.42578125" style="27" bestFit="1" customWidth="1"/>
    <col min="7175" max="7175" width="10.42578125" style="27" bestFit="1" customWidth="1"/>
    <col min="7176" max="7176" width="12.28515625" style="27" customWidth="1"/>
    <col min="7177" max="7181" width="11.42578125" style="27" customWidth="1"/>
    <col min="7182" max="7183" width="10.5703125" style="27" bestFit="1" customWidth="1"/>
    <col min="7184" max="7185" width="11.42578125" style="27" customWidth="1"/>
    <col min="7186" max="7186" width="6.140625" style="27" customWidth="1"/>
    <col min="7187" max="7197" width="11.42578125" style="27" customWidth="1"/>
    <col min="7198" max="7427" width="11.42578125" style="27"/>
    <col min="7428" max="7428" width="5.28515625" style="27" customWidth="1"/>
    <col min="7429" max="7429" width="15.28515625" style="27" customWidth="1"/>
    <col min="7430" max="7430" width="14.42578125" style="27" bestFit="1" customWidth="1"/>
    <col min="7431" max="7431" width="10.42578125" style="27" bestFit="1" customWidth="1"/>
    <col min="7432" max="7432" width="12.28515625" style="27" customWidth="1"/>
    <col min="7433" max="7437" width="11.42578125" style="27" customWidth="1"/>
    <col min="7438" max="7439" width="10.5703125" style="27" bestFit="1" customWidth="1"/>
    <col min="7440" max="7441" width="11.42578125" style="27" customWidth="1"/>
    <col min="7442" max="7442" width="6.140625" style="27" customWidth="1"/>
    <col min="7443" max="7453" width="11.42578125" style="27" customWidth="1"/>
    <col min="7454" max="7683" width="11.42578125" style="27"/>
    <col min="7684" max="7684" width="5.28515625" style="27" customWidth="1"/>
    <col min="7685" max="7685" width="15.28515625" style="27" customWidth="1"/>
    <col min="7686" max="7686" width="14.42578125" style="27" bestFit="1" customWidth="1"/>
    <col min="7687" max="7687" width="10.42578125" style="27" bestFit="1" customWidth="1"/>
    <col min="7688" max="7688" width="12.28515625" style="27" customWidth="1"/>
    <col min="7689" max="7693" width="11.42578125" style="27" customWidth="1"/>
    <col min="7694" max="7695" width="10.5703125" style="27" bestFit="1" customWidth="1"/>
    <col min="7696" max="7697" width="11.42578125" style="27" customWidth="1"/>
    <col min="7698" max="7698" width="6.140625" style="27" customWidth="1"/>
    <col min="7699" max="7709" width="11.42578125" style="27" customWidth="1"/>
    <col min="7710" max="7939" width="11.42578125" style="27"/>
    <col min="7940" max="7940" width="5.28515625" style="27" customWidth="1"/>
    <col min="7941" max="7941" width="15.28515625" style="27" customWidth="1"/>
    <col min="7942" max="7942" width="14.42578125" style="27" bestFit="1" customWidth="1"/>
    <col min="7943" max="7943" width="10.42578125" style="27" bestFit="1" customWidth="1"/>
    <col min="7944" max="7944" width="12.28515625" style="27" customWidth="1"/>
    <col min="7945" max="7949" width="11.42578125" style="27" customWidth="1"/>
    <col min="7950" max="7951" width="10.5703125" style="27" bestFit="1" customWidth="1"/>
    <col min="7952" max="7953" width="11.42578125" style="27" customWidth="1"/>
    <col min="7954" max="7954" width="6.140625" style="27" customWidth="1"/>
    <col min="7955" max="7965" width="11.42578125" style="27" customWidth="1"/>
    <col min="7966" max="8195" width="11.42578125" style="27"/>
    <col min="8196" max="8196" width="5.28515625" style="27" customWidth="1"/>
    <col min="8197" max="8197" width="15.28515625" style="27" customWidth="1"/>
    <col min="8198" max="8198" width="14.42578125" style="27" bestFit="1" customWidth="1"/>
    <col min="8199" max="8199" width="10.42578125" style="27" bestFit="1" customWidth="1"/>
    <col min="8200" max="8200" width="12.28515625" style="27" customWidth="1"/>
    <col min="8201" max="8205" width="11.42578125" style="27" customWidth="1"/>
    <col min="8206" max="8207" width="10.5703125" style="27" bestFit="1" customWidth="1"/>
    <col min="8208" max="8209" width="11.42578125" style="27" customWidth="1"/>
    <col min="8210" max="8210" width="6.140625" style="27" customWidth="1"/>
    <col min="8211" max="8221" width="11.42578125" style="27" customWidth="1"/>
    <col min="8222" max="8451" width="11.42578125" style="27"/>
    <col min="8452" max="8452" width="5.28515625" style="27" customWidth="1"/>
    <col min="8453" max="8453" width="15.28515625" style="27" customWidth="1"/>
    <col min="8454" max="8454" width="14.42578125" style="27" bestFit="1" customWidth="1"/>
    <col min="8455" max="8455" width="10.42578125" style="27" bestFit="1" customWidth="1"/>
    <col min="8456" max="8456" width="12.28515625" style="27" customWidth="1"/>
    <col min="8457" max="8461" width="11.42578125" style="27" customWidth="1"/>
    <col min="8462" max="8463" width="10.5703125" style="27" bestFit="1" customWidth="1"/>
    <col min="8464" max="8465" width="11.42578125" style="27" customWidth="1"/>
    <col min="8466" max="8466" width="6.140625" style="27" customWidth="1"/>
    <col min="8467" max="8477" width="11.42578125" style="27" customWidth="1"/>
    <col min="8478" max="8707" width="11.42578125" style="27"/>
    <col min="8708" max="8708" width="5.28515625" style="27" customWidth="1"/>
    <col min="8709" max="8709" width="15.28515625" style="27" customWidth="1"/>
    <col min="8710" max="8710" width="14.42578125" style="27" bestFit="1" customWidth="1"/>
    <col min="8711" max="8711" width="10.42578125" style="27" bestFit="1" customWidth="1"/>
    <col min="8712" max="8712" width="12.28515625" style="27" customWidth="1"/>
    <col min="8713" max="8717" width="11.42578125" style="27" customWidth="1"/>
    <col min="8718" max="8719" width="10.5703125" style="27" bestFit="1" customWidth="1"/>
    <col min="8720" max="8721" width="11.42578125" style="27" customWidth="1"/>
    <col min="8722" max="8722" width="6.140625" style="27" customWidth="1"/>
    <col min="8723" max="8733" width="11.42578125" style="27" customWidth="1"/>
    <col min="8734" max="8963" width="11.42578125" style="27"/>
    <col min="8964" max="8964" width="5.28515625" style="27" customWidth="1"/>
    <col min="8965" max="8965" width="15.28515625" style="27" customWidth="1"/>
    <col min="8966" max="8966" width="14.42578125" style="27" bestFit="1" customWidth="1"/>
    <col min="8967" max="8967" width="10.42578125" style="27" bestFit="1" customWidth="1"/>
    <col min="8968" max="8968" width="12.28515625" style="27" customWidth="1"/>
    <col min="8969" max="8973" width="11.42578125" style="27" customWidth="1"/>
    <col min="8974" max="8975" width="10.5703125" style="27" bestFit="1" customWidth="1"/>
    <col min="8976" max="8977" width="11.42578125" style="27" customWidth="1"/>
    <col min="8978" max="8978" width="6.140625" style="27" customWidth="1"/>
    <col min="8979" max="8989" width="11.42578125" style="27" customWidth="1"/>
    <col min="8990" max="9219" width="11.42578125" style="27"/>
    <col min="9220" max="9220" width="5.28515625" style="27" customWidth="1"/>
    <col min="9221" max="9221" width="15.28515625" style="27" customWidth="1"/>
    <col min="9222" max="9222" width="14.42578125" style="27" bestFit="1" customWidth="1"/>
    <col min="9223" max="9223" width="10.42578125" style="27" bestFit="1" customWidth="1"/>
    <col min="9224" max="9224" width="12.28515625" style="27" customWidth="1"/>
    <col min="9225" max="9229" width="11.42578125" style="27" customWidth="1"/>
    <col min="9230" max="9231" width="10.5703125" style="27" bestFit="1" customWidth="1"/>
    <col min="9232" max="9233" width="11.42578125" style="27" customWidth="1"/>
    <col min="9234" max="9234" width="6.140625" style="27" customWidth="1"/>
    <col min="9235" max="9245" width="11.42578125" style="27" customWidth="1"/>
    <col min="9246" max="9475" width="11.42578125" style="27"/>
    <col min="9476" max="9476" width="5.28515625" style="27" customWidth="1"/>
    <col min="9477" max="9477" width="15.28515625" style="27" customWidth="1"/>
    <col min="9478" max="9478" width="14.42578125" style="27" bestFit="1" customWidth="1"/>
    <col min="9479" max="9479" width="10.42578125" style="27" bestFit="1" customWidth="1"/>
    <col min="9480" max="9480" width="12.28515625" style="27" customWidth="1"/>
    <col min="9481" max="9485" width="11.42578125" style="27" customWidth="1"/>
    <col min="9486" max="9487" width="10.5703125" style="27" bestFit="1" customWidth="1"/>
    <col min="9488" max="9489" width="11.42578125" style="27" customWidth="1"/>
    <col min="9490" max="9490" width="6.140625" style="27" customWidth="1"/>
    <col min="9491" max="9501" width="11.42578125" style="27" customWidth="1"/>
    <col min="9502" max="9731" width="11.42578125" style="27"/>
    <col min="9732" max="9732" width="5.28515625" style="27" customWidth="1"/>
    <col min="9733" max="9733" width="15.28515625" style="27" customWidth="1"/>
    <col min="9734" max="9734" width="14.42578125" style="27" bestFit="1" customWidth="1"/>
    <col min="9735" max="9735" width="10.42578125" style="27" bestFit="1" customWidth="1"/>
    <col min="9736" max="9736" width="12.28515625" style="27" customWidth="1"/>
    <col min="9737" max="9741" width="11.42578125" style="27" customWidth="1"/>
    <col min="9742" max="9743" width="10.5703125" style="27" bestFit="1" customWidth="1"/>
    <col min="9744" max="9745" width="11.42578125" style="27" customWidth="1"/>
    <col min="9746" max="9746" width="6.140625" style="27" customWidth="1"/>
    <col min="9747" max="9757" width="11.42578125" style="27" customWidth="1"/>
    <col min="9758" max="9987" width="11.42578125" style="27"/>
    <col min="9988" max="9988" width="5.28515625" style="27" customWidth="1"/>
    <col min="9989" max="9989" width="15.28515625" style="27" customWidth="1"/>
    <col min="9990" max="9990" width="14.42578125" style="27" bestFit="1" customWidth="1"/>
    <col min="9991" max="9991" width="10.42578125" style="27" bestFit="1" customWidth="1"/>
    <col min="9992" max="9992" width="12.28515625" style="27" customWidth="1"/>
    <col min="9993" max="9997" width="11.42578125" style="27" customWidth="1"/>
    <col min="9998" max="9999" width="10.5703125" style="27" bestFit="1" customWidth="1"/>
    <col min="10000" max="10001" width="11.42578125" style="27" customWidth="1"/>
    <col min="10002" max="10002" width="6.140625" style="27" customWidth="1"/>
    <col min="10003" max="10013" width="11.42578125" style="27" customWidth="1"/>
    <col min="10014" max="10243" width="11.42578125" style="27"/>
    <col min="10244" max="10244" width="5.28515625" style="27" customWidth="1"/>
    <col min="10245" max="10245" width="15.28515625" style="27" customWidth="1"/>
    <col min="10246" max="10246" width="14.42578125" style="27" bestFit="1" customWidth="1"/>
    <col min="10247" max="10247" width="10.42578125" style="27" bestFit="1" customWidth="1"/>
    <col min="10248" max="10248" width="12.28515625" style="27" customWidth="1"/>
    <col min="10249" max="10253" width="11.42578125" style="27" customWidth="1"/>
    <col min="10254" max="10255" width="10.5703125" style="27" bestFit="1" customWidth="1"/>
    <col min="10256" max="10257" width="11.42578125" style="27" customWidth="1"/>
    <col min="10258" max="10258" width="6.140625" style="27" customWidth="1"/>
    <col min="10259" max="10269" width="11.42578125" style="27" customWidth="1"/>
    <col min="10270" max="10499" width="11.42578125" style="27"/>
    <col min="10500" max="10500" width="5.28515625" style="27" customWidth="1"/>
    <col min="10501" max="10501" width="15.28515625" style="27" customWidth="1"/>
    <col min="10502" max="10502" width="14.42578125" style="27" bestFit="1" customWidth="1"/>
    <col min="10503" max="10503" width="10.42578125" style="27" bestFit="1" customWidth="1"/>
    <col min="10504" max="10504" width="12.28515625" style="27" customWidth="1"/>
    <col min="10505" max="10509" width="11.42578125" style="27" customWidth="1"/>
    <col min="10510" max="10511" width="10.5703125" style="27" bestFit="1" customWidth="1"/>
    <col min="10512" max="10513" width="11.42578125" style="27" customWidth="1"/>
    <col min="10514" max="10514" width="6.140625" style="27" customWidth="1"/>
    <col min="10515" max="10525" width="11.42578125" style="27" customWidth="1"/>
    <col min="10526" max="10755" width="11.42578125" style="27"/>
    <col min="10756" max="10756" width="5.28515625" style="27" customWidth="1"/>
    <col min="10757" max="10757" width="15.28515625" style="27" customWidth="1"/>
    <col min="10758" max="10758" width="14.42578125" style="27" bestFit="1" customWidth="1"/>
    <col min="10759" max="10759" width="10.42578125" style="27" bestFit="1" customWidth="1"/>
    <col min="10760" max="10760" width="12.28515625" style="27" customWidth="1"/>
    <col min="10761" max="10765" width="11.42578125" style="27" customWidth="1"/>
    <col min="10766" max="10767" width="10.5703125" style="27" bestFit="1" customWidth="1"/>
    <col min="10768" max="10769" width="11.42578125" style="27" customWidth="1"/>
    <col min="10770" max="10770" width="6.140625" style="27" customWidth="1"/>
    <col min="10771" max="10781" width="11.42578125" style="27" customWidth="1"/>
    <col min="10782" max="11011" width="11.42578125" style="27"/>
    <col min="11012" max="11012" width="5.28515625" style="27" customWidth="1"/>
    <col min="11013" max="11013" width="15.28515625" style="27" customWidth="1"/>
    <col min="11014" max="11014" width="14.42578125" style="27" bestFit="1" customWidth="1"/>
    <col min="11015" max="11015" width="10.42578125" style="27" bestFit="1" customWidth="1"/>
    <col min="11016" max="11016" width="12.28515625" style="27" customWidth="1"/>
    <col min="11017" max="11021" width="11.42578125" style="27" customWidth="1"/>
    <col min="11022" max="11023" width="10.5703125" style="27" bestFit="1" customWidth="1"/>
    <col min="11024" max="11025" width="11.42578125" style="27" customWidth="1"/>
    <col min="11026" max="11026" width="6.140625" style="27" customWidth="1"/>
    <col min="11027" max="11037" width="11.42578125" style="27" customWidth="1"/>
    <col min="11038" max="11267" width="11.42578125" style="27"/>
    <col min="11268" max="11268" width="5.28515625" style="27" customWidth="1"/>
    <col min="11269" max="11269" width="15.28515625" style="27" customWidth="1"/>
    <col min="11270" max="11270" width="14.42578125" style="27" bestFit="1" customWidth="1"/>
    <col min="11271" max="11271" width="10.42578125" style="27" bestFit="1" customWidth="1"/>
    <col min="11272" max="11272" width="12.28515625" style="27" customWidth="1"/>
    <col min="11273" max="11277" width="11.42578125" style="27" customWidth="1"/>
    <col min="11278" max="11279" width="10.5703125" style="27" bestFit="1" customWidth="1"/>
    <col min="11280" max="11281" width="11.42578125" style="27" customWidth="1"/>
    <col min="11282" max="11282" width="6.140625" style="27" customWidth="1"/>
    <col min="11283" max="11293" width="11.42578125" style="27" customWidth="1"/>
    <col min="11294" max="11523" width="11.42578125" style="27"/>
    <col min="11524" max="11524" width="5.28515625" style="27" customWidth="1"/>
    <col min="11525" max="11525" width="15.28515625" style="27" customWidth="1"/>
    <col min="11526" max="11526" width="14.42578125" style="27" bestFit="1" customWidth="1"/>
    <col min="11527" max="11527" width="10.42578125" style="27" bestFit="1" customWidth="1"/>
    <col min="11528" max="11528" width="12.28515625" style="27" customWidth="1"/>
    <col min="11529" max="11533" width="11.42578125" style="27" customWidth="1"/>
    <col min="11534" max="11535" width="10.5703125" style="27" bestFit="1" customWidth="1"/>
    <col min="11536" max="11537" width="11.42578125" style="27" customWidth="1"/>
    <col min="11538" max="11538" width="6.140625" style="27" customWidth="1"/>
    <col min="11539" max="11549" width="11.42578125" style="27" customWidth="1"/>
    <col min="11550" max="11779" width="11.42578125" style="27"/>
    <col min="11780" max="11780" width="5.28515625" style="27" customWidth="1"/>
    <col min="11781" max="11781" width="15.28515625" style="27" customWidth="1"/>
    <col min="11782" max="11782" width="14.42578125" style="27" bestFit="1" customWidth="1"/>
    <col min="11783" max="11783" width="10.42578125" style="27" bestFit="1" customWidth="1"/>
    <col min="11784" max="11784" width="12.28515625" style="27" customWidth="1"/>
    <col min="11785" max="11789" width="11.42578125" style="27" customWidth="1"/>
    <col min="11790" max="11791" width="10.5703125" style="27" bestFit="1" customWidth="1"/>
    <col min="11792" max="11793" width="11.42578125" style="27" customWidth="1"/>
    <col min="11794" max="11794" width="6.140625" style="27" customWidth="1"/>
    <col min="11795" max="11805" width="11.42578125" style="27" customWidth="1"/>
    <col min="11806" max="12035" width="11.42578125" style="27"/>
    <col min="12036" max="12036" width="5.28515625" style="27" customWidth="1"/>
    <col min="12037" max="12037" width="15.28515625" style="27" customWidth="1"/>
    <col min="12038" max="12038" width="14.42578125" style="27" bestFit="1" customWidth="1"/>
    <col min="12039" max="12039" width="10.42578125" style="27" bestFit="1" customWidth="1"/>
    <col min="12040" max="12040" width="12.28515625" style="27" customWidth="1"/>
    <col min="12041" max="12045" width="11.42578125" style="27" customWidth="1"/>
    <col min="12046" max="12047" width="10.5703125" style="27" bestFit="1" customWidth="1"/>
    <col min="12048" max="12049" width="11.42578125" style="27" customWidth="1"/>
    <col min="12050" max="12050" width="6.140625" style="27" customWidth="1"/>
    <col min="12051" max="12061" width="11.42578125" style="27" customWidth="1"/>
    <col min="12062" max="12291" width="11.42578125" style="27"/>
    <col min="12292" max="12292" width="5.28515625" style="27" customWidth="1"/>
    <col min="12293" max="12293" width="15.28515625" style="27" customWidth="1"/>
    <col min="12294" max="12294" width="14.42578125" style="27" bestFit="1" customWidth="1"/>
    <col min="12295" max="12295" width="10.42578125" style="27" bestFit="1" customWidth="1"/>
    <col min="12296" max="12296" width="12.28515625" style="27" customWidth="1"/>
    <col min="12297" max="12301" width="11.42578125" style="27" customWidth="1"/>
    <col min="12302" max="12303" width="10.5703125" style="27" bestFit="1" customWidth="1"/>
    <col min="12304" max="12305" width="11.42578125" style="27" customWidth="1"/>
    <col min="12306" max="12306" width="6.140625" style="27" customWidth="1"/>
    <col min="12307" max="12317" width="11.42578125" style="27" customWidth="1"/>
    <col min="12318" max="12547" width="11.42578125" style="27"/>
    <col min="12548" max="12548" width="5.28515625" style="27" customWidth="1"/>
    <col min="12549" max="12549" width="15.28515625" style="27" customWidth="1"/>
    <col min="12550" max="12550" width="14.42578125" style="27" bestFit="1" customWidth="1"/>
    <col min="12551" max="12551" width="10.42578125" style="27" bestFit="1" customWidth="1"/>
    <col min="12552" max="12552" width="12.28515625" style="27" customWidth="1"/>
    <col min="12553" max="12557" width="11.42578125" style="27" customWidth="1"/>
    <col min="12558" max="12559" width="10.5703125" style="27" bestFit="1" customWidth="1"/>
    <col min="12560" max="12561" width="11.42578125" style="27" customWidth="1"/>
    <col min="12562" max="12562" width="6.140625" style="27" customWidth="1"/>
    <col min="12563" max="12573" width="11.42578125" style="27" customWidth="1"/>
    <col min="12574" max="12803" width="11.42578125" style="27"/>
    <col min="12804" max="12804" width="5.28515625" style="27" customWidth="1"/>
    <col min="12805" max="12805" width="15.28515625" style="27" customWidth="1"/>
    <col min="12806" max="12806" width="14.42578125" style="27" bestFit="1" customWidth="1"/>
    <col min="12807" max="12807" width="10.42578125" style="27" bestFit="1" customWidth="1"/>
    <col min="12808" max="12808" width="12.28515625" style="27" customWidth="1"/>
    <col min="12809" max="12813" width="11.42578125" style="27" customWidth="1"/>
    <col min="12814" max="12815" width="10.5703125" style="27" bestFit="1" customWidth="1"/>
    <col min="12816" max="12817" width="11.42578125" style="27" customWidth="1"/>
    <col min="12818" max="12818" width="6.140625" style="27" customWidth="1"/>
    <col min="12819" max="12829" width="11.42578125" style="27" customWidth="1"/>
    <col min="12830" max="13059" width="11.42578125" style="27"/>
    <col min="13060" max="13060" width="5.28515625" style="27" customWidth="1"/>
    <col min="13061" max="13061" width="15.28515625" style="27" customWidth="1"/>
    <col min="13062" max="13062" width="14.42578125" style="27" bestFit="1" customWidth="1"/>
    <col min="13063" max="13063" width="10.42578125" style="27" bestFit="1" customWidth="1"/>
    <col min="13064" max="13064" width="12.28515625" style="27" customWidth="1"/>
    <col min="13065" max="13069" width="11.42578125" style="27" customWidth="1"/>
    <col min="13070" max="13071" width="10.5703125" style="27" bestFit="1" customWidth="1"/>
    <col min="13072" max="13073" width="11.42578125" style="27" customWidth="1"/>
    <col min="13074" max="13074" width="6.140625" style="27" customWidth="1"/>
    <col min="13075" max="13085" width="11.42578125" style="27" customWidth="1"/>
    <col min="13086" max="13315" width="11.42578125" style="27"/>
    <col min="13316" max="13316" width="5.28515625" style="27" customWidth="1"/>
    <col min="13317" max="13317" width="15.28515625" style="27" customWidth="1"/>
    <col min="13318" max="13318" width="14.42578125" style="27" bestFit="1" customWidth="1"/>
    <col min="13319" max="13319" width="10.42578125" style="27" bestFit="1" customWidth="1"/>
    <col min="13320" max="13320" width="12.28515625" style="27" customWidth="1"/>
    <col min="13321" max="13325" width="11.42578125" style="27" customWidth="1"/>
    <col min="13326" max="13327" width="10.5703125" style="27" bestFit="1" customWidth="1"/>
    <col min="13328" max="13329" width="11.42578125" style="27" customWidth="1"/>
    <col min="13330" max="13330" width="6.140625" style="27" customWidth="1"/>
    <col min="13331" max="13341" width="11.42578125" style="27" customWidth="1"/>
    <col min="13342" max="13571" width="11.42578125" style="27"/>
    <col min="13572" max="13572" width="5.28515625" style="27" customWidth="1"/>
    <col min="13573" max="13573" width="15.28515625" style="27" customWidth="1"/>
    <col min="13574" max="13574" width="14.42578125" style="27" bestFit="1" customWidth="1"/>
    <col min="13575" max="13575" width="10.42578125" style="27" bestFit="1" customWidth="1"/>
    <col min="13576" max="13576" width="12.28515625" style="27" customWidth="1"/>
    <col min="13577" max="13581" width="11.42578125" style="27" customWidth="1"/>
    <col min="13582" max="13583" width="10.5703125" style="27" bestFit="1" customWidth="1"/>
    <col min="13584" max="13585" width="11.42578125" style="27" customWidth="1"/>
    <col min="13586" max="13586" width="6.140625" style="27" customWidth="1"/>
    <col min="13587" max="13597" width="11.42578125" style="27" customWidth="1"/>
    <col min="13598" max="13827" width="11.42578125" style="27"/>
    <col min="13828" max="13828" width="5.28515625" style="27" customWidth="1"/>
    <col min="13829" max="13829" width="15.28515625" style="27" customWidth="1"/>
    <col min="13830" max="13830" width="14.42578125" style="27" bestFit="1" customWidth="1"/>
    <col min="13831" max="13831" width="10.42578125" style="27" bestFit="1" customWidth="1"/>
    <col min="13832" max="13832" width="12.28515625" style="27" customWidth="1"/>
    <col min="13833" max="13837" width="11.42578125" style="27" customWidth="1"/>
    <col min="13838" max="13839" width="10.5703125" style="27" bestFit="1" customWidth="1"/>
    <col min="13840" max="13841" width="11.42578125" style="27" customWidth="1"/>
    <col min="13842" max="13842" width="6.140625" style="27" customWidth="1"/>
    <col min="13843" max="13853" width="11.42578125" style="27" customWidth="1"/>
    <col min="13854" max="14083" width="11.42578125" style="27"/>
    <col min="14084" max="14084" width="5.28515625" style="27" customWidth="1"/>
    <col min="14085" max="14085" width="15.28515625" style="27" customWidth="1"/>
    <col min="14086" max="14086" width="14.42578125" style="27" bestFit="1" customWidth="1"/>
    <col min="14087" max="14087" width="10.42578125" style="27" bestFit="1" customWidth="1"/>
    <col min="14088" max="14088" width="12.28515625" style="27" customWidth="1"/>
    <col min="14089" max="14093" width="11.42578125" style="27" customWidth="1"/>
    <col min="14094" max="14095" width="10.5703125" style="27" bestFit="1" customWidth="1"/>
    <col min="14096" max="14097" width="11.42578125" style="27" customWidth="1"/>
    <col min="14098" max="14098" width="6.140625" style="27" customWidth="1"/>
    <col min="14099" max="14109" width="11.42578125" style="27" customWidth="1"/>
    <col min="14110" max="14339" width="11.42578125" style="27"/>
    <col min="14340" max="14340" width="5.28515625" style="27" customWidth="1"/>
    <col min="14341" max="14341" width="15.28515625" style="27" customWidth="1"/>
    <col min="14342" max="14342" width="14.42578125" style="27" bestFit="1" customWidth="1"/>
    <col min="14343" max="14343" width="10.42578125" style="27" bestFit="1" customWidth="1"/>
    <col min="14344" max="14344" width="12.28515625" style="27" customWidth="1"/>
    <col min="14345" max="14349" width="11.42578125" style="27" customWidth="1"/>
    <col min="14350" max="14351" width="10.5703125" style="27" bestFit="1" customWidth="1"/>
    <col min="14352" max="14353" width="11.42578125" style="27" customWidth="1"/>
    <col min="14354" max="14354" width="6.140625" style="27" customWidth="1"/>
    <col min="14355" max="14365" width="11.42578125" style="27" customWidth="1"/>
    <col min="14366" max="14595" width="11.42578125" style="27"/>
    <col min="14596" max="14596" width="5.28515625" style="27" customWidth="1"/>
    <col min="14597" max="14597" width="15.28515625" style="27" customWidth="1"/>
    <col min="14598" max="14598" width="14.42578125" style="27" bestFit="1" customWidth="1"/>
    <col min="14599" max="14599" width="10.42578125" style="27" bestFit="1" customWidth="1"/>
    <col min="14600" max="14600" width="12.28515625" style="27" customWidth="1"/>
    <col min="14601" max="14605" width="11.42578125" style="27" customWidth="1"/>
    <col min="14606" max="14607" width="10.5703125" style="27" bestFit="1" customWidth="1"/>
    <col min="14608" max="14609" width="11.42578125" style="27" customWidth="1"/>
    <col min="14610" max="14610" width="6.140625" style="27" customWidth="1"/>
    <col min="14611" max="14621" width="11.42578125" style="27" customWidth="1"/>
    <col min="14622" max="14851" width="11.42578125" style="27"/>
    <col min="14852" max="14852" width="5.28515625" style="27" customWidth="1"/>
    <col min="14853" max="14853" width="15.28515625" style="27" customWidth="1"/>
    <col min="14854" max="14854" width="14.42578125" style="27" bestFit="1" customWidth="1"/>
    <col min="14855" max="14855" width="10.42578125" style="27" bestFit="1" customWidth="1"/>
    <col min="14856" max="14856" width="12.28515625" style="27" customWidth="1"/>
    <col min="14857" max="14861" width="11.42578125" style="27" customWidth="1"/>
    <col min="14862" max="14863" width="10.5703125" style="27" bestFit="1" customWidth="1"/>
    <col min="14864" max="14865" width="11.42578125" style="27" customWidth="1"/>
    <col min="14866" max="14866" width="6.140625" style="27" customWidth="1"/>
    <col min="14867" max="14877" width="11.42578125" style="27" customWidth="1"/>
    <col min="14878" max="15107" width="11.42578125" style="27"/>
    <col min="15108" max="15108" width="5.28515625" style="27" customWidth="1"/>
    <col min="15109" max="15109" width="15.28515625" style="27" customWidth="1"/>
    <col min="15110" max="15110" width="14.42578125" style="27" bestFit="1" customWidth="1"/>
    <col min="15111" max="15111" width="10.42578125" style="27" bestFit="1" customWidth="1"/>
    <col min="15112" max="15112" width="12.28515625" style="27" customWidth="1"/>
    <col min="15113" max="15117" width="11.42578125" style="27" customWidth="1"/>
    <col min="15118" max="15119" width="10.5703125" style="27" bestFit="1" customWidth="1"/>
    <col min="15120" max="15121" width="11.42578125" style="27" customWidth="1"/>
    <col min="15122" max="15122" width="6.140625" style="27" customWidth="1"/>
    <col min="15123" max="15133" width="11.42578125" style="27" customWidth="1"/>
    <col min="15134" max="15363" width="11.42578125" style="27"/>
    <col min="15364" max="15364" width="5.28515625" style="27" customWidth="1"/>
    <col min="15365" max="15365" width="15.28515625" style="27" customWidth="1"/>
    <col min="15366" max="15366" width="14.42578125" style="27" bestFit="1" customWidth="1"/>
    <col min="15367" max="15367" width="10.42578125" style="27" bestFit="1" customWidth="1"/>
    <col min="15368" max="15368" width="12.28515625" style="27" customWidth="1"/>
    <col min="15369" max="15373" width="11.42578125" style="27" customWidth="1"/>
    <col min="15374" max="15375" width="10.5703125" style="27" bestFit="1" customWidth="1"/>
    <col min="15376" max="15377" width="11.42578125" style="27" customWidth="1"/>
    <col min="15378" max="15378" width="6.140625" style="27" customWidth="1"/>
    <col min="15379" max="15389" width="11.42578125" style="27" customWidth="1"/>
    <col min="15390" max="15619" width="11.42578125" style="27"/>
    <col min="15620" max="15620" width="5.28515625" style="27" customWidth="1"/>
    <col min="15621" max="15621" width="15.28515625" style="27" customWidth="1"/>
    <col min="15622" max="15622" width="14.42578125" style="27" bestFit="1" customWidth="1"/>
    <col min="15623" max="15623" width="10.42578125" style="27" bestFit="1" customWidth="1"/>
    <col min="15624" max="15624" width="12.28515625" style="27" customWidth="1"/>
    <col min="15625" max="15629" width="11.42578125" style="27" customWidth="1"/>
    <col min="15630" max="15631" width="10.5703125" style="27" bestFit="1" customWidth="1"/>
    <col min="15632" max="15633" width="11.42578125" style="27" customWidth="1"/>
    <col min="15634" max="15634" width="6.140625" style="27" customWidth="1"/>
    <col min="15635" max="15645" width="11.42578125" style="27" customWidth="1"/>
    <col min="15646" max="15875" width="11.42578125" style="27"/>
    <col min="15876" max="15876" width="5.28515625" style="27" customWidth="1"/>
    <col min="15877" max="15877" width="15.28515625" style="27" customWidth="1"/>
    <col min="15878" max="15878" width="14.42578125" style="27" bestFit="1" customWidth="1"/>
    <col min="15879" max="15879" width="10.42578125" style="27" bestFit="1" customWidth="1"/>
    <col min="15880" max="15880" width="12.28515625" style="27" customWidth="1"/>
    <col min="15881" max="15885" width="11.42578125" style="27" customWidth="1"/>
    <col min="15886" max="15887" width="10.5703125" style="27" bestFit="1" customWidth="1"/>
    <col min="15888" max="15889" width="11.42578125" style="27" customWidth="1"/>
    <col min="15890" max="15890" width="6.140625" style="27" customWidth="1"/>
    <col min="15891" max="15901" width="11.42578125" style="27" customWidth="1"/>
    <col min="15902" max="16131" width="11.42578125" style="27"/>
    <col min="16132" max="16132" width="5.28515625" style="27" customWidth="1"/>
    <col min="16133" max="16133" width="15.28515625" style="27" customWidth="1"/>
    <col min="16134" max="16134" width="14.42578125" style="27" bestFit="1" customWidth="1"/>
    <col min="16135" max="16135" width="10.42578125" style="27" bestFit="1" customWidth="1"/>
    <col min="16136" max="16136" width="12.28515625" style="27" customWidth="1"/>
    <col min="16137" max="16141" width="11.42578125" style="27" customWidth="1"/>
    <col min="16142" max="16143" width="10.5703125" style="27" bestFit="1" customWidth="1"/>
    <col min="16144" max="16145" width="11.42578125" style="27" customWidth="1"/>
    <col min="16146" max="16146" width="6.140625" style="27" customWidth="1"/>
    <col min="16147" max="16157" width="11.42578125" style="27" customWidth="1"/>
    <col min="16158" max="16384" width="11.42578125" style="27"/>
  </cols>
  <sheetData>
    <row r="1" spans="1:62" s="92" customFormat="1" ht="10.5" customHeight="1" thickBot="1" x14ac:dyDescent="0.3">
      <c r="Q1" s="28"/>
    </row>
    <row r="2" spans="1:62" s="92" customFormat="1" ht="6" customHeight="1" x14ac:dyDescent="0.25">
      <c r="B2" s="195"/>
      <c r="C2" s="196"/>
      <c r="D2" s="196"/>
      <c r="E2" s="196"/>
      <c r="F2" s="196"/>
      <c r="G2" s="196"/>
      <c r="H2" s="196"/>
      <c r="I2" s="196"/>
      <c r="J2" s="196"/>
      <c r="K2" s="196"/>
      <c r="L2" s="196"/>
      <c r="M2" s="196"/>
      <c r="N2" s="196"/>
      <c r="O2" s="196"/>
      <c r="P2" s="196"/>
      <c r="Q2" s="196"/>
      <c r="R2" s="196"/>
      <c r="S2" s="196"/>
      <c r="T2" s="197"/>
    </row>
    <row r="3" spans="1:62" s="1" customFormat="1" ht="33" customHeight="1" x14ac:dyDescent="0.25">
      <c r="B3" s="198"/>
      <c r="C3" s="206"/>
      <c r="D3" s="206"/>
      <c r="E3" s="206"/>
      <c r="F3" s="206"/>
      <c r="G3" s="206"/>
      <c r="H3" s="206"/>
      <c r="I3" s="206"/>
      <c r="J3" s="206"/>
      <c r="K3" s="206"/>
      <c r="L3" s="206"/>
      <c r="M3" s="206"/>
      <c r="N3" s="206"/>
      <c r="O3" s="206"/>
      <c r="P3" s="206"/>
      <c r="Q3" s="206"/>
      <c r="R3" s="206"/>
      <c r="S3" s="206"/>
      <c r="T3" s="199"/>
      <c r="U3" s="92"/>
      <c r="V3" s="1" t="s">
        <v>1230</v>
      </c>
      <c r="W3" s="147">
        <v>1</v>
      </c>
      <c r="X3" s="92"/>
      <c r="Y3" s="92"/>
      <c r="Z3" s="92"/>
      <c r="AA3" s="92"/>
      <c r="AB3" s="92"/>
      <c r="AC3" s="92"/>
      <c r="AD3" s="92"/>
      <c r="AE3" s="92"/>
      <c r="BI3" s="46"/>
      <c r="BJ3" s="46"/>
    </row>
    <row r="4" spans="1:62" s="1" customFormat="1" ht="25.15" customHeight="1" x14ac:dyDescent="0.25">
      <c r="B4" s="198"/>
      <c r="C4" s="224" t="s">
        <v>591</v>
      </c>
      <c r="D4" s="224"/>
      <c r="E4" s="224"/>
      <c r="F4" s="224"/>
      <c r="G4" s="224"/>
      <c r="H4" s="224"/>
      <c r="I4" s="224"/>
      <c r="J4" s="188"/>
      <c r="K4" s="188"/>
      <c r="L4" s="188"/>
      <c r="M4" s="188"/>
      <c r="N4" s="188"/>
      <c r="O4" s="188"/>
      <c r="P4" s="188"/>
      <c r="Q4" s="188"/>
      <c r="R4" s="188"/>
      <c r="S4" s="188"/>
      <c r="T4" s="199"/>
      <c r="V4" s="92" t="s">
        <v>1228</v>
      </c>
      <c r="W4" s="145">
        <f>SUMIFS(CampList[HH],CampList[Status],"open",CampList[Opening Date],"&gt;=" &amp; NFI_Monitor_Date)</f>
        <v>2113</v>
      </c>
      <c r="X4" s="92"/>
      <c r="Y4" s="92"/>
      <c r="Z4" s="92"/>
      <c r="AA4" s="92"/>
      <c r="AB4" s="92"/>
      <c r="AC4" s="92"/>
      <c r="AD4" s="92"/>
      <c r="AE4" s="92"/>
      <c r="AF4" s="65"/>
      <c r="AG4" s="65"/>
      <c r="AH4" s="65"/>
      <c r="AI4" s="65"/>
      <c r="AJ4" s="65"/>
      <c r="AK4" s="65"/>
      <c r="AL4" s="65"/>
      <c r="AM4" s="65"/>
      <c r="AN4" s="65"/>
      <c r="AO4" s="65"/>
      <c r="AP4" s="65"/>
      <c r="AQ4" s="65"/>
      <c r="AR4" s="65"/>
      <c r="AS4" s="65"/>
      <c r="BC4" s="46"/>
      <c r="BD4" s="46"/>
    </row>
    <row r="5" spans="1:62" s="15" customFormat="1" ht="12.75" customHeight="1" x14ac:dyDescent="0.25">
      <c r="B5" s="198"/>
      <c r="C5" s="888">
        <f>Definition!B23</f>
        <v>42675</v>
      </c>
      <c r="D5" s="888"/>
      <c r="E5" s="888"/>
      <c r="F5" s="888"/>
      <c r="G5" s="888"/>
      <c r="H5" s="888"/>
      <c r="I5" s="225"/>
      <c r="J5" s="188"/>
      <c r="K5" s="188"/>
      <c r="L5" s="188"/>
      <c r="M5" s="188"/>
      <c r="N5" s="188"/>
      <c r="O5" s="188"/>
      <c r="P5" s="188"/>
      <c r="Q5" s="188"/>
      <c r="R5" s="188"/>
      <c r="S5" s="188"/>
      <c r="T5" s="199"/>
      <c r="V5" s="92" t="s">
        <v>1229</v>
      </c>
      <c r="W5" s="145">
        <f>SUMIFS(CampList[HH],CampList[Status],"open",CampList[Priority],"P1")</f>
        <v>1794</v>
      </c>
      <c r="X5" s="145"/>
      <c r="Y5" s="92"/>
      <c r="Z5" s="92"/>
      <c r="AA5" s="92"/>
      <c r="AB5" s="92"/>
      <c r="AC5" s="92"/>
      <c r="AD5" s="92"/>
      <c r="AE5" s="92"/>
      <c r="AF5" s="65"/>
      <c r="AG5" s="65"/>
      <c r="AH5" s="65"/>
      <c r="AI5" s="65"/>
      <c r="AJ5" s="65"/>
      <c r="AK5" s="65"/>
      <c r="AL5" s="65"/>
      <c r="AM5" s="65"/>
      <c r="AN5" s="65"/>
      <c r="AO5" s="65"/>
      <c r="AP5" s="65"/>
      <c r="AQ5" s="65"/>
      <c r="AR5" s="65"/>
      <c r="AS5" s="65"/>
      <c r="BC5" s="47"/>
      <c r="BD5" s="47"/>
    </row>
    <row r="6" spans="1:62" s="35" customFormat="1" ht="45.75" customHeight="1" x14ac:dyDescent="0.55000000000000004">
      <c r="B6" s="229"/>
      <c r="C6" s="226"/>
      <c r="D6" s="227"/>
      <c r="E6" s="227"/>
      <c r="F6" s="227"/>
      <c r="G6" s="227"/>
      <c r="H6" s="227"/>
      <c r="I6" s="227"/>
      <c r="J6" s="227"/>
      <c r="K6" s="227"/>
      <c r="L6" s="227"/>
      <c r="M6" s="227"/>
      <c r="N6" s="227"/>
      <c r="O6" s="227"/>
      <c r="P6" s="227"/>
      <c r="Q6" s="228"/>
      <c r="R6" s="227"/>
      <c r="S6" s="227"/>
      <c r="T6" s="230"/>
    </row>
    <row r="7" spans="1:62" s="35" customFormat="1" ht="7.5" customHeight="1" x14ac:dyDescent="0.55000000000000004">
      <c r="B7" s="319"/>
      <c r="C7" s="320"/>
      <c r="D7" s="321"/>
      <c r="E7" s="321"/>
      <c r="F7" s="321"/>
      <c r="G7" s="321"/>
      <c r="H7" s="321"/>
      <c r="I7" s="321"/>
      <c r="J7" s="321"/>
      <c r="K7" s="321"/>
      <c r="L7" s="321"/>
      <c r="M7" s="321"/>
      <c r="N7" s="321"/>
      <c r="O7" s="321"/>
      <c r="P7" s="321"/>
      <c r="Q7" s="322"/>
      <c r="R7" s="321"/>
      <c r="S7" s="321"/>
      <c r="T7" s="323"/>
    </row>
    <row r="8" spans="1:62" s="65" customFormat="1" ht="12.75" customHeight="1" x14ac:dyDescent="0.35">
      <c r="A8" s="92"/>
      <c r="B8" s="213"/>
      <c r="C8" s="29"/>
      <c r="D8" s="29"/>
      <c r="E8" s="29"/>
      <c r="F8" s="29"/>
      <c r="G8" s="29"/>
      <c r="H8" s="29"/>
      <c r="I8" s="29"/>
      <c r="J8" s="29"/>
      <c r="K8" s="29"/>
      <c r="L8" s="29"/>
      <c r="M8" s="29"/>
      <c r="N8" s="29"/>
      <c r="O8" s="29"/>
      <c r="P8" s="29"/>
      <c r="Q8" s="324"/>
      <c r="R8" s="29"/>
      <c r="S8" s="29"/>
      <c r="T8" s="207"/>
      <c r="U8" s="92"/>
      <c r="V8" s="92"/>
      <c r="W8" s="92"/>
      <c r="X8" s="92"/>
      <c r="Y8" s="92"/>
      <c r="Z8" s="92"/>
      <c r="AA8" s="92"/>
      <c r="AB8" s="92"/>
      <c r="AC8" s="92"/>
      <c r="AD8" s="92"/>
      <c r="AE8" s="92"/>
    </row>
    <row r="9" spans="1:62" s="65" customFormat="1" ht="7.5" customHeight="1" x14ac:dyDescent="0.25">
      <c r="A9" s="92"/>
      <c r="B9" s="213"/>
      <c r="C9" s="29"/>
      <c r="D9" s="29"/>
      <c r="E9" s="29"/>
      <c r="F9" s="29"/>
      <c r="G9" s="29"/>
      <c r="H9" s="29"/>
      <c r="I9" s="29"/>
      <c r="J9" s="29"/>
      <c r="K9" s="29"/>
      <c r="L9" s="29"/>
      <c r="M9" s="29"/>
      <c r="N9" s="29"/>
      <c r="O9" s="29"/>
      <c r="P9" s="29"/>
      <c r="Q9" s="29"/>
      <c r="R9" s="29"/>
      <c r="S9" s="29"/>
      <c r="T9" s="207"/>
      <c r="U9" s="92"/>
      <c r="V9" s="92"/>
      <c r="W9" s="92"/>
      <c r="X9" s="92"/>
      <c r="Y9" s="92"/>
      <c r="Z9" s="92"/>
      <c r="AA9" s="92"/>
      <c r="AB9" s="92"/>
      <c r="AC9" s="92"/>
      <c r="AD9" s="92"/>
      <c r="AE9" s="92"/>
    </row>
    <row r="10" spans="1:62" ht="17.25" customHeight="1" x14ac:dyDescent="0.25">
      <c r="B10" s="213"/>
      <c r="C10" s="29"/>
      <c r="D10" s="29"/>
      <c r="E10" s="29"/>
      <c r="F10" s="29"/>
      <c r="G10" s="29"/>
      <c r="H10" s="29"/>
      <c r="I10" s="29"/>
      <c r="J10" s="29"/>
      <c r="K10" s="29"/>
      <c r="L10" s="29"/>
      <c r="M10" s="29"/>
      <c r="N10" s="29"/>
      <c r="O10" s="29"/>
      <c r="P10" s="29"/>
      <c r="Q10" s="29"/>
      <c r="R10" s="29"/>
      <c r="S10" s="29"/>
      <c r="T10" s="207"/>
      <c r="Y10" s="1"/>
    </row>
    <row r="11" spans="1:62" ht="24" customHeight="1" x14ac:dyDescent="0.25">
      <c r="B11" s="213"/>
      <c r="C11" s="158" t="s">
        <v>585</v>
      </c>
      <c r="D11" s="159" t="s">
        <v>454</v>
      </c>
      <c r="E11" s="160" t="s">
        <v>831</v>
      </c>
      <c r="F11" s="161" t="s">
        <v>827</v>
      </c>
      <c r="G11" s="161" t="s">
        <v>828</v>
      </c>
      <c r="H11" s="162" t="s">
        <v>829</v>
      </c>
      <c r="I11" s="162" t="s">
        <v>830</v>
      </c>
      <c r="J11" s="163" t="s">
        <v>1231</v>
      </c>
      <c r="K11" s="29"/>
      <c r="L11" s="158" t="s">
        <v>585</v>
      </c>
      <c r="M11" s="159" t="s">
        <v>454</v>
      </c>
      <c r="N11" s="160" t="s">
        <v>831</v>
      </c>
      <c r="O11" s="161" t="s">
        <v>827</v>
      </c>
      <c r="P11" s="161" t="s">
        <v>828</v>
      </c>
      <c r="Q11" s="162" t="s">
        <v>829</v>
      </c>
      <c r="R11" s="162" t="s">
        <v>830</v>
      </c>
      <c r="S11" s="163" t="s">
        <v>1231</v>
      </c>
      <c r="T11" s="207"/>
      <c r="W11" s="36"/>
      <c r="X11" s="1"/>
      <c r="Y11" s="213"/>
      <c r="Z11" s="325" t="s">
        <v>831</v>
      </c>
      <c r="AA11" s="325" t="s">
        <v>832</v>
      </c>
      <c r="AB11" s="104" t="s">
        <v>833</v>
      </c>
      <c r="AC11" s="104" t="s">
        <v>834</v>
      </c>
      <c r="AD11" s="105" t="s">
        <v>835</v>
      </c>
      <c r="AE11" s="105" t="s">
        <v>836</v>
      </c>
      <c r="AF11" s="207"/>
    </row>
    <row r="12" spans="1:62" ht="13.5" customHeight="1" x14ac:dyDescent="0.25">
      <c r="B12" s="213"/>
      <c r="C12" s="164" t="s">
        <v>595</v>
      </c>
      <c r="D12" s="165">
        <f t="shared" ref="D12:D18" si="0">VLOOKUP($C12,NFI,6,0)</f>
        <v>2</v>
      </c>
      <c r="E12" s="166">
        <f>$W$4*D12</f>
        <v>4226</v>
      </c>
      <c r="F12" s="167">
        <f ca="1">SUMIFS(Table_NFI[Mosquito net_LS],Table_NFI[opening_date],1,Table_NFI[Status],"open")</f>
        <v>141</v>
      </c>
      <c r="G12" s="168">
        <f t="shared" ref="G12:G17" ca="1" si="1">IF((F12/E12)&gt;100%,100%,(F12/E12))</f>
        <v>3.3364884051112161E-2</v>
      </c>
      <c r="H12" s="167">
        <f ca="1">SUM(INDIRECT(VLOOKUP($C12,NFI,3,0)))</f>
        <v>2926</v>
      </c>
      <c r="I12" s="169">
        <f ca="1">H12/E12</f>
        <v>0.69238050165641263</v>
      </c>
      <c r="J12" s="170">
        <f ca="1">MAX(0,1-G12-I12)</f>
        <v>0.27425461429247522</v>
      </c>
      <c r="K12" s="29"/>
      <c r="L12" s="164" t="s">
        <v>987</v>
      </c>
      <c r="M12" s="165">
        <f>VLOOKUP($L12,NFI,6,0)</f>
        <v>2</v>
      </c>
      <c r="N12" s="166">
        <f>$W$5*M12</f>
        <v>3588</v>
      </c>
      <c r="O12" s="167">
        <f ca="1">SUMIFS(Table_NFI[Winter Clothes Adult_LS],Table_NFI[Priority],"P1",Table_NFI[Status],"open")</f>
        <v>710</v>
      </c>
      <c r="P12" s="168">
        <f t="shared" ref="P12:P13" ca="1" si="2">IF((O12/N12)&gt;100%,100%,(O12/N12))</f>
        <v>0.19788182831661091</v>
      </c>
      <c r="Q12" s="167">
        <f ca="1">SUM(INDIRECT(VLOOKUP($L12,NFI,3,0)))</f>
        <v>0</v>
      </c>
      <c r="R12" s="169">
        <f t="shared" ref="R12:R13" ca="1" si="3">Q12/N12</f>
        <v>0</v>
      </c>
      <c r="S12" s="170">
        <f ca="1">MAX(0,1-P12-R12)</f>
        <v>0.80211817168338906</v>
      </c>
      <c r="T12" s="207"/>
      <c r="W12" s="36"/>
      <c r="X12" s="1"/>
      <c r="Y12" s="213"/>
      <c r="Z12" s="69">
        <f ca="1">IF((E12-(SUM(F12:H12)))&lt;0,0,(E12-(SUM(F12:H12))))</f>
        <v>1158.966635115949</v>
      </c>
      <c r="AA12" s="326">
        <f t="shared" ref="AA12:AA18" ca="1" si="4">Z12/E12</f>
        <v>0.27424671914717202</v>
      </c>
      <c r="AB12" s="69">
        <f t="shared" ref="AB12:AB18" ca="1" si="5">SUMIFS(INDIRECT(VLOOKUP($C12,NFI,4,0)),NFI_Pipeline_State,$C$6)</f>
        <v>0</v>
      </c>
      <c r="AC12" s="68">
        <f t="shared" ref="AC12:AC18" ca="1" si="6">AB12/E12</f>
        <v>0</v>
      </c>
      <c r="AD12" s="70">
        <f t="shared" ref="AD12:AD18" ca="1" si="7">IF((E12-(F12+H12+AB12))&lt;0,0,(E12-(F12+H12+AB12)))</f>
        <v>1159</v>
      </c>
      <c r="AE12" s="71">
        <f t="shared" ref="AE12:AE18" ca="1" si="8">AD12/E12</f>
        <v>0.27425461429247516</v>
      </c>
      <c r="AF12" s="207"/>
    </row>
    <row r="13" spans="1:62" ht="13.5" customHeight="1" x14ac:dyDescent="0.25">
      <c r="B13" s="213"/>
      <c r="C13" s="164" t="s">
        <v>457</v>
      </c>
      <c r="D13" s="165">
        <f t="shared" si="0"/>
        <v>1</v>
      </c>
      <c r="E13" s="166">
        <f>$W$4*D13</f>
        <v>2113</v>
      </c>
      <c r="F13" s="167">
        <f ca="1">SUMIFS(Table_NFI[Tarpaulin_LS],Table_NFI[opening_date],1,Table_NFI[Status],"open")</f>
        <v>82</v>
      </c>
      <c r="G13" s="168">
        <f t="shared" ca="1" si="1"/>
        <v>3.8807382867960247E-2</v>
      </c>
      <c r="H13" s="167">
        <f ca="1">SUM(INDIRECT(VLOOKUP($C13,NFI,3,0)))</f>
        <v>1056</v>
      </c>
      <c r="I13" s="169">
        <f ca="1">H13/E13</f>
        <v>0.49976336961665879</v>
      </c>
      <c r="J13" s="170">
        <f t="shared" ref="J13:J18" ca="1" si="9">MAX(0,1-G13-I13)</f>
        <v>0.46142924751538095</v>
      </c>
      <c r="K13" s="29"/>
      <c r="L13" s="164" t="s">
        <v>991</v>
      </c>
      <c r="M13" s="165">
        <f>VLOOKUP($L13,NFI,6,0)</f>
        <v>3</v>
      </c>
      <c r="N13" s="166">
        <f>$W$5*M13</f>
        <v>5382</v>
      </c>
      <c r="O13" s="167">
        <f ca="1">SUMIFS(Table_NFI[Winter Clothes Children_LS],Table_NFI[Priority],"P1",Table_NFI[Status],"open")</f>
        <v>1475</v>
      </c>
      <c r="P13" s="168">
        <f t="shared" ca="1" si="2"/>
        <v>0.27406168710516537</v>
      </c>
      <c r="Q13" s="167">
        <f ca="1">SUM(INDIRECT(VLOOKUP($L13,NFI,3,0)))</f>
        <v>465</v>
      </c>
      <c r="R13" s="169">
        <f t="shared" ca="1" si="3"/>
        <v>8.6399108138238576E-2</v>
      </c>
      <c r="S13" s="170">
        <f ca="1">MAX(0,1-P13-R13)</f>
        <v>0.63953920475659609</v>
      </c>
      <c r="T13" s="207"/>
      <c r="W13" s="36"/>
      <c r="X13" s="1"/>
      <c r="Y13" s="213"/>
      <c r="Z13" s="69">
        <f ca="1">IF((E13-(SUM(F13:H13)))&lt;0,0,(E13-(SUM(F13:H13))))</f>
        <v>974.96119261713193</v>
      </c>
      <c r="AA13" s="326">
        <f t="shared" ca="1" si="4"/>
        <v>0.46141088150361187</v>
      </c>
      <c r="AB13" s="69">
        <f t="shared" ca="1" si="5"/>
        <v>0</v>
      </c>
      <c r="AC13" s="68">
        <f t="shared" ca="1" si="6"/>
        <v>0</v>
      </c>
      <c r="AD13" s="70">
        <f t="shared" ca="1" si="7"/>
        <v>975</v>
      </c>
      <c r="AE13" s="71">
        <f t="shared" ca="1" si="8"/>
        <v>0.461429247515381</v>
      </c>
      <c r="AF13" s="207"/>
    </row>
    <row r="14" spans="1:62" ht="13.5" customHeight="1" x14ac:dyDescent="0.25">
      <c r="B14" s="213"/>
      <c r="C14" s="164" t="s">
        <v>435</v>
      </c>
      <c r="D14" s="165">
        <f t="shared" si="0"/>
        <v>2</v>
      </c>
      <c r="E14" s="166">
        <f t="shared" ref="E14:E18" si="10">$W$4*D14</f>
        <v>4226</v>
      </c>
      <c r="F14" s="167">
        <f ca="1">SUMIFS(Table_NFI[Blanket_LS],Table_NFI[opening_date],1,Table_NFI[Status],"open")</f>
        <v>144</v>
      </c>
      <c r="G14" s="168">
        <f t="shared" ca="1" si="1"/>
        <v>3.4074775201135825E-2</v>
      </c>
      <c r="H14" s="167">
        <f t="shared" ref="H14:H18" ca="1" si="11">SUM(INDIRECT(VLOOKUP($C14,NFI,3,0)))</f>
        <v>5427</v>
      </c>
      <c r="I14" s="169">
        <f ca="1">H14/E14</f>
        <v>1.2841930903928065</v>
      </c>
      <c r="J14" s="170">
        <f ca="1">MAX(0,1-G14-I14)</f>
        <v>0</v>
      </c>
      <c r="K14" s="29"/>
      <c r="L14" s="164" t="s">
        <v>1111</v>
      </c>
      <c r="M14" s="165">
        <f>VLOOKUP(L14,NFI,6,0)</f>
        <v>2</v>
      </c>
      <c r="N14" s="166">
        <f>$W$5*M14</f>
        <v>3588</v>
      </c>
      <c r="O14" s="167">
        <f ca="1">SUMIFS(Table_NFI[Winter Blanket_LS],Table_NFI[Priority],"P1",Table_NFI[Status],"open")</f>
        <v>346</v>
      </c>
      <c r="P14" s="168">
        <f ca="1">IF((O14/N14)&gt;100%,100%,(O14/N14))</f>
        <v>9.6432552954292081E-2</v>
      </c>
      <c r="Q14" s="167">
        <f ca="1">SUM(INDIRECT(VLOOKUP($L14,NFI,3,0)))</f>
        <v>652</v>
      </c>
      <c r="R14" s="169">
        <f t="shared" ref="R14" ca="1" si="12">Q14/N14</f>
        <v>0.18171683389074694</v>
      </c>
      <c r="S14" s="170">
        <f ca="1">MAX(0,1-P14-R14)</f>
        <v>0.72185061315496091</v>
      </c>
      <c r="T14" s="207"/>
      <c r="W14" s="36"/>
      <c r="X14" s="1"/>
      <c r="Y14" s="213"/>
      <c r="Z14" s="69">
        <f t="shared" ref="Z14" ca="1" si="13">IF((E14-(SUM(F14:H14)))&lt;0,0,(E14-(SUM(F14:H14))))</f>
        <v>0</v>
      </c>
      <c r="AA14" s="326">
        <f t="shared" ca="1" si="4"/>
        <v>0</v>
      </c>
      <c r="AB14" s="69">
        <f t="shared" ca="1" si="5"/>
        <v>0</v>
      </c>
      <c r="AC14" s="68">
        <f t="shared" ca="1" si="6"/>
        <v>0</v>
      </c>
      <c r="AD14" s="70">
        <f t="shared" ca="1" si="7"/>
        <v>0</v>
      </c>
      <c r="AE14" s="71">
        <f t="shared" ca="1" si="8"/>
        <v>0</v>
      </c>
      <c r="AF14" s="207"/>
    </row>
    <row r="15" spans="1:62" ht="13.5" customHeight="1" x14ac:dyDescent="0.25">
      <c r="B15" s="213"/>
      <c r="C15" s="164" t="s">
        <v>436</v>
      </c>
      <c r="D15" s="165">
        <f t="shared" si="0"/>
        <v>1</v>
      </c>
      <c r="E15" s="166">
        <f t="shared" si="10"/>
        <v>2113</v>
      </c>
      <c r="F15" s="167">
        <f ca="1">SUMIFS(Table_NFI[Kitchen Set_LS],Table_NFI[opening_date],1,Table_NFI[Status],"open")</f>
        <v>44</v>
      </c>
      <c r="G15" s="168">
        <f t="shared" ca="1" si="1"/>
        <v>2.0823473734027449E-2</v>
      </c>
      <c r="H15" s="167">
        <f t="shared" ca="1" si="11"/>
        <v>1153</v>
      </c>
      <c r="I15" s="169">
        <f ca="1">H15/E15</f>
        <v>0.54566966398485561</v>
      </c>
      <c r="J15" s="170">
        <f t="shared" ca="1" si="9"/>
        <v>0.4335068622811169</v>
      </c>
      <c r="K15" s="29"/>
      <c r="L15" s="29"/>
      <c r="M15" s="29"/>
      <c r="N15" s="29"/>
      <c r="O15" s="29"/>
      <c r="P15" s="29"/>
      <c r="Q15" s="29"/>
      <c r="R15" s="29"/>
      <c r="S15" s="29"/>
      <c r="T15" s="207"/>
      <c r="W15" s="36"/>
      <c r="X15" s="1"/>
      <c r="Y15" s="213"/>
      <c r="Z15" s="69">
        <f ca="1">IF((E15-(SUM(F15:H15)))&lt;0,0,(E15-(SUM(F15:H15))))</f>
        <v>915.97917652626597</v>
      </c>
      <c r="AA15" s="326">
        <f t="shared" ca="1" si="4"/>
        <v>0.43349700734797253</v>
      </c>
      <c r="AB15" s="69">
        <f t="shared" ca="1" si="5"/>
        <v>0</v>
      </c>
      <c r="AC15" s="68">
        <f t="shared" ca="1" si="6"/>
        <v>0</v>
      </c>
      <c r="AD15" s="70">
        <f t="shared" ca="1" si="7"/>
        <v>916</v>
      </c>
      <c r="AE15" s="71">
        <f t="shared" ca="1" si="8"/>
        <v>0.4335068622811169</v>
      </c>
      <c r="AF15" s="207"/>
    </row>
    <row r="16" spans="1:62" ht="13.5" customHeight="1" x14ac:dyDescent="0.25">
      <c r="B16" s="213"/>
      <c r="C16" s="164" t="s">
        <v>1218</v>
      </c>
      <c r="D16" s="165">
        <f t="shared" si="0"/>
        <v>1</v>
      </c>
      <c r="E16" s="166">
        <f t="shared" si="10"/>
        <v>2113</v>
      </c>
      <c r="F16" s="167">
        <f ca="1">SUMIFS(Table_NFI[Clothes Kit_LS],Table_NFI[opening_date],1,Table_NFI[Status],"open")</f>
        <v>0</v>
      </c>
      <c r="G16" s="168">
        <f t="shared" ca="1" si="1"/>
        <v>0</v>
      </c>
      <c r="H16" s="167">
        <f t="shared" ca="1" si="11"/>
        <v>0</v>
      </c>
      <c r="I16" s="169">
        <f t="shared" ref="I16:I18" ca="1" si="14">H16/E16</f>
        <v>0</v>
      </c>
      <c r="J16" s="170">
        <f t="shared" ca="1" si="9"/>
        <v>1</v>
      </c>
      <c r="K16" s="29"/>
      <c r="L16" s="29"/>
      <c r="M16" s="29"/>
      <c r="N16" s="29"/>
      <c r="O16" s="29"/>
      <c r="P16" s="29"/>
      <c r="Q16" s="29"/>
      <c r="R16" s="29"/>
      <c r="S16" s="29"/>
      <c r="T16" s="207"/>
      <c r="W16" s="36"/>
      <c r="X16" s="1"/>
      <c r="Y16" s="213"/>
      <c r="Z16" s="69">
        <f ca="1">IF((E16-(SUM(F16:H16)))&lt;0,0,(E16-(SUM(F16:H16))))</f>
        <v>2113</v>
      </c>
      <c r="AA16" s="326">
        <f t="shared" ca="1" si="4"/>
        <v>1</v>
      </c>
      <c r="AB16" s="69">
        <f t="shared" ca="1" si="5"/>
        <v>0</v>
      </c>
      <c r="AC16" s="68">
        <f t="shared" ca="1" si="6"/>
        <v>0</v>
      </c>
      <c r="AD16" s="70">
        <f t="shared" ca="1" si="7"/>
        <v>2113</v>
      </c>
      <c r="AE16" s="71">
        <f t="shared" ca="1" si="8"/>
        <v>1</v>
      </c>
      <c r="AF16" s="207"/>
    </row>
    <row r="17" spans="2:32" ht="13.5" customHeight="1" x14ac:dyDescent="0.25">
      <c r="B17" s="213"/>
      <c r="C17" s="164" t="s">
        <v>577</v>
      </c>
      <c r="D17" s="165">
        <f t="shared" si="0"/>
        <v>1</v>
      </c>
      <c r="E17" s="166">
        <f t="shared" si="10"/>
        <v>2113</v>
      </c>
      <c r="F17" s="167">
        <f ca="1">SUMIFS(Table_NFI[Plastic Bucket _LS],Table_NFI[opening_date],1,Table_NFI[Status],"open")</f>
        <v>82</v>
      </c>
      <c r="G17" s="168">
        <f t="shared" ca="1" si="1"/>
        <v>3.8807382867960247E-2</v>
      </c>
      <c r="H17" s="167">
        <f ca="1">SUM(INDIRECT(VLOOKUP($C17,NFI,3,0)))</f>
        <v>1092</v>
      </c>
      <c r="I17" s="169">
        <f t="shared" ca="1" si="14"/>
        <v>0.51680075721722674</v>
      </c>
      <c r="J17" s="170">
        <f t="shared" ca="1" si="9"/>
        <v>0.444391859914813</v>
      </c>
      <c r="K17" s="29"/>
      <c r="L17" s="29"/>
      <c r="M17" s="29"/>
      <c r="N17" s="29"/>
      <c r="O17" s="29"/>
      <c r="P17" s="29"/>
      <c r="Q17" s="29"/>
      <c r="R17" s="29"/>
      <c r="S17" s="29"/>
      <c r="T17" s="207"/>
      <c r="W17" s="36"/>
      <c r="X17" s="1"/>
      <c r="Y17" s="213"/>
      <c r="Z17" s="69">
        <f ca="1">IF((E17-(SUM(F17:H17)))&lt;0,0,(E17-(SUM(F17:H17))))</f>
        <v>938.96119261713193</v>
      </c>
      <c r="AA17" s="326">
        <f t="shared" ca="1" si="4"/>
        <v>0.44437349390304398</v>
      </c>
      <c r="AB17" s="69">
        <f t="shared" ca="1" si="5"/>
        <v>0</v>
      </c>
      <c r="AC17" s="68">
        <f t="shared" ca="1" si="6"/>
        <v>0</v>
      </c>
      <c r="AD17" s="70">
        <f t="shared" ca="1" si="7"/>
        <v>939</v>
      </c>
      <c r="AE17" s="71">
        <f t="shared" ca="1" si="8"/>
        <v>0.44439185991481306</v>
      </c>
      <c r="AF17" s="207"/>
    </row>
    <row r="18" spans="2:32" ht="13.5" customHeight="1" x14ac:dyDescent="0.25">
      <c r="B18" s="213"/>
      <c r="C18" s="164" t="s">
        <v>578</v>
      </c>
      <c r="D18" s="165">
        <f t="shared" si="0"/>
        <v>5</v>
      </c>
      <c r="E18" s="166">
        <f t="shared" si="10"/>
        <v>10565</v>
      </c>
      <c r="F18" s="167">
        <f ca="1">SUMIFS(Table_NFI[Plastic  Mat_LS],Table_NFI[opening_date],1,Table_NFI[Status],"open")</f>
        <v>505</v>
      </c>
      <c r="G18" s="168">
        <f ca="1">IF((F18/E18)&gt;100%,100%,(F18/E18))</f>
        <v>4.7799337434926648E-2</v>
      </c>
      <c r="H18" s="167">
        <f t="shared" ca="1" si="11"/>
        <v>5853</v>
      </c>
      <c r="I18" s="169">
        <f t="shared" ca="1" si="14"/>
        <v>0.55399905347846667</v>
      </c>
      <c r="J18" s="170">
        <f t="shared" ca="1" si="9"/>
        <v>0.39820160908660673</v>
      </c>
      <c r="K18" s="29"/>
      <c r="L18" s="29"/>
      <c r="M18" s="29"/>
      <c r="N18" s="29"/>
      <c r="O18" s="29"/>
      <c r="P18" s="29"/>
      <c r="Q18" s="29"/>
      <c r="R18" s="29"/>
      <c r="S18" s="29"/>
      <c r="T18" s="207"/>
      <c r="W18" s="36"/>
      <c r="X18" s="1"/>
      <c r="Y18" s="213"/>
      <c r="Z18" s="69">
        <f ca="1">IF((E18-(SUM(F18:H18)))&lt;0,0,(E18-(SUM(F18:H18))))</f>
        <v>4206.9522006625648</v>
      </c>
      <c r="AA18" s="326">
        <f t="shared" ca="1" si="4"/>
        <v>0.39819708477639043</v>
      </c>
      <c r="AB18" s="69">
        <f t="shared" ca="1" si="5"/>
        <v>0</v>
      </c>
      <c r="AC18" s="68">
        <f t="shared" ca="1" si="6"/>
        <v>0</v>
      </c>
      <c r="AD18" s="70">
        <f t="shared" ca="1" si="7"/>
        <v>4207</v>
      </c>
      <c r="AE18" s="71">
        <f t="shared" ca="1" si="8"/>
        <v>0.39820160908660673</v>
      </c>
      <c r="AF18" s="207"/>
    </row>
    <row r="19" spans="2:32" s="92" customFormat="1" ht="14.25" customHeight="1" x14ac:dyDescent="0.25">
      <c r="B19" s="213"/>
      <c r="C19" s="29"/>
      <c r="D19" s="29"/>
      <c r="E19" s="29"/>
      <c r="F19" s="29"/>
      <c r="G19" s="29"/>
      <c r="H19" s="29"/>
      <c r="I19" s="29"/>
      <c r="J19" s="29"/>
      <c r="K19" s="29"/>
      <c r="L19" s="29"/>
      <c r="M19" s="29"/>
      <c r="N19" s="29"/>
      <c r="O19" s="29"/>
      <c r="P19" s="29"/>
      <c r="Q19" s="29"/>
      <c r="R19" s="29"/>
      <c r="S19" s="29"/>
      <c r="T19" s="207"/>
      <c r="W19" s="36"/>
      <c r="X19" s="1"/>
      <c r="Y19" s="213"/>
      <c r="Z19" s="69">
        <f ca="1">IF((N12-(SUM(O12:Q12)))&lt;0,0,(N12-(SUM(O12:Q12))))</f>
        <v>2877.8021181716831</v>
      </c>
      <c r="AA19" s="326">
        <f ca="1">Z19/N12</f>
        <v>0.80206302067215252</v>
      </c>
      <c r="AB19" s="69">
        <f ca="1">SUMIFS(INDIRECT(VLOOKUP($L12,NFI,4,0)),NFI_Pipeline_State,$C$6)</f>
        <v>0</v>
      </c>
      <c r="AC19" s="68">
        <f ca="1">AB19/N12</f>
        <v>0</v>
      </c>
      <c r="AD19" s="70">
        <f ca="1">IF((N12-(O12+Q12+AB19))&lt;0,0,(N12-(O12+Q12+AB19)))</f>
        <v>2878</v>
      </c>
      <c r="AE19" s="71">
        <f ca="1">AD19/N12</f>
        <v>0.80211817168338906</v>
      </c>
      <c r="AF19" s="207"/>
    </row>
    <row r="20" spans="2:32" s="92" customFormat="1" ht="12.75" customHeight="1" x14ac:dyDescent="0.25">
      <c r="B20" s="213"/>
      <c r="C20" s="29"/>
      <c r="D20" s="29"/>
      <c r="E20" s="29"/>
      <c r="F20" s="29"/>
      <c r="G20" s="29"/>
      <c r="H20" s="29"/>
      <c r="I20" s="29"/>
      <c r="J20" s="29"/>
      <c r="K20" s="29"/>
      <c r="L20" s="29"/>
      <c r="M20" s="29"/>
      <c r="N20" s="29"/>
      <c r="O20" s="29"/>
      <c r="P20" s="29"/>
      <c r="Q20" s="29"/>
      <c r="R20" s="29"/>
      <c r="S20" s="29"/>
      <c r="T20" s="207"/>
      <c r="W20" s="36"/>
      <c r="X20" s="1"/>
      <c r="Y20" s="213"/>
      <c r="Z20" s="69">
        <f ca="1">IF((N13-(SUM(O13:Q13)))&lt;0,0,(N13-(SUM(O13:Q13))))</f>
        <v>3441.7259383128949</v>
      </c>
      <c r="AA20" s="326">
        <f ca="1">Z20/N13</f>
        <v>0.63948828285263748</v>
      </c>
      <c r="AB20" s="69">
        <f ca="1">SUMIFS(INDIRECT(VLOOKUP($L13,NFI,4,0)),NFI_Pipeline_State,$C$6)</f>
        <v>0</v>
      </c>
      <c r="AC20" s="68">
        <f ca="1">AB20/N13</f>
        <v>0</v>
      </c>
      <c r="AD20" s="70">
        <f ca="1">IF((N13-(O13+Q13+AB20))&lt;0,0,(N13-(O13+Q13+AB20)))</f>
        <v>3442</v>
      </c>
      <c r="AE20" s="71">
        <f ca="1">AD20/N13</f>
        <v>0.63953920475659609</v>
      </c>
      <c r="AF20" s="207"/>
    </row>
    <row r="21" spans="2:32" ht="12.75" customHeight="1" x14ac:dyDescent="0.25">
      <c r="B21" s="213"/>
      <c r="C21" s="29"/>
      <c r="D21" s="29"/>
      <c r="E21" s="29"/>
      <c r="F21" s="29"/>
      <c r="G21" s="29"/>
      <c r="H21" s="29"/>
      <c r="I21" s="29"/>
      <c r="J21" s="29"/>
      <c r="K21" s="29"/>
      <c r="L21" s="29"/>
      <c r="M21" s="29"/>
      <c r="N21" s="29"/>
      <c r="O21" s="29"/>
      <c r="P21" s="29"/>
      <c r="Q21" s="29"/>
      <c r="R21" s="29"/>
      <c r="S21" s="29"/>
      <c r="T21" s="207"/>
      <c r="W21" s="36"/>
      <c r="X21" s="1"/>
      <c r="Y21" s="213"/>
      <c r="Z21" s="69">
        <f ca="1">IF((N14-(SUM(O14:Q14)))&lt;0,0,(N14-(SUM(O14:Q14))))</f>
        <v>2589.9035674470456</v>
      </c>
      <c r="AA21" s="326">
        <f ca="1">Z21/N14</f>
        <v>0.72182373674666822</v>
      </c>
      <c r="AB21" s="69">
        <f ca="1">SUMIFS(INDIRECT(VLOOKUP($L14,NFI,4,0)),NFI_Pipeline_State,$C$6)</f>
        <v>0</v>
      </c>
      <c r="AC21" s="68">
        <f ca="1">AB21/N14</f>
        <v>0</v>
      </c>
      <c r="AD21" s="70">
        <f ca="1">IF((N14-(O14+Q14+AB21))&lt;0,0,(N14-(O14+Q14+AB21)))</f>
        <v>2590</v>
      </c>
      <c r="AE21" s="71">
        <f ca="1">AD21/N14</f>
        <v>0.72185061315496102</v>
      </c>
      <c r="AF21" s="207"/>
    </row>
    <row r="22" spans="2:32" ht="12.75" customHeight="1" thickBot="1" x14ac:dyDescent="0.3">
      <c r="B22" s="213"/>
      <c r="C22" s="29"/>
      <c r="D22" s="29"/>
      <c r="E22" s="29"/>
      <c r="F22" s="29"/>
      <c r="G22" s="29"/>
      <c r="H22" s="29"/>
      <c r="I22" s="29"/>
      <c r="J22" s="29"/>
      <c r="K22" s="29"/>
      <c r="L22" s="29"/>
      <c r="M22" s="29"/>
      <c r="N22" s="29"/>
      <c r="O22" s="29"/>
      <c r="P22" s="29"/>
      <c r="Q22" s="29"/>
      <c r="R22" s="29"/>
      <c r="S22" s="29"/>
      <c r="T22" s="207"/>
      <c r="W22" s="202"/>
      <c r="X22" s="203"/>
      <c r="Y22" s="214"/>
      <c r="Z22" s="204"/>
      <c r="AA22" s="204"/>
      <c r="AB22" s="204"/>
      <c r="AC22" s="204"/>
      <c r="AD22" s="204"/>
      <c r="AE22" s="204"/>
      <c r="AF22" s="212"/>
    </row>
    <row r="23" spans="2:32" ht="12.75" customHeight="1" x14ac:dyDescent="0.25">
      <c r="B23" s="213"/>
      <c r="C23" s="29"/>
      <c r="D23" s="29"/>
      <c r="E23" s="29"/>
      <c r="F23" s="29"/>
      <c r="G23" s="29"/>
      <c r="H23" s="29"/>
      <c r="I23" s="29"/>
      <c r="J23" s="29"/>
      <c r="K23" s="29"/>
      <c r="L23" s="29"/>
      <c r="M23" s="29"/>
      <c r="N23" s="29"/>
      <c r="O23" s="29"/>
      <c r="P23" s="29"/>
      <c r="Q23" s="29"/>
      <c r="R23" s="29"/>
      <c r="S23" s="29"/>
      <c r="T23" s="207"/>
      <c r="Y23" s="1"/>
    </row>
    <row r="24" spans="2:32" ht="12.75" customHeight="1" x14ac:dyDescent="0.25">
      <c r="B24" s="213"/>
      <c r="C24" s="29"/>
      <c r="D24" s="29"/>
      <c r="E24" s="29"/>
      <c r="F24" s="29"/>
      <c r="G24" s="29"/>
      <c r="H24" s="29"/>
      <c r="I24" s="29"/>
      <c r="J24" s="29"/>
      <c r="K24" s="29"/>
      <c r="L24" s="29"/>
      <c r="M24" s="29"/>
      <c r="N24" s="29"/>
      <c r="O24" s="29"/>
      <c r="P24" s="29"/>
      <c r="Q24" s="29"/>
      <c r="R24" s="29"/>
      <c r="S24" s="29"/>
      <c r="T24" s="207"/>
      <c r="Y24" s="1"/>
    </row>
    <row r="25" spans="2:32" ht="12.75" customHeight="1" x14ac:dyDescent="0.25">
      <c r="B25" s="213"/>
      <c r="C25" s="29"/>
      <c r="D25" s="29"/>
      <c r="E25" s="29"/>
      <c r="F25" s="29"/>
      <c r="G25" s="29"/>
      <c r="H25" s="29"/>
      <c r="I25" s="29"/>
      <c r="J25" s="29"/>
      <c r="K25" s="29"/>
      <c r="L25" s="29"/>
      <c r="M25" s="29"/>
      <c r="N25" s="29"/>
      <c r="O25" s="29"/>
      <c r="P25" s="29"/>
      <c r="Q25" s="29"/>
      <c r="R25" s="29"/>
      <c r="S25" s="29"/>
      <c r="T25" s="207"/>
    </row>
    <row r="26" spans="2:32" ht="12.75" customHeight="1" x14ac:dyDescent="0.25">
      <c r="B26" s="213"/>
      <c r="C26" s="29"/>
      <c r="D26" s="29"/>
      <c r="E26" s="29"/>
      <c r="F26" s="29"/>
      <c r="G26" s="29"/>
      <c r="H26" s="29"/>
      <c r="I26" s="29"/>
      <c r="J26" s="29"/>
      <c r="K26" s="29"/>
      <c r="L26" s="29"/>
      <c r="M26" s="29"/>
      <c r="N26" s="29"/>
      <c r="O26" s="29"/>
      <c r="P26" s="29"/>
      <c r="Q26" s="29"/>
      <c r="R26" s="29"/>
      <c r="S26" s="29"/>
      <c r="T26" s="207"/>
    </row>
    <row r="27" spans="2:32" x14ac:dyDescent="0.25">
      <c r="B27" s="213"/>
      <c r="C27" s="29"/>
      <c r="D27" s="29"/>
      <c r="E27" s="29"/>
      <c r="F27" s="29"/>
      <c r="G27" s="29"/>
      <c r="H27" s="29"/>
      <c r="I27" s="29"/>
      <c r="J27" s="29"/>
      <c r="K27" s="29"/>
      <c r="L27" s="29"/>
      <c r="M27" s="29"/>
      <c r="N27" s="29"/>
      <c r="O27" s="29"/>
      <c r="P27" s="29"/>
      <c r="Q27" s="29"/>
      <c r="R27" s="29"/>
      <c r="S27" s="29"/>
      <c r="T27" s="207"/>
    </row>
    <row r="28" spans="2:32" x14ac:dyDescent="0.25">
      <c r="B28" s="213"/>
      <c r="C28" s="29"/>
      <c r="D28" s="29"/>
      <c r="E28" s="29"/>
      <c r="F28" s="29"/>
      <c r="G28" s="29"/>
      <c r="H28" s="29"/>
      <c r="I28" s="29"/>
      <c r="J28" s="29"/>
      <c r="K28" s="29"/>
      <c r="L28" s="29"/>
      <c r="M28" s="29"/>
      <c r="N28" s="29"/>
      <c r="O28" s="29"/>
      <c r="P28" s="29"/>
      <c r="Q28" s="29"/>
      <c r="R28" s="29"/>
      <c r="S28" s="29"/>
      <c r="T28" s="207"/>
    </row>
    <row r="29" spans="2:32" x14ac:dyDescent="0.25">
      <c r="B29" s="213"/>
      <c r="C29" s="29"/>
      <c r="D29" s="29"/>
      <c r="E29" s="29"/>
      <c r="F29" s="29"/>
      <c r="G29" s="29"/>
      <c r="H29" s="29"/>
      <c r="I29" s="29"/>
      <c r="J29" s="29"/>
      <c r="K29" s="29"/>
      <c r="L29" s="29"/>
      <c r="M29" s="29"/>
      <c r="N29" s="29"/>
      <c r="O29" s="29"/>
      <c r="P29" s="29"/>
      <c r="Q29" s="29"/>
      <c r="R29" s="29"/>
      <c r="S29" s="29"/>
      <c r="T29" s="207"/>
    </row>
    <row r="30" spans="2:32" x14ac:dyDescent="0.25">
      <c r="B30" s="213"/>
      <c r="C30" s="29"/>
      <c r="D30" s="29"/>
      <c r="E30" s="29"/>
      <c r="F30" s="29"/>
      <c r="G30" s="29"/>
      <c r="H30" s="29"/>
      <c r="I30" s="29"/>
      <c r="J30" s="29"/>
      <c r="K30" s="29"/>
      <c r="L30" s="29"/>
      <c r="M30" s="29"/>
      <c r="N30" s="29"/>
      <c r="O30" s="29"/>
      <c r="P30" s="29"/>
      <c r="Q30" s="29"/>
      <c r="R30" s="29"/>
      <c r="S30" s="29"/>
      <c r="T30" s="207"/>
    </row>
    <row r="31" spans="2:32" s="92" customFormat="1" x14ac:dyDescent="0.25">
      <c r="B31" s="213"/>
      <c r="C31" s="29"/>
      <c r="D31" s="29"/>
      <c r="E31" s="29"/>
      <c r="F31" s="29"/>
      <c r="G31" s="29"/>
      <c r="H31" s="29"/>
      <c r="I31" s="29"/>
      <c r="J31" s="29"/>
      <c r="K31" s="29"/>
      <c r="L31" s="29"/>
      <c r="M31" s="29"/>
      <c r="N31" s="29"/>
      <c r="O31" s="29"/>
      <c r="P31" s="29"/>
      <c r="Q31" s="29"/>
      <c r="R31" s="29"/>
      <c r="S31" s="29"/>
      <c r="T31" s="207"/>
    </row>
    <row r="32" spans="2:32" s="92" customFormat="1" x14ac:dyDescent="0.25">
      <c r="B32" s="213"/>
      <c r="C32" s="29"/>
      <c r="D32" s="29"/>
      <c r="E32" s="29"/>
      <c r="F32" s="29"/>
      <c r="G32" s="29"/>
      <c r="H32" s="29"/>
      <c r="I32" s="29"/>
      <c r="J32" s="29"/>
      <c r="K32" s="29"/>
      <c r="L32" s="29"/>
      <c r="M32" s="29"/>
      <c r="N32" s="29"/>
      <c r="O32" s="29"/>
      <c r="P32" s="29"/>
      <c r="Q32" s="29"/>
      <c r="R32" s="29"/>
      <c r="S32" s="29"/>
      <c r="T32" s="207"/>
    </row>
    <row r="33" spans="2:20" x14ac:dyDescent="0.25">
      <c r="B33" s="213"/>
      <c r="C33" s="29"/>
      <c r="D33" s="29"/>
      <c r="E33" s="29"/>
      <c r="F33" s="29"/>
      <c r="G33" s="29"/>
      <c r="H33" s="29"/>
      <c r="I33" s="29"/>
      <c r="J33" s="29"/>
      <c r="K33" s="29"/>
      <c r="L33" s="29"/>
      <c r="M33" s="29"/>
      <c r="N33" s="29"/>
      <c r="O33" s="29"/>
      <c r="P33" s="29"/>
      <c r="Q33" s="29"/>
      <c r="R33" s="29"/>
      <c r="S33" s="29"/>
      <c r="T33" s="207"/>
    </row>
    <row r="34" spans="2:20" x14ac:dyDescent="0.25">
      <c r="B34" s="213"/>
      <c r="C34" s="29"/>
      <c r="D34" s="29"/>
      <c r="E34" s="29"/>
      <c r="F34" s="29"/>
      <c r="G34" s="29"/>
      <c r="H34" s="29"/>
      <c r="I34" s="29"/>
      <c r="J34" s="29"/>
      <c r="K34" s="29"/>
      <c r="L34" s="29"/>
      <c r="M34" s="29"/>
      <c r="N34" s="29"/>
      <c r="O34" s="29"/>
      <c r="P34" s="29"/>
      <c r="Q34" s="29"/>
      <c r="R34" s="29"/>
      <c r="S34" s="29"/>
      <c r="T34" s="207"/>
    </row>
    <row r="35" spans="2:20" x14ac:dyDescent="0.25">
      <c r="B35" s="213"/>
      <c r="C35" s="29"/>
      <c r="D35" s="29"/>
      <c r="E35" s="29"/>
      <c r="F35" s="29"/>
      <c r="G35" s="29"/>
      <c r="H35" s="29"/>
      <c r="I35" s="29"/>
      <c r="J35" s="29"/>
      <c r="K35" s="29"/>
      <c r="L35" s="29"/>
      <c r="M35" s="29"/>
      <c r="N35" s="29"/>
      <c r="O35" s="29"/>
      <c r="P35" s="29"/>
      <c r="Q35" s="29"/>
      <c r="R35" s="29"/>
      <c r="S35" s="29"/>
      <c r="T35" s="207"/>
    </row>
    <row r="36" spans="2:20" s="92" customFormat="1" ht="4.1500000000000004" customHeight="1" x14ac:dyDescent="0.25">
      <c r="B36" s="213"/>
      <c r="C36" s="29"/>
      <c r="D36" s="29"/>
      <c r="E36" s="29"/>
      <c r="F36" s="29"/>
      <c r="G36" s="29"/>
      <c r="H36" s="29"/>
      <c r="I36" s="29"/>
      <c r="J36" s="29"/>
      <c r="K36" s="29"/>
      <c r="L36" s="29"/>
      <c r="M36" s="29"/>
      <c r="N36" s="29"/>
      <c r="O36" s="29"/>
      <c r="P36" s="29"/>
      <c r="Q36" s="29"/>
      <c r="R36" s="29"/>
      <c r="S36" s="29"/>
      <c r="T36" s="207"/>
    </row>
    <row r="37" spans="2:20" s="92" customFormat="1" x14ac:dyDescent="0.25">
      <c r="B37" s="213"/>
      <c r="C37" s="29"/>
      <c r="D37" s="29"/>
      <c r="E37" s="29"/>
      <c r="F37" s="29"/>
      <c r="G37" s="29"/>
      <c r="H37" s="29"/>
      <c r="I37" s="29"/>
      <c r="J37" s="29"/>
      <c r="K37" s="29"/>
      <c r="L37" s="29"/>
      <c r="M37" s="29"/>
      <c r="N37" s="29"/>
      <c r="O37" s="29"/>
      <c r="P37" s="29"/>
      <c r="Q37" s="29"/>
      <c r="R37" s="29"/>
      <c r="S37" s="29"/>
      <c r="T37" s="207"/>
    </row>
    <row r="38" spans="2:20" ht="18" customHeight="1" x14ac:dyDescent="0.25">
      <c r="B38" s="213"/>
      <c r="C38" s="29"/>
      <c r="D38" s="29"/>
      <c r="E38" s="29"/>
      <c r="F38" s="29"/>
      <c r="G38" s="29"/>
      <c r="H38" s="29"/>
      <c r="I38" s="29"/>
      <c r="J38" s="29"/>
      <c r="K38" s="29"/>
      <c r="L38" s="29"/>
      <c r="M38" s="29"/>
      <c r="N38" s="29"/>
      <c r="O38" s="29"/>
      <c r="P38" s="29"/>
      <c r="Q38" s="29"/>
      <c r="R38" s="29"/>
      <c r="S38" s="29"/>
      <c r="T38" s="207"/>
    </row>
    <row r="39" spans="2:20" ht="7.5" customHeight="1" thickBot="1" x14ac:dyDescent="0.3">
      <c r="B39" s="214"/>
      <c r="C39" s="204"/>
      <c r="D39" s="204"/>
      <c r="E39" s="204"/>
      <c r="F39" s="204"/>
      <c r="G39" s="204"/>
      <c r="H39" s="204"/>
      <c r="I39" s="204"/>
      <c r="J39" s="204"/>
      <c r="K39" s="204"/>
      <c r="L39" s="204"/>
      <c r="M39" s="204"/>
      <c r="N39" s="204"/>
      <c r="O39" s="204"/>
      <c r="P39" s="204"/>
      <c r="Q39" s="204"/>
      <c r="R39" s="204"/>
      <c r="S39" s="204"/>
      <c r="T39" s="212"/>
    </row>
    <row r="40" spans="2:20" x14ac:dyDescent="0.25">
      <c r="C40" s="5"/>
      <c r="D40" s="5"/>
      <c r="E40" s="5"/>
      <c r="F40" s="5"/>
      <c r="G40" s="5"/>
      <c r="H40" s="5"/>
      <c r="I40" s="5"/>
      <c r="J40" s="5"/>
      <c r="K40" s="5"/>
      <c r="L40" s="5"/>
      <c r="M40" s="5"/>
      <c r="N40" s="5"/>
      <c r="O40" s="5"/>
      <c r="P40" s="5"/>
      <c r="Q40" s="5"/>
    </row>
    <row r="42" spans="2:20" ht="3.75" customHeight="1" x14ac:dyDescent="0.25"/>
    <row r="43" spans="2:20" x14ac:dyDescent="0.25">
      <c r="J43" s="28"/>
      <c r="K43" s="28"/>
    </row>
    <row r="48" spans="2:20" x14ac:dyDescent="0.25">
      <c r="C48"/>
      <c r="D48"/>
      <c r="E48"/>
      <c r="F48"/>
      <c r="G48"/>
      <c r="H48"/>
      <c r="I48"/>
      <c r="J48"/>
    </row>
    <row r="79" spans="3:10" x14ac:dyDescent="0.25">
      <c r="C79"/>
      <c r="D79"/>
      <c r="E79"/>
      <c r="F79"/>
      <c r="G79"/>
      <c r="H79"/>
      <c r="I79"/>
      <c r="J79"/>
    </row>
    <row r="80" spans="3:10" x14ac:dyDescent="0.25">
      <c r="C80"/>
      <c r="D80"/>
      <c r="E80"/>
      <c r="F80"/>
      <c r="G80"/>
      <c r="H80"/>
      <c r="I80"/>
      <c r="J80"/>
    </row>
    <row r="81" spans="3:10" x14ac:dyDescent="0.25">
      <c r="C81"/>
      <c r="D81"/>
      <c r="E81"/>
      <c r="F81"/>
      <c r="G81"/>
      <c r="H81"/>
      <c r="I81"/>
      <c r="J81"/>
    </row>
    <row r="82" spans="3:10" x14ac:dyDescent="0.25">
      <c r="C82"/>
      <c r="D82"/>
      <c r="E82"/>
      <c r="F82"/>
      <c r="G82"/>
      <c r="H82"/>
      <c r="I82"/>
      <c r="J82"/>
    </row>
    <row r="83" spans="3:10" x14ac:dyDescent="0.25">
      <c r="C83"/>
      <c r="D83"/>
      <c r="E83"/>
      <c r="F83"/>
      <c r="G83"/>
      <c r="H83"/>
      <c r="I83"/>
      <c r="J83"/>
    </row>
    <row r="84" spans="3:10" x14ac:dyDescent="0.25">
      <c r="C84"/>
      <c r="D84"/>
      <c r="E84"/>
      <c r="F84"/>
      <c r="G84"/>
      <c r="H84"/>
      <c r="I84"/>
      <c r="J84"/>
    </row>
    <row r="85" spans="3:10" x14ac:dyDescent="0.25">
      <c r="C85"/>
      <c r="D85"/>
      <c r="E85"/>
      <c r="F85"/>
      <c r="G85"/>
      <c r="H85"/>
      <c r="I85"/>
      <c r="J85"/>
    </row>
    <row r="86" spans="3:10" x14ac:dyDescent="0.25">
      <c r="C86"/>
      <c r="D86"/>
      <c r="E86"/>
      <c r="F86"/>
      <c r="G86"/>
      <c r="H86"/>
      <c r="I86"/>
      <c r="J86"/>
    </row>
    <row r="87" spans="3:10" x14ac:dyDescent="0.25">
      <c r="C87"/>
      <c r="D87"/>
      <c r="E87"/>
      <c r="F87"/>
      <c r="G87"/>
      <c r="H87"/>
      <c r="I87"/>
      <c r="J87"/>
    </row>
    <row r="88" spans="3:10" x14ac:dyDescent="0.25">
      <c r="C88"/>
      <c r="D88"/>
      <c r="E88"/>
      <c r="F88"/>
      <c r="G88"/>
      <c r="H88"/>
      <c r="I88"/>
      <c r="J88"/>
    </row>
    <row r="89" spans="3:10" x14ac:dyDescent="0.25">
      <c r="C89"/>
      <c r="D89"/>
      <c r="E89"/>
      <c r="F89"/>
      <c r="G89"/>
      <c r="H89"/>
      <c r="I89"/>
      <c r="J89"/>
    </row>
    <row r="90" spans="3:10" x14ac:dyDescent="0.25">
      <c r="C90"/>
      <c r="D90"/>
      <c r="E90"/>
      <c r="F90"/>
      <c r="G90"/>
      <c r="H90"/>
      <c r="I90"/>
      <c r="J90"/>
    </row>
    <row r="91" spans="3:10" x14ac:dyDescent="0.25">
      <c r="C91"/>
      <c r="D91"/>
      <c r="E91"/>
      <c r="F91"/>
      <c r="G91"/>
      <c r="H91"/>
      <c r="I91"/>
      <c r="J91"/>
    </row>
    <row r="92" spans="3:10" x14ac:dyDescent="0.25">
      <c r="C92"/>
      <c r="D92"/>
      <c r="E92"/>
      <c r="F92"/>
      <c r="G92"/>
      <c r="H92"/>
      <c r="I92"/>
      <c r="J92"/>
    </row>
    <row r="93" spans="3:10" x14ac:dyDescent="0.25">
      <c r="C93"/>
      <c r="D93"/>
      <c r="E93"/>
      <c r="F93"/>
      <c r="G93"/>
      <c r="H93"/>
      <c r="I93"/>
      <c r="J93"/>
    </row>
    <row r="94" spans="3:10" x14ac:dyDescent="0.25">
      <c r="C94"/>
      <c r="D94"/>
      <c r="E94"/>
      <c r="F94"/>
      <c r="G94"/>
      <c r="H94"/>
      <c r="I94"/>
      <c r="J94"/>
    </row>
    <row r="95" spans="3:10" x14ac:dyDescent="0.25">
      <c r="C95"/>
      <c r="D95"/>
      <c r="E95"/>
      <c r="F95"/>
      <c r="G95"/>
      <c r="H95"/>
      <c r="I95"/>
      <c r="J95"/>
    </row>
    <row r="96" spans="3:10" x14ac:dyDescent="0.25">
      <c r="C96"/>
      <c r="D96"/>
      <c r="E96"/>
      <c r="F96"/>
      <c r="G96"/>
      <c r="H96"/>
      <c r="I96"/>
      <c r="J96"/>
    </row>
    <row r="97" spans="3:10" x14ac:dyDescent="0.25">
      <c r="C97"/>
      <c r="D97"/>
      <c r="E97"/>
      <c r="F97"/>
      <c r="G97"/>
      <c r="H97"/>
      <c r="I97"/>
      <c r="J97"/>
    </row>
    <row r="98" spans="3:10" x14ac:dyDescent="0.25">
      <c r="C98"/>
      <c r="D98"/>
      <c r="E98"/>
      <c r="F98"/>
      <c r="G98"/>
      <c r="H98"/>
      <c r="I98"/>
      <c r="J98"/>
    </row>
    <row r="99" spans="3:10" x14ac:dyDescent="0.25">
      <c r="C99"/>
      <c r="D99"/>
      <c r="E99"/>
      <c r="F99"/>
      <c r="G99"/>
      <c r="H99"/>
      <c r="I99"/>
      <c r="J99"/>
    </row>
    <row r="100" spans="3:10" x14ac:dyDescent="0.25">
      <c r="C100"/>
      <c r="D100"/>
      <c r="E100"/>
      <c r="F100"/>
      <c r="G100"/>
      <c r="H100"/>
      <c r="I100"/>
      <c r="J100"/>
    </row>
    <row r="101" spans="3:10" x14ac:dyDescent="0.25">
      <c r="C101"/>
      <c r="D101"/>
      <c r="E101"/>
      <c r="F101"/>
      <c r="G101"/>
      <c r="H101"/>
      <c r="I101"/>
      <c r="J101"/>
    </row>
  </sheetData>
  <mergeCells count="1">
    <mergeCell ref="C5:H5"/>
  </mergeCells>
  <printOptions horizontalCentered="1" verticalCentered="1"/>
  <pageMargins left="0.19685039370078741" right="0.19685039370078741" top="0.28999999999999998" bottom="0.19685039370078741" header="0" footer="0"/>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278"/>
  <sheetViews>
    <sheetView topLeftCell="C1" workbookViewId="0">
      <selection activeCell="G13" sqref="G4:G246"/>
      <pivotSelection pane="bottomRight" showHeader="1" activeRow="12" activeCol="6" click="1" r:id="rId4">
        <pivotArea dataOnly="0" labelOnly="1" outline="0" fieldPosition="0">
          <references count="1">
            <reference field="11" count="0"/>
          </references>
        </pivotArea>
      </pivotSelection>
    </sheetView>
  </sheetViews>
  <sheetFormatPr defaultRowHeight="15" x14ac:dyDescent="0.25"/>
  <cols>
    <col min="1" max="1" width="13.85546875" customWidth="1"/>
    <col min="2" max="2" width="56.5703125" customWidth="1"/>
    <col min="3"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0.140625" bestFit="1" customWidth="1"/>
    <col min="13" max="13" width="16.140625" style="92" bestFit="1" customWidth="1"/>
    <col min="14" max="14" width="56.7109375" style="92" bestFit="1" customWidth="1"/>
    <col min="15" max="15" width="13.85546875" style="92" bestFit="1" customWidth="1"/>
    <col min="16" max="16" width="10.140625" style="92" bestFit="1" customWidth="1"/>
    <col min="17" max="17" width="12" bestFit="1" customWidth="1"/>
    <col min="21" max="21" width="16.140625" bestFit="1" customWidth="1"/>
    <col min="22" max="22" width="23.28515625" customWidth="1"/>
  </cols>
  <sheetData>
    <row r="1" spans="1:22" x14ac:dyDescent="0.25">
      <c r="A1" s="341" t="s">
        <v>498</v>
      </c>
      <c r="B1" s="333" t="s">
        <v>596</v>
      </c>
      <c r="M1" s="341" t="s">
        <v>498</v>
      </c>
      <c r="N1" s="333" t="s">
        <v>596</v>
      </c>
    </row>
    <row r="2" spans="1:22" x14ac:dyDescent="0.25">
      <c r="G2" s="91"/>
      <c r="U2" s="341" t="s">
        <v>498</v>
      </c>
      <c r="V2" s="333" t="s">
        <v>596</v>
      </c>
    </row>
    <row r="3" spans="1:22" x14ac:dyDescent="0.25">
      <c r="A3" s="341" t="s">
        <v>0</v>
      </c>
      <c r="B3" s="341" t="s">
        <v>554</v>
      </c>
      <c r="G3" s="341" t="s">
        <v>554</v>
      </c>
      <c r="H3" s="341" t="s">
        <v>925</v>
      </c>
      <c r="I3" s="341" t="s">
        <v>498</v>
      </c>
      <c r="J3" t="s">
        <v>868</v>
      </c>
      <c r="M3" s="341" t="s">
        <v>925</v>
      </c>
      <c r="N3" s="341" t="s">
        <v>554</v>
      </c>
      <c r="O3" s="341" t="s">
        <v>1183</v>
      </c>
      <c r="P3" s="341" t="s">
        <v>0</v>
      </c>
      <c r="Q3" s="333" t="s">
        <v>868</v>
      </c>
      <c r="R3" s="333" t="s">
        <v>826</v>
      </c>
    </row>
    <row r="4" spans="1:22" x14ac:dyDescent="0.25">
      <c r="A4" s="333" t="s">
        <v>5</v>
      </c>
      <c r="B4" s="333" t="s">
        <v>6</v>
      </c>
      <c r="G4" s="333" t="s">
        <v>128</v>
      </c>
      <c r="H4" s="333" t="s">
        <v>127</v>
      </c>
      <c r="I4" s="333" t="s">
        <v>843</v>
      </c>
      <c r="J4" s="335">
        <v>0</v>
      </c>
      <c r="M4" s="333" t="s">
        <v>236</v>
      </c>
      <c r="N4" s="333" t="s">
        <v>238</v>
      </c>
      <c r="O4" s="333" t="s">
        <v>237</v>
      </c>
      <c r="P4" s="333" t="s">
        <v>237</v>
      </c>
      <c r="Q4" s="335">
        <v>48</v>
      </c>
      <c r="R4" s="335">
        <v>247</v>
      </c>
      <c r="U4" s="341" t="s">
        <v>925</v>
      </c>
      <c r="V4" s="341" t="s">
        <v>401</v>
      </c>
    </row>
    <row r="5" spans="1:22" x14ac:dyDescent="0.25">
      <c r="A5" s="333" t="s">
        <v>5</v>
      </c>
      <c r="B5" s="333" t="s">
        <v>512</v>
      </c>
      <c r="G5" s="333" t="s">
        <v>62</v>
      </c>
      <c r="H5" s="333" t="s">
        <v>61</v>
      </c>
      <c r="I5" s="333" t="s">
        <v>500</v>
      </c>
      <c r="J5" s="335">
        <v>67</v>
      </c>
      <c r="M5" s="333" t="s">
        <v>268</v>
      </c>
      <c r="N5" s="333" t="s">
        <v>269</v>
      </c>
      <c r="O5" s="333" t="s">
        <v>237</v>
      </c>
      <c r="P5" s="333" t="s">
        <v>237</v>
      </c>
      <c r="Q5" s="335">
        <v>62</v>
      </c>
      <c r="R5" s="335">
        <v>264</v>
      </c>
      <c r="U5" s="333" t="s">
        <v>236</v>
      </c>
      <c r="V5" s="333" t="s">
        <v>554</v>
      </c>
    </row>
    <row r="6" spans="1:22" x14ac:dyDescent="0.25">
      <c r="A6" s="333" t="s">
        <v>5</v>
      </c>
      <c r="B6" s="333" t="s">
        <v>10</v>
      </c>
      <c r="G6" s="333" t="s">
        <v>120</v>
      </c>
      <c r="H6" s="333" t="s">
        <v>119</v>
      </c>
      <c r="I6" s="333" t="s">
        <v>500</v>
      </c>
      <c r="J6" s="335">
        <v>77</v>
      </c>
      <c r="M6" s="333" t="s">
        <v>250</v>
      </c>
      <c r="N6" s="333" t="s">
        <v>251</v>
      </c>
      <c r="O6" s="333" t="s">
        <v>237</v>
      </c>
      <c r="P6" s="333" t="s">
        <v>237</v>
      </c>
      <c r="Q6" s="335">
        <v>26</v>
      </c>
      <c r="R6" s="335">
        <v>139</v>
      </c>
      <c r="U6" s="333" t="s">
        <v>268</v>
      </c>
      <c r="V6" s="333" t="s">
        <v>554</v>
      </c>
    </row>
    <row r="7" spans="1:22" x14ac:dyDescent="0.25">
      <c r="A7" s="333" t="s">
        <v>5</v>
      </c>
      <c r="B7" s="333" t="s">
        <v>12</v>
      </c>
      <c r="G7" s="333" t="s">
        <v>1452</v>
      </c>
      <c r="H7" s="333" t="s">
        <v>1458</v>
      </c>
      <c r="I7" s="333" t="s">
        <v>500</v>
      </c>
      <c r="J7" s="335">
        <v>32</v>
      </c>
      <c r="M7" s="333" t="s">
        <v>248</v>
      </c>
      <c r="N7" s="333" t="s">
        <v>249</v>
      </c>
      <c r="O7" s="333" t="s">
        <v>237</v>
      </c>
      <c r="P7" s="333" t="s">
        <v>237</v>
      </c>
      <c r="Q7" s="335">
        <v>4</v>
      </c>
      <c r="R7" s="335">
        <v>21</v>
      </c>
      <c r="U7" s="333" t="s">
        <v>250</v>
      </c>
      <c r="V7" s="333" t="s">
        <v>554</v>
      </c>
    </row>
    <row r="8" spans="1:22" x14ac:dyDescent="0.25">
      <c r="A8" s="333" t="s">
        <v>5</v>
      </c>
      <c r="B8" s="333" t="s">
        <v>14</v>
      </c>
      <c r="G8" s="333" t="s">
        <v>6</v>
      </c>
      <c r="H8" s="333" t="s">
        <v>4</v>
      </c>
      <c r="I8" s="333" t="s">
        <v>500</v>
      </c>
      <c r="J8" s="335">
        <v>260</v>
      </c>
      <c r="M8" s="333" t="s">
        <v>274</v>
      </c>
      <c r="N8" s="333" t="s">
        <v>275</v>
      </c>
      <c r="O8" s="333" t="s">
        <v>237</v>
      </c>
      <c r="P8" s="333" t="s">
        <v>237</v>
      </c>
      <c r="Q8" s="335">
        <v>31</v>
      </c>
      <c r="R8" s="335">
        <v>154</v>
      </c>
      <c r="U8" s="333" t="s">
        <v>248</v>
      </c>
      <c r="V8" s="333" t="s">
        <v>554</v>
      </c>
    </row>
    <row r="9" spans="1:22" x14ac:dyDescent="0.25">
      <c r="A9" s="333" t="s">
        <v>5</v>
      </c>
      <c r="B9" s="333" t="s">
        <v>16</v>
      </c>
      <c r="G9" s="333" t="s">
        <v>41</v>
      </c>
      <c r="H9" s="333" t="s">
        <v>40</v>
      </c>
      <c r="I9" s="333" t="s">
        <v>500</v>
      </c>
      <c r="J9" s="335">
        <v>67</v>
      </c>
      <c r="M9" s="333" t="s">
        <v>276</v>
      </c>
      <c r="N9" s="333" t="s">
        <v>277</v>
      </c>
      <c r="O9" s="333" t="s">
        <v>237</v>
      </c>
      <c r="P9" s="333" t="s">
        <v>237</v>
      </c>
      <c r="Q9" s="335">
        <v>88</v>
      </c>
      <c r="R9" s="335">
        <v>394</v>
      </c>
      <c r="U9" s="333" t="s">
        <v>274</v>
      </c>
      <c r="V9" s="333" t="s">
        <v>554</v>
      </c>
    </row>
    <row r="10" spans="1:22" x14ac:dyDescent="0.25">
      <c r="A10" s="333" t="s">
        <v>5</v>
      </c>
      <c r="B10" s="333" t="s">
        <v>18</v>
      </c>
      <c r="G10" s="333" t="s">
        <v>43</v>
      </c>
      <c r="H10" s="333" t="s">
        <v>42</v>
      </c>
      <c r="I10" s="333" t="s">
        <v>500</v>
      </c>
      <c r="J10" s="335">
        <v>14</v>
      </c>
      <c r="M10" s="333" t="s">
        <v>278</v>
      </c>
      <c r="N10" s="333" t="s">
        <v>279</v>
      </c>
      <c r="O10" s="333" t="s">
        <v>237</v>
      </c>
      <c r="P10" s="333" t="s">
        <v>237</v>
      </c>
      <c r="Q10" s="335">
        <v>22</v>
      </c>
      <c r="R10" s="335">
        <v>111</v>
      </c>
      <c r="U10" s="333" t="s">
        <v>276</v>
      </c>
      <c r="V10" s="333" t="s">
        <v>554</v>
      </c>
    </row>
    <row r="11" spans="1:22" x14ac:dyDescent="0.25">
      <c r="A11" s="333" t="s">
        <v>5</v>
      </c>
      <c r="B11" s="333" t="s">
        <v>8</v>
      </c>
      <c r="G11" s="333" t="s">
        <v>39</v>
      </c>
      <c r="H11" s="333" t="s">
        <v>38</v>
      </c>
      <c r="I11" s="333" t="s">
        <v>843</v>
      </c>
      <c r="J11" s="335">
        <v>0</v>
      </c>
      <c r="M11" s="333" t="s">
        <v>260</v>
      </c>
      <c r="N11" s="333" t="s">
        <v>261</v>
      </c>
      <c r="O11" s="333" t="s">
        <v>237</v>
      </c>
      <c r="P11" s="333" t="s">
        <v>237</v>
      </c>
      <c r="Q11" s="335">
        <v>92</v>
      </c>
      <c r="R11" s="335">
        <v>391</v>
      </c>
      <c r="U11" s="333" t="s">
        <v>278</v>
      </c>
      <c r="V11" s="333" t="s">
        <v>554</v>
      </c>
    </row>
    <row r="12" spans="1:22" x14ac:dyDescent="0.25">
      <c r="A12" s="333" t="s">
        <v>5</v>
      </c>
      <c r="B12" s="333" t="s">
        <v>20</v>
      </c>
      <c r="G12" s="333" t="s">
        <v>1631</v>
      </c>
      <c r="H12" s="333" t="s">
        <v>1599</v>
      </c>
      <c r="I12" s="333" t="s">
        <v>500</v>
      </c>
      <c r="J12" s="335"/>
      <c r="M12" s="333" t="s">
        <v>280</v>
      </c>
      <c r="N12" s="333" t="s">
        <v>281</v>
      </c>
      <c r="O12" s="333" t="s">
        <v>237</v>
      </c>
      <c r="P12" s="333" t="s">
        <v>237</v>
      </c>
      <c r="Q12" s="335">
        <v>73</v>
      </c>
      <c r="R12" s="335">
        <v>416</v>
      </c>
      <c r="U12" s="333" t="s">
        <v>260</v>
      </c>
      <c r="V12" s="333" t="s">
        <v>554</v>
      </c>
    </row>
    <row r="13" spans="1:22" x14ac:dyDescent="0.25">
      <c r="A13" s="333" t="s">
        <v>5</v>
      </c>
      <c r="B13" s="333" t="s">
        <v>366</v>
      </c>
      <c r="G13" s="333" t="s">
        <v>512</v>
      </c>
      <c r="H13" s="333" t="s">
        <v>377</v>
      </c>
      <c r="I13" s="333" t="s">
        <v>500</v>
      </c>
      <c r="J13" s="335">
        <v>12</v>
      </c>
      <c r="M13" s="333" t="s">
        <v>244</v>
      </c>
      <c r="N13" s="333" t="s">
        <v>245</v>
      </c>
      <c r="O13" s="333" t="s">
        <v>237</v>
      </c>
      <c r="P13" s="333" t="s">
        <v>237</v>
      </c>
      <c r="Q13" s="335">
        <v>6</v>
      </c>
      <c r="R13" s="335">
        <v>39</v>
      </c>
      <c r="U13" s="333" t="s">
        <v>280</v>
      </c>
      <c r="V13" s="333" t="s">
        <v>554</v>
      </c>
    </row>
    <row r="14" spans="1:22" x14ac:dyDescent="0.25">
      <c r="A14" s="333" t="s">
        <v>5</v>
      </c>
      <c r="B14" s="333" t="s">
        <v>22</v>
      </c>
      <c r="G14" s="333" t="s">
        <v>48</v>
      </c>
      <c r="H14" s="333" t="s">
        <v>47</v>
      </c>
      <c r="I14" s="333" t="s">
        <v>843</v>
      </c>
      <c r="J14" s="335">
        <v>0</v>
      </c>
      <c r="M14" s="333" t="s">
        <v>246</v>
      </c>
      <c r="N14" s="333" t="s">
        <v>247</v>
      </c>
      <c r="O14" s="333" t="s">
        <v>237</v>
      </c>
      <c r="P14" s="333" t="s">
        <v>237</v>
      </c>
      <c r="Q14" s="335">
        <v>20</v>
      </c>
      <c r="R14" s="335">
        <v>105</v>
      </c>
      <c r="U14" s="333" t="s">
        <v>244</v>
      </c>
      <c r="V14" s="333" t="s">
        <v>554</v>
      </c>
    </row>
    <row r="15" spans="1:22" x14ac:dyDescent="0.25">
      <c r="A15" s="333" t="s">
        <v>5</v>
      </c>
      <c r="B15" s="333" t="s">
        <v>897</v>
      </c>
      <c r="G15" s="333" t="s">
        <v>50</v>
      </c>
      <c r="H15" s="333" t="s">
        <v>49</v>
      </c>
      <c r="I15" s="333" t="s">
        <v>843</v>
      </c>
      <c r="J15" s="335">
        <v>0</v>
      </c>
      <c r="M15" s="333" t="s">
        <v>242</v>
      </c>
      <c r="N15" s="333" t="s">
        <v>243</v>
      </c>
      <c r="O15" s="333" t="s">
        <v>237</v>
      </c>
      <c r="P15" s="333" t="s">
        <v>237</v>
      </c>
      <c r="Q15" s="335">
        <v>6</v>
      </c>
      <c r="R15" s="335">
        <v>28</v>
      </c>
      <c r="U15" s="333" t="s">
        <v>246</v>
      </c>
      <c r="V15" s="333" t="s">
        <v>554</v>
      </c>
    </row>
    <row r="16" spans="1:22" x14ac:dyDescent="0.25">
      <c r="A16" s="333" t="s">
        <v>5</v>
      </c>
      <c r="B16" s="333" t="s">
        <v>24</v>
      </c>
      <c r="G16" s="333" t="s">
        <v>1615</v>
      </c>
      <c r="H16" s="333" t="s">
        <v>1603</v>
      </c>
      <c r="I16" s="333" t="s">
        <v>500</v>
      </c>
      <c r="J16" s="335"/>
      <c r="M16" s="333" t="s">
        <v>256</v>
      </c>
      <c r="N16" s="333" t="s">
        <v>257</v>
      </c>
      <c r="O16" s="333" t="s">
        <v>237</v>
      </c>
      <c r="P16" s="333" t="s">
        <v>237</v>
      </c>
      <c r="Q16" s="335">
        <v>17</v>
      </c>
      <c r="R16" s="335">
        <v>68</v>
      </c>
      <c r="U16" s="333" t="s">
        <v>242</v>
      </c>
      <c r="V16" s="333" t="s">
        <v>554</v>
      </c>
    </row>
    <row r="17" spans="1:22" x14ac:dyDescent="0.25">
      <c r="A17" s="333" t="s">
        <v>5</v>
      </c>
      <c r="B17" s="333" t="s">
        <v>869</v>
      </c>
      <c r="G17" s="333" t="s">
        <v>1616</v>
      </c>
      <c r="H17" s="333" t="s">
        <v>1604</v>
      </c>
      <c r="I17" s="333" t="s">
        <v>500</v>
      </c>
      <c r="J17" s="335"/>
      <c r="M17" s="333" t="s">
        <v>284</v>
      </c>
      <c r="N17" s="333" t="s">
        <v>285</v>
      </c>
      <c r="O17" s="333" t="s">
        <v>237</v>
      </c>
      <c r="P17" s="333" t="s">
        <v>237</v>
      </c>
      <c r="Q17" s="335">
        <v>85</v>
      </c>
      <c r="R17" s="335">
        <v>437</v>
      </c>
      <c r="U17" s="333" t="s">
        <v>256</v>
      </c>
      <c r="V17" s="333" t="s">
        <v>554</v>
      </c>
    </row>
    <row r="18" spans="1:22" x14ac:dyDescent="0.25">
      <c r="A18" s="333" t="s">
        <v>5</v>
      </c>
      <c r="B18" s="333" t="s">
        <v>26</v>
      </c>
      <c r="G18" s="333" t="s">
        <v>882</v>
      </c>
      <c r="H18" s="333" t="s">
        <v>880</v>
      </c>
      <c r="I18" s="333" t="s">
        <v>843</v>
      </c>
      <c r="J18" s="335">
        <v>0</v>
      </c>
      <c r="M18" s="333" t="s">
        <v>239</v>
      </c>
      <c r="N18" s="333" t="s">
        <v>240</v>
      </c>
      <c r="O18" s="333" t="s">
        <v>237</v>
      </c>
      <c r="P18" s="333" t="s">
        <v>237</v>
      </c>
      <c r="Q18" s="335">
        <v>30</v>
      </c>
      <c r="R18" s="335">
        <v>178</v>
      </c>
      <c r="U18" s="333" t="s">
        <v>284</v>
      </c>
      <c r="V18" s="333" t="s">
        <v>554</v>
      </c>
    </row>
    <row r="19" spans="1:22" x14ac:dyDescent="0.25">
      <c r="A19" s="333" t="s">
        <v>5</v>
      </c>
      <c r="B19" s="333" t="s">
        <v>1021</v>
      </c>
      <c r="G19" s="333" t="s">
        <v>877</v>
      </c>
      <c r="H19" s="333" t="s">
        <v>881</v>
      </c>
      <c r="I19" s="333" t="s">
        <v>843</v>
      </c>
      <c r="J19" s="335">
        <v>0</v>
      </c>
      <c r="M19" s="333" t="s">
        <v>258</v>
      </c>
      <c r="N19" s="333" t="s">
        <v>259</v>
      </c>
      <c r="O19" s="333" t="s">
        <v>237</v>
      </c>
      <c r="P19" s="333" t="s">
        <v>237</v>
      </c>
      <c r="Q19" s="335">
        <v>60</v>
      </c>
      <c r="R19" s="335">
        <v>294</v>
      </c>
      <c r="U19" s="333" t="s">
        <v>239</v>
      </c>
      <c r="V19" s="333" t="s">
        <v>554</v>
      </c>
    </row>
    <row r="20" spans="1:22" x14ac:dyDescent="0.25">
      <c r="A20" s="333" t="s">
        <v>27</v>
      </c>
      <c r="B20" s="333" t="s">
        <v>28</v>
      </c>
      <c r="G20" s="333" t="s">
        <v>878</v>
      </c>
      <c r="H20" s="333" t="s">
        <v>879</v>
      </c>
      <c r="I20" s="333" t="s">
        <v>843</v>
      </c>
      <c r="J20" s="335">
        <v>0</v>
      </c>
      <c r="M20" s="333" t="s">
        <v>266</v>
      </c>
      <c r="N20" s="333" t="s">
        <v>267</v>
      </c>
      <c r="O20" s="333" t="s">
        <v>237</v>
      </c>
      <c r="P20" s="333" t="s">
        <v>237</v>
      </c>
      <c r="Q20" s="335">
        <v>0</v>
      </c>
      <c r="R20" s="335">
        <v>0</v>
      </c>
      <c r="U20" s="333" t="s">
        <v>258</v>
      </c>
      <c r="V20" s="333" t="s">
        <v>554</v>
      </c>
    </row>
    <row r="21" spans="1:22" x14ac:dyDescent="0.25">
      <c r="A21" s="333" t="s">
        <v>27</v>
      </c>
      <c r="B21" s="333" t="s">
        <v>32</v>
      </c>
      <c r="G21" s="333" t="s">
        <v>52</v>
      </c>
      <c r="H21" s="333" t="s">
        <v>51</v>
      </c>
      <c r="I21" s="333" t="s">
        <v>500</v>
      </c>
      <c r="J21" s="335">
        <v>38</v>
      </c>
      <c r="M21" s="333" t="s">
        <v>252</v>
      </c>
      <c r="N21" s="333" t="s">
        <v>253</v>
      </c>
      <c r="O21" s="333" t="s">
        <v>237</v>
      </c>
      <c r="P21" s="333" t="s">
        <v>237</v>
      </c>
      <c r="Q21" s="335">
        <v>198</v>
      </c>
      <c r="R21" s="335">
        <v>1107</v>
      </c>
      <c r="U21" s="333" t="s">
        <v>266</v>
      </c>
      <c r="V21" s="333" t="s">
        <v>554</v>
      </c>
    </row>
    <row r="22" spans="1:22" x14ac:dyDescent="0.25">
      <c r="A22" s="333" t="s">
        <v>27</v>
      </c>
      <c r="B22" s="333" t="s">
        <v>364</v>
      </c>
      <c r="G22" s="333" t="s">
        <v>58</v>
      </c>
      <c r="H22" s="333" t="s">
        <v>57</v>
      </c>
      <c r="I22" s="333" t="s">
        <v>843</v>
      </c>
      <c r="J22" s="335">
        <v>0</v>
      </c>
      <c r="M22" s="333" t="s">
        <v>254</v>
      </c>
      <c r="N22" s="333" t="s">
        <v>255</v>
      </c>
      <c r="O22" s="333" t="s">
        <v>237</v>
      </c>
      <c r="P22" s="333" t="s">
        <v>237</v>
      </c>
      <c r="Q22" s="335">
        <v>99</v>
      </c>
      <c r="R22" s="335">
        <v>454</v>
      </c>
      <c r="U22" s="333" t="s">
        <v>252</v>
      </c>
      <c r="V22" s="333" t="s">
        <v>554</v>
      </c>
    </row>
    <row r="23" spans="1:22" x14ac:dyDescent="0.25">
      <c r="A23" s="333" t="s">
        <v>27</v>
      </c>
      <c r="B23" s="333" t="s">
        <v>34</v>
      </c>
      <c r="G23" s="333" t="s">
        <v>60</v>
      </c>
      <c r="H23" s="333" t="s">
        <v>59</v>
      </c>
      <c r="I23" s="333" t="s">
        <v>843</v>
      </c>
      <c r="J23" s="335">
        <v>0</v>
      </c>
      <c r="M23" s="333" t="s">
        <v>262</v>
      </c>
      <c r="N23" s="333" t="s">
        <v>263</v>
      </c>
      <c r="O23" s="333" t="s">
        <v>237</v>
      </c>
      <c r="P23" s="333" t="s">
        <v>237</v>
      </c>
      <c r="Q23" s="335">
        <v>21</v>
      </c>
      <c r="R23" s="335">
        <v>98</v>
      </c>
      <c r="U23" s="333" t="s">
        <v>254</v>
      </c>
      <c r="V23" s="333" t="s">
        <v>554</v>
      </c>
    </row>
    <row r="24" spans="1:22" x14ac:dyDescent="0.25">
      <c r="A24" s="333" t="s">
        <v>27</v>
      </c>
      <c r="B24" s="333" t="s">
        <v>365</v>
      </c>
      <c r="G24" s="333" t="s">
        <v>358</v>
      </c>
      <c r="H24" s="333" t="s">
        <v>357</v>
      </c>
      <c r="I24" s="333" t="s">
        <v>843</v>
      </c>
      <c r="J24" s="335">
        <v>0</v>
      </c>
      <c r="M24" s="333" t="s">
        <v>264</v>
      </c>
      <c r="N24" s="333" t="s">
        <v>265</v>
      </c>
      <c r="O24" s="333" t="s">
        <v>237</v>
      </c>
      <c r="P24" s="333" t="s">
        <v>237</v>
      </c>
      <c r="Q24" s="335">
        <v>14</v>
      </c>
      <c r="R24" s="335">
        <v>71</v>
      </c>
      <c r="U24" s="333" t="s">
        <v>262</v>
      </c>
      <c r="V24" s="333" t="s">
        <v>554</v>
      </c>
    </row>
    <row r="25" spans="1:22" x14ac:dyDescent="0.25">
      <c r="A25" s="333" t="s">
        <v>27</v>
      </c>
      <c r="B25" s="333" t="s">
        <v>864</v>
      </c>
      <c r="G25" s="333" t="s">
        <v>334</v>
      </c>
      <c r="H25" s="333" t="s">
        <v>333</v>
      </c>
      <c r="I25" s="333" t="s">
        <v>500</v>
      </c>
      <c r="J25" s="335">
        <v>161</v>
      </c>
      <c r="M25" s="333" t="s">
        <v>282</v>
      </c>
      <c r="N25" s="333" t="s">
        <v>283</v>
      </c>
      <c r="O25" s="333" t="s">
        <v>237</v>
      </c>
      <c r="P25" s="333" t="s">
        <v>237</v>
      </c>
      <c r="Q25" s="335">
        <v>7</v>
      </c>
      <c r="R25" s="335">
        <v>37</v>
      </c>
      <c r="U25" s="333" t="s">
        <v>264</v>
      </c>
      <c r="V25" s="333" t="s">
        <v>554</v>
      </c>
    </row>
    <row r="26" spans="1:22" x14ac:dyDescent="0.25">
      <c r="A26" s="333" t="s">
        <v>27</v>
      </c>
      <c r="B26" s="333" t="s">
        <v>37</v>
      </c>
      <c r="G26" s="333" t="s">
        <v>188</v>
      </c>
      <c r="H26" s="333" t="s">
        <v>187</v>
      </c>
      <c r="I26" s="333" t="s">
        <v>500</v>
      </c>
      <c r="J26" s="335">
        <v>440</v>
      </c>
      <c r="M26" s="333" t="s">
        <v>241</v>
      </c>
      <c r="N26" s="333" t="s">
        <v>1244</v>
      </c>
      <c r="O26" s="333" t="s">
        <v>237</v>
      </c>
      <c r="P26" s="333" t="s">
        <v>237</v>
      </c>
      <c r="Q26" s="335">
        <v>54</v>
      </c>
      <c r="R26" s="335">
        <v>259</v>
      </c>
      <c r="U26" s="333" t="s">
        <v>282</v>
      </c>
      <c r="V26" s="333" t="s">
        <v>554</v>
      </c>
    </row>
    <row r="27" spans="1:22" x14ac:dyDescent="0.25">
      <c r="A27" s="333" t="s">
        <v>27</v>
      </c>
      <c r="B27" s="333" t="s">
        <v>1019</v>
      </c>
      <c r="G27" s="333" t="s">
        <v>1034</v>
      </c>
      <c r="H27" s="333" t="s">
        <v>1035</v>
      </c>
      <c r="I27" s="333" t="s">
        <v>843</v>
      </c>
      <c r="J27" s="335"/>
      <c r="M27" s="333" t="s">
        <v>270</v>
      </c>
      <c r="N27" s="333" t="s">
        <v>271</v>
      </c>
      <c r="O27" s="333" t="s">
        <v>237</v>
      </c>
      <c r="P27" s="333" t="s">
        <v>237</v>
      </c>
      <c r="Q27" s="335">
        <v>68</v>
      </c>
      <c r="R27" s="335">
        <v>333</v>
      </c>
      <c r="U27" s="333" t="s">
        <v>241</v>
      </c>
      <c r="V27" s="333" t="s">
        <v>554</v>
      </c>
    </row>
    <row r="28" spans="1:22" x14ac:dyDescent="0.25">
      <c r="A28" s="333" t="s">
        <v>527</v>
      </c>
      <c r="B28" s="333" t="s">
        <v>128</v>
      </c>
      <c r="G28" s="333" t="s">
        <v>72</v>
      </c>
      <c r="H28" s="333" t="s">
        <v>71</v>
      </c>
      <c r="I28" s="333" t="s">
        <v>500</v>
      </c>
      <c r="J28" s="335">
        <v>6</v>
      </c>
      <c r="M28" s="333" t="s">
        <v>341</v>
      </c>
      <c r="N28" s="333" t="s">
        <v>342</v>
      </c>
      <c r="O28" s="333" t="s">
        <v>310</v>
      </c>
      <c r="P28" s="333" t="s">
        <v>310</v>
      </c>
      <c r="Q28" s="335">
        <v>31</v>
      </c>
      <c r="R28" s="335">
        <v>170</v>
      </c>
      <c r="U28" s="333" t="s">
        <v>270</v>
      </c>
      <c r="V28" s="333" t="s">
        <v>554</v>
      </c>
    </row>
    <row r="29" spans="1:22" x14ac:dyDescent="0.25">
      <c r="A29" s="333" t="s">
        <v>527</v>
      </c>
      <c r="B29" s="333" t="s">
        <v>62</v>
      </c>
      <c r="G29" s="333" t="s">
        <v>70</v>
      </c>
      <c r="H29" s="333" t="s">
        <v>69</v>
      </c>
      <c r="I29" s="333" t="s">
        <v>843</v>
      </c>
      <c r="J29" s="335">
        <v>0</v>
      </c>
      <c r="M29" s="333" t="s">
        <v>350</v>
      </c>
      <c r="N29" s="333" t="s">
        <v>351</v>
      </c>
      <c r="O29" s="333" t="s">
        <v>310</v>
      </c>
      <c r="P29" s="333" t="s">
        <v>310</v>
      </c>
      <c r="Q29" s="335">
        <v>87</v>
      </c>
      <c r="R29" s="335">
        <v>479</v>
      </c>
      <c r="U29" s="333" t="s">
        <v>341</v>
      </c>
      <c r="V29" s="333" t="s">
        <v>554</v>
      </c>
    </row>
    <row r="30" spans="1:22" x14ac:dyDescent="0.25">
      <c r="A30" s="333" t="s">
        <v>527</v>
      </c>
      <c r="B30" s="333" t="s">
        <v>120</v>
      </c>
      <c r="G30" s="333" t="s">
        <v>28</v>
      </c>
      <c r="H30" s="333" t="s">
        <v>30</v>
      </c>
      <c r="I30" s="333" t="s">
        <v>500</v>
      </c>
      <c r="J30" s="335">
        <v>110</v>
      </c>
      <c r="M30" s="333" t="s">
        <v>319</v>
      </c>
      <c r="N30" s="333" t="s">
        <v>320</v>
      </c>
      <c r="O30" s="333" t="s">
        <v>310</v>
      </c>
      <c r="P30" s="333" t="s">
        <v>310</v>
      </c>
      <c r="Q30" s="335">
        <v>30</v>
      </c>
      <c r="R30" s="335">
        <v>113</v>
      </c>
      <c r="U30" s="333" t="s">
        <v>350</v>
      </c>
      <c r="V30" s="333" t="s">
        <v>554</v>
      </c>
    </row>
    <row r="31" spans="1:22" x14ac:dyDescent="0.25">
      <c r="A31" s="333" t="s">
        <v>527</v>
      </c>
      <c r="B31" s="333" t="s">
        <v>41</v>
      </c>
      <c r="G31" s="333" t="s">
        <v>10</v>
      </c>
      <c r="H31" s="333" t="s">
        <v>9</v>
      </c>
      <c r="I31" s="333" t="s">
        <v>843</v>
      </c>
      <c r="J31" s="335">
        <v>0</v>
      </c>
      <c r="M31" s="333" t="s">
        <v>312</v>
      </c>
      <c r="N31" s="333" t="s">
        <v>313</v>
      </c>
      <c r="O31" s="333" t="s">
        <v>310</v>
      </c>
      <c r="P31" s="333" t="s">
        <v>310</v>
      </c>
      <c r="Q31" s="335">
        <v>99</v>
      </c>
      <c r="R31" s="335">
        <v>472</v>
      </c>
      <c r="U31" s="333" t="s">
        <v>319</v>
      </c>
      <c r="V31" s="333" t="s">
        <v>554</v>
      </c>
    </row>
    <row r="32" spans="1:22" x14ac:dyDescent="0.25">
      <c r="A32" s="333" t="s">
        <v>527</v>
      </c>
      <c r="B32" s="333" t="s">
        <v>43</v>
      </c>
      <c r="G32" s="333" t="s">
        <v>1313</v>
      </c>
      <c r="H32" s="333" t="s">
        <v>1314</v>
      </c>
      <c r="I32" s="333" t="s">
        <v>500</v>
      </c>
      <c r="J32" s="335"/>
      <c r="M32" s="333" t="s">
        <v>329</v>
      </c>
      <c r="N32" s="333" t="s">
        <v>330</v>
      </c>
      <c r="O32" s="333" t="s">
        <v>310</v>
      </c>
      <c r="P32" s="333" t="s">
        <v>310</v>
      </c>
      <c r="Q32" s="335">
        <v>223</v>
      </c>
      <c r="R32" s="335">
        <v>1228</v>
      </c>
      <c r="U32" s="333" t="s">
        <v>312</v>
      </c>
      <c r="V32" s="333" t="s">
        <v>554</v>
      </c>
    </row>
    <row r="33" spans="1:22" x14ac:dyDescent="0.25">
      <c r="A33" s="333" t="s">
        <v>527</v>
      </c>
      <c r="B33" s="333" t="s">
        <v>39</v>
      </c>
      <c r="G33" s="333" t="s">
        <v>76</v>
      </c>
      <c r="H33" s="333" t="s">
        <v>75</v>
      </c>
      <c r="I33" s="333" t="s">
        <v>500</v>
      </c>
      <c r="J33" s="335">
        <v>66</v>
      </c>
      <c r="M33" s="333" t="s">
        <v>337</v>
      </c>
      <c r="N33" s="333" t="s">
        <v>338</v>
      </c>
      <c r="O33" s="333" t="s">
        <v>310</v>
      </c>
      <c r="P33" s="333" t="s">
        <v>310</v>
      </c>
      <c r="Q33" s="335">
        <v>31</v>
      </c>
      <c r="R33" s="335">
        <v>172</v>
      </c>
      <c r="U33" s="333" t="s">
        <v>329</v>
      </c>
      <c r="V33" s="333" t="s">
        <v>554</v>
      </c>
    </row>
    <row r="34" spans="1:22" x14ac:dyDescent="0.25">
      <c r="A34" s="333" t="s">
        <v>527</v>
      </c>
      <c r="B34" s="333" t="s">
        <v>48</v>
      </c>
      <c r="G34" s="333" t="s">
        <v>243</v>
      </c>
      <c r="H34" s="333" t="s">
        <v>242</v>
      </c>
      <c r="I34" s="333" t="s">
        <v>500</v>
      </c>
      <c r="J34" s="335">
        <v>6</v>
      </c>
      <c r="M34" s="333" t="s">
        <v>327</v>
      </c>
      <c r="N34" s="333" t="s">
        <v>328</v>
      </c>
      <c r="O34" s="333" t="s">
        <v>310</v>
      </c>
      <c r="P34" s="333" t="s">
        <v>310</v>
      </c>
      <c r="Q34" s="335">
        <v>149</v>
      </c>
      <c r="R34" s="335">
        <v>841</v>
      </c>
      <c r="U34" s="333" t="s">
        <v>337</v>
      </c>
      <c r="V34" s="333" t="s">
        <v>554</v>
      </c>
    </row>
    <row r="35" spans="1:22" x14ac:dyDescent="0.25">
      <c r="A35" s="333" t="s">
        <v>527</v>
      </c>
      <c r="B35" s="333" t="s">
        <v>50</v>
      </c>
      <c r="G35" s="333" t="s">
        <v>245</v>
      </c>
      <c r="H35" s="333" t="s">
        <v>244</v>
      </c>
      <c r="I35" s="333" t="s">
        <v>500</v>
      </c>
      <c r="J35" s="335">
        <v>6</v>
      </c>
      <c r="M35" s="333" t="s">
        <v>317</v>
      </c>
      <c r="N35" s="333" t="s">
        <v>318</v>
      </c>
      <c r="O35" s="333" t="s">
        <v>310</v>
      </c>
      <c r="P35" s="333" t="s">
        <v>310</v>
      </c>
      <c r="Q35" s="335">
        <v>91</v>
      </c>
      <c r="R35" s="335">
        <v>329</v>
      </c>
      <c r="U35" s="333" t="s">
        <v>327</v>
      </c>
      <c r="V35" s="333" t="s">
        <v>554</v>
      </c>
    </row>
    <row r="36" spans="1:22" x14ac:dyDescent="0.25">
      <c r="A36" s="333" t="s">
        <v>527</v>
      </c>
      <c r="B36" s="333" t="s">
        <v>52</v>
      </c>
      <c r="G36" s="333" t="s">
        <v>247</v>
      </c>
      <c r="H36" s="333" t="s">
        <v>246</v>
      </c>
      <c r="I36" s="333" t="s">
        <v>500</v>
      </c>
      <c r="J36" s="335">
        <v>20</v>
      </c>
      <c r="M36" s="333" t="s">
        <v>343</v>
      </c>
      <c r="N36" s="333" t="s">
        <v>344</v>
      </c>
      <c r="O36" s="333" t="s">
        <v>310</v>
      </c>
      <c r="P36" s="333" t="s">
        <v>310</v>
      </c>
      <c r="Q36" s="335">
        <v>18</v>
      </c>
      <c r="R36" s="335">
        <v>82</v>
      </c>
      <c r="U36" s="333" t="s">
        <v>317</v>
      </c>
      <c r="V36" s="333" t="s">
        <v>554</v>
      </c>
    </row>
    <row r="37" spans="1:22" x14ac:dyDescent="0.25">
      <c r="A37" s="333" t="s">
        <v>527</v>
      </c>
      <c r="B37" s="333" t="s">
        <v>58</v>
      </c>
      <c r="G37" s="333" t="s">
        <v>192</v>
      </c>
      <c r="H37" s="333" t="s">
        <v>191</v>
      </c>
      <c r="I37" s="333" t="s">
        <v>500</v>
      </c>
      <c r="J37" s="335">
        <v>109</v>
      </c>
      <c r="M37" s="333" t="s">
        <v>360</v>
      </c>
      <c r="N37" s="333" t="s">
        <v>1247</v>
      </c>
      <c r="O37" s="333" t="s">
        <v>310</v>
      </c>
      <c r="P37" s="333" t="s">
        <v>310</v>
      </c>
      <c r="Q37" s="335">
        <v>0</v>
      </c>
      <c r="R37" s="335">
        <v>0</v>
      </c>
      <c r="U37" s="333" t="s">
        <v>343</v>
      </c>
      <c r="V37" s="333" t="s">
        <v>554</v>
      </c>
    </row>
    <row r="38" spans="1:22" x14ac:dyDescent="0.25">
      <c r="A38" s="333" t="s">
        <v>527</v>
      </c>
      <c r="B38" s="333" t="s">
        <v>60</v>
      </c>
      <c r="G38" s="333" t="s">
        <v>78</v>
      </c>
      <c r="H38" s="333" t="s">
        <v>77</v>
      </c>
      <c r="I38" s="333" t="s">
        <v>843</v>
      </c>
      <c r="J38" s="335">
        <v>0</v>
      </c>
      <c r="M38" s="333" t="s">
        <v>359</v>
      </c>
      <c r="N38" s="333" t="s">
        <v>1246</v>
      </c>
      <c r="O38" s="333" t="s">
        <v>310</v>
      </c>
      <c r="P38" s="333" t="s">
        <v>310</v>
      </c>
      <c r="Q38" s="335">
        <v>0</v>
      </c>
      <c r="R38" s="335">
        <v>0</v>
      </c>
      <c r="U38" s="333" t="s">
        <v>360</v>
      </c>
      <c r="V38" s="333" t="s">
        <v>554</v>
      </c>
    </row>
    <row r="39" spans="1:22" x14ac:dyDescent="0.25">
      <c r="A39" s="333" t="s">
        <v>527</v>
      </c>
      <c r="B39" s="333" t="s">
        <v>72</v>
      </c>
      <c r="G39" s="333" t="s">
        <v>82</v>
      </c>
      <c r="H39" s="333" t="s">
        <v>81</v>
      </c>
      <c r="I39" s="333" t="s">
        <v>843</v>
      </c>
      <c r="J39" s="335">
        <v>0</v>
      </c>
      <c r="M39" s="333" t="s">
        <v>309</v>
      </c>
      <c r="N39" s="333" t="s">
        <v>311</v>
      </c>
      <c r="O39" s="333" t="s">
        <v>310</v>
      </c>
      <c r="P39" s="333" t="s">
        <v>310</v>
      </c>
      <c r="Q39" s="335"/>
      <c r="R39" s="335"/>
      <c r="U39" s="333" t="s">
        <v>359</v>
      </c>
      <c r="V39" s="333" t="s">
        <v>554</v>
      </c>
    </row>
    <row r="40" spans="1:22" x14ac:dyDescent="0.25">
      <c r="A40" s="333" t="s">
        <v>527</v>
      </c>
      <c r="B40" s="333" t="s">
        <v>70</v>
      </c>
      <c r="G40" s="333" t="s">
        <v>930</v>
      </c>
      <c r="H40" s="333" t="s">
        <v>931</v>
      </c>
      <c r="I40" s="333" t="s">
        <v>843</v>
      </c>
      <c r="J40" s="335">
        <v>0</v>
      </c>
      <c r="M40" s="333" t="s">
        <v>348</v>
      </c>
      <c r="N40" s="333" t="s">
        <v>349</v>
      </c>
      <c r="O40" s="333" t="s">
        <v>310</v>
      </c>
      <c r="P40" s="333" t="s">
        <v>310</v>
      </c>
      <c r="Q40" s="335">
        <v>44</v>
      </c>
      <c r="R40" s="335">
        <v>182</v>
      </c>
      <c r="U40" s="333" t="s">
        <v>309</v>
      </c>
      <c r="V40" s="333" t="s">
        <v>986</v>
      </c>
    </row>
    <row r="41" spans="1:22" x14ac:dyDescent="0.25">
      <c r="A41" s="333" t="s">
        <v>527</v>
      </c>
      <c r="B41" s="333" t="s">
        <v>76</v>
      </c>
      <c r="G41" s="333" t="s">
        <v>932</v>
      </c>
      <c r="H41" s="333" t="s">
        <v>933</v>
      </c>
      <c r="I41" s="333" t="s">
        <v>843</v>
      </c>
      <c r="J41" s="335">
        <v>0</v>
      </c>
      <c r="M41" s="333" t="s">
        <v>315</v>
      </c>
      <c r="N41" s="333" t="s">
        <v>316</v>
      </c>
      <c r="O41" s="333" t="s">
        <v>310</v>
      </c>
      <c r="P41" s="333" t="s">
        <v>310</v>
      </c>
      <c r="Q41" s="335">
        <v>70</v>
      </c>
      <c r="R41" s="335">
        <v>288</v>
      </c>
      <c r="U41" s="333" t="s">
        <v>348</v>
      </c>
      <c r="V41" s="333" t="s">
        <v>554</v>
      </c>
    </row>
    <row r="42" spans="1:22" x14ac:dyDescent="0.25">
      <c r="A42" s="333" t="s">
        <v>527</v>
      </c>
      <c r="B42" s="333" t="s">
        <v>78</v>
      </c>
      <c r="G42" s="333" t="s">
        <v>32</v>
      </c>
      <c r="H42" s="333" t="s">
        <v>31</v>
      </c>
      <c r="I42" s="333" t="s">
        <v>843</v>
      </c>
      <c r="J42" s="335"/>
      <c r="M42" s="333" t="s">
        <v>325</v>
      </c>
      <c r="N42" s="333" t="s">
        <v>326</v>
      </c>
      <c r="O42" s="333" t="s">
        <v>310</v>
      </c>
      <c r="P42" s="333" t="s">
        <v>310</v>
      </c>
      <c r="Q42" s="335">
        <v>38</v>
      </c>
      <c r="R42" s="335">
        <v>148</v>
      </c>
      <c r="U42" s="333" t="s">
        <v>315</v>
      </c>
      <c r="V42" s="333" t="s">
        <v>554</v>
      </c>
    </row>
    <row r="43" spans="1:22" x14ac:dyDescent="0.25">
      <c r="A43" s="333" t="s">
        <v>527</v>
      </c>
      <c r="B43" s="333" t="s">
        <v>82</v>
      </c>
      <c r="G43" s="333" t="s">
        <v>1614</v>
      </c>
      <c r="H43" s="333" t="s">
        <v>1602</v>
      </c>
      <c r="I43" s="333" t="s">
        <v>843</v>
      </c>
      <c r="J43" s="335"/>
      <c r="M43" s="333" t="s">
        <v>323</v>
      </c>
      <c r="N43" s="333" t="s">
        <v>324</v>
      </c>
      <c r="O43" s="333" t="s">
        <v>310</v>
      </c>
      <c r="P43" s="333" t="s">
        <v>310</v>
      </c>
      <c r="Q43" s="335">
        <v>410</v>
      </c>
      <c r="R43" s="335">
        <v>2135</v>
      </c>
      <c r="U43" s="333" t="s">
        <v>325</v>
      </c>
      <c r="V43" s="333" t="s">
        <v>554</v>
      </c>
    </row>
    <row r="44" spans="1:22" x14ac:dyDescent="0.25">
      <c r="A44" s="333" t="s">
        <v>527</v>
      </c>
      <c r="B44" s="333" t="s">
        <v>88</v>
      </c>
      <c r="G44" s="333" t="s">
        <v>313</v>
      </c>
      <c r="H44" s="333" t="s">
        <v>312</v>
      </c>
      <c r="I44" s="333" t="s">
        <v>500</v>
      </c>
      <c r="J44" s="335">
        <v>99</v>
      </c>
      <c r="M44" s="333" t="s">
        <v>346</v>
      </c>
      <c r="N44" s="333" t="s">
        <v>347</v>
      </c>
      <c r="O44" s="333" t="s">
        <v>310</v>
      </c>
      <c r="P44" s="333" t="s">
        <v>310</v>
      </c>
      <c r="Q44" s="335">
        <v>179</v>
      </c>
      <c r="R44" s="335">
        <v>947</v>
      </c>
      <c r="U44" s="333" t="s">
        <v>323</v>
      </c>
      <c r="V44" s="333" t="s">
        <v>554</v>
      </c>
    </row>
    <row r="45" spans="1:22" x14ac:dyDescent="0.25">
      <c r="A45" s="333" t="s">
        <v>527</v>
      </c>
      <c r="B45" s="333" t="s">
        <v>44</v>
      </c>
      <c r="G45" s="333" t="s">
        <v>336</v>
      </c>
      <c r="H45" s="333" t="s">
        <v>335</v>
      </c>
      <c r="I45" s="333" t="s">
        <v>500</v>
      </c>
      <c r="J45" s="335">
        <v>148</v>
      </c>
      <c r="M45" s="333" t="s">
        <v>30</v>
      </c>
      <c r="N45" s="333" t="s">
        <v>28</v>
      </c>
      <c r="O45" s="333" t="s">
        <v>27</v>
      </c>
      <c r="P45" s="333" t="s">
        <v>27</v>
      </c>
      <c r="Q45" s="335">
        <v>110</v>
      </c>
      <c r="R45" s="335">
        <v>516</v>
      </c>
      <c r="U45" s="333" t="s">
        <v>346</v>
      </c>
      <c r="V45" s="333" t="s">
        <v>554</v>
      </c>
    </row>
    <row r="46" spans="1:22" x14ac:dyDescent="0.25">
      <c r="A46" s="333" t="s">
        <v>527</v>
      </c>
      <c r="B46" s="333" t="s">
        <v>56</v>
      </c>
      <c r="G46" s="333" t="s">
        <v>88</v>
      </c>
      <c r="H46" s="333" t="s">
        <v>87</v>
      </c>
      <c r="I46" s="333" t="s">
        <v>500</v>
      </c>
      <c r="J46" s="335">
        <v>13</v>
      </c>
      <c r="M46" s="333" t="s">
        <v>29</v>
      </c>
      <c r="N46" s="333" t="s">
        <v>364</v>
      </c>
      <c r="O46" s="333" t="s">
        <v>27</v>
      </c>
      <c r="P46" s="333" t="s">
        <v>27</v>
      </c>
      <c r="Q46" s="335">
        <v>156</v>
      </c>
      <c r="R46" s="335">
        <v>1022</v>
      </c>
      <c r="U46" s="333" t="s">
        <v>30</v>
      </c>
      <c r="V46" s="333" t="s">
        <v>554</v>
      </c>
    </row>
    <row r="47" spans="1:22" x14ac:dyDescent="0.25">
      <c r="A47" s="333" t="s">
        <v>527</v>
      </c>
      <c r="B47" s="333" t="s">
        <v>90</v>
      </c>
      <c r="G47" s="333" t="s">
        <v>44</v>
      </c>
      <c r="H47" s="333" t="s">
        <v>45</v>
      </c>
      <c r="I47" s="333" t="s">
        <v>500</v>
      </c>
      <c r="J47" s="335">
        <v>5</v>
      </c>
      <c r="M47" s="333" t="s">
        <v>36</v>
      </c>
      <c r="N47" s="333" t="s">
        <v>37</v>
      </c>
      <c r="O47" s="333" t="s">
        <v>27</v>
      </c>
      <c r="P47" s="333" t="s">
        <v>27</v>
      </c>
      <c r="Q47" s="335">
        <v>0</v>
      </c>
      <c r="R47" s="335">
        <v>0</v>
      </c>
      <c r="U47" s="333" t="s">
        <v>29</v>
      </c>
      <c r="V47" s="333" t="s">
        <v>554</v>
      </c>
    </row>
    <row r="48" spans="1:22" x14ac:dyDescent="0.25">
      <c r="A48" s="333" t="s">
        <v>527</v>
      </c>
      <c r="B48" s="333" t="s">
        <v>92</v>
      </c>
      <c r="G48" s="333" t="s">
        <v>56</v>
      </c>
      <c r="H48" s="333" t="s">
        <v>55</v>
      </c>
      <c r="I48" s="333" t="s">
        <v>843</v>
      </c>
      <c r="J48" s="335">
        <v>0</v>
      </c>
      <c r="M48" s="333" t="s">
        <v>33</v>
      </c>
      <c r="N48" s="333" t="s">
        <v>34</v>
      </c>
      <c r="O48" s="333" t="s">
        <v>27</v>
      </c>
      <c r="P48" s="333" t="s">
        <v>27</v>
      </c>
      <c r="Q48" s="335"/>
      <c r="R48" s="335"/>
      <c r="U48" s="333" t="s">
        <v>36</v>
      </c>
      <c r="V48" s="333" t="s">
        <v>554</v>
      </c>
    </row>
    <row r="49" spans="1:22" x14ac:dyDescent="0.25">
      <c r="A49" s="333" t="s">
        <v>527</v>
      </c>
      <c r="B49" s="333" t="s">
        <v>94</v>
      </c>
      <c r="G49" s="333" t="s">
        <v>1157</v>
      </c>
      <c r="H49" s="333" t="s">
        <v>1159</v>
      </c>
      <c r="I49" s="333" t="s">
        <v>500</v>
      </c>
      <c r="J49" s="335">
        <v>36</v>
      </c>
      <c r="M49" s="333" t="s">
        <v>31</v>
      </c>
      <c r="N49" s="333" t="s">
        <v>32</v>
      </c>
      <c r="O49" s="333" t="s">
        <v>27</v>
      </c>
      <c r="P49" s="333" t="s">
        <v>27</v>
      </c>
      <c r="Q49" s="335"/>
      <c r="R49" s="335"/>
      <c r="U49" s="333" t="s">
        <v>33</v>
      </c>
      <c r="V49" s="333" t="s">
        <v>12</v>
      </c>
    </row>
    <row r="50" spans="1:22" x14ac:dyDescent="0.25">
      <c r="A50" s="333" t="s">
        <v>527</v>
      </c>
      <c r="B50" s="333" t="s">
        <v>54</v>
      </c>
      <c r="G50" s="333" t="s">
        <v>12</v>
      </c>
      <c r="H50" s="333" t="s">
        <v>11</v>
      </c>
      <c r="I50" s="333" t="s">
        <v>500</v>
      </c>
      <c r="J50" s="335">
        <v>211</v>
      </c>
      <c r="M50" s="333" t="s">
        <v>21</v>
      </c>
      <c r="N50" s="333" t="s">
        <v>22</v>
      </c>
      <c r="O50" s="333" t="s">
        <v>5</v>
      </c>
      <c r="P50" s="333" t="s">
        <v>5</v>
      </c>
      <c r="Q50" s="335">
        <v>626</v>
      </c>
      <c r="R50" s="335">
        <v>3828</v>
      </c>
      <c r="U50" s="333" t="s">
        <v>31</v>
      </c>
      <c r="V50" s="333" t="s">
        <v>554</v>
      </c>
    </row>
    <row r="51" spans="1:22" x14ac:dyDescent="0.25">
      <c r="A51" s="333" t="s">
        <v>527</v>
      </c>
      <c r="B51" s="333" t="s">
        <v>66</v>
      </c>
      <c r="G51" s="333" t="s">
        <v>12</v>
      </c>
      <c r="H51" s="333" t="s">
        <v>390</v>
      </c>
      <c r="I51" s="333" t="s">
        <v>500</v>
      </c>
      <c r="J51" s="335">
        <v>76</v>
      </c>
      <c r="M51" s="333" t="s">
        <v>15</v>
      </c>
      <c r="N51" s="333" t="s">
        <v>16</v>
      </c>
      <c r="O51" s="333" t="s">
        <v>5</v>
      </c>
      <c r="P51" s="333" t="s">
        <v>5</v>
      </c>
      <c r="Q51" s="335">
        <v>0</v>
      </c>
      <c r="R51" s="335">
        <v>0</v>
      </c>
      <c r="U51" s="333" t="s">
        <v>21</v>
      </c>
      <c r="V51" s="333" t="s">
        <v>554</v>
      </c>
    </row>
    <row r="52" spans="1:22" x14ac:dyDescent="0.25">
      <c r="A52" s="333" t="s">
        <v>527</v>
      </c>
      <c r="B52" s="333" t="s">
        <v>80</v>
      </c>
      <c r="G52" s="333" t="s">
        <v>12</v>
      </c>
      <c r="H52" s="333" t="s">
        <v>391</v>
      </c>
      <c r="I52" s="333" t="s">
        <v>500</v>
      </c>
      <c r="J52" s="335">
        <v>320</v>
      </c>
      <c r="M52" s="333" t="s">
        <v>17</v>
      </c>
      <c r="N52" s="333" t="s">
        <v>18</v>
      </c>
      <c r="O52" s="333" t="s">
        <v>5</v>
      </c>
      <c r="P52" s="333" t="s">
        <v>5</v>
      </c>
      <c r="Q52" s="335">
        <v>116</v>
      </c>
      <c r="R52" s="335">
        <v>659</v>
      </c>
      <c r="U52" s="333" t="s">
        <v>15</v>
      </c>
      <c r="V52" s="333" t="s">
        <v>554</v>
      </c>
    </row>
    <row r="53" spans="1:22" x14ac:dyDescent="0.25">
      <c r="A53" s="333" t="s">
        <v>527</v>
      </c>
      <c r="B53" s="333" t="s">
        <v>102</v>
      </c>
      <c r="G53" s="333" t="s">
        <v>12</v>
      </c>
      <c r="H53" s="333" t="s">
        <v>393</v>
      </c>
      <c r="I53" s="333" t="s">
        <v>500</v>
      </c>
      <c r="J53" s="335">
        <v>9</v>
      </c>
      <c r="M53" s="333" t="s">
        <v>4</v>
      </c>
      <c r="N53" s="333" t="s">
        <v>6</v>
      </c>
      <c r="O53" s="333" t="s">
        <v>5</v>
      </c>
      <c r="P53" s="333" t="s">
        <v>5</v>
      </c>
      <c r="Q53" s="335">
        <v>260</v>
      </c>
      <c r="R53" s="335">
        <v>1263</v>
      </c>
      <c r="U53" s="333" t="s">
        <v>17</v>
      </c>
      <c r="V53" s="333" t="s">
        <v>554</v>
      </c>
    </row>
    <row r="54" spans="1:22" x14ac:dyDescent="0.25">
      <c r="A54" s="333" t="s">
        <v>527</v>
      </c>
      <c r="B54" s="333" t="s">
        <v>106</v>
      </c>
      <c r="G54" s="333" t="s">
        <v>169</v>
      </c>
      <c r="H54" s="333" t="s">
        <v>168</v>
      </c>
      <c r="I54" s="333" t="s">
        <v>500</v>
      </c>
      <c r="J54" s="335">
        <v>32</v>
      </c>
      <c r="M54" s="333" t="s">
        <v>7</v>
      </c>
      <c r="N54" s="333" t="s">
        <v>8</v>
      </c>
      <c r="O54" s="333" t="s">
        <v>5</v>
      </c>
      <c r="P54" s="333" t="s">
        <v>5</v>
      </c>
      <c r="Q54" s="335">
        <v>14</v>
      </c>
      <c r="R54" s="335">
        <v>61</v>
      </c>
      <c r="U54" s="333" t="s">
        <v>4</v>
      </c>
      <c r="V54" s="333" t="s">
        <v>554</v>
      </c>
    </row>
    <row r="55" spans="1:22" x14ac:dyDescent="0.25">
      <c r="A55" s="333" t="s">
        <v>527</v>
      </c>
      <c r="B55" s="333" t="s">
        <v>116</v>
      </c>
      <c r="G55" s="333" t="s">
        <v>231</v>
      </c>
      <c r="H55" s="333" t="s">
        <v>388</v>
      </c>
      <c r="I55" s="333" t="s">
        <v>500</v>
      </c>
      <c r="J55" s="335">
        <v>32</v>
      </c>
      <c r="M55" s="333" t="s">
        <v>13</v>
      </c>
      <c r="N55" s="333" t="s">
        <v>14</v>
      </c>
      <c r="O55" s="333" t="s">
        <v>5</v>
      </c>
      <c r="P55" s="333" t="s">
        <v>5</v>
      </c>
      <c r="Q55" s="335">
        <v>38</v>
      </c>
      <c r="R55" s="335">
        <v>231</v>
      </c>
      <c r="U55" s="333" t="s">
        <v>7</v>
      </c>
      <c r="V55" s="333" t="s">
        <v>554</v>
      </c>
    </row>
    <row r="56" spans="1:22" x14ac:dyDescent="0.25">
      <c r="A56" s="333" t="s">
        <v>527</v>
      </c>
      <c r="B56" s="333" t="s">
        <v>130</v>
      </c>
      <c r="G56" s="333" t="s">
        <v>1065</v>
      </c>
      <c r="H56" s="333" t="s">
        <v>1066</v>
      </c>
      <c r="I56" s="333" t="s">
        <v>500</v>
      </c>
      <c r="J56" s="335">
        <v>103</v>
      </c>
      <c r="M56" s="333" t="s">
        <v>25</v>
      </c>
      <c r="N56" s="333" t="s">
        <v>26</v>
      </c>
      <c r="O56" s="333" t="s">
        <v>5</v>
      </c>
      <c r="P56" s="333" t="s">
        <v>5</v>
      </c>
      <c r="Q56" s="335">
        <v>15</v>
      </c>
      <c r="R56" s="335">
        <v>75</v>
      </c>
      <c r="U56" s="333" t="s">
        <v>13</v>
      </c>
      <c r="V56" s="333" t="s">
        <v>554</v>
      </c>
    </row>
    <row r="57" spans="1:22" x14ac:dyDescent="0.25">
      <c r="A57" s="333" t="s">
        <v>527</v>
      </c>
      <c r="B57" s="333" t="s">
        <v>138</v>
      </c>
      <c r="G57" s="333" t="s">
        <v>364</v>
      </c>
      <c r="H57" s="333" t="s">
        <v>29</v>
      </c>
      <c r="I57" s="333" t="s">
        <v>500</v>
      </c>
      <c r="J57" s="335">
        <v>156</v>
      </c>
      <c r="M57" s="333" t="s">
        <v>19</v>
      </c>
      <c r="N57" s="333" t="s">
        <v>20</v>
      </c>
      <c r="O57" s="333" t="s">
        <v>5</v>
      </c>
      <c r="P57" s="333" t="s">
        <v>5</v>
      </c>
      <c r="Q57" s="335">
        <v>21</v>
      </c>
      <c r="R57" s="335">
        <v>111</v>
      </c>
      <c r="U57" s="333" t="s">
        <v>25</v>
      </c>
      <c r="V57" s="333" t="s">
        <v>554</v>
      </c>
    </row>
    <row r="58" spans="1:22" x14ac:dyDescent="0.25">
      <c r="A58" s="333" t="s">
        <v>527</v>
      </c>
      <c r="B58" s="333" t="s">
        <v>136</v>
      </c>
      <c r="G58" s="333" t="s">
        <v>194</v>
      </c>
      <c r="H58" s="333" t="s">
        <v>193</v>
      </c>
      <c r="I58" s="333" t="s">
        <v>500</v>
      </c>
      <c r="J58" s="335">
        <v>641</v>
      </c>
      <c r="M58" s="333" t="s">
        <v>23</v>
      </c>
      <c r="N58" s="333" t="s">
        <v>24</v>
      </c>
      <c r="O58" s="333" t="s">
        <v>5</v>
      </c>
      <c r="P58" s="333" t="s">
        <v>5</v>
      </c>
      <c r="Q58" s="335">
        <v>21</v>
      </c>
      <c r="R58" s="335">
        <v>95</v>
      </c>
      <c r="U58" s="333" t="s">
        <v>19</v>
      </c>
      <c r="V58" s="333" t="s">
        <v>554</v>
      </c>
    </row>
    <row r="59" spans="1:22" x14ac:dyDescent="0.25">
      <c r="A59" s="333" t="s">
        <v>527</v>
      </c>
      <c r="B59" s="333" t="s">
        <v>68</v>
      </c>
      <c r="G59" s="333" t="s">
        <v>14</v>
      </c>
      <c r="H59" s="333" t="s">
        <v>13</v>
      </c>
      <c r="I59" s="333" t="s">
        <v>500</v>
      </c>
      <c r="J59" s="335">
        <v>38</v>
      </c>
      <c r="M59" s="333" t="s">
        <v>208</v>
      </c>
      <c r="N59" s="333" t="s">
        <v>209</v>
      </c>
      <c r="O59" s="333" t="s">
        <v>185</v>
      </c>
      <c r="P59" s="333" t="s">
        <v>185</v>
      </c>
      <c r="Q59" s="335">
        <v>226</v>
      </c>
      <c r="R59" s="335">
        <v>1830</v>
      </c>
      <c r="U59" s="333" t="s">
        <v>23</v>
      </c>
      <c r="V59" s="333" t="s">
        <v>554</v>
      </c>
    </row>
    <row r="60" spans="1:22" x14ac:dyDescent="0.25">
      <c r="A60" s="333" t="s">
        <v>527</v>
      </c>
      <c r="B60" s="333" t="s">
        <v>84</v>
      </c>
      <c r="G60" s="333" t="s">
        <v>813</v>
      </c>
      <c r="H60" s="333" t="s">
        <v>814</v>
      </c>
      <c r="I60" s="333" t="s">
        <v>500</v>
      </c>
      <c r="J60" s="335"/>
      <c r="M60" s="333" t="s">
        <v>210</v>
      </c>
      <c r="N60" s="333" t="s">
        <v>211</v>
      </c>
      <c r="O60" s="333" t="s">
        <v>185</v>
      </c>
      <c r="P60" s="333" t="s">
        <v>185</v>
      </c>
      <c r="Q60" s="335"/>
      <c r="R60" s="335"/>
      <c r="U60" s="333" t="s">
        <v>208</v>
      </c>
      <c r="V60" s="333" t="s">
        <v>554</v>
      </c>
    </row>
    <row r="61" spans="1:22" x14ac:dyDescent="0.25">
      <c r="A61" s="333" t="s">
        <v>527</v>
      </c>
      <c r="B61" s="333" t="s">
        <v>86</v>
      </c>
      <c r="G61" s="333" t="s">
        <v>884</v>
      </c>
      <c r="H61" s="333" t="s">
        <v>883</v>
      </c>
      <c r="I61" s="333" t="s">
        <v>843</v>
      </c>
      <c r="J61" s="335">
        <v>0</v>
      </c>
      <c r="M61" s="333" t="s">
        <v>206</v>
      </c>
      <c r="N61" s="333" t="s">
        <v>207</v>
      </c>
      <c r="O61" s="333" t="s">
        <v>185</v>
      </c>
      <c r="P61" s="333" t="s">
        <v>185</v>
      </c>
      <c r="Q61" s="335"/>
      <c r="R61" s="335"/>
      <c r="U61" s="333" t="s">
        <v>210</v>
      </c>
      <c r="V61" s="333" t="s">
        <v>554</v>
      </c>
    </row>
    <row r="62" spans="1:22" x14ac:dyDescent="0.25">
      <c r="A62" s="333" t="s">
        <v>527</v>
      </c>
      <c r="B62" s="333" t="s">
        <v>100</v>
      </c>
      <c r="G62" s="333" t="s">
        <v>1041</v>
      </c>
      <c r="H62" s="333" t="s">
        <v>1043</v>
      </c>
      <c r="I62" s="333" t="s">
        <v>500</v>
      </c>
      <c r="J62" s="335">
        <v>10</v>
      </c>
      <c r="M62" s="333" t="s">
        <v>216</v>
      </c>
      <c r="N62" s="333" t="s">
        <v>217</v>
      </c>
      <c r="O62" s="333" t="s">
        <v>185</v>
      </c>
      <c r="P62" s="333" t="s">
        <v>185</v>
      </c>
      <c r="Q62" s="335"/>
      <c r="R62" s="335"/>
      <c r="U62" s="333" t="s">
        <v>206</v>
      </c>
      <c r="V62" s="333" t="s">
        <v>554</v>
      </c>
    </row>
    <row r="63" spans="1:22" x14ac:dyDescent="0.25">
      <c r="A63" s="333" t="s">
        <v>527</v>
      </c>
      <c r="B63" s="333" t="s">
        <v>104</v>
      </c>
      <c r="G63" s="333" t="s">
        <v>253</v>
      </c>
      <c r="H63" s="333" t="s">
        <v>252</v>
      </c>
      <c r="I63" s="333" t="s">
        <v>500</v>
      </c>
      <c r="J63" s="335">
        <v>198</v>
      </c>
      <c r="M63" s="333" t="s">
        <v>226</v>
      </c>
      <c r="N63" s="333" t="s">
        <v>227</v>
      </c>
      <c r="O63" s="333" t="s">
        <v>185</v>
      </c>
      <c r="P63" s="333" t="s">
        <v>185</v>
      </c>
      <c r="Q63" s="335">
        <v>10</v>
      </c>
      <c r="R63" s="335">
        <v>38</v>
      </c>
      <c r="U63" s="333" t="s">
        <v>216</v>
      </c>
      <c r="V63" s="333" t="s">
        <v>554</v>
      </c>
    </row>
    <row r="64" spans="1:22" x14ac:dyDescent="0.25">
      <c r="A64" s="333" t="s">
        <v>527</v>
      </c>
      <c r="B64" s="333" t="s">
        <v>98</v>
      </c>
      <c r="G64" s="333" t="s">
        <v>255</v>
      </c>
      <c r="H64" s="333" t="s">
        <v>254</v>
      </c>
      <c r="I64" s="333" t="s">
        <v>500</v>
      </c>
      <c r="J64" s="335">
        <v>99</v>
      </c>
      <c r="M64" s="333" t="s">
        <v>212</v>
      </c>
      <c r="N64" s="333" t="s">
        <v>213</v>
      </c>
      <c r="O64" s="333" t="s">
        <v>185</v>
      </c>
      <c r="P64" s="333" t="s">
        <v>185</v>
      </c>
      <c r="Q64" s="335">
        <v>13</v>
      </c>
      <c r="R64" s="335">
        <v>53</v>
      </c>
      <c r="U64" s="333" t="s">
        <v>226</v>
      </c>
      <c r="V64" s="333" t="s">
        <v>12</v>
      </c>
    </row>
    <row r="65" spans="1:22" x14ac:dyDescent="0.25">
      <c r="A65" s="333" t="s">
        <v>527</v>
      </c>
      <c r="B65" s="333" t="s">
        <v>142</v>
      </c>
      <c r="G65" s="333" t="s">
        <v>196</v>
      </c>
      <c r="H65" s="333" t="s">
        <v>195</v>
      </c>
      <c r="I65" s="333" t="s">
        <v>500</v>
      </c>
      <c r="J65" s="335">
        <v>1649</v>
      </c>
      <c r="M65" s="333" t="s">
        <v>201</v>
      </c>
      <c r="N65" s="333" t="s">
        <v>202</v>
      </c>
      <c r="O65" s="333" t="s">
        <v>185</v>
      </c>
      <c r="P65" s="333" t="s">
        <v>185</v>
      </c>
      <c r="Q65" s="335">
        <v>263</v>
      </c>
      <c r="R65" s="335">
        <v>1169</v>
      </c>
      <c r="U65" s="333" t="s">
        <v>212</v>
      </c>
      <c r="V65" s="333" t="s">
        <v>12</v>
      </c>
    </row>
    <row r="66" spans="1:22" x14ac:dyDescent="0.25">
      <c r="A66" s="333" t="s">
        <v>527</v>
      </c>
      <c r="B66" s="333" t="s">
        <v>611</v>
      </c>
      <c r="G66" s="333" t="s">
        <v>1620</v>
      </c>
      <c r="H66" s="333" t="s">
        <v>1598</v>
      </c>
      <c r="I66" s="333" t="s">
        <v>500</v>
      </c>
      <c r="J66" s="335"/>
      <c r="M66" s="333" t="s">
        <v>203</v>
      </c>
      <c r="N66" s="333" t="s">
        <v>204</v>
      </c>
      <c r="O66" s="333" t="s">
        <v>185</v>
      </c>
      <c r="P66" s="333" t="s">
        <v>185</v>
      </c>
      <c r="Q66" s="335">
        <v>28</v>
      </c>
      <c r="R66" s="335">
        <v>136</v>
      </c>
      <c r="U66" s="333" t="s">
        <v>201</v>
      </c>
      <c r="V66" s="333" t="s">
        <v>554</v>
      </c>
    </row>
    <row r="67" spans="1:22" x14ac:dyDescent="0.25">
      <c r="A67" s="333" t="s">
        <v>527</v>
      </c>
      <c r="B67" s="333" t="s">
        <v>108</v>
      </c>
      <c r="G67" s="333" t="s">
        <v>1630</v>
      </c>
      <c r="H67" s="333" t="s">
        <v>1597</v>
      </c>
      <c r="I67" s="333" t="s">
        <v>843</v>
      </c>
      <c r="J67" s="335"/>
      <c r="M67" s="333" t="s">
        <v>199</v>
      </c>
      <c r="N67" s="333" t="s">
        <v>200</v>
      </c>
      <c r="O67" s="333" t="s">
        <v>185</v>
      </c>
      <c r="P67" s="333" t="s">
        <v>185</v>
      </c>
      <c r="Q67" s="335">
        <v>2</v>
      </c>
      <c r="R67" s="335">
        <v>9</v>
      </c>
      <c r="U67" s="333" t="s">
        <v>203</v>
      </c>
      <c r="V67" s="333" t="s">
        <v>12</v>
      </c>
    </row>
    <row r="68" spans="1:22" x14ac:dyDescent="0.25">
      <c r="A68" s="333" t="s">
        <v>527</v>
      </c>
      <c r="B68" s="333" t="s">
        <v>110</v>
      </c>
      <c r="G68" s="333" t="s">
        <v>16</v>
      </c>
      <c r="H68" s="333" t="s">
        <v>15</v>
      </c>
      <c r="I68" s="333" t="s">
        <v>843</v>
      </c>
      <c r="J68" s="335">
        <v>0</v>
      </c>
      <c r="M68" s="333" t="s">
        <v>220</v>
      </c>
      <c r="N68" s="333" t="s">
        <v>221</v>
      </c>
      <c r="O68" s="333" t="s">
        <v>185</v>
      </c>
      <c r="P68" s="333" t="s">
        <v>185</v>
      </c>
      <c r="Q68" s="335">
        <v>39</v>
      </c>
      <c r="R68" s="335">
        <v>176</v>
      </c>
      <c r="U68" s="333" t="s">
        <v>199</v>
      </c>
      <c r="V68" s="333" t="s">
        <v>12</v>
      </c>
    </row>
    <row r="69" spans="1:22" x14ac:dyDescent="0.25">
      <c r="A69" s="333" t="s">
        <v>527</v>
      </c>
      <c r="B69" s="333" t="s">
        <v>112</v>
      </c>
      <c r="G69" s="333" t="s">
        <v>1619</v>
      </c>
      <c r="H69" s="333" t="s">
        <v>1595</v>
      </c>
      <c r="I69" s="333" t="s">
        <v>500</v>
      </c>
      <c r="J69" s="335"/>
      <c r="M69" s="333" t="s">
        <v>150</v>
      </c>
      <c r="N69" s="333" t="s">
        <v>152</v>
      </c>
      <c r="O69" s="333" t="s">
        <v>151</v>
      </c>
      <c r="P69" s="333" t="s">
        <v>151</v>
      </c>
      <c r="Q69" s="335">
        <v>197</v>
      </c>
      <c r="R69" s="335">
        <v>878</v>
      </c>
      <c r="U69" s="333" t="s">
        <v>220</v>
      </c>
      <c r="V69" s="333" t="s">
        <v>12</v>
      </c>
    </row>
    <row r="70" spans="1:22" x14ac:dyDescent="0.25">
      <c r="A70" s="333" t="s">
        <v>527</v>
      </c>
      <c r="B70" s="333" t="s">
        <v>114</v>
      </c>
      <c r="G70" s="333" t="s">
        <v>521</v>
      </c>
      <c r="H70" s="333" t="s">
        <v>522</v>
      </c>
      <c r="I70" s="333" t="s">
        <v>500</v>
      </c>
      <c r="J70" s="335">
        <v>4</v>
      </c>
      <c r="M70" s="333" t="s">
        <v>305</v>
      </c>
      <c r="N70" s="333" t="s">
        <v>306</v>
      </c>
      <c r="O70" s="333" t="s">
        <v>1182</v>
      </c>
      <c r="P70" s="333" t="s">
        <v>302</v>
      </c>
      <c r="Q70" s="335">
        <v>86</v>
      </c>
      <c r="R70" s="335">
        <v>313</v>
      </c>
      <c r="U70" s="333" t="s">
        <v>150</v>
      </c>
      <c r="V70" s="333" t="s">
        <v>554</v>
      </c>
    </row>
    <row r="71" spans="1:22" x14ac:dyDescent="0.25">
      <c r="A71" s="333" t="s">
        <v>527</v>
      </c>
      <c r="B71" s="333" t="s">
        <v>118</v>
      </c>
      <c r="G71" s="333" t="s">
        <v>372</v>
      </c>
      <c r="H71" s="333" t="s">
        <v>382</v>
      </c>
      <c r="I71" s="333" t="s">
        <v>500</v>
      </c>
      <c r="J71" s="335">
        <v>88</v>
      </c>
      <c r="M71" s="333" t="s">
        <v>307</v>
      </c>
      <c r="N71" s="333" t="s">
        <v>308</v>
      </c>
      <c r="O71" s="333" t="s">
        <v>1182</v>
      </c>
      <c r="P71" s="333" t="s">
        <v>302</v>
      </c>
      <c r="Q71" s="335">
        <v>40</v>
      </c>
      <c r="R71" s="335">
        <v>196</v>
      </c>
      <c r="U71" s="333" t="s">
        <v>305</v>
      </c>
      <c r="V71" s="333" t="s">
        <v>554</v>
      </c>
    </row>
    <row r="72" spans="1:22" x14ac:dyDescent="0.25">
      <c r="A72" s="333" t="s">
        <v>527</v>
      </c>
      <c r="B72" s="333" t="s">
        <v>122</v>
      </c>
      <c r="G72" s="333" t="s">
        <v>1120</v>
      </c>
      <c r="H72" s="333" t="s">
        <v>1121</v>
      </c>
      <c r="I72" s="333" t="s">
        <v>500</v>
      </c>
      <c r="J72" s="335">
        <v>52</v>
      </c>
      <c r="M72" s="333" t="s">
        <v>222</v>
      </c>
      <c r="N72" s="333" t="s">
        <v>223</v>
      </c>
      <c r="O72" s="333" t="s">
        <v>185</v>
      </c>
      <c r="P72" s="333" t="s">
        <v>185</v>
      </c>
      <c r="Q72" s="335">
        <v>124</v>
      </c>
      <c r="R72" s="335">
        <v>651</v>
      </c>
      <c r="U72" s="333" t="s">
        <v>307</v>
      </c>
      <c r="V72" s="333" t="s">
        <v>554</v>
      </c>
    </row>
    <row r="73" spans="1:22" x14ac:dyDescent="0.25">
      <c r="A73" s="333" t="s">
        <v>527</v>
      </c>
      <c r="B73" s="333" t="s">
        <v>124</v>
      </c>
      <c r="G73" s="333" t="s">
        <v>369</v>
      </c>
      <c r="H73" s="333" t="s">
        <v>383</v>
      </c>
      <c r="I73" s="333" t="s">
        <v>500</v>
      </c>
      <c r="J73" s="335">
        <v>61</v>
      </c>
      <c r="M73" s="333" t="s">
        <v>189</v>
      </c>
      <c r="N73" s="333" t="s">
        <v>190</v>
      </c>
      <c r="O73" s="333" t="s">
        <v>185</v>
      </c>
      <c r="P73" s="333" t="s">
        <v>185</v>
      </c>
      <c r="Q73" s="335">
        <v>192</v>
      </c>
      <c r="R73" s="335">
        <v>1044</v>
      </c>
      <c r="U73" s="333" t="s">
        <v>222</v>
      </c>
      <c r="V73" s="333" t="s">
        <v>554</v>
      </c>
    </row>
    <row r="74" spans="1:22" x14ac:dyDescent="0.25">
      <c r="A74" s="333" t="s">
        <v>527</v>
      </c>
      <c r="B74" s="333" t="s">
        <v>96</v>
      </c>
      <c r="G74" s="333" t="s">
        <v>370</v>
      </c>
      <c r="H74" s="333" t="s">
        <v>384</v>
      </c>
      <c r="I74" s="333" t="s">
        <v>500</v>
      </c>
      <c r="J74" s="335">
        <v>30</v>
      </c>
      <c r="M74" s="333" t="s">
        <v>184</v>
      </c>
      <c r="N74" s="333" t="s">
        <v>186</v>
      </c>
      <c r="O74" s="333" t="s">
        <v>185</v>
      </c>
      <c r="P74" s="333" t="s">
        <v>185</v>
      </c>
      <c r="Q74" s="335">
        <v>39</v>
      </c>
      <c r="R74" s="335">
        <v>233</v>
      </c>
      <c r="U74" s="333" t="s">
        <v>189</v>
      </c>
      <c r="V74" s="333" t="s">
        <v>554</v>
      </c>
    </row>
    <row r="75" spans="1:22" x14ac:dyDescent="0.25">
      <c r="A75" s="333" t="s">
        <v>527</v>
      </c>
      <c r="B75" s="333" t="s">
        <v>132</v>
      </c>
      <c r="G75" s="333" t="s">
        <v>257</v>
      </c>
      <c r="H75" s="333" t="s">
        <v>256</v>
      </c>
      <c r="I75" s="333" t="s">
        <v>500</v>
      </c>
      <c r="J75" s="335">
        <v>17</v>
      </c>
      <c r="M75" s="333" t="s">
        <v>228</v>
      </c>
      <c r="N75" s="333" t="s">
        <v>229</v>
      </c>
      <c r="O75" s="333" t="s">
        <v>185</v>
      </c>
      <c r="P75" s="333" t="s">
        <v>185</v>
      </c>
      <c r="Q75" s="335">
        <v>49</v>
      </c>
      <c r="R75" s="335">
        <v>295</v>
      </c>
      <c r="U75" s="333" t="s">
        <v>184</v>
      </c>
      <c r="V75" s="333" t="s">
        <v>554</v>
      </c>
    </row>
    <row r="76" spans="1:22" x14ac:dyDescent="0.25">
      <c r="A76" s="333" t="s">
        <v>527</v>
      </c>
      <c r="B76" s="333" t="s">
        <v>134</v>
      </c>
      <c r="G76" s="333" t="s">
        <v>174</v>
      </c>
      <c r="H76" s="333" t="s">
        <v>172</v>
      </c>
      <c r="I76" s="333" t="s">
        <v>500</v>
      </c>
      <c r="J76" s="335">
        <v>13</v>
      </c>
      <c r="M76" s="333" t="s">
        <v>224</v>
      </c>
      <c r="N76" s="333" t="s">
        <v>225</v>
      </c>
      <c r="O76" s="333" t="s">
        <v>185</v>
      </c>
      <c r="P76" s="333" t="s">
        <v>185</v>
      </c>
      <c r="Q76" s="335">
        <v>41</v>
      </c>
      <c r="R76" s="335">
        <v>258</v>
      </c>
      <c r="U76" s="333" t="s">
        <v>228</v>
      </c>
      <c r="V76" s="333" t="s">
        <v>554</v>
      </c>
    </row>
    <row r="77" spans="1:22" x14ac:dyDescent="0.25">
      <c r="A77" s="333" t="s">
        <v>527</v>
      </c>
      <c r="B77" s="333" t="s">
        <v>64</v>
      </c>
      <c r="G77" s="333" t="s">
        <v>145</v>
      </c>
      <c r="H77" s="333" t="s">
        <v>143</v>
      </c>
      <c r="I77" s="333" t="s">
        <v>843</v>
      </c>
      <c r="J77" s="335"/>
      <c r="M77" s="333" t="s">
        <v>143</v>
      </c>
      <c r="N77" s="333" t="s">
        <v>145</v>
      </c>
      <c r="O77" s="333" t="s">
        <v>1182</v>
      </c>
      <c r="P77" s="333" t="s">
        <v>144</v>
      </c>
      <c r="Q77" s="335"/>
      <c r="R77" s="335"/>
      <c r="U77" s="333" t="s">
        <v>224</v>
      </c>
      <c r="V77" s="333" t="s">
        <v>554</v>
      </c>
    </row>
    <row r="78" spans="1:22" x14ac:dyDescent="0.25">
      <c r="A78" s="333" t="s">
        <v>527</v>
      </c>
      <c r="B78" s="333" t="s">
        <v>126</v>
      </c>
      <c r="G78" s="333" t="s">
        <v>516</v>
      </c>
      <c r="H78" s="333" t="s">
        <v>517</v>
      </c>
      <c r="I78" s="333" t="s">
        <v>843</v>
      </c>
      <c r="J78" s="335">
        <v>0</v>
      </c>
      <c r="M78" s="333" t="s">
        <v>299</v>
      </c>
      <c r="N78" s="333" t="s">
        <v>301</v>
      </c>
      <c r="O78" s="333" t="s">
        <v>1182</v>
      </c>
      <c r="P78" s="333" t="s">
        <v>300</v>
      </c>
      <c r="Q78" s="335">
        <v>14</v>
      </c>
      <c r="R78" s="335">
        <v>64</v>
      </c>
      <c r="U78" s="333" t="s">
        <v>143</v>
      </c>
      <c r="V78" s="333" t="s">
        <v>554</v>
      </c>
    </row>
    <row r="79" spans="1:22" x14ac:dyDescent="0.25">
      <c r="A79" s="333" t="s">
        <v>527</v>
      </c>
      <c r="B79" s="333" t="s">
        <v>74</v>
      </c>
      <c r="G79" s="333" t="s">
        <v>1248</v>
      </c>
      <c r="H79" s="333" t="s">
        <v>314</v>
      </c>
      <c r="I79" s="333" t="s">
        <v>843</v>
      </c>
      <c r="J79" s="335">
        <v>0</v>
      </c>
      <c r="M79" s="333" t="s">
        <v>175</v>
      </c>
      <c r="N79" s="333" t="s">
        <v>176</v>
      </c>
      <c r="O79" s="333" t="s">
        <v>1182</v>
      </c>
      <c r="P79" s="333" t="s">
        <v>173</v>
      </c>
      <c r="Q79" s="335">
        <v>15</v>
      </c>
      <c r="R79" s="335">
        <v>70</v>
      </c>
      <c r="U79" s="333" t="s">
        <v>299</v>
      </c>
      <c r="V79" s="333" t="s">
        <v>12</v>
      </c>
    </row>
    <row r="80" spans="1:22" x14ac:dyDescent="0.25">
      <c r="A80" s="333" t="s">
        <v>527</v>
      </c>
      <c r="B80" s="333" t="s">
        <v>140</v>
      </c>
      <c r="G80" s="333" t="s">
        <v>340</v>
      </c>
      <c r="H80" s="333" t="s">
        <v>339</v>
      </c>
      <c r="I80" s="333" t="s">
        <v>500</v>
      </c>
      <c r="J80" s="335">
        <v>355</v>
      </c>
      <c r="M80" s="333" t="s">
        <v>172</v>
      </c>
      <c r="N80" s="333" t="s">
        <v>174</v>
      </c>
      <c r="O80" s="333" t="s">
        <v>1182</v>
      </c>
      <c r="P80" s="333" t="s">
        <v>173</v>
      </c>
      <c r="Q80" s="335">
        <v>13</v>
      </c>
      <c r="R80" s="335">
        <v>65</v>
      </c>
      <c r="U80" s="333" t="s">
        <v>175</v>
      </c>
      <c r="V80" s="333" t="s">
        <v>554</v>
      </c>
    </row>
    <row r="81" spans="1:22" x14ac:dyDescent="0.25">
      <c r="A81" s="333" t="s">
        <v>527</v>
      </c>
      <c r="B81" s="333" t="s">
        <v>514</v>
      </c>
      <c r="G81" s="333" t="s">
        <v>34</v>
      </c>
      <c r="H81" s="333" t="s">
        <v>33</v>
      </c>
      <c r="I81" s="333" t="s">
        <v>500</v>
      </c>
      <c r="J81" s="335"/>
      <c r="M81" s="333" t="s">
        <v>177</v>
      </c>
      <c r="N81" s="333" t="s">
        <v>178</v>
      </c>
      <c r="O81" s="333" t="s">
        <v>1182</v>
      </c>
      <c r="P81" s="333" t="s">
        <v>173</v>
      </c>
      <c r="Q81" s="335">
        <v>12</v>
      </c>
      <c r="R81" s="335">
        <v>46</v>
      </c>
      <c r="U81" s="333" t="s">
        <v>172</v>
      </c>
      <c r="V81" s="333" t="s">
        <v>554</v>
      </c>
    </row>
    <row r="82" spans="1:22" x14ac:dyDescent="0.25">
      <c r="A82" s="333" t="s">
        <v>527</v>
      </c>
      <c r="B82" s="333" t="s">
        <v>1065</v>
      </c>
      <c r="G82" s="333" t="s">
        <v>198</v>
      </c>
      <c r="H82" s="333" t="s">
        <v>197</v>
      </c>
      <c r="I82" s="333" t="s">
        <v>500</v>
      </c>
      <c r="J82" s="335">
        <v>546</v>
      </c>
      <c r="M82" s="333" t="s">
        <v>179</v>
      </c>
      <c r="N82" s="333" t="s">
        <v>181</v>
      </c>
      <c r="O82" s="333" t="s">
        <v>1182</v>
      </c>
      <c r="P82" s="333" t="s">
        <v>180</v>
      </c>
      <c r="Q82" s="335">
        <v>12</v>
      </c>
      <c r="R82" s="335">
        <v>55</v>
      </c>
      <c r="U82" s="333" t="s">
        <v>177</v>
      </c>
      <c r="V82" s="333" t="s">
        <v>554</v>
      </c>
    </row>
    <row r="83" spans="1:22" x14ac:dyDescent="0.25">
      <c r="A83" s="333" t="s">
        <v>527</v>
      </c>
      <c r="B83" s="333" t="s">
        <v>1120</v>
      </c>
      <c r="G83" s="333" t="s">
        <v>304</v>
      </c>
      <c r="H83" s="333" t="s">
        <v>303</v>
      </c>
      <c r="I83" s="333" t="s">
        <v>500</v>
      </c>
      <c r="J83" s="335">
        <v>375</v>
      </c>
      <c r="M83" s="333" t="s">
        <v>182</v>
      </c>
      <c r="N83" s="333" t="s">
        <v>183</v>
      </c>
      <c r="O83" s="333" t="s">
        <v>1182</v>
      </c>
      <c r="P83" s="333" t="s">
        <v>180</v>
      </c>
      <c r="Q83" s="335">
        <v>0</v>
      </c>
      <c r="R83" s="335">
        <v>0</v>
      </c>
      <c r="U83" s="333" t="s">
        <v>179</v>
      </c>
      <c r="V83" s="333" t="s">
        <v>554</v>
      </c>
    </row>
    <row r="84" spans="1:22" x14ac:dyDescent="0.25">
      <c r="A84" s="333" t="s">
        <v>527</v>
      </c>
      <c r="B84" s="333" t="s">
        <v>1415</v>
      </c>
      <c r="G84" s="333" t="s">
        <v>35</v>
      </c>
      <c r="H84" s="333" t="s">
        <v>362</v>
      </c>
      <c r="I84" s="333" t="s">
        <v>843</v>
      </c>
      <c r="J84" s="335">
        <v>0</v>
      </c>
      <c r="M84" s="333" t="s">
        <v>109</v>
      </c>
      <c r="N84" s="333" t="s">
        <v>110</v>
      </c>
      <c r="O84" s="333" t="s">
        <v>527</v>
      </c>
      <c r="P84" s="333" t="s">
        <v>527</v>
      </c>
      <c r="Q84" s="335">
        <v>0</v>
      </c>
      <c r="R84" s="335">
        <v>0</v>
      </c>
      <c r="U84" s="333" t="s">
        <v>182</v>
      </c>
      <c r="V84" s="333" t="s">
        <v>554</v>
      </c>
    </row>
    <row r="85" spans="1:22" x14ac:dyDescent="0.25">
      <c r="A85" s="333" t="s">
        <v>527</v>
      </c>
      <c r="B85" s="333" t="s">
        <v>1452</v>
      </c>
      <c r="G85" s="333" t="s">
        <v>240</v>
      </c>
      <c r="H85" s="333" t="s">
        <v>239</v>
      </c>
      <c r="I85" s="333" t="s">
        <v>500</v>
      </c>
      <c r="J85" s="335">
        <v>30</v>
      </c>
      <c r="M85" s="333" t="s">
        <v>111</v>
      </c>
      <c r="N85" s="333" t="s">
        <v>112</v>
      </c>
      <c r="O85" s="333" t="s">
        <v>527</v>
      </c>
      <c r="P85" s="333" t="s">
        <v>527</v>
      </c>
      <c r="Q85" s="335">
        <v>0</v>
      </c>
      <c r="R85" s="335">
        <v>0</v>
      </c>
      <c r="U85" s="333" t="s">
        <v>109</v>
      </c>
      <c r="V85" s="333" t="s">
        <v>554</v>
      </c>
    </row>
    <row r="86" spans="1:22" x14ac:dyDescent="0.25">
      <c r="A86" s="333" t="s">
        <v>527</v>
      </c>
      <c r="B86" s="333" t="s">
        <v>1456</v>
      </c>
      <c r="G86" s="333" t="s">
        <v>285</v>
      </c>
      <c r="H86" s="333" t="s">
        <v>284</v>
      </c>
      <c r="I86" s="333" t="s">
        <v>500</v>
      </c>
      <c r="J86" s="335">
        <v>85</v>
      </c>
      <c r="M86" s="333" t="s">
        <v>85</v>
      </c>
      <c r="N86" s="333" t="s">
        <v>86</v>
      </c>
      <c r="O86" s="333" t="s">
        <v>527</v>
      </c>
      <c r="P86" s="333" t="s">
        <v>527</v>
      </c>
      <c r="Q86" s="335">
        <v>0</v>
      </c>
      <c r="R86" s="335">
        <v>0</v>
      </c>
      <c r="U86" s="333" t="s">
        <v>111</v>
      </c>
      <c r="V86" s="333" t="s">
        <v>554</v>
      </c>
    </row>
    <row r="87" spans="1:22" x14ac:dyDescent="0.25">
      <c r="A87" s="333" t="s">
        <v>527</v>
      </c>
      <c r="B87" s="333" t="s">
        <v>1453</v>
      </c>
      <c r="G87" s="333" t="s">
        <v>365</v>
      </c>
      <c r="H87" s="333" t="s">
        <v>378</v>
      </c>
      <c r="I87" s="333" t="s">
        <v>500</v>
      </c>
      <c r="J87" s="335">
        <v>143</v>
      </c>
      <c r="M87" s="333" t="s">
        <v>83</v>
      </c>
      <c r="N87" s="333" t="s">
        <v>84</v>
      </c>
      <c r="O87" s="333" t="s">
        <v>527</v>
      </c>
      <c r="P87" s="333" t="s">
        <v>527</v>
      </c>
      <c r="Q87" s="335">
        <v>0</v>
      </c>
      <c r="R87" s="335">
        <v>0</v>
      </c>
      <c r="U87" s="333" t="s">
        <v>85</v>
      </c>
      <c r="V87" s="333" t="s">
        <v>554</v>
      </c>
    </row>
    <row r="88" spans="1:22" x14ac:dyDescent="0.25">
      <c r="A88" s="333" t="s">
        <v>527</v>
      </c>
      <c r="B88" s="333" t="s">
        <v>1455</v>
      </c>
      <c r="G88" s="333" t="s">
        <v>90</v>
      </c>
      <c r="H88" s="333" t="s">
        <v>89</v>
      </c>
      <c r="I88" s="333" t="s">
        <v>500</v>
      </c>
      <c r="J88" s="335">
        <v>25</v>
      </c>
      <c r="M88" s="333" t="s">
        <v>69</v>
      </c>
      <c r="N88" s="333" t="s">
        <v>70</v>
      </c>
      <c r="O88" s="333" t="s">
        <v>527</v>
      </c>
      <c r="P88" s="333" t="s">
        <v>527</v>
      </c>
      <c r="Q88" s="335">
        <v>0</v>
      </c>
      <c r="R88" s="335">
        <v>0</v>
      </c>
      <c r="U88" s="333" t="s">
        <v>83</v>
      </c>
      <c r="V88" s="333" t="s">
        <v>554</v>
      </c>
    </row>
    <row r="89" spans="1:22" x14ac:dyDescent="0.25">
      <c r="A89" s="333" t="s">
        <v>527</v>
      </c>
      <c r="B89" s="333" t="s">
        <v>1454</v>
      </c>
      <c r="G89" s="333" t="s">
        <v>92</v>
      </c>
      <c r="H89" s="333" t="s">
        <v>91</v>
      </c>
      <c r="I89" s="333" t="s">
        <v>500</v>
      </c>
      <c r="J89" s="335">
        <v>15</v>
      </c>
      <c r="M89" s="333" t="s">
        <v>103</v>
      </c>
      <c r="N89" s="333" t="s">
        <v>104</v>
      </c>
      <c r="O89" s="333" t="s">
        <v>527</v>
      </c>
      <c r="P89" s="333" t="s">
        <v>527</v>
      </c>
      <c r="Q89" s="335">
        <v>0</v>
      </c>
      <c r="R89" s="335">
        <v>0</v>
      </c>
      <c r="U89" s="333" t="s">
        <v>69</v>
      </c>
      <c r="V89" s="333" t="s">
        <v>554</v>
      </c>
    </row>
    <row r="90" spans="1:22" x14ac:dyDescent="0.25">
      <c r="A90" s="333" t="s">
        <v>779</v>
      </c>
      <c r="B90" s="333" t="s">
        <v>594</v>
      </c>
      <c r="G90" s="333" t="s">
        <v>18</v>
      </c>
      <c r="H90" s="333" t="s">
        <v>17</v>
      </c>
      <c r="I90" s="333" t="s">
        <v>500</v>
      </c>
      <c r="J90" s="335">
        <v>116</v>
      </c>
      <c r="M90" s="333" t="s">
        <v>67</v>
      </c>
      <c r="N90" s="333" t="s">
        <v>68</v>
      </c>
      <c r="O90" s="333" t="s">
        <v>527</v>
      </c>
      <c r="P90" s="333" t="s">
        <v>527</v>
      </c>
      <c r="Q90" s="335">
        <v>0</v>
      </c>
      <c r="R90" s="335">
        <v>0</v>
      </c>
      <c r="U90" s="333" t="s">
        <v>103</v>
      </c>
      <c r="V90" s="333" t="s">
        <v>554</v>
      </c>
    </row>
    <row r="91" spans="1:22" x14ac:dyDescent="0.25">
      <c r="A91" s="333" t="s">
        <v>779</v>
      </c>
      <c r="B91" s="333" t="s">
        <v>1275</v>
      </c>
      <c r="G91" s="333" t="s">
        <v>1612</v>
      </c>
      <c r="H91" s="333" t="s">
        <v>1594</v>
      </c>
      <c r="I91" s="333" t="s">
        <v>500</v>
      </c>
      <c r="J91" s="335">
        <v>59</v>
      </c>
      <c r="M91" s="333" t="s">
        <v>99</v>
      </c>
      <c r="N91" s="333" t="s">
        <v>100</v>
      </c>
      <c r="O91" s="333" t="s">
        <v>527</v>
      </c>
      <c r="P91" s="333" t="s">
        <v>527</v>
      </c>
      <c r="Q91" s="335">
        <v>4</v>
      </c>
      <c r="R91" s="335">
        <v>22</v>
      </c>
      <c r="U91" s="333" t="s">
        <v>67</v>
      </c>
      <c r="V91" s="333" t="s">
        <v>554</v>
      </c>
    </row>
    <row r="92" spans="1:22" x14ac:dyDescent="0.25">
      <c r="A92" s="333" t="s">
        <v>779</v>
      </c>
      <c r="B92" s="333" t="s">
        <v>1425</v>
      </c>
      <c r="G92" s="333" t="s">
        <v>186</v>
      </c>
      <c r="H92" s="333" t="s">
        <v>184</v>
      </c>
      <c r="I92" s="333" t="s">
        <v>500</v>
      </c>
      <c r="J92" s="335">
        <v>39</v>
      </c>
      <c r="M92" s="333" t="s">
        <v>49</v>
      </c>
      <c r="N92" s="333" t="s">
        <v>50</v>
      </c>
      <c r="O92" s="333" t="s">
        <v>527</v>
      </c>
      <c r="P92" s="333" t="s">
        <v>527</v>
      </c>
      <c r="Q92" s="335">
        <v>0</v>
      </c>
      <c r="R92" s="335">
        <v>0</v>
      </c>
      <c r="U92" s="333" t="s">
        <v>99</v>
      </c>
      <c r="V92" s="333" t="s">
        <v>554</v>
      </c>
    </row>
    <row r="93" spans="1:22" x14ac:dyDescent="0.25">
      <c r="A93" s="333" t="s">
        <v>363</v>
      </c>
      <c r="B93" s="333" t="s">
        <v>35</v>
      </c>
      <c r="G93" s="333" t="s">
        <v>223</v>
      </c>
      <c r="H93" s="333" t="s">
        <v>222</v>
      </c>
      <c r="I93" s="333" t="s">
        <v>500</v>
      </c>
      <c r="J93" s="335">
        <v>124</v>
      </c>
      <c r="M93" s="333" t="s">
        <v>65</v>
      </c>
      <c r="N93" s="333" t="s">
        <v>66</v>
      </c>
      <c r="O93" s="333" t="s">
        <v>527</v>
      </c>
      <c r="P93" s="333" t="s">
        <v>527</v>
      </c>
      <c r="Q93" s="335">
        <v>0</v>
      </c>
      <c r="R93" s="335">
        <v>0</v>
      </c>
      <c r="U93" s="333" t="s">
        <v>49</v>
      </c>
      <c r="V93" s="333" t="s">
        <v>554</v>
      </c>
    </row>
    <row r="94" spans="1:22" x14ac:dyDescent="0.25">
      <c r="A94" s="333" t="s">
        <v>144</v>
      </c>
      <c r="B94" s="333" t="s">
        <v>145</v>
      </c>
      <c r="G94" s="333" t="s">
        <v>190</v>
      </c>
      <c r="H94" s="333" t="s">
        <v>189</v>
      </c>
      <c r="I94" s="333" t="s">
        <v>500</v>
      </c>
      <c r="J94" s="335">
        <v>192</v>
      </c>
      <c r="M94" s="333" t="s">
        <v>53</v>
      </c>
      <c r="N94" s="333" t="s">
        <v>54</v>
      </c>
      <c r="O94" s="333" t="s">
        <v>527</v>
      </c>
      <c r="P94" s="333" t="s">
        <v>527</v>
      </c>
      <c r="Q94" s="335">
        <v>0</v>
      </c>
      <c r="R94" s="335">
        <v>0</v>
      </c>
      <c r="U94" s="333" t="s">
        <v>65</v>
      </c>
      <c r="V94" s="333" t="s">
        <v>554</v>
      </c>
    </row>
    <row r="95" spans="1:22" x14ac:dyDescent="0.25">
      <c r="A95" s="333" t="s">
        <v>146</v>
      </c>
      <c r="B95" s="333" t="s">
        <v>930</v>
      </c>
      <c r="G95" s="333" t="s">
        <v>158</v>
      </c>
      <c r="H95" s="333" t="s">
        <v>157</v>
      </c>
      <c r="I95" s="333" t="s">
        <v>843</v>
      </c>
      <c r="J95" s="335">
        <v>0</v>
      </c>
      <c r="M95" s="333" t="s">
        <v>115</v>
      </c>
      <c r="N95" s="333" t="s">
        <v>116</v>
      </c>
      <c r="O95" s="333" t="s">
        <v>527</v>
      </c>
      <c r="P95" s="333" t="s">
        <v>527</v>
      </c>
      <c r="Q95" s="335">
        <v>0</v>
      </c>
      <c r="R95" s="335">
        <v>0</v>
      </c>
      <c r="U95" s="333" t="s">
        <v>53</v>
      </c>
      <c r="V95" s="333" t="s">
        <v>554</v>
      </c>
    </row>
    <row r="96" spans="1:22" x14ac:dyDescent="0.25">
      <c r="A96" s="333" t="s">
        <v>146</v>
      </c>
      <c r="B96" s="333" t="s">
        <v>932</v>
      </c>
      <c r="G96" s="333" t="s">
        <v>1260</v>
      </c>
      <c r="H96" s="333" t="s">
        <v>1259</v>
      </c>
      <c r="I96" s="333" t="s">
        <v>500</v>
      </c>
      <c r="J96" s="335">
        <v>59</v>
      </c>
      <c r="M96" s="333" t="s">
        <v>79</v>
      </c>
      <c r="N96" s="333" t="s">
        <v>80</v>
      </c>
      <c r="O96" s="333" t="s">
        <v>527</v>
      </c>
      <c r="P96" s="333" t="s">
        <v>527</v>
      </c>
      <c r="Q96" s="335">
        <v>0</v>
      </c>
      <c r="R96" s="335">
        <v>0</v>
      </c>
      <c r="U96" s="333" t="s">
        <v>115</v>
      </c>
      <c r="V96" s="333" t="s">
        <v>554</v>
      </c>
    </row>
    <row r="97" spans="1:22" x14ac:dyDescent="0.25">
      <c r="A97" s="333" t="s">
        <v>146</v>
      </c>
      <c r="B97" s="333" t="s">
        <v>372</v>
      </c>
      <c r="G97" s="333" t="s">
        <v>1268</v>
      </c>
      <c r="H97" s="333" t="s">
        <v>1271</v>
      </c>
      <c r="I97" s="333" t="s">
        <v>843</v>
      </c>
      <c r="J97" s="335"/>
      <c r="M97" s="333" t="s">
        <v>137</v>
      </c>
      <c r="N97" s="333" t="s">
        <v>138</v>
      </c>
      <c r="O97" s="333" t="s">
        <v>527</v>
      </c>
      <c r="P97" s="333" t="s">
        <v>527</v>
      </c>
      <c r="Q97" s="335">
        <v>0</v>
      </c>
      <c r="R97" s="335">
        <v>0</v>
      </c>
      <c r="U97" s="333" t="s">
        <v>79</v>
      </c>
      <c r="V97" s="333" t="s">
        <v>554</v>
      </c>
    </row>
    <row r="98" spans="1:22" x14ac:dyDescent="0.25">
      <c r="A98" s="333" t="s">
        <v>146</v>
      </c>
      <c r="B98" s="333" t="s">
        <v>369</v>
      </c>
      <c r="G98" s="333" t="s">
        <v>94</v>
      </c>
      <c r="H98" s="333" t="s">
        <v>93</v>
      </c>
      <c r="I98" s="333" t="s">
        <v>843</v>
      </c>
      <c r="J98" s="335">
        <v>0</v>
      </c>
      <c r="M98" s="333" t="s">
        <v>101</v>
      </c>
      <c r="N98" s="333" t="s">
        <v>102</v>
      </c>
      <c r="O98" s="333" t="s">
        <v>527</v>
      </c>
      <c r="P98" s="333" t="s">
        <v>527</v>
      </c>
      <c r="Q98" s="335">
        <v>0</v>
      </c>
      <c r="R98" s="335">
        <v>0</v>
      </c>
      <c r="U98" s="333" t="s">
        <v>137</v>
      </c>
      <c r="V98" s="333" t="s">
        <v>554</v>
      </c>
    </row>
    <row r="99" spans="1:22" x14ac:dyDescent="0.25">
      <c r="A99" s="333" t="s">
        <v>146</v>
      </c>
      <c r="B99" s="333" t="s">
        <v>370</v>
      </c>
      <c r="G99" s="333" t="s">
        <v>894</v>
      </c>
      <c r="H99" s="333" t="s">
        <v>895</v>
      </c>
      <c r="I99" s="333" t="s">
        <v>843</v>
      </c>
      <c r="J99" s="335">
        <v>0</v>
      </c>
      <c r="M99" s="333" t="s">
        <v>105</v>
      </c>
      <c r="N99" s="333" t="s">
        <v>106</v>
      </c>
      <c r="O99" s="333" t="s">
        <v>527</v>
      </c>
      <c r="P99" s="333" t="s">
        <v>527</v>
      </c>
      <c r="Q99" s="335">
        <v>0</v>
      </c>
      <c r="R99" s="335">
        <v>0</v>
      </c>
      <c r="U99" s="333" t="s">
        <v>101</v>
      </c>
      <c r="V99" s="333" t="s">
        <v>554</v>
      </c>
    </row>
    <row r="100" spans="1:22" x14ac:dyDescent="0.25">
      <c r="A100" s="333" t="s">
        <v>146</v>
      </c>
      <c r="B100" s="333" t="s">
        <v>368</v>
      </c>
      <c r="G100" s="333" t="s">
        <v>320</v>
      </c>
      <c r="H100" s="333" t="s">
        <v>319</v>
      </c>
      <c r="I100" s="333" t="s">
        <v>500</v>
      </c>
      <c r="J100" s="335">
        <v>30</v>
      </c>
      <c r="M100" s="333" t="s">
        <v>129</v>
      </c>
      <c r="N100" s="333" t="s">
        <v>130</v>
      </c>
      <c r="O100" s="333" t="s">
        <v>527</v>
      </c>
      <c r="P100" s="333" t="s">
        <v>527</v>
      </c>
      <c r="Q100" s="335">
        <v>0</v>
      </c>
      <c r="R100" s="335">
        <v>0</v>
      </c>
      <c r="U100" s="333" t="s">
        <v>105</v>
      </c>
      <c r="V100" s="333" t="s">
        <v>554</v>
      </c>
    </row>
    <row r="101" spans="1:22" x14ac:dyDescent="0.25">
      <c r="A101" s="333" t="s">
        <v>146</v>
      </c>
      <c r="B101" s="333" t="s">
        <v>371</v>
      </c>
      <c r="G101" s="333" t="s">
        <v>322</v>
      </c>
      <c r="H101" s="333" t="s">
        <v>321</v>
      </c>
      <c r="I101" s="333" t="s">
        <v>500</v>
      </c>
      <c r="J101" s="335">
        <v>585</v>
      </c>
      <c r="M101" s="333" t="s">
        <v>133</v>
      </c>
      <c r="N101" s="333" t="s">
        <v>134</v>
      </c>
      <c r="O101" s="333" t="s">
        <v>527</v>
      </c>
      <c r="P101" s="333" t="s">
        <v>527</v>
      </c>
      <c r="Q101" s="335">
        <v>0</v>
      </c>
      <c r="R101" s="335">
        <v>0</v>
      </c>
      <c r="U101" s="333" t="s">
        <v>129</v>
      </c>
      <c r="V101" s="333" t="s">
        <v>554</v>
      </c>
    </row>
    <row r="102" spans="1:22" x14ac:dyDescent="0.25">
      <c r="A102" s="333" t="s">
        <v>146</v>
      </c>
      <c r="B102" s="333" t="s">
        <v>367</v>
      </c>
      <c r="G102" s="333" t="s">
        <v>200</v>
      </c>
      <c r="H102" s="333" t="s">
        <v>199</v>
      </c>
      <c r="I102" s="333" t="s">
        <v>500</v>
      </c>
      <c r="J102" s="335">
        <v>2</v>
      </c>
      <c r="M102" s="333" t="s">
        <v>113</v>
      </c>
      <c r="N102" s="333" t="s">
        <v>114</v>
      </c>
      <c r="O102" s="333" t="s">
        <v>527</v>
      </c>
      <c r="P102" s="333" t="s">
        <v>527</v>
      </c>
      <c r="Q102" s="335">
        <v>0</v>
      </c>
      <c r="R102" s="335">
        <v>0</v>
      </c>
      <c r="U102" s="333" t="s">
        <v>133</v>
      </c>
      <c r="V102" s="333" t="s">
        <v>554</v>
      </c>
    </row>
    <row r="103" spans="1:22" x14ac:dyDescent="0.25">
      <c r="A103" s="333" t="s">
        <v>146</v>
      </c>
      <c r="B103" s="333" t="s">
        <v>149</v>
      </c>
      <c r="G103" s="333" t="s">
        <v>1409</v>
      </c>
      <c r="H103" s="333" t="s">
        <v>1401</v>
      </c>
      <c r="I103" s="333" t="s">
        <v>500</v>
      </c>
      <c r="J103" s="335">
        <v>146</v>
      </c>
      <c r="M103" s="333" t="s">
        <v>107</v>
      </c>
      <c r="N103" s="333" t="s">
        <v>108</v>
      </c>
      <c r="O103" s="333" t="s">
        <v>527</v>
      </c>
      <c r="P103" s="333" t="s">
        <v>527</v>
      </c>
      <c r="Q103" s="335">
        <v>51</v>
      </c>
      <c r="R103" s="335">
        <v>225</v>
      </c>
      <c r="U103" s="333" t="s">
        <v>113</v>
      </c>
      <c r="V103" s="333" t="s">
        <v>554</v>
      </c>
    </row>
    <row r="104" spans="1:22" x14ac:dyDescent="0.25">
      <c r="A104" s="333" t="s">
        <v>146</v>
      </c>
      <c r="B104" s="333" t="s">
        <v>373</v>
      </c>
      <c r="G104" s="333" t="s">
        <v>328</v>
      </c>
      <c r="H104" s="333" t="s">
        <v>327</v>
      </c>
      <c r="I104" s="333" t="s">
        <v>500</v>
      </c>
      <c r="J104" s="335">
        <v>149</v>
      </c>
      <c r="M104" s="333" t="s">
        <v>95</v>
      </c>
      <c r="N104" s="333" t="s">
        <v>96</v>
      </c>
      <c r="O104" s="333" t="s">
        <v>527</v>
      </c>
      <c r="P104" s="333" t="s">
        <v>527</v>
      </c>
      <c r="Q104" s="335">
        <v>0</v>
      </c>
      <c r="R104" s="335">
        <v>0</v>
      </c>
      <c r="U104" s="333" t="s">
        <v>107</v>
      </c>
      <c r="V104" s="333" t="s">
        <v>554</v>
      </c>
    </row>
    <row r="105" spans="1:22" x14ac:dyDescent="0.25">
      <c r="A105" s="333" t="s">
        <v>146</v>
      </c>
      <c r="B105" s="333" t="s">
        <v>1102</v>
      </c>
      <c r="G105" s="333" t="s">
        <v>330</v>
      </c>
      <c r="H105" s="333" t="s">
        <v>329</v>
      </c>
      <c r="I105" s="333" t="s">
        <v>500</v>
      </c>
      <c r="J105" s="335">
        <v>223</v>
      </c>
      <c r="M105" s="333" t="s">
        <v>139</v>
      </c>
      <c r="N105" s="333" t="s">
        <v>140</v>
      </c>
      <c r="O105" s="333" t="s">
        <v>527</v>
      </c>
      <c r="P105" s="333" t="s">
        <v>527</v>
      </c>
      <c r="Q105" s="335">
        <v>12</v>
      </c>
      <c r="R105" s="335">
        <v>43</v>
      </c>
      <c r="U105" s="333" t="s">
        <v>95</v>
      </c>
      <c r="V105" s="333" t="s">
        <v>554</v>
      </c>
    </row>
    <row r="106" spans="1:22" x14ac:dyDescent="0.25">
      <c r="A106" s="333" t="s">
        <v>146</v>
      </c>
      <c r="B106" s="333" t="s">
        <v>1315</v>
      </c>
      <c r="G106" s="333" t="s">
        <v>324</v>
      </c>
      <c r="H106" s="333" t="s">
        <v>323</v>
      </c>
      <c r="I106" s="333" t="s">
        <v>500</v>
      </c>
      <c r="J106" s="335">
        <v>410</v>
      </c>
      <c r="M106" s="333" t="s">
        <v>135</v>
      </c>
      <c r="N106" s="333" t="s">
        <v>136</v>
      </c>
      <c r="O106" s="333" t="s">
        <v>527</v>
      </c>
      <c r="P106" s="333" t="s">
        <v>527</v>
      </c>
      <c r="Q106" s="335">
        <v>0</v>
      </c>
      <c r="R106" s="335">
        <v>0</v>
      </c>
      <c r="U106" s="333" t="s">
        <v>139</v>
      </c>
      <c r="V106" s="333" t="s">
        <v>554</v>
      </c>
    </row>
    <row r="107" spans="1:22" x14ac:dyDescent="0.25">
      <c r="A107" s="333" t="s">
        <v>146</v>
      </c>
      <c r="B107" s="333" t="s">
        <v>1409</v>
      </c>
      <c r="G107" s="333" t="s">
        <v>326</v>
      </c>
      <c r="H107" s="333" t="s">
        <v>325</v>
      </c>
      <c r="I107" s="333" t="s">
        <v>500</v>
      </c>
      <c r="J107" s="335">
        <v>38</v>
      </c>
      <c r="M107" s="333" t="s">
        <v>93</v>
      </c>
      <c r="N107" s="333" t="s">
        <v>94</v>
      </c>
      <c r="O107" s="333" t="s">
        <v>527</v>
      </c>
      <c r="P107" s="333" t="s">
        <v>527</v>
      </c>
      <c r="Q107" s="335">
        <v>0</v>
      </c>
      <c r="R107" s="335">
        <v>0</v>
      </c>
      <c r="U107" s="333" t="s">
        <v>135</v>
      </c>
      <c r="V107" s="333" t="s">
        <v>554</v>
      </c>
    </row>
    <row r="108" spans="1:22" x14ac:dyDescent="0.25">
      <c r="A108" s="333" t="s">
        <v>146</v>
      </c>
      <c r="B108" s="333" t="s">
        <v>1412</v>
      </c>
      <c r="G108" s="333" t="s">
        <v>885</v>
      </c>
      <c r="H108" s="333" t="s">
        <v>886</v>
      </c>
      <c r="I108" s="333" t="s">
        <v>500</v>
      </c>
      <c r="J108" s="335">
        <v>374</v>
      </c>
      <c r="M108" s="333" t="s">
        <v>121</v>
      </c>
      <c r="N108" s="333" t="s">
        <v>122</v>
      </c>
      <c r="O108" s="333" t="s">
        <v>527</v>
      </c>
      <c r="P108" s="333" t="s">
        <v>527</v>
      </c>
      <c r="Q108" s="335">
        <v>0</v>
      </c>
      <c r="R108" s="335">
        <v>0</v>
      </c>
      <c r="U108" s="333" t="s">
        <v>93</v>
      </c>
      <c r="V108" s="333" t="s">
        <v>554</v>
      </c>
    </row>
    <row r="109" spans="1:22" x14ac:dyDescent="0.25">
      <c r="A109" s="333" t="s">
        <v>146</v>
      </c>
      <c r="B109" s="333" t="s">
        <v>1428</v>
      </c>
      <c r="G109" s="333" t="s">
        <v>942</v>
      </c>
      <c r="H109" s="333" t="s">
        <v>941</v>
      </c>
      <c r="I109" s="333" t="s">
        <v>500</v>
      </c>
      <c r="J109" s="335">
        <v>140</v>
      </c>
      <c r="M109" s="333" t="s">
        <v>71</v>
      </c>
      <c r="N109" s="333" t="s">
        <v>72</v>
      </c>
      <c r="O109" s="333" t="s">
        <v>527</v>
      </c>
      <c r="P109" s="333" t="s">
        <v>527</v>
      </c>
      <c r="Q109" s="335">
        <v>6</v>
      </c>
      <c r="R109" s="335">
        <v>30</v>
      </c>
      <c r="U109" s="333" t="s">
        <v>121</v>
      </c>
      <c r="V109" s="333" t="s">
        <v>554</v>
      </c>
    </row>
    <row r="110" spans="1:22" x14ac:dyDescent="0.25">
      <c r="A110" s="333" t="s">
        <v>892</v>
      </c>
      <c r="B110" s="333" t="s">
        <v>894</v>
      </c>
      <c r="G110" s="333" t="s">
        <v>259</v>
      </c>
      <c r="H110" s="333" t="s">
        <v>258</v>
      </c>
      <c r="I110" s="333" t="s">
        <v>500</v>
      </c>
      <c r="J110" s="335">
        <v>60</v>
      </c>
      <c r="M110" s="333" t="s">
        <v>131</v>
      </c>
      <c r="N110" s="333" t="s">
        <v>132</v>
      </c>
      <c r="O110" s="333" t="s">
        <v>527</v>
      </c>
      <c r="P110" s="333" t="s">
        <v>527</v>
      </c>
      <c r="Q110" s="335">
        <v>0</v>
      </c>
      <c r="R110" s="335">
        <v>0</v>
      </c>
      <c r="U110" s="333" t="s">
        <v>71</v>
      </c>
      <c r="V110" s="333" t="s">
        <v>554</v>
      </c>
    </row>
    <row r="111" spans="1:22" x14ac:dyDescent="0.25">
      <c r="A111" s="333" t="s">
        <v>151</v>
      </c>
      <c r="B111" s="333" t="s">
        <v>882</v>
      </c>
      <c r="G111" s="333" t="s">
        <v>202</v>
      </c>
      <c r="H111" s="333" t="s">
        <v>201</v>
      </c>
      <c r="I111" s="333" t="s">
        <v>500</v>
      </c>
      <c r="J111" s="335">
        <v>263</v>
      </c>
      <c r="M111" s="333" t="s">
        <v>356</v>
      </c>
      <c r="N111" s="333" t="s">
        <v>1245</v>
      </c>
      <c r="O111" s="333" t="s">
        <v>310</v>
      </c>
      <c r="P111" s="333" t="s">
        <v>310</v>
      </c>
      <c r="Q111" s="335">
        <v>604</v>
      </c>
      <c r="R111" s="335">
        <v>2785</v>
      </c>
      <c r="U111" s="333" t="s">
        <v>131</v>
      </c>
      <c r="V111" s="333" t="s">
        <v>554</v>
      </c>
    </row>
    <row r="112" spans="1:22" x14ac:dyDescent="0.25">
      <c r="A112" s="333" t="s">
        <v>151</v>
      </c>
      <c r="B112" s="333" t="s">
        <v>877</v>
      </c>
      <c r="G112" s="333" t="s">
        <v>261</v>
      </c>
      <c r="H112" s="333" t="s">
        <v>260</v>
      </c>
      <c r="I112" s="333" t="s">
        <v>500</v>
      </c>
      <c r="J112" s="335">
        <v>92</v>
      </c>
      <c r="M112" s="333" t="s">
        <v>333</v>
      </c>
      <c r="N112" s="333" t="s">
        <v>334</v>
      </c>
      <c r="O112" s="333" t="s">
        <v>310</v>
      </c>
      <c r="P112" s="333" t="s">
        <v>310</v>
      </c>
      <c r="Q112" s="335">
        <v>161</v>
      </c>
      <c r="R112" s="335">
        <v>637</v>
      </c>
      <c r="U112" s="333" t="s">
        <v>356</v>
      </c>
      <c r="V112" s="333" t="s">
        <v>554</v>
      </c>
    </row>
    <row r="113" spans="1:22" x14ac:dyDescent="0.25">
      <c r="A113" s="333" t="s">
        <v>151</v>
      </c>
      <c r="B113" s="333" t="s">
        <v>878</v>
      </c>
      <c r="G113" s="333" t="s">
        <v>1618</v>
      </c>
      <c r="H113" s="333" t="s">
        <v>1606</v>
      </c>
      <c r="I113" s="333" t="s">
        <v>500</v>
      </c>
      <c r="J113" s="335">
        <v>37</v>
      </c>
      <c r="M113" s="333" t="s">
        <v>357</v>
      </c>
      <c r="N113" s="333" t="s">
        <v>358</v>
      </c>
      <c r="O113" s="333" t="s">
        <v>310</v>
      </c>
      <c r="P113" s="333" t="s">
        <v>310</v>
      </c>
      <c r="Q113" s="335">
        <v>0</v>
      </c>
      <c r="R113" s="335">
        <v>0</v>
      </c>
      <c r="U113" s="333" t="s">
        <v>333</v>
      </c>
      <c r="V113" s="333" t="s">
        <v>554</v>
      </c>
    </row>
    <row r="114" spans="1:22" x14ac:dyDescent="0.25">
      <c r="A114" s="333" t="s">
        <v>151</v>
      </c>
      <c r="B114" s="333" t="s">
        <v>188</v>
      </c>
      <c r="G114" s="333" t="s">
        <v>876</v>
      </c>
      <c r="H114" s="333" t="s">
        <v>870</v>
      </c>
      <c r="I114" s="333" t="s">
        <v>843</v>
      </c>
      <c r="J114" s="335">
        <v>0</v>
      </c>
      <c r="M114" s="333" t="s">
        <v>335</v>
      </c>
      <c r="N114" s="333" t="s">
        <v>336</v>
      </c>
      <c r="O114" s="333" t="s">
        <v>310</v>
      </c>
      <c r="P114" s="333" t="s">
        <v>310</v>
      </c>
      <c r="Q114" s="335">
        <v>148</v>
      </c>
      <c r="R114" s="335">
        <v>1076</v>
      </c>
      <c r="U114" s="333" t="s">
        <v>357</v>
      </c>
      <c r="V114" s="333" t="s">
        <v>554</v>
      </c>
    </row>
    <row r="115" spans="1:22" x14ac:dyDescent="0.25">
      <c r="A115" s="333" t="s">
        <v>151</v>
      </c>
      <c r="B115" s="333" t="s">
        <v>12</v>
      </c>
      <c r="G115" s="333" t="s">
        <v>875</v>
      </c>
      <c r="H115" s="333" t="s">
        <v>874</v>
      </c>
      <c r="I115" s="333" t="s">
        <v>843</v>
      </c>
      <c r="J115" s="335">
        <v>0</v>
      </c>
      <c r="M115" s="333" t="s">
        <v>352</v>
      </c>
      <c r="N115" s="333" t="s">
        <v>353</v>
      </c>
      <c r="O115" s="333" t="s">
        <v>310</v>
      </c>
      <c r="P115" s="333" t="s">
        <v>310</v>
      </c>
      <c r="Q115" s="335">
        <v>1371</v>
      </c>
      <c r="R115" s="335">
        <v>6701</v>
      </c>
      <c r="U115" s="333" t="s">
        <v>335</v>
      </c>
      <c r="V115" s="333" t="s">
        <v>554</v>
      </c>
    </row>
    <row r="116" spans="1:22" x14ac:dyDescent="0.25">
      <c r="A116" s="333" t="s">
        <v>151</v>
      </c>
      <c r="B116" s="333" t="s">
        <v>884</v>
      </c>
      <c r="G116" s="333" t="s">
        <v>204</v>
      </c>
      <c r="H116" s="333" t="s">
        <v>203</v>
      </c>
      <c r="I116" s="333" t="s">
        <v>500</v>
      </c>
      <c r="J116" s="335">
        <v>28</v>
      </c>
      <c r="M116" s="333" t="s">
        <v>314</v>
      </c>
      <c r="N116" s="333" t="s">
        <v>1248</v>
      </c>
      <c r="O116" s="333" t="s">
        <v>310</v>
      </c>
      <c r="P116" s="333" t="s">
        <v>310</v>
      </c>
      <c r="Q116" s="335">
        <v>0</v>
      </c>
      <c r="R116" s="335">
        <v>0</v>
      </c>
      <c r="U116" s="333" t="s">
        <v>352</v>
      </c>
      <c r="V116" s="333" t="s">
        <v>554</v>
      </c>
    </row>
    <row r="117" spans="1:22" x14ac:dyDescent="0.25">
      <c r="A117" s="333" t="s">
        <v>151</v>
      </c>
      <c r="B117" s="333" t="s">
        <v>516</v>
      </c>
      <c r="G117" s="333" t="s">
        <v>1422</v>
      </c>
      <c r="H117" s="333" t="s">
        <v>1403</v>
      </c>
      <c r="I117" s="333" t="s">
        <v>500</v>
      </c>
      <c r="J117" s="335">
        <v>36</v>
      </c>
      <c r="M117" s="333" t="s">
        <v>331</v>
      </c>
      <c r="N117" s="333" t="s">
        <v>332</v>
      </c>
      <c r="O117" s="333" t="s">
        <v>310</v>
      </c>
      <c r="P117" s="333" t="s">
        <v>310</v>
      </c>
      <c r="Q117" s="335">
        <v>0</v>
      </c>
      <c r="R117" s="335">
        <v>0</v>
      </c>
      <c r="U117" s="333" t="s">
        <v>314</v>
      </c>
      <c r="V117" s="333" t="s">
        <v>554</v>
      </c>
    </row>
    <row r="118" spans="1:22" x14ac:dyDescent="0.25">
      <c r="A118" s="333" t="s">
        <v>151</v>
      </c>
      <c r="B118" s="333" t="s">
        <v>198</v>
      </c>
      <c r="G118" s="333" t="s">
        <v>205</v>
      </c>
      <c r="H118" s="333" t="s">
        <v>392</v>
      </c>
      <c r="I118" s="333" t="s">
        <v>500</v>
      </c>
      <c r="J118" s="335"/>
      <c r="M118" s="333" t="s">
        <v>321</v>
      </c>
      <c r="N118" s="333" t="s">
        <v>322</v>
      </c>
      <c r="O118" s="333" t="s">
        <v>310</v>
      </c>
      <c r="P118" s="333" t="s">
        <v>310</v>
      </c>
      <c r="Q118" s="335">
        <v>585</v>
      </c>
      <c r="R118" s="335">
        <v>2585</v>
      </c>
      <c r="U118" s="333" t="s">
        <v>331</v>
      </c>
      <c r="V118" s="333" t="s">
        <v>554</v>
      </c>
    </row>
    <row r="119" spans="1:22" x14ac:dyDescent="0.25">
      <c r="A119" s="333" t="s">
        <v>151</v>
      </c>
      <c r="B119" s="333" t="s">
        <v>158</v>
      </c>
      <c r="G119" s="333" t="s">
        <v>160</v>
      </c>
      <c r="H119" s="333" t="s">
        <v>159</v>
      </c>
      <c r="I119" s="333" t="s">
        <v>500</v>
      </c>
      <c r="J119" s="335">
        <v>107</v>
      </c>
      <c r="M119" s="333" t="s">
        <v>345</v>
      </c>
      <c r="N119" s="333" t="s">
        <v>1243</v>
      </c>
      <c r="O119" s="333" t="s">
        <v>310</v>
      </c>
      <c r="P119" s="333" t="s">
        <v>310</v>
      </c>
      <c r="Q119" s="335">
        <v>180</v>
      </c>
      <c r="R119" s="335">
        <v>857</v>
      </c>
      <c r="U119" s="333" t="s">
        <v>321</v>
      </c>
      <c r="V119" s="333" t="s">
        <v>554</v>
      </c>
    </row>
    <row r="120" spans="1:22" x14ac:dyDescent="0.25">
      <c r="A120" s="333" t="s">
        <v>151</v>
      </c>
      <c r="B120" s="333" t="s">
        <v>885</v>
      </c>
      <c r="G120" s="333" t="s">
        <v>1095</v>
      </c>
      <c r="H120" s="333" t="s">
        <v>1096</v>
      </c>
      <c r="I120" s="333" t="s">
        <v>500</v>
      </c>
      <c r="J120" s="335">
        <v>114</v>
      </c>
      <c r="M120" s="333" t="s">
        <v>195</v>
      </c>
      <c r="N120" s="333" t="s">
        <v>196</v>
      </c>
      <c r="O120" s="333" t="s">
        <v>310</v>
      </c>
      <c r="P120" s="333" t="s">
        <v>310</v>
      </c>
      <c r="Q120" s="335">
        <v>1649</v>
      </c>
      <c r="R120" s="335">
        <v>8965</v>
      </c>
      <c r="U120" s="333" t="s">
        <v>345</v>
      </c>
      <c r="V120" s="333" t="s">
        <v>554</v>
      </c>
    </row>
    <row r="121" spans="1:22" x14ac:dyDescent="0.25">
      <c r="A121" s="333" t="s">
        <v>151</v>
      </c>
      <c r="B121" s="333" t="s">
        <v>876</v>
      </c>
      <c r="G121" s="333" t="s">
        <v>154</v>
      </c>
      <c r="H121" s="333" t="s">
        <v>153</v>
      </c>
      <c r="I121" s="333" t="s">
        <v>500</v>
      </c>
      <c r="J121" s="335">
        <v>440</v>
      </c>
      <c r="M121" s="333" t="s">
        <v>193</v>
      </c>
      <c r="N121" s="333" t="s">
        <v>194</v>
      </c>
      <c r="O121" s="333" t="s">
        <v>185</v>
      </c>
      <c r="P121" s="333" t="s">
        <v>185</v>
      </c>
      <c r="Q121" s="335">
        <v>641</v>
      </c>
      <c r="R121" s="335">
        <v>2862</v>
      </c>
      <c r="U121" s="333" t="s">
        <v>195</v>
      </c>
      <c r="V121" s="333" t="s">
        <v>554</v>
      </c>
    </row>
    <row r="122" spans="1:22" x14ac:dyDescent="0.25">
      <c r="A122" s="333" t="s">
        <v>151</v>
      </c>
      <c r="B122" s="333" t="s">
        <v>875</v>
      </c>
      <c r="G122" s="333" t="s">
        <v>1061</v>
      </c>
      <c r="H122" s="333" t="s">
        <v>1062</v>
      </c>
      <c r="I122" s="333" t="s">
        <v>500</v>
      </c>
      <c r="J122" s="335">
        <v>112</v>
      </c>
      <c r="M122" s="333" t="s">
        <v>191</v>
      </c>
      <c r="N122" s="333" t="s">
        <v>192</v>
      </c>
      <c r="O122" s="333" t="s">
        <v>185</v>
      </c>
      <c r="P122" s="333" t="s">
        <v>185</v>
      </c>
      <c r="Q122" s="335">
        <v>109</v>
      </c>
      <c r="R122" s="335">
        <v>408</v>
      </c>
      <c r="U122" s="333" t="s">
        <v>193</v>
      </c>
      <c r="V122" s="333" t="s">
        <v>554</v>
      </c>
    </row>
    <row r="123" spans="1:22" x14ac:dyDescent="0.25">
      <c r="A123" s="333" t="s">
        <v>151</v>
      </c>
      <c r="B123" s="333" t="s">
        <v>160</v>
      </c>
      <c r="G123" s="333" t="s">
        <v>156</v>
      </c>
      <c r="H123" s="333" t="s">
        <v>155</v>
      </c>
      <c r="I123" s="333" t="s">
        <v>500</v>
      </c>
      <c r="J123" s="335">
        <v>175</v>
      </c>
      <c r="M123" s="333" t="s">
        <v>218</v>
      </c>
      <c r="N123" s="333" t="s">
        <v>219</v>
      </c>
      <c r="O123" s="333" t="s">
        <v>185</v>
      </c>
      <c r="P123" s="333" t="s">
        <v>185</v>
      </c>
      <c r="Q123" s="335">
        <v>669</v>
      </c>
      <c r="R123" s="335">
        <v>3643</v>
      </c>
      <c r="U123" s="333" t="s">
        <v>191</v>
      </c>
      <c r="V123" s="333" t="s">
        <v>554</v>
      </c>
    </row>
    <row r="124" spans="1:22" x14ac:dyDescent="0.25">
      <c r="A124" s="333" t="s">
        <v>151</v>
      </c>
      <c r="B124" s="333" t="s">
        <v>154</v>
      </c>
      <c r="G124" s="333" t="s">
        <v>332</v>
      </c>
      <c r="H124" s="333" t="s">
        <v>331</v>
      </c>
      <c r="I124" s="333" t="s">
        <v>843</v>
      </c>
      <c r="J124" s="335">
        <v>0</v>
      </c>
      <c r="M124" s="333" t="s">
        <v>197</v>
      </c>
      <c r="N124" s="333" t="s">
        <v>198</v>
      </c>
      <c r="O124" s="333" t="s">
        <v>151</v>
      </c>
      <c r="P124" s="333" t="s">
        <v>151</v>
      </c>
      <c r="Q124" s="335">
        <v>546</v>
      </c>
      <c r="R124" s="335">
        <v>2514</v>
      </c>
      <c r="U124" s="333" t="s">
        <v>218</v>
      </c>
      <c r="V124" s="333" t="s">
        <v>554</v>
      </c>
    </row>
    <row r="125" spans="1:22" x14ac:dyDescent="0.25">
      <c r="A125" s="333" t="s">
        <v>151</v>
      </c>
      <c r="B125" s="333" t="s">
        <v>156</v>
      </c>
      <c r="G125" s="333" t="s">
        <v>207</v>
      </c>
      <c r="H125" s="333" t="s">
        <v>206</v>
      </c>
      <c r="I125" s="333" t="s">
        <v>843</v>
      </c>
      <c r="J125" s="335"/>
      <c r="M125" s="333" t="s">
        <v>187</v>
      </c>
      <c r="N125" s="333" t="s">
        <v>188</v>
      </c>
      <c r="O125" s="333" t="s">
        <v>151</v>
      </c>
      <c r="P125" s="333" t="s">
        <v>151</v>
      </c>
      <c r="Q125" s="335">
        <v>440</v>
      </c>
      <c r="R125" s="335">
        <v>1957</v>
      </c>
      <c r="U125" s="333" t="s">
        <v>197</v>
      </c>
      <c r="V125" s="333" t="s">
        <v>554</v>
      </c>
    </row>
    <row r="126" spans="1:22" x14ac:dyDescent="0.25">
      <c r="A126" s="333" t="s">
        <v>151</v>
      </c>
      <c r="B126" s="333" t="s">
        <v>152</v>
      </c>
      <c r="G126" s="333" t="s">
        <v>167</v>
      </c>
      <c r="H126" s="333" t="s">
        <v>165</v>
      </c>
      <c r="I126" s="333" t="s">
        <v>500</v>
      </c>
      <c r="J126" s="335">
        <v>36</v>
      </c>
      <c r="M126" s="333" t="s">
        <v>214</v>
      </c>
      <c r="N126" s="333" t="s">
        <v>215</v>
      </c>
      <c r="O126" s="333" t="s">
        <v>185</v>
      </c>
      <c r="P126" s="333" t="s">
        <v>185</v>
      </c>
      <c r="Q126" s="335">
        <v>355</v>
      </c>
      <c r="R126" s="335">
        <v>1678</v>
      </c>
      <c r="U126" s="333" t="s">
        <v>187</v>
      </c>
      <c r="V126" s="333" t="s">
        <v>554</v>
      </c>
    </row>
    <row r="127" spans="1:22" x14ac:dyDescent="0.25">
      <c r="A127" s="333" t="s">
        <v>151</v>
      </c>
      <c r="B127" s="333" t="s">
        <v>296</v>
      </c>
      <c r="G127" s="333" t="s">
        <v>822</v>
      </c>
      <c r="H127" s="333" t="s">
        <v>823</v>
      </c>
      <c r="I127" s="333" t="s">
        <v>500</v>
      </c>
      <c r="J127" s="335">
        <v>29</v>
      </c>
      <c r="M127" s="333" t="s">
        <v>153</v>
      </c>
      <c r="N127" s="333" t="s">
        <v>154</v>
      </c>
      <c r="O127" s="333" t="s">
        <v>151</v>
      </c>
      <c r="P127" s="333" t="s">
        <v>151</v>
      </c>
      <c r="Q127" s="335">
        <v>440</v>
      </c>
      <c r="R127" s="335">
        <v>2236</v>
      </c>
      <c r="U127" s="333" t="s">
        <v>214</v>
      </c>
      <c r="V127" s="333" t="s">
        <v>554</v>
      </c>
    </row>
    <row r="128" spans="1:22" x14ac:dyDescent="0.25">
      <c r="A128" s="333" t="s">
        <v>151</v>
      </c>
      <c r="B128" s="333" t="s">
        <v>518</v>
      </c>
      <c r="G128" s="333" t="s">
        <v>176</v>
      </c>
      <c r="H128" s="333" t="s">
        <v>175</v>
      </c>
      <c r="I128" s="333" t="s">
        <v>500</v>
      </c>
      <c r="J128" s="335">
        <v>15</v>
      </c>
      <c r="M128" s="333" t="s">
        <v>159</v>
      </c>
      <c r="N128" s="333" t="s">
        <v>160</v>
      </c>
      <c r="O128" s="333" t="s">
        <v>151</v>
      </c>
      <c r="P128" s="333" t="s">
        <v>151</v>
      </c>
      <c r="Q128" s="335">
        <v>107</v>
      </c>
      <c r="R128" s="335">
        <v>528</v>
      </c>
      <c r="U128" s="333" t="s">
        <v>153</v>
      </c>
      <c r="V128" s="333" t="s">
        <v>554</v>
      </c>
    </row>
    <row r="129" spans="1:22" x14ac:dyDescent="0.25">
      <c r="A129" s="333" t="s">
        <v>151</v>
      </c>
      <c r="B129" s="333" t="s">
        <v>162</v>
      </c>
      <c r="G129" s="333" t="s">
        <v>152</v>
      </c>
      <c r="H129" s="333" t="s">
        <v>150</v>
      </c>
      <c r="I129" s="333" t="s">
        <v>500</v>
      </c>
      <c r="J129" s="335">
        <v>197</v>
      </c>
      <c r="M129" s="333" t="s">
        <v>155</v>
      </c>
      <c r="N129" s="333" t="s">
        <v>156</v>
      </c>
      <c r="O129" s="333" t="s">
        <v>151</v>
      </c>
      <c r="P129" s="333" t="s">
        <v>151</v>
      </c>
      <c r="Q129" s="335">
        <v>175</v>
      </c>
      <c r="R129" s="335">
        <v>834</v>
      </c>
      <c r="U129" s="333" t="s">
        <v>159</v>
      </c>
      <c r="V129" s="333" t="s">
        <v>554</v>
      </c>
    </row>
    <row r="130" spans="1:22" x14ac:dyDescent="0.25">
      <c r="A130" s="333" t="s">
        <v>151</v>
      </c>
      <c r="B130" s="333" t="s">
        <v>865</v>
      </c>
      <c r="G130" s="333" t="s">
        <v>54</v>
      </c>
      <c r="H130" s="333" t="s">
        <v>53</v>
      </c>
      <c r="I130" s="333" t="s">
        <v>843</v>
      </c>
      <c r="J130" s="335">
        <v>0</v>
      </c>
      <c r="M130" s="333" t="s">
        <v>157</v>
      </c>
      <c r="N130" s="333" t="s">
        <v>158</v>
      </c>
      <c r="O130" s="333" t="s">
        <v>151</v>
      </c>
      <c r="P130" s="333" t="s">
        <v>151</v>
      </c>
      <c r="Q130" s="335">
        <v>0</v>
      </c>
      <c r="R130" s="335">
        <v>0</v>
      </c>
      <c r="U130" s="333" t="s">
        <v>155</v>
      </c>
      <c r="V130" s="333" t="s">
        <v>12</v>
      </c>
    </row>
    <row r="131" spans="1:22" x14ac:dyDescent="0.25">
      <c r="A131" s="333" t="s">
        <v>151</v>
      </c>
      <c r="B131" s="333" t="s">
        <v>866</v>
      </c>
      <c r="G131" s="333" t="s">
        <v>66</v>
      </c>
      <c r="H131" s="333" t="s">
        <v>65</v>
      </c>
      <c r="I131" s="333" t="s">
        <v>843</v>
      </c>
      <c r="J131" s="335">
        <v>0</v>
      </c>
      <c r="M131" s="333" t="s">
        <v>161</v>
      </c>
      <c r="N131" s="333" t="s">
        <v>162</v>
      </c>
      <c r="O131" s="333" t="s">
        <v>151</v>
      </c>
      <c r="P131" s="333" t="s">
        <v>151</v>
      </c>
      <c r="Q131" s="335">
        <v>0</v>
      </c>
      <c r="R131" s="335">
        <v>0</v>
      </c>
      <c r="U131" s="333" t="s">
        <v>157</v>
      </c>
      <c r="V131" s="333" t="s">
        <v>554</v>
      </c>
    </row>
    <row r="132" spans="1:22" x14ac:dyDescent="0.25">
      <c r="A132" s="333" t="s">
        <v>151</v>
      </c>
      <c r="B132" s="333" t="s">
        <v>164</v>
      </c>
      <c r="G132" s="333" t="s">
        <v>80</v>
      </c>
      <c r="H132" s="333" t="s">
        <v>79</v>
      </c>
      <c r="I132" s="333" t="s">
        <v>843</v>
      </c>
      <c r="J132" s="335">
        <v>0</v>
      </c>
      <c r="M132" s="333" t="s">
        <v>163</v>
      </c>
      <c r="N132" s="333" t="s">
        <v>164</v>
      </c>
      <c r="O132" s="333" t="s">
        <v>151</v>
      </c>
      <c r="P132" s="333" t="s">
        <v>151</v>
      </c>
      <c r="Q132" s="335">
        <v>0</v>
      </c>
      <c r="R132" s="335">
        <v>0</v>
      </c>
      <c r="U132" s="333" t="s">
        <v>161</v>
      </c>
      <c r="V132" s="333" t="s">
        <v>554</v>
      </c>
    </row>
    <row r="133" spans="1:22" x14ac:dyDescent="0.25">
      <c r="A133" s="333" t="s">
        <v>151</v>
      </c>
      <c r="B133" s="333" t="s">
        <v>887</v>
      </c>
      <c r="G133" s="333" t="s">
        <v>102</v>
      </c>
      <c r="H133" s="333" t="s">
        <v>101</v>
      </c>
      <c r="I133" s="333" t="s">
        <v>843</v>
      </c>
      <c r="J133" s="335">
        <v>0</v>
      </c>
      <c r="M133" s="333" t="s">
        <v>362</v>
      </c>
      <c r="N133" s="333" t="s">
        <v>35</v>
      </c>
      <c r="O133" s="333" t="s">
        <v>363</v>
      </c>
      <c r="P133" s="333" t="s">
        <v>363</v>
      </c>
      <c r="Q133" s="335">
        <v>0</v>
      </c>
      <c r="R133" s="335">
        <v>0</v>
      </c>
      <c r="U133" s="333" t="s">
        <v>163</v>
      </c>
      <c r="V133" s="333" t="s">
        <v>554</v>
      </c>
    </row>
    <row r="134" spans="1:22" x14ac:dyDescent="0.25">
      <c r="A134" s="333" t="s">
        <v>151</v>
      </c>
      <c r="B134" s="333" t="s">
        <v>942</v>
      </c>
      <c r="G134" s="333" t="s">
        <v>106</v>
      </c>
      <c r="H134" s="333" t="s">
        <v>105</v>
      </c>
      <c r="I134" s="333" t="s">
        <v>843</v>
      </c>
      <c r="J134" s="335">
        <v>0</v>
      </c>
      <c r="M134" s="333" t="s">
        <v>303</v>
      </c>
      <c r="N134" s="333" t="s">
        <v>304</v>
      </c>
      <c r="O134" s="333" t="s">
        <v>1182</v>
      </c>
      <c r="P134" s="333" t="s">
        <v>302</v>
      </c>
      <c r="Q134" s="335">
        <v>375</v>
      </c>
      <c r="R134" s="335">
        <v>1691</v>
      </c>
      <c r="U134" s="333" t="s">
        <v>362</v>
      </c>
      <c r="V134" s="333" t="s">
        <v>554</v>
      </c>
    </row>
    <row r="135" spans="1:22" x14ac:dyDescent="0.25">
      <c r="A135" s="333" t="s">
        <v>151</v>
      </c>
      <c r="B135" s="333" t="s">
        <v>1034</v>
      </c>
      <c r="G135" s="333" t="s">
        <v>116</v>
      </c>
      <c r="H135" s="333" t="s">
        <v>115</v>
      </c>
      <c r="I135" s="333" t="s">
        <v>843</v>
      </c>
      <c r="J135" s="335">
        <v>0</v>
      </c>
      <c r="M135" s="333" t="s">
        <v>87</v>
      </c>
      <c r="N135" s="333" t="s">
        <v>88</v>
      </c>
      <c r="O135" s="333" t="s">
        <v>527</v>
      </c>
      <c r="P135" s="333" t="s">
        <v>527</v>
      </c>
      <c r="Q135" s="335">
        <v>13</v>
      </c>
      <c r="R135" s="335">
        <v>46</v>
      </c>
      <c r="U135" s="333" t="s">
        <v>303</v>
      </c>
      <c r="V135" s="333" t="s">
        <v>12</v>
      </c>
    </row>
    <row r="136" spans="1:22" x14ac:dyDescent="0.25">
      <c r="A136" s="333" t="s">
        <v>151</v>
      </c>
      <c r="B136" s="333" t="s">
        <v>1061</v>
      </c>
      <c r="G136" s="333" t="s">
        <v>130</v>
      </c>
      <c r="H136" s="333" t="s">
        <v>129</v>
      </c>
      <c r="I136" s="333" t="s">
        <v>843</v>
      </c>
      <c r="J136" s="335">
        <v>0</v>
      </c>
      <c r="M136" s="333" t="s">
        <v>339</v>
      </c>
      <c r="N136" s="333" t="s">
        <v>340</v>
      </c>
      <c r="O136" s="333" t="s">
        <v>310</v>
      </c>
      <c r="P136" s="333" t="s">
        <v>310</v>
      </c>
      <c r="Q136" s="335">
        <v>355</v>
      </c>
      <c r="R136" s="335">
        <v>4450</v>
      </c>
      <c r="U136" s="333" t="s">
        <v>87</v>
      </c>
      <c r="V136" s="333" t="s">
        <v>554</v>
      </c>
    </row>
    <row r="137" spans="1:22" x14ac:dyDescent="0.25">
      <c r="A137" s="333" t="s">
        <v>151</v>
      </c>
      <c r="B137" s="333" t="s">
        <v>1095</v>
      </c>
      <c r="G137" s="333" t="s">
        <v>138</v>
      </c>
      <c r="H137" s="333" t="s">
        <v>137</v>
      </c>
      <c r="I137" s="333" t="s">
        <v>843</v>
      </c>
      <c r="J137" s="335">
        <v>0</v>
      </c>
      <c r="M137" s="333" t="s">
        <v>286</v>
      </c>
      <c r="N137" s="333" t="s">
        <v>287</v>
      </c>
      <c r="O137" s="333" t="s">
        <v>1182</v>
      </c>
      <c r="P137" s="333" t="s">
        <v>180</v>
      </c>
      <c r="Q137" s="335">
        <v>10</v>
      </c>
      <c r="R137" s="335">
        <v>60</v>
      </c>
      <c r="U137" s="333" t="s">
        <v>339</v>
      </c>
      <c r="V137" s="333" t="s">
        <v>1235</v>
      </c>
    </row>
    <row r="138" spans="1:22" x14ac:dyDescent="0.25">
      <c r="A138" s="333" t="s">
        <v>166</v>
      </c>
      <c r="B138" s="333" t="s">
        <v>167</v>
      </c>
      <c r="G138" s="333" t="s">
        <v>263</v>
      </c>
      <c r="H138" s="333" t="s">
        <v>262</v>
      </c>
      <c r="I138" s="333" t="s">
        <v>500</v>
      </c>
      <c r="J138" s="335">
        <v>21</v>
      </c>
      <c r="M138" s="333" t="s">
        <v>9</v>
      </c>
      <c r="N138" s="333" t="s">
        <v>10</v>
      </c>
      <c r="O138" s="333" t="s">
        <v>5</v>
      </c>
      <c r="P138" s="333" t="s">
        <v>5</v>
      </c>
      <c r="Q138" s="335">
        <v>0</v>
      </c>
      <c r="R138" s="335">
        <v>0</v>
      </c>
      <c r="U138" s="333" t="s">
        <v>286</v>
      </c>
      <c r="V138" s="333" t="s">
        <v>554</v>
      </c>
    </row>
    <row r="139" spans="1:22" x14ac:dyDescent="0.25">
      <c r="A139" s="333" t="s">
        <v>166</v>
      </c>
      <c r="B139" s="333" t="s">
        <v>822</v>
      </c>
      <c r="G139" s="333" t="s">
        <v>265</v>
      </c>
      <c r="H139" s="333" t="s">
        <v>264</v>
      </c>
      <c r="I139" s="333" t="s">
        <v>500</v>
      </c>
      <c r="J139" s="335">
        <v>14</v>
      </c>
      <c r="M139" s="333" t="s">
        <v>354</v>
      </c>
      <c r="N139" s="333" t="s">
        <v>355</v>
      </c>
      <c r="O139" s="333" t="s">
        <v>310</v>
      </c>
      <c r="P139" s="333" t="s">
        <v>310</v>
      </c>
      <c r="Q139" s="335">
        <v>98</v>
      </c>
      <c r="R139" s="335">
        <v>563</v>
      </c>
      <c r="U139" s="333" t="s">
        <v>9</v>
      </c>
      <c r="V139" s="333" t="s">
        <v>12</v>
      </c>
    </row>
    <row r="140" spans="1:22" x14ac:dyDescent="0.25">
      <c r="A140" s="333" t="s">
        <v>166</v>
      </c>
      <c r="B140" s="333" t="s">
        <v>1422</v>
      </c>
      <c r="G140" s="333" t="s">
        <v>136</v>
      </c>
      <c r="H140" s="333" t="s">
        <v>135</v>
      </c>
      <c r="I140" s="333" t="s">
        <v>843</v>
      </c>
      <c r="J140" s="335">
        <v>0</v>
      </c>
      <c r="M140" s="333" t="s">
        <v>272</v>
      </c>
      <c r="N140" s="333" t="s">
        <v>273</v>
      </c>
      <c r="O140" s="333" t="s">
        <v>237</v>
      </c>
      <c r="P140" s="333" t="s">
        <v>237</v>
      </c>
      <c r="Q140" s="335">
        <v>46</v>
      </c>
      <c r="R140" s="335">
        <v>278</v>
      </c>
      <c r="U140" s="333" t="s">
        <v>354</v>
      </c>
      <c r="V140" s="333" t="s">
        <v>554</v>
      </c>
    </row>
    <row r="141" spans="1:22" x14ac:dyDescent="0.25">
      <c r="A141" s="333" t="s">
        <v>173</v>
      </c>
      <c r="B141" s="333" t="s">
        <v>174</v>
      </c>
      <c r="G141" s="333" t="s">
        <v>68</v>
      </c>
      <c r="H141" s="333" t="s">
        <v>67</v>
      </c>
      <c r="I141" s="333" t="s">
        <v>843</v>
      </c>
      <c r="J141" s="335">
        <v>0</v>
      </c>
      <c r="M141" s="333" t="s">
        <v>11</v>
      </c>
      <c r="N141" s="333" t="s">
        <v>12</v>
      </c>
      <c r="O141" s="333" t="s">
        <v>5</v>
      </c>
      <c r="P141" s="333" t="s">
        <v>5</v>
      </c>
      <c r="Q141" s="335">
        <v>211</v>
      </c>
      <c r="R141" s="335">
        <v>989</v>
      </c>
      <c r="U141" s="333" t="s">
        <v>272</v>
      </c>
      <c r="V141" s="333" t="s">
        <v>554</v>
      </c>
    </row>
    <row r="142" spans="1:22" x14ac:dyDescent="0.25">
      <c r="A142" s="333" t="s">
        <v>173</v>
      </c>
      <c r="B142" s="333" t="s">
        <v>176</v>
      </c>
      <c r="G142" s="333" t="s">
        <v>84</v>
      </c>
      <c r="H142" s="333" t="s">
        <v>83</v>
      </c>
      <c r="I142" s="333" t="s">
        <v>843</v>
      </c>
      <c r="J142" s="335">
        <v>0</v>
      </c>
      <c r="M142" s="333" t="s">
        <v>91</v>
      </c>
      <c r="N142" s="333" t="s">
        <v>92</v>
      </c>
      <c r="O142" s="333" t="s">
        <v>527</v>
      </c>
      <c r="P142" s="333" t="s">
        <v>527</v>
      </c>
      <c r="Q142" s="335">
        <v>15</v>
      </c>
      <c r="R142" s="335">
        <v>73</v>
      </c>
      <c r="U142" s="333" t="s">
        <v>11</v>
      </c>
      <c r="V142" s="333" t="s">
        <v>12</v>
      </c>
    </row>
    <row r="143" spans="1:22" x14ac:dyDescent="0.25">
      <c r="A143" s="333" t="s">
        <v>173</v>
      </c>
      <c r="B143" s="333" t="s">
        <v>178</v>
      </c>
      <c r="G143" s="333" t="s">
        <v>86</v>
      </c>
      <c r="H143" s="333" t="s">
        <v>85</v>
      </c>
      <c r="I143" s="333" t="s">
        <v>843</v>
      </c>
      <c r="J143" s="335">
        <v>0</v>
      </c>
      <c r="M143" s="333" t="s">
        <v>119</v>
      </c>
      <c r="N143" s="333" t="s">
        <v>120</v>
      </c>
      <c r="O143" s="333" t="s">
        <v>527</v>
      </c>
      <c r="P143" s="333" t="s">
        <v>527</v>
      </c>
      <c r="Q143" s="335">
        <v>77</v>
      </c>
      <c r="R143" s="335">
        <v>411</v>
      </c>
      <c r="U143" s="333" t="s">
        <v>91</v>
      </c>
      <c r="V143" s="333" t="s">
        <v>554</v>
      </c>
    </row>
    <row r="144" spans="1:22" x14ac:dyDescent="0.25">
      <c r="A144" s="333" t="s">
        <v>173</v>
      </c>
      <c r="B144" s="333" t="s">
        <v>1278</v>
      </c>
      <c r="G144" s="333" t="s">
        <v>100</v>
      </c>
      <c r="H144" s="333" t="s">
        <v>99</v>
      </c>
      <c r="I144" s="333" t="s">
        <v>500</v>
      </c>
      <c r="J144" s="335">
        <v>4</v>
      </c>
      <c r="M144" s="333" t="s">
        <v>51</v>
      </c>
      <c r="N144" s="333" t="s">
        <v>52</v>
      </c>
      <c r="O144" s="333" t="s">
        <v>527</v>
      </c>
      <c r="P144" s="333" t="s">
        <v>527</v>
      </c>
      <c r="Q144" s="335">
        <v>38</v>
      </c>
      <c r="R144" s="335">
        <v>233</v>
      </c>
      <c r="U144" s="333" t="s">
        <v>119</v>
      </c>
      <c r="V144" s="333" t="s">
        <v>554</v>
      </c>
    </row>
    <row r="145" spans="1:22" x14ac:dyDescent="0.25">
      <c r="A145" s="333" t="s">
        <v>173</v>
      </c>
      <c r="B145" s="333" t="s">
        <v>1277</v>
      </c>
      <c r="G145" s="333" t="s">
        <v>104</v>
      </c>
      <c r="H145" s="333" t="s">
        <v>103</v>
      </c>
      <c r="I145" s="333" t="s">
        <v>843</v>
      </c>
      <c r="J145" s="335">
        <v>0</v>
      </c>
      <c r="M145" s="333" t="s">
        <v>47</v>
      </c>
      <c r="N145" s="333" t="s">
        <v>48</v>
      </c>
      <c r="O145" s="333" t="s">
        <v>527</v>
      </c>
      <c r="P145" s="333" t="s">
        <v>527</v>
      </c>
      <c r="Q145" s="335">
        <v>0</v>
      </c>
      <c r="R145" s="335">
        <v>0</v>
      </c>
      <c r="U145" s="333" t="s">
        <v>51</v>
      </c>
      <c r="V145" s="333" t="s">
        <v>554</v>
      </c>
    </row>
    <row r="146" spans="1:22" x14ac:dyDescent="0.25">
      <c r="A146" s="333" t="s">
        <v>173</v>
      </c>
      <c r="B146" s="333" t="s">
        <v>1268</v>
      </c>
      <c r="G146" s="333" t="s">
        <v>98</v>
      </c>
      <c r="H146" s="333" t="s">
        <v>97</v>
      </c>
      <c r="I146" s="333" t="s">
        <v>843</v>
      </c>
      <c r="J146" s="335">
        <v>0</v>
      </c>
      <c r="M146" s="333" t="s">
        <v>127</v>
      </c>
      <c r="N146" s="333" t="s">
        <v>128</v>
      </c>
      <c r="O146" s="333" t="s">
        <v>527</v>
      </c>
      <c r="P146" s="333" t="s">
        <v>527</v>
      </c>
      <c r="Q146" s="335">
        <v>0</v>
      </c>
      <c r="R146" s="335">
        <v>0</v>
      </c>
      <c r="U146" s="333" t="s">
        <v>47</v>
      </c>
      <c r="V146" s="333" t="s">
        <v>554</v>
      </c>
    </row>
    <row r="147" spans="1:22" x14ac:dyDescent="0.25">
      <c r="A147" s="333" t="s">
        <v>180</v>
      </c>
      <c r="B147" s="333" t="s">
        <v>183</v>
      </c>
      <c r="G147" s="333" t="s">
        <v>368</v>
      </c>
      <c r="H147" s="333" t="s">
        <v>385</v>
      </c>
      <c r="I147" s="333" t="s">
        <v>500</v>
      </c>
      <c r="J147" s="335">
        <v>69</v>
      </c>
      <c r="M147" s="333" t="s">
        <v>59</v>
      </c>
      <c r="N147" s="333" t="s">
        <v>60</v>
      </c>
      <c r="O147" s="333" t="s">
        <v>527</v>
      </c>
      <c r="P147" s="333" t="s">
        <v>527</v>
      </c>
      <c r="Q147" s="335">
        <v>0</v>
      </c>
      <c r="R147" s="335">
        <v>0</v>
      </c>
      <c r="U147" s="333" t="s">
        <v>127</v>
      </c>
      <c r="V147" s="333" t="s">
        <v>554</v>
      </c>
    </row>
    <row r="148" spans="1:22" x14ac:dyDescent="0.25">
      <c r="A148" s="333" t="s">
        <v>180</v>
      </c>
      <c r="B148" s="333" t="s">
        <v>287</v>
      </c>
      <c r="G148" s="333" t="s">
        <v>1158</v>
      </c>
      <c r="H148" s="333" t="s">
        <v>1160</v>
      </c>
      <c r="I148" s="333" t="s">
        <v>500</v>
      </c>
      <c r="J148" s="335">
        <v>14</v>
      </c>
      <c r="M148" s="333" t="s">
        <v>38</v>
      </c>
      <c r="N148" s="333" t="s">
        <v>39</v>
      </c>
      <c r="O148" s="333" t="s">
        <v>527</v>
      </c>
      <c r="P148" s="333" t="s">
        <v>527</v>
      </c>
      <c r="Q148" s="335">
        <v>0</v>
      </c>
      <c r="R148" s="335">
        <v>0</v>
      </c>
      <c r="U148" s="333" t="s">
        <v>59</v>
      </c>
      <c r="V148" s="333" t="s">
        <v>554</v>
      </c>
    </row>
    <row r="149" spans="1:22" x14ac:dyDescent="0.25">
      <c r="A149" s="333" t="s">
        <v>180</v>
      </c>
      <c r="B149" s="333" t="s">
        <v>181</v>
      </c>
      <c r="G149" s="333" t="s">
        <v>1246</v>
      </c>
      <c r="H149" s="333" t="s">
        <v>359</v>
      </c>
      <c r="I149" s="333" t="s">
        <v>843</v>
      </c>
      <c r="J149" s="335">
        <v>0</v>
      </c>
      <c r="M149" s="333" t="s">
        <v>75</v>
      </c>
      <c r="N149" s="333" t="s">
        <v>76</v>
      </c>
      <c r="O149" s="333" t="s">
        <v>527</v>
      </c>
      <c r="P149" s="333" t="s">
        <v>527</v>
      </c>
      <c r="Q149" s="335">
        <v>66</v>
      </c>
      <c r="R149" s="335">
        <v>362</v>
      </c>
      <c r="U149" s="333" t="s">
        <v>38</v>
      </c>
      <c r="V149" s="333" t="s">
        <v>554</v>
      </c>
    </row>
    <row r="150" spans="1:22" x14ac:dyDescent="0.25">
      <c r="A150" s="333" t="s">
        <v>180</v>
      </c>
      <c r="B150" s="333" t="s">
        <v>1157</v>
      </c>
      <c r="G150" s="333" t="s">
        <v>209</v>
      </c>
      <c r="H150" s="333" t="s">
        <v>208</v>
      </c>
      <c r="I150" s="333" t="s">
        <v>500</v>
      </c>
      <c r="J150" s="335">
        <v>226</v>
      </c>
      <c r="M150" s="333" t="s">
        <v>73</v>
      </c>
      <c r="N150" s="333" t="s">
        <v>74</v>
      </c>
      <c r="O150" s="333" t="s">
        <v>527</v>
      </c>
      <c r="P150" s="333" t="s">
        <v>527</v>
      </c>
      <c r="Q150" s="335">
        <v>0</v>
      </c>
      <c r="R150" s="335">
        <v>0</v>
      </c>
      <c r="U150" s="333" t="s">
        <v>75</v>
      </c>
      <c r="V150" s="333" t="s">
        <v>554</v>
      </c>
    </row>
    <row r="151" spans="1:22" x14ac:dyDescent="0.25">
      <c r="A151" s="333" t="s">
        <v>180</v>
      </c>
      <c r="B151" s="333" t="s">
        <v>1158</v>
      </c>
      <c r="G151" s="333" t="s">
        <v>211</v>
      </c>
      <c r="H151" s="333" t="s">
        <v>210</v>
      </c>
      <c r="I151" s="333" t="s">
        <v>843</v>
      </c>
      <c r="J151" s="335"/>
      <c r="M151" s="333" t="s">
        <v>40</v>
      </c>
      <c r="N151" s="333" t="s">
        <v>41</v>
      </c>
      <c r="O151" s="333" t="s">
        <v>527</v>
      </c>
      <c r="P151" s="333" t="s">
        <v>527</v>
      </c>
      <c r="Q151" s="335">
        <v>67</v>
      </c>
      <c r="R151" s="335">
        <v>353</v>
      </c>
      <c r="U151" s="333" t="s">
        <v>73</v>
      </c>
      <c r="V151" s="333" t="s">
        <v>554</v>
      </c>
    </row>
    <row r="152" spans="1:22" x14ac:dyDescent="0.25">
      <c r="A152" s="333" t="s">
        <v>185</v>
      </c>
      <c r="B152" s="333" t="s">
        <v>192</v>
      </c>
      <c r="G152" s="333" t="s">
        <v>1629</v>
      </c>
      <c r="H152" s="333" t="s">
        <v>1596</v>
      </c>
      <c r="I152" s="333" t="s">
        <v>843</v>
      </c>
      <c r="J152" s="335"/>
      <c r="M152" s="333" t="s">
        <v>141</v>
      </c>
      <c r="N152" s="333" t="s">
        <v>142</v>
      </c>
      <c r="O152" s="333" t="s">
        <v>527</v>
      </c>
      <c r="P152" s="333" t="s">
        <v>527</v>
      </c>
      <c r="Q152" s="335">
        <v>0</v>
      </c>
      <c r="R152" s="335">
        <v>0</v>
      </c>
      <c r="U152" s="333" t="s">
        <v>40</v>
      </c>
      <c r="V152" s="333" t="s">
        <v>554</v>
      </c>
    </row>
    <row r="153" spans="1:22" x14ac:dyDescent="0.25">
      <c r="A153" s="333" t="s">
        <v>185</v>
      </c>
      <c r="B153" s="333" t="s">
        <v>12</v>
      </c>
      <c r="G153" s="333" t="s">
        <v>1411</v>
      </c>
      <c r="H153" s="333" t="s">
        <v>1405</v>
      </c>
      <c r="I153" s="333" t="s">
        <v>500</v>
      </c>
      <c r="J153" s="335">
        <v>61</v>
      </c>
      <c r="M153" s="333" t="s">
        <v>97</v>
      </c>
      <c r="N153" s="333" t="s">
        <v>98</v>
      </c>
      <c r="O153" s="333" t="s">
        <v>527</v>
      </c>
      <c r="P153" s="333" t="s">
        <v>527</v>
      </c>
      <c r="Q153" s="335">
        <v>0</v>
      </c>
      <c r="R153" s="335">
        <v>0</v>
      </c>
      <c r="U153" s="333" t="s">
        <v>141</v>
      </c>
      <c r="V153" s="333" t="s">
        <v>554</v>
      </c>
    </row>
    <row r="154" spans="1:22" x14ac:dyDescent="0.25">
      <c r="A154" s="333" t="s">
        <v>185</v>
      </c>
      <c r="B154" s="333" t="s">
        <v>194</v>
      </c>
      <c r="G154" s="333" t="s">
        <v>1410</v>
      </c>
      <c r="H154" s="333" t="s">
        <v>1404</v>
      </c>
      <c r="I154" s="333" t="s">
        <v>500</v>
      </c>
      <c r="J154" s="335">
        <v>200</v>
      </c>
      <c r="M154" s="333" t="s">
        <v>61</v>
      </c>
      <c r="N154" s="333" t="s">
        <v>62</v>
      </c>
      <c r="O154" s="333" t="s">
        <v>527</v>
      </c>
      <c r="P154" s="333" t="s">
        <v>527</v>
      </c>
      <c r="Q154" s="335">
        <v>67</v>
      </c>
      <c r="R154" s="335">
        <v>350</v>
      </c>
      <c r="U154" s="333" t="s">
        <v>97</v>
      </c>
      <c r="V154" s="333" t="s">
        <v>554</v>
      </c>
    </row>
    <row r="155" spans="1:22" x14ac:dyDescent="0.25">
      <c r="A155" s="333" t="s">
        <v>185</v>
      </c>
      <c r="B155" s="333" t="s">
        <v>521</v>
      </c>
      <c r="G155" s="333" t="s">
        <v>233</v>
      </c>
      <c r="H155" s="333" t="s">
        <v>232</v>
      </c>
      <c r="I155" s="333" t="s">
        <v>843</v>
      </c>
      <c r="J155" s="335"/>
      <c r="M155" s="333" t="s">
        <v>77</v>
      </c>
      <c r="N155" s="333" t="s">
        <v>78</v>
      </c>
      <c r="O155" s="333" t="s">
        <v>527</v>
      </c>
      <c r="P155" s="333" t="s">
        <v>527</v>
      </c>
      <c r="Q155" s="335">
        <v>0</v>
      </c>
      <c r="R155" s="335">
        <v>0</v>
      </c>
      <c r="U155" s="333" t="s">
        <v>61</v>
      </c>
      <c r="V155" s="333" t="s">
        <v>554</v>
      </c>
    </row>
    <row r="156" spans="1:22" x14ac:dyDescent="0.25">
      <c r="A156" s="333" t="s">
        <v>185</v>
      </c>
      <c r="B156" s="333" t="s">
        <v>186</v>
      </c>
      <c r="G156" s="333" t="s">
        <v>235</v>
      </c>
      <c r="H156" s="333" t="s">
        <v>234</v>
      </c>
      <c r="I156" s="333" t="s">
        <v>500</v>
      </c>
      <c r="J156" s="335">
        <v>123</v>
      </c>
      <c r="M156" s="333" t="s">
        <v>89</v>
      </c>
      <c r="N156" s="333" t="s">
        <v>90</v>
      </c>
      <c r="O156" s="333" t="s">
        <v>527</v>
      </c>
      <c r="P156" s="333" t="s">
        <v>527</v>
      </c>
      <c r="Q156" s="335">
        <v>25</v>
      </c>
      <c r="R156" s="335">
        <v>118</v>
      </c>
      <c r="U156" s="333" t="s">
        <v>77</v>
      </c>
      <c r="V156" s="333" t="s">
        <v>554</v>
      </c>
    </row>
    <row r="157" spans="1:22" x14ac:dyDescent="0.25">
      <c r="A157" s="333" t="s">
        <v>185</v>
      </c>
      <c r="B157" s="333" t="s">
        <v>223</v>
      </c>
      <c r="G157" s="333" t="s">
        <v>296</v>
      </c>
      <c r="H157" s="333" t="s">
        <v>1414</v>
      </c>
      <c r="I157" s="333" t="s">
        <v>843</v>
      </c>
      <c r="J157" s="335">
        <v>0</v>
      </c>
      <c r="M157" s="333" t="s">
        <v>117</v>
      </c>
      <c r="N157" s="333" t="s">
        <v>118</v>
      </c>
      <c r="O157" s="333" t="s">
        <v>527</v>
      </c>
      <c r="P157" s="333" t="s">
        <v>527</v>
      </c>
      <c r="Q157" s="335">
        <v>10</v>
      </c>
      <c r="R157" s="335">
        <v>39</v>
      </c>
      <c r="U157" s="333" t="s">
        <v>89</v>
      </c>
      <c r="V157" s="333" t="s">
        <v>554</v>
      </c>
    </row>
    <row r="158" spans="1:22" x14ac:dyDescent="0.25">
      <c r="A158" s="333" t="s">
        <v>185</v>
      </c>
      <c r="B158" s="333" t="s">
        <v>190</v>
      </c>
      <c r="G158" s="333" t="s">
        <v>518</v>
      </c>
      <c r="H158" s="333" t="s">
        <v>519</v>
      </c>
      <c r="I158" s="333" t="s">
        <v>843</v>
      </c>
      <c r="J158" s="335">
        <v>0</v>
      </c>
      <c r="M158" s="333" t="s">
        <v>123</v>
      </c>
      <c r="N158" s="333" t="s">
        <v>124</v>
      </c>
      <c r="O158" s="333" t="s">
        <v>527</v>
      </c>
      <c r="P158" s="333" t="s">
        <v>527</v>
      </c>
      <c r="Q158" s="335">
        <v>8</v>
      </c>
      <c r="R158" s="335">
        <v>36</v>
      </c>
      <c r="U158" s="333" t="s">
        <v>117</v>
      </c>
      <c r="V158" s="333" t="s">
        <v>554</v>
      </c>
    </row>
    <row r="159" spans="1:22" x14ac:dyDescent="0.25">
      <c r="A159" s="333" t="s">
        <v>185</v>
      </c>
      <c r="B159" s="333" t="s">
        <v>200</v>
      </c>
      <c r="G159" s="333" t="s">
        <v>1428</v>
      </c>
      <c r="H159" s="333" t="s">
        <v>1408</v>
      </c>
      <c r="I159" s="333" t="s">
        <v>500</v>
      </c>
      <c r="J159" s="335">
        <v>30</v>
      </c>
      <c r="M159" s="333" t="s">
        <v>125</v>
      </c>
      <c r="N159" s="333" t="s">
        <v>126</v>
      </c>
      <c r="O159" s="333" t="s">
        <v>527</v>
      </c>
      <c r="P159" s="333" t="s">
        <v>527</v>
      </c>
      <c r="Q159" s="335">
        <v>35</v>
      </c>
      <c r="R159" s="335">
        <v>173</v>
      </c>
      <c r="U159" s="333" t="s">
        <v>123</v>
      </c>
      <c r="V159" s="333" t="s">
        <v>554</v>
      </c>
    </row>
    <row r="160" spans="1:22" x14ac:dyDescent="0.25">
      <c r="A160" s="333" t="s">
        <v>185</v>
      </c>
      <c r="B160" s="333" t="s">
        <v>202</v>
      </c>
      <c r="G160" s="333" t="s">
        <v>371</v>
      </c>
      <c r="H160" s="333" t="s">
        <v>147</v>
      </c>
      <c r="I160" s="333" t="s">
        <v>500</v>
      </c>
      <c r="J160" s="335">
        <v>49</v>
      </c>
      <c r="M160" s="333" t="s">
        <v>63</v>
      </c>
      <c r="N160" s="333" t="s">
        <v>64</v>
      </c>
      <c r="O160" s="333" t="s">
        <v>527</v>
      </c>
      <c r="P160" s="333" t="s">
        <v>527</v>
      </c>
      <c r="Q160" s="335">
        <v>0</v>
      </c>
      <c r="R160" s="335">
        <v>0</v>
      </c>
      <c r="U160" s="333" t="s">
        <v>125</v>
      </c>
      <c r="V160" s="333" t="s">
        <v>554</v>
      </c>
    </row>
    <row r="161" spans="1:22" x14ac:dyDescent="0.25">
      <c r="A161" s="333" t="s">
        <v>185</v>
      </c>
      <c r="B161" s="333" t="s">
        <v>204</v>
      </c>
      <c r="G161" s="333" t="s">
        <v>1102</v>
      </c>
      <c r="H161" s="333" t="s">
        <v>1101</v>
      </c>
      <c r="I161" s="333" t="s">
        <v>500</v>
      </c>
      <c r="J161" s="335">
        <v>22</v>
      </c>
      <c r="M161" s="333" t="s">
        <v>81</v>
      </c>
      <c r="N161" s="333" t="s">
        <v>82</v>
      </c>
      <c r="O161" s="333" t="s">
        <v>527</v>
      </c>
      <c r="P161" s="333" t="s">
        <v>527</v>
      </c>
      <c r="Q161" s="335">
        <v>0</v>
      </c>
      <c r="R161" s="335">
        <v>0</v>
      </c>
      <c r="U161" s="333" t="s">
        <v>63</v>
      </c>
      <c r="V161" s="333" t="s">
        <v>554</v>
      </c>
    </row>
    <row r="162" spans="1:22" x14ac:dyDescent="0.25">
      <c r="A162" s="333" t="s">
        <v>185</v>
      </c>
      <c r="B162" s="333" t="s">
        <v>205</v>
      </c>
      <c r="G162" s="333" t="s">
        <v>367</v>
      </c>
      <c r="H162" s="333" t="s">
        <v>386</v>
      </c>
      <c r="I162" s="333" t="s">
        <v>843</v>
      </c>
      <c r="J162" s="335">
        <v>0</v>
      </c>
      <c r="M162" s="333" t="s">
        <v>57</v>
      </c>
      <c r="N162" s="333" t="s">
        <v>58</v>
      </c>
      <c r="O162" s="333" t="s">
        <v>527</v>
      </c>
      <c r="P162" s="333" t="s">
        <v>527</v>
      </c>
      <c r="Q162" s="335">
        <v>0</v>
      </c>
      <c r="R162" s="335">
        <v>0</v>
      </c>
      <c r="U162" s="333" t="s">
        <v>81</v>
      </c>
      <c r="V162" s="333" t="s">
        <v>554</v>
      </c>
    </row>
    <row r="163" spans="1:22" x14ac:dyDescent="0.25">
      <c r="A163" s="333" t="s">
        <v>185</v>
      </c>
      <c r="B163" s="333" t="s">
        <v>207</v>
      </c>
      <c r="G163" s="333" t="s">
        <v>142</v>
      </c>
      <c r="H163" s="333" t="s">
        <v>141</v>
      </c>
      <c r="I163" s="333" t="s">
        <v>843</v>
      </c>
      <c r="J163" s="335">
        <v>0</v>
      </c>
      <c r="M163" s="333" t="s">
        <v>55</v>
      </c>
      <c r="N163" s="333" t="s">
        <v>56</v>
      </c>
      <c r="O163" s="333" t="s">
        <v>527</v>
      </c>
      <c r="P163" s="333" t="s">
        <v>527</v>
      </c>
      <c r="Q163" s="335">
        <v>0</v>
      </c>
      <c r="R163" s="335">
        <v>0</v>
      </c>
      <c r="U163" s="333" t="s">
        <v>57</v>
      </c>
      <c r="V163" s="333" t="s">
        <v>554</v>
      </c>
    </row>
    <row r="164" spans="1:22" x14ac:dyDescent="0.25">
      <c r="A164" s="333" t="s">
        <v>185</v>
      </c>
      <c r="B164" s="333" t="s">
        <v>209</v>
      </c>
      <c r="G164" s="333" t="s">
        <v>1053</v>
      </c>
      <c r="H164" s="333" t="s">
        <v>1054</v>
      </c>
      <c r="I164" s="333" t="s">
        <v>500</v>
      </c>
      <c r="J164" s="335">
        <v>51</v>
      </c>
      <c r="M164" s="333" t="s">
        <v>42</v>
      </c>
      <c r="N164" s="333" t="s">
        <v>43</v>
      </c>
      <c r="O164" s="333" t="s">
        <v>527</v>
      </c>
      <c r="P164" s="333" t="s">
        <v>527</v>
      </c>
      <c r="Q164" s="335">
        <v>14</v>
      </c>
      <c r="R164" s="335">
        <v>83</v>
      </c>
      <c r="U164" s="333" t="s">
        <v>55</v>
      </c>
      <c r="V164" s="333" t="s">
        <v>554</v>
      </c>
    </row>
    <row r="165" spans="1:22" x14ac:dyDescent="0.25">
      <c r="A165" s="333" t="s">
        <v>185</v>
      </c>
      <c r="B165" s="333" t="s">
        <v>211</v>
      </c>
      <c r="G165" s="333" t="s">
        <v>1063</v>
      </c>
      <c r="H165" s="333" t="s">
        <v>1064</v>
      </c>
      <c r="I165" s="333" t="s">
        <v>500</v>
      </c>
      <c r="J165" s="335">
        <v>25</v>
      </c>
      <c r="M165" s="333" t="s">
        <v>45</v>
      </c>
      <c r="N165" s="333" t="s">
        <v>44</v>
      </c>
      <c r="O165" s="333" t="s">
        <v>527</v>
      </c>
      <c r="P165" s="333" t="s">
        <v>527</v>
      </c>
      <c r="Q165" s="335">
        <v>5</v>
      </c>
      <c r="R165" s="335">
        <v>34</v>
      </c>
      <c r="U165" s="333" t="s">
        <v>42</v>
      </c>
      <c r="V165" s="333" t="s">
        <v>554</v>
      </c>
    </row>
    <row r="166" spans="1:22" x14ac:dyDescent="0.25">
      <c r="A166" s="333" t="s">
        <v>185</v>
      </c>
      <c r="B166" s="333" t="s">
        <v>213</v>
      </c>
      <c r="G166" s="333" t="s">
        <v>8</v>
      </c>
      <c r="H166" s="333" t="s">
        <v>7</v>
      </c>
      <c r="I166" s="333" t="s">
        <v>500</v>
      </c>
      <c r="J166" s="335">
        <v>14</v>
      </c>
      <c r="M166" s="333" t="s">
        <v>46</v>
      </c>
      <c r="N166" s="333" t="s">
        <v>611</v>
      </c>
      <c r="O166" s="333" t="s">
        <v>527</v>
      </c>
      <c r="P166" s="333" t="s">
        <v>527</v>
      </c>
      <c r="Q166" s="335">
        <v>12</v>
      </c>
      <c r="R166" s="335">
        <v>50</v>
      </c>
      <c r="U166" s="333" t="s">
        <v>45</v>
      </c>
      <c r="V166" s="333" t="s">
        <v>554</v>
      </c>
    </row>
    <row r="167" spans="1:22" x14ac:dyDescent="0.25">
      <c r="A167" s="333" t="s">
        <v>185</v>
      </c>
      <c r="B167" s="333" t="s">
        <v>215</v>
      </c>
      <c r="G167" s="333" t="s">
        <v>1454</v>
      </c>
      <c r="H167" s="333" t="s">
        <v>1462</v>
      </c>
      <c r="I167" s="333" t="s">
        <v>500</v>
      </c>
      <c r="J167" s="335">
        <v>22</v>
      </c>
      <c r="M167" s="333" t="s">
        <v>376</v>
      </c>
      <c r="N167" s="333" t="s">
        <v>366</v>
      </c>
      <c r="O167" s="333" t="s">
        <v>5</v>
      </c>
      <c r="P167" s="333" t="s">
        <v>5</v>
      </c>
      <c r="Q167" s="335">
        <v>150</v>
      </c>
      <c r="R167" s="335">
        <v>761</v>
      </c>
      <c r="U167" s="333" t="s">
        <v>46</v>
      </c>
      <c r="V167" s="333" t="s">
        <v>554</v>
      </c>
    </row>
    <row r="168" spans="1:22" x14ac:dyDescent="0.25">
      <c r="A168" s="333" t="s">
        <v>185</v>
      </c>
      <c r="B168" s="333" t="s">
        <v>217</v>
      </c>
      <c r="G168" s="333" t="s">
        <v>267</v>
      </c>
      <c r="H168" s="333" t="s">
        <v>266</v>
      </c>
      <c r="I168" s="333" t="s">
        <v>843</v>
      </c>
      <c r="J168" s="335">
        <v>0</v>
      </c>
      <c r="M168" s="333" t="s">
        <v>377</v>
      </c>
      <c r="N168" s="333" t="s">
        <v>512</v>
      </c>
      <c r="O168" s="333" t="s">
        <v>5</v>
      </c>
      <c r="P168" s="333" t="s">
        <v>5</v>
      </c>
      <c r="Q168" s="335">
        <v>12</v>
      </c>
      <c r="R168" s="335">
        <v>56</v>
      </c>
      <c r="U168" s="333" t="s">
        <v>376</v>
      </c>
      <c r="V168" s="333" t="s">
        <v>554</v>
      </c>
    </row>
    <row r="169" spans="1:22" x14ac:dyDescent="0.25">
      <c r="A169" s="333" t="s">
        <v>185</v>
      </c>
      <c r="B169" s="333" t="s">
        <v>229</v>
      </c>
      <c r="G169" s="333" t="s">
        <v>213</v>
      </c>
      <c r="H169" s="333" t="s">
        <v>212</v>
      </c>
      <c r="I169" s="333" t="s">
        <v>500</v>
      </c>
      <c r="J169" s="335">
        <v>13</v>
      </c>
      <c r="M169" s="333" t="s">
        <v>378</v>
      </c>
      <c r="N169" s="333" t="s">
        <v>365</v>
      </c>
      <c r="O169" s="333" t="s">
        <v>27</v>
      </c>
      <c r="P169" s="333" t="s">
        <v>27</v>
      </c>
      <c r="Q169" s="335">
        <v>143</v>
      </c>
      <c r="R169" s="335">
        <v>637</v>
      </c>
      <c r="U169" s="333" t="s">
        <v>377</v>
      </c>
      <c r="V169" s="333" t="s">
        <v>554</v>
      </c>
    </row>
    <row r="170" spans="1:22" x14ac:dyDescent="0.25">
      <c r="A170" s="333" t="s">
        <v>185</v>
      </c>
      <c r="B170" s="333" t="s">
        <v>219</v>
      </c>
      <c r="G170" s="333" t="s">
        <v>162</v>
      </c>
      <c r="H170" s="333" t="s">
        <v>161</v>
      </c>
      <c r="I170" s="333" t="s">
        <v>843</v>
      </c>
      <c r="J170" s="335">
        <v>0</v>
      </c>
      <c r="M170" s="333" t="s">
        <v>390</v>
      </c>
      <c r="N170" s="333" t="s">
        <v>12</v>
      </c>
      <c r="O170" s="333" t="s">
        <v>151</v>
      </c>
      <c r="P170" s="333" t="s">
        <v>151</v>
      </c>
      <c r="Q170" s="335">
        <v>76</v>
      </c>
      <c r="R170" s="335">
        <v>256</v>
      </c>
      <c r="U170" s="333" t="s">
        <v>378</v>
      </c>
      <c r="V170" s="333" t="s">
        <v>554</v>
      </c>
    </row>
    <row r="171" spans="1:22" x14ac:dyDescent="0.25">
      <c r="A171" s="333" t="s">
        <v>185</v>
      </c>
      <c r="B171" s="333" t="s">
        <v>221</v>
      </c>
      <c r="G171" s="333" t="s">
        <v>292</v>
      </c>
      <c r="H171" s="333" t="s">
        <v>291</v>
      </c>
      <c r="I171" s="333" t="s">
        <v>500</v>
      </c>
      <c r="J171" s="335">
        <v>75</v>
      </c>
      <c r="M171" s="333" t="s">
        <v>391</v>
      </c>
      <c r="N171" s="333" t="s">
        <v>12</v>
      </c>
      <c r="O171" s="333" t="s">
        <v>185</v>
      </c>
      <c r="P171" s="333" t="s">
        <v>185</v>
      </c>
      <c r="Q171" s="335">
        <v>320</v>
      </c>
      <c r="R171" s="335">
        <v>1125</v>
      </c>
      <c r="U171" s="333" t="s">
        <v>390</v>
      </c>
      <c r="V171" s="333" t="s">
        <v>12</v>
      </c>
    </row>
    <row r="172" spans="1:22" x14ac:dyDescent="0.25">
      <c r="A172" s="333" t="s">
        <v>185</v>
      </c>
      <c r="B172" s="333" t="s">
        <v>225</v>
      </c>
      <c r="G172" s="333" t="s">
        <v>290</v>
      </c>
      <c r="H172" s="333" t="s">
        <v>288</v>
      </c>
      <c r="I172" s="333" t="s">
        <v>500</v>
      </c>
      <c r="J172" s="335">
        <v>69</v>
      </c>
      <c r="M172" s="333" t="s">
        <v>392</v>
      </c>
      <c r="N172" s="333" t="s">
        <v>205</v>
      </c>
      <c r="O172" s="333" t="s">
        <v>185</v>
      </c>
      <c r="P172" s="333" t="s">
        <v>185</v>
      </c>
      <c r="Q172" s="335"/>
      <c r="R172" s="335"/>
      <c r="U172" s="333" t="s">
        <v>391</v>
      </c>
      <c r="V172" s="333" t="s">
        <v>12</v>
      </c>
    </row>
    <row r="173" spans="1:22" x14ac:dyDescent="0.25">
      <c r="A173" s="333" t="s">
        <v>185</v>
      </c>
      <c r="B173" s="333" t="s">
        <v>227</v>
      </c>
      <c r="G173" s="333" t="s">
        <v>1055</v>
      </c>
      <c r="H173" s="333" t="s">
        <v>1056</v>
      </c>
      <c r="I173" s="333" t="s">
        <v>500</v>
      </c>
      <c r="J173" s="335">
        <v>36</v>
      </c>
      <c r="M173" s="333" t="s">
        <v>393</v>
      </c>
      <c r="N173" s="333" t="s">
        <v>12</v>
      </c>
      <c r="O173" s="333" t="s">
        <v>1182</v>
      </c>
      <c r="P173" s="333" t="s">
        <v>302</v>
      </c>
      <c r="Q173" s="335">
        <v>9</v>
      </c>
      <c r="R173" s="335">
        <v>30</v>
      </c>
      <c r="U173" s="333" t="s">
        <v>392</v>
      </c>
      <c r="V173" s="333" t="s">
        <v>12</v>
      </c>
    </row>
    <row r="174" spans="1:22" x14ac:dyDescent="0.25">
      <c r="A174" s="333" t="s">
        <v>185</v>
      </c>
      <c r="B174" s="333" t="s">
        <v>1313</v>
      </c>
      <c r="G174" s="333" t="s">
        <v>374</v>
      </c>
      <c r="H174" s="333" t="s">
        <v>295</v>
      </c>
      <c r="I174" s="333" t="s">
        <v>500</v>
      </c>
      <c r="J174" s="335">
        <v>43</v>
      </c>
      <c r="M174" s="333" t="s">
        <v>522</v>
      </c>
      <c r="N174" s="333" t="s">
        <v>521</v>
      </c>
      <c r="O174" s="333" t="s">
        <v>185</v>
      </c>
      <c r="P174" s="333" t="s">
        <v>185</v>
      </c>
      <c r="Q174" s="335">
        <v>4</v>
      </c>
      <c r="R174" s="335">
        <v>26</v>
      </c>
      <c r="U174" s="333" t="s">
        <v>393</v>
      </c>
      <c r="V174" s="333" t="s">
        <v>12</v>
      </c>
    </row>
    <row r="175" spans="1:22" x14ac:dyDescent="0.25">
      <c r="A175" s="333" t="s">
        <v>230</v>
      </c>
      <c r="B175" s="333" t="s">
        <v>169</v>
      </c>
      <c r="G175" s="333" t="s">
        <v>375</v>
      </c>
      <c r="H175" s="333" t="s">
        <v>389</v>
      </c>
      <c r="I175" s="333" t="s">
        <v>843</v>
      </c>
      <c r="J175" s="335">
        <v>0</v>
      </c>
      <c r="M175" s="333" t="s">
        <v>515</v>
      </c>
      <c r="N175" s="333" t="s">
        <v>514</v>
      </c>
      <c r="O175" s="333" t="s">
        <v>527</v>
      </c>
      <c r="P175" s="333" t="s">
        <v>527</v>
      </c>
      <c r="Q175" s="335">
        <v>0</v>
      </c>
      <c r="R175" s="335">
        <v>0</v>
      </c>
      <c r="U175" s="333" t="s">
        <v>522</v>
      </c>
      <c r="V175" s="333" t="s">
        <v>12</v>
      </c>
    </row>
    <row r="176" spans="1:22" x14ac:dyDescent="0.25">
      <c r="A176" s="333" t="s">
        <v>230</v>
      </c>
      <c r="B176" s="333" t="s">
        <v>231</v>
      </c>
      <c r="G176" s="333" t="s">
        <v>294</v>
      </c>
      <c r="H176" s="333" t="s">
        <v>293</v>
      </c>
      <c r="I176" s="333" t="s">
        <v>843</v>
      </c>
      <c r="J176" s="335">
        <v>0</v>
      </c>
      <c r="M176" s="333" t="s">
        <v>517</v>
      </c>
      <c r="N176" s="333" t="s">
        <v>516</v>
      </c>
      <c r="O176" s="333" t="s">
        <v>151</v>
      </c>
      <c r="P176" s="333" t="s">
        <v>151</v>
      </c>
      <c r="Q176" s="335">
        <v>0</v>
      </c>
      <c r="R176" s="335">
        <v>0</v>
      </c>
      <c r="U176" s="333" t="s">
        <v>515</v>
      </c>
      <c r="V176" s="333" t="s">
        <v>554</v>
      </c>
    </row>
    <row r="177" spans="1:22" x14ac:dyDescent="0.25">
      <c r="A177" s="333" t="s">
        <v>230</v>
      </c>
      <c r="B177" s="333" t="s">
        <v>233</v>
      </c>
      <c r="G177" s="333" t="s">
        <v>361</v>
      </c>
      <c r="H177" s="333" t="s">
        <v>837</v>
      </c>
      <c r="I177" s="333" t="s">
        <v>843</v>
      </c>
      <c r="J177" s="335"/>
      <c r="M177" s="333" t="s">
        <v>519</v>
      </c>
      <c r="N177" s="333" t="s">
        <v>518</v>
      </c>
      <c r="O177" s="333" t="s">
        <v>151</v>
      </c>
      <c r="P177" s="333" t="s">
        <v>151</v>
      </c>
      <c r="Q177" s="335">
        <v>0</v>
      </c>
      <c r="R177" s="335">
        <v>0</v>
      </c>
      <c r="U177" s="333" t="s">
        <v>517</v>
      </c>
      <c r="V177" s="333" t="s">
        <v>554</v>
      </c>
    </row>
    <row r="178" spans="1:22" x14ac:dyDescent="0.25">
      <c r="A178" s="333" t="s">
        <v>230</v>
      </c>
      <c r="B178" s="333" t="s">
        <v>235</v>
      </c>
      <c r="G178" s="333" t="s">
        <v>171</v>
      </c>
      <c r="H178" s="333" t="s">
        <v>170</v>
      </c>
      <c r="I178" s="333" t="s">
        <v>500</v>
      </c>
      <c r="J178" s="335">
        <v>6</v>
      </c>
      <c r="M178" s="333" t="s">
        <v>520</v>
      </c>
      <c r="N178" s="333" t="s">
        <v>865</v>
      </c>
      <c r="O178" s="333" t="s">
        <v>151</v>
      </c>
      <c r="P178" s="333" t="s">
        <v>151</v>
      </c>
      <c r="Q178" s="335">
        <v>0</v>
      </c>
      <c r="R178" s="335">
        <v>0</v>
      </c>
      <c r="U178" s="333" t="s">
        <v>519</v>
      </c>
      <c r="V178" s="333" t="s">
        <v>554</v>
      </c>
    </row>
    <row r="179" spans="1:22" x14ac:dyDescent="0.25">
      <c r="A179" s="333" t="s">
        <v>230</v>
      </c>
      <c r="B179" s="333" t="s">
        <v>361</v>
      </c>
      <c r="G179" s="333" t="s">
        <v>149</v>
      </c>
      <c r="H179" s="333" t="s">
        <v>148</v>
      </c>
      <c r="I179" s="333" t="s">
        <v>500</v>
      </c>
      <c r="J179" s="335">
        <v>64</v>
      </c>
      <c r="M179" s="333" t="s">
        <v>812</v>
      </c>
      <c r="N179" s="333" t="s">
        <v>808</v>
      </c>
      <c r="O179" s="333" t="s">
        <v>1182</v>
      </c>
      <c r="P179" s="333" t="s">
        <v>808</v>
      </c>
      <c r="Q179" s="335">
        <v>5</v>
      </c>
      <c r="R179" s="335">
        <v>32</v>
      </c>
      <c r="U179" s="333" t="s">
        <v>520</v>
      </c>
      <c r="V179" s="333" t="s">
        <v>554</v>
      </c>
    </row>
    <row r="180" spans="1:22" x14ac:dyDescent="0.25">
      <c r="A180" s="333" t="s">
        <v>230</v>
      </c>
      <c r="B180" s="333" t="s">
        <v>171</v>
      </c>
      <c r="G180" s="333" t="s">
        <v>1412</v>
      </c>
      <c r="H180" s="333" t="s">
        <v>1406</v>
      </c>
      <c r="I180" s="333" t="s">
        <v>500</v>
      </c>
      <c r="J180" s="335">
        <v>176</v>
      </c>
      <c r="M180" s="333" t="s">
        <v>814</v>
      </c>
      <c r="N180" s="333" t="s">
        <v>813</v>
      </c>
      <c r="O180" s="333" t="s">
        <v>310</v>
      </c>
      <c r="P180" s="333" t="s">
        <v>310</v>
      </c>
      <c r="Q180" s="335"/>
      <c r="R180" s="335">
        <v>1047</v>
      </c>
      <c r="U180" s="333" t="s">
        <v>812</v>
      </c>
      <c r="V180" s="333" t="s">
        <v>554</v>
      </c>
    </row>
    <row r="181" spans="1:22" x14ac:dyDescent="0.25">
      <c r="A181" s="333" t="s">
        <v>230</v>
      </c>
      <c r="B181" s="333" t="s">
        <v>1053</v>
      </c>
      <c r="G181" s="333" t="s">
        <v>865</v>
      </c>
      <c r="H181" s="333" t="s">
        <v>520</v>
      </c>
      <c r="I181" s="333" t="s">
        <v>843</v>
      </c>
      <c r="J181" s="335">
        <v>0</v>
      </c>
      <c r="M181" s="333" t="s">
        <v>867</v>
      </c>
      <c r="N181" s="333" t="s">
        <v>866</v>
      </c>
      <c r="O181" s="333" t="s">
        <v>151</v>
      </c>
      <c r="P181" s="333" t="s">
        <v>151</v>
      </c>
      <c r="Q181" s="335">
        <v>0</v>
      </c>
      <c r="R181" s="335">
        <v>0</v>
      </c>
      <c r="U181" s="333" t="s">
        <v>814</v>
      </c>
      <c r="V181" s="333" t="s">
        <v>986</v>
      </c>
    </row>
    <row r="182" spans="1:22" x14ac:dyDescent="0.25">
      <c r="A182" s="333" t="s">
        <v>230</v>
      </c>
      <c r="B182" s="333" t="s">
        <v>1063</v>
      </c>
      <c r="G182" s="333" t="s">
        <v>866</v>
      </c>
      <c r="H182" s="333" t="s">
        <v>867</v>
      </c>
      <c r="I182" s="333" t="s">
        <v>843</v>
      </c>
      <c r="J182" s="335">
        <v>0</v>
      </c>
      <c r="M182" s="333" t="s">
        <v>863</v>
      </c>
      <c r="N182" s="333" t="s">
        <v>864</v>
      </c>
      <c r="O182" s="333" t="s">
        <v>27</v>
      </c>
      <c r="P182" s="333" t="s">
        <v>27</v>
      </c>
      <c r="Q182" s="335">
        <v>61</v>
      </c>
      <c r="R182" s="335">
        <v>273</v>
      </c>
      <c r="U182" s="333" t="s">
        <v>867</v>
      </c>
      <c r="V182" s="333" t="s">
        <v>554</v>
      </c>
    </row>
    <row r="183" spans="1:22" x14ac:dyDescent="0.25">
      <c r="A183" s="333" t="s">
        <v>230</v>
      </c>
      <c r="B183" s="333" t="s">
        <v>1619</v>
      </c>
      <c r="G183" s="333" t="s">
        <v>164</v>
      </c>
      <c r="H183" s="333" t="s">
        <v>163</v>
      </c>
      <c r="I183" s="333" t="s">
        <v>843</v>
      </c>
      <c r="J183" s="335">
        <v>0</v>
      </c>
      <c r="M183" s="333" t="s">
        <v>855</v>
      </c>
      <c r="N183" s="333" t="s">
        <v>869</v>
      </c>
      <c r="O183" s="333" t="s">
        <v>5</v>
      </c>
      <c r="P183" s="333" t="s">
        <v>5</v>
      </c>
      <c r="Q183" s="335">
        <v>0</v>
      </c>
      <c r="R183" s="335">
        <v>0</v>
      </c>
      <c r="U183" s="333" t="s">
        <v>863</v>
      </c>
      <c r="V183" s="333" t="s">
        <v>554</v>
      </c>
    </row>
    <row r="184" spans="1:22" x14ac:dyDescent="0.25">
      <c r="A184" s="333" t="s">
        <v>230</v>
      </c>
      <c r="B184" s="333" t="s">
        <v>1629</v>
      </c>
      <c r="G184" s="333" t="s">
        <v>611</v>
      </c>
      <c r="H184" s="333" t="s">
        <v>46</v>
      </c>
      <c r="I184" s="333" t="s">
        <v>500</v>
      </c>
      <c r="J184" s="335">
        <v>12</v>
      </c>
      <c r="M184" s="333" t="s">
        <v>870</v>
      </c>
      <c r="N184" s="333" t="s">
        <v>876</v>
      </c>
      <c r="O184" s="333" t="s">
        <v>151</v>
      </c>
      <c r="P184" s="333" t="s">
        <v>151</v>
      </c>
      <c r="Q184" s="335">
        <v>0</v>
      </c>
      <c r="R184" s="335">
        <v>0</v>
      </c>
      <c r="U184" s="333" t="s">
        <v>855</v>
      </c>
      <c r="V184" s="333" t="s">
        <v>554</v>
      </c>
    </row>
    <row r="185" spans="1:22" x14ac:dyDescent="0.25">
      <c r="A185" s="333" t="s">
        <v>230</v>
      </c>
      <c r="B185" s="333" t="s">
        <v>1630</v>
      </c>
      <c r="G185" s="333" t="s">
        <v>1275</v>
      </c>
      <c r="H185" s="333" t="s">
        <v>1258</v>
      </c>
      <c r="I185" s="333" t="s">
        <v>500</v>
      </c>
      <c r="J185" s="335">
        <v>38</v>
      </c>
      <c r="M185" s="333" t="s">
        <v>874</v>
      </c>
      <c r="N185" s="333" t="s">
        <v>875</v>
      </c>
      <c r="O185" s="333" t="s">
        <v>151</v>
      </c>
      <c r="P185" s="333" t="s">
        <v>151</v>
      </c>
      <c r="Q185" s="335">
        <v>0</v>
      </c>
      <c r="R185" s="335">
        <v>0</v>
      </c>
      <c r="U185" s="333" t="s">
        <v>870</v>
      </c>
      <c r="V185" s="333" t="s">
        <v>554</v>
      </c>
    </row>
    <row r="186" spans="1:22" x14ac:dyDescent="0.25">
      <c r="A186" s="333" t="s">
        <v>230</v>
      </c>
      <c r="B186" s="333" t="s">
        <v>1620</v>
      </c>
      <c r="G186" s="333" t="s">
        <v>821</v>
      </c>
      <c r="H186" s="333" t="s">
        <v>297</v>
      </c>
      <c r="I186" s="333" t="s">
        <v>500</v>
      </c>
      <c r="J186" s="335">
        <v>8</v>
      </c>
      <c r="M186" s="333" t="s">
        <v>879</v>
      </c>
      <c r="N186" s="333" t="s">
        <v>878</v>
      </c>
      <c r="O186" s="333" t="s">
        <v>151</v>
      </c>
      <c r="P186" s="333" t="s">
        <v>151</v>
      </c>
      <c r="Q186" s="335">
        <v>0</v>
      </c>
      <c r="R186" s="335">
        <v>0</v>
      </c>
      <c r="U186" s="333" t="s">
        <v>874</v>
      </c>
      <c r="V186" s="333" t="s">
        <v>554</v>
      </c>
    </row>
    <row r="187" spans="1:22" x14ac:dyDescent="0.25">
      <c r="A187" s="333" t="s">
        <v>230</v>
      </c>
      <c r="B187" s="333" t="s">
        <v>1631</v>
      </c>
      <c r="G187" s="333" t="s">
        <v>593</v>
      </c>
      <c r="H187" s="333" t="s">
        <v>824</v>
      </c>
      <c r="I187" s="333" t="s">
        <v>500</v>
      </c>
      <c r="J187" s="335">
        <v>118</v>
      </c>
      <c r="M187" s="333" t="s">
        <v>880</v>
      </c>
      <c r="N187" s="333" t="s">
        <v>882</v>
      </c>
      <c r="O187" s="333" t="s">
        <v>151</v>
      </c>
      <c r="P187" s="333" t="s">
        <v>151</v>
      </c>
      <c r="Q187" s="335">
        <v>0</v>
      </c>
      <c r="R187" s="335">
        <v>0</v>
      </c>
      <c r="U187" s="333" t="s">
        <v>879</v>
      </c>
      <c r="V187" s="333" t="s">
        <v>554</v>
      </c>
    </row>
    <row r="188" spans="1:22" x14ac:dyDescent="0.25">
      <c r="A188" s="333" t="s">
        <v>230</v>
      </c>
      <c r="B188" s="333" t="s">
        <v>1635</v>
      </c>
      <c r="G188" s="333" t="s">
        <v>1067</v>
      </c>
      <c r="H188" s="333" t="s">
        <v>1060</v>
      </c>
      <c r="I188" s="333" t="s">
        <v>500</v>
      </c>
      <c r="J188" s="335">
        <v>121</v>
      </c>
      <c r="M188" s="333" t="s">
        <v>881</v>
      </c>
      <c r="N188" s="333" t="s">
        <v>877</v>
      </c>
      <c r="O188" s="333" t="s">
        <v>151</v>
      </c>
      <c r="P188" s="333" t="s">
        <v>151</v>
      </c>
      <c r="Q188" s="335">
        <v>0</v>
      </c>
      <c r="R188" s="335">
        <v>0</v>
      </c>
      <c r="U188" s="333" t="s">
        <v>880</v>
      </c>
      <c r="V188" s="333" t="s">
        <v>554</v>
      </c>
    </row>
    <row r="189" spans="1:22" x14ac:dyDescent="0.25">
      <c r="A189" s="333" t="s">
        <v>230</v>
      </c>
      <c r="B189" s="333" t="s">
        <v>1613</v>
      </c>
      <c r="G189" s="333" t="s">
        <v>1635</v>
      </c>
      <c r="H189" s="333" t="s">
        <v>1600</v>
      </c>
      <c r="I189" s="333" t="s">
        <v>500</v>
      </c>
      <c r="J189" s="335"/>
      <c r="M189" s="333" t="s">
        <v>883</v>
      </c>
      <c r="N189" s="333" t="s">
        <v>884</v>
      </c>
      <c r="O189" s="333" t="s">
        <v>151</v>
      </c>
      <c r="P189" s="333" t="s">
        <v>151</v>
      </c>
      <c r="Q189" s="335">
        <v>0</v>
      </c>
      <c r="R189" s="335">
        <v>0</v>
      </c>
      <c r="U189" s="333" t="s">
        <v>881</v>
      </c>
      <c r="V189" s="333" t="s">
        <v>12</v>
      </c>
    </row>
    <row r="190" spans="1:22" x14ac:dyDescent="0.25">
      <c r="A190" s="333" t="s">
        <v>230</v>
      </c>
      <c r="B190" s="333" t="s">
        <v>1614</v>
      </c>
      <c r="G190" s="333" t="s">
        <v>1610</v>
      </c>
      <c r="H190" s="333" t="s">
        <v>1592</v>
      </c>
      <c r="I190" s="333" t="s">
        <v>500</v>
      </c>
      <c r="J190" s="335">
        <v>41</v>
      </c>
      <c r="M190" s="333" t="s">
        <v>886</v>
      </c>
      <c r="N190" s="333" t="s">
        <v>885</v>
      </c>
      <c r="O190" s="333" t="s">
        <v>151</v>
      </c>
      <c r="P190" s="333" t="s">
        <v>151</v>
      </c>
      <c r="Q190" s="335">
        <v>374</v>
      </c>
      <c r="R190" s="335">
        <v>1662</v>
      </c>
      <c r="U190" s="333" t="s">
        <v>883</v>
      </c>
      <c r="V190" s="333" t="s">
        <v>856</v>
      </c>
    </row>
    <row r="191" spans="1:22" x14ac:dyDescent="0.25">
      <c r="A191" s="333" t="s">
        <v>230</v>
      </c>
      <c r="B191" s="333" t="s">
        <v>1615</v>
      </c>
      <c r="G191" s="333" t="s">
        <v>1611</v>
      </c>
      <c r="H191" s="333" t="s">
        <v>1593</v>
      </c>
      <c r="I191" s="333" t="s">
        <v>500</v>
      </c>
      <c r="J191" s="335">
        <v>19</v>
      </c>
      <c r="M191" s="333" t="s">
        <v>888</v>
      </c>
      <c r="N191" s="333" t="s">
        <v>887</v>
      </c>
      <c r="O191" s="333" t="s">
        <v>151</v>
      </c>
      <c r="P191" s="333" t="s">
        <v>151</v>
      </c>
      <c r="Q191" s="335">
        <v>0</v>
      </c>
      <c r="R191" s="335">
        <v>0</v>
      </c>
      <c r="U191" s="333" t="s">
        <v>886</v>
      </c>
      <c r="V191" s="333" t="s">
        <v>554</v>
      </c>
    </row>
    <row r="192" spans="1:22" x14ac:dyDescent="0.25">
      <c r="A192" s="333" t="s">
        <v>230</v>
      </c>
      <c r="B192" s="333" t="s">
        <v>1616</v>
      </c>
      <c r="G192" s="333" t="s">
        <v>1609</v>
      </c>
      <c r="H192" s="333" t="s">
        <v>1591</v>
      </c>
      <c r="I192" s="333" t="s">
        <v>500</v>
      </c>
      <c r="J192" s="335">
        <v>13</v>
      </c>
      <c r="M192" s="333" t="s">
        <v>891</v>
      </c>
      <c r="N192" s="333" t="s">
        <v>890</v>
      </c>
      <c r="O192" s="333" t="s">
        <v>1182</v>
      </c>
      <c r="P192" s="333" t="s">
        <v>300</v>
      </c>
      <c r="Q192" s="335">
        <v>0</v>
      </c>
      <c r="R192" s="335">
        <v>0</v>
      </c>
      <c r="U192" s="333" t="s">
        <v>888</v>
      </c>
      <c r="V192" s="333" t="s">
        <v>554</v>
      </c>
    </row>
    <row r="193" spans="1:22" x14ac:dyDescent="0.25">
      <c r="A193" s="333" t="s">
        <v>230</v>
      </c>
      <c r="B193" s="333" t="s">
        <v>1617</v>
      </c>
      <c r="G193" s="333" t="s">
        <v>271</v>
      </c>
      <c r="H193" s="333" t="s">
        <v>270</v>
      </c>
      <c r="I193" s="333" t="s">
        <v>500</v>
      </c>
      <c r="J193" s="335">
        <v>68</v>
      </c>
      <c r="M193" s="333" t="s">
        <v>895</v>
      </c>
      <c r="N193" s="333" t="s">
        <v>894</v>
      </c>
      <c r="O193" s="333" t="s">
        <v>1182</v>
      </c>
      <c r="P193" s="333" t="s">
        <v>892</v>
      </c>
      <c r="Q193" s="335">
        <v>0</v>
      </c>
      <c r="R193" s="335">
        <v>0</v>
      </c>
      <c r="U193" s="333" t="s">
        <v>891</v>
      </c>
      <c r="V193" s="333" t="s">
        <v>554</v>
      </c>
    </row>
    <row r="194" spans="1:22" x14ac:dyDescent="0.25">
      <c r="A194" s="333" t="s">
        <v>237</v>
      </c>
      <c r="B194" s="333" t="s">
        <v>243</v>
      </c>
      <c r="G194" s="333" t="s">
        <v>20</v>
      </c>
      <c r="H194" s="333" t="s">
        <v>19</v>
      </c>
      <c r="I194" s="333" t="s">
        <v>500</v>
      </c>
      <c r="J194" s="335">
        <v>21</v>
      </c>
      <c r="M194" s="333" t="s">
        <v>896</v>
      </c>
      <c r="N194" s="333" t="s">
        <v>897</v>
      </c>
      <c r="O194" s="333" t="s">
        <v>5</v>
      </c>
      <c r="P194" s="333" t="s">
        <v>5</v>
      </c>
      <c r="Q194" s="335">
        <v>0</v>
      </c>
      <c r="R194" s="335">
        <v>0</v>
      </c>
      <c r="U194" s="333" t="s">
        <v>895</v>
      </c>
      <c r="V194" s="333" t="s">
        <v>554</v>
      </c>
    </row>
    <row r="195" spans="1:22" x14ac:dyDescent="0.25">
      <c r="A195" s="333" t="s">
        <v>237</v>
      </c>
      <c r="B195" s="333" t="s">
        <v>245</v>
      </c>
      <c r="G195" s="333" t="s">
        <v>108</v>
      </c>
      <c r="H195" s="333" t="s">
        <v>107</v>
      </c>
      <c r="I195" s="333" t="s">
        <v>500</v>
      </c>
      <c r="J195" s="335">
        <v>51</v>
      </c>
      <c r="M195" s="333" t="s">
        <v>288</v>
      </c>
      <c r="N195" s="333" t="s">
        <v>290</v>
      </c>
      <c r="O195" s="333" t="s">
        <v>289</v>
      </c>
      <c r="P195" s="333" t="s">
        <v>289</v>
      </c>
      <c r="Q195" s="335">
        <v>69</v>
      </c>
      <c r="R195" s="335">
        <v>344</v>
      </c>
      <c r="U195" s="333" t="s">
        <v>896</v>
      </c>
      <c r="V195" s="333" t="s">
        <v>554</v>
      </c>
    </row>
    <row r="196" spans="1:22" x14ac:dyDescent="0.25">
      <c r="A196" s="333" t="s">
        <v>237</v>
      </c>
      <c r="B196" s="333" t="s">
        <v>247</v>
      </c>
      <c r="G196" s="333" t="s">
        <v>183</v>
      </c>
      <c r="H196" s="333" t="s">
        <v>182</v>
      </c>
      <c r="I196" s="333" t="s">
        <v>843</v>
      </c>
      <c r="J196" s="335">
        <v>0</v>
      </c>
      <c r="M196" s="333" t="s">
        <v>293</v>
      </c>
      <c r="N196" s="333" t="s">
        <v>294</v>
      </c>
      <c r="O196" s="333" t="s">
        <v>289</v>
      </c>
      <c r="P196" s="333" t="s">
        <v>289</v>
      </c>
      <c r="Q196" s="335">
        <v>0</v>
      </c>
      <c r="R196" s="335">
        <v>0</v>
      </c>
      <c r="U196" s="333" t="s">
        <v>941</v>
      </c>
      <c r="V196" s="333" t="s">
        <v>554</v>
      </c>
    </row>
    <row r="197" spans="1:22" x14ac:dyDescent="0.25">
      <c r="A197" s="333" t="s">
        <v>237</v>
      </c>
      <c r="B197" s="333" t="s">
        <v>253</v>
      </c>
      <c r="G197" s="333" t="s">
        <v>594</v>
      </c>
      <c r="H197" s="333" t="s">
        <v>838</v>
      </c>
      <c r="I197" s="333" t="s">
        <v>500</v>
      </c>
      <c r="J197" s="335">
        <v>67</v>
      </c>
      <c r="M197" s="333" t="s">
        <v>295</v>
      </c>
      <c r="N197" s="333" t="s">
        <v>374</v>
      </c>
      <c r="O197" s="333" t="s">
        <v>289</v>
      </c>
      <c r="P197" s="333" t="s">
        <v>289</v>
      </c>
      <c r="Q197" s="335">
        <v>43</v>
      </c>
      <c r="R197" s="335">
        <v>215</v>
      </c>
      <c r="U197" s="333" t="s">
        <v>1018</v>
      </c>
      <c r="V197" s="333" t="s">
        <v>554</v>
      </c>
    </row>
    <row r="198" spans="1:22" x14ac:dyDescent="0.25">
      <c r="A198" s="333" t="s">
        <v>237</v>
      </c>
      <c r="B198" s="333" t="s">
        <v>255</v>
      </c>
      <c r="G198" s="333" t="s">
        <v>178</v>
      </c>
      <c r="H198" s="333" t="s">
        <v>177</v>
      </c>
      <c r="I198" s="333" t="s">
        <v>500</v>
      </c>
      <c r="J198" s="335">
        <v>12</v>
      </c>
      <c r="M198" s="333" t="s">
        <v>291</v>
      </c>
      <c r="N198" s="333" t="s">
        <v>292</v>
      </c>
      <c r="O198" s="333" t="s">
        <v>289</v>
      </c>
      <c r="P198" s="333" t="s">
        <v>289</v>
      </c>
      <c r="Q198" s="335">
        <v>75</v>
      </c>
      <c r="R198" s="335">
        <v>373</v>
      </c>
      <c r="U198" s="333" t="s">
        <v>1020</v>
      </c>
      <c r="V198" s="333" t="s">
        <v>554</v>
      </c>
    </row>
    <row r="199" spans="1:22" x14ac:dyDescent="0.25">
      <c r="A199" s="333" t="s">
        <v>237</v>
      </c>
      <c r="B199" s="333" t="s">
        <v>257</v>
      </c>
      <c r="G199" s="333" t="s">
        <v>890</v>
      </c>
      <c r="H199" s="333" t="s">
        <v>891</v>
      </c>
      <c r="I199" s="333" t="s">
        <v>843</v>
      </c>
      <c r="J199" s="335">
        <v>0</v>
      </c>
      <c r="M199" s="333" t="s">
        <v>234</v>
      </c>
      <c r="N199" s="333" t="s">
        <v>235</v>
      </c>
      <c r="O199" s="333" t="s">
        <v>1182</v>
      </c>
      <c r="P199" s="333" t="s">
        <v>230</v>
      </c>
      <c r="Q199" s="335">
        <v>123</v>
      </c>
      <c r="R199" s="335">
        <v>503</v>
      </c>
      <c r="U199" s="333" t="s">
        <v>1035</v>
      </c>
      <c r="V199" s="333" t="s">
        <v>554</v>
      </c>
    </row>
    <row r="200" spans="1:22" x14ac:dyDescent="0.25">
      <c r="A200" s="333" t="s">
        <v>237</v>
      </c>
      <c r="B200" s="333" t="s">
        <v>240</v>
      </c>
      <c r="G200" s="333" t="s">
        <v>344</v>
      </c>
      <c r="H200" s="333" t="s">
        <v>343</v>
      </c>
      <c r="I200" s="333" t="s">
        <v>500</v>
      </c>
      <c r="J200" s="335">
        <v>18</v>
      </c>
      <c r="M200" s="333" t="s">
        <v>147</v>
      </c>
      <c r="N200" s="333" t="s">
        <v>371</v>
      </c>
      <c r="O200" s="333" t="s">
        <v>146</v>
      </c>
      <c r="P200" s="333" t="s">
        <v>146</v>
      </c>
      <c r="Q200" s="335">
        <v>49</v>
      </c>
      <c r="R200" s="335">
        <v>267</v>
      </c>
      <c r="U200" s="333" t="s">
        <v>1043</v>
      </c>
      <c r="V200" s="333" t="s">
        <v>12</v>
      </c>
    </row>
    <row r="201" spans="1:22" x14ac:dyDescent="0.25">
      <c r="A201" s="333" t="s">
        <v>237</v>
      </c>
      <c r="B201" s="333" t="s">
        <v>285</v>
      </c>
      <c r="G201" s="333" t="s">
        <v>287</v>
      </c>
      <c r="H201" s="333" t="s">
        <v>286</v>
      </c>
      <c r="I201" s="333" t="s">
        <v>500</v>
      </c>
      <c r="J201" s="335">
        <v>10</v>
      </c>
      <c r="M201" s="333" t="s">
        <v>148</v>
      </c>
      <c r="N201" s="333" t="s">
        <v>149</v>
      </c>
      <c r="O201" s="333" t="s">
        <v>146</v>
      </c>
      <c r="P201" s="333" t="s">
        <v>146</v>
      </c>
      <c r="Q201" s="335">
        <v>64</v>
      </c>
      <c r="R201" s="335">
        <v>285</v>
      </c>
      <c r="U201" s="333" t="s">
        <v>1062</v>
      </c>
      <c r="V201" s="333" t="s">
        <v>554</v>
      </c>
    </row>
    <row r="202" spans="1:22" x14ac:dyDescent="0.25">
      <c r="A202" s="333" t="s">
        <v>237</v>
      </c>
      <c r="B202" s="333" t="s">
        <v>259</v>
      </c>
      <c r="G202" s="333" t="s">
        <v>1247</v>
      </c>
      <c r="H202" s="333" t="s">
        <v>360</v>
      </c>
      <c r="I202" s="333" t="s">
        <v>843</v>
      </c>
      <c r="J202" s="335">
        <v>0</v>
      </c>
      <c r="M202" s="333" t="s">
        <v>165</v>
      </c>
      <c r="N202" s="333" t="s">
        <v>167</v>
      </c>
      <c r="O202" s="333" t="s">
        <v>1182</v>
      </c>
      <c r="P202" s="333" t="s">
        <v>166</v>
      </c>
      <c r="Q202" s="335">
        <v>36</v>
      </c>
      <c r="R202" s="335">
        <v>173</v>
      </c>
      <c r="U202" s="333" t="s">
        <v>1066</v>
      </c>
      <c r="V202" s="333" t="s">
        <v>554</v>
      </c>
    </row>
    <row r="203" spans="1:22" x14ac:dyDescent="0.25">
      <c r="A203" s="333" t="s">
        <v>237</v>
      </c>
      <c r="B203" s="333" t="s">
        <v>261</v>
      </c>
      <c r="G203" s="333" t="s">
        <v>1298</v>
      </c>
      <c r="H203" s="333" t="s">
        <v>1299</v>
      </c>
      <c r="I203" s="333" t="s">
        <v>500</v>
      </c>
      <c r="J203" s="335">
        <v>161</v>
      </c>
      <c r="M203" s="333" t="s">
        <v>168</v>
      </c>
      <c r="N203" s="333" t="s">
        <v>169</v>
      </c>
      <c r="O203" s="333" t="s">
        <v>1182</v>
      </c>
      <c r="P203" s="333" t="s">
        <v>230</v>
      </c>
      <c r="Q203" s="335">
        <v>32</v>
      </c>
      <c r="R203" s="335"/>
      <c r="U203" s="333" t="s">
        <v>288</v>
      </c>
      <c r="V203" s="333" t="s">
        <v>554</v>
      </c>
    </row>
    <row r="204" spans="1:22" x14ac:dyDescent="0.25">
      <c r="A204" s="333" t="s">
        <v>237</v>
      </c>
      <c r="B204" s="333" t="s">
        <v>263</v>
      </c>
      <c r="G204" s="333" t="s">
        <v>1315</v>
      </c>
      <c r="H204" s="333" t="s">
        <v>1316</v>
      </c>
      <c r="I204" s="333" t="s">
        <v>500</v>
      </c>
      <c r="J204" s="335">
        <v>105</v>
      </c>
      <c r="M204" s="333" t="s">
        <v>170</v>
      </c>
      <c r="N204" s="333" t="s">
        <v>171</v>
      </c>
      <c r="O204" s="333" t="s">
        <v>1182</v>
      </c>
      <c r="P204" s="333" t="s">
        <v>230</v>
      </c>
      <c r="Q204" s="335">
        <v>6</v>
      </c>
      <c r="R204" s="335"/>
      <c r="U204" s="333" t="s">
        <v>293</v>
      </c>
      <c r="V204" s="333" t="s">
        <v>554</v>
      </c>
    </row>
    <row r="205" spans="1:22" x14ac:dyDescent="0.25">
      <c r="A205" s="333" t="s">
        <v>237</v>
      </c>
      <c r="B205" s="333" t="s">
        <v>265</v>
      </c>
      <c r="G205" s="333" t="s">
        <v>110</v>
      </c>
      <c r="H205" s="333" t="s">
        <v>109</v>
      </c>
      <c r="I205" s="333" t="s">
        <v>843</v>
      </c>
      <c r="J205" s="335">
        <v>0</v>
      </c>
      <c r="M205" s="333" t="s">
        <v>232</v>
      </c>
      <c r="N205" s="333" t="s">
        <v>233</v>
      </c>
      <c r="O205" s="333" t="s">
        <v>1182</v>
      </c>
      <c r="P205" s="333" t="s">
        <v>230</v>
      </c>
      <c r="Q205" s="335"/>
      <c r="R205" s="335"/>
      <c r="U205" s="333" t="s">
        <v>295</v>
      </c>
      <c r="V205" s="333" t="s">
        <v>554</v>
      </c>
    </row>
    <row r="206" spans="1:22" x14ac:dyDescent="0.25">
      <c r="A206" s="333" t="s">
        <v>237</v>
      </c>
      <c r="B206" s="333" t="s">
        <v>267</v>
      </c>
      <c r="G206" s="333" t="s">
        <v>112</v>
      </c>
      <c r="H206" s="333" t="s">
        <v>111</v>
      </c>
      <c r="I206" s="333" t="s">
        <v>843</v>
      </c>
      <c r="J206" s="335">
        <v>0</v>
      </c>
      <c r="M206" s="333" t="s">
        <v>297</v>
      </c>
      <c r="N206" s="333" t="s">
        <v>821</v>
      </c>
      <c r="O206" s="333" t="s">
        <v>1182</v>
      </c>
      <c r="P206" s="333" t="s">
        <v>298</v>
      </c>
      <c r="Q206" s="335">
        <v>8</v>
      </c>
      <c r="R206" s="335">
        <v>39</v>
      </c>
      <c r="U206" s="333" t="s">
        <v>291</v>
      </c>
      <c r="V206" s="333" t="s">
        <v>554</v>
      </c>
    </row>
    <row r="207" spans="1:22" x14ac:dyDescent="0.25">
      <c r="A207" s="333" t="s">
        <v>237</v>
      </c>
      <c r="B207" s="333" t="s">
        <v>271</v>
      </c>
      <c r="G207" s="333" t="s">
        <v>215</v>
      </c>
      <c r="H207" s="333" t="s">
        <v>214</v>
      </c>
      <c r="I207" s="333" t="s">
        <v>500</v>
      </c>
      <c r="J207" s="335">
        <v>355</v>
      </c>
      <c r="M207" s="333" t="s">
        <v>382</v>
      </c>
      <c r="N207" s="333" t="s">
        <v>372</v>
      </c>
      <c r="O207" s="333" t="s">
        <v>146</v>
      </c>
      <c r="P207" s="333" t="s">
        <v>146</v>
      </c>
      <c r="Q207" s="335">
        <v>88</v>
      </c>
      <c r="R207" s="335">
        <v>505</v>
      </c>
      <c r="U207" s="333" t="s">
        <v>234</v>
      </c>
      <c r="V207" s="333" t="s">
        <v>12</v>
      </c>
    </row>
    <row r="208" spans="1:22" x14ac:dyDescent="0.25">
      <c r="A208" s="333" t="s">
        <v>237</v>
      </c>
      <c r="B208" s="333" t="s">
        <v>269</v>
      </c>
      <c r="G208" s="333" t="s">
        <v>217</v>
      </c>
      <c r="H208" s="333" t="s">
        <v>216</v>
      </c>
      <c r="I208" s="333" t="s">
        <v>843</v>
      </c>
      <c r="J208" s="335"/>
      <c r="M208" s="333" t="s">
        <v>383</v>
      </c>
      <c r="N208" s="333" t="s">
        <v>369</v>
      </c>
      <c r="O208" s="333" t="s">
        <v>146</v>
      </c>
      <c r="P208" s="333" t="s">
        <v>146</v>
      </c>
      <c r="Q208" s="335">
        <v>61</v>
      </c>
      <c r="R208" s="335">
        <v>289</v>
      </c>
      <c r="U208" s="333" t="s">
        <v>147</v>
      </c>
      <c r="V208" s="333" t="s">
        <v>554</v>
      </c>
    </row>
    <row r="209" spans="1:22" x14ac:dyDescent="0.25">
      <c r="A209" s="333" t="s">
        <v>237</v>
      </c>
      <c r="B209" s="333" t="s">
        <v>273</v>
      </c>
      <c r="G209" s="333" t="s">
        <v>269</v>
      </c>
      <c r="H209" s="333" t="s">
        <v>268</v>
      </c>
      <c r="I209" s="333" t="s">
        <v>500</v>
      </c>
      <c r="J209" s="335">
        <v>62</v>
      </c>
      <c r="M209" s="333" t="s">
        <v>384</v>
      </c>
      <c r="N209" s="333" t="s">
        <v>370</v>
      </c>
      <c r="O209" s="333" t="s">
        <v>146</v>
      </c>
      <c r="P209" s="333" t="s">
        <v>146</v>
      </c>
      <c r="Q209" s="335">
        <v>30</v>
      </c>
      <c r="R209" s="335">
        <v>138</v>
      </c>
      <c r="U209" s="333" t="s">
        <v>148</v>
      </c>
      <c r="V209" s="333" t="s">
        <v>554</v>
      </c>
    </row>
    <row r="210" spans="1:22" x14ac:dyDescent="0.25">
      <c r="A210" s="333" t="s">
        <v>237</v>
      </c>
      <c r="B210" s="333" t="s">
        <v>277</v>
      </c>
      <c r="G210" s="333" t="s">
        <v>229</v>
      </c>
      <c r="H210" s="333" t="s">
        <v>228</v>
      </c>
      <c r="I210" s="333" t="s">
        <v>500</v>
      </c>
      <c r="J210" s="335">
        <v>49</v>
      </c>
      <c r="M210" s="333" t="s">
        <v>385</v>
      </c>
      <c r="N210" s="333" t="s">
        <v>368</v>
      </c>
      <c r="O210" s="333" t="s">
        <v>146</v>
      </c>
      <c r="P210" s="333" t="s">
        <v>146</v>
      </c>
      <c r="Q210" s="335">
        <v>69</v>
      </c>
      <c r="R210" s="335">
        <v>306</v>
      </c>
      <c r="U210" s="333" t="s">
        <v>165</v>
      </c>
      <c r="V210" s="333" t="s">
        <v>554</v>
      </c>
    </row>
    <row r="211" spans="1:22" x14ac:dyDescent="0.25">
      <c r="A211" s="333" t="s">
        <v>237</v>
      </c>
      <c r="B211" s="333" t="s">
        <v>279</v>
      </c>
      <c r="G211" s="333" t="s">
        <v>273</v>
      </c>
      <c r="H211" s="333" t="s">
        <v>272</v>
      </c>
      <c r="I211" s="333" t="s">
        <v>500</v>
      </c>
      <c r="J211" s="335">
        <v>46</v>
      </c>
      <c r="M211" s="333" t="s">
        <v>386</v>
      </c>
      <c r="N211" s="333" t="s">
        <v>367</v>
      </c>
      <c r="O211" s="333" t="s">
        <v>146</v>
      </c>
      <c r="P211" s="333" t="s">
        <v>146</v>
      </c>
      <c r="Q211" s="335">
        <v>0</v>
      </c>
      <c r="R211" s="335">
        <v>0</v>
      </c>
      <c r="U211" s="333" t="s">
        <v>168</v>
      </c>
      <c r="V211" s="333" t="s">
        <v>12</v>
      </c>
    </row>
    <row r="212" spans="1:22" x14ac:dyDescent="0.25">
      <c r="A212" s="333" t="s">
        <v>237</v>
      </c>
      <c r="B212" s="333" t="s">
        <v>281</v>
      </c>
      <c r="G212" s="333" t="s">
        <v>219</v>
      </c>
      <c r="H212" s="333" t="s">
        <v>218</v>
      </c>
      <c r="I212" s="333" t="s">
        <v>500</v>
      </c>
      <c r="J212" s="335">
        <v>669</v>
      </c>
      <c r="M212" s="333" t="s">
        <v>387</v>
      </c>
      <c r="N212" s="333" t="s">
        <v>373</v>
      </c>
      <c r="O212" s="333" t="s">
        <v>146</v>
      </c>
      <c r="P212" s="333" t="s">
        <v>146</v>
      </c>
      <c r="Q212" s="335">
        <v>190</v>
      </c>
      <c r="R212" s="335">
        <v>917</v>
      </c>
      <c r="U212" s="333" t="s">
        <v>170</v>
      </c>
      <c r="V212" s="333" t="s">
        <v>12</v>
      </c>
    </row>
    <row r="213" spans="1:22" x14ac:dyDescent="0.25">
      <c r="A213" s="333" t="s">
        <v>237</v>
      </c>
      <c r="B213" s="333" t="s">
        <v>238</v>
      </c>
      <c r="G213" s="333" t="s">
        <v>1243</v>
      </c>
      <c r="H213" s="333" t="s">
        <v>345</v>
      </c>
      <c r="I213" s="333" t="s">
        <v>500</v>
      </c>
      <c r="J213" s="335">
        <v>180</v>
      </c>
      <c r="M213" s="333" t="s">
        <v>388</v>
      </c>
      <c r="N213" s="333" t="s">
        <v>231</v>
      </c>
      <c r="O213" s="333" t="s">
        <v>1182</v>
      </c>
      <c r="P213" s="333" t="s">
        <v>230</v>
      </c>
      <c r="Q213" s="335">
        <v>32</v>
      </c>
      <c r="R213" s="335">
        <v>187</v>
      </c>
      <c r="U213" s="333" t="s">
        <v>232</v>
      </c>
      <c r="V213" s="333" t="s">
        <v>554</v>
      </c>
    </row>
    <row r="214" spans="1:22" x14ac:dyDescent="0.25">
      <c r="A214" s="333" t="s">
        <v>237</v>
      </c>
      <c r="B214" s="333" t="s">
        <v>249</v>
      </c>
      <c r="G214" s="333" t="s">
        <v>1419</v>
      </c>
      <c r="H214" s="333" t="s">
        <v>1402</v>
      </c>
      <c r="I214" s="333" t="s">
        <v>500</v>
      </c>
      <c r="J214" s="335">
        <v>19</v>
      </c>
      <c r="M214" s="333" t="s">
        <v>389</v>
      </c>
      <c r="N214" s="333" t="s">
        <v>375</v>
      </c>
      <c r="O214" s="333" t="s">
        <v>289</v>
      </c>
      <c r="P214" s="333" t="s">
        <v>289</v>
      </c>
      <c r="Q214" s="335">
        <v>0</v>
      </c>
      <c r="R214" s="335">
        <v>0</v>
      </c>
      <c r="U214" s="333" t="s">
        <v>297</v>
      </c>
      <c r="V214" s="333" t="s">
        <v>554</v>
      </c>
    </row>
    <row r="215" spans="1:22" x14ac:dyDescent="0.25">
      <c r="A215" s="333" t="s">
        <v>237</v>
      </c>
      <c r="B215" s="333" t="s">
        <v>251</v>
      </c>
      <c r="G215" s="333" t="s">
        <v>864</v>
      </c>
      <c r="H215" s="333" t="s">
        <v>863</v>
      </c>
      <c r="I215" s="333" t="s">
        <v>500</v>
      </c>
      <c r="J215" s="335">
        <v>61</v>
      </c>
      <c r="M215" s="333" t="s">
        <v>837</v>
      </c>
      <c r="N215" s="333" t="s">
        <v>361</v>
      </c>
      <c r="O215" s="333" t="s">
        <v>1182</v>
      </c>
      <c r="P215" s="333" t="s">
        <v>230</v>
      </c>
      <c r="Q215" s="335"/>
      <c r="R215" s="335"/>
      <c r="U215" s="333" t="s">
        <v>382</v>
      </c>
      <c r="V215" s="333" t="s">
        <v>554</v>
      </c>
    </row>
    <row r="216" spans="1:22" x14ac:dyDescent="0.25">
      <c r="A216" s="333" t="s">
        <v>237</v>
      </c>
      <c r="B216" s="333" t="s">
        <v>275</v>
      </c>
      <c r="G216" s="333" t="s">
        <v>114</v>
      </c>
      <c r="H216" s="333" t="s">
        <v>113</v>
      </c>
      <c r="I216" s="333" t="s">
        <v>843</v>
      </c>
      <c r="J216" s="335">
        <v>0</v>
      </c>
      <c r="M216" s="333" t="s">
        <v>838</v>
      </c>
      <c r="N216" s="333" t="s">
        <v>594</v>
      </c>
      <c r="O216" s="333" t="s">
        <v>779</v>
      </c>
      <c r="P216" s="333" t="s">
        <v>779</v>
      </c>
      <c r="Q216" s="335">
        <v>67</v>
      </c>
      <c r="R216" s="335">
        <v>392</v>
      </c>
      <c r="U216" s="333" t="s">
        <v>383</v>
      </c>
      <c r="V216" s="333" t="s">
        <v>554</v>
      </c>
    </row>
    <row r="217" spans="1:22" x14ac:dyDescent="0.25">
      <c r="A217" s="333" t="s">
        <v>237</v>
      </c>
      <c r="B217" s="333" t="s">
        <v>283</v>
      </c>
      <c r="G217" s="333" t="s">
        <v>366</v>
      </c>
      <c r="H217" s="333" t="s">
        <v>376</v>
      </c>
      <c r="I217" s="333" t="s">
        <v>500</v>
      </c>
      <c r="J217" s="335">
        <v>150</v>
      </c>
      <c r="M217" s="333" t="s">
        <v>823</v>
      </c>
      <c r="N217" s="333" t="s">
        <v>822</v>
      </c>
      <c r="O217" s="333" t="s">
        <v>1182</v>
      </c>
      <c r="P217" s="333" t="s">
        <v>166</v>
      </c>
      <c r="Q217" s="335">
        <v>29</v>
      </c>
      <c r="R217" s="335">
        <v>178</v>
      </c>
      <c r="U217" s="333" t="s">
        <v>384</v>
      </c>
      <c r="V217" s="333" t="s">
        <v>554</v>
      </c>
    </row>
    <row r="218" spans="1:22" x14ac:dyDescent="0.25">
      <c r="A218" s="333" t="s">
        <v>237</v>
      </c>
      <c r="B218" s="333" t="s">
        <v>1244</v>
      </c>
      <c r="G218" s="333" t="s">
        <v>221</v>
      </c>
      <c r="H218" s="333" t="s">
        <v>220</v>
      </c>
      <c r="I218" s="333" t="s">
        <v>500</v>
      </c>
      <c r="J218" s="335">
        <v>39</v>
      </c>
      <c r="M218" s="333" t="s">
        <v>824</v>
      </c>
      <c r="N218" s="333" t="s">
        <v>593</v>
      </c>
      <c r="O218" s="333" t="s">
        <v>1182</v>
      </c>
      <c r="P218" s="333" t="s">
        <v>298</v>
      </c>
      <c r="Q218" s="335">
        <v>118</v>
      </c>
      <c r="R218" s="335">
        <v>520</v>
      </c>
      <c r="U218" s="333" t="s">
        <v>385</v>
      </c>
      <c r="V218" s="333" t="s">
        <v>554</v>
      </c>
    </row>
    <row r="219" spans="1:22" x14ac:dyDescent="0.25">
      <c r="A219" s="333" t="s">
        <v>289</v>
      </c>
      <c r="B219" s="333" t="s">
        <v>292</v>
      </c>
      <c r="G219" s="333" t="s">
        <v>355</v>
      </c>
      <c r="H219" s="333" t="s">
        <v>354</v>
      </c>
      <c r="I219" s="333" t="s">
        <v>500</v>
      </c>
      <c r="J219" s="335">
        <v>98</v>
      </c>
      <c r="M219" s="333" t="s">
        <v>931</v>
      </c>
      <c r="N219" s="333" t="s">
        <v>930</v>
      </c>
      <c r="O219" s="333" t="s">
        <v>146</v>
      </c>
      <c r="P219" s="333" t="s">
        <v>146</v>
      </c>
      <c r="Q219" s="335">
        <v>0</v>
      </c>
      <c r="R219" s="335">
        <v>0</v>
      </c>
      <c r="U219" s="333" t="s">
        <v>386</v>
      </c>
      <c r="V219" s="333" t="s">
        <v>554</v>
      </c>
    </row>
    <row r="220" spans="1:22" x14ac:dyDescent="0.25">
      <c r="A220" s="333" t="s">
        <v>289</v>
      </c>
      <c r="B220" s="333" t="s">
        <v>290</v>
      </c>
      <c r="G220" s="333" t="s">
        <v>318</v>
      </c>
      <c r="H220" s="333" t="s">
        <v>317</v>
      </c>
      <c r="I220" s="333" t="s">
        <v>500</v>
      </c>
      <c r="J220" s="335">
        <v>91</v>
      </c>
      <c r="M220" s="333" t="s">
        <v>933</v>
      </c>
      <c r="N220" s="333" t="s">
        <v>932</v>
      </c>
      <c r="O220" s="333" t="s">
        <v>146</v>
      </c>
      <c r="P220" s="333" t="s">
        <v>146</v>
      </c>
      <c r="Q220" s="335">
        <v>0</v>
      </c>
      <c r="R220" s="335">
        <v>0</v>
      </c>
      <c r="U220" s="333" t="s">
        <v>387</v>
      </c>
      <c r="V220" s="333" t="s">
        <v>554</v>
      </c>
    </row>
    <row r="221" spans="1:22" x14ac:dyDescent="0.25">
      <c r="A221" s="333" t="s">
        <v>289</v>
      </c>
      <c r="B221" s="333" t="s">
        <v>374</v>
      </c>
      <c r="G221" s="333" t="s">
        <v>342</v>
      </c>
      <c r="H221" s="333" t="s">
        <v>341</v>
      </c>
      <c r="I221" s="333" t="s">
        <v>500</v>
      </c>
      <c r="J221" s="335">
        <v>31</v>
      </c>
      <c r="M221" s="333" t="s">
        <v>941</v>
      </c>
      <c r="N221" s="333" t="s">
        <v>942</v>
      </c>
      <c r="O221" s="333" t="s">
        <v>151</v>
      </c>
      <c r="P221" s="333" t="s">
        <v>151</v>
      </c>
      <c r="Q221" s="335">
        <v>140</v>
      </c>
      <c r="R221" s="335">
        <v>639</v>
      </c>
      <c r="U221" s="333" t="s">
        <v>388</v>
      </c>
      <c r="V221" s="333" t="s">
        <v>12</v>
      </c>
    </row>
    <row r="222" spans="1:22" x14ac:dyDescent="0.25">
      <c r="A222" s="333" t="s">
        <v>289</v>
      </c>
      <c r="B222" s="333" t="s">
        <v>375</v>
      </c>
      <c r="G222" s="333" t="s">
        <v>338</v>
      </c>
      <c r="H222" s="333" t="s">
        <v>337</v>
      </c>
      <c r="I222" s="333" t="s">
        <v>500</v>
      </c>
      <c r="J222" s="335">
        <v>31</v>
      </c>
      <c r="M222" s="333" t="s">
        <v>1018</v>
      </c>
      <c r="N222" s="333" t="s">
        <v>1021</v>
      </c>
      <c r="O222" s="333" t="s">
        <v>5</v>
      </c>
      <c r="P222" s="333" t="s">
        <v>5</v>
      </c>
      <c r="Q222" s="335">
        <v>0</v>
      </c>
      <c r="R222" s="335">
        <v>0</v>
      </c>
      <c r="U222" s="333" t="s">
        <v>389</v>
      </c>
      <c r="V222" s="333" t="s">
        <v>554</v>
      </c>
    </row>
    <row r="223" spans="1:22" x14ac:dyDescent="0.25">
      <c r="A223" s="333" t="s">
        <v>289</v>
      </c>
      <c r="B223" s="333" t="s">
        <v>294</v>
      </c>
      <c r="G223" s="333" t="s">
        <v>351</v>
      </c>
      <c r="H223" s="333" t="s">
        <v>350</v>
      </c>
      <c r="I223" s="333" t="s">
        <v>500</v>
      </c>
      <c r="J223" s="335">
        <v>87</v>
      </c>
      <c r="M223" s="333" t="s">
        <v>1020</v>
      </c>
      <c r="N223" s="333" t="s">
        <v>1019</v>
      </c>
      <c r="O223" s="333" t="s">
        <v>27</v>
      </c>
      <c r="P223" s="333" t="s">
        <v>27</v>
      </c>
      <c r="Q223" s="335">
        <v>31</v>
      </c>
      <c r="R223" s="335">
        <v>180</v>
      </c>
      <c r="U223" s="333" t="s">
        <v>837</v>
      </c>
      <c r="V223" s="333" t="s">
        <v>554</v>
      </c>
    </row>
    <row r="224" spans="1:22" x14ac:dyDescent="0.25">
      <c r="A224" s="333" t="s">
        <v>289</v>
      </c>
      <c r="B224" s="333" t="s">
        <v>1055</v>
      </c>
      <c r="G224" s="333" t="s">
        <v>118</v>
      </c>
      <c r="H224" s="333" t="s">
        <v>117</v>
      </c>
      <c r="I224" s="333" t="s">
        <v>500</v>
      </c>
      <c r="J224" s="335">
        <v>10</v>
      </c>
      <c r="M224" s="333" t="s">
        <v>1035</v>
      </c>
      <c r="N224" s="333" t="s">
        <v>1034</v>
      </c>
      <c r="O224" s="333" t="s">
        <v>151</v>
      </c>
      <c r="P224" s="333" t="s">
        <v>151</v>
      </c>
      <c r="Q224" s="335"/>
      <c r="R224" s="335"/>
      <c r="U224" s="333" t="s">
        <v>838</v>
      </c>
      <c r="V224" s="333" t="s">
        <v>12</v>
      </c>
    </row>
    <row r="225" spans="1:22" x14ac:dyDescent="0.25">
      <c r="A225" s="333" t="s">
        <v>289</v>
      </c>
      <c r="B225" s="333" t="s">
        <v>1067</v>
      </c>
      <c r="G225" s="333" t="s">
        <v>22</v>
      </c>
      <c r="H225" s="333" t="s">
        <v>21</v>
      </c>
      <c r="I225" s="333" t="s">
        <v>500</v>
      </c>
      <c r="J225" s="335">
        <v>626</v>
      </c>
      <c r="M225" s="333" t="s">
        <v>1043</v>
      </c>
      <c r="N225" s="333" t="s">
        <v>1041</v>
      </c>
      <c r="O225" s="333" t="s">
        <v>1182</v>
      </c>
      <c r="P225" s="333" t="s">
        <v>300</v>
      </c>
      <c r="Q225" s="335">
        <v>10</v>
      </c>
      <c r="R225" s="335">
        <v>56</v>
      </c>
      <c r="U225" s="333" t="s">
        <v>823</v>
      </c>
      <c r="V225" s="333" t="s">
        <v>554</v>
      </c>
    </row>
    <row r="226" spans="1:22" x14ac:dyDescent="0.25">
      <c r="A226" s="333" t="s">
        <v>289</v>
      </c>
      <c r="B226" s="333" t="s">
        <v>1410</v>
      </c>
      <c r="G226" s="333" t="s">
        <v>122</v>
      </c>
      <c r="H226" s="333" t="s">
        <v>121</v>
      </c>
      <c r="I226" s="333" t="s">
        <v>843</v>
      </c>
      <c r="J226" s="335">
        <v>0</v>
      </c>
      <c r="M226" s="333" t="s">
        <v>1054</v>
      </c>
      <c r="N226" s="333" t="s">
        <v>1053</v>
      </c>
      <c r="O226" s="333" t="s">
        <v>1182</v>
      </c>
      <c r="P226" s="333" t="s">
        <v>230</v>
      </c>
      <c r="Q226" s="335">
        <v>51</v>
      </c>
      <c r="R226" s="335">
        <v>209</v>
      </c>
      <c r="U226" s="333" t="s">
        <v>824</v>
      </c>
      <c r="V226" s="333" t="s">
        <v>12</v>
      </c>
    </row>
    <row r="227" spans="1:22" x14ac:dyDescent="0.25">
      <c r="A227" s="333" t="s">
        <v>289</v>
      </c>
      <c r="B227" s="333" t="s">
        <v>1411</v>
      </c>
      <c r="G227" s="333" t="s">
        <v>124</v>
      </c>
      <c r="H227" s="333" t="s">
        <v>123</v>
      </c>
      <c r="I227" s="333" t="s">
        <v>500</v>
      </c>
      <c r="J227" s="335">
        <v>8</v>
      </c>
      <c r="M227" s="333" t="s">
        <v>1056</v>
      </c>
      <c r="N227" s="333" t="s">
        <v>1055</v>
      </c>
      <c r="O227" s="333" t="s">
        <v>289</v>
      </c>
      <c r="P227" s="333" t="s">
        <v>289</v>
      </c>
      <c r="Q227" s="335">
        <v>36</v>
      </c>
      <c r="R227" s="335">
        <v>201</v>
      </c>
      <c r="U227" s="333" t="s">
        <v>931</v>
      </c>
      <c r="V227" s="333" t="s">
        <v>554</v>
      </c>
    </row>
    <row r="228" spans="1:22" x14ac:dyDescent="0.25">
      <c r="A228" s="333" t="s">
        <v>298</v>
      </c>
      <c r="B228" s="333" t="s">
        <v>821</v>
      </c>
      <c r="G228" s="333" t="s">
        <v>1300</v>
      </c>
      <c r="H228" s="333" t="s">
        <v>1301</v>
      </c>
      <c r="I228" s="333" t="s">
        <v>500</v>
      </c>
      <c r="J228" s="335"/>
      <c r="M228" s="333" t="s">
        <v>1060</v>
      </c>
      <c r="N228" s="333" t="s">
        <v>1067</v>
      </c>
      <c r="O228" s="333" t="s">
        <v>289</v>
      </c>
      <c r="P228" s="333" t="s">
        <v>289</v>
      </c>
      <c r="Q228" s="335">
        <v>121</v>
      </c>
      <c r="R228" s="335">
        <v>570</v>
      </c>
      <c r="U228" s="333" t="s">
        <v>933</v>
      </c>
      <c r="V228" s="333" t="s">
        <v>554</v>
      </c>
    </row>
    <row r="229" spans="1:22" x14ac:dyDescent="0.25">
      <c r="A229" s="333" t="s">
        <v>298</v>
      </c>
      <c r="B229" s="333" t="s">
        <v>593</v>
      </c>
      <c r="G229" s="333" t="s">
        <v>96</v>
      </c>
      <c r="H229" s="333" t="s">
        <v>95</v>
      </c>
      <c r="I229" s="333" t="s">
        <v>843</v>
      </c>
      <c r="J229" s="335">
        <v>0</v>
      </c>
      <c r="M229" s="333" t="s">
        <v>1062</v>
      </c>
      <c r="N229" s="333" t="s">
        <v>1061</v>
      </c>
      <c r="O229" s="333" t="s">
        <v>151</v>
      </c>
      <c r="P229" s="333" t="s">
        <v>151</v>
      </c>
      <c r="Q229" s="335">
        <v>112</v>
      </c>
      <c r="R229" s="335">
        <v>524</v>
      </c>
      <c r="U229" s="333" t="s">
        <v>1054</v>
      </c>
      <c r="V229" s="333" t="s">
        <v>554</v>
      </c>
    </row>
    <row r="230" spans="1:22" x14ac:dyDescent="0.25">
      <c r="A230" s="333" t="s">
        <v>298</v>
      </c>
      <c r="B230" s="333" t="s">
        <v>1419</v>
      </c>
      <c r="G230" s="333" t="s">
        <v>1278</v>
      </c>
      <c r="H230" s="333" t="s">
        <v>1269</v>
      </c>
      <c r="I230" s="333" t="s">
        <v>500</v>
      </c>
      <c r="J230" s="335">
        <v>24</v>
      </c>
      <c r="M230" s="333" t="s">
        <v>1064</v>
      </c>
      <c r="N230" s="333" t="s">
        <v>1063</v>
      </c>
      <c r="O230" s="333" t="s">
        <v>1182</v>
      </c>
      <c r="P230" s="333" t="s">
        <v>230</v>
      </c>
      <c r="Q230" s="335">
        <v>25</v>
      </c>
      <c r="R230" s="335">
        <v>113</v>
      </c>
      <c r="U230" s="333" t="s">
        <v>1056</v>
      </c>
      <c r="V230" s="333" t="s">
        <v>554</v>
      </c>
    </row>
    <row r="231" spans="1:22" x14ac:dyDescent="0.25">
      <c r="A231" s="333" t="s">
        <v>298</v>
      </c>
      <c r="B231" s="333" t="s">
        <v>1607</v>
      </c>
      <c r="G231" s="333" t="s">
        <v>1277</v>
      </c>
      <c r="H231" s="333" t="s">
        <v>1270</v>
      </c>
      <c r="I231" s="333" t="s">
        <v>500</v>
      </c>
      <c r="J231" s="335">
        <v>30</v>
      </c>
      <c r="M231" s="333" t="s">
        <v>1066</v>
      </c>
      <c r="N231" s="333" t="s">
        <v>1065</v>
      </c>
      <c r="O231" s="333" t="s">
        <v>527</v>
      </c>
      <c r="P231" s="333" t="s">
        <v>527</v>
      </c>
      <c r="Q231" s="335">
        <v>103</v>
      </c>
      <c r="R231" s="335">
        <v>489</v>
      </c>
      <c r="U231" s="333" t="s">
        <v>1060</v>
      </c>
      <c r="V231" s="333" t="s">
        <v>554</v>
      </c>
    </row>
    <row r="232" spans="1:22" x14ac:dyDescent="0.25">
      <c r="A232" s="333" t="s">
        <v>298</v>
      </c>
      <c r="B232" s="333" t="s">
        <v>1609</v>
      </c>
      <c r="G232" s="333" t="s">
        <v>1019</v>
      </c>
      <c r="H232" s="333" t="s">
        <v>1020</v>
      </c>
      <c r="I232" s="333" t="s">
        <v>500</v>
      </c>
      <c r="J232" s="335">
        <v>31</v>
      </c>
      <c r="M232" s="333" t="s">
        <v>1096</v>
      </c>
      <c r="N232" s="333" t="s">
        <v>1095</v>
      </c>
      <c r="O232" s="333" t="s">
        <v>151</v>
      </c>
      <c r="P232" s="333" t="s">
        <v>151</v>
      </c>
      <c r="Q232" s="335">
        <v>114</v>
      </c>
      <c r="R232" s="335">
        <v>515</v>
      </c>
      <c r="U232" s="333" t="s">
        <v>1064</v>
      </c>
      <c r="V232" s="333" t="s">
        <v>554</v>
      </c>
    </row>
    <row r="233" spans="1:22" x14ac:dyDescent="0.25">
      <c r="A233" s="333" t="s">
        <v>298</v>
      </c>
      <c r="B233" s="333" t="s">
        <v>1610</v>
      </c>
      <c r="G233" s="333" t="s">
        <v>225</v>
      </c>
      <c r="H233" s="333" t="s">
        <v>224</v>
      </c>
      <c r="I233" s="333" t="s">
        <v>500</v>
      </c>
      <c r="J233" s="335">
        <v>41</v>
      </c>
      <c r="M233" s="333" t="s">
        <v>1101</v>
      </c>
      <c r="N233" s="333" t="s">
        <v>1102</v>
      </c>
      <c r="O233" s="333" t="s">
        <v>146</v>
      </c>
      <c r="P233" s="333" t="s">
        <v>146</v>
      </c>
      <c r="Q233" s="335">
        <v>22</v>
      </c>
      <c r="R233" s="335">
        <v>111</v>
      </c>
      <c r="U233" s="333" t="s">
        <v>1096</v>
      </c>
      <c r="V233" s="333" t="s">
        <v>554</v>
      </c>
    </row>
    <row r="234" spans="1:22" x14ac:dyDescent="0.25">
      <c r="A234" s="333" t="s">
        <v>298</v>
      </c>
      <c r="B234" s="333" t="s">
        <v>1611</v>
      </c>
      <c r="G234" s="333" t="s">
        <v>1456</v>
      </c>
      <c r="H234" s="333" t="s">
        <v>1459</v>
      </c>
      <c r="I234" s="333" t="s">
        <v>500</v>
      </c>
      <c r="J234" s="335">
        <v>42</v>
      </c>
      <c r="M234" s="333" t="s">
        <v>1121</v>
      </c>
      <c r="N234" s="333" t="s">
        <v>1120</v>
      </c>
      <c r="O234" s="333" t="s">
        <v>527</v>
      </c>
      <c r="P234" s="333" t="s">
        <v>527</v>
      </c>
      <c r="Q234" s="335">
        <v>52</v>
      </c>
      <c r="R234" s="335">
        <v>248</v>
      </c>
      <c r="U234" s="333" t="s">
        <v>1101</v>
      </c>
      <c r="V234" s="333" t="s">
        <v>554</v>
      </c>
    </row>
    <row r="235" spans="1:22" x14ac:dyDescent="0.25">
      <c r="A235" s="333" t="s">
        <v>298</v>
      </c>
      <c r="B235" s="333" t="s">
        <v>1612</v>
      </c>
      <c r="G235" s="333" t="s">
        <v>1455</v>
      </c>
      <c r="H235" s="333" t="s">
        <v>1461</v>
      </c>
      <c r="I235" s="333" t="s">
        <v>500</v>
      </c>
      <c r="J235" s="335">
        <v>7</v>
      </c>
      <c r="M235" s="333" t="s">
        <v>1159</v>
      </c>
      <c r="N235" s="333" t="s">
        <v>1157</v>
      </c>
      <c r="O235" s="333" t="s">
        <v>1182</v>
      </c>
      <c r="P235" s="333" t="s">
        <v>180</v>
      </c>
      <c r="Q235" s="335">
        <v>36</v>
      </c>
      <c r="R235" s="335">
        <v>153</v>
      </c>
      <c r="U235" s="333" t="s">
        <v>1121</v>
      </c>
      <c r="V235" s="333" t="s">
        <v>554</v>
      </c>
    </row>
    <row r="236" spans="1:22" x14ac:dyDescent="0.25">
      <c r="A236" s="333" t="s">
        <v>300</v>
      </c>
      <c r="B236" s="333" t="s">
        <v>890</v>
      </c>
      <c r="G236" s="333" t="s">
        <v>277</v>
      </c>
      <c r="H236" s="333" t="s">
        <v>276</v>
      </c>
      <c r="I236" s="333" t="s">
        <v>500</v>
      </c>
      <c r="J236" s="335">
        <v>88</v>
      </c>
      <c r="M236" s="333" t="s">
        <v>1160</v>
      </c>
      <c r="N236" s="333" t="s">
        <v>1158</v>
      </c>
      <c r="O236" s="333" t="s">
        <v>1182</v>
      </c>
      <c r="P236" s="333" t="s">
        <v>180</v>
      </c>
      <c r="Q236" s="335">
        <v>14</v>
      </c>
      <c r="R236" s="335">
        <v>63</v>
      </c>
      <c r="U236" s="333" t="s">
        <v>1159</v>
      </c>
      <c r="V236" s="333" t="s">
        <v>12</v>
      </c>
    </row>
    <row r="237" spans="1:22" x14ac:dyDescent="0.25">
      <c r="A237" s="333" t="s">
        <v>300</v>
      </c>
      <c r="B237" s="333" t="s">
        <v>301</v>
      </c>
      <c r="G237" s="333" t="s">
        <v>279</v>
      </c>
      <c r="H237" s="333" t="s">
        <v>278</v>
      </c>
      <c r="I237" s="333" t="s">
        <v>500</v>
      </c>
      <c r="J237" s="335">
        <v>22</v>
      </c>
      <c r="M237" s="333" t="s">
        <v>1258</v>
      </c>
      <c r="N237" s="333" t="s">
        <v>1275</v>
      </c>
      <c r="O237" s="333" t="s">
        <v>779</v>
      </c>
      <c r="P237" s="333" t="s">
        <v>779</v>
      </c>
      <c r="Q237" s="335">
        <v>38</v>
      </c>
      <c r="R237" s="335">
        <v>205</v>
      </c>
      <c r="U237" s="333" t="s">
        <v>1160</v>
      </c>
      <c r="V237" s="333" t="s">
        <v>12</v>
      </c>
    </row>
    <row r="238" spans="1:22" x14ac:dyDescent="0.25">
      <c r="A238" s="333" t="s">
        <v>300</v>
      </c>
      <c r="B238" s="333" t="s">
        <v>1041</v>
      </c>
      <c r="G238" s="333" t="s">
        <v>347</v>
      </c>
      <c r="H238" s="333" t="s">
        <v>346</v>
      </c>
      <c r="I238" s="333" t="s">
        <v>500</v>
      </c>
      <c r="J238" s="335">
        <v>179</v>
      </c>
      <c r="M238" s="333" t="s">
        <v>1259</v>
      </c>
      <c r="N238" s="333" t="s">
        <v>1260</v>
      </c>
      <c r="O238" s="333" t="s">
        <v>1182</v>
      </c>
      <c r="P238" s="333" t="s">
        <v>300</v>
      </c>
      <c r="Q238" s="335">
        <v>59</v>
      </c>
      <c r="R238" s="335">
        <v>268</v>
      </c>
      <c r="U238" s="333" t="s">
        <v>1258</v>
      </c>
      <c r="V238" s="333" t="s">
        <v>554</v>
      </c>
    </row>
    <row r="239" spans="1:22" x14ac:dyDescent="0.25">
      <c r="A239" s="333" t="s">
        <v>300</v>
      </c>
      <c r="B239" s="333" t="s">
        <v>1260</v>
      </c>
      <c r="G239" s="333" t="s">
        <v>306</v>
      </c>
      <c r="H239" s="333" t="s">
        <v>305</v>
      </c>
      <c r="I239" s="333" t="s">
        <v>500</v>
      </c>
      <c r="J239" s="335">
        <v>86</v>
      </c>
      <c r="M239" s="333" t="s">
        <v>1269</v>
      </c>
      <c r="N239" s="333" t="s">
        <v>1278</v>
      </c>
      <c r="O239" s="333" t="s">
        <v>1182</v>
      </c>
      <c r="P239" s="333" t="s">
        <v>173</v>
      </c>
      <c r="Q239" s="335">
        <v>24</v>
      </c>
      <c r="R239" s="335">
        <v>83</v>
      </c>
      <c r="U239" s="333" t="s">
        <v>1259</v>
      </c>
      <c r="V239" s="333" t="s">
        <v>554</v>
      </c>
    </row>
    <row r="240" spans="1:22" x14ac:dyDescent="0.25">
      <c r="A240" s="333" t="s">
        <v>302</v>
      </c>
      <c r="B240" s="333" t="s">
        <v>12</v>
      </c>
      <c r="G240" s="333" t="s">
        <v>308</v>
      </c>
      <c r="H240" s="333" t="s">
        <v>307</v>
      </c>
      <c r="I240" s="333" t="s">
        <v>500</v>
      </c>
      <c r="J240" s="335">
        <v>40</v>
      </c>
      <c r="M240" s="333" t="s">
        <v>1270</v>
      </c>
      <c r="N240" s="333" t="s">
        <v>1277</v>
      </c>
      <c r="O240" s="333" t="s">
        <v>1182</v>
      </c>
      <c r="P240" s="333" t="s">
        <v>173</v>
      </c>
      <c r="Q240" s="335">
        <v>30</v>
      </c>
      <c r="R240" s="335">
        <v>140</v>
      </c>
      <c r="U240" s="333" t="s">
        <v>1269</v>
      </c>
      <c r="V240" s="333" t="s">
        <v>12</v>
      </c>
    </row>
    <row r="241" spans="1:22" x14ac:dyDescent="0.25">
      <c r="A241" s="333" t="s">
        <v>302</v>
      </c>
      <c r="B241" s="333" t="s">
        <v>304</v>
      </c>
      <c r="G241" s="333" t="s">
        <v>1607</v>
      </c>
      <c r="H241" s="333" t="s">
        <v>1590</v>
      </c>
      <c r="I241" s="333" t="s">
        <v>500</v>
      </c>
      <c r="J241" s="335">
        <v>224</v>
      </c>
      <c r="M241" s="333" t="s">
        <v>1271</v>
      </c>
      <c r="N241" s="333" t="s">
        <v>1268</v>
      </c>
      <c r="O241" s="333" t="s">
        <v>1182</v>
      </c>
      <c r="P241" s="333" t="s">
        <v>173</v>
      </c>
      <c r="Q241" s="335"/>
      <c r="R241" s="335"/>
      <c r="U241" s="333" t="s">
        <v>1270</v>
      </c>
      <c r="V241" s="333" t="s">
        <v>554</v>
      </c>
    </row>
    <row r="242" spans="1:22" x14ac:dyDescent="0.25">
      <c r="A242" s="333" t="s">
        <v>302</v>
      </c>
      <c r="B242" s="333" t="s">
        <v>306</v>
      </c>
      <c r="G242" s="333" t="s">
        <v>281</v>
      </c>
      <c r="H242" s="333" t="s">
        <v>280</v>
      </c>
      <c r="I242" s="333" t="s">
        <v>500</v>
      </c>
      <c r="J242" s="335">
        <v>73</v>
      </c>
      <c r="M242" s="333" t="s">
        <v>1299</v>
      </c>
      <c r="N242" s="333" t="s">
        <v>1298</v>
      </c>
      <c r="O242" s="333" t="s">
        <v>1182</v>
      </c>
      <c r="P242" s="333" t="s">
        <v>808</v>
      </c>
      <c r="Q242" s="335">
        <v>161</v>
      </c>
      <c r="R242" s="335">
        <v>711</v>
      </c>
      <c r="U242" s="333" t="s">
        <v>1271</v>
      </c>
      <c r="V242" s="333" t="s">
        <v>554</v>
      </c>
    </row>
    <row r="243" spans="1:22" x14ac:dyDescent="0.25">
      <c r="A243" s="333" t="s">
        <v>302</v>
      </c>
      <c r="B243" s="333" t="s">
        <v>308</v>
      </c>
      <c r="G243" s="333" t="s">
        <v>887</v>
      </c>
      <c r="H243" s="333" t="s">
        <v>888</v>
      </c>
      <c r="I243" s="333" t="s">
        <v>843</v>
      </c>
      <c r="J243" s="335">
        <v>0</v>
      </c>
      <c r="M243" s="333" t="s">
        <v>1301</v>
      </c>
      <c r="N243" s="333" t="s">
        <v>1300</v>
      </c>
      <c r="O243" s="333" t="s">
        <v>1182</v>
      </c>
      <c r="P243" s="333" t="s">
        <v>808</v>
      </c>
      <c r="Q243" s="335"/>
      <c r="R243" s="335">
        <v>489</v>
      </c>
      <c r="U243" s="333" t="s">
        <v>1299</v>
      </c>
      <c r="V243" s="333" t="s">
        <v>554</v>
      </c>
    </row>
    <row r="244" spans="1:22" x14ac:dyDescent="0.25">
      <c r="A244" s="333" t="s">
        <v>808</v>
      </c>
      <c r="B244" s="333" t="s">
        <v>808</v>
      </c>
      <c r="G244" s="333" t="s">
        <v>181</v>
      </c>
      <c r="H244" s="333" t="s">
        <v>179</v>
      </c>
      <c r="I244" s="333" t="s">
        <v>500</v>
      </c>
      <c r="J244" s="335">
        <v>12</v>
      </c>
      <c r="M244" s="333" t="s">
        <v>1314</v>
      </c>
      <c r="N244" s="333" t="s">
        <v>1313</v>
      </c>
      <c r="O244" s="333" t="s">
        <v>185</v>
      </c>
      <c r="P244" s="333" t="s">
        <v>185</v>
      </c>
      <c r="Q244" s="335"/>
      <c r="R244" s="335">
        <v>49</v>
      </c>
      <c r="U244" s="333" t="s">
        <v>1301</v>
      </c>
      <c r="V244" s="333" t="s">
        <v>554</v>
      </c>
    </row>
    <row r="245" spans="1:22" x14ac:dyDescent="0.25">
      <c r="A245" s="333" t="s">
        <v>808</v>
      </c>
      <c r="B245" s="333" t="s">
        <v>1298</v>
      </c>
      <c r="G245" s="333" t="s">
        <v>897</v>
      </c>
      <c r="H245" s="333" t="s">
        <v>896</v>
      </c>
      <c r="I245" s="333" t="s">
        <v>843</v>
      </c>
      <c r="J245" s="335">
        <v>0</v>
      </c>
      <c r="M245" s="333" t="s">
        <v>1316</v>
      </c>
      <c r="N245" s="333" t="s">
        <v>1315</v>
      </c>
      <c r="O245" s="333" t="s">
        <v>146</v>
      </c>
      <c r="P245" s="333" t="s">
        <v>146</v>
      </c>
      <c r="Q245" s="335">
        <v>105</v>
      </c>
      <c r="R245" s="335">
        <v>568</v>
      </c>
      <c r="U245" s="333" t="s">
        <v>1314</v>
      </c>
      <c r="V245" s="333" t="s">
        <v>986</v>
      </c>
    </row>
    <row r="246" spans="1:22" x14ac:dyDescent="0.25">
      <c r="A246" s="333" t="s">
        <v>808</v>
      </c>
      <c r="B246" s="333" t="s">
        <v>1300</v>
      </c>
      <c r="G246" s="333" t="s">
        <v>1613</v>
      </c>
      <c r="H246" s="333" t="s">
        <v>1601</v>
      </c>
      <c r="I246" s="333" t="s">
        <v>500</v>
      </c>
      <c r="J246" s="335"/>
      <c r="M246" s="333" t="s">
        <v>1416</v>
      </c>
      <c r="N246" s="333" t="s">
        <v>1415</v>
      </c>
      <c r="O246" s="333" t="s">
        <v>527</v>
      </c>
      <c r="P246" s="333" t="s">
        <v>527</v>
      </c>
      <c r="Q246" s="335">
        <v>6</v>
      </c>
      <c r="R246" s="335">
        <v>9</v>
      </c>
      <c r="U246" s="333" t="s">
        <v>1316</v>
      </c>
      <c r="V246" s="333" t="s">
        <v>554</v>
      </c>
    </row>
    <row r="247" spans="1:22" x14ac:dyDescent="0.25">
      <c r="A247" s="333" t="s">
        <v>310</v>
      </c>
      <c r="B247" s="333" t="s">
        <v>358</v>
      </c>
      <c r="G247" s="333" t="s">
        <v>808</v>
      </c>
      <c r="H247" s="333" t="s">
        <v>812</v>
      </c>
      <c r="I247" s="333" t="s">
        <v>500</v>
      </c>
      <c r="J247" s="335">
        <v>5</v>
      </c>
      <c r="M247" s="333" t="s">
        <v>1414</v>
      </c>
      <c r="N247" s="333" t="s">
        <v>296</v>
      </c>
      <c r="O247" s="333" t="s">
        <v>151</v>
      </c>
      <c r="P247" s="333" t="s">
        <v>151</v>
      </c>
      <c r="Q247" s="335">
        <v>0</v>
      </c>
      <c r="R247" s="335">
        <v>0</v>
      </c>
      <c r="U247" s="333" t="s">
        <v>1416</v>
      </c>
      <c r="V247" s="333" t="s">
        <v>554</v>
      </c>
    </row>
    <row r="248" spans="1:22" x14ac:dyDescent="0.25">
      <c r="A248" s="333" t="s">
        <v>310</v>
      </c>
      <c r="B248" s="333" t="s">
        <v>334</v>
      </c>
      <c r="G248" s="333" t="s">
        <v>24</v>
      </c>
      <c r="H248" s="333" t="s">
        <v>23</v>
      </c>
      <c r="I248" s="333" t="s">
        <v>500</v>
      </c>
      <c r="J248" s="335">
        <v>21</v>
      </c>
      <c r="M248" s="333" t="s">
        <v>1401</v>
      </c>
      <c r="N248" s="333" t="s">
        <v>1409</v>
      </c>
      <c r="O248" s="333" t="s">
        <v>146</v>
      </c>
      <c r="P248" s="333" t="s">
        <v>146</v>
      </c>
      <c r="Q248" s="335">
        <v>146</v>
      </c>
      <c r="R248" s="335">
        <v>678</v>
      </c>
      <c r="U248" s="333" t="s">
        <v>1414</v>
      </c>
      <c r="V248" s="333" t="s">
        <v>554</v>
      </c>
    </row>
    <row r="249" spans="1:22" x14ac:dyDescent="0.25">
      <c r="A249" s="333" t="s">
        <v>310</v>
      </c>
      <c r="B249" s="333" t="s">
        <v>313</v>
      </c>
      <c r="G249" s="333" t="s">
        <v>132</v>
      </c>
      <c r="H249" s="333" t="s">
        <v>131</v>
      </c>
      <c r="I249" s="333" t="s">
        <v>843</v>
      </c>
      <c r="J249" s="335">
        <v>0</v>
      </c>
      <c r="M249" s="333" t="s">
        <v>1402</v>
      </c>
      <c r="N249" s="333" t="s">
        <v>1419</v>
      </c>
      <c r="O249" s="333" t="s">
        <v>1182</v>
      </c>
      <c r="P249" s="333" t="s">
        <v>298</v>
      </c>
      <c r="Q249" s="335">
        <v>19</v>
      </c>
      <c r="R249" s="335">
        <v>82</v>
      </c>
      <c r="U249" s="333" t="s">
        <v>1401</v>
      </c>
      <c r="V249" s="333" t="s">
        <v>554</v>
      </c>
    </row>
    <row r="250" spans="1:22" x14ac:dyDescent="0.25">
      <c r="A250" s="333" t="s">
        <v>310</v>
      </c>
      <c r="B250" s="333" t="s">
        <v>336</v>
      </c>
      <c r="G250" s="333" t="s">
        <v>227</v>
      </c>
      <c r="H250" s="333" t="s">
        <v>226</v>
      </c>
      <c r="I250" s="333" t="s">
        <v>500</v>
      </c>
      <c r="J250" s="335">
        <v>10</v>
      </c>
      <c r="M250" s="333" t="s">
        <v>1403</v>
      </c>
      <c r="N250" s="333" t="s">
        <v>1422</v>
      </c>
      <c r="O250" s="333" t="s">
        <v>1182</v>
      </c>
      <c r="P250" s="333" t="s">
        <v>166</v>
      </c>
      <c r="Q250" s="335">
        <v>36</v>
      </c>
      <c r="R250" s="335">
        <v>188</v>
      </c>
      <c r="U250" s="333" t="s">
        <v>1402</v>
      </c>
      <c r="V250" s="333" t="s">
        <v>554</v>
      </c>
    </row>
    <row r="251" spans="1:22" x14ac:dyDescent="0.25">
      <c r="A251" s="333" t="s">
        <v>310</v>
      </c>
      <c r="B251" s="333" t="s">
        <v>813</v>
      </c>
      <c r="G251" s="333" t="s">
        <v>238</v>
      </c>
      <c r="H251" s="333" t="s">
        <v>236</v>
      </c>
      <c r="I251" s="333" t="s">
        <v>500</v>
      </c>
      <c r="J251" s="335">
        <v>48</v>
      </c>
      <c r="M251" s="333" t="s">
        <v>1404</v>
      </c>
      <c r="N251" s="333" t="s">
        <v>1410</v>
      </c>
      <c r="O251" s="333" t="s">
        <v>289</v>
      </c>
      <c r="P251" s="333" t="s">
        <v>289</v>
      </c>
      <c r="Q251" s="335">
        <v>200</v>
      </c>
      <c r="R251" s="335">
        <v>827</v>
      </c>
      <c r="U251" s="333" t="s">
        <v>1403</v>
      </c>
      <c r="V251" s="333" t="s">
        <v>554</v>
      </c>
    </row>
    <row r="252" spans="1:22" x14ac:dyDescent="0.25">
      <c r="A252" s="333" t="s">
        <v>310</v>
      </c>
      <c r="B252" s="333" t="s">
        <v>196</v>
      </c>
      <c r="G252" s="333" t="s">
        <v>1244</v>
      </c>
      <c r="H252" s="333" t="s">
        <v>241</v>
      </c>
      <c r="I252" s="333" t="s">
        <v>500</v>
      </c>
      <c r="J252" s="335">
        <v>54</v>
      </c>
      <c r="M252" s="333" t="s">
        <v>1405</v>
      </c>
      <c r="N252" s="333" t="s">
        <v>1411</v>
      </c>
      <c r="O252" s="333" t="s">
        <v>289</v>
      </c>
      <c r="P252" s="333" t="s">
        <v>289</v>
      </c>
      <c r="Q252" s="335">
        <v>61</v>
      </c>
      <c r="R252" s="335">
        <v>247</v>
      </c>
      <c r="U252" s="333" t="s">
        <v>1404</v>
      </c>
      <c r="V252" s="333" t="s">
        <v>554</v>
      </c>
    </row>
    <row r="253" spans="1:22" x14ac:dyDescent="0.25">
      <c r="A253" s="333" t="s">
        <v>310</v>
      </c>
      <c r="B253" s="333" t="s">
        <v>340</v>
      </c>
      <c r="G253" s="333" t="s">
        <v>249</v>
      </c>
      <c r="H253" s="333" t="s">
        <v>248</v>
      </c>
      <c r="I253" s="333" t="s">
        <v>500</v>
      </c>
      <c r="J253" s="335">
        <v>4</v>
      </c>
      <c r="M253" s="333" t="s">
        <v>1406</v>
      </c>
      <c r="N253" s="333" t="s">
        <v>1412</v>
      </c>
      <c r="O253" s="333" t="s">
        <v>146</v>
      </c>
      <c r="P253" s="333" t="s">
        <v>146</v>
      </c>
      <c r="Q253" s="335">
        <v>176</v>
      </c>
      <c r="R253" s="335">
        <v>798</v>
      </c>
      <c r="U253" s="333" t="s">
        <v>1405</v>
      </c>
      <c r="V253" s="333" t="s">
        <v>554</v>
      </c>
    </row>
    <row r="254" spans="1:22" x14ac:dyDescent="0.25">
      <c r="A254" s="333" t="s">
        <v>310</v>
      </c>
      <c r="B254" s="333" t="s">
        <v>320</v>
      </c>
      <c r="G254" s="333" t="s">
        <v>251</v>
      </c>
      <c r="H254" s="333" t="s">
        <v>250</v>
      </c>
      <c r="I254" s="333" t="s">
        <v>500</v>
      </c>
      <c r="J254" s="335">
        <v>26</v>
      </c>
      <c r="M254" s="333" t="s">
        <v>1407</v>
      </c>
      <c r="N254" s="333" t="s">
        <v>1425</v>
      </c>
      <c r="O254" s="333" t="s">
        <v>779</v>
      </c>
      <c r="P254" s="333" t="s">
        <v>779</v>
      </c>
      <c r="Q254" s="335">
        <v>20</v>
      </c>
      <c r="R254" s="335">
        <v>75</v>
      </c>
      <c r="U254" s="333" t="s">
        <v>1406</v>
      </c>
      <c r="V254" s="333" t="s">
        <v>554</v>
      </c>
    </row>
    <row r="255" spans="1:22" x14ac:dyDescent="0.25">
      <c r="A255" s="333" t="s">
        <v>310</v>
      </c>
      <c r="B255" s="333" t="s">
        <v>322</v>
      </c>
      <c r="G255" s="333" t="s">
        <v>275</v>
      </c>
      <c r="H255" s="333" t="s">
        <v>274</v>
      </c>
      <c r="I255" s="333" t="s">
        <v>500</v>
      </c>
      <c r="J255" s="335">
        <v>31</v>
      </c>
      <c r="M255" s="333" t="s">
        <v>1408</v>
      </c>
      <c r="N255" s="333" t="s">
        <v>1428</v>
      </c>
      <c r="O255" s="333" t="s">
        <v>146</v>
      </c>
      <c r="P255" s="333" t="s">
        <v>146</v>
      </c>
      <c r="Q255" s="335">
        <v>30</v>
      </c>
      <c r="R255" s="335">
        <v>170</v>
      </c>
      <c r="U255" s="333" t="s">
        <v>1407</v>
      </c>
      <c r="V255" s="333" t="s">
        <v>554</v>
      </c>
    </row>
    <row r="256" spans="1:22" x14ac:dyDescent="0.25">
      <c r="A256" s="333" t="s">
        <v>310</v>
      </c>
      <c r="B256" s="333" t="s">
        <v>328</v>
      </c>
      <c r="G256" s="333" t="s">
        <v>1453</v>
      </c>
      <c r="H256" s="333" t="s">
        <v>1460</v>
      </c>
      <c r="I256" s="333" t="s">
        <v>500</v>
      </c>
      <c r="J256" s="335">
        <v>13</v>
      </c>
      <c r="M256" s="333" t="s">
        <v>1458</v>
      </c>
      <c r="N256" s="333" t="s">
        <v>1452</v>
      </c>
      <c r="O256" s="333" t="s">
        <v>527</v>
      </c>
      <c r="P256" s="333" t="s">
        <v>527</v>
      </c>
      <c r="Q256" s="335">
        <v>32</v>
      </c>
      <c r="R256" s="335">
        <v>83</v>
      </c>
      <c r="U256" s="333" t="s">
        <v>1408</v>
      </c>
      <c r="V256" s="333" t="s">
        <v>554</v>
      </c>
    </row>
    <row r="257" spans="1:22" x14ac:dyDescent="0.25">
      <c r="A257" s="333" t="s">
        <v>310</v>
      </c>
      <c r="B257" s="333" t="s">
        <v>330</v>
      </c>
      <c r="G257" s="333" t="s">
        <v>349</v>
      </c>
      <c r="H257" s="333" t="s">
        <v>348</v>
      </c>
      <c r="I257" s="333" t="s">
        <v>500</v>
      </c>
      <c r="J257" s="335">
        <v>44</v>
      </c>
      <c r="M257" s="333" t="s">
        <v>1459</v>
      </c>
      <c r="N257" s="333" t="s">
        <v>1456</v>
      </c>
      <c r="O257" s="333" t="s">
        <v>527</v>
      </c>
      <c r="P257" s="333" t="s">
        <v>527</v>
      </c>
      <c r="Q257" s="335">
        <v>42</v>
      </c>
      <c r="R257" s="335">
        <v>138</v>
      </c>
      <c r="U257" s="333" t="s">
        <v>1458</v>
      </c>
      <c r="V257" s="333" t="s">
        <v>554</v>
      </c>
    </row>
    <row r="258" spans="1:22" x14ac:dyDescent="0.25">
      <c r="A258" s="333" t="s">
        <v>310</v>
      </c>
      <c r="B258" s="333" t="s">
        <v>324</v>
      </c>
      <c r="G258" s="333" t="s">
        <v>1021</v>
      </c>
      <c r="H258" s="333" t="s">
        <v>1018</v>
      </c>
      <c r="I258" s="333" t="s">
        <v>843</v>
      </c>
      <c r="J258" s="335">
        <v>0</v>
      </c>
      <c r="M258" s="333" t="s">
        <v>1460</v>
      </c>
      <c r="N258" s="333" t="s">
        <v>1453</v>
      </c>
      <c r="O258" s="333" t="s">
        <v>527</v>
      </c>
      <c r="P258" s="333" t="s">
        <v>527</v>
      </c>
      <c r="Q258" s="335">
        <v>13</v>
      </c>
      <c r="R258" s="335">
        <v>47</v>
      </c>
      <c r="U258" s="333" t="s">
        <v>1459</v>
      </c>
      <c r="V258" s="333" t="s">
        <v>554</v>
      </c>
    </row>
    <row r="259" spans="1:22" x14ac:dyDescent="0.25">
      <c r="A259" s="333" t="s">
        <v>310</v>
      </c>
      <c r="B259" s="333" t="s">
        <v>326</v>
      </c>
      <c r="G259" s="333" t="s">
        <v>134</v>
      </c>
      <c r="H259" s="333" t="s">
        <v>133</v>
      </c>
      <c r="I259" s="333" t="s">
        <v>843</v>
      </c>
      <c r="J259" s="335">
        <v>0</v>
      </c>
      <c r="M259" s="333" t="s">
        <v>1461</v>
      </c>
      <c r="N259" s="333" t="s">
        <v>1455</v>
      </c>
      <c r="O259" s="333" t="s">
        <v>527</v>
      </c>
      <c r="P259" s="333" t="s">
        <v>527</v>
      </c>
      <c r="Q259" s="335">
        <v>7</v>
      </c>
      <c r="R259" s="335">
        <v>19</v>
      </c>
      <c r="U259" s="333" t="s">
        <v>1460</v>
      </c>
      <c r="V259" s="333" t="s">
        <v>554</v>
      </c>
    </row>
    <row r="260" spans="1:22" x14ac:dyDescent="0.25">
      <c r="A260" s="333" t="s">
        <v>310</v>
      </c>
      <c r="B260" s="333" t="s">
        <v>332</v>
      </c>
      <c r="G260" s="333" t="s">
        <v>869</v>
      </c>
      <c r="H260" s="333" t="s">
        <v>855</v>
      </c>
      <c r="I260" s="333" t="s">
        <v>843</v>
      </c>
      <c r="J260" s="335">
        <v>0</v>
      </c>
      <c r="M260" s="333" t="s">
        <v>1462</v>
      </c>
      <c r="N260" s="333" t="s">
        <v>1454</v>
      </c>
      <c r="O260" s="333" t="s">
        <v>527</v>
      </c>
      <c r="P260" s="333" t="s">
        <v>527</v>
      </c>
      <c r="Q260" s="335">
        <v>22</v>
      </c>
      <c r="R260" s="335">
        <v>52</v>
      </c>
      <c r="U260" s="333" t="s">
        <v>1461</v>
      </c>
      <c r="V260" s="333" t="s">
        <v>554</v>
      </c>
    </row>
    <row r="261" spans="1:22" x14ac:dyDescent="0.25">
      <c r="A261" s="333" t="s">
        <v>310</v>
      </c>
      <c r="B261" s="333" t="s">
        <v>344</v>
      </c>
      <c r="G261" s="333" t="s">
        <v>301</v>
      </c>
      <c r="H261" s="333" t="s">
        <v>299</v>
      </c>
      <c r="I261" s="333" t="s">
        <v>500</v>
      </c>
      <c r="J261" s="335">
        <v>14</v>
      </c>
      <c r="M261" s="333" t="s">
        <v>1590</v>
      </c>
      <c r="N261" s="333" t="s">
        <v>1607</v>
      </c>
      <c r="O261" s="333" t="s">
        <v>1182</v>
      </c>
      <c r="P261" s="333" t="s">
        <v>298</v>
      </c>
      <c r="Q261" s="335">
        <v>224</v>
      </c>
      <c r="R261" s="335">
        <v>767</v>
      </c>
      <c r="U261" s="333" t="s">
        <v>1462</v>
      </c>
      <c r="V261" s="333" t="s">
        <v>554</v>
      </c>
    </row>
    <row r="262" spans="1:22" x14ac:dyDescent="0.25">
      <c r="A262" s="333" t="s">
        <v>310</v>
      </c>
      <c r="B262" s="333" t="s">
        <v>355</v>
      </c>
      <c r="G262" s="333" t="s">
        <v>1425</v>
      </c>
      <c r="H262" s="333" t="s">
        <v>1407</v>
      </c>
      <c r="I262" s="333" t="s">
        <v>500</v>
      </c>
      <c r="J262" s="335">
        <v>20</v>
      </c>
      <c r="M262" s="333" t="s">
        <v>1591</v>
      </c>
      <c r="N262" s="333" t="s">
        <v>1609</v>
      </c>
      <c r="O262" s="333" t="s">
        <v>1182</v>
      </c>
      <c r="P262" s="333" t="s">
        <v>298</v>
      </c>
      <c r="Q262" s="335">
        <v>13</v>
      </c>
      <c r="R262" s="335">
        <v>45</v>
      </c>
      <c r="U262" s="333" t="s">
        <v>1590</v>
      </c>
      <c r="V262" s="333" t="s">
        <v>554</v>
      </c>
    </row>
    <row r="263" spans="1:22" x14ac:dyDescent="0.25">
      <c r="A263" s="333" t="s">
        <v>310</v>
      </c>
      <c r="B263" s="333" t="s">
        <v>318</v>
      </c>
      <c r="G263" s="333" t="s">
        <v>316</v>
      </c>
      <c r="H263" s="333" t="s">
        <v>315</v>
      </c>
      <c r="I263" s="333" t="s">
        <v>500</v>
      </c>
      <c r="J263" s="335">
        <v>70</v>
      </c>
      <c r="M263" s="333" t="s">
        <v>1592</v>
      </c>
      <c r="N263" s="333" t="s">
        <v>1610</v>
      </c>
      <c r="O263" s="333" t="s">
        <v>1182</v>
      </c>
      <c r="P263" s="333" t="s">
        <v>298</v>
      </c>
      <c r="Q263" s="335">
        <v>41</v>
      </c>
      <c r="R263" s="335">
        <v>191</v>
      </c>
      <c r="U263" s="333" t="s">
        <v>1591</v>
      </c>
      <c r="V263" s="333" t="s">
        <v>554</v>
      </c>
    </row>
    <row r="264" spans="1:22" x14ac:dyDescent="0.25">
      <c r="A264" s="333" t="s">
        <v>310</v>
      </c>
      <c r="B264" s="333" t="s">
        <v>342</v>
      </c>
      <c r="G264" s="333" t="s">
        <v>311</v>
      </c>
      <c r="H264" s="333" t="s">
        <v>309</v>
      </c>
      <c r="I264" s="333" t="s">
        <v>843</v>
      </c>
      <c r="J264" s="335"/>
      <c r="M264" s="333" t="s">
        <v>1593</v>
      </c>
      <c r="N264" s="333" t="s">
        <v>1611</v>
      </c>
      <c r="O264" s="333" t="s">
        <v>1182</v>
      </c>
      <c r="P264" s="333" t="s">
        <v>298</v>
      </c>
      <c r="Q264" s="335">
        <v>19</v>
      </c>
      <c r="R264" s="335">
        <v>66</v>
      </c>
      <c r="U264" s="333" t="s">
        <v>1592</v>
      </c>
      <c r="V264" s="333" t="s">
        <v>554</v>
      </c>
    </row>
    <row r="265" spans="1:22" x14ac:dyDescent="0.25">
      <c r="A265" s="333" t="s">
        <v>310</v>
      </c>
      <c r="B265" s="333" t="s">
        <v>338</v>
      </c>
      <c r="G265" s="333" t="s">
        <v>1415</v>
      </c>
      <c r="H265" s="333" t="s">
        <v>1416</v>
      </c>
      <c r="I265" s="333" t="s">
        <v>500</v>
      </c>
      <c r="J265" s="335">
        <v>6</v>
      </c>
      <c r="M265" s="333" t="s">
        <v>1594</v>
      </c>
      <c r="N265" s="333" t="s">
        <v>1612</v>
      </c>
      <c r="O265" s="333" t="s">
        <v>1182</v>
      </c>
      <c r="P265" s="333" t="s">
        <v>298</v>
      </c>
      <c r="Q265" s="335">
        <v>59</v>
      </c>
      <c r="R265" s="335">
        <v>268</v>
      </c>
      <c r="U265" s="333" t="s">
        <v>1593</v>
      </c>
      <c r="V265" s="333" t="s">
        <v>554</v>
      </c>
    </row>
    <row r="266" spans="1:22" x14ac:dyDescent="0.25">
      <c r="A266" s="333" t="s">
        <v>310</v>
      </c>
      <c r="B266" s="333" t="s">
        <v>351</v>
      </c>
      <c r="G266" s="333" t="s">
        <v>64</v>
      </c>
      <c r="H266" s="333" t="s">
        <v>63</v>
      </c>
      <c r="I266" s="333" t="s">
        <v>843</v>
      </c>
      <c r="J266" s="335">
        <v>0</v>
      </c>
      <c r="M266" s="333" t="s">
        <v>1595</v>
      </c>
      <c r="N266" s="333" t="s">
        <v>1619</v>
      </c>
      <c r="O266" s="333" t="s">
        <v>1182</v>
      </c>
      <c r="P266" s="333" t="s">
        <v>230</v>
      </c>
      <c r="Q266" s="335"/>
      <c r="R266" s="335">
        <v>142</v>
      </c>
      <c r="U266" s="333" t="s">
        <v>1594</v>
      </c>
      <c r="V266" s="333" t="s">
        <v>554</v>
      </c>
    </row>
    <row r="267" spans="1:22" x14ac:dyDescent="0.25">
      <c r="A267" s="333" t="s">
        <v>310</v>
      </c>
      <c r="B267" s="333" t="s">
        <v>347</v>
      </c>
      <c r="G267" s="333" t="s">
        <v>126</v>
      </c>
      <c r="H267" s="333" t="s">
        <v>125</v>
      </c>
      <c r="I267" s="333" t="s">
        <v>500</v>
      </c>
      <c r="J267" s="335">
        <v>35</v>
      </c>
      <c r="M267" s="333" t="s">
        <v>1596</v>
      </c>
      <c r="N267" s="333" t="s">
        <v>1629</v>
      </c>
      <c r="O267" s="333" t="s">
        <v>1182</v>
      </c>
      <c r="P267" s="333" t="s">
        <v>230</v>
      </c>
      <c r="Q267" s="335"/>
      <c r="R267" s="335">
        <v>0</v>
      </c>
      <c r="U267" s="333" t="s">
        <v>1595</v>
      </c>
      <c r="V267" s="333" t="s">
        <v>554</v>
      </c>
    </row>
    <row r="268" spans="1:22" x14ac:dyDescent="0.25">
      <c r="A268" s="333" t="s">
        <v>310</v>
      </c>
      <c r="B268" s="333" t="s">
        <v>349</v>
      </c>
      <c r="G268" s="333" t="s">
        <v>1617</v>
      </c>
      <c r="H268" s="333" t="s">
        <v>1605</v>
      </c>
      <c r="I268" s="333" t="s">
        <v>500</v>
      </c>
      <c r="J268" s="335"/>
      <c r="M268" s="333" t="s">
        <v>1597</v>
      </c>
      <c r="N268" s="333" t="s">
        <v>1630</v>
      </c>
      <c r="O268" s="333" t="s">
        <v>1182</v>
      </c>
      <c r="P268" s="333" t="s">
        <v>230</v>
      </c>
      <c r="Q268" s="335"/>
      <c r="R268" s="335">
        <v>0</v>
      </c>
      <c r="U268" s="333" t="s">
        <v>1596</v>
      </c>
      <c r="V268" s="333" t="s">
        <v>554</v>
      </c>
    </row>
    <row r="269" spans="1:22" x14ac:dyDescent="0.25">
      <c r="A269" s="333" t="s">
        <v>310</v>
      </c>
      <c r="B269" s="333" t="s">
        <v>316</v>
      </c>
      <c r="G269" s="333" t="s">
        <v>353</v>
      </c>
      <c r="H269" s="333" t="s">
        <v>352</v>
      </c>
      <c r="I269" s="333" t="s">
        <v>500</v>
      </c>
      <c r="J269" s="335">
        <v>1371</v>
      </c>
      <c r="M269" s="333" t="s">
        <v>1598</v>
      </c>
      <c r="N269" s="333" t="s">
        <v>1620</v>
      </c>
      <c r="O269" s="333" t="s">
        <v>1182</v>
      </c>
      <c r="P269" s="333" t="s">
        <v>230</v>
      </c>
      <c r="Q269" s="335"/>
      <c r="R269" s="335">
        <v>134</v>
      </c>
      <c r="U269" s="333" t="s">
        <v>1597</v>
      </c>
      <c r="V269" s="333" t="s">
        <v>554</v>
      </c>
    </row>
    <row r="270" spans="1:22" x14ac:dyDescent="0.25">
      <c r="A270" s="333" t="s">
        <v>310</v>
      </c>
      <c r="B270" s="333" t="s">
        <v>311</v>
      </c>
      <c r="G270" s="333" t="s">
        <v>37</v>
      </c>
      <c r="H270" s="333" t="s">
        <v>36</v>
      </c>
      <c r="I270" s="333" t="s">
        <v>843</v>
      </c>
      <c r="J270" s="335">
        <v>0</v>
      </c>
      <c r="M270" s="333" t="s">
        <v>1599</v>
      </c>
      <c r="N270" s="333" t="s">
        <v>1631</v>
      </c>
      <c r="O270" s="333" t="s">
        <v>1182</v>
      </c>
      <c r="P270" s="333" t="s">
        <v>230</v>
      </c>
      <c r="Q270" s="335"/>
      <c r="R270" s="335">
        <v>46</v>
      </c>
      <c r="U270" s="333" t="s">
        <v>1598</v>
      </c>
      <c r="V270" s="333" t="s">
        <v>554</v>
      </c>
    </row>
    <row r="271" spans="1:22" x14ac:dyDescent="0.25">
      <c r="A271" s="333" t="s">
        <v>310</v>
      </c>
      <c r="B271" s="333" t="s">
        <v>353</v>
      </c>
      <c r="G271" s="333" t="s">
        <v>74</v>
      </c>
      <c r="H271" s="333" t="s">
        <v>73</v>
      </c>
      <c r="I271" s="333" t="s">
        <v>843</v>
      </c>
      <c r="J271" s="335">
        <v>0</v>
      </c>
      <c r="M271" s="333" t="s">
        <v>1600</v>
      </c>
      <c r="N271" s="333" t="s">
        <v>1635</v>
      </c>
      <c r="O271" s="333" t="s">
        <v>1182</v>
      </c>
      <c r="P271" s="333" t="s">
        <v>230</v>
      </c>
      <c r="Q271" s="335"/>
      <c r="R271" s="335">
        <v>8</v>
      </c>
      <c r="U271" s="333" t="s">
        <v>1599</v>
      </c>
      <c r="V271" s="333" t="s">
        <v>554</v>
      </c>
    </row>
    <row r="272" spans="1:22" x14ac:dyDescent="0.25">
      <c r="A272" s="333" t="s">
        <v>310</v>
      </c>
      <c r="B272" s="333" t="s">
        <v>1246</v>
      </c>
      <c r="G272" s="333" t="s">
        <v>283</v>
      </c>
      <c r="H272" s="333" t="s">
        <v>282</v>
      </c>
      <c r="I272" s="333" t="s">
        <v>500</v>
      </c>
      <c r="J272" s="335">
        <v>7</v>
      </c>
      <c r="M272" s="333" t="s">
        <v>1601</v>
      </c>
      <c r="N272" s="333" t="s">
        <v>1613</v>
      </c>
      <c r="O272" s="333" t="s">
        <v>1182</v>
      </c>
      <c r="P272" s="333" t="s">
        <v>230</v>
      </c>
      <c r="Q272" s="335"/>
      <c r="R272" s="335">
        <v>44</v>
      </c>
      <c r="U272" s="333" t="s">
        <v>1600</v>
      </c>
      <c r="V272" s="333" t="s">
        <v>554</v>
      </c>
    </row>
    <row r="273" spans="1:22" x14ac:dyDescent="0.25">
      <c r="A273" s="333" t="s">
        <v>310</v>
      </c>
      <c r="B273" s="333" t="s">
        <v>1247</v>
      </c>
      <c r="G273" s="333" t="s">
        <v>26</v>
      </c>
      <c r="H273" s="333" t="s">
        <v>25</v>
      </c>
      <c r="I273" s="333" t="s">
        <v>500</v>
      </c>
      <c r="J273" s="335">
        <v>15</v>
      </c>
      <c r="M273" s="333" t="s">
        <v>1602</v>
      </c>
      <c r="N273" s="333" t="s">
        <v>1614</v>
      </c>
      <c r="O273" s="333" t="s">
        <v>1182</v>
      </c>
      <c r="P273" s="333" t="s">
        <v>230</v>
      </c>
      <c r="Q273" s="335"/>
      <c r="R273" s="335">
        <v>0</v>
      </c>
      <c r="U273" s="333" t="s">
        <v>1601</v>
      </c>
      <c r="V273" s="333" t="s">
        <v>554</v>
      </c>
    </row>
    <row r="274" spans="1:22" x14ac:dyDescent="0.25">
      <c r="A274" s="333" t="s">
        <v>310</v>
      </c>
      <c r="B274" s="333" t="s">
        <v>1248</v>
      </c>
      <c r="G274" s="333" t="s">
        <v>140</v>
      </c>
      <c r="H274" s="333" t="s">
        <v>139</v>
      </c>
      <c r="I274" s="333" t="s">
        <v>500</v>
      </c>
      <c r="J274" s="335">
        <v>12</v>
      </c>
      <c r="M274" s="333" t="s">
        <v>1603</v>
      </c>
      <c r="N274" s="333" t="s">
        <v>1615</v>
      </c>
      <c r="O274" s="333" t="s">
        <v>1182</v>
      </c>
      <c r="P274" s="333" t="s">
        <v>230</v>
      </c>
      <c r="Q274" s="335"/>
      <c r="R274" s="335">
        <v>150</v>
      </c>
      <c r="U274" s="333" t="s">
        <v>1602</v>
      </c>
      <c r="V274" s="333" t="s">
        <v>554</v>
      </c>
    </row>
    <row r="275" spans="1:22" x14ac:dyDescent="0.25">
      <c r="A275" s="333" t="s">
        <v>310</v>
      </c>
      <c r="B275" s="333" t="s">
        <v>1243</v>
      </c>
      <c r="G275" s="333" t="s">
        <v>1245</v>
      </c>
      <c r="H275" s="333" t="s">
        <v>356</v>
      </c>
      <c r="I275" s="333" t="s">
        <v>500</v>
      </c>
      <c r="J275" s="335">
        <v>604</v>
      </c>
      <c r="M275" s="333" t="s">
        <v>1604</v>
      </c>
      <c r="N275" s="333" t="s">
        <v>1616</v>
      </c>
      <c r="O275" s="333" t="s">
        <v>1182</v>
      </c>
      <c r="P275" s="333" t="s">
        <v>230</v>
      </c>
      <c r="Q275" s="335"/>
      <c r="R275" s="335">
        <v>11</v>
      </c>
      <c r="U275" s="333" t="s">
        <v>1603</v>
      </c>
      <c r="V275" s="333" t="s">
        <v>554</v>
      </c>
    </row>
    <row r="276" spans="1:22" x14ac:dyDescent="0.25">
      <c r="A276" s="333" t="s">
        <v>310</v>
      </c>
      <c r="B276" s="333" t="s">
        <v>1245</v>
      </c>
      <c r="G276" s="333" t="s">
        <v>514</v>
      </c>
      <c r="H276" s="333" t="s">
        <v>515</v>
      </c>
      <c r="I276" s="333" t="s">
        <v>843</v>
      </c>
      <c r="J276" s="335">
        <v>0</v>
      </c>
      <c r="M276" s="333" t="s">
        <v>1605</v>
      </c>
      <c r="N276" s="333" t="s">
        <v>1617</v>
      </c>
      <c r="O276" s="333" t="s">
        <v>1182</v>
      </c>
      <c r="P276" s="333" t="s">
        <v>230</v>
      </c>
      <c r="Q276" s="335"/>
      <c r="R276" s="335">
        <v>304</v>
      </c>
      <c r="U276" s="333" t="s">
        <v>1604</v>
      </c>
      <c r="V276" s="333" t="s">
        <v>554</v>
      </c>
    </row>
    <row r="277" spans="1:22" x14ac:dyDescent="0.25">
      <c r="A277" s="333" t="s">
        <v>1621</v>
      </c>
      <c r="B277" s="333" t="s">
        <v>1618</v>
      </c>
      <c r="G277" s="333" t="s">
        <v>373</v>
      </c>
      <c r="H277" s="333" t="s">
        <v>387</v>
      </c>
      <c r="I277" s="333" t="s">
        <v>500</v>
      </c>
      <c r="J277" s="335">
        <v>190</v>
      </c>
      <c r="M277" s="333" t="s">
        <v>1606</v>
      </c>
      <c r="N277" s="333" t="s">
        <v>1618</v>
      </c>
      <c r="O277" s="333" t="s">
        <v>1621</v>
      </c>
      <c r="P277" s="333" t="s">
        <v>1621</v>
      </c>
      <c r="Q277" s="335">
        <v>37</v>
      </c>
      <c r="R277" s="335">
        <v>120</v>
      </c>
      <c r="U277" s="333" t="s">
        <v>1605</v>
      </c>
      <c r="V277" s="333" t="s">
        <v>554</v>
      </c>
    </row>
    <row r="278" spans="1:22" x14ac:dyDescent="0.25">
      <c r="U278" s="333" t="s">
        <v>1606</v>
      </c>
      <c r="V278" s="333" t="s">
        <v>554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sheetPr>
  <dimension ref="A1:M13"/>
  <sheetViews>
    <sheetView workbookViewId="0">
      <selection activeCell="J19" sqref="J19"/>
    </sheetView>
  </sheetViews>
  <sheetFormatPr defaultColWidth="9.140625" defaultRowHeight="15" x14ac:dyDescent="0.25"/>
  <cols>
    <col min="1" max="1" width="6.7109375" style="92" customWidth="1"/>
    <col min="2" max="2" width="34.42578125" style="92" customWidth="1"/>
    <col min="3" max="3" width="22.5703125" style="92" customWidth="1"/>
    <col min="4" max="16384" width="9.140625" style="92"/>
  </cols>
  <sheetData>
    <row r="1" spans="1:13" x14ac:dyDescent="0.25">
      <c r="A1" s="99"/>
      <c r="B1" s="100"/>
      <c r="E1" s="92" t="s">
        <v>945</v>
      </c>
      <c r="K1" s="92" t="s">
        <v>946</v>
      </c>
      <c r="L1" s="92" t="s">
        <v>947</v>
      </c>
    </row>
    <row r="2" spans="1:13" ht="44.25" customHeight="1" x14ac:dyDescent="0.25">
      <c r="A2" s="99"/>
      <c r="B2" s="100" t="s">
        <v>948</v>
      </c>
      <c r="C2" s="100" t="str">
        <f>CONCATENATE("d:\",C3,".kml")</f>
        <v>d:\Kachin_CampList_20161101.kml</v>
      </c>
      <c r="G2" s="92" t="s">
        <v>949</v>
      </c>
      <c r="H2" s="92" t="s">
        <v>950</v>
      </c>
      <c r="K2" s="92" t="s">
        <v>951</v>
      </c>
      <c r="L2" s="92" t="s">
        <v>952</v>
      </c>
      <c r="M2" s="92" t="s">
        <v>953</v>
      </c>
    </row>
    <row r="3" spans="1:13" x14ac:dyDescent="0.25">
      <c r="A3" s="99"/>
      <c r="B3" s="101" t="s">
        <v>954</v>
      </c>
      <c r="C3" s="92" t="str">
        <f>CONCATENATE("Kachin_CampList_",TEXT(Report_Date,"yyyymmdd"))</f>
        <v>Kachin_CampList_20161101</v>
      </c>
      <c r="G3" s="92" t="s">
        <v>955</v>
      </c>
      <c r="H3" s="92" t="s">
        <v>956</v>
      </c>
      <c r="K3" s="92" t="s">
        <v>957</v>
      </c>
      <c r="L3" s="92" t="s">
        <v>958</v>
      </c>
      <c r="M3" s="92" t="s">
        <v>959</v>
      </c>
    </row>
    <row r="4" spans="1:13" x14ac:dyDescent="0.25">
      <c r="A4" s="99"/>
      <c r="B4" s="101"/>
      <c r="G4" s="92" t="s">
        <v>960</v>
      </c>
      <c r="H4" s="92" t="s">
        <v>961</v>
      </c>
      <c r="K4" s="92" t="s">
        <v>962</v>
      </c>
      <c r="L4" s="92" t="s">
        <v>963</v>
      </c>
      <c r="M4" s="92" t="s">
        <v>964</v>
      </c>
    </row>
    <row r="5" spans="1:13" x14ac:dyDescent="0.25">
      <c r="B5" s="92" t="s">
        <v>965</v>
      </c>
      <c r="C5" s="92" t="s">
        <v>966</v>
      </c>
      <c r="K5" s="92" t="s">
        <v>967</v>
      </c>
      <c r="L5" s="92" t="s">
        <v>968</v>
      </c>
      <c r="M5" s="92" t="s">
        <v>969</v>
      </c>
    </row>
    <row r="6" spans="1:13" x14ac:dyDescent="0.25">
      <c r="B6" s="92" t="s">
        <v>970</v>
      </c>
      <c r="C6" s="92" t="s">
        <v>971</v>
      </c>
      <c r="K6" s="92" t="s">
        <v>972</v>
      </c>
      <c r="L6" s="92" t="s">
        <v>973</v>
      </c>
      <c r="M6" s="92" t="s">
        <v>974</v>
      </c>
    </row>
    <row r="8" spans="1:13" x14ac:dyDescent="0.25">
      <c r="B8" s="92" t="s">
        <v>975</v>
      </c>
      <c r="C8" s="92" t="s">
        <v>976</v>
      </c>
    </row>
    <row r="9" spans="1:13" x14ac:dyDescent="0.25">
      <c r="B9" s="92" t="s">
        <v>977</v>
      </c>
      <c r="C9" s="92" t="s">
        <v>978</v>
      </c>
      <c r="D9" s="92" t="s">
        <v>979</v>
      </c>
    </row>
    <row r="10" spans="1:13" x14ac:dyDescent="0.25">
      <c r="B10" s="92" t="s">
        <v>980</v>
      </c>
      <c r="C10" s="92" t="s">
        <v>981</v>
      </c>
    </row>
    <row r="11" spans="1:13" x14ac:dyDescent="0.25">
      <c r="B11" s="92" t="s">
        <v>982</v>
      </c>
      <c r="C11" s="92" t="s">
        <v>983</v>
      </c>
    </row>
    <row r="13" spans="1:13" x14ac:dyDescent="0.25">
      <c r="B13" s="92" t="s">
        <v>984</v>
      </c>
      <c r="C13" s="92" t="s">
        <v>985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S25"/>
  <sheetViews>
    <sheetView showZeros="0" workbookViewId="0">
      <selection activeCell="B24" sqref="B24"/>
    </sheetView>
  </sheetViews>
  <sheetFormatPr defaultRowHeight="15" x14ac:dyDescent="0.2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92" customWidth="1"/>
    <col min="12" max="12" width="15.28515625" customWidth="1"/>
    <col min="13" max="13" width="15.28515625" style="92" customWidth="1"/>
    <col min="14" max="14" width="14.85546875" customWidth="1"/>
    <col min="16" max="16" width="22.5703125" customWidth="1"/>
    <col min="17" max="17" width="21.42578125" customWidth="1"/>
  </cols>
  <sheetData>
    <row r="1" spans="1:19" s="31" customFormat="1" x14ac:dyDescent="0.25">
      <c r="A1" s="31" t="s">
        <v>485</v>
      </c>
      <c r="B1" s="31" t="s">
        <v>487</v>
      </c>
      <c r="C1" s="31" t="s">
        <v>486</v>
      </c>
      <c r="D1" s="31" t="s">
        <v>410</v>
      </c>
      <c r="E1" s="31" t="s">
        <v>489</v>
      </c>
      <c r="F1" s="31" t="s">
        <v>488</v>
      </c>
      <c r="J1" s="2" t="s">
        <v>395</v>
      </c>
      <c r="K1" s="2"/>
      <c r="L1" s="2" t="s">
        <v>380</v>
      </c>
      <c r="M1" s="2"/>
      <c r="N1" s="2" t="s">
        <v>553</v>
      </c>
      <c r="O1" s="2"/>
      <c r="P1" s="2" t="s">
        <v>401</v>
      </c>
      <c r="Q1" s="2" t="s">
        <v>499</v>
      </c>
      <c r="R1"/>
      <c r="S1" s="2" t="s">
        <v>1302</v>
      </c>
    </row>
    <row r="2" spans="1:19" x14ac:dyDescent="0.25">
      <c r="A2" t="s">
        <v>435</v>
      </c>
      <c r="B2" t="s">
        <v>476</v>
      </c>
      <c r="C2" t="s">
        <v>466</v>
      </c>
      <c r="D2" t="s">
        <v>469</v>
      </c>
      <c r="E2" s="92">
        <v>12</v>
      </c>
      <c r="F2">
        <v>2</v>
      </c>
      <c r="J2" s="35" t="s">
        <v>380</v>
      </c>
      <c r="K2" s="35"/>
      <c r="L2" s="35" t="s">
        <v>5</v>
      </c>
      <c r="M2" s="35"/>
      <c r="N2" s="35" t="s">
        <v>146</v>
      </c>
      <c r="O2" s="35"/>
      <c r="P2" s="35" t="s">
        <v>396</v>
      </c>
      <c r="Q2" s="35" t="s">
        <v>494</v>
      </c>
      <c r="S2" t="s">
        <v>1304</v>
      </c>
    </row>
    <row r="3" spans="1:19" x14ac:dyDescent="0.25">
      <c r="A3" t="s">
        <v>1218</v>
      </c>
      <c r="B3" t="s">
        <v>1220</v>
      </c>
      <c r="C3" t="s">
        <v>1221</v>
      </c>
      <c r="D3" t="s">
        <v>1222</v>
      </c>
      <c r="E3" s="92">
        <v>12</v>
      </c>
      <c r="F3">
        <v>1</v>
      </c>
      <c r="J3" s="35" t="s">
        <v>381</v>
      </c>
      <c r="K3" s="35"/>
      <c r="L3" s="35" t="s">
        <v>27</v>
      </c>
      <c r="M3" s="35"/>
      <c r="N3" s="35" t="s">
        <v>166</v>
      </c>
      <c r="O3" s="35"/>
      <c r="P3" s="35" t="s">
        <v>397</v>
      </c>
      <c r="Q3" s="35" t="s">
        <v>495</v>
      </c>
      <c r="S3" t="s">
        <v>1305</v>
      </c>
    </row>
    <row r="4" spans="1:19" x14ac:dyDescent="0.25">
      <c r="A4" t="s">
        <v>455</v>
      </c>
      <c r="B4" t="s">
        <v>477</v>
      </c>
      <c r="C4" t="s">
        <v>462</v>
      </c>
      <c r="D4" t="s">
        <v>472</v>
      </c>
      <c r="E4" s="92">
        <v>12</v>
      </c>
      <c r="F4">
        <v>1</v>
      </c>
      <c r="J4" s="35" t="s">
        <v>553</v>
      </c>
      <c r="K4" s="35"/>
      <c r="L4" s="35" t="s">
        <v>527</v>
      </c>
      <c r="M4" s="35"/>
      <c r="N4" s="35" t="s">
        <v>230</v>
      </c>
      <c r="O4" s="35"/>
      <c r="P4" s="35" t="s">
        <v>398</v>
      </c>
      <c r="Q4" s="35" t="s">
        <v>493</v>
      </c>
    </row>
    <row r="5" spans="1:19" x14ac:dyDescent="0.25">
      <c r="A5" t="s">
        <v>436</v>
      </c>
      <c r="B5" t="s">
        <v>478</v>
      </c>
      <c r="C5" t="s">
        <v>467</v>
      </c>
      <c r="D5" t="s">
        <v>470</v>
      </c>
      <c r="E5" s="92">
        <v>12</v>
      </c>
      <c r="F5">
        <v>1</v>
      </c>
      <c r="J5" s="2"/>
      <c r="K5" s="2"/>
      <c r="L5" s="35" t="s">
        <v>363</v>
      </c>
      <c r="M5" s="35"/>
      <c r="N5" s="35" t="s">
        <v>289</v>
      </c>
      <c r="O5" s="35"/>
      <c r="P5" s="35" t="s">
        <v>399</v>
      </c>
      <c r="Q5" s="35"/>
    </row>
    <row r="6" spans="1:19" x14ac:dyDescent="0.25">
      <c r="A6" t="s">
        <v>595</v>
      </c>
      <c r="B6" t="s">
        <v>479</v>
      </c>
      <c r="C6" t="s">
        <v>471</v>
      </c>
      <c r="D6" t="s">
        <v>475</v>
      </c>
      <c r="E6" s="92">
        <v>12</v>
      </c>
      <c r="F6">
        <v>2</v>
      </c>
      <c r="J6" s="35"/>
      <c r="K6" s="35"/>
      <c r="L6" s="35" t="s">
        <v>144</v>
      </c>
      <c r="M6" s="35"/>
      <c r="N6" s="35" t="s">
        <v>298</v>
      </c>
      <c r="O6" s="35"/>
      <c r="P6" s="35" t="s">
        <v>400</v>
      </c>
      <c r="Q6" s="35"/>
    </row>
    <row r="7" spans="1:19" x14ac:dyDescent="0.25">
      <c r="A7" t="s">
        <v>404</v>
      </c>
      <c r="B7" t="s">
        <v>480</v>
      </c>
      <c r="C7" t="s">
        <v>463</v>
      </c>
      <c r="D7" t="s">
        <v>473</v>
      </c>
      <c r="E7" s="92">
        <v>12</v>
      </c>
      <c r="F7">
        <v>1</v>
      </c>
      <c r="J7" s="35"/>
      <c r="K7" s="35"/>
      <c r="L7" s="92" t="s">
        <v>892</v>
      </c>
      <c r="N7" s="35" t="s">
        <v>779</v>
      </c>
      <c r="O7" s="35"/>
      <c r="P7" s="35"/>
      <c r="Q7" s="35"/>
    </row>
    <row r="8" spans="1:19" x14ac:dyDescent="0.25">
      <c r="A8" t="s">
        <v>456</v>
      </c>
      <c r="B8" t="s">
        <v>481</v>
      </c>
      <c r="C8" t="s">
        <v>464</v>
      </c>
      <c r="D8" t="s">
        <v>474</v>
      </c>
      <c r="E8" s="92">
        <v>12</v>
      </c>
      <c r="F8">
        <v>1</v>
      </c>
      <c r="J8" s="35"/>
      <c r="K8" s="35"/>
      <c r="L8" s="35" t="s">
        <v>151</v>
      </c>
      <c r="M8" s="35"/>
      <c r="O8" s="35"/>
      <c r="P8" s="35"/>
      <c r="Q8" s="35"/>
    </row>
    <row r="9" spans="1:19" x14ac:dyDescent="0.25">
      <c r="A9" t="s">
        <v>457</v>
      </c>
      <c r="B9" t="s">
        <v>482</v>
      </c>
      <c r="C9" t="s">
        <v>465</v>
      </c>
      <c r="D9" t="s">
        <v>468</v>
      </c>
      <c r="E9" s="92">
        <v>12</v>
      </c>
      <c r="F9">
        <v>1</v>
      </c>
      <c r="J9" s="35"/>
      <c r="K9" s="35"/>
      <c r="L9" s="35" t="s">
        <v>173</v>
      </c>
      <c r="M9" s="35"/>
      <c r="N9" s="35"/>
      <c r="O9" s="35"/>
      <c r="P9" s="35"/>
      <c r="Q9" s="35"/>
    </row>
    <row r="10" spans="1:19" x14ac:dyDescent="0.25">
      <c r="A10" t="s">
        <v>577</v>
      </c>
      <c r="B10" s="65" t="s">
        <v>579</v>
      </c>
      <c r="C10" s="65" t="s">
        <v>581</v>
      </c>
      <c r="D10" s="65" t="s">
        <v>583</v>
      </c>
      <c r="E10" s="92">
        <v>12</v>
      </c>
      <c r="F10" s="65">
        <v>1</v>
      </c>
      <c r="J10" s="35"/>
      <c r="K10" s="35"/>
      <c r="L10" s="35" t="s">
        <v>180</v>
      </c>
      <c r="M10" s="35"/>
      <c r="N10" s="35"/>
      <c r="O10" s="35"/>
      <c r="P10" s="35"/>
      <c r="Q10" s="35"/>
    </row>
    <row r="11" spans="1:19" x14ac:dyDescent="0.25">
      <c r="A11" t="s">
        <v>578</v>
      </c>
      <c r="B11" s="65" t="s">
        <v>580</v>
      </c>
      <c r="C11" s="65" t="s">
        <v>582</v>
      </c>
      <c r="D11" s="65" t="s">
        <v>584</v>
      </c>
      <c r="E11" s="92">
        <v>12</v>
      </c>
      <c r="F11" s="65">
        <v>5</v>
      </c>
      <c r="J11" s="35"/>
      <c r="K11" s="35"/>
      <c r="L11" s="35" t="s">
        <v>185</v>
      </c>
      <c r="M11" s="35"/>
      <c r="N11" s="35"/>
      <c r="O11" s="35"/>
      <c r="P11" s="35"/>
      <c r="Q11" s="35"/>
    </row>
    <row r="12" spans="1:19" x14ac:dyDescent="0.25">
      <c r="A12" t="s">
        <v>987</v>
      </c>
      <c r="B12" s="92" t="s">
        <v>988</v>
      </c>
      <c r="C12" s="92" t="s">
        <v>989</v>
      </c>
      <c r="D12" s="92" t="s">
        <v>990</v>
      </c>
      <c r="E12" s="92">
        <v>12</v>
      </c>
      <c r="F12">
        <v>2</v>
      </c>
      <c r="J12" s="35"/>
      <c r="K12" s="35"/>
      <c r="L12" s="35" t="s">
        <v>379</v>
      </c>
      <c r="M12" s="35"/>
      <c r="N12" s="35"/>
      <c r="O12" s="35"/>
      <c r="P12" s="35"/>
      <c r="Q12" s="35"/>
    </row>
    <row r="13" spans="1:19" x14ac:dyDescent="0.25">
      <c r="A13" s="92" t="s">
        <v>991</v>
      </c>
      <c r="B13" s="92" t="s">
        <v>992</v>
      </c>
      <c r="C13" s="92" t="s">
        <v>993</v>
      </c>
      <c r="D13" s="92" t="s">
        <v>994</v>
      </c>
      <c r="E13" s="92">
        <v>12</v>
      </c>
      <c r="F13">
        <v>3</v>
      </c>
      <c r="J13" s="35"/>
      <c r="K13" s="35"/>
      <c r="L13" s="35" t="s">
        <v>237</v>
      </c>
      <c r="M13" s="35"/>
      <c r="N13" s="35"/>
      <c r="O13" s="35"/>
      <c r="P13" s="35"/>
      <c r="Q13" s="35"/>
    </row>
    <row r="14" spans="1:19" x14ac:dyDescent="0.25">
      <c r="A14" t="s">
        <v>995</v>
      </c>
      <c r="B14" s="92" t="s">
        <v>996</v>
      </c>
      <c r="C14" s="92" t="s">
        <v>997</v>
      </c>
      <c r="D14" s="92" t="s">
        <v>998</v>
      </c>
      <c r="E14" s="92">
        <v>12</v>
      </c>
      <c r="F14">
        <v>10</v>
      </c>
      <c r="J14" s="35"/>
      <c r="K14" s="35"/>
      <c r="L14" s="35" t="s">
        <v>300</v>
      </c>
      <c r="M14" s="35"/>
      <c r="N14" s="35"/>
      <c r="O14" s="35"/>
      <c r="P14" s="35"/>
      <c r="Q14" s="35"/>
    </row>
    <row r="15" spans="1:19" x14ac:dyDescent="0.25">
      <c r="A15" t="s">
        <v>1111</v>
      </c>
      <c r="B15" t="s">
        <v>1112</v>
      </c>
      <c r="C15" s="92" t="s">
        <v>1113</v>
      </c>
      <c r="D15" s="92" t="s">
        <v>1114</v>
      </c>
      <c r="E15" s="92">
        <v>24</v>
      </c>
      <c r="F15">
        <v>2</v>
      </c>
      <c r="J15" s="35"/>
      <c r="K15" s="35"/>
      <c r="L15" s="35" t="s">
        <v>302</v>
      </c>
      <c r="M15" s="35"/>
      <c r="N15" s="35"/>
      <c r="O15" s="35"/>
      <c r="P15" s="35"/>
      <c r="Q15" s="35"/>
    </row>
    <row r="16" spans="1:19" x14ac:dyDescent="0.25">
      <c r="A16" t="s">
        <v>1306</v>
      </c>
      <c r="B16" t="s">
        <v>1308</v>
      </c>
      <c r="C16" t="s">
        <v>1309</v>
      </c>
      <c r="D16" t="s">
        <v>1310</v>
      </c>
      <c r="E16">
        <v>12</v>
      </c>
      <c r="F16">
        <v>1</v>
      </c>
      <c r="J16" s="35"/>
      <c r="K16" s="35"/>
      <c r="L16" s="35" t="s">
        <v>808</v>
      </c>
      <c r="M16" s="35"/>
      <c r="N16" s="35"/>
      <c r="O16" s="35"/>
      <c r="P16" s="35"/>
      <c r="Q16" s="35"/>
    </row>
    <row r="17" spans="1:17" x14ac:dyDescent="0.25">
      <c r="J17" s="35"/>
      <c r="K17" s="35"/>
      <c r="L17" s="35" t="s">
        <v>310</v>
      </c>
      <c r="M17" s="35"/>
      <c r="N17" s="35"/>
      <c r="O17" s="35"/>
      <c r="P17" s="35"/>
      <c r="Q17" s="35"/>
    </row>
    <row r="18" spans="1:17" x14ac:dyDescent="0.25">
      <c r="J18" s="35"/>
      <c r="K18" s="35"/>
      <c r="L18" s="35" t="s">
        <v>1418</v>
      </c>
      <c r="M18" s="35"/>
      <c r="N18" s="35"/>
      <c r="O18" s="35"/>
      <c r="P18" s="35"/>
      <c r="Q18" s="35"/>
    </row>
    <row r="19" spans="1:17" x14ac:dyDescent="0.25">
      <c r="J19" s="35"/>
      <c r="K19" s="35"/>
      <c r="L19" s="35"/>
      <c r="M19" s="35"/>
      <c r="N19" s="35"/>
      <c r="O19" s="35"/>
      <c r="P19" s="35"/>
      <c r="Q19" s="35"/>
    </row>
    <row r="20" spans="1:17" x14ac:dyDescent="0.25">
      <c r="A20" s="2"/>
      <c r="J20" s="35"/>
      <c r="K20" s="35"/>
      <c r="L20" s="35"/>
      <c r="M20" s="35"/>
      <c r="N20" s="35"/>
      <c r="O20" s="35"/>
      <c r="P20" s="35"/>
      <c r="Q20" s="35"/>
    </row>
    <row r="21" spans="1:17" x14ac:dyDescent="0.25">
      <c r="L21" s="35"/>
    </row>
    <row r="22" spans="1:17" x14ac:dyDescent="0.25">
      <c r="L22" s="35"/>
    </row>
    <row r="23" spans="1:17" x14ac:dyDescent="0.25">
      <c r="A23" t="s">
        <v>1149</v>
      </c>
      <c r="B23" s="51">
        <v>42675</v>
      </c>
      <c r="L23" s="35"/>
    </row>
    <row r="24" spans="1:17" x14ac:dyDescent="0.25">
      <c r="A24" t="s">
        <v>1150</v>
      </c>
      <c r="B24" s="146">
        <v>41640</v>
      </c>
      <c r="C24" s="146"/>
      <c r="L24" s="35"/>
    </row>
    <row r="25" spans="1:17" x14ac:dyDescent="0.25">
      <c r="B25" s="146"/>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E183"/>
  <sheetViews>
    <sheetView topLeftCell="A55" zoomScale="115" zoomScaleNormal="115" workbookViewId="0">
      <selection activeCell="B48" sqref="B48"/>
    </sheetView>
  </sheetViews>
  <sheetFormatPr defaultRowHeight="15" x14ac:dyDescent="0.25"/>
  <cols>
    <col min="1" max="1" width="20" style="92" customWidth="1"/>
    <col min="2" max="2" width="23" style="92" customWidth="1"/>
    <col min="3" max="3" width="11.7109375" style="153" customWidth="1"/>
    <col min="5" max="5" width="15.28515625" bestFit="1" customWidth="1"/>
  </cols>
  <sheetData>
    <row r="1" spans="1:5" s="155" customFormat="1" x14ac:dyDescent="0.25">
      <c r="A1" s="154" t="s">
        <v>925</v>
      </c>
      <c r="B1" s="156" t="s">
        <v>1192</v>
      </c>
      <c r="C1" s="157" t="s">
        <v>1193</v>
      </c>
    </row>
    <row r="2" spans="1:5" x14ac:dyDescent="0.25">
      <c r="A2" s="98" t="s">
        <v>236</v>
      </c>
      <c r="B2" s="143" t="s">
        <v>671</v>
      </c>
      <c r="C2" s="150">
        <v>3.1341427522963001</v>
      </c>
      <c r="E2" s="653" t="s">
        <v>13</v>
      </c>
    </row>
    <row r="3" spans="1:5" x14ac:dyDescent="0.25">
      <c r="A3" s="98" t="s">
        <v>268</v>
      </c>
      <c r="B3" s="143" t="s">
        <v>671</v>
      </c>
      <c r="C3" s="150">
        <v>3.8820329084732199</v>
      </c>
      <c r="E3" s="654" t="s">
        <v>378</v>
      </c>
    </row>
    <row r="4" spans="1:5" x14ac:dyDescent="0.25">
      <c r="A4" s="98" t="s">
        <v>250</v>
      </c>
      <c r="B4" s="143" t="s">
        <v>671</v>
      </c>
      <c r="C4" s="150">
        <v>2.3045478259125423</v>
      </c>
      <c r="E4" s="653" t="s">
        <v>1121</v>
      </c>
    </row>
    <row r="5" spans="1:5" x14ac:dyDescent="0.25">
      <c r="A5" s="98" t="s">
        <v>248</v>
      </c>
      <c r="B5" s="143" t="s">
        <v>671</v>
      </c>
      <c r="C5" s="150">
        <v>3.3637010801853577</v>
      </c>
      <c r="E5" s="654" t="s">
        <v>1259</v>
      </c>
    </row>
    <row r="6" spans="1:5" x14ac:dyDescent="0.25">
      <c r="A6" s="98" t="s">
        <v>274</v>
      </c>
      <c r="B6" s="143" t="s">
        <v>671</v>
      </c>
      <c r="C6" s="150">
        <v>2.0123527499589278</v>
      </c>
      <c r="E6" s="653" t="s">
        <v>1270</v>
      </c>
    </row>
    <row r="7" spans="1:5" x14ac:dyDescent="0.25">
      <c r="A7" s="98" t="s">
        <v>276</v>
      </c>
      <c r="B7" s="143" t="s">
        <v>671</v>
      </c>
      <c r="C7" s="150">
        <v>2.9133254097712102</v>
      </c>
      <c r="E7" s="656" t="s">
        <v>1271</v>
      </c>
    </row>
    <row r="8" spans="1:5" x14ac:dyDescent="0.25">
      <c r="A8" s="98" t="s">
        <v>278</v>
      </c>
      <c r="B8" s="143" t="s">
        <v>671</v>
      </c>
      <c r="C8" s="150">
        <v>4.9021696969220816</v>
      </c>
      <c r="E8" s="655" t="s">
        <v>1299</v>
      </c>
    </row>
    <row r="9" spans="1:5" x14ac:dyDescent="0.25">
      <c r="A9" s="144" t="s">
        <v>260</v>
      </c>
      <c r="B9" s="143" t="s">
        <v>671</v>
      </c>
      <c r="C9" s="150">
        <v>5.4145379230647226</v>
      </c>
      <c r="E9" s="656" t="s">
        <v>1301</v>
      </c>
    </row>
    <row r="10" spans="1:5" x14ac:dyDescent="0.25">
      <c r="A10" s="144" t="s">
        <v>280</v>
      </c>
      <c r="B10" s="143" t="s">
        <v>671</v>
      </c>
      <c r="C10" s="150">
        <v>6.6198004689728469</v>
      </c>
      <c r="E10" s="653" t="s">
        <v>1416</v>
      </c>
    </row>
    <row r="11" spans="1:5" x14ac:dyDescent="0.25">
      <c r="A11" s="98" t="s">
        <v>244</v>
      </c>
      <c r="B11" s="143" t="s">
        <v>671</v>
      </c>
      <c r="C11" s="150">
        <v>1.1985969617964649</v>
      </c>
      <c r="E11" s="656" t="s">
        <v>1101</v>
      </c>
    </row>
    <row r="12" spans="1:5" x14ac:dyDescent="0.25">
      <c r="A12" s="98" t="s">
        <v>246</v>
      </c>
      <c r="B12" s="143" t="s">
        <v>671</v>
      </c>
      <c r="C12" s="150">
        <v>1.3510454549069482</v>
      </c>
      <c r="E12" s="653" t="s">
        <v>1258</v>
      </c>
    </row>
    <row r="13" spans="1:5" x14ac:dyDescent="0.25">
      <c r="A13" s="98" t="s">
        <v>242</v>
      </c>
      <c r="B13" s="143" t="s">
        <v>671</v>
      </c>
      <c r="C13" s="150">
        <v>1.5295244799681529</v>
      </c>
      <c r="E13" s="654" t="s">
        <v>1316</v>
      </c>
    </row>
    <row r="14" spans="1:5" x14ac:dyDescent="0.25">
      <c r="A14" s="98" t="s">
        <v>256</v>
      </c>
      <c r="B14" s="143" t="s">
        <v>671</v>
      </c>
      <c r="C14" s="150">
        <v>2.8164250706222882</v>
      </c>
      <c r="E14" s="655" t="s">
        <v>1401</v>
      </c>
    </row>
    <row r="15" spans="1:5" x14ac:dyDescent="0.25">
      <c r="A15" s="98" t="s">
        <v>284</v>
      </c>
      <c r="B15" s="143" t="s">
        <v>671</v>
      </c>
      <c r="C15" s="150">
        <v>4.262018365878137</v>
      </c>
      <c r="E15" s="656" t="s">
        <v>1402</v>
      </c>
    </row>
    <row r="16" spans="1:5" x14ac:dyDescent="0.25">
      <c r="A16" s="98" t="s">
        <v>239</v>
      </c>
      <c r="B16" s="143" t="s">
        <v>671</v>
      </c>
      <c r="C16" s="150">
        <v>3.3602711423118103</v>
      </c>
      <c r="E16" s="655" t="s">
        <v>1403</v>
      </c>
    </row>
    <row r="17" spans="1:5" x14ac:dyDescent="0.25">
      <c r="A17" s="98" t="s">
        <v>258</v>
      </c>
      <c r="B17" s="143" t="s">
        <v>695</v>
      </c>
      <c r="C17" s="150">
        <v>3.3362307375127798</v>
      </c>
      <c r="E17" s="656" t="s">
        <v>1404</v>
      </c>
    </row>
    <row r="18" spans="1:5" x14ac:dyDescent="0.25">
      <c r="A18" s="98" t="s">
        <v>266</v>
      </c>
      <c r="B18" s="143" t="s">
        <v>671</v>
      </c>
      <c r="C18" s="150">
        <v>1.3751794210741128</v>
      </c>
      <c r="E18" s="655" t="s">
        <v>1405</v>
      </c>
    </row>
    <row r="19" spans="1:5" x14ac:dyDescent="0.25">
      <c r="A19" s="98" t="s">
        <v>252</v>
      </c>
      <c r="B19" s="143" t="s">
        <v>671</v>
      </c>
      <c r="C19" s="150">
        <v>2.4647367211404561</v>
      </c>
      <c r="E19" s="656" t="s">
        <v>1406</v>
      </c>
    </row>
    <row r="20" spans="1:5" x14ac:dyDescent="0.25">
      <c r="A20" s="98" t="s">
        <v>254</v>
      </c>
      <c r="B20" s="143" t="s">
        <v>671</v>
      </c>
      <c r="C20" s="150">
        <v>1.8563710010113432</v>
      </c>
      <c r="E20" s="655" t="s">
        <v>1407</v>
      </c>
    </row>
    <row r="21" spans="1:5" x14ac:dyDescent="0.25">
      <c r="A21" s="98" t="s">
        <v>262</v>
      </c>
      <c r="B21" s="143" t="s">
        <v>671</v>
      </c>
      <c r="C21" s="150">
        <v>10.744749696609457</v>
      </c>
      <c r="E21" s="656" t="s">
        <v>1408</v>
      </c>
    </row>
    <row r="22" spans="1:5" x14ac:dyDescent="0.25">
      <c r="A22" s="98" t="s">
        <v>264</v>
      </c>
      <c r="B22" s="143" t="s">
        <v>671</v>
      </c>
      <c r="C22" s="150">
        <v>10.15228229456989</v>
      </c>
    </row>
    <row r="23" spans="1:5" x14ac:dyDescent="0.25">
      <c r="A23" s="98" t="s">
        <v>282</v>
      </c>
      <c r="B23" s="143" t="s">
        <v>671</v>
      </c>
      <c r="C23" s="150">
        <v>1.7877148351104664</v>
      </c>
    </row>
    <row r="24" spans="1:5" x14ac:dyDescent="0.25">
      <c r="A24" s="98" t="s">
        <v>241</v>
      </c>
      <c r="B24" s="143" t="s">
        <v>671</v>
      </c>
      <c r="C24" s="150">
        <v>2.6190942927115026</v>
      </c>
    </row>
    <row r="25" spans="1:5" x14ac:dyDescent="0.25">
      <c r="A25" s="98" t="s">
        <v>270</v>
      </c>
      <c r="B25" s="143" t="s">
        <v>671</v>
      </c>
      <c r="C25" s="150">
        <v>4.037940696665812</v>
      </c>
    </row>
    <row r="26" spans="1:5" x14ac:dyDescent="0.25">
      <c r="A26" s="98" t="s">
        <v>341</v>
      </c>
      <c r="B26" s="143" t="s">
        <v>695</v>
      </c>
      <c r="C26" s="150">
        <v>0.4474205416025816</v>
      </c>
    </row>
    <row r="27" spans="1:5" x14ac:dyDescent="0.25">
      <c r="A27" s="98" t="s">
        <v>350</v>
      </c>
      <c r="B27" s="143" t="s">
        <v>695</v>
      </c>
      <c r="C27" s="150">
        <v>1.0367202051285227</v>
      </c>
    </row>
    <row r="28" spans="1:5" x14ac:dyDescent="0.25">
      <c r="A28" s="151" t="s">
        <v>319</v>
      </c>
      <c r="B28" s="143" t="s">
        <v>695</v>
      </c>
      <c r="C28" s="150">
        <v>1.1134935940025397</v>
      </c>
    </row>
    <row r="29" spans="1:5" x14ac:dyDescent="0.25">
      <c r="A29" s="98" t="s">
        <v>312</v>
      </c>
      <c r="B29" s="143" t="s">
        <v>695</v>
      </c>
      <c r="C29" s="150">
        <v>5.0655036329811631</v>
      </c>
    </row>
    <row r="30" spans="1:5" x14ac:dyDescent="0.25">
      <c r="A30" s="144" t="s">
        <v>329</v>
      </c>
      <c r="B30" s="143" t="s">
        <v>671</v>
      </c>
      <c r="C30" s="150">
        <v>5.7019834469756479</v>
      </c>
    </row>
    <row r="31" spans="1:5" x14ac:dyDescent="0.25">
      <c r="A31" s="98" t="s">
        <v>337</v>
      </c>
      <c r="B31" s="143" t="s">
        <v>695</v>
      </c>
      <c r="C31" s="150">
        <v>0.77827912736780092</v>
      </c>
    </row>
    <row r="32" spans="1:5" x14ac:dyDescent="0.25">
      <c r="A32" s="98" t="s">
        <v>327</v>
      </c>
      <c r="B32" s="143" t="s">
        <v>671</v>
      </c>
      <c r="C32" s="150">
        <v>5.9727739497559158</v>
      </c>
    </row>
    <row r="33" spans="1:3" x14ac:dyDescent="0.25">
      <c r="A33" s="98" t="s">
        <v>317</v>
      </c>
      <c r="B33" s="143" t="s">
        <v>695</v>
      </c>
      <c r="C33" s="150">
        <v>0.37684287609457234</v>
      </c>
    </row>
    <row r="34" spans="1:3" x14ac:dyDescent="0.25">
      <c r="A34" s="98" t="s">
        <v>343</v>
      </c>
      <c r="B34" s="143" t="s">
        <v>671</v>
      </c>
      <c r="C34" s="150">
        <v>6.0275881703713861</v>
      </c>
    </row>
    <row r="35" spans="1:3" x14ac:dyDescent="0.25">
      <c r="A35" s="151" t="s">
        <v>309</v>
      </c>
      <c r="B35" s="143" t="s">
        <v>695</v>
      </c>
      <c r="C35" s="150">
        <v>0.70725493400809891</v>
      </c>
    </row>
    <row r="36" spans="1:3" x14ac:dyDescent="0.25">
      <c r="A36" s="98" t="s">
        <v>348</v>
      </c>
      <c r="B36" s="143" t="s">
        <v>695</v>
      </c>
      <c r="C36" s="150">
        <v>2.4174307716662291</v>
      </c>
    </row>
    <row r="37" spans="1:3" x14ac:dyDescent="0.25">
      <c r="A37" s="98" t="s">
        <v>315</v>
      </c>
      <c r="B37" s="143" t="s">
        <v>695</v>
      </c>
      <c r="C37" s="150">
        <v>0.15089472113650237</v>
      </c>
    </row>
    <row r="38" spans="1:3" x14ac:dyDescent="0.25">
      <c r="A38" s="98" t="s">
        <v>325</v>
      </c>
      <c r="B38" s="143" t="s">
        <v>671</v>
      </c>
      <c r="C38" s="150">
        <v>4.3887485673235673</v>
      </c>
    </row>
    <row r="39" spans="1:3" x14ac:dyDescent="0.25">
      <c r="A39" s="98" t="s">
        <v>323</v>
      </c>
      <c r="B39" s="143" t="s">
        <v>671</v>
      </c>
      <c r="C39" s="150">
        <v>5.2238983299151851</v>
      </c>
    </row>
    <row r="40" spans="1:3" x14ac:dyDescent="0.25">
      <c r="A40" s="98" t="s">
        <v>346</v>
      </c>
      <c r="B40" s="143" t="s">
        <v>1208</v>
      </c>
      <c r="C40" s="150">
        <v>9.3609732231189877</v>
      </c>
    </row>
    <row r="41" spans="1:3" x14ac:dyDescent="0.25">
      <c r="A41" s="98" t="s">
        <v>30</v>
      </c>
      <c r="B41" s="143" t="s">
        <v>791</v>
      </c>
      <c r="C41" s="150">
        <v>0.15809623370782155</v>
      </c>
    </row>
    <row r="42" spans="1:3" x14ac:dyDescent="0.25">
      <c r="A42" s="98" t="s">
        <v>29</v>
      </c>
      <c r="B42" s="143" t="s">
        <v>1195</v>
      </c>
      <c r="C42" s="150">
        <v>19.834999342466848</v>
      </c>
    </row>
    <row r="43" spans="1:3" x14ac:dyDescent="0.25">
      <c r="A43" s="98" t="s">
        <v>33</v>
      </c>
      <c r="B43" s="143" t="s">
        <v>1195</v>
      </c>
      <c r="C43" s="150">
        <v>12.486065224161463</v>
      </c>
    </row>
    <row r="44" spans="1:3" x14ac:dyDescent="0.25">
      <c r="A44" s="98" t="s">
        <v>21</v>
      </c>
      <c r="B44" s="143" t="s">
        <v>637</v>
      </c>
      <c r="C44" s="150">
        <v>1.5797992800898704</v>
      </c>
    </row>
    <row r="45" spans="1:3" x14ac:dyDescent="0.25">
      <c r="A45" s="98" t="s">
        <v>17</v>
      </c>
      <c r="B45" s="143" t="s">
        <v>637</v>
      </c>
      <c r="C45" s="150">
        <v>1.0876401420946245</v>
      </c>
    </row>
    <row r="46" spans="1:3" x14ac:dyDescent="0.25">
      <c r="A46" s="98" t="s">
        <v>4</v>
      </c>
      <c r="B46" s="143" t="s">
        <v>637</v>
      </c>
      <c r="C46" s="150">
        <v>0.78440046838596356</v>
      </c>
    </row>
    <row r="47" spans="1:3" x14ac:dyDescent="0.25">
      <c r="A47" s="98" t="s">
        <v>7</v>
      </c>
      <c r="B47" s="143" t="s">
        <v>637</v>
      </c>
      <c r="C47" s="150">
        <v>0.20824727902294948</v>
      </c>
    </row>
    <row r="48" spans="1:3" x14ac:dyDescent="0.25">
      <c r="A48" s="98" t="s">
        <v>13</v>
      </c>
      <c r="B48" s="143" t="s">
        <v>637</v>
      </c>
      <c r="C48" s="150">
        <v>0.84749304721635399</v>
      </c>
    </row>
    <row r="49" spans="1:3" x14ac:dyDescent="0.25">
      <c r="A49" s="98" t="s">
        <v>25</v>
      </c>
      <c r="B49" s="143" t="s">
        <v>637</v>
      </c>
      <c r="C49" s="150">
        <v>0.87147615879849294</v>
      </c>
    </row>
    <row r="50" spans="1:3" x14ac:dyDescent="0.25">
      <c r="A50" s="144" t="s">
        <v>19</v>
      </c>
      <c r="B50" s="143" t="s">
        <v>662</v>
      </c>
      <c r="C50" s="150">
        <v>8.3788619521763046</v>
      </c>
    </row>
    <row r="51" spans="1:3" x14ac:dyDescent="0.25">
      <c r="A51" s="98" t="s">
        <v>23</v>
      </c>
      <c r="B51" s="143" t="s">
        <v>637</v>
      </c>
      <c r="C51" s="150">
        <v>4.108228790802368</v>
      </c>
    </row>
    <row r="52" spans="1:3" x14ac:dyDescent="0.25">
      <c r="A52" s="98" t="s">
        <v>208</v>
      </c>
      <c r="B52" s="143" t="s">
        <v>662</v>
      </c>
      <c r="C52" s="150">
        <v>0.62513510418653162</v>
      </c>
    </row>
    <row r="53" spans="1:3" x14ac:dyDescent="0.25">
      <c r="A53" s="98" t="s">
        <v>206</v>
      </c>
      <c r="B53" s="143" t="s">
        <v>662</v>
      </c>
      <c r="C53" s="150">
        <v>0.49034468319599833</v>
      </c>
    </row>
    <row r="54" spans="1:3" x14ac:dyDescent="0.25">
      <c r="A54" s="98" t="s">
        <v>216</v>
      </c>
      <c r="B54" s="143" t="s">
        <v>662</v>
      </c>
      <c r="C54" s="150">
        <v>0.32830807173487342</v>
      </c>
    </row>
    <row r="55" spans="1:3" x14ac:dyDescent="0.25">
      <c r="A55" s="98" t="s">
        <v>226</v>
      </c>
      <c r="B55" s="143" t="s">
        <v>1205</v>
      </c>
      <c r="C55" s="150">
        <v>14.236592976936194</v>
      </c>
    </row>
    <row r="56" spans="1:3" x14ac:dyDescent="0.25">
      <c r="A56" s="98" t="s">
        <v>212</v>
      </c>
      <c r="B56" s="143" t="s">
        <v>662</v>
      </c>
      <c r="C56" s="150">
        <v>17.689123339899055</v>
      </c>
    </row>
    <row r="57" spans="1:3" x14ac:dyDescent="0.25">
      <c r="A57" s="98" t="s">
        <v>201</v>
      </c>
      <c r="B57" s="143" t="s">
        <v>662</v>
      </c>
      <c r="C57" s="150">
        <v>2.4411071835305544</v>
      </c>
    </row>
    <row r="58" spans="1:3" x14ac:dyDescent="0.25">
      <c r="A58" s="98" t="s">
        <v>203</v>
      </c>
      <c r="B58" s="143" t="s">
        <v>662</v>
      </c>
      <c r="C58" s="150">
        <v>17.282528446236295</v>
      </c>
    </row>
    <row r="59" spans="1:3" x14ac:dyDescent="0.25">
      <c r="A59" s="98" t="s">
        <v>199</v>
      </c>
      <c r="B59" s="143" t="s">
        <v>1205</v>
      </c>
      <c r="C59" s="150">
        <v>19.860265975801305</v>
      </c>
    </row>
    <row r="60" spans="1:3" x14ac:dyDescent="0.25">
      <c r="A60" s="151" t="s">
        <v>220</v>
      </c>
      <c r="B60" s="143" t="s">
        <v>1205</v>
      </c>
      <c r="C60" s="150">
        <v>3.6887624513681017</v>
      </c>
    </row>
    <row r="61" spans="1:3" x14ac:dyDescent="0.25">
      <c r="A61" s="98" t="s">
        <v>150</v>
      </c>
      <c r="B61" s="143" t="s">
        <v>650</v>
      </c>
      <c r="C61" s="150">
        <v>1.0576516850656514</v>
      </c>
    </row>
    <row r="62" spans="1:3" x14ac:dyDescent="0.25">
      <c r="A62" s="98" t="s">
        <v>305</v>
      </c>
      <c r="B62" s="143" t="s">
        <v>621</v>
      </c>
      <c r="C62" s="150">
        <v>0.74396039478864395</v>
      </c>
    </row>
    <row r="63" spans="1:3" x14ac:dyDescent="0.25">
      <c r="A63" s="98" t="s">
        <v>307</v>
      </c>
      <c r="B63" s="143" t="s">
        <v>621</v>
      </c>
      <c r="C63" s="150">
        <v>0.74330366237812662</v>
      </c>
    </row>
    <row r="64" spans="1:3" x14ac:dyDescent="0.25">
      <c r="A64" s="98" t="s">
        <v>222</v>
      </c>
      <c r="B64" s="143" t="s">
        <v>753</v>
      </c>
      <c r="C64" s="150">
        <v>0.77978735578277303</v>
      </c>
    </row>
    <row r="65" spans="1:3" x14ac:dyDescent="0.25">
      <c r="A65" s="98" t="s">
        <v>189</v>
      </c>
      <c r="B65" s="143" t="s">
        <v>753</v>
      </c>
      <c r="C65" s="150">
        <v>0.38934692601696641</v>
      </c>
    </row>
    <row r="66" spans="1:3" x14ac:dyDescent="0.25">
      <c r="A66" s="98" t="s">
        <v>184</v>
      </c>
      <c r="B66" s="143" t="s">
        <v>753</v>
      </c>
      <c r="C66" s="150">
        <v>0.28829825866869707</v>
      </c>
    </row>
    <row r="67" spans="1:3" x14ac:dyDescent="0.25">
      <c r="A67" s="98" t="s">
        <v>228</v>
      </c>
      <c r="B67" s="143" t="s">
        <v>753</v>
      </c>
      <c r="C67" s="150">
        <v>0.77561767807574999</v>
      </c>
    </row>
    <row r="68" spans="1:3" x14ac:dyDescent="0.25">
      <c r="A68" s="98" t="s">
        <v>224</v>
      </c>
      <c r="B68" s="143" t="s">
        <v>753</v>
      </c>
      <c r="C68" s="150">
        <v>1.343152344964242</v>
      </c>
    </row>
    <row r="69" spans="1:3" x14ac:dyDescent="0.25">
      <c r="A69" s="98" t="s">
        <v>143</v>
      </c>
      <c r="B69" s="143" t="s">
        <v>1199</v>
      </c>
      <c r="C69" s="150">
        <v>28.422357500443528</v>
      </c>
    </row>
    <row r="70" spans="1:3" x14ac:dyDescent="0.25">
      <c r="A70" s="151" t="s">
        <v>299</v>
      </c>
      <c r="B70" s="143" t="s">
        <v>800</v>
      </c>
      <c r="C70" s="150">
        <v>1.3759254000531889</v>
      </c>
    </row>
    <row r="71" spans="1:3" x14ac:dyDescent="0.25">
      <c r="A71" s="98" t="s">
        <v>175</v>
      </c>
      <c r="B71" s="143" t="s">
        <v>630</v>
      </c>
      <c r="C71" s="150">
        <v>0.71141459237180937</v>
      </c>
    </row>
    <row r="72" spans="1:3" x14ac:dyDescent="0.25">
      <c r="A72" s="98" t="s">
        <v>172</v>
      </c>
      <c r="B72" s="143" t="s">
        <v>630</v>
      </c>
      <c r="C72" s="150">
        <v>1.815139598767344</v>
      </c>
    </row>
    <row r="73" spans="1:3" x14ac:dyDescent="0.25">
      <c r="A73" s="98" t="s">
        <v>177</v>
      </c>
      <c r="B73" s="143" t="s">
        <v>630</v>
      </c>
      <c r="C73" s="150">
        <v>0.86042374061342075</v>
      </c>
    </row>
    <row r="74" spans="1:3" x14ac:dyDescent="0.25">
      <c r="A74" s="98" t="s">
        <v>179</v>
      </c>
      <c r="B74" s="143" t="s">
        <v>1131</v>
      </c>
      <c r="C74" s="150">
        <v>1.7021273757523427</v>
      </c>
    </row>
    <row r="75" spans="1:3" x14ac:dyDescent="0.25">
      <c r="A75" s="98" t="s">
        <v>99</v>
      </c>
      <c r="B75" s="143" t="s">
        <v>1196</v>
      </c>
      <c r="C75" s="150">
        <v>0.79577754007276646</v>
      </c>
    </row>
    <row r="76" spans="1:3" x14ac:dyDescent="0.25">
      <c r="A76" s="98" t="s">
        <v>107</v>
      </c>
      <c r="B76" s="143" t="s">
        <v>1196</v>
      </c>
      <c r="C76" s="150">
        <v>2.9334852607184256</v>
      </c>
    </row>
    <row r="77" spans="1:3" x14ac:dyDescent="0.25">
      <c r="A77" s="98" t="s">
        <v>139</v>
      </c>
      <c r="B77" s="143" t="s">
        <v>1196</v>
      </c>
      <c r="C77" s="150">
        <v>1.5942018764815451</v>
      </c>
    </row>
    <row r="78" spans="1:3" x14ac:dyDescent="0.25">
      <c r="A78" s="98" t="s">
        <v>71</v>
      </c>
      <c r="B78" s="143" t="s">
        <v>1196</v>
      </c>
      <c r="C78" s="150">
        <v>4.4704963044882238</v>
      </c>
    </row>
    <row r="79" spans="1:3" x14ac:dyDescent="0.25">
      <c r="A79" s="98" t="s">
        <v>356</v>
      </c>
      <c r="B79" s="143" t="s">
        <v>1209</v>
      </c>
      <c r="C79" s="150">
        <v>32.827754639406997</v>
      </c>
    </row>
    <row r="80" spans="1:3" x14ac:dyDescent="0.25">
      <c r="A80" s="98" t="s">
        <v>333</v>
      </c>
      <c r="B80" s="143" t="s">
        <v>1209</v>
      </c>
      <c r="C80" s="150">
        <v>18.198335991626355</v>
      </c>
    </row>
    <row r="81" spans="1:3" x14ac:dyDescent="0.25">
      <c r="A81" s="98" t="s">
        <v>335</v>
      </c>
      <c r="B81" s="143" t="s">
        <v>1209</v>
      </c>
      <c r="C81" s="150">
        <v>21.287604662770121</v>
      </c>
    </row>
    <row r="82" spans="1:3" x14ac:dyDescent="0.25">
      <c r="A82" s="144" t="s">
        <v>352</v>
      </c>
      <c r="B82" s="143" t="s">
        <v>1204</v>
      </c>
      <c r="C82" s="150">
        <v>1.7420415164460403</v>
      </c>
    </row>
    <row r="83" spans="1:3" x14ac:dyDescent="0.25">
      <c r="A83" s="144" t="s">
        <v>314</v>
      </c>
      <c r="B83" s="143" t="s">
        <v>1204</v>
      </c>
      <c r="C83" s="150">
        <v>1.857513522619473</v>
      </c>
    </row>
    <row r="84" spans="1:3" x14ac:dyDescent="0.25">
      <c r="A84" s="98" t="s">
        <v>321</v>
      </c>
      <c r="B84" s="143" t="s">
        <v>1204</v>
      </c>
      <c r="C84" s="150">
        <v>28.888856599204185</v>
      </c>
    </row>
    <row r="85" spans="1:3" x14ac:dyDescent="0.25">
      <c r="A85" s="98" t="s">
        <v>345</v>
      </c>
      <c r="B85" s="143" t="s">
        <v>1204</v>
      </c>
      <c r="C85" s="150">
        <v>20.599512012485512</v>
      </c>
    </row>
    <row r="86" spans="1:3" x14ac:dyDescent="0.25">
      <c r="A86" s="98" t="s">
        <v>195</v>
      </c>
      <c r="B86" s="143" t="s">
        <v>1204</v>
      </c>
      <c r="C86" s="150">
        <v>7.985347533011188</v>
      </c>
    </row>
    <row r="87" spans="1:3" x14ac:dyDescent="0.25">
      <c r="A87" s="98" t="s">
        <v>193</v>
      </c>
      <c r="B87" s="143" t="s">
        <v>1204</v>
      </c>
      <c r="C87" s="150">
        <v>10.953347686331073</v>
      </c>
    </row>
    <row r="88" spans="1:3" x14ac:dyDescent="0.25">
      <c r="A88" s="98" t="s">
        <v>191</v>
      </c>
      <c r="B88" s="143" t="s">
        <v>1205</v>
      </c>
      <c r="C88" s="150">
        <v>18.65617244319267</v>
      </c>
    </row>
    <row r="89" spans="1:3" x14ac:dyDescent="0.25">
      <c r="A89" s="98" t="s">
        <v>218</v>
      </c>
      <c r="B89" s="143" t="s">
        <v>753</v>
      </c>
      <c r="C89" s="150">
        <v>8.953204937938569</v>
      </c>
    </row>
    <row r="90" spans="1:3" x14ac:dyDescent="0.25">
      <c r="A90" s="98" t="s">
        <v>197</v>
      </c>
      <c r="B90" s="143" t="s">
        <v>753</v>
      </c>
      <c r="C90" s="150">
        <v>18.620903555062636</v>
      </c>
    </row>
    <row r="91" spans="1:3" x14ac:dyDescent="0.25">
      <c r="A91" s="98" t="s">
        <v>187</v>
      </c>
      <c r="B91" s="143" t="s">
        <v>1200</v>
      </c>
      <c r="C91" s="150">
        <v>19.796407430638478</v>
      </c>
    </row>
    <row r="92" spans="1:3" x14ac:dyDescent="0.25">
      <c r="A92" s="98" t="s">
        <v>214</v>
      </c>
      <c r="B92" s="143" t="s">
        <v>753</v>
      </c>
      <c r="C92" s="150">
        <v>20.558236360788097</v>
      </c>
    </row>
    <row r="93" spans="1:3" x14ac:dyDescent="0.25">
      <c r="A93" s="98" t="s">
        <v>153</v>
      </c>
      <c r="B93" s="143" t="s">
        <v>1200</v>
      </c>
      <c r="C93" s="150">
        <v>10.509375400480517</v>
      </c>
    </row>
    <row r="94" spans="1:3" x14ac:dyDescent="0.25">
      <c r="A94" s="98" t="s">
        <v>159</v>
      </c>
      <c r="B94" s="143" t="s">
        <v>1200</v>
      </c>
      <c r="C94" s="150">
        <v>9.3704379947870464</v>
      </c>
    </row>
    <row r="95" spans="1:3" x14ac:dyDescent="0.25">
      <c r="A95" s="98" t="s">
        <v>155</v>
      </c>
      <c r="B95" s="143" t="s">
        <v>1200</v>
      </c>
      <c r="C95" s="150">
        <v>9.5650381623500511</v>
      </c>
    </row>
    <row r="96" spans="1:3" x14ac:dyDescent="0.25">
      <c r="A96" s="98" t="s">
        <v>157</v>
      </c>
      <c r="B96" s="143" t="s">
        <v>1200</v>
      </c>
      <c r="C96" s="150">
        <v>12.392289083396149</v>
      </c>
    </row>
    <row r="97" spans="1:3" x14ac:dyDescent="0.25">
      <c r="A97" s="98" t="s">
        <v>87</v>
      </c>
      <c r="B97" s="143" t="s">
        <v>1197</v>
      </c>
      <c r="C97" s="150">
        <v>1.1537462444167914</v>
      </c>
    </row>
    <row r="98" spans="1:3" x14ac:dyDescent="0.25">
      <c r="A98" s="144" t="s">
        <v>339</v>
      </c>
      <c r="B98" s="143" t="s">
        <v>1209</v>
      </c>
      <c r="C98" s="150">
        <v>34.344689881690819</v>
      </c>
    </row>
    <row r="99" spans="1:3" x14ac:dyDescent="0.25">
      <c r="A99" s="98" t="s">
        <v>286</v>
      </c>
      <c r="B99" s="143" t="s">
        <v>1203</v>
      </c>
      <c r="C99" s="150">
        <v>16.668825701583572</v>
      </c>
    </row>
    <row r="100" spans="1:3" x14ac:dyDescent="0.25">
      <c r="A100" s="98" t="s">
        <v>354</v>
      </c>
      <c r="B100" s="143" t="s">
        <v>1209</v>
      </c>
      <c r="C100" s="150">
        <v>17.035515422123492</v>
      </c>
    </row>
    <row r="101" spans="1:3" x14ac:dyDescent="0.25">
      <c r="A101" s="144" t="s">
        <v>272</v>
      </c>
      <c r="B101" s="143" t="s">
        <v>671</v>
      </c>
      <c r="C101" s="150">
        <v>12.627188913244609</v>
      </c>
    </row>
    <row r="102" spans="1:3" x14ac:dyDescent="0.25">
      <c r="A102" s="98" t="s">
        <v>11</v>
      </c>
      <c r="B102" s="143" t="s">
        <v>637</v>
      </c>
      <c r="C102" s="150">
        <v>1.1354007641426449</v>
      </c>
    </row>
    <row r="103" spans="1:3" x14ac:dyDescent="0.25">
      <c r="A103" s="98" t="s">
        <v>91</v>
      </c>
      <c r="B103" s="143" t="s">
        <v>1196</v>
      </c>
      <c r="C103" s="150">
        <v>0.75842119772531946</v>
      </c>
    </row>
    <row r="104" spans="1:3" x14ac:dyDescent="0.25">
      <c r="A104" s="98" t="s">
        <v>119</v>
      </c>
      <c r="B104" s="143" t="s">
        <v>1196</v>
      </c>
      <c r="C104" s="150">
        <v>6.3039408411778268</v>
      </c>
    </row>
    <row r="105" spans="1:3" x14ac:dyDescent="0.25">
      <c r="A105" s="98" t="s">
        <v>51</v>
      </c>
      <c r="B105" s="143" t="s">
        <v>1196</v>
      </c>
      <c r="C105" s="150">
        <v>5.184483270539272</v>
      </c>
    </row>
    <row r="106" spans="1:3" x14ac:dyDescent="0.25">
      <c r="A106" s="98" t="s">
        <v>75</v>
      </c>
      <c r="B106" s="143" t="s">
        <v>1196</v>
      </c>
      <c r="C106" s="150">
        <v>4.8862832644478198</v>
      </c>
    </row>
    <row r="107" spans="1:3" x14ac:dyDescent="0.25">
      <c r="A107" s="98" t="s">
        <v>40</v>
      </c>
      <c r="B107" s="143" t="s">
        <v>1196</v>
      </c>
      <c r="C107" s="150">
        <v>4.1842484710239098</v>
      </c>
    </row>
    <row r="108" spans="1:3" x14ac:dyDescent="0.25">
      <c r="A108" s="98" t="s">
        <v>61</v>
      </c>
      <c r="B108" s="143" t="s">
        <v>1196</v>
      </c>
      <c r="C108" s="150">
        <v>6.4753396248436657</v>
      </c>
    </row>
    <row r="109" spans="1:3" x14ac:dyDescent="0.25">
      <c r="A109" s="98" t="s">
        <v>89</v>
      </c>
      <c r="B109" s="143" t="s">
        <v>1196</v>
      </c>
      <c r="C109" s="150">
        <v>6.7094919928483892</v>
      </c>
    </row>
    <row r="110" spans="1:3" x14ac:dyDescent="0.25">
      <c r="A110" s="98" t="s">
        <v>117</v>
      </c>
      <c r="B110" s="143" t="s">
        <v>1196</v>
      </c>
      <c r="C110" s="150">
        <v>6.2085564346706201</v>
      </c>
    </row>
    <row r="111" spans="1:3" x14ac:dyDescent="0.25">
      <c r="A111" s="98" t="s">
        <v>123</v>
      </c>
      <c r="B111" s="143" t="s">
        <v>1196</v>
      </c>
      <c r="C111" s="150">
        <v>7.419312682373878</v>
      </c>
    </row>
    <row r="112" spans="1:3" x14ac:dyDescent="0.25">
      <c r="A112" s="98" t="s">
        <v>125</v>
      </c>
      <c r="B112" s="143" t="s">
        <v>1196</v>
      </c>
      <c r="C112" s="150">
        <v>4.6754712546149264</v>
      </c>
    </row>
    <row r="113" spans="1:3" x14ac:dyDescent="0.25">
      <c r="A113" s="98" t="s">
        <v>57</v>
      </c>
      <c r="B113" s="143" t="s">
        <v>1197</v>
      </c>
      <c r="C113" s="150">
        <v>23.222739740353646</v>
      </c>
    </row>
    <row r="114" spans="1:3" x14ac:dyDescent="0.25">
      <c r="A114" s="98" t="s">
        <v>42</v>
      </c>
      <c r="B114" s="143" t="s">
        <v>1196</v>
      </c>
      <c r="C114" s="150">
        <v>0.66733171900141897</v>
      </c>
    </row>
    <row r="115" spans="1:3" x14ac:dyDescent="0.25">
      <c r="A115" s="98" t="s">
        <v>45</v>
      </c>
      <c r="B115" s="143" t="s">
        <v>1196</v>
      </c>
      <c r="C115" s="150">
        <v>0.56771790814545575</v>
      </c>
    </row>
    <row r="116" spans="1:3" x14ac:dyDescent="0.25">
      <c r="A116" s="98" t="s">
        <v>46</v>
      </c>
      <c r="B116" s="143" t="s">
        <v>1196</v>
      </c>
      <c r="C116" s="150">
        <v>2.814225084976667</v>
      </c>
    </row>
    <row r="117" spans="1:3" x14ac:dyDescent="0.25">
      <c r="A117" s="98" t="s">
        <v>376</v>
      </c>
      <c r="B117" s="143" t="s">
        <v>637</v>
      </c>
      <c r="C117" s="150">
        <v>4.067486452659054</v>
      </c>
    </row>
    <row r="118" spans="1:3" x14ac:dyDescent="0.25">
      <c r="A118" s="98" t="s">
        <v>377</v>
      </c>
      <c r="B118" s="143" t="s">
        <v>637</v>
      </c>
      <c r="C118" s="150">
        <v>1.9489261822960435</v>
      </c>
    </row>
    <row r="119" spans="1:3" s="333" customFormat="1" x14ac:dyDescent="0.25">
      <c r="A119" s="98" t="s">
        <v>378</v>
      </c>
      <c r="B119" s="143" t="s">
        <v>791</v>
      </c>
      <c r="C119" s="150">
        <v>0</v>
      </c>
    </row>
    <row r="120" spans="1:3" x14ac:dyDescent="0.25">
      <c r="A120" s="98" t="s">
        <v>390</v>
      </c>
      <c r="B120" s="143" t="s">
        <v>650</v>
      </c>
      <c r="C120" s="150">
        <v>0.51447052329458698</v>
      </c>
    </row>
    <row r="121" spans="1:3" x14ac:dyDescent="0.25">
      <c r="A121" s="98" t="s">
        <v>391</v>
      </c>
      <c r="B121" s="143" t="s">
        <v>662</v>
      </c>
      <c r="C121" s="150">
        <v>0.60629049139006752</v>
      </c>
    </row>
    <row r="122" spans="1:3" x14ac:dyDescent="0.25">
      <c r="A122" s="98" t="s">
        <v>392</v>
      </c>
      <c r="B122" s="143" t="s">
        <v>1205</v>
      </c>
      <c r="C122" s="150">
        <v>24.701686141136339</v>
      </c>
    </row>
    <row r="123" spans="1:3" x14ac:dyDescent="0.25">
      <c r="A123" s="98" t="s">
        <v>393</v>
      </c>
      <c r="B123" s="143" t="s">
        <v>621</v>
      </c>
      <c r="C123" s="150">
        <v>2.3794331620169178</v>
      </c>
    </row>
    <row r="124" spans="1:3" x14ac:dyDescent="0.25">
      <c r="A124" s="98" t="s">
        <v>522</v>
      </c>
      <c r="B124" s="143" t="s">
        <v>662</v>
      </c>
      <c r="C124" s="150">
        <v>13.446032768350749</v>
      </c>
    </row>
    <row r="125" spans="1:3" x14ac:dyDescent="0.25">
      <c r="A125" s="151" t="s">
        <v>812</v>
      </c>
      <c r="B125" s="143" t="s">
        <v>810</v>
      </c>
      <c r="C125" s="150">
        <v>0.23004407510846425</v>
      </c>
    </row>
    <row r="126" spans="1:3" x14ac:dyDescent="0.25">
      <c r="A126" s="144" t="s">
        <v>814</v>
      </c>
      <c r="B126" s="143" t="s">
        <v>1204</v>
      </c>
      <c r="C126" s="150">
        <v>2.3307568207764655</v>
      </c>
    </row>
    <row r="127" spans="1:3" x14ac:dyDescent="0.25">
      <c r="A127" s="151" t="s">
        <v>863</v>
      </c>
      <c r="B127" s="143" t="s">
        <v>1195</v>
      </c>
      <c r="C127" s="150">
        <v>0.18710270881855062</v>
      </c>
    </row>
    <row r="128" spans="1:3" x14ac:dyDescent="0.25">
      <c r="A128" s="98" t="s">
        <v>886</v>
      </c>
      <c r="B128" s="143" t="s">
        <v>650</v>
      </c>
      <c r="C128" s="150">
        <v>17.731070777343263</v>
      </c>
    </row>
    <row r="129" spans="1:3" x14ac:dyDescent="0.25">
      <c r="A129" s="151" t="s">
        <v>891</v>
      </c>
      <c r="B129" s="143" t="s">
        <v>1210</v>
      </c>
      <c r="C129" s="150">
        <v>1.7005689699647599</v>
      </c>
    </row>
    <row r="130" spans="1:3" x14ac:dyDescent="0.25">
      <c r="A130" s="151" t="s">
        <v>895</v>
      </c>
      <c r="B130" s="143" t="s">
        <v>1210</v>
      </c>
      <c r="C130" s="150">
        <v>1.136583238544624</v>
      </c>
    </row>
    <row r="131" spans="1:3" x14ac:dyDescent="0.25">
      <c r="A131" s="98" t="s">
        <v>941</v>
      </c>
      <c r="B131" s="143" t="s">
        <v>1197</v>
      </c>
      <c r="C131" s="150">
        <v>12.257552920582597</v>
      </c>
    </row>
    <row r="132" spans="1:3" x14ac:dyDescent="0.25">
      <c r="A132" s="98" t="s">
        <v>1020</v>
      </c>
      <c r="B132" s="143" t="s">
        <v>1194</v>
      </c>
      <c r="C132" s="150">
        <v>0</v>
      </c>
    </row>
    <row r="133" spans="1:3" x14ac:dyDescent="0.25">
      <c r="A133" s="75" t="s">
        <v>1035</v>
      </c>
      <c r="B133" s="143" t="s">
        <v>1200</v>
      </c>
      <c r="C133" s="150">
        <v>19.631786732140053</v>
      </c>
    </row>
    <row r="134" spans="1:3" x14ac:dyDescent="0.25">
      <c r="A134" s="152" t="s">
        <v>1043</v>
      </c>
      <c r="B134" s="143" t="s">
        <v>1210</v>
      </c>
      <c r="C134" s="150">
        <v>4.789460146835963</v>
      </c>
    </row>
    <row r="135" spans="1:3" x14ac:dyDescent="0.25">
      <c r="A135" s="98" t="s">
        <v>1062</v>
      </c>
      <c r="B135" s="143" t="s">
        <v>1200</v>
      </c>
      <c r="C135" s="150">
        <v>10.527586947557506</v>
      </c>
    </row>
    <row r="136" spans="1:3" x14ac:dyDescent="0.25">
      <c r="A136" s="98" t="s">
        <v>1066</v>
      </c>
      <c r="B136" s="143" t="s">
        <v>1196</v>
      </c>
      <c r="C136" s="150">
        <v>0.19374952337076978</v>
      </c>
    </row>
    <row r="137" spans="1:3" x14ac:dyDescent="0.25">
      <c r="A137" s="98" t="s">
        <v>1096</v>
      </c>
      <c r="B137" s="143" t="s">
        <v>1200</v>
      </c>
      <c r="C137" s="150">
        <v>9.2957189123335944</v>
      </c>
    </row>
    <row r="138" spans="1:3" x14ac:dyDescent="0.25">
      <c r="A138" s="98" t="s">
        <v>288</v>
      </c>
      <c r="B138" s="143" t="s">
        <v>1200</v>
      </c>
      <c r="C138" s="150">
        <v>1.5619149693996526</v>
      </c>
    </row>
    <row r="139" spans="1:3" x14ac:dyDescent="0.25">
      <c r="A139" s="98" t="s">
        <v>295</v>
      </c>
      <c r="B139" s="143" t="s">
        <v>1200</v>
      </c>
      <c r="C139" s="150">
        <v>1.5239325151406049</v>
      </c>
    </row>
    <row r="140" spans="1:3" x14ac:dyDescent="0.25">
      <c r="A140" s="98" t="s">
        <v>291</v>
      </c>
      <c r="B140" s="143" t="s">
        <v>1200</v>
      </c>
      <c r="C140" s="150">
        <v>1.7369508287203668</v>
      </c>
    </row>
    <row r="141" spans="1:3" x14ac:dyDescent="0.25">
      <c r="A141" s="98" t="s">
        <v>234</v>
      </c>
      <c r="B141" s="143" t="s">
        <v>1207</v>
      </c>
      <c r="C141" s="150">
        <v>7.490291417449443</v>
      </c>
    </row>
    <row r="142" spans="1:3" x14ac:dyDescent="0.25">
      <c r="A142" s="98" t="s">
        <v>147</v>
      </c>
      <c r="B142" s="143" t="s">
        <v>1201</v>
      </c>
      <c r="C142" s="150">
        <v>23.172399462804503</v>
      </c>
    </row>
    <row r="143" spans="1:3" x14ac:dyDescent="0.25">
      <c r="A143" s="98" t="s">
        <v>148</v>
      </c>
      <c r="B143" s="143" t="s">
        <v>1200</v>
      </c>
      <c r="C143" s="150">
        <v>21.148671772283631</v>
      </c>
    </row>
    <row r="144" spans="1:3" x14ac:dyDescent="0.25">
      <c r="A144" s="98" t="s">
        <v>165</v>
      </c>
      <c r="B144" s="143" t="s">
        <v>1202</v>
      </c>
      <c r="C144" s="150">
        <v>0.43878855438285824</v>
      </c>
    </row>
    <row r="145" spans="1:3" x14ac:dyDescent="0.25">
      <c r="A145" s="98" t="s">
        <v>168</v>
      </c>
      <c r="B145" s="143" t="s">
        <v>1207</v>
      </c>
      <c r="C145" s="150">
        <v>18.405283544772924</v>
      </c>
    </row>
    <row r="146" spans="1:3" x14ac:dyDescent="0.25">
      <c r="A146" s="98" t="s">
        <v>170</v>
      </c>
      <c r="B146" s="143" t="s">
        <v>1207</v>
      </c>
      <c r="C146" s="150">
        <v>12.794700705104317</v>
      </c>
    </row>
    <row r="147" spans="1:3" x14ac:dyDescent="0.25">
      <c r="A147" s="98" t="s">
        <v>232</v>
      </c>
      <c r="B147" s="143" t="s">
        <v>1206</v>
      </c>
      <c r="C147" s="150">
        <v>1.789574394782699</v>
      </c>
    </row>
    <row r="148" spans="1:3" x14ac:dyDescent="0.25">
      <c r="A148" s="98" t="s">
        <v>297</v>
      </c>
      <c r="B148" s="143" t="s">
        <v>817</v>
      </c>
      <c r="C148" s="150">
        <v>0.37588352961435612</v>
      </c>
    </row>
    <row r="149" spans="1:3" x14ac:dyDescent="0.25">
      <c r="A149" s="98" t="s">
        <v>382</v>
      </c>
      <c r="B149" s="143" t="s">
        <v>729</v>
      </c>
      <c r="C149" s="150">
        <v>11.65743881259678</v>
      </c>
    </row>
    <row r="150" spans="1:3" x14ac:dyDescent="0.25">
      <c r="A150" s="98" t="s">
        <v>383</v>
      </c>
      <c r="B150" s="143" t="s">
        <v>729</v>
      </c>
      <c r="C150" s="150">
        <v>1.9281430163271129</v>
      </c>
    </row>
    <row r="151" spans="1:3" x14ac:dyDescent="0.25">
      <c r="A151" s="98" t="s">
        <v>384</v>
      </c>
      <c r="B151" s="143" t="s">
        <v>729</v>
      </c>
      <c r="C151" s="150">
        <v>0.42212558305526549</v>
      </c>
    </row>
    <row r="152" spans="1:3" x14ac:dyDescent="0.25">
      <c r="A152" s="98" t="s">
        <v>385</v>
      </c>
      <c r="B152" s="143" t="s">
        <v>729</v>
      </c>
      <c r="C152" s="150">
        <v>21.050742639251741</v>
      </c>
    </row>
    <row r="153" spans="1:3" x14ac:dyDescent="0.25">
      <c r="A153" s="98" t="s">
        <v>387</v>
      </c>
      <c r="B153" s="143" t="s">
        <v>729</v>
      </c>
      <c r="C153" s="150">
        <v>13.632081902964599</v>
      </c>
    </row>
    <row r="154" spans="1:3" x14ac:dyDescent="0.25">
      <c r="A154" s="98" t="s">
        <v>388</v>
      </c>
      <c r="B154" s="143" t="s">
        <v>1207</v>
      </c>
      <c r="C154" s="150">
        <v>5.5919136174199959</v>
      </c>
    </row>
    <row r="155" spans="1:3" x14ac:dyDescent="0.25">
      <c r="A155" s="98" t="s">
        <v>838</v>
      </c>
      <c r="B155" s="143" t="s">
        <v>1198</v>
      </c>
      <c r="C155" s="150">
        <v>30.037709702375544</v>
      </c>
    </row>
    <row r="156" spans="1:3" x14ac:dyDescent="0.25">
      <c r="A156" s="98" t="s">
        <v>823</v>
      </c>
      <c r="B156" s="143" t="s">
        <v>1202</v>
      </c>
      <c r="C156" s="150">
        <v>0.71762888500316424</v>
      </c>
    </row>
    <row r="157" spans="1:3" x14ac:dyDescent="0.25">
      <c r="A157" s="98" t="s">
        <v>824</v>
      </c>
      <c r="B157" s="143" t="s">
        <v>817</v>
      </c>
      <c r="C157" s="150">
        <v>0.63626694856259092</v>
      </c>
    </row>
    <row r="158" spans="1:3" x14ac:dyDescent="0.25">
      <c r="A158" s="75" t="s">
        <v>1054</v>
      </c>
      <c r="B158" s="143" t="s">
        <v>1049</v>
      </c>
      <c r="C158" s="150">
        <v>1.989668595899414</v>
      </c>
    </row>
    <row r="159" spans="1:3" x14ac:dyDescent="0.25">
      <c r="A159" s="75" t="s">
        <v>1056</v>
      </c>
      <c r="B159" s="143" t="s">
        <v>1200</v>
      </c>
      <c r="C159" s="150">
        <v>2.0141034419413328</v>
      </c>
    </row>
    <row r="160" spans="1:3" x14ac:dyDescent="0.25">
      <c r="A160" s="75" t="s">
        <v>1060</v>
      </c>
      <c r="B160" s="143" t="s">
        <v>1200</v>
      </c>
      <c r="C160" s="150">
        <v>2.8590638493982405</v>
      </c>
    </row>
    <row r="161" spans="1:3" x14ac:dyDescent="0.25">
      <c r="A161" s="75" t="s">
        <v>1064</v>
      </c>
      <c r="B161" s="143" t="s">
        <v>1049</v>
      </c>
      <c r="C161" s="150">
        <v>2.1362355825722199</v>
      </c>
    </row>
    <row r="162" spans="1:3" x14ac:dyDescent="0.25">
      <c r="A162" s="659"/>
      <c r="B162" s="143"/>
      <c r="C162" s="150"/>
    </row>
    <row r="163" spans="1:3" x14ac:dyDescent="0.25">
      <c r="A163" s="659"/>
      <c r="B163" s="143"/>
      <c r="C163" s="150"/>
    </row>
    <row r="164" spans="1:3" x14ac:dyDescent="0.25">
      <c r="A164" s="659"/>
      <c r="B164" s="143"/>
      <c r="C164" s="150"/>
    </row>
    <row r="165" spans="1:3" x14ac:dyDescent="0.25">
      <c r="A165" s="659"/>
      <c r="B165" s="143"/>
      <c r="C165" s="150"/>
    </row>
    <row r="166" spans="1:3" x14ac:dyDescent="0.25">
      <c r="A166" s="659"/>
      <c r="B166" s="143"/>
      <c r="C166" s="150"/>
    </row>
    <row r="167" spans="1:3" x14ac:dyDescent="0.25">
      <c r="A167" s="659"/>
      <c r="B167" s="143"/>
      <c r="C167" s="150"/>
    </row>
    <row r="168" spans="1:3" x14ac:dyDescent="0.25">
      <c r="A168" s="662" t="s">
        <v>1121</v>
      </c>
      <c r="B168" s="143" t="s">
        <v>1196</v>
      </c>
      <c r="C168" s="150">
        <v>10</v>
      </c>
    </row>
    <row r="169" spans="1:3" x14ac:dyDescent="0.25">
      <c r="A169" s="662" t="s">
        <v>1159</v>
      </c>
      <c r="B169" s="143" t="s">
        <v>1203</v>
      </c>
      <c r="C169" s="150">
        <v>0</v>
      </c>
    </row>
    <row r="170" spans="1:3" x14ac:dyDescent="0.25">
      <c r="A170" s="662" t="s">
        <v>1160</v>
      </c>
      <c r="B170" s="143" t="s">
        <v>1131</v>
      </c>
      <c r="C170" s="150">
        <v>0</v>
      </c>
    </row>
    <row r="171" spans="1:3" x14ac:dyDescent="0.25">
      <c r="A171" s="662" t="s">
        <v>1259</v>
      </c>
      <c r="B171" s="143" t="s">
        <v>800</v>
      </c>
      <c r="C171" s="150">
        <v>0</v>
      </c>
    </row>
    <row r="172" spans="1:3" x14ac:dyDescent="0.25">
      <c r="A172" s="662" t="s">
        <v>1269</v>
      </c>
      <c r="B172" s="143" t="s">
        <v>630</v>
      </c>
      <c r="C172" s="150">
        <v>5</v>
      </c>
    </row>
    <row r="173" spans="1:3" x14ac:dyDescent="0.25">
      <c r="A173" s="662" t="s">
        <v>1270</v>
      </c>
      <c r="B173" s="143" t="s">
        <v>630</v>
      </c>
      <c r="C173" s="150">
        <v>5</v>
      </c>
    </row>
    <row r="174" spans="1:3" x14ac:dyDescent="0.25">
      <c r="A174" s="663" t="s">
        <v>1271</v>
      </c>
      <c r="B174" s="143" t="s">
        <v>630</v>
      </c>
      <c r="C174" s="150">
        <v>0.75</v>
      </c>
    </row>
    <row r="175" spans="1:3" x14ac:dyDescent="0.25">
      <c r="A175" s="663" t="s">
        <v>1299</v>
      </c>
      <c r="B175" s="143" t="s">
        <v>810</v>
      </c>
      <c r="C175" s="150"/>
    </row>
    <row r="176" spans="1:3" x14ac:dyDescent="0.25">
      <c r="A176" s="663" t="s">
        <v>1301</v>
      </c>
      <c r="B176" s="143" t="s">
        <v>810</v>
      </c>
      <c r="C176" s="150"/>
    </row>
    <row r="177" spans="1:3" x14ac:dyDescent="0.25">
      <c r="A177" s="664" t="s">
        <v>1314</v>
      </c>
      <c r="B177" s="75" t="s">
        <v>1205</v>
      </c>
      <c r="C177" s="661">
        <v>0</v>
      </c>
    </row>
    <row r="178" spans="1:3" x14ac:dyDescent="0.25">
      <c r="A178" s="664" t="s">
        <v>1416</v>
      </c>
      <c r="B178" s="75" t="s">
        <v>1196</v>
      </c>
      <c r="C178" s="661"/>
    </row>
    <row r="179" spans="1:3" x14ac:dyDescent="0.25">
      <c r="A179" s="483" t="s">
        <v>1458</v>
      </c>
      <c r="B179" s="143" t="s">
        <v>1196</v>
      </c>
      <c r="C179" s="150"/>
    </row>
    <row r="180" spans="1:3" x14ac:dyDescent="0.25">
      <c r="A180" s="483" t="s">
        <v>1459</v>
      </c>
      <c r="B180" s="143" t="s">
        <v>1196</v>
      </c>
      <c r="C180" s="150"/>
    </row>
    <row r="181" spans="1:3" x14ac:dyDescent="0.25">
      <c r="A181" s="483" t="s">
        <v>1460</v>
      </c>
      <c r="B181" s="143" t="s">
        <v>1196</v>
      </c>
      <c r="C181" s="150"/>
    </row>
    <row r="182" spans="1:3" x14ac:dyDescent="0.25">
      <c r="A182" s="483" t="s">
        <v>1461</v>
      </c>
      <c r="B182" s="143" t="s">
        <v>1196</v>
      </c>
      <c r="C182" s="150"/>
    </row>
    <row r="183" spans="1:3" x14ac:dyDescent="0.25">
      <c r="A183" s="483" t="s">
        <v>1462</v>
      </c>
      <c r="B183" s="143" t="s">
        <v>1196</v>
      </c>
      <c r="C183" s="661"/>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G265"/>
  <sheetViews>
    <sheetView showZeros="0" zoomScale="85" zoomScaleNormal="85" workbookViewId="0">
      <pane ySplit="1" topLeftCell="A2" activePane="bottomLeft" state="frozen"/>
      <selection activeCell="AS915" sqref="AS915"/>
      <selection pane="bottomLeft" activeCell="B16" sqref="B16"/>
    </sheetView>
  </sheetViews>
  <sheetFormatPr defaultColWidth="9.140625" defaultRowHeight="15" x14ac:dyDescent="0.25"/>
  <cols>
    <col min="1" max="1" width="19.5703125" style="5" customWidth="1"/>
    <col min="2" max="2" width="16.28515625" style="5" customWidth="1"/>
    <col min="3" max="3" width="13.42578125" style="5" customWidth="1"/>
    <col min="4" max="5" width="11.28515625" style="5" customWidth="1"/>
    <col min="6" max="6" width="7" style="5" customWidth="1"/>
    <col min="7" max="7" width="16.42578125" style="5" customWidth="1"/>
    <col min="8" max="8" width="11.28515625" style="5" customWidth="1"/>
    <col min="9" max="9" width="7.28515625" style="5" customWidth="1"/>
    <col min="10" max="10" width="11.28515625" style="5" customWidth="1"/>
    <col min="11" max="11" width="8.7109375" style="5" customWidth="1"/>
    <col min="12" max="12" width="11.28515625" style="5" customWidth="1"/>
    <col min="13" max="13" width="12.28515625" style="5" customWidth="1"/>
    <col min="14" max="14" width="9.140625" style="5"/>
    <col min="15" max="15" width="0" style="5" hidden="1" customWidth="1"/>
    <col min="16" max="16" width="19.42578125" style="5" hidden="1" customWidth="1"/>
    <col min="17" max="17" width="20.5703125" style="5" hidden="1" customWidth="1"/>
    <col min="18" max="18" width="0" style="5" hidden="1" customWidth="1"/>
    <col min="19" max="22" width="9.140625" style="5"/>
    <col min="23" max="23" width="15.5703125" style="5" customWidth="1"/>
    <col min="24" max="24" width="10.7109375" style="5" customWidth="1"/>
    <col min="25" max="25" width="14.28515625" style="5" bestFit="1" customWidth="1"/>
    <col min="26" max="26" width="10.140625" style="5" customWidth="1"/>
    <col min="27" max="27" width="9.140625" style="5"/>
    <col min="28" max="28" width="7.42578125" style="5" customWidth="1"/>
    <col min="29" max="29" width="7" style="5" customWidth="1"/>
    <col min="30" max="30" width="6.5703125" style="5" customWidth="1"/>
    <col min="31" max="31" width="9.85546875" style="5" bestFit="1" customWidth="1"/>
    <col min="32" max="32" width="7.140625" style="5" customWidth="1"/>
    <col min="33" max="33" width="8.140625" style="5" customWidth="1"/>
    <col min="34" max="34" width="6" style="5" customWidth="1"/>
    <col min="35" max="35" width="8" style="5" customWidth="1"/>
    <col min="36" max="36" width="9.42578125" style="5" bestFit="1" customWidth="1"/>
    <col min="37" max="37" width="9" style="5" customWidth="1"/>
    <col min="38" max="38" width="10.85546875" style="5" bestFit="1" customWidth="1"/>
    <col min="39" max="39" width="9.85546875" style="5" bestFit="1" customWidth="1"/>
    <col min="40" max="40" width="13.85546875" style="5" bestFit="1" customWidth="1"/>
    <col min="41" max="42" width="7.28515625" style="5" customWidth="1"/>
    <col min="43" max="43" width="11.5703125" style="5" bestFit="1" customWidth="1"/>
    <col min="44" max="16384" width="9.140625" style="5"/>
  </cols>
  <sheetData>
    <row r="1" spans="1:59" s="92" customFormat="1" ht="36" x14ac:dyDescent="0.25">
      <c r="A1" s="231"/>
      <c r="B1" s="232"/>
      <c r="C1" s="232"/>
      <c r="D1" s="232"/>
      <c r="E1" s="232"/>
      <c r="F1" s="232"/>
      <c r="G1" s="232"/>
      <c r="H1" s="232"/>
      <c r="I1" s="232"/>
      <c r="J1" s="232"/>
      <c r="K1" s="232"/>
      <c r="L1" s="232"/>
      <c r="M1" s="232"/>
      <c r="N1" s="190"/>
      <c r="O1" s="5"/>
      <c r="P1" s="5"/>
      <c r="Q1" s="5"/>
      <c r="R1" s="5"/>
      <c r="S1" s="5"/>
      <c r="T1" s="5"/>
      <c r="U1" s="5"/>
      <c r="BF1" s="2"/>
      <c r="BG1" s="2"/>
    </row>
    <row r="2" spans="1:59" s="1" customFormat="1" ht="63.75" customHeight="1" x14ac:dyDescent="0.25">
      <c r="A2" s="249" t="s">
        <v>418</v>
      </c>
      <c r="B2" s="45"/>
      <c r="C2" s="45"/>
      <c r="D2" s="45"/>
      <c r="E2" s="45"/>
      <c r="F2" s="45"/>
      <c r="G2" s="45"/>
      <c r="H2" s="45"/>
      <c r="I2" s="45"/>
      <c r="J2" s="45"/>
      <c r="K2" s="45"/>
      <c r="L2" s="45"/>
      <c r="M2" s="45"/>
      <c r="N2" s="191"/>
      <c r="O2" s="5"/>
      <c r="P2" s="5"/>
      <c r="Q2" s="5"/>
      <c r="R2" s="5"/>
      <c r="S2" s="261"/>
      <c r="T2" s="261"/>
      <c r="U2" s="261"/>
      <c r="V2" s="187"/>
      <c r="BF2" s="46"/>
      <c r="BG2" s="46"/>
    </row>
    <row r="3" spans="1:59" s="15" customFormat="1" ht="18" customHeight="1" x14ac:dyDescent="0.25">
      <c r="A3" s="250">
        <f>Definition!B23</f>
        <v>42675</v>
      </c>
      <c r="B3" s="251"/>
      <c r="C3" s="251"/>
      <c r="D3" s="251"/>
      <c r="E3" s="251"/>
      <c r="F3" s="251"/>
      <c r="G3" s="251"/>
      <c r="H3" s="251"/>
      <c r="I3" s="251"/>
      <c r="J3" s="251"/>
      <c r="K3" s="251"/>
      <c r="L3" s="251"/>
      <c r="M3" s="251"/>
      <c r="N3" s="252"/>
      <c r="O3" s="33"/>
      <c r="P3" s="33"/>
      <c r="Q3" s="33"/>
      <c r="R3" s="33"/>
      <c r="S3" s="262"/>
      <c r="T3" s="263"/>
      <c r="U3" s="263"/>
      <c r="V3" s="187"/>
      <c r="BF3" s="47"/>
      <c r="BG3" s="47"/>
    </row>
    <row r="4" spans="1:59" s="15" customFormat="1" ht="36" x14ac:dyDescent="0.25">
      <c r="A4" s="171"/>
      <c r="B4" s="171"/>
      <c r="C4" s="182"/>
      <c r="D4" s="182"/>
      <c r="E4" s="182"/>
      <c r="F4" s="182"/>
      <c r="G4" s="183"/>
      <c r="H4" s="183"/>
      <c r="I4" s="183"/>
      <c r="J4" s="183"/>
      <c r="K4" s="29"/>
      <c r="L4" s="183"/>
      <c r="M4" s="183"/>
      <c r="N4" s="183"/>
      <c r="O4" s="33"/>
      <c r="P4" s="33"/>
      <c r="Q4" s="33"/>
      <c r="R4" s="33"/>
      <c r="S4" s="262"/>
      <c r="T4" s="263"/>
      <c r="U4" s="263"/>
      <c r="V4" s="187"/>
      <c r="BF4" s="47"/>
      <c r="BG4" s="47"/>
    </row>
    <row r="5" spans="1:59" s="15" customFormat="1" ht="16.5" customHeight="1" x14ac:dyDescent="0.25">
      <c r="A5" s="421" t="s">
        <v>395</v>
      </c>
      <c r="B5" s="421" t="s">
        <v>596</v>
      </c>
      <c r="C5" s="184"/>
      <c r="D5" s="184"/>
      <c r="E5" s="184"/>
      <c r="F5" s="184"/>
      <c r="G5" s="184"/>
      <c r="H5" s="184"/>
      <c r="I5" s="184"/>
      <c r="J5" s="184"/>
      <c r="K5" s="184"/>
      <c r="L5" s="183"/>
      <c r="M5" s="183"/>
      <c r="N5" s="183"/>
      <c r="O5" s="33"/>
      <c r="P5" s="33"/>
      <c r="Q5" s="33"/>
      <c r="R5" s="33"/>
      <c r="S5" s="262"/>
      <c r="T5" s="263"/>
      <c r="U5" s="263"/>
      <c r="V5" s="187"/>
      <c r="BF5" s="47"/>
      <c r="BG5" s="47"/>
    </row>
    <row r="6" spans="1:59" ht="18.75" x14ac:dyDescent="0.25">
      <c r="A6" s="421" t="s">
        <v>0</v>
      </c>
      <c r="B6" s="421" t="s">
        <v>596</v>
      </c>
      <c r="C6" s="190"/>
      <c r="S6" s="264"/>
      <c r="T6" s="261"/>
      <c r="U6" s="261"/>
      <c r="V6" s="261"/>
    </row>
    <row r="7" spans="1:59" x14ac:dyDescent="0.25">
      <c r="A7" s="449" t="s">
        <v>1249</v>
      </c>
      <c r="B7" s="448" t="s">
        <v>1191</v>
      </c>
      <c r="C7" s="194" t="s">
        <v>421</v>
      </c>
      <c r="P7" s="92"/>
      <c r="Q7" s="92"/>
      <c r="S7" s="261"/>
      <c r="T7" s="261"/>
      <c r="U7" s="261"/>
      <c r="V7" s="261"/>
    </row>
    <row r="8" spans="1:59" x14ac:dyDescent="0.25">
      <c r="P8" s="92"/>
      <c r="Q8" s="92"/>
      <c r="S8" s="261"/>
      <c r="T8" s="261"/>
      <c r="U8" s="261"/>
      <c r="V8" s="261"/>
    </row>
    <row r="9" spans="1:59" x14ac:dyDescent="0.25">
      <c r="A9" s="367" t="s">
        <v>414</v>
      </c>
      <c r="B9" s="368" t="s">
        <v>417</v>
      </c>
      <c r="C9" s="366" t="s">
        <v>416</v>
      </c>
      <c r="P9" s="339" t="s">
        <v>395</v>
      </c>
      <c r="Q9" s="336" t="s">
        <v>596</v>
      </c>
      <c r="R9" s="5" t="s">
        <v>421</v>
      </c>
      <c r="S9" s="261"/>
      <c r="T9" s="261"/>
      <c r="U9" s="261"/>
      <c r="V9" s="261"/>
    </row>
    <row r="10" spans="1:59" x14ac:dyDescent="0.25">
      <c r="A10" s="369" t="s">
        <v>500</v>
      </c>
      <c r="B10" s="370">
        <v>19698</v>
      </c>
      <c r="C10" s="371">
        <v>99028</v>
      </c>
      <c r="S10" s="261"/>
      <c r="T10" s="261"/>
      <c r="U10" s="261"/>
      <c r="V10" s="261"/>
      <c r="W10" s="92"/>
      <c r="X10" s="92"/>
    </row>
    <row r="11" spans="1:59" x14ac:dyDescent="0.25">
      <c r="A11" s="372" t="s">
        <v>5</v>
      </c>
      <c r="B11" s="370">
        <v>1484</v>
      </c>
      <c r="C11" s="371">
        <v>8129</v>
      </c>
      <c r="P11" s="336" t="s">
        <v>414</v>
      </c>
      <c r="Q11" s="336" t="s">
        <v>416</v>
      </c>
      <c r="R11" s="92"/>
      <c r="S11" s="261"/>
      <c r="T11" s="261"/>
      <c r="U11" s="261"/>
      <c r="V11" s="261"/>
      <c r="W11" s="92"/>
      <c r="X11" s="92"/>
    </row>
    <row r="12" spans="1:59" x14ac:dyDescent="0.25">
      <c r="A12" s="372" t="s">
        <v>27</v>
      </c>
      <c r="B12" s="370">
        <v>501</v>
      </c>
      <c r="C12" s="371">
        <v>2628</v>
      </c>
      <c r="P12" s="337" t="s">
        <v>5</v>
      </c>
      <c r="Q12" s="338"/>
      <c r="R12" s="92"/>
      <c r="S12" s="261"/>
      <c r="T12" s="261"/>
      <c r="U12" s="261"/>
      <c r="V12" s="261"/>
      <c r="W12" s="92"/>
      <c r="X12" s="92"/>
    </row>
    <row r="13" spans="1:59" x14ac:dyDescent="0.25">
      <c r="A13" s="372" t="s">
        <v>527</v>
      </c>
      <c r="B13" s="370">
        <v>802</v>
      </c>
      <c r="C13" s="371">
        <v>3766</v>
      </c>
      <c r="P13" s="343" t="s">
        <v>5</v>
      </c>
      <c r="Q13" s="338">
        <v>8129</v>
      </c>
      <c r="R13" s="92"/>
      <c r="S13" s="261"/>
      <c r="T13" s="261"/>
      <c r="U13" s="261"/>
      <c r="V13" s="261"/>
      <c r="W13" s="92"/>
      <c r="X13" s="92"/>
    </row>
    <row r="14" spans="1:59" x14ac:dyDescent="0.25">
      <c r="A14" s="372" t="s">
        <v>779</v>
      </c>
      <c r="B14" s="370">
        <v>125</v>
      </c>
      <c r="C14" s="371">
        <v>672</v>
      </c>
      <c r="P14" s="337" t="s">
        <v>27</v>
      </c>
      <c r="Q14" s="338"/>
      <c r="R14" s="92"/>
      <c r="W14" s="92"/>
      <c r="X14" s="92"/>
    </row>
    <row r="15" spans="1:59" x14ac:dyDescent="0.25">
      <c r="A15" s="372" t="s">
        <v>1182</v>
      </c>
      <c r="B15" s="370">
        <v>1796</v>
      </c>
      <c r="C15" s="371">
        <v>8953</v>
      </c>
      <c r="P15" s="343" t="s">
        <v>27</v>
      </c>
      <c r="Q15" s="338">
        <v>2628</v>
      </c>
      <c r="R15" s="92"/>
      <c r="W15" s="92"/>
      <c r="X15" s="92"/>
    </row>
    <row r="16" spans="1:59" x14ac:dyDescent="0.25">
      <c r="A16" s="372" t="s">
        <v>146</v>
      </c>
      <c r="B16" s="370">
        <v>1030</v>
      </c>
      <c r="C16" s="371">
        <v>5032</v>
      </c>
      <c r="P16" s="337" t="s">
        <v>527</v>
      </c>
      <c r="Q16" s="338"/>
      <c r="R16" s="92"/>
      <c r="W16" s="92"/>
      <c r="X16" s="92"/>
    </row>
    <row r="17" spans="1:24" x14ac:dyDescent="0.25">
      <c r="A17" s="372" t="s">
        <v>151</v>
      </c>
      <c r="B17" s="370">
        <v>2721</v>
      </c>
      <c r="C17" s="371">
        <v>12543</v>
      </c>
      <c r="P17" s="343" t="s">
        <v>527</v>
      </c>
      <c r="Q17" s="338">
        <v>3766</v>
      </c>
      <c r="R17" s="92"/>
      <c r="W17" s="92"/>
      <c r="X17" s="92"/>
    </row>
    <row r="18" spans="1:24" x14ac:dyDescent="0.25">
      <c r="A18" s="372" t="s">
        <v>185</v>
      </c>
      <c r="B18" s="370">
        <v>3124</v>
      </c>
      <c r="C18" s="371">
        <v>15683</v>
      </c>
      <c r="P18" s="337" t="s">
        <v>779</v>
      </c>
      <c r="Q18" s="338"/>
      <c r="R18" s="92"/>
      <c r="W18" s="92"/>
      <c r="X18" s="92"/>
    </row>
    <row r="19" spans="1:24" x14ac:dyDescent="0.25">
      <c r="A19" s="372" t="s">
        <v>237</v>
      </c>
      <c r="B19" s="370">
        <v>1177</v>
      </c>
      <c r="C19" s="371">
        <v>5923</v>
      </c>
      <c r="P19" s="343" t="s">
        <v>779</v>
      </c>
      <c r="Q19" s="338">
        <v>672</v>
      </c>
      <c r="R19" s="92"/>
      <c r="W19" s="92"/>
      <c r="X19" s="92"/>
    </row>
    <row r="20" spans="1:24" x14ac:dyDescent="0.25">
      <c r="A20" s="372" t="s">
        <v>289</v>
      </c>
      <c r="B20" s="370">
        <v>605</v>
      </c>
      <c r="C20" s="371">
        <v>2777</v>
      </c>
      <c r="P20" s="337" t="s">
        <v>363</v>
      </c>
      <c r="Q20" s="338"/>
      <c r="R20" s="92"/>
      <c r="W20" s="92"/>
      <c r="X20" s="92"/>
    </row>
    <row r="21" spans="1:24" x14ac:dyDescent="0.25">
      <c r="A21" s="372" t="s">
        <v>310</v>
      </c>
      <c r="B21" s="370">
        <v>6296</v>
      </c>
      <c r="C21" s="371">
        <v>32802</v>
      </c>
      <c r="P21" s="343" t="s">
        <v>363</v>
      </c>
      <c r="Q21" s="338">
        <v>0</v>
      </c>
      <c r="R21" s="92"/>
      <c r="W21" s="92"/>
      <c r="X21" s="92"/>
    </row>
    <row r="22" spans="1:24" x14ac:dyDescent="0.25">
      <c r="A22" s="372" t="s">
        <v>1621</v>
      </c>
      <c r="B22" s="370">
        <v>37</v>
      </c>
      <c r="C22" s="371">
        <v>120</v>
      </c>
      <c r="P22" s="337" t="s">
        <v>1182</v>
      </c>
      <c r="Q22" s="338"/>
      <c r="R22" s="92"/>
      <c r="W22" s="92"/>
      <c r="X22" s="92"/>
    </row>
    <row r="23" spans="1:24" x14ac:dyDescent="0.25">
      <c r="A23" s="369" t="s">
        <v>843</v>
      </c>
      <c r="B23" s="370">
        <v>0</v>
      </c>
      <c r="C23" s="371">
        <v>0</v>
      </c>
      <c r="P23" s="343" t="s">
        <v>144</v>
      </c>
      <c r="Q23" s="338"/>
      <c r="R23" s="92"/>
      <c r="W23" s="92"/>
      <c r="X23" s="92"/>
    </row>
    <row r="24" spans="1:24" x14ac:dyDescent="0.25">
      <c r="A24" s="373" t="s">
        <v>415</v>
      </c>
      <c r="B24" s="374">
        <v>19698</v>
      </c>
      <c r="C24" s="440">
        <v>99028</v>
      </c>
      <c r="P24" s="343" t="s">
        <v>892</v>
      </c>
      <c r="Q24" s="338">
        <v>0</v>
      </c>
      <c r="R24" s="92"/>
      <c r="W24" s="92"/>
      <c r="X24" s="92"/>
    </row>
    <row r="25" spans="1:24" x14ac:dyDescent="0.25">
      <c r="A25"/>
      <c r="B25"/>
      <c r="C25"/>
      <c r="P25" s="343" t="s">
        <v>166</v>
      </c>
      <c r="Q25" s="338">
        <v>539</v>
      </c>
      <c r="R25" s="92"/>
      <c r="W25" s="92"/>
      <c r="X25" s="92"/>
    </row>
    <row r="26" spans="1:24" x14ac:dyDescent="0.25">
      <c r="A26"/>
      <c r="B26"/>
      <c r="C26"/>
      <c r="P26" s="343" t="s">
        <v>173</v>
      </c>
      <c r="Q26" s="338">
        <v>404</v>
      </c>
      <c r="R26" s="92"/>
      <c r="W26" s="92"/>
      <c r="X26" s="92"/>
    </row>
    <row r="27" spans="1:24" x14ac:dyDescent="0.25">
      <c r="A27"/>
      <c r="B27"/>
      <c r="C27"/>
      <c r="P27" s="343" t="s">
        <v>180</v>
      </c>
      <c r="Q27" s="338">
        <v>331</v>
      </c>
      <c r="W27" s="92"/>
      <c r="X27" s="92"/>
    </row>
    <row r="28" spans="1:24" x14ac:dyDescent="0.25">
      <c r="A28"/>
      <c r="B28"/>
      <c r="C28"/>
      <c r="P28" s="343" t="s">
        <v>230</v>
      </c>
      <c r="Q28" s="338">
        <v>1851</v>
      </c>
      <c r="W28" s="92"/>
      <c r="X28" s="92"/>
    </row>
    <row r="29" spans="1:24" x14ac:dyDescent="0.25">
      <c r="A29"/>
      <c r="B29"/>
      <c r="C29"/>
      <c r="P29" s="343" t="s">
        <v>298</v>
      </c>
      <c r="Q29" s="338">
        <v>1978</v>
      </c>
      <c r="W29" s="92"/>
      <c r="X29" s="92"/>
    </row>
    <row r="30" spans="1:24" x14ac:dyDescent="0.25">
      <c r="A30"/>
      <c r="B30"/>
      <c r="C30"/>
      <c r="P30" s="343" t="s">
        <v>300</v>
      </c>
      <c r="Q30" s="338">
        <v>388</v>
      </c>
      <c r="W30" s="92"/>
      <c r="X30" s="92"/>
    </row>
    <row r="31" spans="1:24" x14ac:dyDescent="0.25">
      <c r="A31"/>
      <c r="B31"/>
      <c r="C31"/>
      <c r="P31" s="343" t="s">
        <v>302</v>
      </c>
      <c r="Q31" s="338">
        <v>2230</v>
      </c>
      <c r="W31" s="92"/>
      <c r="X31" s="92"/>
    </row>
    <row r="32" spans="1:24" x14ac:dyDescent="0.25">
      <c r="A32"/>
      <c r="B32"/>
      <c r="C32"/>
      <c r="P32" s="343" t="s">
        <v>808</v>
      </c>
      <c r="Q32" s="338">
        <v>1232</v>
      </c>
      <c r="W32" s="92"/>
      <c r="X32" s="92"/>
    </row>
    <row r="33" spans="1:24" x14ac:dyDescent="0.25">
      <c r="A33"/>
      <c r="B33"/>
      <c r="C33"/>
      <c r="P33" s="337" t="s">
        <v>146</v>
      </c>
      <c r="Q33" s="338"/>
      <c r="W33" s="92"/>
      <c r="X33" s="92"/>
    </row>
    <row r="34" spans="1:24" x14ac:dyDescent="0.25">
      <c r="A34"/>
      <c r="B34"/>
      <c r="C34"/>
      <c r="P34" s="343" t="s">
        <v>146</v>
      </c>
      <c r="Q34" s="338">
        <v>5032</v>
      </c>
      <c r="W34" s="92"/>
      <c r="X34" s="92"/>
    </row>
    <row r="35" spans="1:24" x14ac:dyDescent="0.25">
      <c r="A35"/>
      <c r="B35"/>
      <c r="C35"/>
      <c r="P35" s="337" t="s">
        <v>151</v>
      </c>
      <c r="Q35" s="338"/>
      <c r="W35" s="92"/>
      <c r="X35" s="92"/>
    </row>
    <row r="36" spans="1:24" hidden="1" x14ac:dyDescent="0.25">
      <c r="A36"/>
      <c r="B36"/>
      <c r="C36"/>
      <c r="P36" s="343" t="s">
        <v>151</v>
      </c>
      <c r="Q36" s="338">
        <v>12543</v>
      </c>
      <c r="W36" s="92"/>
      <c r="X36" s="92"/>
    </row>
    <row r="37" spans="1:24" hidden="1" x14ac:dyDescent="0.25">
      <c r="P37" s="337" t="s">
        <v>185</v>
      </c>
      <c r="Q37" s="338"/>
      <c r="W37" s="92"/>
      <c r="X37" s="92"/>
    </row>
    <row r="38" spans="1:24" hidden="1" x14ac:dyDescent="0.25">
      <c r="P38" s="343" t="s">
        <v>185</v>
      </c>
      <c r="Q38" s="338">
        <v>15683</v>
      </c>
      <c r="W38" s="92"/>
      <c r="X38" s="92"/>
    </row>
    <row r="39" spans="1:24" hidden="1" x14ac:dyDescent="0.25">
      <c r="P39" s="337" t="s">
        <v>237</v>
      </c>
      <c r="Q39" s="338"/>
      <c r="W39" s="92"/>
      <c r="X39" s="92"/>
    </row>
    <row r="40" spans="1:24" hidden="1" x14ac:dyDescent="0.25">
      <c r="P40" s="343" t="s">
        <v>237</v>
      </c>
      <c r="Q40" s="338">
        <v>5923</v>
      </c>
      <c r="W40" s="92"/>
      <c r="X40" s="92"/>
    </row>
    <row r="41" spans="1:24" hidden="1" x14ac:dyDescent="0.25">
      <c r="P41" s="337" t="s">
        <v>289</v>
      </c>
      <c r="Q41" s="338"/>
      <c r="W41" s="92"/>
      <c r="X41" s="92"/>
    </row>
    <row r="42" spans="1:24" hidden="1" x14ac:dyDescent="0.25">
      <c r="P42" s="343" t="s">
        <v>289</v>
      </c>
      <c r="Q42" s="338">
        <v>2777</v>
      </c>
      <c r="W42" s="92"/>
      <c r="X42" s="92"/>
    </row>
    <row r="43" spans="1:24" x14ac:dyDescent="0.25">
      <c r="A43" s="391" t="s">
        <v>395</v>
      </c>
      <c r="B43" s="383" t="s">
        <v>596</v>
      </c>
      <c r="P43" s="337" t="s">
        <v>310</v>
      </c>
      <c r="Q43" s="338"/>
      <c r="W43" s="92"/>
      <c r="X43" s="92"/>
    </row>
    <row r="44" spans="1:24" x14ac:dyDescent="0.25">
      <c r="A44" s="391" t="s">
        <v>1249</v>
      </c>
      <c r="B44" s="383" t="s">
        <v>1191</v>
      </c>
      <c r="C44" s="260" t="s">
        <v>421</v>
      </c>
      <c r="P44" s="343" t="s">
        <v>310</v>
      </c>
      <c r="Q44" s="338">
        <v>37252</v>
      </c>
      <c r="W44" s="92"/>
      <c r="X44" s="92"/>
    </row>
    <row r="45" spans="1:24" x14ac:dyDescent="0.25">
      <c r="P45" s="337" t="s">
        <v>1621</v>
      </c>
      <c r="Q45" s="338"/>
      <c r="W45" s="92"/>
      <c r="X45" s="92"/>
    </row>
    <row r="46" spans="1:24" x14ac:dyDescent="0.25">
      <c r="A46" s="377" t="s">
        <v>826</v>
      </c>
      <c r="B46" s="346" t="s">
        <v>825</v>
      </c>
      <c r="C46" s="346"/>
      <c r="D46" s="347"/>
      <c r="E46"/>
      <c r="P46" s="343" t="s">
        <v>1621</v>
      </c>
      <c r="Q46" s="338">
        <v>120</v>
      </c>
      <c r="W46" s="92"/>
      <c r="X46" s="92"/>
    </row>
    <row r="47" spans="1:24" x14ac:dyDescent="0.25">
      <c r="A47" s="378" t="s">
        <v>414</v>
      </c>
      <c r="B47" s="344" t="s">
        <v>511</v>
      </c>
      <c r="C47" s="344" t="s">
        <v>513</v>
      </c>
      <c r="D47" s="348" t="s">
        <v>415</v>
      </c>
      <c r="E47"/>
      <c r="P47" s="439" t="s">
        <v>415</v>
      </c>
      <c r="Q47" s="438">
        <v>103478</v>
      </c>
      <c r="W47" s="92"/>
      <c r="X47" s="92"/>
    </row>
    <row r="48" spans="1:24" x14ac:dyDescent="0.25">
      <c r="A48" s="385" t="s">
        <v>500</v>
      </c>
      <c r="B48" s="386">
        <v>56955</v>
      </c>
      <c r="C48" s="386">
        <v>42073</v>
      </c>
      <c r="D48" s="387">
        <v>99028</v>
      </c>
      <c r="E48"/>
      <c r="P48"/>
      <c r="Q48"/>
      <c r="W48" s="92"/>
      <c r="X48" s="92"/>
    </row>
    <row r="49" spans="1:24" x14ac:dyDescent="0.25">
      <c r="A49" s="385" t="s">
        <v>843</v>
      </c>
      <c r="B49" s="386">
        <v>0</v>
      </c>
      <c r="C49" s="386">
        <v>0</v>
      </c>
      <c r="D49" s="387">
        <v>0</v>
      </c>
      <c r="E49"/>
      <c r="P49"/>
      <c r="Q49"/>
      <c r="W49" s="92"/>
      <c r="X49" s="92"/>
    </row>
    <row r="50" spans="1:24" x14ac:dyDescent="0.25">
      <c r="A50" s="441" t="s">
        <v>415</v>
      </c>
      <c r="B50" s="442">
        <v>56955</v>
      </c>
      <c r="C50" s="442">
        <v>42073</v>
      </c>
      <c r="D50" s="440">
        <v>99028</v>
      </c>
      <c r="E50"/>
      <c r="W50" s="92"/>
      <c r="X50" s="92"/>
    </row>
    <row r="51" spans="1:24" x14ac:dyDescent="0.25">
      <c r="A51"/>
      <c r="B51"/>
      <c r="C51"/>
      <c r="D51"/>
      <c r="E51"/>
      <c r="W51" s="92"/>
      <c r="X51" s="92"/>
    </row>
    <row r="52" spans="1:24" s="336" customFormat="1" x14ac:dyDescent="0.25">
      <c r="A52" s="333"/>
      <c r="B52" s="333"/>
      <c r="C52" s="333"/>
      <c r="D52" s="333"/>
      <c r="E52" s="333"/>
      <c r="W52" s="333"/>
      <c r="X52" s="333"/>
    </row>
    <row r="53" spans="1:24" x14ac:dyDescent="0.25">
      <c r="A53" s="421" t="s">
        <v>498</v>
      </c>
      <c r="B53" s="421" t="s">
        <v>500</v>
      </c>
      <c r="W53" s="92"/>
      <c r="X53" s="92"/>
    </row>
    <row r="54" spans="1:24" x14ac:dyDescent="0.25">
      <c r="A54" s="391" t="s">
        <v>1249</v>
      </c>
      <c r="B54" s="383" t="s">
        <v>1191</v>
      </c>
    </row>
    <row r="56" spans="1:24" x14ac:dyDescent="0.25">
      <c r="A56" s="377" t="s">
        <v>826</v>
      </c>
      <c r="B56" s="346" t="s">
        <v>825</v>
      </c>
      <c r="C56" s="346"/>
      <c r="D56" s="347"/>
      <c r="E56"/>
    </row>
    <row r="57" spans="1:24" x14ac:dyDescent="0.25">
      <c r="A57" s="378" t="s">
        <v>414</v>
      </c>
      <c r="B57" s="344" t="s">
        <v>511</v>
      </c>
      <c r="C57" s="344" t="s">
        <v>513</v>
      </c>
      <c r="D57" s="348" t="s">
        <v>415</v>
      </c>
      <c r="E57"/>
    </row>
    <row r="58" spans="1:24" x14ac:dyDescent="0.25">
      <c r="A58" s="388" t="s">
        <v>554</v>
      </c>
      <c r="B58" s="389">
        <v>52295</v>
      </c>
      <c r="C58" s="389">
        <v>38253</v>
      </c>
      <c r="D58" s="390">
        <v>90548</v>
      </c>
      <c r="E58"/>
    </row>
    <row r="59" spans="1:24" x14ac:dyDescent="0.25">
      <c r="A59" s="388" t="s">
        <v>12</v>
      </c>
      <c r="B59" s="389">
        <v>4611</v>
      </c>
      <c r="C59" s="389">
        <v>2773</v>
      </c>
      <c r="D59" s="390">
        <v>7384</v>
      </c>
      <c r="E59"/>
    </row>
    <row r="60" spans="1:24" x14ac:dyDescent="0.25">
      <c r="A60" s="388" t="s">
        <v>986</v>
      </c>
      <c r="B60" s="389">
        <v>49</v>
      </c>
      <c r="C60" s="389">
        <v>1047</v>
      </c>
      <c r="D60" s="390">
        <v>1096</v>
      </c>
      <c r="E60"/>
    </row>
    <row r="61" spans="1:24" x14ac:dyDescent="0.25">
      <c r="A61" s="380" t="s">
        <v>415</v>
      </c>
      <c r="B61" s="381">
        <v>56955</v>
      </c>
      <c r="C61" s="381">
        <v>42073</v>
      </c>
      <c r="D61" s="382">
        <v>99028</v>
      </c>
      <c r="E61"/>
    </row>
    <row r="62" spans="1:24" x14ac:dyDescent="0.25">
      <c r="A62"/>
      <c r="B62"/>
      <c r="C62"/>
      <c r="D62"/>
    </row>
    <row r="65" spans="1:5" x14ac:dyDescent="0.25">
      <c r="A65" s="375" t="s">
        <v>498</v>
      </c>
      <c r="B65" s="376" t="s">
        <v>500</v>
      </c>
    </row>
    <row r="66" spans="1:5" x14ac:dyDescent="0.25">
      <c r="A66" s="375" t="s">
        <v>1249</v>
      </c>
      <c r="B66" s="376" t="s">
        <v>1191</v>
      </c>
    </row>
    <row r="68" spans="1:5" x14ac:dyDescent="0.25">
      <c r="A68" s="398" t="s">
        <v>940</v>
      </c>
      <c r="B68" s="399" t="s">
        <v>825</v>
      </c>
      <c r="C68" s="364"/>
      <c r="D68" s="365"/>
      <c r="E68"/>
    </row>
    <row r="69" spans="1:5" x14ac:dyDescent="0.25">
      <c r="A69" s="400" t="s">
        <v>414</v>
      </c>
      <c r="B69" s="334" t="s">
        <v>511</v>
      </c>
      <c r="C69" s="334" t="s">
        <v>513</v>
      </c>
      <c r="D69" s="363" t="s">
        <v>415</v>
      </c>
      <c r="E69"/>
    </row>
    <row r="70" spans="1:5" x14ac:dyDescent="0.25">
      <c r="A70" s="401" t="s">
        <v>554</v>
      </c>
      <c r="B70" s="349">
        <v>146</v>
      </c>
      <c r="C70" s="349">
        <v>15</v>
      </c>
      <c r="D70" s="402">
        <v>161</v>
      </c>
      <c r="E70"/>
    </row>
    <row r="71" spans="1:5" x14ac:dyDescent="0.25">
      <c r="A71" s="401" t="s">
        <v>12</v>
      </c>
      <c r="B71" s="349">
        <v>21</v>
      </c>
      <c r="C71" s="349">
        <v>4</v>
      </c>
      <c r="D71" s="402">
        <v>25</v>
      </c>
      <c r="E71"/>
    </row>
    <row r="72" spans="1:5" x14ac:dyDescent="0.25">
      <c r="A72" s="401" t="s">
        <v>986</v>
      </c>
      <c r="B72" s="349">
        <v>1</v>
      </c>
      <c r="C72" s="349">
        <v>1</v>
      </c>
      <c r="D72" s="402">
        <v>2</v>
      </c>
      <c r="E72"/>
    </row>
    <row r="73" spans="1:5" x14ac:dyDescent="0.25">
      <c r="A73" s="403" t="s">
        <v>415</v>
      </c>
      <c r="B73" s="404">
        <v>168</v>
      </c>
      <c r="C73" s="404">
        <v>20</v>
      </c>
      <c r="D73" s="405">
        <v>188</v>
      </c>
      <c r="E73"/>
    </row>
    <row r="74" spans="1:5" x14ac:dyDescent="0.25">
      <c r="A74"/>
      <c r="B74"/>
      <c r="C74"/>
      <c r="D74"/>
    </row>
    <row r="78" spans="1:5" x14ac:dyDescent="0.25">
      <c r="A78" s="421" t="s">
        <v>498</v>
      </c>
      <c r="B78" s="422" t="s">
        <v>500</v>
      </c>
    </row>
    <row r="79" spans="1:5" x14ac:dyDescent="0.25">
      <c r="A79" s="449" t="s">
        <v>1249</v>
      </c>
      <c r="B79" s="448" t="s">
        <v>1191</v>
      </c>
      <c r="C79" s="260" t="s">
        <v>421</v>
      </c>
    </row>
    <row r="81" spans="1:4" x14ac:dyDescent="0.25">
      <c r="A81" s="377" t="s">
        <v>414</v>
      </c>
      <c r="B81" s="346" t="s">
        <v>1175</v>
      </c>
      <c r="C81" s="346" t="s">
        <v>826</v>
      </c>
      <c r="D81" s="347" t="s">
        <v>1176</v>
      </c>
    </row>
    <row r="82" spans="1:4" x14ac:dyDescent="0.25">
      <c r="A82" s="379" t="s">
        <v>380</v>
      </c>
      <c r="B82" s="384">
        <v>140</v>
      </c>
      <c r="C82" s="384">
        <v>86059</v>
      </c>
      <c r="D82" s="392">
        <v>0.86903704002908266</v>
      </c>
    </row>
    <row r="83" spans="1:4" x14ac:dyDescent="0.25">
      <c r="A83" s="372" t="s">
        <v>511</v>
      </c>
      <c r="B83" s="370"/>
      <c r="C83" s="370"/>
      <c r="D83" s="393"/>
    </row>
    <row r="84" spans="1:4" x14ac:dyDescent="0.25">
      <c r="A84" s="394" t="s">
        <v>986</v>
      </c>
      <c r="B84" s="370">
        <v>1</v>
      </c>
      <c r="C84" s="370">
        <v>49</v>
      </c>
      <c r="D84" s="395">
        <v>4.9480954881447675E-4</v>
      </c>
    </row>
    <row r="85" spans="1:4" x14ac:dyDescent="0.25">
      <c r="A85" s="394" t="s">
        <v>554</v>
      </c>
      <c r="B85" s="370">
        <v>104</v>
      </c>
      <c r="C85" s="370">
        <v>40928</v>
      </c>
      <c r="D85" s="395">
        <v>0.41329724926283473</v>
      </c>
    </row>
    <row r="86" spans="1:4" x14ac:dyDescent="0.25">
      <c r="A86" s="394" t="s">
        <v>12</v>
      </c>
      <c r="B86" s="370">
        <v>18</v>
      </c>
      <c r="C86" s="370">
        <v>4091</v>
      </c>
      <c r="D86" s="395">
        <v>4.1311548248980083E-2</v>
      </c>
    </row>
    <row r="87" spans="1:4" x14ac:dyDescent="0.25">
      <c r="A87" s="372" t="s">
        <v>513</v>
      </c>
      <c r="B87" s="370"/>
      <c r="C87" s="370"/>
      <c r="D87" s="395"/>
    </row>
    <row r="88" spans="1:4" x14ac:dyDescent="0.25">
      <c r="A88" s="394" t="s">
        <v>986</v>
      </c>
      <c r="B88" s="370">
        <v>1</v>
      </c>
      <c r="C88" s="370">
        <v>1047</v>
      </c>
      <c r="D88" s="395">
        <v>1.05727672981379E-2</v>
      </c>
    </row>
    <row r="89" spans="1:4" x14ac:dyDescent="0.25">
      <c r="A89" s="394" t="s">
        <v>554</v>
      </c>
      <c r="B89" s="370">
        <v>15</v>
      </c>
      <c r="C89" s="370">
        <v>38253</v>
      </c>
      <c r="D89" s="395">
        <v>0.38628468715918729</v>
      </c>
    </row>
    <row r="90" spans="1:4" x14ac:dyDescent="0.25">
      <c r="A90" s="394" t="s">
        <v>12</v>
      </c>
      <c r="B90" s="370">
        <v>1</v>
      </c>
      <c r="C90" s="370">
        <v>1691</v>
      </c>
      <c r="D90" s="395">
        <v>1.7075978511128166E-2</v>
      </c>
    </row>
    <row r="91" spans="1:4" x14ac:dyDescent="0.25">
      <c r="A91" s="396" t="s">
        <v>553</v>
      </c>
      <c r="B91" s="370">
        <v>48</v>
      </c>
      <c r="C91" s="370">
        <v>12969</v>
      </c>
      <c r="D91" s="395">
        <v>0.13096295997091731</v>
      </c>
    </row>
    <row r="92" spans="1:4" x14ac:dyDescent="0.25">
      <c r="A92" s="373" t="s">
        <v>415</v>
      </c>
      <c r="B92" s="374">
        <v>188</v>
      </c>
      <c r="C92" s="374">
        <v>99028</v>
      </c>
      <c r="D92" s="397">
        <v>1</v>
      </c>
    </row>
    <row r="93" spans="1:4" x14ac:dyDescent="0.25">
      <c r="A93"/>
      <c r="B93"/>
      <c r="C93"/>
      <c r="D93"/>
    </row>
    <row r="94" spans="1:4" x14ac:dyDescent="0.25">
      <c r="A94"/>
      <c r="B94"/>
      <c r="C94"/>
      <c r="D94"/>
    </row>
    <row r="95" spans="1:4" x14ac:dyDescent="0.25">
      <c r="A95" s="261"/>
      <c r="B95" s="261"/>
      <c r="C95" s="261"/>
      <c r="D95" s="261"/>
    </row>
    <row r="96" spans="1:4" x14ac:dyDescent="0.25">
      <c r="A96" s="261"/>
      <c r="B96" s="261"/>
      <c r="C96" s="261"/>
      <c r="D96" s="261"/>
    </row>
    <row r="97" spans="1:4" x14ac:dyDescent="0.25">
      <c r="A97" s="261"/>
      <c r="B97" s="261"/>
      <c r="C97" s="261"/>
      <c r="D97" s="261"/>
    </row>
    <row r="98" spans="1:4" x14ac:dyDescent="0.25">
      <c r="A98" s="261"/>
      <c r="B98" s="261"/>
      <c r="C98" s="261"/>
      <c r="D98" s="261"/>
    </row>
    <row r="99" spans="1:4" x14ac:dyDescent="0.25">
      <c r="A99" s="261"/>
      <c r="B99" s="261"/>
      <c r="C99" s="261"/>
      <c r="D99" s="261"/>
    </row>
    <row r="100" spans="1:4" x14ac:dyDescent="0.25">
      <c r="A100" s="261"/>
      <c r="B100" s="261"/>
      <c r="C100" s="261"/>
      <c r="D100" s="261"/>
    </row>
    <row r="101" spans="1:4" x14ac:dyDescent="0.25">
      <c r="A101" s="261"/>
      <c r="B101" s="261"/>
      <c r="C101" s="261"/>
      <c r="D101" s="261"/>
    </row>
    <row r="102" spans="1:4" x14ac:dyDescent="0.25">
      <c r="A102" s="261"/>
      <c r="B102" s="261"/>
      <c r="C102" s="261"/>
      <c r="D102" s="261"/>
    </row>
    <row r="103" spans="1:4" x14ac:dyDescent="0.25">
      <c r="A103" s="261"/>
      <c r="B103" s="261"/>
      <c r="C103" s="261"/>
      <c r="D103" s="261"/>
    </row>
    <row r="104" spans="1:4" x14ac:dyDescent="0.25">
      <c r="A104" s="261"/>
      <c r="B104" s="261"/>
      <c r="C104" s="261"/>
      <c r="D104" s="261"/>
    </row>
    <row r="105" spans="1:4" x14ac:dyDescent="0.25">
      <c r="A105" s="261"/>
      <c r="B105" s="261"/>
      <c r="C105" s="261"/>
      <c r="D105" s="261"/>
    </row>
    <row r="106" spans="1:4" x14ac:dyDescent="0.25">
      <c r="A106" s="261"/>
      <c r="B106" s="261"/>
      <c r="C106" s="261"/>
      <c r="D106" s="261"/>
    </row>
    <row r="107" spans="1:4" x14ac:dyDescent="0.25">
      <c r="A107" s="261"/>
      <c r="B107" s="261"/>
      <c r="C107" s="261"/>
      <c r="D107" s="261"/>
    </row>
    <row r="108" spans="1:4" x14ac:dyDescent="0.25">
      <c r="A108" s="261"/>
      <c r="B108" s="261"/>
      <c r="C108" s="261"/>
      <c r="D108" s="261"/>
    </row>
    <row r="109" spans="1:4" x14ac:dyDescent="0.25">
      <c r="A109" s="261"/>
      <c r="B109" s="261"/>
      <c r="C109" s="261"/>
      <c r="D109" s="261"/>
    </row>
    <row r="110" spans="1:4" x14ac:dyDescent="0.25">
      <c r="A110" s="261"/>
      <c r="B110" s="261"/>
      <c r="C110" s="261"/>
      <c r="D110" s="261"/>
    </row>
    <row r="111" spans="1:4" x14ac:dyDescent="0.25">
      <c r="A111" s="261"/>
      <c r="B111" s="261"/>
      <c r="C111" s="261"/>
      <c r="D111" s="261"/>
    </row>
    <row r="112" spans="1:4" x14ac:dyDescent="0.25">
      <c r="A112" s="261"/>
      <c r="B112" s="261"/>
      <c r="C112" s="261"/>
      <c r="D112" s="261"/>
    </row>
    <row r="113" spans="1:4" x14ac:dyDescent="0.25">
      <c r="A113" s="261"/>
      <c r="B113" s="261"/>
      <c r="C113" s="261"/>
      <c r="D113" s="261"/>
    </row>
    <row r="114" spans="1:4" x14ac:dyDescent="0.25">
      <c r="A114" s="261"/>
      <c r="B114" s="261"/>
      <c r="C114" s="261"/>
      <c r="D114" s="261"/>
    </row>
    <row r="115" spans="1:4" x14ac:dyDescent="0.25">
      <c r="A115" s="261"/>
      <c r="B115" s="261"/>
      <c r="C115" s="261"/>
      <c r="D115" s="261"/>
    </row>
    <row r="116" spans="1:4" x14ac:dyDescent="0.25">
      <c r="A116" s="261"/>
      <c r="B116" s="261"/>
      <c r="C116" s="261"/>
      <c r="D116" s="261"/>
    </row>
    <row r="117" spans="1:4" x14ac:dyDescent="0.25">
      <c r="A117" s="261"/>
      <c r="B117" s="261"/>
      <c r="C117" s="261"/>
      <c r="D117" s="261"/>
    </row>
    <row r="118" spans="1:4" x14ac:dyDescent="0.25">
      <c r="A118" s="261"/>
      <c r="B118" s="261"/>
      <c r="C118" s="261"/>
      <c r="D118" s="261"/>
    </row>
    <row r="119" spans="1:4" x14ac:dyDescent="0.25">
      <c r="A119" s="261"/>
      <c r="B119" s="261"/>
      <c r="C119" s="261"/>
      <c r="D119" s="261"/>
    </row>
    <row r="120" spans="1:4" x14ac:dyDescent="0.25">
      <c r="A120" s="261"/>
      <c r="B120" s="261"/>
      <c r="C120" s="261"/>
      <c r="D120" s="261"/>
    </row>
    <row r="121" spans="1:4" x14ac:dyDescent="0.25">
      <c r="A121" s="261"/>
      <c r="B121" s="261"/>
      <c r="C121" s="261"/>
      <c r="D121" s="261"/>
    </row>
    <row r="122" spans="1:4" x14ac:dyDescent="0.25">
      <c r="A122" s="261"/>
      <c r="B122" s="261"/>
      <c r="C122" s="261"/>
      <c r="D122" s="261"/>
    </row>
    <row r="123" spans="1:4" x14ac:dyDescent="0.25">
      <c r="A123" s="261"/>
      <c r="B123" s="261"/>
      <c r="C123" s="261"/>
      <c r="D123" s="261"/>
    </row>
    <row r="124" spans="1:4" x14ac:dyDescent="0.25">
      <c r="A124" s="261"/>
      <c r="B124" s="261"/>
      <c r="C124" s="261"/>
      <c r="D124" s="261"/>
    </row>
    <row r="125" spans="1:4" x14ac:dyDescent="0.25">
      <c r="A125" s="261"/>
      <c r="B125" s="261"/>
      <c r="C125" s="261"/>
      <c r="D125" s="261"/>
    </row>
    <row r="126" spans="1:4" x14ac:dyDescent="0.25">
      <c r="A126" s="261"/>
      <c r="B126" s="261"/>
      <c r="C126" s="261"/>
      <c r="D126" s="261"/>
    </row>
    <row r="127" spans="1:4" x14ac:dyDescent="0.25">
      <c r="A127" s="261"/>
      <c r="B127" s="261"/>
      <c r="C127" s="261"/>
      <c r="D127" s="261"/>
    </row>
    <row r="128" spans="1:4" x14ac:dyDescent="0.25">
      <c r="A128" s="261"/>
      <c r="B128" s="261"/>
      <c r="C128" s="261"/>
      <c r="D128" s="261"/>
    </row>
    <row r="129" spans="1:4" x14ac:dyDescent="0.25">
      <c r="A129" s="261"/>
      <c r="B129" s="261"/>
      <c r="C129" s="261"/>
      <c r="D129" s="261"/>
    </row>
    <row r="130" spans="1:4" x14ac:dyDescent="0.25">
      <c r="A130" s="261"/>
      <c r="B130" s="261"/>
      <c r="C130" s="261"/>
      <c r="D130" s="261"/>
    </row>
    <row r="131" spans="1:4" x14ac:dyDescent="0.25">
      <c r="A131" s="261"/>
      <c r="B131" s="261"/>
      <c r="C131" s="261"/>
      <c r="D131" s="261"/>
    </row>
    <row r="132" spans="1:4" x14ac:dyDescent="0.25">
      <c r="A132" s="261"/>
      <c r="B132" s="261"/>
      <c r="C132" s="261"/>
      <c r="D132" s="261"/>
    </row>
    <row r="133" spans="1:4" x14ac:dyDescent="0.25">
      <c r="A133" s="261"/>
      <c r="B133" s="261"/>
      <c r="C133" s="261"/>
      <c r="D133" s="261"/>
    </row>
    <row r="134" spans="1:4" x14ac:dyDescent="0.25">
      <c r="A134" s="261"/>
      <c r="B134" s="261"/>
      <c r="C134" s="261"/>
      <c r="D134" s="261"/>
    </row>
    <row r="135" spans="1:4" x14ac:dyDescent="0.25">
      <c r="A135" s="261"/>
      <c r="B135" s="261"/>
      <c r="C135" s="261"/>
      <c r="D135" s="261"/>
    </row>
    <row r="136" spans="1:4" x14ac:dyDescent="0.25">
      <c r="A136" s="261"/>
      <c r="B136" s="261"/>
      <c r="C136" s="261"/>
      <c r="D136" s="261"/>
    </row>
    <row r="137" spans="1:4" x14ac:dyDescent="0.25">
      <c r="A137" s="261"/>
      <c r="B137" s="261"/>
      <c r="C137" s="261"/>
      <c r="D137" s="261"/>
    </row>
    <row r="138" spans="1:4" x14ac:dyDescent="0.25">
      <c r="A138" s="261"/>
      <c r="B138" s="261"/>
      <c r="C138" s="261"/>
      <c r="D138" s="261"/>
    </row>
    <row r="139" spans="1:4" x14ac:dyDescent="0.25">
      <c r="A139" s="261"/>
      <c r="B139" s="261"/>
      <c r="C139" s="261"/>
      <c r="D139" s="261"/>
    </row>
    <row r="140" spans="1:4" x14ac:dyDescent="0.25">
      <c r="A140" s="261"/>
      <c r="B140" s="261"/>
      <c r="C140" s="261"/>
      <c r="D140" s="261"/>
    </row>
    <row r="141" spans="1:4" x14ac:dyDescent="0.25">
      <c r="A141" s="261"/>
      <c r="B141" s="261"/>
      <c r="C141" s="261"/>
      <c r="D141" s="261"/>
    </row>
    <row r="142" spans="1:4" x14ac:dyDescent="0.25">
      <c r="A142" s="261"/>
      <c r="B142" s="261"/>
      <c r="C142" s="261"/>
      <c r="D142" s="261"/>
    </row>
    <row r="143" spans="1:4" x14ac:dyDescent="0.25">
      <c r="A143" s="261"/>
      <c r="B143" s="261"/>
      <c r="C143" s="261"/>
      <c r="D143" s="261"/>
    </row>
    <row r="144" spans="1:4" x14ac:dyDescent="0.25">
      <c r="A144" s="261"/>
      <c r="B144" s="261"/>
      <c r="C144" s="261"/>
      <c r="D144" s="261"/>
    </row>
    <row r="145" spans="1:4" x14ac:dyDescent="0.25">
      <c r="A145" s="261"/>
      <c r="B145" s="261"/>
      <c r="C145" s="261"/>
      <c r="D145" s="261"/>
    </row>
    <row r="146" spans="1:4" x14ac:dyDescent="0.25">
      <c r="A146" s="261"/>
      <c r="B146" s="261"/>
      <c r="C146" s="261"/>
      <c r="D146" s="261"/>
    </row>
    <row r="147" spans="1:4" x14ac:dyDescent="0.25">
      <c r="A147" s="261"/>
      <c r="B147" s="261"/>
      <c r="C147" s="261"/>
      <c r="D147" s="261"/>
    </row>
    <row r="148" spans="1:4" x14ac:dyDescent="0.25">
      <c r="A148" s="261"/>
      <c r="B148" s="261"/>
      <c r="C148" s="261"/>
      <c r="D148" s="261"/>
    </row>
    <row r="149" spans="1:4" x14ac:dyDescent="0.25">
      <c r="A149" s="261"/>
      <c r="B149" s="261"/>
      <c r="C149" s="261"/>
      <c r="D149" s="261"/>
    </row>
    <row r="150" spans="1:4" x14ac:dyDescent="0.25">
      <c r="A150" s="261"/>
      <c r="B150" s="261"/>
      <c r="C150" s="261"/>
      <c r="D150" s="261"/>
    </row>
    <row r="151" spans="1:4" x14ac:dyDescent="0.25">
      <c r="A151" s="261"/>
      <c r="B151" s="261"/>
      <c r="C151" s="261"/>
      <c r="D151" s="261"/>
    </row>
    <row r="152" spans="1:4" x14ac:dyDescent="0.25">
      <c r="A152" s="261"/>
      <c r="B152" s="261"/>
      <c r="C152" s="261"/>
      <c r="D152" s="261"/>
    </row>
    <row r="153" spans="1:4" x14ac:dyDescent="0.25">
      <c r="A153" s="261"/>
      <c r="B153" s="261"/>
      <c r="C153" s="261"/>
      <c r="D153" s="261"/>
    </row>
    <row r="154" spans="1:4" x14ac:dyDescent="0.25">
      <c r="A154" s="261"/>
      <c r="B154" s="261"/>
      <c r="C154" s="261"/>
      <c r="D154" s="261"/>
    </row>
    <row r="155" spans="1:4" x14ac:dyDescent="0.25">
      <c r="A155" s="261"/>
      <c r="B155" s="261"/>
      <c r="C155" s="261"/>
      <c r="D155" s="261"/>
    </row>
    <row r="156" spans="1:4" x14ac:dyDescent="0.25">
      <c r="A156" s="261"/>
      <c r="B156" s="261"/>
      <c r="C156" s="261"/>
      <c r="D156" s="261"/>
    </row>
    <row r="157" spans="1:4" x14ac:dyDescent="0.25">
      <c r="A157" s="261"/>
      <c r="B157" s="261"/>
      <c r="C157" s="261"/>
      <c r="D157" s="261"/>
    </row>
    <row r="158" spans="1:4" x14ac:dyDescent="0.25">
      <c r="A158" s="92"/>
      <c r="B158" s="92"/>
      <c r="C158" s="92"/>
      <c r="D158" s="92"/>
    </row>
    <row r="159" spans="1:4" x14ac:dyDescent="0.25">
      <c r="A159" s="92"/>
      <c r="B159" s="92"/>
      <c r="C159" s="92"/>
      <c r="D159" s="92"/>
    </row>
    <row r="160" spans="1:4" x14ac:dyDescent="0.25">
      <c r="A160" s="92"/>
      <c r="B160" s="92"/>
      <c r="C160" s="92"/>
      <c r="D160" s="92"/>
    </row>
    <row r="161" spans="1:4" x14ac:dyDescent="0.25">
      <c r="A161" s="92"/>
      <c r="B161" s="92"/>
      <c r="C161" s="92"/>
      <c r="D161" s="92"/>
    </row>
    <row r="162" spans="1:4" x14ac:dyDescent="0.25">
      <c r="A162" s="92"/>
      <c r="B162" s="92"/>
      <c r="C162" s="92"/>
      <c r="D162" s="92"/>
    </row>
    <row r="163" spans="1:4" x14ac:dyDescent="0.25">
      <c r="A163" s="92"/>
      <c r="B163" s="92"/>
      <c r="C163" s="92"/>
      <c r="D163" s="92"/>
    </row>
    <row r="164" spans="1:4" x14ac:dyDescent="0.25">
      <c r="A164" s="92"/>
      <c r="B164" s="92"/>
      <c r="C164" s="92"/>
      <c r="D164" s="92"/>
    </row>
    <row r="165" spans="1:4" x14ac:dyDescent="0.25">
      <c r="A165" s="92"/>
      <c r="B165" s="92"/>
      <c r="C165" s="92"/>
      <c r="D165" s="92"/>
    </row>
    <row r="166" spans="1:4" x14ac:dyDescent="0.25">
      <c r="A166" s="92"/>
      <c r="B166" s="92"/>
      <c r="C166" s="92"/>
      <c r="D166" s="92"/>
    </row>
    <row r="167" spans="1:4" x14ac:dyDescent="0.25">
      <c r="A167" s="92"/>
      <c r="B167" s="92"/>
      <c r="C167" s="92"/>
      <c r="D167" s="92"/>
    </row>
    <row r="168" spans="1:4" x14ac:dyDescent="0.25">
      <c r="A168" s="92"/>
      <c r="B168" s="92"/>
      <c r="C168" s="92"/>
      <c r="D168" s="92"/>
    </row>
    <row r="169" spans="1:4" x14ac:dyDescent="0.25">
      <c r="A169" s="92"/>
      <c r="B169" s="92"/>
      <c r="C169" s="92"/>
      <c r="D169" s="92"/>
    </row>
    <row r="170" spans="1:4" x14ac:dyDescent="0.25">
      <c r="A170" s="92"/>
      <c r="B170" s="92"/>
      <c r="C170" s="92"/>
      <c r="D170" s="92"/>
    </row>
    <row r="171" spans="1:4" x14ac:dyDescent="0.25">
      <c r="A171" s="92"/>
      <c r="B171" s="92"/>
      <c r="C171" s="92"/>
      <c r="D171" s="92"/>
    </row>
    <row r="172" spans="1:4" x14ac:dyDescent="0.25">
      <c r="A172" s="92"/>
      <c r="B172" s="92"/>
      <c r="C172" s="92"/>
      <c r="D172" s="92"/>
    </row>
    <row r="173" spans="1:4" x14ac:dyDescent="0.25">
      <c r="A173" s="92"/>
      <c r="B173" s="92"/>
      <c r="C173" s="92"/>
      <c r="D173" s="92"/>
    </row>
    <row r="174" spans="1:4" x14ac:dyDescent="0.25">
      <c r="A174" s="92"/>
      <c r="B174" s="92"/>
      <c r="C174" s="92"/>
      <c r="D174" s="92"/>
    </row>
    <row r="175" spans="1:4" x14ac:dyDescent="0.25">
      <c r="A175" s="92"/>
      <c r="B175" s="92"/>
      <c r="C175" s="92"/>
      <c r="D175" s="92"/>
    </row>
    <row r="176" spans="1:4" x14ac:dyDescent="0.25">
      <c r="A176" s="92"/>
      <c r="B176" s="92"/>
      <c r="C176" s="92"/>
      <c r="D176" s="92"/>
    </row>
    <row r="177" spans="1:4" x14ac:dyDescent="0.25">
      <c r="A177" s="92"/>
      <c r="B177" s="92"/>
      <c r="C177" s="92"/>
      <c r="D177" s="92"/>
    </row>
    <row r="178" spans="1:4" x14ac:dyDescent="0.25">
      <c r="A178" s="92"/>
      <c r="B178" s="92"/>
      <c r="C178" s="92"/>
      <c r="D178" s="92"/>
    </row>
    <row r="179" spans="1:4" x14ac:dyDescent="0.25">
      <c r="A179" s="92"/>
      <c r="B179" s="92"/>
      <c r="C179" s="92"/>
      <c r="D179" s="92"/>
    </row>
    <row r="180" spans="1:4" x14ac:dyDescent="0.25">
      <c r="A180" s="92"/>
      <c r="B180" s="92"/>
      <c r="C180" s="92"/>
      <c r="D180" s="92"/>
    </row>
    <row r="181" spans="1:4" x14ac:dyDescent="0.25">
      <c r="A181" s="92"/>
      <c r="B181" s="92"/>
      <c r="C181" s="92"/>
      <c r="D181" s="92"/>
    </row>
    <row r="182" spans="1:4" x14ac:dyDescent="0.25">
      <c r="A182" s="92"/>
      <c r="B182" s="92"/>
      <c r="C182" s="92"/>
      <c r="D182" s="92"/>
    </row>
    <row r="183" spans="1:4" x14ac:dyDescent="0.25">
      <c r="A183" s="92"/>
      <c r="B183" s="92"/>
      <c r="C183" s="92"/>
      <c r="D183" s="92"/>
    </row>
    <row r="184" spans="1:4" x14ac:dyDescent="0.25">
      <c r="A184" s="92"/>
      <c r="B184" s="92"/>
      <c r="C184" s="92"/>
      <c r="D184" s="92"/>
    </row>
    <row r="185" spans="1:4" x14ac:dyDescent="0.25">
      <c r="A185" s="92"/>
      <c r="B185" s="92"/>
      <c r="C185" s="92"/>
      <c r="D185" s="92"/>
    </row>
    <row r="186" spans="1:4" x14ac:dyDescent="0.25">
      <c r="A186" s="92"/>
      <c r="B186" s="92"/>
      <c r="C186" s="92"/>
      <c r="D186" s="92"/>
    </row>
    <row r="187" spans="1:4" x14ac:dyDescent="0.25">
      <c r="A187" s="92"/>
      <c r="B187" s="92"/>
      <c r="C187" s="92"/>
      <c r="D187" s="92"/>
    </row>
    <row r="188" spans="1:4" x14ac:dyDescent="0.25">
      <c r="A188" s="92"/>
      <c r="B188" s="92"/>
      <c r="C188" s="92"/>
      <c r="D188" s="92"/>
    </row>
    <row r="189" spans="1:4" x14ac:dyDescent="0.25">
      <c r="A189" s="92"/>
      <c r="B189" s="92"/>
      <c r="C189" s="92"/>
      <c r="D189" s="92"/>
    </row>
    <row r="190" spans="1:4" x14ac:dyDescent="0.25">
      <c r="A190" s="92"/>
      <c r="B190" s="92"/>
      <c r="C190" s="92"/>
      <c r="D190" s="92"/>
    </row>
    <row r="191" spans="1:4" x14ac:dyDescent="0.25">
      <c r="A191" s="92"/>
      <c r="B191" s="92"/>
      <c r="C191" s="92"/>
      <c r="D191" s="92"/>
    </row>
    <row r="192" spans="1:4" x14ac:dyDescent="0.25">
      <c r="A192" s="92"/>
      <c r="B192" s="92"/>
      <c r="C192" s="92"/>
      <c r="D192" s="92"/>
    </row>
    <row r="193" spans="1:4" x14ac:dyDescent="0.25">
      <c r="A193" s="92"/>
      <c r="B193" s="92"/>
      <c r="C193" s="92"/>
      <c r="D193" s="92"/>
    </row>
    <row r="194" spans="1:4" x14ac:dyDescent="0.25">
      <c r="A194" s="92"/>
      <c r="B194" s="92"/>
      <c r="C194" s="92"/>
      <c r="D194" s="92"/>
    </row>
    <row r="195" spans="1:4" x14ac:dyDescent="0.25">
      <c r="A195" s="92"/>
      <c r="B195" s="92"/>
      <c r="C195" s="92"/>
      <c r="D195" s="92"/>
    </row>
    <row r="196" spans="1:4" x14ac:dyDescent="0.25">
      <c r="A196" s="92"/>
      <c r="B196" s="92"/>
      <c r="C196" s="92"/>
      <c r="D196" s="92"/>
    </row>
    <row r="197" spans="1:4" x14ac:dyDescent="0.25">
      <c r="A197" s="92"/>
      <c r="B197" s="92"/>
      <c r="C197" s="92"/>
      <c r="D197" s="92"/>
    </row>
    <row r="198" spans="1:4" x14ac:dyDescent="0.25">
      <c r="A198" s="92"/>
      <c r="B198" s="92"/>
      <c r="C198" s="92"/>
      <c r="D198" s="92"/>
    </row>
    <row r="199" spans="1:4" x14ac:dyDescent="0.25">
      <c r="A199" s="92"/>
      <c r="B199" s="92"/>
      <c r="C199" s="92"/>
      <c r="D199" s="92"/>
    </row>
    <row r="200" spans="1:4" x14ac:dyDescent="0.25">
      <c r="A200" s="92"/>
      <c r="B200" s="92"/>
      <c r="C200" s="92"/>
      <c r="D200" s="92"/>
    </row>
    <row r="201" spans="1:4" x14ac:dyDescent="0.25">
      <c r="A201" s="92"/>
      <c r="B201" s="92"/>
      <c r="C201" s="92"/>
      <c r="D201" s="92"/>
    </row>
    <row r="202" spans="1:4" x14ac:dyDescent="0.25">
      <c r="A202" s="92"/>
      <c r="B202" s="92"/>
      <c r="C202" s="92"/>
      <c r="D202" s="92"/>
    </row>
    <row r="203" spans="1:4" x14ac:dyDescent="0.25">
      <c r="A203" s="92"/>
      <c r="B203" s="92"/>
      <c r="C203" s="92"/>
      <c r="D203" s="92"/>
    </row>
    <row r="204" spans="1:4" x14ac:dyDescent="0.25">
      <c r="A204" s="92"/>
      <c r="B204" s="92"/>
      <c r="C204" s="92"/>
      <c r="D204" s="92"/>
    </row>
    <row r="205" spans="1:4" x14ac:dyDescent="0.25">
      <c r="A205" s="92"/>
      <c r="B205" s="92"/>
      <c r="C205" s="92"/>
      <c r="D205" s="92"/>
    </row>
    <row r="206" spans="1:4" x14ac:dyDescent="0.25">
      <c r="A206" s="92"/>
      <c r="B206" s="92"/>
      <c r="C206" s="92"/>
      <c r="D206" s="92"/>
    </row>
    <row r="207" spans="1:4" x14ac:dyDescent="0.25">
      <c r="A207" s="92"/>
      <c r="B207" s="92"/>
      <c r="C207" s="92"/>
      <c r="D207" s="92"/>
    </row>
    <row r="208" spans="1:4" x14ac:dyDescent="0.25">
      <c r="A208" s="92"/>
      <c r="B208" s="92"/>
      <c r="C208" s="92"/>
      <c r="D208" s="92"/>
    </row>
    <row r="209" spans="1:4" x14ac:dyDescent="0.25">
      <c r="A209" s="92"/>
      <c r="B209" s="92"/>
      <c r="C209" s="92"/>
      <c r="D209" s="92"/>
    </row>
    <row r="210" spans="1:4" x14ac:dyDescent="0.25">
      <c r="A210" s="92"/>
      <c r="B210" s="92"/>
      <c r="C210" s="92"/>
      <c r="D210" s="92"/>
    </row>
    <row r="211" spans="1:4" x14ac:dyDescent="0.25">
      <c r="A211" s="92"/>
      <c r="B211" s="92"/>
      <c r="C211" s="92"/>
      <c r="D211" s="92"/>
    </row>
    <row r="212" spans="1:4" x14ac:dyDescent="0.25">
      <c r="A212" s="92"/>
      <c r="B212" s="92"/>
      <c r="C212" s="92"/>
      <c r="D212" s="92"/>
    </row>
    <row r="213" spans="1:4" x14ac:dyDescent="0.25">
      <c r="A213" s="92"/>
      <c r="B213" s="92"/>
      <c r="C213" s="92"/>
      <c r="D213" s="92"/>
    </row>
    <row r="214" spans="1:4" x14ac:dyDescent="0.25">
      <c r="A214" s="92"/>
      <c r="B214" s="92"/>
      <c r="C214" s="92"/>
      <c r="D214" s="92"/>
    </row>
    <row r="215" spans="1:4" x14ac:dyDescent="0.25">
      <c r="A215" s="92"/>
      <c r="B215" s="92"/>
      <c r="C215" s="92"/>
      <c r="D215" s="92"/>
    </row>
    <row r="216" spans="1:4" x14ac:dyDescent="0.25">
      <c r="A216" s="92"/>
      <c r="B216" s="92"/>
      <c r="C216" s="92"/>
      <c r="D216" s="92"/>
    </row>
    <row r="217" spans="1:4" x14ac:dyDescent="0.25">
      <c r="A217" s="92"/>
      <c r="B217" s="92"/>
      <c r="C217" s="92"/>
      <c r="D217" s="92"/>
    </row>
    <row r="218" spans="1:4" x14ac:dyDescent="0.25">
      <c r="A218" s="92"/>
      <c r="B218" s="92"/>
      <c r="C218" s="92"/>
      <c r="D218" s="92"/>
    </row>
    <row r="219" spans="1:4" x14ac:dyDescent="0.25">
      <c r="A219" s="92"/>
      <c r="B219" s="92"/>
      <c r="C219" s="92"/>
      <c r="D219" s="92"/>
    </row>
    <row r="220" spans="1:4" x14ac:dyDescent="0.25">
      <c r="A220" s="92"/>
      <c r="B220" s="92"/>
      <c r="C220" s="92"/>
      <c r="D220" s="92"/>
    </row>
    <row r="221" spans="1:4" x14ac:dyDescent="0.25">
      <c r="A221" s="92"/>
      <c r="B221" s="92"/>
      <c r="C221" s="92"/>
      <c r="D221" s="92"/>
    </row>
    <row r="222" spans="1:4" x14ac:dyDescent="0.25">
      <c r="A222" s="92"/>
      <c r="B222" s="92"/>
      <c r="C222" s="92"/>
      <c r="D222" s="92"/>
    </row>
    <row r="223" spans="1:4" x14ac:dyDescent="0.25">
      <c r="A223" s="92"/>
      <c r="B223" s="92"/>
      <c r="C223" s="92"/>
      <c r="D223" s="92"/>
    </row>
    <row r="224" spans="1:4" x14ac:dyDescent="0.25">
      <c r="A224" s="92"/>
      <c r="B224" s="92"/>
      <c r="C224" s="92"/>
      <c r="D224" s="92"/>
    </row>
    <row r="225" spans="1:4" x14ac:dyDescent="0.25">
      <c r="A225" s="92"/>
      <c r="B225" s="92"/>
      <c r="C225" s="92"/>
      <c r="D225" s="92"/>
    </row>
    <row r="226" spans="1:4" x14ac:dyDescent="0.25">
      <c r="A226" s="92"/>
      <c r="B226" s="92"/>
      <c r="C226" s="92"/>
      <c r="D226" s="92"/>
    </row>
    <row r="227" spans="1:4" x14ac:dyDescent="0.25">
      <c r="A227" s="92"/>
      <c r="B227" s="92"/>
      <c r="C227" s="92"/>
      <c r="D227" s="92"/>
    </row>
    <row r="228" spans="1:4" x14ac:dyDescent="0.25">
      <c r="A228" s="92"/>
      <c r="B228" s="92"/>
      <c r="C228" s="92"/>
      <c r="D228" s="92"/>
    </row>
    <row r="229" spans="1:4" x14ac:dyDescent="0.25">
      <c r="A229" s="92"/>
      <c r="B229" s="92"/>
      <c r="C229" s="92"/>
      <c r="D229" s="92"/>
    </row>
    <row r="230" spans="1:4" x14ac:dyDescent="0.25">
      <c r="A230" s="92"/>
      <c r="B230" s="92"/>
      <c r="C230" s="92"/>
      <c r="D230" s="92"/>
    </row>
    <row r="231" spans="1:4" x14ac:dyDescent="0.25">
      <c r="A231" s="92"/>
      <c r="B231" s="92"/>
      <c r="C231" s="92"/>
      <c r="D231" s="92"/>
    </row>
    <row r="232" spans="1:4" x14ac:dyDescent="0.25">
      <c r="A232" s="92"/>
      <c r="B232" s="92"/>
      <c r="C232" s="92"/>
      <c r="D232" s="92"/>
    </row>
    <row r="233" spans="1:4" x14ac:dyDescent="0.25">
      <c r="A233" s="92"/>
      <c r="B233" s="92"/>
      <c r="C233" s="92"/>
      <c r="D233" s="92"/>
    </row>
    <row r="234" spans="1:4" x14ac:dyDescent="0.25">
      <c r="A234" s="92"/>
      <c r="B234" s="92"/>
      <c r="C234" s="92"/>
      <c r="D234" s="92"/>
    </row>
    <row r="235" spans="1:4" x14ac:dyDescent="0.25">
      <c r="A235" s="92"/>
      <c r="B235" s="92"/>
      <c r="C235" s="92"/>
      <c r="D235" s="92"/>
    </row>
    <row r="236" spans="1:4" x14ac:dyDescent="0.25">
      <c r="A236" s="92"/>
      <c r="B236" s="92"/>
      <c r="C236" s="92"/>
      <c r="D236" s="92"/>
    </row>
    <row r="237" spans="1:4" x14ac:dyDescent="0.25">
      <c r="A237" s="92"/>
      <c r="B237" s="92"/>
      <c r="C237" s="92"/>
      <c r="D237" s="92"/>
    </row>
    <row r="238" spans="1:4" x14ac:dyDescent="0.25">
      <c r="A238" s="92"/>
      <c r="B238" s="92"/>
      <c r="C238" s="92"/>
      <c r="D238" s="92"/>
    </row>
    <row r="239" spans="1:4" x14ac:dyDescent="0.25">
      <c r="A239" s="92"/>
      <c r="B239" s="92"/>
      <c r="C239" s="92"/>
      <c r="D239" s="92"/>
    </row>
    <row r="240" spans="1:4" x14ac:dyDescent="0.25">
      <c r="A240" s="92"/>
      <c r="B240" s="92"/>
      <c r="C240" s="92"/>
      <c r="D240" s="92"/>
    </row>
    <row r="241" spans="1:4" x14ac:dyDescent="0.25">
      <c r="A241" s="92"/>
      <c r="B241" s="92"/>
      <c r="C241" s="92"/>
      <c r="D241" s="92"/>
    </row>
    <row r="242" spans="1:4" x14ac:dyDescent="0.25">
      <c r="A242" s="92"/>
      <c r="B242" s="92"/>
      <c r="C242" s="92"/>
      <c r="D242" s="92"/>
    </row>
    <row r="243" spans="1:4" x14ac:dyDescent="0.25">
      <c r="A243" s="92"/>
      <c r="B243" s="92"/>
      <c r="C243" s="92"/>
      <c r="D243" s="92"/>
    </row>
    <row r="244" spans="1:4" x14ac:dyDescent="0.25">
      <c r="A244" s="92"/>
      <c r="B244" s="92"/>
      <c r="C244" s="92"/>
      <c r="D244" s="92"/>
    </row>
    <row r="245" spans="1:4" x14ac:dyDescent="0.25">
      <c r="A245" s="92"/>
      <c r="B245" s="92"/>
      <c r="C245" s="92"/>
      <c r="D245" s="92"/>
    </row>
    <row r="246" spans="1:4" x14ac:dyDescent="0.25">
      <c r="A246" s="92"/>
      <c r="B246" s="92"/>
      <c r="C246" s="92"/>
      <c r="D246" s="92"/>
    </row>
    <row r="247" spans="1:4" x14ac:dyDescent="0.25">
      <c r="A247" s="92"/>
      <c r="B247" s="92"/>
      <c r="C247" s="92"/>
      <c r="D247" s="92"/>
    </row>
    <row r="248" spans="1:4" x14ac:dyDescent="0.25">
      <c r="A248" s="92"/>
      <c r="B248" s="92"/>
      <c r="C248" s="92"/>
      <c r="D248" s="92"/>
    </row>
    <row r="249" spans="1:4" x14ac:dyDescent="0.25">
      <c r="A249" s="92"/>
      <c r="B249" s="92"/>
      <c r="C249" s="92"/>
      <c r="D249" s="92"/>
    </row>
    <row r="250" spans="1:4" x14ac:dyDescent="0.25">
      <c r="A250" s="92"/>
      <c r="B250" s="92"/>
      <c r="C250" s="92"/>
      <c r="D250" s="92"/>
    </row>
    <row r="251" spans="1:4" x14ac:dyDescent="0.25">
      <c r="A251" s="92"/>
      <c r="B251" s="92"/>
      <c r="C251" s="92"/>
      <c r="D251" s="92"/>
    </row>
    <row r="252" spans="1:4" x14ac:dyDescent="0.25">
      <c r="A252" s="92"/>
      <c r="B252" s="92"/>
      <c r="C252" s="92"/>
      <c r="D252" s="92"/>
    </row>
    <row r="253" spans="1:4" x14ac:dyDescent="0.25">
      <c r="A253" s="92"/>
      <c r="B253" s="92"/>
      <c r="C253" s="92"/>
      <c r="D253" s="92"/>
    </row>
    <row r="254" spans="1:4" x14ac:dyDescent="0.25">
      <c r="A254" s="92"/>
      <c r="B254" s="92"/>
      <c r="C254" s="92"/>
      <c r="D254" s="92"/>
    </row>
    <row r="255" spans="1:4" x14ac:dyDescent="0.25">
      <c r="A255" s="92"/>
      <c r="B255" s="92"/>
      <c r="C255" s="92"/>
      <c r="D255" s="92"/>
    </row>
    <row r="256" spans="1:4" x14ac:dyDescent="0.25">
      <c r="A256" s="92"/>
      <c r="B256" s="92"/>
      <c r="C256" s="92"/>
      <c r="D256" s="92"/>
    </row>
    <row r="257" spans="1:4" x14ac:dyDescent="0.25">
      <c r="A257" s="92"/>
      <c r="B257" s="92"/>
      <c r="C257" s="92"/>
      <c r="D257" s="92"/>
    </row>
    <row r="258" spans="1:4" x14ac:dyDescent="0.25">
      <c r="A258" s="92"/>
      <c r="B258" s="92"/>
      <c r="C258" s="92"/>
      <c r="D258" s="92"/>
    </row>
    <row r="259" spans="1:4" x14ac:dyDescent="0.25">
      <c r="A259" s="92"/>
      <c r="B259" s="92"/>
      <c r="C259" s="92"/>
      <c r="D259" s="92"/>
    </row>
    <row r="260" spans="1:4" x14ac:dyDescent="0.25">
      <c r="A260" s="92"/>
      <c r="B260" s="92"/>
      <c r="C260" s="92"/>
      <c r="D260" s="92"/>
    </row>
    <row r="261" spans="1:4" x14ac:dyDescent="0.25">
      <c r="A261" s="92"/>
      <c r="B261" s="92"/>
      <c r="C261" s="92"/>
      <c r="D261" s="92"/>
    </row>
    <row r="262" spans="1:4" x14ac:dyDescent="0.25">
      <c r="A262" s="92"/>
      <c r="B262" s="92"/>
      <c r="C262" s="92"/>
      <c r="D262" s="92"/>
    </row>
    <row r="263" spans="1:4" x14ac:dyDescent="0.25">
      <c r="A263" s="92"/>
      <c r="B263" s="92"/>
      <c r="C263" s="92"/>
      <c r="D263" s="92"/>
    </row>
    <row r="264" spans="1:4" x14ac:dyDescent="0.25">
      <c r="A264" s="92"/>
      <c r="B264" s="92"/>
      <c r="C264" s="92"/>
      <c r="D264" s="92"/>
    </row>
    <row r="265" spans="1:4" x14ac:dyDescent="0.25">
      <c r="A265" s="92"/>
      <c r="B265" s="92"/>
      <c r="C265" s="92"/>
      <c r="D265" s="92"/>
    </row>
  </sheetData>
  <printOptions horizontalCentered="1"/>
  <pageMargins left="0" right="0" top="0" bottom="0" header="0.3" footer="0.3"/>
  <pageSetup paperSize="9" scale="76" fitToWidth="0" orientation="portrait"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A1:K358"/>
  <sheetViews>
    <sheetView zoomScale="85" zoomScaleNormal="85" workbookViewId="0"/>
  </sheetViews>
  <sheetFormatPr defaultRowHeight="15" x14ac:dyDescent="0.25"/>
  <cols>
    <col min="1" max="1" width="11.28515625" style="472" customWidth="1"/>
    <col min="2" max="2" width="12.7109375" style="472" customWidth="1"/>
    <col min="3" max="3" width="47" style="472" bestFit="1" customWidth="1"/>
    <col min="4" max="4" width="19.140625" style="472" customWidth="1"/>
    <col min="5" max="5" width="15" style="472" customWidth="1"/>
    <col min="6" max="6" width="12" style="472" customWidth="1"/>
    <col min="7" max="7" width="10.7109375" style="754" customWidth="1"/>
    <col min="8" max="8" width="11.28515625" style="754" customWidth="1"/>
    <col min="9" max="9" width="9.7109375" style="472" customWidth="1"/>
    <col min="10" max="16384" width="9.140625" style="472"/>
  </cols>
  <sheetData>
    <row r="1" spans="1:11" ht="21.75" customHeight="1" x14ac:dyDescent="0.25">
      <c r="A1" s="745"/>
      <c r="B1" s="450"/>
      <c r="C1" s="450"/>
      <c r="D1" s="450"/>
      <c r="E1" s="450"/>
      <c r="F1" s="450"/>
      <c r="G1" s="450"/>
      <c r="H1" s="452"/>
      <c r="I1" s="470"/>
      <c r="J1" s="470"/>
      <c r="K1" s="470"/>
    </row>
    <row r="2" spans="1:11" ht="28.5" x14ac:dyDescent="0.25">
      <c r="A2" s="746" t="s">
        <v>858</v>
      </c>
      <c r="B2" s="747"/>
      <c r="C2" s="747"/>
      <c r="D2" s="747"/>
      <c r="E2" s="747"/>
      <c r="F2" s="747"/>
      <c r="G2" s="747"/>
      <c r="H2" s="748"/>
      <c r="I2" s="749"/>
      <c r="J2" s="102"/>
      <c r="K2" s="102"/>
    </row>
    <row r="3" spans="1:11" ht="22.5" customHeight="1" x14ac:dyDescent="0.25">
      <c r="A3" s="837">
        <f>Definition!B23</f>
        <v>42675</v>
      </c>
      <c r="B3" s="838"/>
      <c r="C3" s="750"/>
      <c r="D3" s="750"/>
      <c r="E3" s="750"/>
      <c r="F3" s="750"/>
      <c r="G3" s="750"/>
      <c r="H3" s="751"/>
      <c r="I3" s="749"/>
      <c r="J3" s="103"/>
      <c r="K3" s="749"/>
    </row>
    <row r="4" spans="1:11" ht="17.25" customHeight="1" x14ac:dyDescent="0.25">
      <c r="A4" s="752" t="s">
        <v>498</v>
      </c>
      <c r="B4" s="753" t="s">
        <v>500</v>
      </c>
      <c r="C4" s="749"/>
      <c r="D4" s="749"/>
      <c r="E4" s="749"/>
      <c r="F4" s="749"/>
      <c r="G4" s="749"/>
      <c r="H4" s="749"/>
      <c r="I4" s="749"/>
      <c r="J4" s="103"/>
      <c r="K4" s="749"/>
    </row>
    <row r="5" spans="1:11" x14ac:dyDescent="0.25">
      <c r="A5" s="752" t="s">
        <v>1249</v>
      </c>
      <c r="B5" s="753" t="s">
        <v>1191</v>
      </c>
    </row>
    <row r="6" spans="1:11" ht="6.75" customHeight="1" x14ac:dyDescent="0.25"/>
    <row r="7" spans="1:11" ht="45" x14ac:dyDescent="0.25">
      <c r="A7" s="406" t="s">
        <v>395</v>
      </c>
      <c r="B7" s="407" t="s">
        <v>0</v>
      </c>
      <c r="C7" s="407" t="s">
        <v>554</v>
      </c>
      <c r="D7" s="407" t="s">
        <v>925</v>
      </c>
      <c r="E7" s="407" t="s">
        <v>1293</v>
      </c>
      <c r="F7" s="432" t="s">
        <v>926</v>
      </c>
      <c r="G7" s="408" t="s">
        <v>497</v>
      </c>
      <c r="H7" s="409" t="s">
        <v>860</v>
      </c>
      <c r="I7" s="409" t="s">
        <v>861</v>
      </c>
      <c r="J7" s="755" t="s">
        <v>1292</v>
      </c>
      <c r="K7" s="142"/>
    </row>
    <row r="8" spans="1:11" ht="12.75" customHeight="1" x14ac:dyDescent="0.25">
      <c r="A8" s="756" t="s">
        <v>380</v>
      </c>
      <c r="B8" s="453" t="s">
        <v>5</v>
      </c>
      <c r="C8" s="453" t="s">
        <v>6</v>
      </c>
      <c r="D8" s="453" t="s">
        <v>4</v>
      </c>
      <c r="E8" s="453" t="s">
        <v>554</v>
      </c>
      <c r="F8" s="453" t="s">
        <v>1089</v>
      </c>
      <c r="G8" s="453" t="s">
        <v>511</v>
      </c>
      <c r="H8" s="757">
        <v>260</v>
      </c>
      <c r="I8" s="757">
        <v>1263</v>
      </c>
      <c r="J8" s="758">
        <v>1</v>
      </c>
    </row>
    <row r="9" spans="1:11" ht="12.75" customHeight="1" x14ac:dyDescent="0.25">
      <c r="A9" s="756"/>
      <c r="B9" s="453"/>
      <c r="C9" s="453" t="s">
        <v>512</v>
      </c>
      <c r="D9" s="453" t="s">
        <v>377</v>
      </c>
      <c r="E9" s="453" t="s">
        <v>554</v>
      </c>
      <c r="F9" s="453" t="s">
        <v>460</v>
      </c>
      <c r="G9" s="453" t="s">
        <v>511</v>
      </c>
      <c r="H9" s="757">
        <v>12</v>
      </c>
      <c r="I9" s="757">
        <v>56</v>
      </c>
      <c r="J9" s="758">
        <v>1</v>
      </c>
    </row>
    <row r="10" spans="1:11" ht="12.75" customHeight="1" x14ac:dyDescent="0.25">
      <c r="A10" s="756"/>
      <c r="B10" s="453"/>
      <c r="C10" s="453" t="s">
        <v>12</v>
      </c>
      <c r="D10" s="453" t="s">
        <v>11</v>
      </c>
      <c r="E10" s="453" t="s">
        <v>12</v>
      </c>
      <c r="F10" s="453" t="s">
        <v>601</v>
      </c>
      <c r="G10" s="453" t="s">
        <v>511</v>
      </c>
      <c r="H10" s="757">
        <v>211</v>
      </c>
      <c r="I10" s="757">
        <v>989</v>
      </c>
      <c r="J10" s="758">
        <v>1</v>
      </c>
    </row>
    <row r="11" spans="1:11" ht="12.75" customHeight="1" x14ac:dyDescent="0.25">
      <c r="A11" s="756"/>
      <c r="B11" s="453"/>
      <c r="C11" s="453" t="s">
        <v>14</v>
      </c>
      <c r="D11" s="453" t="s">
        <v>13</v>
      </c>
      <c r="E11" s="453" t="s">
        <v>554</v>
      </c>
      <c r="F11" s="453" t="s">
        <v>460</v>
      </c>
      <c r="G11" s="453" t="s">
        <v>511</v>
      </c>
      <c r="H11" s="757">
        <v>38</v>
      </c>
      <c r="I11" s="757">
        <v>231</v>
      </c>
      <c r="J11" s="758">
        <v>1</v>
      </c>
    </row>
    <row r="12" spans="1:11" ht="12.75" customHeight="1" x14ac:dyDescent="0.25">
      <c r="A12" s="756"/>
      <c r="B12" s="453"/>
      <c r="C12" s="98" t="s">
        <v>18</v>
      </c>
      <c r="D12" s="453" t="s">
        <v>17</v>
      </c>
      <c r="E12" s="453" t="s">
        <v>554</v>
      </c>
      <c r="F12" s="453" t="s">
        <v>505</v>
      </c>
      <c r="G12" s="453" t="s">
        <v>511</v>
      </c>
      <c r="H12" s="757">
        <v>116</v>
      </c>
      <c r="I12" s="757">
        <v>659</v>
      </c>
      <c r="J12" s="758">
        <v>1</v>
      </c>
    </row>
    <row r="13" spans="1:11" ht="12.75" customHeight="1" x14ac:dyDescent="0.25">
      <c r="A13" s="756"/>
      <c r="B13" s="453"/>
      <c r="C13" s="98" t="s">
        <v>8</v>
      </c>
      <c r="D13" s="453" t="s">
        <v>7</v>
      </c>
      <c r="E13" s="453" t="s">
        <v>554</v>
      </c>
      <c r="F13" s="453" t="s">
        <v>505</v>
      </c>
      <c r="G13" s="453" t="s">
        <v>511</v>
      </c>
      <c r="H13" s="757">
        <v>14</v>
      </c>
      <c r="I13" s="757">
        <v>61</v>
      </c>
      <c r="J13" s="758">
        <v>1</v>
      </c>
    </row>
    <row r="14" spans="1:11" ht="12.75" customHeight="1" x14ac:dyDescent="0.25">
      <c r="A14" s="756"/>
      <c r="B14" s="453"/>
      <c r="C14" s="98" t="s">
        <v>20</v>
      </c>
      <c r="D14" s="453" t="s">
        <v>19</v>
      </c>
      <c r="E14" s="453" t="s">
        <v>554</v>
      </c>
      <c r="F14" s="453" t="s">
        <v>1089</v>
      </c>
      <c r="G14" s="453" t="s">
        <v>511</v>
      </c>
      <c r="H14" s="757">
        <v>21</v>
      </c>
      <c r="I14" s="757">
        <v>111</v>
      </c>
      <c r="J14" s="758">
        <v>1</v>
      </c>
    </row>
    <row r="15" spans="1:11" ht="12.75" customHeight="1" x14ac:dyDescent="0.25">
      <c r="A15" s="756"/>
      <c r="B15" s="453"/>
      <c r="C15" s="98" t="s">
        <v>366</v>
      </c>
      <c r="D15" s="453" t="s">
        <v>376</v>
      </c>
      <c r="E15" s="453" t="s">
        <v>554</v>
      </c>
      <c r="F15" s="453" t="s">
        <v>460</v>
      </c>
      <c r="G15" s="453" t="s">
        <v>511</v>
      </c>
      <c r="H15" s="757">
        <v>150</v>
      </c>
      <c r="I15" s="757">
        <v>761</v>
      </c>
      <c r="J15" s="758">
        <v>1</v>
      </c>
    </row>
    <row r="16" spans="1:11" ht="12.75" customHeight="1" x14ac:dyDescent="0.25">
      <c r="A16" s="756"/>
      <c r="B16" s="453"/>
      <c r="C16" s="98" t="s">
        <v>22</v>
      </c>
      <c r="D16" s="453" t="s">
        <v>21</v>
      </c>
      <c r="E16" s="453" t="s">
        <v>554</v>
      </c>
      <c r="F16" s="453" t="s">
        <v>460</v>
      </c>
      <c r="G16" s="453" t="s">
        <v>511</v>
      </c>
      <c r="H16" s="757">
        <v>626</v>
      </c>
      <c r="I16" s="757">
        <v>3828</v>
      </c>
      <c r="J16" s="758">
        <v>1</v>
      </c>
    </row>
    <row r="17" spans="1:10" ht="12.75" customHeight="1" x14ac:dyDescent="0.25">
      <c r="A17" s="756"/>
      <c r="B17" s="453"/>
      <c r="C17" s="98" t="s">
        <v>24</v>
      </c>
      <c r="D17" s="453" t="s">
        <v>23</v>
      </c>
      <c r="E17" s="453" t="s">
        <v>554</v>
      </c>
      <c r="F17" s="453" t="s">
        <v>505</v>
      </c>
      <c r="G17" s="453" t="s">
        <v>511</v>
      </c>
      <c r="H17" s="757">
        <v>21</v>
      </c>
      <c r="I17" s="757">
        <v>95</v>
      </c>
      <c r="J17" s="758">
        <v>1</v>
      </c>
    </row>
    <row r="18" spans="1:10" ht="12.75" customHeight="1" x14ac:dyDescent="0.25">
      <c r="A18" s="756"/>
      <c r="B18" s="453"/>
      <c r="C18" s="453" t="s">
        <v>26</v>
      </c>
      <c r="D18" s="453" t="s">
        <v>25</v>
      </c>
      <c r="E18" s="453" t="s">
        <v>554</v>
      </c>
      <c r="F18" s="453" t="s">
        <v>505</v>
      </c>
      <c r="G18" s="453" t="s">
        <v>511</v>
      </c>
      <c r="H18" s="757">
        <v>15</v>
      </c>
      <c r="I18" s="757">
        <v>75</v>
      </c>
      <c r="J18" s="758">
        <v>1</v>
      </c>
    </row>
    <row r="19" spans="1:10" ht="12.75" customHeight="1" x14ac:dyDescent="0.25">
      <c r="A19" s="756"/>
      <c r="B19" s="453" t="s">
        <v>1164</v>
      </c>
      <c r="C19" s="453"/>
      <c r="D19" s="453"/>
      <c r="E19" s="453"/>
      <c r="F19" s="453"/>
      <c r="G19" s="453"/>
      <c r="H19" s="757">
        <v>1484</v>
      </c>
      <c r="I19" s="757">
        <v>8129</v>
      </c>
      <c r="J19" s="758">
        <v>11</v>
      </c>
    </row>
    <row r="20" spans="1:10" ht="12.75" customHeight="1" x14ac:dyDescent="0.25">
      <c r="A20" s="756"/>
      <c r="B20" s="453" t="s">
        <v>27</v>
      </c>
      <c r="C20" s="453" t="s">
        <v>28</v>
      </c>
      <c r="D20" s="453" t="s">
        <v>30</v>
      </c>
      <c r="E20" s="453" t="s">
        <v>554</v>
      </c>
      <c r="F20" s="453" t="s">
        <v>505</v>
      </c>
      <c r="G20" s="453" t="s">
        <v>511</v>
      </c>
      <c r="H20" s="757">
        <v>110</v>
      </c>
      <c r="I20" s="757">
        <v>516</v>
      </c>
      <c r="J20" s="758">
        <v>1</v>
      </c>
    </row>
    <row r="21" spans="1:10" ht="12.75" customHeight="1" x14ac:dyDescent="0.25">
      <c r="A21" s="756"/>
      <c r="B21" s="453"/>
      <c r="C21" s="453" t="s">
        <v>364</v>
      </c>
      <c r="D21" s="453" t="s">
        <v>29</v>
      </c>
      <c r="E21" s="453" t="s">
        <v>554</v>
      </c>
      <c r="F21" s="453" t="s">
        <v>460</v>
      </c>
      <c r="G21" s="453" t="s">
        <v>513</v>
      </c>
      <c r="H21" s="757">
        <v>156</v>
      </c>
      <c r="I21" s="757">
        <v>1022</v>
      </c>
      <c r="J21" s="758">
        <v>1</v>
      </c>
    </row>
    <row r="22" spans="1:10" ht="12.75" customHeight="1" x14ac:dyDescent="0.25">
      <c r="A22" s="756"/>
      <c r="B22" s="453"/>
      <c r="C22" s="453" t="s">
        <v>34</v>
      </c>
      <c r="D22" s="453" t="s">
        <v>33</v>
      </c>
      <c r="E22" s="453" t="s">
        <v>12</v>
      </c>
      <c r="F22" s="453" t="s">
        <v>601</v>
      </c>
      <c r="G22" s="453" t="s">
        <v>511</v>
      </c>
      <c r="H22" s="757"/>
      <c r="I22" s="757"/>
      <c r="J22" s="758">
        <v>1</v>
      </c>
    </row>
    <row r="23" spans="1:10" ht="12.75" customHeight="1" x14ac:dyDescent="0.25">
      <c r="A23" s="756"/>
      <c r="B23" s="453"/>
      <c r="C23" s="453" t="s">
        <v>365</v>
      </c>
      <c r="D23" s="453" t="s">
        <v>378</v>
      </c>
      <c r="E23" s="453" t="s">
        <v>554</v>
      </c>
      <c r="F23" s="453" t="s">
        <v>505</v>
      </c>
      <c r="G23" s="453" t="s">
        <v>511</v>
      </c>
      <c r="H23" s="757">
        <v>143</v>
      </c>
      <c r="I23" s="757">
        <v>637</v>
      </c>
      <c r="J23" s="758">
        <v>1</v>
      </c>
    </row>
    <row r="24" spans="1:10" ht="12.75" customHeight="1" x14ac:dyDescent="0.25">
      <c r="A24" s="756"/>
      <c r="B24" s="453"/>
      <c r="C24" s="453" t="s">
        <v>864</v>
      </c>
      <c r="D24" s="453" t="s">
        <v>863</v>
      </c>
      <c r="E24" s="453" t="s">
        <v>554</v>
      </c>
      <c r="F24" s="453" t="s">
        <v>1090</v>
      </c>
      <c r="G24" s="453" t="s">
        <v>511</v>
      </c>
      <c r="H24" s="757">
        <v>61</v>
      </c>
      <c r="I24" s="757">
        <v>273</v>
      </c>
      <c r="J24" s="758">
        <v>1</v>
      </c>
    </row>
    <row r="25" spans="1:10" ht="12.75" customHeight="1" x14ac:dyDescent="0.25">
      <c r="A25" s="756"/>
      <c r="B25" s="453"/>
      <c r="C25" s="453" t="s">
        <v>1019</v>
      </c>
      <c r="D25" s="453" t="s">
        <v>1020</v>
      </c>
      <c r="E25" s="453" t="s">
        <v>554</v>
      </c>
      <c r="F25" s="453" t="s">
        <v>1090</v>
      </c>
      <c r="G25" s="453" t="s">
        <v>511</v>
      </c>
      <c r="H25" s="757">
        <v>31</v>
      </c>
      <c r="I25" s="757">
        <v>180</v>
      </c>
      <c r="J25" s="758">
        <v>1</v>
      </c>
    </row>
    <row r="26" spans="1:10" ht="12.75" customHeight="1" x14ac:dyDescent="0.25">
      <c r="A26" s="756"/>
      <c r="B26" s="453" t="s">
        <v>1117</v>
      </c>
      <c r="C26" s="453"/>
      <c r="D26" s="453"/>
      <c r="E26" s="453"/>
      <c r="F26" s="453"/>
      <c r="G26" s="453"/>
      <c r="H26" s="757">
        <v>501</v>
      </c>
      <c r="I26" s="757">
        <v>2628</v>
      </c>
      <c r="J26" s="758">
        <v>6</v>
      </c>
    </row>
    <row r="27" spans="1:10" ht="12.75" customHeight="1" x14ac:dyDescent="0.25">
      <c r="A27" s="756"/>
      <c r="B27" s="453" t="s">
        <v>527</v>
      </c>
      <c r="C27" s="453" t="s">
        <v>62</v>
      </c>
      <c r="D27" s="453" t="s">
        <v>61</v>
      </c>
      <c r="E27" s="453" t="s">
        <v>554</v>
      </c>
      <c r="F27" s="453" t="s">
        <v>460</v>
      </c>
      <c r="G27" s="453" t="s">
        <v>511</v>
      </c>
      <c r="H27" s="757">
        <v>67</v>
      </c>
      <c r="I27" s="757">
        <v>350</v>
      </c>
      <c r="J27" s="758">
        <v>1</v>
      </c>
    </row>
    <row r="28" spans="1:10" ht="12.75" customHeight="1" x14ac:dyDescent="0.25">
      <c r="A28" s="756"/>
      <c r="B28" s="453"/>
      <c r="C28" s="453" t="s">
        <v>120</v>
      </c>
      <c r="D28" s="453" t="s">
        <v>119</v>
      </c>
      <c r="E28" s="453" t="s">
        <v>554</v>
      </c>
      <c r="F28" s="453" t="s">
        <v>1090</v>
      </c>
      <c r="G28" s="453" t="s">
        <v>511</v>
      </c>
      <c r="H28" s="757">
        <v>77</v>
      </c>
      <c r="I28" s="757">
        <v>411</v>
      </c>
      <c r="J28" s="758">
        <v>1</v>
      </c>
    </row>
    <row r="29" spans="1:10" ht="12.75" customHeight="1" x14ac:dyDescent="0.25">
      <c r="A29" s="756"/>
      <c r="B29" s="453"/>
      <c r="C29" s="453" t="s">
        <v>41</v>
      </c>
      <c r="D29" s="453" t="s">
        <v>40</v>
      </c>
      <c r="E29" s="453" t="s">
        <v>554</v>
      </c>
      <c r="F29" s="453" t="s">
        <v>505</v>
      </c>
      <c r="G29" s="453" t="s">
        <v>511</v>
      </c>
      <c r="H29" s="757">
        <v>67</v>
      </c>
      <c r="I29" s="757">
        <v>353</v>
      </c>
      <c r="J29" s="758">
        <v>1</v>
      </c>
    </row>
    <row r="30" spans="1:10" ht="12.75" customHeight="1" x14ac:dyDescent="0.25">
      <c r="A30" s="756"/>
      <c r="B30" s="453"/>
      <c r="C30" s="453" t="s">
        <v>43</v>
      </c>
      <c r="D30" s="453" t="s">
        <v>42</v>
      </c>
      <c r="E30" s="453" t="s">
        <v>554</v>
      </c>
      <c r="F30" s="453" t="s">
        <v>505</v>
      </c>
      <c r="G30" s="453" t="s">
        <v>511</v>
      </c>
      <c r="H30" s="757">
        <v>14</v>
      </c>
      <c r="I30" s="757">
        <v>83</v>
      </c>
      <c r="J30" s="758">
        <v>1</v>
      </c>
    </row>
    <row r="31" spans="1:10" ht="12.75" customHeight="1" x14ac:dyDescent="0.25">
      <c r="A31" s="756"/>
      <c r="B31" s="453"/>
      <c r="C31" s="453" t="s">
        <v>52</v>
      </c>
      <c r="D31" s="453" t="s">
        <v>51</v>
      </c>
      <c r="E31" s="453" t="s">
        <v>554</v>
      </c>
      <c r="F31" s="453" t="s">
        <v>460</v>
      </c>
      <c r="G31" s="453" t="s">
        <v>511</v>
      </c>
      <c r="H31" s="757">
        <v>38</v>
      </c>
      <c r="I31" s="757">
        <v>233</v>
      </c>
      <c r="J31" s="758">
        <v>1</v>
      </c>
    </row>
    <row r="32" spans="1:10" ht="12.75" customHeight="1" x14ac:dyDescent="0.25">
      <c r="A32" s="756"/>
      <c r="B32" s="453"/>
      <c r="C32" s="453" t="s">
        <v>72</v>
      </c>
      <c r="D32" s="453" t="s">
        <v>71</v>
      </c>
      <c r="E32" s="453" t="s">
        <v>554</v>
      </c>
      <c r="F32" s="453" t="s">
        <v>505</v>
      </c>
      <c r="G32" s="453" t="s">
        <v>511</v>
      </c>
      <c r="H32" s="757">
        <v>6</v>
      </c>
      <c r="I32" s="757">
        <v>30</v>
      </c>
      <c r="J32" s="758">
        <v>1</v>
      </c>
    </row>
    <row r="33" spans="1:10" ht="12.75" customHeight="1" x14ac:dyDescent="0.25">
      <c r="A33" s="756"/>
      <c r="B33" s="453"/>
      <c r="C33" s="453" t="s">
        <v>76</v>
      </c>
      <c r="D33" s="453" t="s">
        <v>75</v>
      </c>
      <c r="E33" s="453" t="s">
        <v>554</v>
      </c>
      <c r="F33" s="453" t="s">
        <v>505</v>
      </c>
      <c r="G33" s="453" t="s">
        <v>511</v>
      </c>
      <c r="H33" s="757">
        <v>66</v>
      </c>
      <c r="I33" s="757">
        <v>362</v>
      </c>
      <c r="J33" s="758">
        <v>1</v>
      </c>
    </row>
    <row r="34" spans="1:10" ht="12.75" customHeight="1" x14ac:dyDescent="0.25">
      <c r="A34" s="756"/>
      <c r="B34" s="453"/>
      <c r="C34" s="453" t="s">
        <v>88</v>
      </c>
      <c r="D34" s="453" t="s">
        <v>87</v>
      </c>
      <c r="E34" s="453" t="s">
        <v>554</v>
      </c>
      <c r="F34" s="453" t="s">
        <v>460</v>
      </c>
      <c r="G34" s="453" t="s">
        <v>511</v>
      </c>
      <c r="H34" s="757">
        <v>13</v>
      </c>
      <c r="I34" s="757">
        <v>46</v>
      </c>
      <c r="J34" s="758">
        <v>1</v>
      </c>
    </row>
    <row r="35" spans="1:10" ht="12.75" customHeight="1" x14ac:dyDescent="0.25">
      <c r="A35" s="756"/>
      <c r="B35" s="453"/>
      <c r="C35" s="453" t="s">
        <v>44</v>
      </c>
      <c r="D35" s="453" t="s">
        <v>45</v>
      </c>
      <c r="E35" s="453" t="s">
        <v>554</v>
      </c>
      <c r="F35" s="453" t="s">
        <v>505</v>
      </c>
      <c r="G35" s="453" t="s">
        <v>511</v>
      </c>
      <c r="H35" s="757">
        <v>5</v>
      </c>
      <c r="I35" s="757">
        <v>34</v>
      </c>
      <c r="J35" s="758">
        <v>1</v>
      </c>
    </row>
    <row r="36" spans="1:10" ht="12.75" customHeight="1" x14ac:dyDescent="0.25">
      <c r="A36" s="756"/>
      <c r="B36" s="453"/>
      <c r="C36" s="453" t="s">
        <v>90</v>
      </c>
      <c r="D36" s="453" t="s">
        <v>89</v>
      </c>
      <c r="E36" s="453" t="s">
        <v>554</v>
      </c>
      <c r="F36" s="453" t="s">
        <v>505</v>
      </c>
      <c r="G36" s="453" t="s">
        <v>511</v>
      </c>
      <c r="H36" s="757">
        <v>25</v>
      </c>
      <c r="I36" s="757">
        <v>118</v>
      </c>
      <c r="J36" s="758">
        <v>1</v>
      </c>
    </row>
    <row r="37" spans="1:10" ht="12.75" customHeight="1" x14ac:dyDescent="0.25">
      <c r="A37" s="756"/>
      <c r="B37" s="453"/>
      <c r="C37" s="453" t="s">
        <v>92</v>
      </c>
      <c r="D37" s="453" t="s">
        <v>91</v>
      </c>
      <c r="E37" s="453" t="s">
        <v>554</v>
      </c>
      <c r="F37" s="453" t="s">
        <v>505</v>
      </c>
      <c r="G37" s="453" t="s">
        <v>511</v>
      </c>
      <c r="H37" s="757">
        <v>15</v>
      </c>
      <c r="I37" s="757">
        <v>73</v>
      </c>
      <c r="J37" s="758">
        <v>1</v>
      </c>
    </row>
    <row r="38" spans="1:10" ht="12.75" customHeight="1" x14ac:dyDescent="0.25">
      <c r="A38" s="756"/>
      <c r="B38" s="453"/>
      <c r="C38" s="453" t="s">
        <v>100</v>
      </c>
      <c r="D38" s="453" t="s">
        <v>99</v>
      </c>
      <c r="E38" s="453" t="s">
        <v>554</v>
      </c>
      <c r="F38" s="453" t="s">
        <v>505</v>
      </c>
      <c r="G38" s="453" t="s">
        <v>511</v>
      </c>
      <c r="H38" s="757">
        <v>4</v>
      </c>
      <c r="I38" s="757">
        <v>22</v>
      </c>
      <c r="J38" s="758">
        <v>1</v>
      </c>
    </row>
    <row r="39" spans="1:10" ht="12.75" customHeight="1" x14ac:dyDescent="0.25">
      <c r="A39" s="756"/>
      <c r="B39" s="453"/>
      <c r="C39" s="453" t="s">
        <v>611</v>
      </c>
      <c r="D39" s="453" t="s">
        <v>46</v>
      </c>
      <c r="E39" s="453" t="s">
        <v>554</v>
      </c>
      <c r="F39" s="453" t="s">
        <v>505</v>
      </c>
      <c r="G39" s="453" t="s">
        <v>511</v>
      </c>
      <c r="H39" s="757">
        <v>12</v>
      </c>
      <c r="I39" s="757">
        <v>50</v>
      </c>
      <c r="J39" s="758">
        <v>1</v>
      </c>
    </row>
    <row r="40" spans="1:10" ht="12.75" customHeight="1" x14ac:dyDescent="0.25">
      <c r="A40" s="756"/>
      <c r="B40" s="453"/>
      <c r="C40" s="453" t="s">
        <v>108</v>
      </c>
      <c r="D40" s="453" t="s">
        <v>107</v>
      </c>
      <c r="E40" s="453" t="s">
        <v>554</v>
      </c>
      <c r="F40" s="453" t="s">
        <v>1090</v>
      </c>
      <c r="G40" s="453" t="s">
        <v>511</v>
      </c>
      <c r="H40" s="757">
        <v>51</v>
      </c>
      <c r="I40" s="757">
        <v>225</v>
      </c>
      <c r="J40" s="758">
        <v>1</v>
      </c>
    </row>
    <row r="41" spans="1:10" ht="12.75" customHeight="1" x14ac:dyDescent="0.25">
      <c r="A41" s="756"/>
      <c r="B41" s="453"/>
      <c r="C41" s="453" t="s">
        <v>118</v>
      </c>
      <c r="D41" s="453" t="s">
        <v>117</v>
      </c>
      <c r="E41" s="453" t="s">
        <v>554</v>
      </c>
      <c r="F41" s="453" t="s">
        <v>505</v>
      </c>
      <c r="G41" s="453" t="s">
        <v>511</v>
      </c>
      <c r="H41" s="757">
        <v>10</v>
      </c>
      <c r="I41" s="757">
        <v>39</v>
      </c>
      <c r="J41" s="758">
        <v>1</v>
      </c>
    </row>
    <row r="42" spans="1:10" ht="12.75" customHeight="1" x14ac:dyDescent="0.25">
      <c r="A42" s="756"/>
      <c r="B42" s="453"/>
      <c r="C42" s="453" t="s">
        <v>124</v>
      </c>
      <c r="D42" s="453" t="s">
        <v>123</v>
      </c>
      <c r="E42" s="453" t="s">
        <v>554</v>
      </c>
      <c r="F42" s="453" t="s">
        <v>460</v>
      </c>
      <c r="G42" s="453" t="s">
        <v>511</v>
      </c>
      <c r="H42" s="757">
        <v>8</v>
      </c>
      <c r="I42" s="757">
        <v>36</v>
      </c>
      <c r="J42" s="758">
        <v>1</v>
      </c>
    </row>
    <row r="43" spans="1:10" ht="12.75" customHeight="1" x14ac:dyDescent="0.25">
      <c r="A43" s="756"/>
      <c r="B43" s="453"/>
      <c r="C43" s="453" t="s">
        <v>126</v>
      </c>
      <c r="D43" s="453" t="s">
        <v>125</v>
      </c>
      <c r="E43" s="453" t="s">
        <v>554</v>
      </c>
      <c r="F43" s="453" t="s">
        <v>460</v>
      </c>
      <c r="G43" s="453" t="s">
        <v>511</v>
      </c>
      <c r="H43" s="757">
        <v>35</v>
      </c>
      <c r="I43" s="757">
        <v>173</v>
      </c>
      <c r="J43" s="758">
        <v>1</v>
      </c>
    </row>
    <row r="44" spans="1:10" ht="12.75" customHeight="1" x14ac:dyDescent="0.25">
      <c r="A44" s="756"/>
      <c r="B44" s="453"/>
      <c r="C44" s="453" t="s">
        <v>140</v>
      </c>
      <c r="D44" s="453" t="s">
        <v>139</v>
      </c>
      <c r="E44" s="453" t="s">
        <v>554</v>
      </c>
      <c r="F44" s="453" t="s">
        <v>460</v>
      </c>
      <c r="G44" s="453" t="s">
        <v>511</v>
      </c>
      <c r="H44" s="757">
        <v>12</v>
      </c>
      <c r="I44" s="757">
        <v>43</v>
      </c>
      <c r="J44" s="758">
        <v>1</v>
      </c>
    </row>
    <row r="45" spans="1:10" ht="12.75" customHeight="1" x14ac:dyDescent="0.25">
      <c r="A45" s="756"/>
      <c r="B45" s="453"/>
      <c r="C45" s="453" t="s">
        <v>1065</v>
      </c>
      <c r="D45" s="453" t="s">
        <v>1066</v>
      </c>
      <c r="E45" s="453" t="s">
        <v>554</v>
      </c>
      <c r="F45" s="453" t="s">
        <v>460</v>
      </c>
      <c r="G45" s="453" t="s">
        <v>511</v>
      </c>
      <c r="H45" s="757">
        <v>103</v>
      </c>
      <c r="I45" s="757">
        <v>489</v>
      </c>
      <c r="J45" s="758">
        <v>1</v>
      </c>
    </row>
    <row r="46" spans="1:10" ht="12.75" customHeight="1" x14ac:dyDescent="0.25">
      <c r="A46" s="756"/>
      <c r="B46" s="453"/>
      <c r="C46" s="453" t="s">
        <v>1120</v>
      </c>
      <c r="D46" s="453" t="s">
        <v>1121</v>
      </c>
      <c r="E46" s="453" t="s">
        <v>554</v>
      </c>
      <c r="F46" s="453" t="s">
        <v>460</v>
      </c>
      <c r="G46" s="453" t="s">
        <v>511</v>
      </c>
      <c r="H46" s="757">
        <v>52</v>
      </c>
      <c r="I46" s="757">
        <v>248</v>
      </c>
      <c r="J46" s="758">
        <v>1</v>
      </c>
    </row>
    <row r="47" spans="1:10" ht="12.75" customHeight="1" x14ac:dyDescent="0.25">
      <c r="A47" s="756"/>
      <c r="B47" s="453"/>
      <c r="C47" s="453" t="s">
        <v>1415</v>
      </c>
      <c r="D47" s="453" t="s">
        <v>1416</v>
      </c>
      <c r="E47" s="453" t="s">
        <v>554</v>
      </c>
      <c r="F47" s="453" t="s">
        <v>601</v>
      </c>
      <c r="G47" s="453" t="s">
        <v>511</v>
      </c>
      <c r="H47" s="757">
        <v>6</v>
      </c>
      <c r="I47" s="757">
        <v>9</v>
      </c>
      <c r="J47" s="758">
        <v>1</v>
      </c>
    </row>
    <row r="48" spans="1:10" ht="12.75" customHeight="1" x14ac:dyDescent="0.25">
      <c r="A48" s="756"/>
      <c r="B48" s="453"/>
      <c r="C48" s="453" t="s">
        <v>1452</v>
      </c>
      <c r="D48" s="453" t="s">
        <v>1458</v>
      </c>
      <c r="E48" s="453" t="s">
        <v>554</v>
      </c>
      <c r="F48" s="453" t="s">
        <v>601</v>
      </c>
      <c r="G48" s="453" t="s">
        <v>511</v>
      </c>
      <c r="H48" s="757">
        <v>32</v>
      </c>
      <c r="I48" s="757">
        <v>83</v>
      </c>
      <c r="J48" s="758">
        <v>1</v>
      </c>
    </row>
    <row r="49" spans="1:10" ht="12.75" customHeight="1" x14ac:dyDescent="0.25">
      <c r="A49" s="756"/>
      <c r="B49" s="453"/>
      <c r="C49" s="453" t="s">
        <v>1456</v>
      </c>
      <c r="D49" s="453" t="s">
        <v>1459</v>
      </c>
      <c r="E49" s="453" t="s">
        <v>554</v>
      </c>
      <c r="F49" s="453" t="s">
        <v>601</v>
      </c>
      <c r="G49" s="453" t="s">
        <v>511</v>
      </c>
      <c r="H49" s="757">
        <v>42</v>
      </c>
      <c r="I49" s="757">
        <v>138</v>
      </c>
      <c r="J49" s="758">
        <v>1</v>
      </c>
    </row>
    <row r="50" spans="1:10" ht="12.75" customHeight="1" x14ac:dyDescent="0.25">
      <c r="A50" s="756"/>
      <c r="B50" s="453"/>
      <c r="C50" s="453" t="s">
        <v>1453</v>
      </c>
      <c r="D50" s="453" t="s">
        <v>1460</v>
      </c>
      <c r="E50" s="453" t="s">
        <v>554</v>
      </c>
      <c r="F50" s="453" t="s">
        <v>601</v>
      </c>
      <c r="G50" s="453" t="s">
        <v>511</v>
      </c>
      <c r="H50" s="757">
        <v>13</v>
      </c>
      <c r="I50" s="757">
        <v>47</v>
      </c>
      <c r="J50" s="758">
        <v>1</v>
      </c>
    </row>
    <row r="51" spans="1:10" ht="12.75" customHeight="1" x14ac:dyDescent="0.25">
      <c r="A51" s="756"/>
      <c r="B51" s="453"/>
      <c r="C51" s="453" t="s">
        <v>1455</v>
      </c>
      <c r="D51" s="453" t="s">
        <v>1461</v>
      </c>
      <c r="E51" s="453" t="s">
        <v>554</v>
      </c>
      <c r="F51" s="453" t="s">
        <v>601</v>
      </c>
      <c r="G51" s="453" t="s">
        <v>511</v>
      </c>
      <c r="H51" s="757">
        <v>7</v>
      </c>
      <c r="I51" s="757">
        <v>19</v>
      </c>
      <c r="J51" s="758">
        <v>1</v>
      </c>
    </row>
    <row r="52" spans="1:10" ht="12.75" customHeight="1" x14ac:dyDescent="0.25">
      <c r="A52" s="756"/>
      <c r="B52" s="453"/>
      <c r="C52" s="453" t="s">
        <v>1454</v>
      </c>
      <c r="D52" s="453" t="s">
        <v>1462</v>
      </c>
      <c r="E52" s="453" t="s">
        <v>554</v>
      </c>
      <c r="F52" s="453" t="s">
        <v>601</v>
      </c>
      <c r="G52" s="453" t="s">
        <v>511</v>
      </c>
      <c r="H52" s="757">
        <v>22</v>
      </c>
      <c r="I52" s="757">
        <v>52</v>
      </c>
      <c r="J52" s="758">
        <v>1</v>
      </c>
    </row>
    <row r="53" spans="1:10" ht="12.75" customHeight="1" x14ac:dyDescent="0.25">
      <c r="A53" s="756"/>
      <c r="B53" s="453" t="s">
        <v>1165</v>
      </c>
      <c r="C53" s="453"/>
      <c r="D53" s="453"/>
      <c r="E53" s="453"/>
      <c r="F53" s="453"/>
      <c r="G53" s="453"/>
      <c r="H53" s="757">
        <v>802</v>
      </c>
      <c r="I53" s="757">
        <v>3766</v>
      </c>
      <c r="J53" s="758">
        <v>26</v>
      </c>
    </row>
    <row r="54" spans="1:10" ht="12.75" customHeight="1" x14ac:dyDescent="0.25">
      <c r="A54" s="756"/>
      <c r="B54" s="453" t="s">
        <v>151</v>
      </c>
      <c r="C54" s="453" t="s">
        <v>188</v>
      </c>
      <c r="D54" s="453" t="s">
        <v>187</v>
      </c>
      <c r="E54" s="453" t="s">
        <v>554</v>
      </c>
      <c r="F54" s="453" t="s">
        <v>1089</v>
      </c>
      <c r="G54" s="453" t="s">
        <v>513</v>
      </c>
      <c r="H54" s="757">
        <v>440</v>
      </c>
      <c r="I54" s="757">
        <v>1957</v>
      </c>
      <c r="J54" s="758">
        <v>1</v>
      </c>
    </row>
    <row r="55" spans="1:10" ht="12.75" customHeight="1" x14ac:dyDescent="0.25">
      <c r="A55" s="756"/>
      <c r="B55" s="453"/>
      <c r="C55" s="453" t="s">
        <v>12</v>
      </c>
      <c r="D55" s="453" t="s">
        <v>390</v>
      </c>
      <c r="E55" s="453" t="s">
        <v>12</v>
      </c>
      <c r="F55" s="453" t="s">
        <v>601</v>
      </c>
      <c r="G55" s="453" t="s">
        <v>511</v>
      </c>
      <c r="H55" s="757">
        <v>76</v>
      </c>
      <c r="I55" s="757">
        <v>256</v>
      </c>
      <c r="J55" s="758">
        <v>1</v>
      </c>
    </row>
    <row r="56" spans="1:10" ht="12.75" customHeight="1" x14ac:dyDescent="0.25">
      <c r="A56" s="756"/>
      <c r="B56" s="453"/>
      <c r="C56" s="453" t="s">
        <v>198</v>
      </c>
      <c r="D56" s="453" t="s">
        <v>197</v>
      </c>
      <c r="E56" s="453" t="s">
        <v>554</v>
      </c>
      <c r="F56" s="453" t="s">
        <v>1089</v>
      </c>
      <c r="G56" s="453" t="s">
        <v>513</v>
      </c>
      <c r="H56" s="757">
        <v>546</v>
      </c>
      <c r="I56" s="757">
        <v>2514</v>
      </c>
      <c r="J56" s="758">
        <v>1</v>
      </c>
    </row>
    <row r="57" spans="1:10" ht="12.75" customHeight="1" x14ac:dyDescent="0.25">
      <c r="A57" s="756"/>
      <c r="B57" s="453"/>
      <c r="C57" s="453" t="s">
        <v>885</v>
      </c>
      <c r="D57" s="453" t="s">
        <v>886</v>
      </c>
      <c r="E57" s="453" t="s">
        <v>554</v>
      </c>
      <c r="F57" s="453" t="s">
        <v>460</v>
      </c>
      <c r="G57" s="453" t="s">
        <v>511</v>
      </c>
      <c r="H57" s="757">
        <v>374</v>
      </c>
      <c r="I57" s="757">
        <v>1662</v>
      </c>
      <c r="J57" s="758">
        <v>1</v>
      </c>
    </row>
    <row r="58" spans="1:10" ht="12.75" customHeight="1" x14ac:dyDescent="0.25">
      <c r="A58" s="756"/>
      <c r="B58" s="453"/>
      <c r="C58" s="453" t="s">
        <v>160</v>
      </c>
      <c r="D58" s="453" t="s">
        <v>159</v>
      </c>
      <c r="E58" s="453" t="s">
        <v>554</v>
      </c>
      <c r="F58" s="453" t="s">
        <v>460</v>
      </c>
      <c r="G58" s="453" t="s">
        <v>511</v>
      </c>
      <c r="H58" s="757">
        <v>107</v>
      </c>
      <c r="I58" s="757">
        <v>528</v>
      </c>
      <c r="J58" s="758">
        <v>1</v>
      </c>
    </row>
    <row r="59" spans="1:10" ht="12.75" customHeight="1" x14ac:dyDescent="0.25">
      <c r="A59" s="756"/>
      <c r="B59" s="453"/>
      <c r="C59" s="453" t="s">
        <v>154</v>
      </c>
      <c r="D59" s="453" t="s">
        <v>153</v>
      </c>
      <c r="E59" s="453" t="s">
        <v>554</v>
      </c>
      <c r="F59" s="453" t="s">
        <v>1089</v>
      </c>
      <c r="G59" s="453" t="s">
        <v>511</v>
      </c>
      <c r="H59" s="757">
        <v>440</v>
      </c>
      <c r="I59" s="757">
        <v>2236</v>
      </c>
      <c r="J59" s="758">
        <v>1</v>
      </c>
    </row>
    <row r="60" spans="1:10" ht="12.75" customHeight="1" x14ac:dyDescent="0.25">
      <c r="A60" s="756"/>
      <c r="B60" s="453"/>
      <c r="C60" s="453" t="s">
        <v>156</v>
      </c>
      <c r="D60" s="453" t="s">
        <v>155</v>
      </c>
      <c r="E60" s="453" t="s">
        <v>12</v>
      </c>
      <c r="F60" s="453" t="s">
        <v>601</v>
      </c>
      <c r="G60" s="453" t="s">
        <v>511</v>
      </c>
      <c r="H60" s="757">
        <v>175</v>
      </c>
      <c r="I60" s="757">
        <v>834</v>
      </c>
      <c r="J60" s="758">
        <v>1</v>
      </c>
    </row>
    <row r="61" spans="1:10" ht="12.75" customHeight="1" x14ac:dyDescent="0.25">
      <c r="A61" s="756"/>
      <c r="B61" s="453"/>
      <c r="C61" s="453" t="s">
        <v>152</v>
      </c>
      <c r="D61" s="453" t="s">
        <v>150</v>
      </c>
      <c r="E61" s="453" t="s">
        <v>554</v>
      </c>
      <c r="F61" s="453" t="s">
        <v>460</v>
      </c>
      <c r="G61" s="453" t="s">
        <v>511</v>
      </c>
      <c r="H61" s="757">
        <v>197</v>
      </c>
      <c r="I61" s="757">
        <v>878</v>
      </c>
      <c r="J61" s="758">
        <v>1</v>
      </c>
    </row>
    <row r="62" spans="1:10" ht="12.75" customHeight="1" x14ac:dyDescent="0.25">
      <c r="A62" s="756"/>
      <c r="B62" s="453"/>
      <c r="C62" s="453" t="s">
        <v>942</v>
      </c>
      <c r="D62" s="453" t="s">
        <v>941</v>
      </c>
      <c r="E62" s="453" t="s">
        <v>554</v>
      </c>
      <c r="F62" s="453" t="s">
        <v>1089</v>
      </c>
      <c r="G62" s="453" t="s">
        <v>511</v>
      </c>
      <c r="H62" s="757">
        <v>140</v>
      </c>
      <c r="I62" s="757">
        <v>639</v>
      </c>
      <c r="J62" s="758">
        <v>1</v>
      </c>
    </row>
    <row r="63" spans="1:10" ht="12.75" customHeight="1" x14ac:dyDescent="0.25">
      <c r="A63" s="756"/>
      <c r="B63" s="453"/>
      <c r="C63" s="453" t="s">
        <v>1061</v>
      </c>
      <c r="D63" s="453" t="s">
        <v>1062</v>
      </c>
      <c r="E63" s="453" t="s">
        <v>554</v>
      </c>
      <c r="F63" s="453" t="s">
        <v>1089</v>
      </c>
      <c r="G63" s="453" t="s">
        <v>511</v>
      </c>
      <c r="H63" s="757">
        <v>112</v>
      </c>
      <c r="I63" s="757">
        <v>524</v>
      </c>
      <c r="J63" s="758">
        <v>1</v>
      </c>
    </row>
    <row r="64" spans="1:10" ht="12.75" customHeight="1" x14ac:dyDescent="0.25">
      <c r="A64" s="756"/>
      <c r="B64" s="453"/>
      <c r="C64" s="453" t="s">
        <v>1095</v>
      </c>
      <c r="D64" s="453" t="s">
        <v>1096</v>
      </c>
      <c r="E64" s="453" t="s">
        <v>554</v>
      </c>
      <c r="F64" s="453" t="s">
        <v>460</v>
      </c>
      <c r="G64" s="453" t="s">
        <v>511</v>
      </c>
      <c r="H64" s="757">
        <v>114</v>
      </c>
      <c r="I64" s="757">
        <v>515</v>
      </c>
      <c r="J64" s="758">
        <v>1</v>
      </c>
    </row>
    <row r="65" spans="1:10" ht="12.75" customHeight="1" x14ac:dyDescent="0.25">
      <c r="A65" s="756"/>
      <c r="B65" s="453" t="s">
        <v>1166</v>
      </c>
      <c r="C65" s="453"/>
      <c r="D65" s="453"/>
      <c r="E65" s="453"/>
      <c r="F65" s="453"/>
      <c r="G65" s="453"/>
      <c r="H65" s="757">
        <v>2721</v>
      </c>
      <c r="I65" s="757">
        <v>12543</v>
      </c>
      <c r="J65" s="758">
        <v>11</v>
      </c>
    </row>
    <row r="66" spans="1:10" ht="12.75" customHeight="1" x14ac:dyDescent="0.25">
      <c r="A66" s="756"/>
      <c r="B66" s="453" t="s">
        <v>173</v>
      </c>
      <c r="C66" s="453" t="s">
        <v>174</v>
      </c>
      <c r="D66" s="453" t="s">
        <v>172</v>
      </c>
      <c r="E66" s="453" t="s">
        <v>554</v>
      </c>
      <c r="F66" s="453" t="s">
        <v>460</v>
      </c>
      <c r="G66" s="453" t="s">
        <v>511</v>
      </c>
      <c r="H66" s="757">
        <v>13</v>
      </c>
      <c r="I66" s="757">
        <v>65</v>
      </c>
      <c r="J66" s="758">
        <v>1</v>
      </c>
    </row>
    <row r="67" spans="1:10" ht="12.75" customHeight="1" x14ac:dyDescent="0.25">
      <c r="A67" s="756"/>
      <c r="B67" s="453"/>
      <c r="C67" s="453" t="s">
        <v>176</v>
      </c>
      <c r="D67" s="453" t="s">
        <v>175</v>
      </c>
      <c r="E67" s="453" t="s">
        <v>554</v>
      </c>
      <c r="F67" s="453" t="s">
        <v>460</v>
      </c>
      <c r="G67" s="453" t="s">
        <v>511</v>
      </c>
      <c r="H67" s="757">
        <v>15</v>
      </c>
      <c r="I67" s="757">
        <v>70</v>
      </c>
      <c r="J67" s="758">
        <v>1</v>
      </c>
    </row>
    <row r="68" spans="1:10" ht="12.75" customHeight="1" x14ac:dyDescent="0.25">
      <c r="A68" s="756"/>
      <c r="B68" s="453"/>
      <c r="C68" s="453" t="s">
        <v>178</v>
      </c>
      <c r="D68" s="453" t="s">
        <v>177</v>
      </c>
      <c r="E68" s="453" t="s">
        <v>554</v>
      </c>
      <c r="F68" s="453" t="s">
        <v>460</v>
      </c>
      <c r="G68" s="453" t="s">
        <v>511</v>
      </c>
      <c r="H68" s="757">
        <v>12</v>
      </c>
      <c r="I68" s="757">
        <v>46</v>
      </c>
      <c r="J68" s="758">
        <v>1</v>
      </c>
    </row>
    <row r="69" spans="1:10" ht="12.75" customHeight="1" x14ac:dyDescent="0.25">
      <c r="A69" s="756"/>
      <c r="B69" s="453"/>
      <c r="C69" s="453" t="s">
        <v>1278</v>
      </c>
      <c r="D69" s="453" t="s">
        <v>1269</v>
      </c>
      <c r="E69" s="453" t="s">
        <v>12</v>
      </c>
      <c r="F69" s="453" t="s">
        <v>601</v>
      </c>
      <c r="G69" s="453" t="s">
        <v>511</v>
      </c>
      <c r="H69" s="757">
        <v>24</v>
      </c>
      <c r="I69" s="757">
        <v>83</v>
      </c>
      <c r="J69" s="758">
        <v>1</v>
      </c>
    </row>
    <row r="70" spans="1:10" ht="12.75" customHeight="1" x14ac:dyDescent="0.25">
      <c r="A70" s="756"/>
      <c r="B70" s="453"/>
      <c r="C70" s="453" t="s">
        <v>1277</v>
      </c>
      <c r="D70" s="453" t="s">
        <v>1270</v>
      </c>
      <c r="E70" s="453" t="s">
        <v>554</v>
      </c>
      <c r="F70" s="453" t="s">
        <v>460</v>
      </c>
      <c r="G70" s="453" t="s">
        <v>511</v>
      </c>
      <c r="H70" s="757">
        <v>30</v>
      </c>
      <c r="I70" s="757">
        <v>140</v>
      </c>
      <c r="J70" s="758">
        <v>1</v>
      </c>
    </row>
    <row r="71" spans="1:10" ht="12.75" customHeight="1" x14ac:dyDescent="0.25">
      <c r="A71" s="756"/>
      <c r="B71" s="453" t="s">
        <v>1346</v>
      </c>
      <c r="C71" s="453"/>
      <c r="D71" s="453"/>
      <c r="E71" s="453"/>
      <c r="F71" s="453"/>
      <c r="G71" s="453"/>
      <c r="H71" s="757">
        <v>94</v>
      </c>
      <c r="I71" s="757">
        <v>404</v>
      </c>
      <c r="J71" s="758">
        <v>5</v>
      </c>
    </row>
    <row r="72" spans="1:10" ht="12.75" customHeight="1" x14ac:dyDescent="0.25">
      <c r="A72" s="756"/>
      <c r="B72" s="453" t="s">
        <v>180</v>
      </c>
      <c r="C72" s="453" t="s">
        <v>287</v>
      </c>
      <c r="D72" s="453" t="s">
        <v>286</v>
      </c>
      <c r="E72" s="453" t="s">
        <v>554</v>
      </c>
      <c r="F72" s="453" t="s">
        <v>460</v>
      </c>
      <c r="G72" s="453" t="s">
        <v>511</v>
      </c>
      <c r="H72" s="757">
        <v>10</v>
      </c>
      <c r="I72" s="757">
        <v>60</v>
      </c>
      <c r="J72" s="758">
        <v>1</v>
      </c>
    </row>
    <row r="73" spans="1:10" ht="12.75" customHeight="1" x14ac:dyDescent="0.25">
      <c r="A73" s="756"/>
      <c r="B73" s="453"/>
      <c r="C73" s="453" t="s">
        <v>181</v>
      </c>
      <c r="D73" s="453" t="s">
        <v>179</v>
      </c>
      <c r="E73" s="453" t="s">
        <v>554</v>
      </c>
      <c r="F73" s="453" t="s">
        <v>1090</v>
      </c>
      <c r="G73" s="453" t="s">
        <v>511</v>
      </c>
      <c r="H73" s="757">
        <v>12</v>
      </c>
      <c r="I73" s="757">
        <v>55</v>
      </c>
      <c r="J73" s="758">
        <v>1</v>
      </c>
    </row>
    <row r="74" spans="1:10" ht="12.75" customHeight="1" x14ac:dyDescent="0.25">
      <c r="A74" s="756"/>
      <c r="B74" s="453"/>
      <c r="C74" s="453" t="s">
        <v>1157</v>
      </c>
      <c r="D74" s="453" t="s">
        <v>1159</v>
      </c>
      <c r="E74" s="453" t="s">
        <v>12</v>
      </c>
      <c r="F74" s="453" t="s">
        <v>601</v>
      </c>
      <c r="G74" s="453" t="s">
        <v>511</v>
      </c>
      <c r="H74" s="757">
        <v>36</v>
      </c>
      <c r="I74" s="757">
        <v>153</v>
      </c>
      <c r="J74" s="758">
        <v>1</v>
      </c>
    </row>
    <row r="75" spans="1:10" ht="12.75" customHeight="1" x14ac:dyDescent="0.25">
      <c r="A75" s="756"/>
      <c r="B75" s="453"/>
      <c r="C75" s="453" t="s">
        <v>1158</v>
      </c>
      <c r="D75" s="453" t="s">
        <v>1160</v>
      </c>
      <c r="E75" s="453" t="s">
        <v>12</v>
      </c>
      <c r="F75" s="453" t="s">
        <v>601</v>
      </c>
      <c r="G75" s="453" t="s">
        <v>511</v>
      </c>
      <c r="H75" s="757">
        <v>14</v>
      </c>
      <c r="I75" s="757">
        <v>63</v>
      </c>
      <c r="J75" s="758">
        <v>1</v>
      </c>
    </row>
    <row r="76" spans="1:10" ht="12.75" customHeight="1" x14ac:dyDescent="0.25">
      <c r="A76" s="756"/>
      <c r="B76" s="453" t="s">
        <v>1167</v>
      </c>
      <c r="C76" s="453"/>
      <c r="D76" s="453"/>
      <c r="E76" s="453"/>
      <c r="F76" s="453"/>
      <c r="G76" s="453"/>
      <c r="H76" s="757">
        <v>72</v>
      </c>
      <c r="I76" s="757">
        <v>331</v>
      </c>
      <c r="J76" s="758">
        <v>4</v>
      </c>
    </row>
    <row r="77" spans="1:10" ht="12.75" customHeight="1" x14ac:dyDescent="0.25">
      <c r="A77" s="756"/>
      <c r="B77" s="453" t="s">
        <v>185</v>
      </c>
      <c r="C77" s="453" t="s">
        <v>192</v>
      </c>
      <c r="D77" s="453" t="s">
        <v>191</v>
      </c>
      <c r="E77" s="453" t="s">
        <v>554</v>
      </c>
      <c r="F77" s="453" t="s">
        <v>1090</v>
      </c>
      <c r="G77" s="453" t="s">
        <v>513</v>
      </c>
      <c r="H77" s="757">
        <v>109</v>
      </c>
      <c r="I77" s="757">
        <v>408</v>
      </c>
      <c r="J77" s="758">
        <v>1</v>
      </c>
    </row>
    <row r="78" spans="1:10" ht="12.75" customHeight="1" x14ac:dyDescent="0.25">
      <c r="A78" s="756"/>
      <c r="B78" s="453"/>
      <c r="C78" s="453" t="s">
        <v>12</v>
      </c>
      <c r="D78" s="453" t="s">
        <v>391</v>
      </c>
      <c r="E78" s="453" t="s">
        <v>12</v>
      </c>
      <c r="F78" s="453" t="s">
        <v>601</v>
      </c>
      <c r="G78" s="453" t="s">
        <v>511</v>
      </c>
      <c r="H78" s="757">
        <v>320</v>
      </c>
      <c r="I78" s="757">
        <v>1125</v>
      </c>
      <c r="J78" s="758">
        <v>1</v>
      </c>
    </row>
    <row r="79" spans="1:10" ht="12.75" customHeight="1" x14ac:dyDescent="0.25">
      <c r="A79" s="756"/>
      <c r="B79" s="453"/>
      <c r="C79" s="453" t="s">
        <v>194</v>
      </c>
      <c r="D79" s="453" t="s">
        <v>193</v>
      </c>
      <c r="E79" s="453" t="s">
        <v>554</v>
      </c>
      <c r="F79" s="453" t="s">
        <v>1090</v>
      </c>
      <c r="G79" s="453" t="s">
        <v>513</v>
      </c>
      <c r="H79" s="757">
        <v>641</v>
      </c>
      <c r="I79" s="757">
        <v>2862</v>
      </c>
      <c r="J79" s="758">
        <v>1</v>
      </c>
    </row>
    <row r="80" spans="1:10" ht="12.75" customHeight="1" x14ac:dyDescent="0.25">
      <c r="A80" s="756"/>
      <c r="B80" s="453"/>
      <c r="C80" s="453" t="s">
        <v>521</v>
      </c>
      <c r="D80" s="453" t="s">
        <v>522</v>
      </c>
      <c r="E80" s="453" t="s">
        <v>12</v>
      </c>
      <c r="F80" s="453" t="s">
        <v>601</v>
      </c>
      <c r="G80" s="453" t="s">
        <v>511</v>
      </c>
      <c r="H80" s="757">
        <v>4</v>
      </c>
      <c r="I80" s="757">
        <v>26</v>
      </c>
      <c r="J80" s="758">
        <v>1</v>
      </c>
    </row>
    <row r="81" spans="1:10" ht="12.75" customHeight="1" x14ac:dyDescent="0.25">
      <c r="A81" s="756"/>
      <c r="B81" s="453"/>
      <c r="C81" s="453" t="s">
        <v>186</v>
      </c>
      <c r="D81" s="453" t="s">
        <v>184</v>
      </c>
      <c r="E81" s="453" t="s">
        <v>554</v>
      </c>
      <c r="F81" s="453" t="s">
        <v>460</v>
      </c>
      <c r="G81" s="453" t="s">
        <v>511</v>
      </c>
      <c r="H81" s="757">
        <v>39</v>
      </c>
      <c r="I81" s="757">
        <v>233</v>
      </c>
      <c r="J81" s="758">
        <v>1</v>
      </c>
    </row>
    <row r="82" spans="1:10" ht="12.75" customHeight="1" x14ac:dyDescent="0.25">
      <c r="A82" s="756"/>
      <c r="B82" s="453"/>
      <c r="C82" s="453" t="s">
        <v>223</v>
      </c>
      <c r="D82" s="453" t="s">
        <v>222</v>
      </c>
      <c r="E82" s="453" t="s">
        <v>554</v>
      </c>
      <c r="F82" s="453" t="s">
        <v>1089</v>
      </c>
      <c r="G82" s="453" t="s">
        <v>511</v>
      </c>
      <c r="H82" s="757">
        <v>124</v>
      </c>
      <c r="I82" s="757">
        <v>651</v>
      </c>
      <c r="J82" s="758">
        <v>1</v>
      </c>
    </row>
    <row r="83" spans="1:10" ht="12.75" customHeight="1" x14ac:dyDescent="0.25">
      <c r="A83" s="756"/>
      <c r="B83" s="453"/>
      <c r="C83" s="453" t="s">
        <v>190</v>
      </c>
      <c r="D83" s="453" t="s">
        <v>189</v>
      </c>
      <c r="E83" s="453" t="s">
        <v>554</v>
      </c>
      <c r="F83" s="453" t="s">
        <v>460</v>
      </c>
      <c r="G83" s="453" t="s">
        <v>511</v>
      </c>
      <c r="H83" s="757">
        <v>192</v>
      </c>
      <c r="I83" s="757">
        <v>1044</v>
      </c>
      <c r="J83" s="758">
        <v>1</v>
      </c>
    </row>
    <row r="84" spans="1:10" ht="12.75" customHeight="1" x14ac:dyDescent="0.25">
      <c r="A84" s="756"/>
      <c r="B84" s="453"/>
      <c r="C84" s="453" t="s">
        <v>200</v>
      </c>
      <c r="D84" s="453" t="s">
        <v>199</v>
      </c>
      <c r="E84" s="453" t="s">
        <v>12</v>
      </c>
      <c r="F84" s="453" t="s">
        <v>601</v>
      </c>
      <c r="G84" s="453" t="s">
        <v>511</v>
      </c>
      <c r="H84" s="757">
        <v>2</v>
      </c>
      <c r="I84" s="757">
        <v>9</v>
      </c>
      <c r="J84" s="758">
        <v>1</v>
      </c>
    </row>
    <row r="85" spans="1:10" ht="12.75" customHeight="1" x14ac:dyDescent="0.25">
      <c r="A85" s="756"/>
      <c r="B85" s="453"/>
      <c r="C85" s="453" t="s">
        <v>202</v>
      </c>
      <c r="D85" s="453" t="s">
        <v>201</v>
      </c>
      <c r="E85" s="453" t="s">
        <v>554</v>
      </c>
      <c r="F85" s="453" t="s">
        <v>1089</v>
      </c>
      <c r="G85" s="453" t="s">
        <v>511</v>
      </c>
      <c r="H85" s="757">
        <v>263</v>
      </c>
      <c r="I85" s="757">
        <v>1169</v>
      </c>
      <c r="J85" s="758">
        <v>1</v>
      </c>
    </row>
    <row r="86" spans="1:10" ht="12.75" customHeight="1" x14ac:dyDescent="0.25">
      <c r="A86" s="756"/>
      <c r="B86" s="453"/>
      <c r="C86" s="453" t="s">
        <v>204</v>
      </c>
      <c r="D86" s="453" t="s">
        <v>203</v>
      </c>
      <c r="E86" s="453" t="s">
        <v>12</v>
      </c>
      <c r="F86" s="453" t="s">
        <v>601</v>
      </c>
      <c r="G86" s="453" t="s">
        <v>511</v>
      </c>
      <c r="H86" s="757">
        <v>28</v>
      </c>
      <c r="I86" s="757">
        <v>136</v>
      </c>
      <c r="J86" s="758">
        <v>1</v>
      </c>
    </row>
    <row r="87" spans="1:10" ht="12.75" customHeight="1" x14ac:dyDescent="0.25">
      <c r="A87" s="756"/>
      <c r="B87" s="453"/>
      <c r="C87" s="453" t="s">
        <v>205</v>
      </c>
      <c r="D87" s="453" t="s">
        <v>392</v>
      </c>
      <c r="E87" s="453" t="s">
        <v>12</v>
      </c>
      <c r="F87" s="453" t="s">
        <v>601</v>
      </c>
      <c r="G87" s="453" t="s">
        <v>511</v>
      </c>
      <c r="H87" s="757"/>
      <c r="I87" s="757"/>
      <c r="J87" s="758">
        <v>1</v>
      </c>
    </row>
    <row r="88" spans="1:10" ht="12.75" customHeight="1" x14ac:dyDescent="0.25">
      <c r="A88" s="756"/>
      <c r="B88" s="453"/>
      <c r="C88" s="453" t="s">
        <v>209</v>
      </c>
      <c r="D88" s="453" t="s">
        <v>208</v>
      </c>
      <c r="E88" s="453" t="s">
        <v>554</v>
      </c>
      <c r="F88" s="453" t="s">
        <v>460</v>
      </c>
      <c r="G88" s="453" t="s">
        <v>511</v>
      </c>
      <c r="H88" s="757">
        <v>226</v>
      </c>
      <c r="I88" s="757">
        <v>1830</v>
      </c>
      <c r="J88" s="758">
        <v>1</v>
      </c>
    </row>
    <row r="89" spans="1:10" ht="12.75" customHeight="1" x14ac:dyDescent="0.25">
      <c r="A89" s="756"/>
      <c r="B89" s="453"/>
      <c r="C89" s="453" t="s">
        <v>213</v>
      </c>
      <c r="D89" s="453" t="s">
        <v>212</v>
      </c>
      <c r="E89" s="453" t="s">
        <v>12</v>
      </c>
      <c r="F89" s="453" t="s">
        <v>601</v>
      </c>
      <c r="G89" s="453" t="s">
        <v>511</v>
      </c>
      <c r="H89" s="757">
        <v>13</v>
      </c>
      <c r="I89" s="757">
        <v>53</v>
      </c>
      <c r="J89" s="758">
        <v>1</v>
      </c>
    </row>
    <row r="90" spans="1:10" ht="12.75" customHeight="1" x14ac:dyDescent="0.25">
      <c r="A90" s="756"/>
      <c r="B90" s="453"/>
      <c r="C90" s="453" t="s">
        <v>215</v>
      </c>
      <c r="D90" s="453" t="s">
        <v>214</v>
      </c>
      <c r="E90" s="453" t="s">
        <v>554</v>
      </c>
      <c r="F90" s="453" t="s">
        <v>1089</v>
      </c>
      <c r="G90" s="453" t="s">
        <v>513</v>
      </c>
      <c r="H90" s="757">
        <v>355</v>
      </c>
      <c r="I90" s="757">
        <v>1678</v>
      </c>
      <c r="J90" s="758">
        <v>1</v>
      </c>
    </row>
    <row r="91" spans="1:10" ht="12.75" customHeight="1" x14ac:dyDescent="0.25">
      <c r="A91" s="756"/>
      <c r="B91" s="453"/>
      <c r="C91" s="453" t="s">
        <v>229</v>
      </c>
      <c r="D91" s="453" t="s">
        <v>228</v>
      </c>
      <c r="E91" s="453" t="s">
        <v>554</v>
      </c>
      <c r="F91" s="453" t="s">
        <v>460</v>
      </c>
      <c r="G91" s="453" t="s">
        <v>511</v>
      </c>
      <c r="H91" s="757">
        <v>49</v>
      </c>
      <c r="I91" s="757">
        <v>295</v>
      </c>
      <c r="J91" s="758">
        <v>1</v>
      </c>
    </row>
    <row r="92" spans="1:10" ht="12.75" customHeight="1" x14ac:dyDescent="0.25">
      <c r="A92" s="756"/>
      <c r="B92" s="453"/>
      <c r="C92" s="453" t="s">
        <v>219</v>
      </c>
      <c r="D92" s="453" t="s">
        <v>218</v>
      </c>
      <c r="E92" s="453" t="s">
        <v>554</v>
      </c>
      <c r="F92" s="453" t="s">
        <v>1089</v>
      </c>
      <c r="G92" s="453" t="s">
        <v>513</v>
      </c>
      <c r="H92" s="757">
        <v>669</v>
      </c>
      <c r="I92" s="757">
        <v>3643</v>
      </c>
      <c r="J92" s="758">
        <v>1</v>
      </c>
    </row>
    <row r="93" spans="1:10" ht="12.75" customHeight="1" x14ac:dyDescent="0.25">
      <c r="A93" s="756"/>
      <c r="B93" s="453"/>
      <c r="C93" s="453" t="s">
        <v>221</v>
      </c>
      <c r="D93" s="453" t="s">
        <v>220</v>
      </c>
      <c r="E93" s="453" t="s">
        <v>12</v>
      </c>
      <c r="F93" s="453" t="s">
        <v>601</v>
      </c>
      <c r="G93" s="453" t="s">
        <v>511</v>
      </c>
      <c r="H93" s="757">
        <v>39</v>
      </c>
      <c r="I93" s="757">
        <v>176</v>
      </c>
      <c r="J93" s="758">
        <v>1</v>
      </c>
    </row>
    <row r="94" spans="1:10" ht="12.75" customHeight="1" x14ac:dyDescent="0.25">
      <c r="A94" s="756"/>
      <c r="B94" s="453"/>
      <c r="C94" s="453" t="s">
        <v>225</v>
      </c>
      <c r="D94" s="453" t="s">
        <v>224</v>
      </c>
      <c r="E94" s="453" t="s">
        <v>554</v>
      </c>
      <c r="F94" s="453" t="s">
        <v>460</v>
      </c>
      <c r="G94" s="453" t="s">
        <v>511</v>
      </c>
      <c r="H94" s="757">
        <v>41</v>
      </c>
      <c r="I94" s="757">
        <v>258</v>
      </c>
      <c r="J94" s="758">
        <v>1</v>
      </c>
    </row>
    <row r="95" spans="1:10" ht="12.75" customHeight="1" x14ac:dyDescent="0.25">
      <c r="A95" s="756"/>
      <c r="B95" s="453"/>
      <c r="C95" s="453" t="s">
        <v>227</v>
      </c>
      <c r="D95" s="453" t="s">
        <v>226</v>
      </c>
      <c r="E95" s="453" t="s">
        <v>12</v>
      </c>
      <c r="F95" s="453" t="s">
        <v>601</v>
      </c>
      <c r="G95" s="453" t="s">
        <v>511</v>
      </c>
      <c r="H95" s="757">
        <v>10</v>
      </c>
      <c r="I95" s="757">
        <v>38</v>
      </c>
      <c r="J95" s="758">
        <v>1</v>
      </c>
    </row>
    <row r="96" spans="1:10" ht="12.75" customHeight="1" x14ac:dyDescent="0.25">
      <c r="A96" s="756"/>
      <c r="B96" s="453"/>
      <c r="C96" s="453" t="s">
        <v>1313</v>
      </c>
      <c r="D96" s="453" t="s">
        <v>1314</v>
      </c>
      <c r="E96" s="453" t="s">
        <v>986</v>
      </c>
      <c r="F96" s="453" t="s">
        <v>601</v>
      </c>
      <c r="G96" s="453" t="s">
        <v>511</v>
      </c>
      <c r="H96" s="757"/>
      <c r="I96" s="757">
        <v>49</v>
      </c>
      <c r="J96" s="758">
        <v>1</v>
      </c>
    </row>
    <row r="97" spans="1:10" ht="12.75" customHeight="1" x14ac:dyDescent="0.25">
      <c r="A97" s="756"/>
      <c r="B97" s="453" t="s">
        <v>1168</v>
      </c>
      <c r="C97" s="453"/>
      <c r="D97" s="453"/>
      <c r="E97" s="453"/>
      <c r="F97" s="453"/>
      <c r="G97" s="453"/>
      <c r="H97" s="757">
        <v>3124</v>
      </c>
      <c r="I97" s="757">
        <v>15683</v>
      </c>
      <c r="J97" s="758">
        <v>20</v>
      </c>
    </row>
    <row r="98" spans="1:10" ht="12.75" customHeight="1" x14ac:dyDescent="0.25">
      <c r="A98" s="756"/>
      <c r="B98" s="453" t="s">
        <v>237</v>
      </c>
      <c r="C98" s="453" t="s">
        <v>243</v>
      </c>
      <c r="D98" s="453" t="s">
        <v>242</v>
      </c>
      <c r="E98" s="453" t="s">
        <v>554</v>
      </c>
      <c r="F98" s="453" t="s">
        <v>460</v>
      </c>
      <c r="G98" s="453" t="s">
        <v>511</v>
      </c>
      <c r="H98" s="757">
        <v>6</v>
      </c>
      <c r="I98" s="757">
        <v>28</v>
      </c>
      <c r="J98" s="758">
        <v>1</v>
      </c>
    </row>
    <row r="99" spans="1:10" ht="12.75" customHeight="1" x14ac:dyDescent="0.25">
      <c r="A99" s="756"/>
      <c r="B99" s="453"/>
      <c r="C99" s="98" t="s">
        <v>245</v>
      </c>
      <c r="D99" s="453" t="s">
        <v>244</v>
      </c>
      <c r="E99" s="453" t="s">
        <v>554</v>
      </c>
      <c r="F99" s="453" t="s">
        <v>460</v>
      </c>
      <c r="G99" s="453" t="s">
        <v>511</v>
      </c>
      <c r="H99" s="757">
        <v>6</v>
      </c>
      <c r="I99" s="757">
        <v>39</v>
      </c>
      <c r="J99" s="758">
        <v>1</v>
      </c>
    </row>
    <row r="100" spans="1:10" ht="12.75" customHeight="1" x14ac:dyDescent="0.25">
      <c r="A100" s="756"/>
      <c r="B100" s="453"/>
      <c r="C100" s="98" t="s">
        <v>247</v>
      </c>
      <c r="D100" s="453" t="s">
        <v>246</v>
      </c>
      <c r="E100" s="453" t="s">
        <v>554</v>
      </c>
      <c r="F100" s="453" t="s">
        <v>460</v>
      </c>
      <c r="G100" s="453" t="s">
        <v>511</v>
      </c>
      <c r="H100" s="757">
        <v>20</v>
      </c>
      <c r="I100" s="757">
        <v>105</v>
      </c>
      <c r="J100" s="758">
        <v>1</v>
      </c>
    </row>
    <row r="101" spans="1:10" ht="12.75" customHeight="1" x14ac:dyDescent="0.25">
      <c r="A101" s="756"/>
      <c r="B101" s="453"/>
      <c r="C101" s="98" t="s">
        <v>253</v>
      </c>
      <c r="D101" s="453" t="s">
        <v>252</v>
      </c>
      <c r="E101" s="453" t="s">
        <v>554</v>
      </c>
      <c r="F101" s="453" t="s">
        <v>460</v>
      </c>
      <c r="G101" s="453" t="s">
        <v>511</v>
      </c>
      <c r="H101" s="757">
        <v>198</v>
      </c>
      <c r="I101" s="757">
        <v>1107</v>
      </c>
      <c r="J101" s="758">
        <v>1</v>
      </c>
    </row>
    <row r="102" spans="1:10" ht="12.75" customHeight="1" x14ac:dyDescent="0.25">
      <c r="A102" s="756"/>
      <c r="B102" s="453"/>
      <c r="C102" s="98" t="s">
        <v>255</v>
      </c>
      <c r="D102" s="453" t="s">
        <v>254</v>
      </c>
      <c r="E102" s="453" t="s">
        <v>554</v>
      </c>
      <c r="F102" s="453" t="s">
        <v>1090</v>
      </c>
      <c r="G102" s="453" t="s">
        <v>511</v>
      </c>
      <c r="H102" s="757">
        <v>99</v>
      </c>
      <c r="I102" s="757">
        <v>454</v>
      </c>
      <c r="J102" s="758">
        <v>1</v>
      </c>
    </row>
    <row r="103" spans="1:10" ht="12.75" customHeight="1" x14ac:dyDescent="0.25">
      <c r="A103" s="756"/>
      <c r="B103" s="453"/>
      <c r="C103" s="98" t="s">
        <v>257</v>
      </c>
      <c r="D103" s="453" t="s">
        <v>256</v>
      </c>
      <c r="E103" s="453" t="s">
        <v>554</v>
      </c>
      <c r="F103" s="453" t="s">
        <v>460</v>
      </c>
      <c r="G103" s="453" t="s">
        <v>511</v>
      </c>
      <c r="H103" s="757">
        <v>17</v>
      </c>
      <c r="I103" s="757">
        <v>68</v>
      </c>
      <c r="J103" s="758">
        <v>1</v>
      </c>
    </row>
    <row r="104" spans="1:10" ht="12.75" customHeight="1" x14ac:dyDescent="0.25">
      <c r="A104" s="756"/>
      <c r="B104" s="453"/>
      <c r="C104" s="98" t="s">
        <v>240</v>
      </c>
      <c r="D104" s="453" t="s">
        <v>239</v>
      </c>
      <c r="E104" s="453" t="s">
        <v>554</v>
      </c>
      <c r="F104" s="453" t="s">
        <v>460</v>
      </c>
      <c r="G104" s="453" t="s">
        <v>511</v>
      </c>
      <c r="H104" s="757">
        <v>30</v>
      </c>
      <c r="I104" s="757">
        <v>178</v>
      </c>
      <c r="J104" s="758">
        <v>1</v>
      </c>
    </row>
    <row r="105" spans="1:10" ht="12.75" customHeight="1" x14ac:dyDescent="0.25">
      <c r="A105" s="756"/>
      <c r="B105" s="453"/>
      <c r="C105" s="98" t="s">
        <v>285</v>
      </c>
      <c r="D105" s="453" t="s">
        <v>284</v>
      </c>
      <c r="E105" s="453" t="s">
        <v>554</v>
      </c>
      <c r="F105" s="453" t="s">
        <v>460</v>
      </c>
      <c r="G105" s="453" t="s">
        <v>511</v>
      </c>
      <c r="H105" s="757">
        <v>85</v>
      </c>
      <c r="I105" s="757">
        <v>437</v>
      </c>
      <c r="J105" s="758">
        <v>1</v>
      </c>
    </row>
    <row r="106" spans="1:10" ht="12.75" customHeight="1" x14ac:dyDescent="0.25">
      <c r="A106" s="756"/>
      <c r="B106" s="453"/>
      <c r="C106" s="453" t="s">
        <v>259</v>
      </c>
      <c r="D106" s="453" t="s">
        <v>258</v>
      </c>
      <c r="E106" s="453" t="s">
        <v>554</v>
      </c>
      <c r="F106" s="453" t="s">
        <v>460</v>
      </c>
      <c r="G106" s="453" t="s">
        <v>511</v>
      </c>
      <c r="H106" s="757">
        <v>60</v>
      </c>
      <c r="I106" s="757">
        <v>294</v>
      </c>
      <c r="J106" s="758">
        <v>1</v>
      </c>
    </row>
    <row r="107" spans="1:10" ht="12.75" customHeight="1" x14ac:dyDescent="0.25">
      <c r="A107" s="756"/>
      <c r="B107" s="453"/>
      <c r="C107" s="453" t="s">
        <v>261</v>
      </c>
      <c r="D107" s="453" t="s">
        <v>260</v>
      </c>
      <c r="E107" s="453" t="s">
        <v>554</v>
      </c>
      <c r="F107" s="453" t="s">
        <v>460</v>
      </c>
      <c r="G107" s="453" t="s">
        <v>511</v>
      </c>
      <c r="H107" s="757">
        <v>92</v>
      </c>
      <c r="I107" s="757">
        <v>391</v>
      </c>
      <c r="J107" s="758">
        <v>1</v>
      </c>
    </row>
    <row r="108" spans="1:10" ht="12.75" customHeight="1" x14ac:dyDescent="0.25">
      <c r="A108" s="756"/>
      <c r="B108" s="453"/>
      <c r="C108" s="453" t="s">
        <v>263</v>
      </c>
      <c r="D108" s="453" t="s">
        <v>262</v>
      </c>
      <c r="E108" s="453" t="s">
        <v>554</v>
      </c>
      <c r="F108" s="453" t="s">
        <v>505</v>
      </c>
      <c r="G108" s="453" t="s">
        <v>511</v>
      </c>
      <c r="H108" s="757">
        <v>21</v>
      </c>
      <c r="I108" s="757">
        <v>98</v>
      </c>
      <c r="J108" s="758">
        <v>1</v>
      </c>
    </row>
    <row r="109" spans="1:10" ht="12.75" customHeight="1" x14ac:dyDescent="0.25">
      <c r="A109" s="756"/>
      <c r="B109" s="453"/>
      <c r="C109" s="453" t="s">
        <v>265</v>
      </c>
      <c r="D109" s="453" t="s">
        <v>264</v>
      </c>
      <c r="E109" s="453" t="s">
        <v>554</v>
      </c>
      <c r="F109" s="453" t="s">
        <v>505</v>
      </c>
      <c r="G109" s="453" t="s">
        <v>511</v>
      </c>
      <c r="H109" s="757">
        <v>14</v>
      </c>
      <c r="I109" s="757">
        <v>71</v>
      </c>
      <c r="J109" s="758">
        <v>1</v>
      </c>
    </row>
    <row r="110" spans="1:10" ht="12.75" customHeight="1" x14ac:dyDescent="0.25">
      <c r="A110" s="756"/>
      <c r="B110" s="453"/>
      <c r="C110" s="453" t="s">
        <v>271</v>
      </c>
      <c r="D110" s="453" t="s">
        <v>270</v>
      </c>
      <c r="E110" s="453" t="s">
        <v>554</v>
      </c>
      <c r="F110" s="453" t="s">
        <v>1090</v>
      </c>
      <c r="G110" s="453" t="s">
        <v>511</v>
      </c>
      <c r="H110" s="757">
        <v>68</v>
      </c>
      <c r="I110" s="757">
        <v>333</v>
      </c>
      <c r="J110" s="758">
        <v>1</v>
      </c>
    </row>
    <row r="111" spans="1:10" ht="12.75" customHeight="1" x14ac:dyDescent="0.25">
      <c r="A111" s="756"/>
      <c r="B111" s="453"/>
      <c r="C111" s="453" t="s">
        <v>269</v>
      </c>
      <c r="D111" s="453" t="s">
        <v>268</v>
      </c>
      <c r="E111" s="453" t="s">
        <v>554</v>
      </c>
      <c r="F111" s="453" t="s">
        <v>460</v>
      </c>
      <c r="G111" s="453" t="s">
        <v>511</v>
      </c>
      <c r="H111" s="757">
        <v>62</v>
      </c>
      <c r="I111" s="757">
        <v>264</v>
      </c>
      <c r="J111" s="758">
        <v>1</v>
      </c>
    </row>
    <row r="112" spans="1:10" ht="12.75" customHeight="1" x14ac:dyDescent="0.25">
      <c r="A112" s="756"/>
      <c r="B112" s="453"/>
      <c r="C112" s="453" t="s">
        <v>273</v>
      </c>
      <c r="D112" s="453" t="s">
        <v>272</v>
      </c>
      <c r="E112" s="453" t="s">
        <v>554</v>
      </c>
      <c r="F112" s="453" t="s">
        <v>1090</v>
      </c>
      <c r="G112" s="453" t="s">
        <v>511</v>
      </c>
      <c r="H112" s="757">
        <v>46</v>
      </c>
      <c r="I112" s="757">
        <v>278</v>
      </c>
      <c r="J112" s="758">
        <v>1</v>
      </c>
    </row>
    <row r="113" spans="1:10" ht="12.75" customHeight="1" x14ac:dyDescent="0.25">
      <c r="A113" s="756"/>
      <c r="B113" s="453"/>
      <c r="C113" s="453" t="s">
        <v>277</v>
      </c>
      <c r="D113" s="453" t="s">
        <v>276</v>
      </c>
      <c r="E113" s="453" t="s">
        <v>554</v>
      </c>
      <c r="F113" s="453" t="s">
        <v>460</v>
      </c>
      <c r="G113" s="453" t="s">
        <v>511</v>
      </c>
      <c r="H113" s="757">
        <v>88</v>
      </c>
      <c r="I113" s="757">
        <v>394</v>
      </c>
      <c r="J113" s="758">
        <v>1</v>
      </c>
    </row>
    <row r="114" spans="1:10" ht="12.75" customHeight="1" x14ac:dyDescent="0.25">
      <c r="A114" s="756"/>
      <c r="B114" s="453"/>
      <c r="C114" s="453" t="s">
        <v>279</v>
      </c>
      <c r="D114" s="453" t="s">
        <v>278</v>
      </c>
      <c r="E114" s="453" t="s">
        <v>554</v>
      </c>
      <c r="F114" s="453" t="s">
        <v>505</v>
      </c>
      <c r="G114" s="453" t="s">
        <v>511</v>
      </c>
      <c r="H114" s="757">
        <v>22</v>
      </c>
      <c r="I114" s="757">
        <v>111</v>
      </c>
      <c r="J114" s="758">
        <v>1</v>
      </c>
    </row>
    <row r="115" spans="1:10" ht="12.75" customHeight="1" x14ac:dyDescent="0.25">
      <c r="A115" s="756"/>
      <c r="B115" s="453"/>
      <c r="C115" s="453" t="s">
        <v>281</v>
      </c>
      <c r="D115" s="453" t="s">
        <v>280</v>
      </c>
      <c r="E115" s="453" t="s">
        <v>554</v>
      </c>
      <c r="F115" s="453" t="s">
        <v>460</v>
      </c>
      <c r="G115" s="453" t="s">
        <v>511</v>
      </c>
      <c r="H115" s="757">
        <v>73</v>
      </c>
      <c r="I115" s="757">
        <v>416</v>
      </c>
      <c r="J115" s="758">
        <v>1</v>
      </c>
    </row>
    <row r="116" spans="1:10" ht="12.75" customHeight="1" x14ac:dyDescent="0.25">
      <c r="A116" s="756"/>
      <c r="B116" s="453"/>
      <c r="C116" s="453" t="s">
        <v>238</v>
      </c>
      <c r="D116" s="453" t="s">
        <v>236</v>
      </c>
      <c r="E116" s="453" t="s">
        <v>554</v>
      </c>
      <c r="F116" s="453" t="s">
        <v>460</v>
      </c>
      <c r="G116" s="453" t="s">
        <v>511</v>
      </c>
      <c r="H116" s="757">
        <v>48</v>
      </c>
      <c r="I116" s="757">
        <v>247</v>
      </c>
      <c r="J116" s="758">
        <v>1</v>
      </c>
    </row>
    <row r="117" spans="1:10" ht="12.75" customHeight="1" x14ac:dyDescent="0.25">
      <c r="A117" s="756"/>
      <c r="B117" s="453"/>
      <c r="C117" s="453" t="s">
        <v>249</v>
      </c>
      <c r="D117" s="453" t="s">
        <v>248</v>
      </c>
      <c r="E117" s="453" t="s">
        <v>554</v>
      </c>
      <c r="F117" s="453" t="s">
        <v>505</v>
      </c>
      <c r="G117" s="453" t="s">
        <v>511</v>
      </c>
      <c r="H117" s="757">
        <v>4</v>
      </c>
      <c r="I117" s="757">
        <v>21</v>
      </c>
      <c r="J117" s="758">
        <v>1</v>
      </c>
    </row>
    <row r="118" spans="1:10" ht="12.75" customHeight="1" x14ac:dyDescent="0.25">
      <c r="A118" s="756"/>
      <c r="B118" s="453"/>
      <c r="C118" s="453" t="s">
        <v>251</v>
      </c>
      <c r="D118" s="453" t="s">
        <v>250</v>
      </c>
      <c r="E118" s="453" t="s">
        <v>554</v>
      </c>
      <c r="F118" s="453" t="s">
        <v>460</v>
      </c>
      <c r="G118" s="453" t="s">
        <v>511</v>
      </c>
      <c r="H118" s="757">
        <v>26</v>
      </c>
      <c r="I118" s="757">
        <v>139</v>
      </c>
      <c r="J118" s="758">
        <v>1</v>
      </c>
    </row>
    <row r="119" spans="1:10" ht="12.75" customHeight="1" x14ac:dyDescent="0.25">
      <c r="A119" s="756"/>
      <c r="B119" s="453"/>
      <c r="C119" s="453" t="s">
        <v>275</v>
      </c>
      <c r="D119" s="453" t="s">
        <v>274</v>
      </c>
      <c r="E119" s="453" t="s">
        <v>554</v>
      </c>
      <c r="F119" s="453" t="s">
        <v>460</v>
      </c>
      <c r="G119" s="453" t="s">
        <v>511</v>
      </c>
      <c r="H119" s="757">
        <v>31</v>
      </c>
      <c r="I119" s="757">
        <v>154</v>
      </c>
      <c r="J119" s="758">
        <v>1</v>
      </c>
    </row>
    <row r="120" spans="1:10" ht="12.75" customHeight="1" x14ac:dyDescent="0.25">
      <c r="A120" s="756"/>
      <c r="B120" s="453"/>
      <c r="C120" s="453" t="s">
        <v>283</v>
      </c>
      <c r="D120" s="453" t="s">
        <v>282</v>
      </c>
      <c r="E120" s="453" t="s">
        <v>554</v>
      </c>
      <c r="F120" s="453" t="s">
        <v>505</v>
      </c>
      <c r="G120" s="453" t="s">
        <v>511</v>
      </c>
      <c r="H120" s="757">
        <v>7</v>
      </c>
      <c r="I120" s="757">
        <v>37</v>
      </c>
      <c r="J120" s="758">
        <v>1</v>
      </c>
    </row>
    <row r="121" spans="1:10" ht="12.75" customHeight="1" x14ac:dyDescent="0.25">
      <c r="A121" s="756"/>
      <c r="B121" s="453"/>
      <c r="C121" s="453" t="s">
        <v>1244</v>
      </c>
      <c r="D121" s="453" t="s">
        <v>241</v>
      </c>
      <c r="E121" s="453" t="s">
        <v>554</v>
      </c>
      <c r="F121" s="453" t="s">
        <v>505</v>
      </c>
      <c r="G121" s="453" t="s">
        <v>511</v>
      </c>
      <c r="H121" s="757">
        <v>54</v>
      </c>
      <c r="I121" s="757">
        <v>259</v>
      </c>
      <c r="J121" s="758">
        <v>1</v>
      </c>
    </row>
    <row r="122" spans="1:10" ht="12.75" customHeight="1" x14ac:dyDescent="0.25">
      <c r="A122" s="756"/>
      <c r="B122" s="453" t="s">
        <v>1169</v>
      </c>
      <c r="C122" s="453"/>
      <c r="D122" s="453"/>
      <c r="E122" s="453"/>
      <c r="F122" s="453"/>
      <c r="G122" s="453"/>
      <c r="H122" s="757">
        <v>1177</v>
      </c>
      <c r="I122" s="757">
        <v>5923</v>
      </c>
      <c r="J122" s="758">
        <v>24</v>
      </c>
    </row>
    <row r="123" spans="1:10" ht="12.75" customHeight="1" x14ac:dyDescent="0.25">
      <c r="A123" s="756"/>
      <c r="B123" s="453" t="s">
        <v>300</v>
      </c>
      <c r="C123" s="453" t="s">
        <v>301</v>
      </c>
      <c r="D123" s="453" t="s">
        <v>299</v>
      </c>
      <c r="E123" s="453" t="s">
        <v>12</v>
      </c>
      <c r="F123" s="453" t="s">
        <v>601</v>
      </c>
      <c r="G123" s="453" t="s">
        <v>511</v>
      </c>
      <c r="H123" s="757">
        <v>14</v>
      </c>
      <c r="I123" s="757">
        <v>64</v>
      </c>
      <c r="J123" s="758">
        <v>1</v>
      </c>
    </row>
    <row r="124" spans="1:10" ht="12.75" customHeight="1" x14ac:dyDescent="0.25">
      <c r="A124" s="756"/>
      <c r="B124" s="453"/>
      <c r="C124" s="453" t="s">
        <v>1041</v>
      </c>
      <c r="D124" s="453" t="s">
        <v>1043</v>
      </c>
      <c r="E124" s="453" t="s">
        <v>12</v>
      </c>
      <c r="F124" s="453" t="s">
        <v>601</v>
      </c>
      <c r="G124" s="453" t="s">
        <v>511</v>
      </c>
      <c r="H124" s="757">
        <v>10</v>
      </c>
      <c r="I124" s="757">
        <v>56</v>
      </c>
      <c r="J124" s="758">
        <v>1</v>
      </c>
    </row>
    <row r="125" spans="1:10" ht="12.75" customHeight="1" x14ac:dyDescent="0.25">
      <c r="A125" s="756"/>
      <c r="B125" s="453"/>
      <c r="C125" s="453" t="s">
        <v>1260</v>
      </c>
      <c r="D125" s="453" t="s">
        <v>1259</v>
      </c>
      <c r="E125" s="453" t="s">
        <v>554</v>
      </c>
      <c r="F125" s="453" t="s">
        <v>460</v>
      </c>
      <c r="G125" s="453" t="s">
        <v>511</v>
      </c>
      <c r="H125" s="757">
        <v>59</v>
      </c>
      <c r="I125" s="757">
        <v>268</v>
      </c>
      <c r="J125" s="758">
        <v>1</v>
      </c>
    </row>
    <row r="126" spans="1:10" ht="12.75" customHeight="1" x14ac:dyDescent="0.25">
      <c r="A126" s="756"/>
      <c r="B126" s="453" t="s">
        <v>1170</v>
      </c>
      <c r="C126" s="453"/>
      <c r="D126" s="453"/>
      <c r="E126" s="453"/>
      <c r="F126" s="453"/>
      <c r="G126" s="453"/>
      <c r="H126" s="757">
        <v>83</v>
      </c>
      <c r="I126" s="757">
        <v>388</v>
      </c>
      <c r="J126" s="758">
        <v>3</v>
      </c>
    </row>
    <row r="127" spans="1:10" ht="12.75" customHeight="1" x14ac:dyDescent="0.25">
      <c r="A127" s="756"/>
      <c r="B127" s="453" t="s">
        <v>302</v>
      </c>
      <c r="C127" s="453" t="s">
        <v>12</v>
      </c>
      <c r="D127" s="453" t="s">
        <v>393</v>
      </c>
      <c r="E127" s="453" t="s">
        <v>12</v>
      </c>
      <c r="F127" s="453" t="s">
        <v>601</v>
      </c>
      <c r="G127" s="453" t="s">
        <v>511</v>
      </c>
      <c r="H127" s="757">
        <v>9</v>
      </c>
      <c r="I127" s="757">
        <v>30</v>
      </c>
      <c r="J127" s="758">
        <v>1</v>
      </c>
    </row>
    <row r="128" spans="1:10" ht="12.75" customHeight="1" x14ac:dyDescent="0.25">
      <c r="A128" s="756"/>
      <c r="B128" s="453"/>
      <c r="C128" s="453" t="s">
        <v>304</v>
      </c>
      <c r="D128" s="453" t="s">
        <v>303</v>
      </c>
      <c r="E128" s="453" t="s">
        <v>12</v>
      </c>
      <c r="F128" s="453" t="s">
        <v>601</v>
      </c>
      <c r="G128" s="453" t="s">
        <v>513</v>
      </c>
      <c r="H128" s="757">
        <v>375</v>
      </c>
      <c r="I128" s="757">
        <v>1691</v>
      </c>
      <c r="J128" s="758">
        <v>1</v>
      </c>
    </row>
    <row r="129" spans="1:10" ht="12.75" customHeight="1" x14ac:dyDescent="0.25">
      <c r="A129" s="756"/>
      <c r="B129" s="453"/>
      <c r="C129" s="453" t="s">
        <v>306</v>
      </c>
      <c r="D129" s="453" t="s">
        <v>305</v>
      </c>
      <c r="E129" s="453" t="s">
        <v>554</v>
      </c>
      <c r="F129" s="453" t="s">
        <v>460</v>
      </c>
      <c r="G129" s="453" t="s">
        <v>511</v>
      </c>
      <c r="H129" s="757">
        <v>86</v>
      </c>
      <c r="I129" s="757">
        <v>313</v>
      </c>
      <c r="J129" s="758">
        <v>1</v>
      </c>
    </row>
    <row r="130" spans="1:10" ht="12.75" customHeight="1" x14ac:dyDescent="0.25">
      <c r="A130" s="756"/>
      <c r="B130" s="453"/>
      <c r="C130" s="453" t="s">
        <v>308</v>
      </c>
      <c r="D130" s="453" t="s">
        <v>307</v>
      </c>
      <c r="E130" s="453" t="s">
        <v>554</v>
      </c>
      <c r="F130" s="453" t="s">
        <v>1089</v>
      </c>
      <c r="G130" s="453" t="s">
        <v>511</v>
      </c>
      <c r="H130" s="757">
        <v>40</v>
      </c>
      <c r="I130" s="757">
        <v>196</v>
      </c>
      <c r="J130" s="758">
        <v>1</v>
      </c>
    </row>
    <row r="131" spans="1:10" ht="12.75" customHeight="1" x14ac:dyDescent="0.25">
      <c r="A131" s="756"/>
      <c r="B131" s="453" t="s">
        <v>1347</v>
      </c>
      <c r="C131" s="453"/>
      <c r="D131" s="453"/>
      <c r="E131" s="453"/>
      <c r="F131" s="453"/>
      <c r="G131" s="453"/>
      <c r="H131" s="757">
        <v>510</v>
      </c>
      <c r="I131" s="757">
        <v>2230</v>
      </c>
      <c r="J131" s="758">
        <v>4</v>
      </c>
    </row>
    <row r="132" spans="1:10" ht="12.75" customHeight="1" x14ac:dyDescent="0.25">
      <c r="A132" s="756"/>
      <c r="B132" s="453" t="s">
        <v>808</v>
      </c>
      <c r="C132" s="453" t="s">
        <v>808</v>
      </c>
      <c r="D132" s="453" t="s">
        <v>812</v>
      </c>
      <c r="E132" s="453" t="s">
        <v>554</v>
      </c>
      <c r="F132" s="453" t="s">
        <v>601</v>
      </c>
      <c r="G132" s="453" t="s">
        <v>511</v>
      </c>
      <c r="H132" s="757">
        <v>5</v>
      </c>
      <c r="I132" s="757">
        <v>32</v>
      </c>
      <c r="J132" s="758">
        <v>1</v>
      </c>
    </row>
    <row r="133" spans="1:10" ht="12.75" customHeight="1" x14ac:dyDescent="0.25">
      <c r="A133" s="756"/>
      <c r="B133" s="453"/>
      <c r="C133" s="453" t="s">
        <v>1298</v>
      </c>
      <c r="D133" s="453" t="s">
        <v>1299</v>
      </c>
      <c r="E133" s="453" t="s">
        <v>554</v>
      </c>
      <c r="F133" s="453" t="s">
        <v>601</v>
      </c>
      <c r="G133" s="453" t="s">
        <v>511</v>
      </c>
      <c r="H133" s="757">
        <v>161</v>
      </c>
      <c r="I133" s="757">
        <v>711</v>
      </c>
      <c r="J133" s="758">
        <v>1</v>
      </c>
    </row>
    <row r="134" spans="1:10" ht="12.75" customHeight="1" x14ac:dyDescent="0.25">
      <c r="A134" s="756"/>
      <c r="B134" s="453"/>
      <c r="C134" s="453" t="s">
        <v>1300</v>
      </c>
      <c r="D134" s="453" t="s">
        <v>1301</v>
      </c>
      <c r="E134" s="453" t="s">
        <v>554</v>
      </c>
      <c r="F134" s="453" t="s">
        <v>601</v>
      </c>
      <c r="G134" s="453" t="s">
        <v>511</v>
      </c>
      <c r="H134" s="757"/>
      <c r="I134" s="757">
        <v>489</v>
      </c>
      <c r="J134" s="758">
        <v>1</v>
      </c>
    </row>
    <row r="135" spans="1:10" ht="12.75" customHeight="1" x14ac:dyDescent="0.25">
      <c r="A135" s="756"/>
      <c r="B135" s="453" t="s">
        <v>1348</v>
      </c>
      <c r="C135" s="453"/>
      <c r="D135" s="453"/>
      <c r="E135" s="453"/>
      <c r="F135" s="453"/>
      <c r="G135" s="453"/>
      <c r="H135" s="757">
        <v>166</v>
      </c>
      <c r="I135" s="757">
        <v>1232</v>
      </c>
      <c r="J135" s="758">
        <v>3</v>
      </c>
    </row>
    <row r="136" spans="1:10" ht="12.75" customHeight="1" x14ac:dyDescent="0.25">
      <c r="A136" s="756"/>
      <c r="B136" s="453" t="s">
        <v>310</v>
      </c>
      <c r="C136" s="453" t="s">
        <v>334</v>
      </c>
      <c r="D136" s="453" t="s">
        <v>333</v>
      </c>
      <c r="E136" s="453" t="s">
        <v>554</v>
      </c>
      <c r="F136" s="453" t="s">
        <v>1090</v>
      </c>
      <c r="G136" s="453" t="s">
        <v>513</v>
      </c>
      <c r="H136" s="757">
        <v>161</v>
      </c>
      <c r="I136" s="757">
        <v>637</v>
      </c>
      <c r="J136" s="758">
        <v>1</v>
      </c>
    </row>
    <row r="137" spans="1:10" ht="12.75" customHeight="1" x14ac:dyDescent="0.25">
      <c r="A137" s="756"/>
      <c r="B137" s="453"/>
      <c r="C137" s="453" t="s">
        <v>313</v>
      </c>
      <c r="D137" s="453" t="s">
        <v>312</v>
      </c>
      <c r="E137" s="453" t="s">
        <v>554</v>
      </c>
      <c r="F137" s="453" t="s">
        <v>505</v>
      </c>
      <c r="G137" s="453" t="s">
        <v>511</v>
      </c>
      <c r="H137" s="757">
        <v>99</v>
      </c>
      <c r="I137" s="757">
        <v>472</v>
      </c>
      <c r="J137" s="758">
        <v>1</v>
      </c>
    </row>
    <row r="138" spans="1:10" ht="12.75" customHeight="1" x14ac:dyDescent="0.25">
      <c r="A138" s="756"/>
      <c r="B138" s="453"/>
      <c r="C138" s="453" t="s">
        <v>336</v>
      </c>
      <c r="D138" s="453" t="s">
        <v>335</v>
      </c>
      <c r="E138" s="453" t="s">
        <v>554</v>
      </c>
      <c r="F138" s="453" t="s">
        <v>460</v>
      </c>
      <c r="G138" s="453" t="s">
        <v>513</v>
      </c>
      <c r="H138" s="757">
        <v>148</v>
      </c>
      <c r="I138" s="757">
        <v>1076</v>
      </c>
      <c r="J138" s="758">
        <v>1</v>
      </c>
    </row>
    <row r="139" spans="1:10" ht="12.75" customHeight="1" x14ac:dyDescent="0.25">
      <c r="A139" s="756"/>
      <c r="B139" s="453"/>
      <c r="C139" s="453" t="s">
        <v>813</v>
      </c>
      <c r="D139" s="453" t="s">
        <v>814</v>
      </c>
      <c r="E139" s="453" t="s">
        <v>986</v>
      </c>
      <c r="F139" s="453" t="s">
        <v>601</v>
      </c>
      <c r="G139" s="453" t="s">
        <v>513</v>
      </c>
      <c r="H139" s="757"/>
      <c r="I139" s="757">
        <v>1047</v>
      </c>
      <c r="J139" s="758">
        <v>1</v>
      </c>
    </row>
    <row r="140" spans="1:10" ht="12.75" customHeight="1" x14ac:dyDescent="0.25">
      <c r="A140" s="756"/>
      <c r="B140" s="453"/>
      <c r="C140" s="453" t="s">
        <v>196</v>
      </c>
      <c r="D140" s="453" t="s">
        <v>195</v>
      </c>
      <c r="E140" s="453" t="s">
        <v>554</v>
      </c>
      <c r="F140" s="453" t="s">
        <v>1090</v>
      </c>
      <c r="G140" s="453" t="s">
        <v>513</v>
      </c>
      <c r="H140" s="757">
        <v>1649</v>
      </c>
      <c r="I140" s="757">
        <v>8965</v>
      </c>
      <c r="J140" s="758">
        <v>1</v>
      </c>
    </row>
    <row r="141" spans="1:10" ht="12.75" customHeight="1" x14ac:dyDescent="0.25">
      <c r="A141" s="756"/>
      <c r="B141" s="453"/>
      <c r="C141" s="98" t="s">
        <v>320</v>
      </c>
      <c r="D141" s="453" t="s">
        <v>319</v>
      </c>
      <c r="E141" s="453" t="s">
        <v>554</v>
      </c>
      <c r="F141" s="453" t="s">
        <v>460</v>
      </c>
      <c r="G141" s="453" t="s">
        <v>511</v>
      </c>
      <c r="H141" s="757">
        <v>30</v>
      </c>
      <c r="I141" s="757">
        <v>113</v>
      </c>
      <c r="J141" s="758">
        <v>1</v>
      </c>
    </row>
    <row r="142" spans="1:10" ht="12.75" customHeight="1" x14ac:dyDescent="0.25">
      <c r="A142" s="756"/>
      <c r="B142" s="453"/>
      <c r="C142" s="98" t="s">
        <v>322</v>
      </c>
      <c r="D142" s="453" t="s">
        <v>321</v>
      </c>
      <c r="E142" s="453" t="s">
        <v>554</v>
      </c>
      <c r="F142" s="453" t="s">
        <v>1090</v>
      </c>
      <c r="G142" s="453" t="s">
        <v>513</v>
      </c>
      <c r="H142" s="757">
        <v>585</v>
      </c>
      <c r="I142" s="757">
        <v>2585</v>
      </c>
      <c r="J142" s="758">
        <v>1</v>
      </c>
    </row>
    <row r="143" spans="1:10" ht="12.75" customHeight="1" x14ac:dyDescent="0.25">
      <c r="A143" s="756"/>
      <c r="B143" s="453"/>
      <c r="C143" s="98" t="s">
        <v>328</v>
      </c>
      <c r="D143" s="453" t="s">
        <v>327</v>
      </c>
      <c r="E143" s="453" t="s">
        <v>554</v>
      </c>
      <c r="F143" s="453" t="s">
        <v>505</v>
      </c>
      <c r="G143" s="453" t="s">
        <v>511</v>
      </c>
      <c r="H143" s="757">
        <v>149</v>
      </c>
      <c r="I143" s="757">
        <v>841</v>
      </c>
      <c r="J143" s="758">
        <v>1</v>
      </c>
    </row>
    <row r="144" spans="1:10" ht="12.75" customHeight="1" x14ac:dyDescent="0.25">
      <c r="A144" s="756"/>
      <c r="B144" s="453"/>
      <c r="C144" s="98" t="s">
        <v>330</v>
      </c>
      <c r="D144" s="453" t="s">
        <v>329</v>
      </c>
      <c r="E144" s="453" t="s">
        <v>554</v>
      </c>
      <c r="F144" s="453" t="s">
        <v>1090</v>
      </c>
      <c r="G144" s="453" t="s">
        <v>511</v>
      </c>
      <c r="H144" s="757">
        <v>223</v>
      </c>
      <c r="I144" s="757">
        <v>1228</v>
      </c>
      <c r="J144" s="758">
        <v>1</v>
      </c>
    </row>
    <row r="145" spans="1:10" ht="12.75" customHeight="1" x14ac:dyDescent="0.25">
      <c r="A145" s="756"/>
      <c r="B145" s="453"/>
      <c r="C145" s="98" t="s">
        <v>324</v>
      </c>
      <c r="D145" s="453" t="s">
        <v>323</v>
      </c>
      <c r="E145" s="453" t="s">
        <v>554</v>
      </c>
      <c r="F145" s="453" t="s">
        <v>460</v>
      </c>
      <c r="G145" s="453" t="s">
        <v>511</v>
      </c>
      <c r="H145" s="757">
        <v>410</v>
      </c>
      <c r="I145" s="757">
        <v>2135</v>
      </c>
      <c r="J145" s="758">
        <v>1</v>
      </c>
    </row>
    <row r="146" spans="1:10" ht="12.75" customHeight="1" x14ac:dyDescent="0.25">
      <c r="A146" s="756"/>
      <c r="B146" s="453"/>
      <c r="C146" s="98" t="s">
        <v>326</v>
      </c>
      <c r="D146" s="453" t="s">
        <v>325</v>
      </c>
      <c r="E146" s="453" t="s">
        <v>554</v>
      </c>
      <c r="F146" s="453" t="s">
        <v>460</v>
      </c>
      <c r="G146" s="453" t="s">
        <v>511</v>
      </c>
      <c r="H146" s="757">
        <v>38</v>
      </c>
      <c r="I146" s="757">
        <v>148</v>
      </c>
      <c r="J146" s="758">
        <v>1</v>
      </c>
    </row>
    <row r="147" spans="1:10" ht="12.75" customHeight="1" x14ac:dyDescent="0.25">
      <c r="A147" s="756"/>
      <c r="B147" s="453"/>
      <c r="C147" s="98" t="s">
        <v>344</v>
      </c>
      <c r="D147" s="453" t="s">
        <v>343</v>
      </c>
      <c r="E147" s="453" t="s">
        <v>554</v>
      </c>
      <c r="F147" s="453" t="s">
        <v>505</v>
      </c>
      <c r="G147" s="453" t="s">
        <v>511</v>
      </c>
      <c r="H147" s="757">
        <v>18</v>
      </c>
      <c r="I147" s="757">
        <v>82</v>
      </c>
      <c r="J147" s="758">
        <v>1</v>
      </c>
    </row>
    <row r="148" spans="1:10" ht="12.75" customHeight="1" x14ac:dyDescent="0.25">
      <c r="A148" s="756"/>
      <c r="B148" s="453"/>
      <c r="C148" s="98" t="s">
        <v>355</v>
      </c>
      <c r="D148" s="453" t="s">
        <v>354</v>
      </c>
      <c r="E148" s="453" t="s">
        <v>554</v>
      </c>
      <c r="F148" s="453" t="s">
        <v>1090</v>
      </c>
      <c r="G148" s="453" t="s">
        <v>513</v>
      </c>
      <c r="H148" s="757">
        <v>98</v>
      </c>
      <c r="I148" s="757">
        <v>563</v>
      </c>
      <c r="J148" s="758">
        <v>1</v>
      </c>
    </row>
    <row r="149" spans="1:10" ht="12.75" customHeight="1" x14ac:dyDescent="0.25">
      <c r="A149" s="756"/>
      <c r="B149" s="453"/>
      <c r="C149" s="98" t="s">
        <v>318</v>
      </c>
      <c r="D149" s="453" t="s">
        <v>317</v>
      </c>
      <c r="E149" s="453" t="s">
        <v>554</v>
      </c>
      <c r="F149" s="453" t="s">
        <v>505</v>
      </c>
      <c r="G149" s="453" t="s">
        <v>511</v>
      </c>
      <c r="H149" s="757">
        <v>91</v>
      </c>
      <c r="I149" s="757">
        <v>329</v>
      </c>
      <c r="J149" s="758">
        <v>1</v>
      </c>
    </row>
    <row r="150" spans="1:10" ht="12.75" customHeight="1" x14ac:dyDescent="0.25">
      <c r="A150" s="756"/>
      <c r="B150" s="453"/>
      <c r="C150" s="98" t="s">
        <v>342</v>
      </c>
      <c r="D150" s="453" t="s">
        <v>341</v>
      </c>
      <c r="E150" s="453" t="s">
        <v>554</v>
      </c>
      <c r="F150" s="453" t="s">
        <v>460</v>
      </c>
      <c r="G150" s="453" t="s">
        <v>511</v>
      </c>
      <c r="H150" s="757">
        <v>31</v>
      </c>
      <c r="I150" s="757">
        <v>170</v>
      </c>
      <c r="J150" s="758">
        <v>1</v>
      </c>
    </row>
    <row r="151" spans="1:10" ht="12.75" customHeight="1" x14ac:dyDescent="0.25">
      <c r="A151" s="756"/>
      <c r="B151" s="453"/>
      <c r="C151" s="98" t="s">
        <v>338</v>
      </c>
      <c r="D151" s="453" t="s">
        <v>337</v>
      </c>
      <c r="E151" s="453" t="s">
        <v>554</v>
      </c>
      <c r="F151" s="453" t="s">
        <v>505</v>
      </c>
      <c r="G151" s="453" t="s">
        <v>511</v>
      </c>
      <c r="H151" s="757">
        <v>31</v>
      </c>
      <c r="I151" s="757">
        <v>172</v>
      </c>
      <c r="J151" s="758">
        <v>1</v>
      </c>
    </row>
    <row r="152" spans="1:10" ht="12.75" customHeight="1" x14ac:dyDescent="0.25">
      <c r="A152" s="756"/>
      <c r="B152" s="453"/>
      <c r="C152" s="98" t="s">
        <v>351</v>
      </c>
      <c r="D152" s="453" t="s">
        <v>350</v>
      </c>
      <c r="E152" s="453" t="s">
        <v>554</v>
      </c>
      <c r="F152" s="453" t="s">
        <v>505</v>
      </c>
      <c r="G152" s="453" t="s">
        <v>511</v>
      </c>
      <c r="H152" s="757">
        <v>87</v>
      </c>
      <c r="I152" s="757">
        <v>479</v>
      </c>
      <c r="J152" s="758">
        <v>1</v>
      </c>
    </row>
    <row r="153" spans="1:10" ht="12.75" customHeight="1" x14ac:dyDescent="0.25">
      <c r="A153" s="756"/>
      <c r="B153" s="453"/>
      <c r="C153" s="98" t="s">
        <v>347</v>
      </c>
      <c r="D153" s="453" t="s">
        <v>346</v>
      </c>
      <c r="E153" s="453" t="s">
        <v>554</v>
      </c>
      <c r="F153" s="453" t="s">
        <v>460</v>
      </c>
      <c r="G153" s="453" t="s">
        <v>511</v>
      </c>
      <c r="H153" s="757">
        <v>179</v>
      </c>
      <c r="I153" s="757">
        <v>947</v>
      </c>
      <c r="J153" s="758">
        <v>1</v>
      </c>
    </row>
    <row r="154" spans="1:10" ht="12.75" customHeight="1" x14ac:dyDescent="0.25">
      <c r="A154" s="756"/>
      <c r="B154" s="453"/>
      <c r="C154" s="98" t="s">
        <v>349</v>
      </c>
      <c r="D154" s="453" t="s">
        <v>348</v>
      </c>
      <c r="E154" s="453" t="s">
        <v>554</v>
      </c>
      <c r="F154" s="453" t="s">
        <v>505</v>
      </c>
      <c r="G154" s="453" t="s">
        <v>511</v>
      </c>
      <c r="H154" s="757">
        <v>44</v>
      </c>
      <c r="I154" s="757">
        <v>182</v>
      </c>
      <c r="J154" s="758">
        <v>1</v>
      </c>
    </row>
    <row r="155" spans="1:10" ht="12.75" customHeight="1" x14ac:dyDescent="0.25">
      <c r="A155" s="756"/>
      <c r="B155" s="453"/>
      <c r="C155" s="98" t="s">
        <v>316</v>
      </c>
      <c r="D155" s="453" t="s">
        <v>315</v>
      </c>
      <c r="E155" s="453" t="s">
        <v>554</v>
      </c>
      <c r="F155" s="453" t="s">
        <v>505</v>
      </c>
      <c r="G155" s="453" t="s">
        <v>511</v>
      </c>
      <c r="H155" s="757">
        <v>70</v>
      </c>
      <c r="I155" s="757">
        <v>288</v>
      </c>
      <c r="J155" s="758">
        <v>1</v>
      </c>
    </row>
    <row r="156" spans="1:10" ht="12.75" customHeight="1" x14ac:dyDescent="0.25">
      <c r="A156" s="756"/>
      <c r="B156" s="453"/>
      <c r="C156" s="453" t="s">
        <v>353</v>
      </c>
      <c r="D156" s="453" t="s">
        <v>352</v>
      </c>
      <c r="E156" s="453" t="s">
        <v>554</v>
      </c>
      <c r="F156" s="453" t="s">
        <v>1090</v>
      </c>
      <c r="G156" s="453" t="s">
        <v>513</v>
      </c>
      <c r="H156" s="757">
        <v>1371</v>
      </c>
      <c r="I156" s="757">
        <v>6701</v>
      </c>
      <c r="J156" s="758">
        <v>1</v>
      </c>
    </row>
    <row r="157" spans="1:10" ht="12.75" customHeight="1" x14ac:dyDescent="0.25">
      <c r="A157" s="756"/>
      <c r="B157" s="453"/>
      <c r="C157" s="453" t="s">
        <v>1243</v>
      </c>
      <c r="D157" s="453" t="s">
        <v>345</v>
      </c>
      <c r="E157" s="453" t="s">
        <v>554</v>
      </c>
      <c r="F157" s="453" t="s">
        <v>460</v>
      </c>
      <c r="G157" s="453" t="s">
        <v>513</v>
      </c>
      <c r="H157" s="757">
        <v>180</v>
      </c>
      <c r="I157" s="757">
        <v>857</v>
      </c>
      <c r="J157" s="758">
        <v>1</v>
      </c>
    </row>
    <row r="158" spans="1:10" ht="12.75" customHeight="1" x14ac:dyDescent="0.25">
      <c r="A158" s="756"/>
      <c r="B158" s="453"/>
      <c r="C158" s="453" t="s">
        <v>1245</v>
      </c>
      <c r="D158" s="453" t="s">
        <v>356</v>
      </c>
      <c r="E158" s="453" t="s">
        <v>554</v>
      </c>
      <c r="F158" s="453" t="s">
        <v>460</v>
      </c>
      <c r="G158" s="453" t="s">
        <v>513</v>
      </c>
      <c r="H158" s="757">
        <v>604</v>
      </c>
      <c r="I158" s="757">
        <v>2785</v>
      </c>
      <c r="J158" s="758">
        <v>1</v>
      </c>
    </row>
    <row r="159" spans="1:10" ht="12.75" customHeight="1" x14ac:dyDescent="0.25">
      <c r="A159" s="756"/>
      <c r="B159" s="453" t="s">
        <v>1118</v>
      </c>
      <c r="C159" s="453"/>
      <c r="D159" s="453"/>
      <c r="E159" s="453"/>
      <c r="F159" s="453"/>
      <c r="G159" s="453"/>
      <c r="H159" s="757">
        <v>6296</v>
      </c>
      <c r="I159" s="757">
        <v>32802</v>
      </c>
      <c r="J159" s="758">
        <v>23</v>
      </c>
    </row>
    <row r="160" spans="1:10" ht="12.75" customHeight="1" x14ac:dyDescent="0.25">
      <c r="A160" s="756" t="s">
        <v>851</v>
      </c>
      <c r="B160" s="453"/>
      <c r="C160" s="453"/>
      <c r="D160" s="453"/>
      <c r="E160" s="453"/>
      <c r="F160" s="453"/>
      <c r="G160" s="453"/>
      <c r="H160" s="757">
        <v>17030</v>
      </c>
      <c r="I160" s="757">
        <v>86059</v>
      </c>
      <c r="J160" s="758">
        <v>140</v>
      </c>
    </row>
    <row r="161" spans="1:10" ht="12.75" customHeight="1" x14ac:dyDescent="0.25">
      <c r="A161" s="756" t="s">
        <v>553</v>
      </c>
      <c r="B161" s="453" t="s">
        <v>779</v>
      </c>
      <c r="C161" s="453" t="s">
        <v>594</v>
      </c>
      <c r="D161" s="453" t="s">
        <v>838</v>
      </c>
      <c r="E161" s="453" t="s">
        <v>12</v>
      </c>
      <c r="F161" s="453" t="s">
        <v>601</v>
      </c>
      <c r="G161" s="453" t="s">
        <v>513</v>
      </c>
      <c r="H161" s="757">
        <v>67</v>
      </c>
      <c r="I161" s="757">
        <v>392</v>
      </c>
      <c r="J161" s="758">
        <v>1</v>
      </c>
    </row>
    <row r="162" spans="1:10" ht="12.75" customHeight="1" x14ac:dyDescent="0.25">
      <c r="A162" s="756"/>
      <c r="B162" s="453"/>
      <c r="C162" s="453" t="s">
        <v>1275</v>
      </c>
      <c r="D162" s="453" t="s">
        <v>1258</v>
      </c>
      <c r="E162" s="453" t="s">
        <v>554</v>
      </c>
      <c r="F162" s="453" t="s">
        <v>460</v>
      </c>
      <c r="G162" s="453" t="s">
        <v>511</v>
      </c>
      <c r="H162" s="757">
        <v>38</v>
      </c>
      <c r="I162" s="757">
        <v>205</v>
      </c>
      <c r="J162" s="758">
        <v>1</v>
      </c>
    </row>
    <row r="163" spans="1:10" ht="12.75" customHeight="1" x14ac:dyDescent="0.25">
      <c r="A163" s="756"/>
      <c r="B163" s="453"/>
      <c r="C163" s="453" t="s">
        <v>1425</v>
      </c>
      <c r="D163" s="453" t="s">
        <v>1407</v>
      </c>
      <c r="E163" s="453" t="s">
        <v>554</v>
      </c>
      <c r="F163" s="453" t="s">
        <v>601</v>
      </c>
      <c r="G163" s="453" t="s">
        <v>511</v>
      </c>
      <c r="H163" s="757">
        <v>20</v>
      </c>
      <c r="I163" s="757">
        <v>75</v>
      </c>
      <c r="J163" s="758">
        <v>1</v>
      </c>
    </row>
    <row r="164" spans="1:10" ht="12.75" customHeight="1" x14ac:dyDescent="0.25">
      <c r="A164" s="756"/>
      <c r="B164" s="453" t="s">
        <v>1349</v>
      </c>
      <c r="C164" s="453"/>
      <c r="D164" s="453"/>
      <c r="E164" s="453"/>
      <c r="F164" s="453"/>
      <c r="G164" s="453"/>
      <c r="H164" s="757">
        <v>125</v>
      </c>
      <c r="I164" s="757">
        <v>672</v>
      </c>
      <c r="J164" s="758">
        <v>3</v>
      </c>
    </row>
    <row r="165" spans="1:10" ht="12.75" customHeight="1" x14ac:dyDescent="0.25">
      <c r="A165" s="756"/>
      <c r="B165" s="453" t="s">
        <v>146</v>
      </c>
      <c r="C165" s="453" t="s">
        <v>372</v>
      </c>
      <c r="D165" s="453" t="s">
        <v>382</v>
      </c>
      <c r="E165" s="453" t="s">
        <v>554</v>
      </c>
      <c r="F165" s="453" t="s">
        <v>460</v>
      </c>
      <c r="G165" s="453" t="s">
        <v>511</v>
      </c>
      <c r="H165" s="757">
        <v>88</v>
      </c>
      <c r="I165" s="757">
        <v>505</v>
      </c>
      <c r="J165" s="758">
        <v>1</v>
      </c>
    </row>
    <row r="166" spans="1:10" ht="12.75" customHeight="1" x14ac:dyDescent="0.25">
      <c r="A166" s="756"/>
      <c r="B166" s="453"/>
      <c r="C166" s="453" t="s">
        <v>369</v>
      </c>
      <c r="D166" s="453" t="s">
        <v>383</v>
      </c>
      <c r="E166" s="453" t="s">
        <v>554</v>
      </c>
      <c r="F166" s="453" t="s">
        <v>460</v>
      </c>
      <c r="G166" s="453" t="s">
        <v>511</v>
      </c>
      <c r="H166" s="757">
        <v>61</v>
      </c>
      <c r="I166" s="757">
        <v>289</v>
      </c>
      <c r="J166" s="758">
        <v>1</v>
      </c>
    </row>
    <row r="167" spans="1:10" ht="12.75" customHeight="1" x14ac:dyDescent="0.25">
      <c r="A167" s="756"/>
      <c r="B167" s="453"/>
      <c r="C167" s="453" t="s">
        <v>370</v>
      </c>
      <c r="D167" s="453" t="s">
        <v>384</v>
      </c>
      <c r="E167" s="453" t="s">
        <v>554</v>
      </c>
      <c r="F167" s="453" t="s">
        <v>1262</v>
      </c>
      <c r="G167" s="453" t="s">
        <v>511</v>
      </c>
      <c r="H167" s="757">
        <v>30</v>
      </c>
      <c r="I167" s="757">
        <v>138</v>
      </c>
      <c r="J167" s="758">
        <v>1</v>
      </c>
    </row>
    <row r="168" spans="1:10" ht="12.75" customHeight="1" x14ac:dyDescent="0.25">
      <c r="A168" s="756"/>
      <c r="B168" s="453"/>
      <c r="C168" s="453" t="s">
        <v>368</v>
      </c>
      <c r="D168" s="453" t="s">
        <v>385</v>
      </c>
      <c r="E168" s="453" t="s">
        <v>554</v>
      </c>
      <c r="F168" s="453" t="s">
        <v>460</v>
      </c>
      <c r="G168" s="453" t="s">
        <v>511</v>
      </c>
      <c r="H168" s="757">
        <v>69</v>
      </c>
      <c r="I168" s="757">
        <v>306</v>
      </c>
      <c r="J168" s="758">
        <v>1</v>
      </c>
    </row>
    <row r="169" spans="1:10" ht="12.75" customHeight="1" x14ac:dyDescent="0.25">
      <c r="A169" s="756"/>
      <c r="B169" s="453"/>
      <c r="C169" s="453" t="s">
        <v>371</v>
      </c>
      <c r="D169" s="453" t="s">
        <v>147</v>
      </c>
      <c r="E169" s="453" t="s">
        <v>554</v>
      </c>
      <c r="F169" s="453" t="s">
        <v>460</v>
      </c>
      <c r="G169" s="453" t="s">
        <v>511</v>
      </c>
      <c r="H169" s="757">
        <v>49</v>
      </c>
      <c r="I169" s="757">
        <v>267</v>
      </c>
      <c r="J169" s="758">
        <v>1</v>
      </c>
    </row>
    <row r="170" spans="1:10" ht="12.75" customHeight="1" x14ac:dyDescent="0.25">
      <c r="A170" s="756"/>
      <c r="B170" s="453"/>
      <c r="C170" s="453" t="s">
        <v>149</v>
      </c>
      <c r="D170" s="453" t="s">
        <v>148</v>
      </c>
      <c r="E170" s="453" t="s">
        <v>554</v>
      </c>
      <c r="F170" s="453" t="s">
        <v>460</v>
      </c>
      <c r="G170" s="453" t="s">
        <v>511</v>
      </c>
      <c r="H170" s="757">
        <v>64</v>
      </c>
      <c r="I170" s="757">
        <v>285</v>
      </c>
      <c r="J170" s="758">
        <v>1</v>
      </c>
    </row>
    <row r="171" spans="1:10" ht="12.75" customHeight="1" x14ac:dyDescent="0.25">
      <c r="A171" s="756"/>
      <c r="B171" s="453"/>
      <c r="C171" s="453" t="s">
        <v>373</v>
      </c>
      <c r="D171" s="453" t="s">
        <v>387</v>
      </c>
      <c r="E171" s="453" t="s">
        <v>554</v>
      </c>
      <c r="F171" s="453" t="s">
        <v>460</v>
      </c>
      <c r="G171" s="453" t="s">
        <v>511</v>
      </c>
      <c r="H171" s="757">
        <v>190</v>
      </c>
      <c r="I171" s="757">
        <v>917</v>
      </c>
      <c r="J171" s="758">
        <v>1</v>
      </c>
    </row>
    <row r="172" spans="1:10" ht="12.75" customHeight="1" x14ac:dyDescent="0.25">
      <c r="A172" s="756"/>
      <c r="B172" s="453"/>
      <c r="C172" s="453" t="s">
        <v>1102</v>
      </c>
      <c r="D172" s="453" t="s">
        <v>1101</v>
      </c>
      <c r="E172" s="453" t="s">
        <v>554</v>
      </c>
      <c r="F172" s="453" t="s">
        <v>1262</v>
      </c>
      <c r="G172" s="453" t="s">
        <v>511</v>
      </c>
      <c r="H172" s="757">
        <v>22</v>
      </c>
      <c r="I172" s="757">
        <v>111</v>
      </c>
      <c r="J172" s="758">
        <v>1</v>
      </c>
    </row>
    <row r="173" spans="1:10" ht="12.75" customHeight="1" x14ac:dyDescent="0.25">
      <c r="A173" s="756"/>
      <c r="B173" s="453"/>
      <c r="C173" s="453" t="s">
        <v>1315</v>
      </c>
      <c r="D173" s="453" t="s">
        <v>1316</v>
      </c>
      <c r="E173" s="453" t="s">
        <v>554</v>
      </c>
      <c r="F173" s="453" t="s">
        <v>601</v>
      </c>
      <c r="G173" s="453" t="s">
        <v>511</v>
      </c>
      <c r="H173" s="757">
        <v>105</v>
      </c>
      <c r="I173" s="757">
        <v>568</v>
      </c>
      <c r="J173" s="758">
        <v>1</v>
      </c>
    </row>
    <row r="174" spans="1:10" ht="12.75" customHeight="1" x14ac:dyDescent="0.25">
      <c r="A174" s="756"/>
      <c r="B174" s="453"/>
      <c r="C174" s="453" t="s">
        <v>1409</v>
      </c>
      <c r="D174" s="453" t="s">
        <v>1401</v>
      </c>
      <c r="E174" s="453" t="s">
        <v>554</v>
      </c>
      <c r="F174" s="453" t="s">
        <v>601</v>
      </c>
      <c r="G174" s="453" t="s">
        <v>511</v>
      </c>
      <c r="H174" s="757">
        <v>146</v>
      </c>
      <c r="I174" s="757">
        <v>678</v>
      </c>
      <c r="J174" s="758">
        <v>1</v>
      </c>
    </row>
    <row r="175" spans="1:10" ht="12.75" customHeight="1" x14ac:dyDescent="0.25">
      <c r="A175" s="756"/>
      <c r="B175" s="453"/>
      <c r="C175" s="453" t="s">
        <v>1412</v>
      </c>
      <c r="D175" s="453" t="s">
        <v>1406</v>
      </c>
      <c r="E175" s="453" t="s">
        <v>554</v>
      </c>
      <c r="F175" s="453" t="s">
        <v>601</v>
      </c>
      <c r="G175" s="453" t="s">
        <v>511</v>
      </c>
      <c r="H175" s="757">
        <v>176</v>
      </c>
      <c r="I175" s="757">
        <v>798</v>
      </c>
      <c r="J175" s="758">
        <v>1</v>
      </c>
    </row>
    <row r="176" spans="1:10" ht="12.75" customHeight="1" x14ac:dyDescent="0.25">
      <c r="A176" s="756"/>
      <c r="B176" s="453"/>
      <c r="C176" s="453" t="s">
        <v>1428</v>
      </c>
      <c r="D176" s="453" t="s">
        <v>1408</v>
      </c>
      <c r="E176" s="453" t="s">
        <v>554</v>
      </c>
      <c r="F176" s="453" t="s">
        <v>601</v>
      </c>
      <c r="G176" s="453" t="s">
        <v>511</v>
      </c>
      <c r="H176" s="757">
        <v>30</v>
      </c>
      <c r="I176" s="757">
        <v>170</v>
      </c>
      <c r="J176" s="758">
        <v>1</v>
      </c>
    </row>
    <row r="177" spans="1:10" ht="12.75" customHeight="1" x14ac:dyDescent="0.25">
      <c r="A177" s="756"/>
      <c r="B177" s="453" t="s">
        <v>1171</v>
      </c>
      <c r="C177" s="453"/>
      <c r="D177" s="453"/>
      <c r="E177" s="453"/>
      <c r="F177" s="453"/>
      <c r="G177" s="453"/>
      <c r="H177" s="757">
        <v>1030</v>
      </c>
      <c r="I177" s="757">
        <v>5032</v>
      </c>
      <c r="J177" s="758">
        <v>12</v>
      </c>
    </row>
    <row r="178" spans="1:10" ht="12.75" customHeight="1" x14ac:dyDescent="0.25">
      <c r="A178" s="756"/>
      <c r="B178" s="453" t="s">
        <v>166</v>
      </c>
      <c r="C178" s="453" t="s">
        <v>167</v>
      </c>
      <c r="D178" s="453" t="s">
        <v>165</v>
      </c>
      <c r="E178" s="453" t="s">
        <v>554</v>
      </c>
      <c r="F178" s="453" t="s">
        <v>460</v>
      </c>
      <c r="G178" s="453" t="s">
        <v>511</v>
      </c>
      <c r="H178" s="757">
        <v>36</v>
      </c>
      <c r="I178" s="757">
        <v>173</v>
      </c>
      <c r="J178" s="758">
        <v>1</v>
      </c>
    </row>
    <row r="179" spans="1:10" ht="12.75" customHeight="1" x14ac:dyDescent="0.25">
      <c r="A179" s="756"/>
      <c r="B179" s="453"/>
      <c r="C179" s="453" t="s">
        <v>822</v>
      </c>
      <c r="D179" s="453" t="s">
        <v>823</v>
      </c>
      <c r="E179" s="453" t="s">
        <v>554</v>
      </c>
      <c r="F179" s="453" t="s">
        <v>1262</v>
      </c>
      <c r="G179" s="453" t="s">
        <v>511</v>
      </c>
      <c r="H179" s="757">
        <v>29</v>
      </c>
      <c r="I179" s="757">
        <v>178</v>
      </c>
      <c r="J179" s="758">
        <v>1</v>
      </c>
    </row>
    <row r="180" spans="1:10" ht="12.75" customHeight="1" x14ac:dyDescent="0.25">
      <c r="A180" s="756"/>
      <c r="B180" s="453"/>
      <c r="C180" s="453" t="s">
        <v>1422</v>
      </c>
      <c r="D180" s="453" t="s">
        <v>1403</v>
      </c>
      <c r="E180" s="453" t="s">
        <v>554</v>
      </c>
      <c r="F180" s="453" t="s">
        <v>601</v>
      </c>
      <c r="G180" s="453" t="s">
        <v>511</v>
      </c>
      <c r="H180" s="757">
        <v>36</v>
      </c>
      <c r="I180" s="757">
        <v>188</v>
      </c>
      <c r="J180" s="758">
        <v>1</v>
      </c>
    </row>
    <row r="181" spans="1:10" ht="12.75" customHeight="1" x14ac:dyDescent="0.25">
      <c r="A181" s="756"/>
      <c r="B181" s="453" t="s">
        <v>1350</v>
      </c>
      <c r="C181" s="453"/>
      <c r="D181" s="453"/>
      <c r="E181" s="453"/>
      <c r="F181" s="453"/>
      <c r="G181" s="453"/>
      <c r="H181" s="757">
        <v>101</v>
      </c>
      <c r="I181" s="757">
        <v>539</v>
      </c>
      <c r="J181" s="758">
        <v>3</v>
      </c>
    </row>
    <row r="182" spans="1:10" ht="12.75" customHeight="1" x14ac:dyDescent="0.25">
      <c r="A182" s="756"/>
      <c r="B182" s="453" t="s">
        <v>230</v>
      </c>
      <c r="C182" s="453" t="s">
        <v>169</v>
      </c>
      <c r="D182" s="453" t="s">
        <v>168</v>
      </c>
      <c r="E182" s="453" t="s">
        <v>12</v>
      </c>
      <c r="F182" s="453" t="s">
        <v>601</v>
      </c>
      <c r="G182" s="453" t="s">
        <v>511</v>
      </c>
      <c r="H182" s="757">
        <v>32</v>
      </c>
      <c r="I182" s="757"/>
      <c r="J182" s="758">
        <v>1</v>
      </c>
    </row>
    <row r="183" spans="1:10" ht="12.75" customHeight="1" x14ac:dyDescent="0.25">
      <c r="A183" s="756"/>
      <c r="B183" s="453"/>
      <c r="C183" s="453" t="s">
        <v>231</v>
      </c>
      <c r="D183" s="453" t="s">
        <v>388</v>
      </c>
      <c r="E183" s="453" t="s">
        <v>12</v>
      </c>
      <c r="F183" s="453" t="s">
        <v>601</v>
      </c>
      <c r="G183" s="453" t="s">
        <v>513</v>
      </c>
      <c r="H183" s="757">
        <v>32</v>
      </c>
      <c r="I183" s="757">
        <v>187</v>
      </c>
      <c r="J183" s="758">
        <v>1</v>
      </c>
    </row>
    <row r="184" spans="1:10" ht="12.75" customHeight="1" x14ac:dyDescent="0.25">
      <c r="A184" s="756"/>
      <c r="B184" s="453"/>
      <c r="C184" s="453" t="s">
        <v>235</v>
      </c>
      <c r="D184" s="453" t="s">
        <v>234</v>
      </c>
      <c r="E184" s="453" t="s">
        <v>12</v>
      </c>
      <c r="F184" s="453" t="s">
        <v>601</v>
      </c>
      <c r="G184" s="453" t="s">
        <v>513</v>
      </c>
      <c r="H184" s="757">
        <v>123</v>
      </c>
      <c r="I184" s="757">
        <v>503</v>
      </c>
      <c r="J184" s="758">
        <v>1</v>
      </c>
    </row>
    <row r="185" spans="1:10" ht="12.75" customHeight="1" x14ac:dyDescent="0.25">
      <c r="A185" s="756"/>
      <c r="B185" s="453"/>
      <c r="C185" s="453" t="s">
        <v>171</v>
      </c>
      <c r="D185" s="453" t="s">
        <v>170</v>
      </c>
      <c r="E185" s="453" t="s">
        <v>12</v>
      </c>
      <c r="F185" s="453" t="s">
        <v>601</v>
      </c>
      <c r="G185" s="453" t="s">
        <v>511</v>
      </c>
      <c r="H185" s="757">
        <v>6</v>
      </c>
      <c r="I185" s="757"/>
      <c r="J185" s="758">
        <v>1</v>
      </c>
    </row>
    <row r="186" spans="1:10" ht="12.75" customHeight="1" x14ac:dyDescent="0.25">
      <c r="A186" s="756"/>
      <c r="B186" s="453"/>
      <c r="C186" s="453" t="s">
        <v>1053</v>
      </c>
      <c r="D186" s="453" t="s">
        <v>1054</v>
      </c>
      <c r="E186" s="453" t="s">
        <v>554</v>
      </c>
      <c r="F186" s="453" t="s">
        <v>460</v>
      </c>
      <c r="G186" s="453" t="s">
        <v>511</v>
      </c>
      <c r="H186" s="757">
        <v>51</v>
      </c>
      <c r="I186" s="757">
        <v>209</v>
      </c>
      <c r="J186" s="758">
        <v>1</v>
      </c>
    </row>
    <row r="187" spans="1:10" ht="12.75" customHeight="1" x14ac:dyDescent="0.25">
      <c r="A187" s="756"/>
      <c r="B187" s="453"/>
      <c r="C187" s="453" t="s">
        <v>1063</v>
      </c>
      <c r="D187" s="453" t="s">
        <v>1064</v>
      </c>
      <c r="E187" s="453" t="s">
        <v>554</v>
      </c>
      <c r="F187" s="453" t="s">
        <v>1262</v>
      </c>
      <c r="G187" s="453" t="s">
        <v>511</v>
      </c>
      <c r="H187" s="757">
        <v>25</v>
      </c>
      <c r="I187" s="757">
        <v>113</v>
      </c>
      <c r="J187" s="758">
        <v>1</v>
      </c>
    </row>
    <row r="188" spans="1:10" ht="12.75" customHeight="1" x14ac:dyDescent="0.25">
      <c r="A188" s="756"/>
      <c r="B188" s="453"/>
      <c r="C188" s="453" t="s">
        <v>1619</v>
      </c>
      <c r="D188" s="453" t="s">
        <v>1595</v>
      </c>
      <c r="E188" s="453" t="s">
        <v>554</v>
      </c>
      <c r="F188" s="453" t="s">
        <v>601</v>
      </c>
      <c r="G188" s="453" t="s">
        <v>511</v>
      </c>
      <c r="H188" s="757"/>
      <c r="I188" s="757">
        <v>142</v>
      </c>
      <c r="J188" s="758">
        <v>1</v>
      </c>
    </row>
    <row r="189" spans="1:10" ht="12.75" customHeight="1" x14ac:dyDescent="0.25">
      <c r="A189" s="756"/>
      <c r="B189" s="453"/>
      <c r="C189" s="453" t="s">
        <v>1620</v>
      </c>
      <c r="D189" s="453" t="s">
        <v>1598</v>
      </c>
      <c r="E189" s="453" t="s">
        <v>554</v>
      </c>
      <c r="F189" s="453" t="s">
        <v>601</v>
      </c>
      <c r="G189" s="453" t="s">
        <v>511</v>
      </c>
      <c r="H189" s="757"/>
      <c r="I189" s="757">
        <v>134</v>
      </c>
      <c r="J189" s="758">
        <v>1</v>
      </c>
    </row>
    <row r="190" spans="1:10" ht="12.75" customHeight="1" x14ac:dyDescent="0.25">
      <c r="A190" s="756"/>
      <c r="B190" s="453"/>
      <c r="C190" s="453" t="s">
        <v>1631</v>
      </c>
      <c r="D190" s="453" t="s">
        <v>1599</v>
      </c>
      <c r="E190" s="453" t="s">
        <v>554</v>
      </c>
      <c r="F190" s="453" t="s">
        <v>601</v>
      </c>
      <c r="G190" s="453" t="s">
        <v>511</v>
      </c>
      <c r="H190" s="757"/>
      <c r="I190" s="757">
        <v>46</v>
      </c>
      <c r="J190" s="758">
        <v>1</v>
      </c>
    </row>
    <row r="191" spans="1:10" ht="12.75" customHeight="1" x14ac:dyDescent="0.25">
      <c r="A191" s="756"/>
      <c r="B191" s="453"/>
      <c r="C191" s="453" t="s">
        <v>1635</v>
      </c>
      <c r="D191" s="453" t="s">
        <v>1600</v>
      </c>
      <c r="E191" s="453" t="s">
        <v>554</v>
      </c>
      <c r="F191" s="453" t="s">
        <v>601</v>
      </c>
      <c r="G191" s="453" t="s">
        <v>511</v>
      </c>
      <c r="H191" s="757"/>
      <c r="I191" s="757">
        <v>8</v>
      </c>
      <c r="J191" s="758">
        <v>1</v>
      </c>
    </row>
    <row r="192" spans="1:10" ht="12.75" customHeight="1" x14ac:dyDescent="0.25">
      <c r="A192" s="756"/>
      <c r="B192" s="453"/>
      <c r="C192" s="453" t="s">
        <v>1613</v>
      </c>
      <c r="D192" s="453" t="s">
        <v>1601</v>
      </c>
      <c r="E192" s="453" t="s">
        <v>554</v>
      </c>
      <c r="F192" s="453" t="s">
        <v>601</v>
      </c>
      <c r="G192" s="453" t="s">
        <v>511</v>
      </c>
      <c r="H192" s="757"/>
      <c r="I192" s="757">
        <v>44</v>
      </c>
      <c r="J192" s="758">
        <v>1</v>
      </c>
    </row>
    <row r="193" spans="1:10" ht="12.75" customHeight="1" x14ac:dyDescent="0.25">
      <c r="A193" s="756"/>
      <c r="B193" s="453"/>
      <c r="C193" s="453" t="s">
        <v>1615</v>
      </c>
      <c r="D193" s="453" t="s">
        <v>1603</v>
      </c>
      <c r="E193" s="453" t="s">
        <v>554</v>
      </c>
      <c r="F193" s="453" t="s">
        <v>601</v>
      </c>
      <c r="G193" s="453" t="s">
        <v>511</v>
      </c>
      <c r="H193" s="757"/>
      <c r="I193" s="757">
        <v>150</v>
      </c>
      <c r="J193" s="758">
        <v>1</v>
      </c>
    </row>
    <row r="194" spans="1:10" ht="12.75" customHeight="1" x14ac:dyDescent="0.25">
      <c r="A194" s="756"/>
      <c r="B194" s="453"/>
      <c r="C194" s="453" t="s">
        <v>1616</v>
      </c>
      <c r="D194" s="453" t="s">
        <v>1604</v>
      </c>
      <c r="E194" s="453" t="s">
        <v>554</v>
      </c>
      <c r="F194" s="453" t="s">
        <v>601</v>
      </c>
      <c r="G194" s="453" t="s">
        <v>511</v>
      </c>
      <c r="H194" s="757"/>
      <c r="I194" s="757">
        <v>11</v>
      </c>
      <c r="J194" s="758">
        <v>1</v>
      </c>
    </row>
    <row r="195" spans="1:10" ht="12.75" customHeight="1" x14ac:dyDescent="0.25">
      <c r="A195" s="756"/>
      <c r="B195" s="453"/>
      <c r="C195" s="453" t="s">
        <v>1617</v>
      </c>
      <c r="D195" s="453" t="s">
        <v>1605</v>
      </c>
      <c r="E195" s="453" t="s">
        <v>554</v>
      </c>
      <c r="F195" s="453" t="s">
        <v>601</v>
      </c>
      <c r="G195" s="453" t="s">
        <v>511</v>
      </c>
      <c r="H195" s="757"/>
      <c r="I195" s="757">
        <v>304</v>
      </c>
      <c r="J195" s="758">
        <v>1</v>
      </c>
    </row>
    <row r="196" spans="1:10" ht="12.75" customHeight="1" x14ac:dyDescent="0.25">
      <c r="A196" s="756"/>
      <c r="B196" s="453" t="s">
        <v>1172</v>
      </c>
      <c r="C196" s="453"/>
      <c r="D196" s="453"/>
      <c r="E196" s="453"/>
      <c r="F196" s="453"/>
      <c r="G196" s="453"/>
      <c r="H196" s="757">
        <v>269</v>
      </c>
      <c r="I196" s="757">
        <v>1851</v>
      </c>
      <c r="J196" s="758">
        <v>14</v>
      </c>
    </row>
    <row r="197" spans="1:10" ht="12.75" customHeight="1" x14ac:dyDescent="0.25">
      <c r="A197" s="756"/>
      <c r="B197" s="453" t="s">
        <v>289</v>
      </c>
      <c r="C197" s="453" t="s">
        <v>292</v>
      </c>
      <c r="D197" s="453" t="s">
        <v>291</v>
      </c>
      <c r="E197" s="453" t="s">
        <v>554</v>
      </c>
      <c r="F197" s="453" t="s">
        <v>460</v>
      </c>
      <c r="G197" s="453" t="s">
        <v>511</v>
      </c>
      <c r="H197" s="757">
        <v>75</v>
      </c>
      <c r="I197" s="757">
        <v>373</v>
      </c>
      <c r="J197" s="758">
        <v>1</v>
      </c>
    </row>
    <row r="198" spans="1:10" ht="12.75" customHeight="1" x14ac:dyDescent="0.25">
      <c r="A198" s="756"/>
      <c r="B198" s="453"/>
      <c r="C198" s="453" t="s">
        <v>290</v>
      </c>
      <c r="D198" s="453" t="s">
        <v>288</v>
      </c>
      <c r="E198" s="453" t="s">
        <v>554</v>
      </c>
      <c r="F198" s="453" t="s">
        <v>460</v>
      </c>
      <c r="G198" s="453" t="s">
        <v>511</v>
      </c>
      <c r="H198" s="757">
        <v>69</v>
      </c>
      <c r="I198" s="757">
        <v>344</v>
      </c>
      <c r="J198" s="758">
        <v>1</v>
      </c>
    </row>
    <row r="199" spans="1:10" ht="12.75" customHeight="1" x14ac:dyDescent="0.25">
      <c r="A199" s="756"/>
      <c r="B199" s="453"/>
      <c r="C199" s="453" t="s">
        <v>374</v>
      </c>
      <c r="D199" s="453" t="s">
        <v>295</v>
      </c>
      <c r="E199" s="453" t="s">
        <v>554</v>
      </c>
      <c r="F199" s="453" t="s">
        <v>1262</v>
      </c>
      <c r="G199" s="453" t="s">
        <v>511</v>
      </c>
      <c r="H199" s="757">
        <v>43</v>
      </c>
      <c r="I199" s="757">
        <v>215</v>
      </c>
      <c r="J199" s="758">
        <v>1</v>
      </c>
    </row>
    <row r="200" spans="1:10" ht="12.75" customHeight="1" x14ac:dyDescent="0.25">
      <c r="A200" s="756"/>
      <c r="B200" s="453"/>
      <c r="C200" s="453" t="s">
        <v>1055</v>
      </c>
      <c r="D200" s="453" t="s">
        <v>1056</v>
      </c>
      <c r="E200" s="453" t="s">
        <v>554</v>
      </c>
      <c r="F200" s="453" t="s">
        <v>460</v>
      </c>
      <c r="G200" s="453" t="s">
        <v>511</v>
      </c>
      <c r="H200" s="757">
        <v>36</v>
      </c>
      <c r="I200" s="757">
        <v>201</v>
      </c>
      <c r="J200" s="758">
        <v>1</v>
      </c>
    </row>
    <row r="201" spans="1:10" ht="12.75" customHeight="1" x14ac:dyDescent="0.25">
      <c r="A201" s="756"/>
      <c r="B201" s="453"/>
      <c r="C201" s="453" t="s">
        <v>1067</v>
      </c>
      <c r="D201" s="453" t="s">
        <v>1060</v>
      </c>
      <c r="E201" s="453" t="s">
        <v>554</v>
      </c>
      <c r="F201" s="453" t="s">
        <v>460</v>
      </c>
      <c r="G201" s="453" t="s">
        <v>511</v>
      </c>
      <c r="H201" s="757">
        <v>121</v>
      </c>
      <c r="I201" s="757">
        <v>570</v>
      </c>
      <c r="J201" s="758">
        <v>1</v>
      </c>
    </row>
    <row r="202" spans="1:10" ht="12.75" customHeight="1" x14ac:dyDescent="0.25">
      <c r="A202" s="756"/>
      <c r="B202" s="453"/>
      <c r="C202" s="453" t="s">
        <v>1410</v>
      </c>
      <c r="D202" s="453" t="s">
        <v>1404</v>
      </c>
      <c r="E202" s="453" t="s">
        <v>554</v>
      </c>
      <c r="F202" s="453" t="s">
        <v>601</v>
      </c>
      <c r="G202" s="453" t="s">
        <v>511</v>
      </c>
      <c r="H202" s="757">
        <v>200</v>
      </c>
      <c r="I202" s="757">
        <v>827</v>
      </c>
      <c r="J202" s="758">
        <v>1</v>
      </c>
    </row>
    <row r="203" spans="1:10" ht="12.75" customHeight="1" x14ac:dyDescent="0.25">
      <c r="A203" s="756"/>
      <c r="B203" s="453"/>
      <c r="C203" s="453" t="s">
        <v>1411</v>
      </c>
      <c r="D203" s="453" t="s">
        <v>1405</v>
      </c>
      <c r="E203" s="453" t="s">
        <v>554</v>
      </c>
      <c r="F203" s="453" t="s">
        <v>601</v>
      </c>
      <c r="G203" s="453" t="s">
        <v>511</v>
      </c>
      <c r="H203" s="757">
        <v>61</v>
      </c>
      <c r="I203" s="757">
        <v>247</v>
      </c>
      <c r="J203" s="758">
        <v>1</v>
      </c>
    </row>
    <row r="204" spans="1:10" ht="12.75" customHeight="1" x14ac:dyDescent="0.25">
      <c r="A204" s="756"/>
      <c r="B204" s="453" t="s">
        <v>1173</v>
      </c>
      <c r="C204" s="453"/>
      <c r="D204" s="453"/>
      <c r="E204" s="453"/>
      <c r="F204" s="453"/>
      <c r="G204" s="453"/>
      <c r="H204" s="757">
        <v>605</v>
      </c>
      <c r="I204" s="757">
        <v>2777</v>
      </c>
      <c r="J204" s="758">
        <v>7</v>
      </c>
    </row>
    <row r="205" spans="1:10" x14ac:dyDescent="0.25">
      <c r="A205" s="756"/>
      <c r="B205" s="453" t="s">
        <v>298</v>
      </c>
      <c r="C205" s="453" t="s">
        <v>821</v>
      </c>
      <c r="D205" s="453" t="s">
        <v>297</v>
      </c>
      <c r="E205" s="453" t="s">
        <v>554</v>
      </c>
      <c r="F205" s="453" t="s">
        <v>460</v>
      </c>
      <c r="G205" s="453" t="s">
        <v>511</v>
      </c>
      <c r="H205" s="757">
        <v>8</v>
      </c>
      <c r="I205" s="757">
        <v>39</v>
      </c>
      <c r="J205" s="758">
        <v>1</v>
      </c>
    </row>
    <row r="206" spans="1:10" x14ac:dyDescent="0.25">
      <c r="A206" s="756"/>
      <c r="B206" s="453"/>
      <c r="C206" s="453" t="s">
        <v>593</v>
      </c>
      <c r="D206" s="453" t="s">
        <v>824</v>
      </c>
      <c r="E206" s="453" t="s">
        <v>12</v>
      </c>
      <c r="F206" s="453" t="s">
        <v>601</v>
      </c>
      <c r="G206" s="453" t="s">
        <v>511</v>
      </c>
      <c r="H206" s="757">
        <v>118</v>
      </c>
      <c r="I206" s="757">
        <v>520</v>
      </c>
      <c r="J206" s="758">
        <v>1</v>
      </c>
    </row>
    <row r="207" spans="1:10" x14ac:dyDescent="0.25">
      <c r="A207" s="756"/>
      <c r="B207" s="453"/>
      <c r="C207" s="453" t="s">
        <v>1419</v>
      </c>
      <c r="D207" s="453" t="s">
        <v>1402</v>
      </c>
      <c r="E207" s="453" t="s">
        <v>554</v>
      </c>
      <c r="F207" s="453" t="s">
        <v>601</v>
      </c>
      <c r="G207" s="453" t="s">
        <v>511</v>
      </c>
      <c r="H207" s="757">
        <v>19</v>
      </c>
      <c r="I207" s="757">
        <v>82</v>
      </c>
      <c r="J207" s="758">
        <v>1</v>
      </c>
    </row>
    <row r="208" spans="1:10" x14ac:dyDescent="0.25">
      <c r="A208" s="756"/>
      <c r="B208" s="453"/>
      <c r="C208" s="453" t="s">
        <v>1607</v>
      </c>
      <c r="D208" s="453" t="s">
        <v>1590</v>
      </c>
      <c r="E208" s="453" t="s">
        <v>554</v>
      </c>
      <c r="F208" s="453" t="s">
        <v>601</v>
      </c>
      <c r="G208" s="453" t="s">
        <v>511</v>
      </c>
      <c r="H208" s="757">
        <v>224</v>
      </c>
      <c r="I208" s="757">
        <v>767</v>
      </c>
      <c r="J208" s="758">
        <v>1</v>
      </c>
    </row>
    <row r="209" spans="1:10" x14ac:dyDescent="0.25">
      <c r="A209" s="756"/>
      <c r="B209" s="453"/>
      <c r="C209" s="453" t="s">
        <v>1609</v>
      </c>
      <c r="D209" s="453" t="s">
        <v>1591</v>
      </c>
      <c r="E209" s="453" t="s">
        <v>554</v>
      </c>
      <c r="F209" s="453" t="s">
        <v>601</v>
      </c>
      <c r="G209" s="453" t="s">
        <v>511</v>
      </c>
      <c r="H209" s="757">
        <v>13</v>
      </c>
      <c r="I209" s="757">
        <v>45</v>
      </c>
      <c r="J209" s="758">
        <v>1</v>
      </c>
    </row>
    <row r="210" spans="1:10" x14ac:dyDescent="0.25">
      <c r="A210" s="756"/>
      <c r="B210" s="453"/>
      <c r="C210" s="453" t="s">
        <v>1610</v>
      </c>
      <c r="D210" s="453" t="s">
        <v>1592</v>
      </c>
      <c r="E210" s="453" t="s">
        <v>554</v>
      </c>
      <c r="F210" s="453" t="s">
        <v>601</v>
      </c>
      <c r="G210" s="453" t="s">
        <v>511</v>
      </c>
      <c r="H210" s="757">
        <v>41</v>
      </c>
      <c r="I210" s="757">
        <v>191</v>
      </c>
      <c r="J210" s="758">
        <v>1</v>
      </c>
    </row>
    <row r="211" spans="1:10" x14ac:dyDescent="0.25">
      <c r="A211" s="756"/>
      <c r="B211" s="453"/>
      <c r="C211" s="453" t="s">
        <v>1611</v>
      </c>
      <c r="D211" s="453" t="s">
        <v>1593</v>
      </c>
      <c r="E211" s="453" t="s">
        <v>554</v>
      </c>
      <c r="F211" s="453" t="s">
        <v>601</v>
      </c>
      <c r="G211" s="453" t="s">
        <v>511</v>
      </c>
      <c r="H211" s="757">
        <v>19</v>
      </c>
      <c r="I211" s="757">
        <v>66</v>
      </c>
      <c r="J211" s="758">
        <v>1</v>
      </c>
    </row>
    <row r="212" spans="1:10" x14ac:dyDescent="0.25">
      <c r="A212" s="756"/>
      <c r="B212" s="453"/>
      <c r="C212" s="453" t="s">
        <v>1612</v>
      </c>
      <c r="D212" s="453" t="s">
        <v>1594</v>
      </c>
      <c r="E212" s="453" t="s">
        <v>554</v>
      </c>
      <c r="F212" s="453" t="s">
        <v>601</v>
      </c>
      <c r="G212" s="453" t="s">
        <v>511</v>
      </c>
      <c r="H212" s="757">
        <v>59</v>
      </c>
      <c r="I212" s="757">
        <v>268</v>
      </c>
      <c r="J212" s="758">
        <v>1</v>
      </c>
    </row>
    <row r="213" spans="1:10" x14ac:dyDescent="0.25">
      <c r="A213" s="756"/>
      <c r="B213" s="453" t="s">
        <v>1351</v>
      </c>
      <c r="C213" s="453"/>
      <c r="D213" s="453"/>
      <c r="E213" s="453"/>
      <c r="F213" s="453"/>
      <c r="G213" s="453"/>
      <c r="H213" s="757">
        <v>501</v>
      </c>
      <c r="I213" s="757">
        <v>1978</v>
      </c>
      <c r="J213" s="758">
        <v>8</v>
      </c>
    </row>
    <row r="214" spans="1:10" x14ac:dyDescent="0.25">
      <c r="A214" s="756"/>
      <c r="B214" s="453" t="s">
        <v>1621</v>
      </c>
      <c r="C214" s="453" t="s">
        <v>1618</v>
      </c>
      <c r="D214" s="453" t="s">
        <v>1606</v>
      </c>
      <c r="E214" s="453" t="s">
        <v>554</v>
      </c>
      <c r="F214" s="453" t="s">
        <v>601</v>
      </c>
      <c r="G214" s="453" t="s">
        <v>511</v>
      </c>
      <c r="H214" s="757">
        <v>37</v>
      </c>
      <c r="I214" s="757">
        <v>120</v>
      </c>
      <c r="J214" s="758">
        <v>1</v>
      </c>
    </row>
    <row r="215" spans="1:10" x14ac:dyDescent="0.25">
      <c r="A215" s="756"/>
      <c r="B215" s="453" t="s">
        <v>1639</v>
      </c>
      <c r="C215" s="453"/>
      <c r="D215" s="453"/>
      <c r="E215" s="453"/>
      <c r="F215" s="453"/>
      <c r="G215" s="453"/>
      <c r="H215" s="757">
        <v>37</v>
      </c>
      <c r="I215" s="757">
        <v>120</v>
      </c>
      <c r="J215" s="758">
        <v>1</v>
      </c>
    </row>
    <row r="216" spans="1:10" x14ac:dyDescent="0.25">
      <c r="A216" s="756" t="s">
        <v>1174</v>
      </c>
      <c r="B216" s="453"/>
      <c r="C216" s="453"/>
      <c r="D216" s="453"/>
      <c r="E216" s="453"/>
      <c r="F216" s="453"/>
      <c r="G216" s="453"/>
      <c r="H216" s="757">
        <v>2668</v>
      </c>
      <c r="I216" s="757">
        <v>12969</v>
      </c>
      <c r="J216" s="758">
        <v>48</v>
      </c>
    </row>
    <row r="217" spans="1:10" x14ac:dyDescent="0.25">
      <c r="A217" s="759" t="s">
        <v>415</v>
      </c>
      <c r="B217" s="760"/>
      <c r="C217" s="760"/>
      <c r="D217" s="760"/>
      <c r="E217" s="760"/>
      <c r="F217" s="760"/>
      <c r="G217" s="760"/>
      <c r="H217" s="761">
        <v>19698</v>
      </c>
      <c r="I217" s="761">
        <v>99028</v>
      </c>
      <c r="J217" s="762">
        <v>188</v>
      </c>
    </row>
    <row r="218" spans="1:10" x14ac:dyDescent="0.25">
      <c r="A218"/>
      <c r="B218"/>
      <c r="C218"/>
      <c r="D218"/>
      <c r="E218"/>
      <c r="F218"/>
      <c r="G218"/>
      <c r="H218"/>
      <c r="I218"/>
      <c r="J218"/>
    </row>
    <row r="219" spans="1:10" x14ac:dyDescent="0.25">
      <c r="A219"/>
      <c r="B219"/>
      <c r="C219"/>
      <c r="D219"/>
      <c r="E219"/>
      <c r="F219"/>
      <c r="G219"/>
      <c r="H219"/>
      <c r="I219"/>
      <c r="J219"/>
    </row>
    <row r="220" spans="1:10" x14ac:dyDescent="0.25">
      <c r="A220"/>
      <c r="B220"/>
      <c r="C220"/>
      <c r="D220"/>
      <c r="E220"/>
      <c r="F220"/>
      <c r="G220"/>
      <c r="H220"/>
      <c r="I220"/>
      <c r="J220"/>
    </row>
    <row r="221" spans="1:10" x14ac:dyDescent="0.25">
      <c r="A221"/>
      <c r="B221"/>
      <c r="C221"/>
      <c r="D221"/>
      <c r="E221"/>
      <c r="F221"/>
      <c r="G221"/>
      <c r="H221"/>
      <c r="I221"/>
      <c r="J221"/>
    </row>
    <row r="222" spans="1:10" x14ac:dyDescent="0.25">
      <c r="A222"/>
      <c r="B222"/>
      <c r="C222"/>
      <c r="D222"/>
      <c r="E222"/>
      <c r="F222"/>
      <c r="G222"/>
      <c r="H222"/>
      <c r="I222"/>
      <c r="J222"/>
    </row>
    <row r="223" spans="1:10" x14ac:dyDescent="0.25">
      <c r="A223"/>
      <c r="B223"/>
      <c r="C223"/>
      <c r="D223"/>
      <c r="E223"/>
      <c r="F223"/>
      <c r="G223"/>
      <c r="H223"/>
      <c r="I223"/>
      <c r="J223"/>
    </row>
    <row r="224" spans="1:10" x14ac:dyDescent="0.25">
      <c r="A224"/>
      <c r="B224"/>
      <c r="C224"/>
      <c r="D224"/>
      <c r="E224"/>
      <c r="F224"/>
      <c r="G224"/>
      <c r="H224"/>
      <c r="I224"/>
      <c r="J224"/>
    </row>
    <row r="225" spans="7:8" x14ac:dyDescent="0.25">
      <c r="G225" s="472"/>
      <c r="H225" s="472"/>
    </row>
    <row r="226" spans="7:8" x14ac:dyDescent="0.25">
      <c r="G226" s="472"/>
      <c r="H226" s="472"/>
    </row>
    <row r="227" spans="7:8" x14ac:dyDescent="0.25">
      <c r="G227" s="472"/>
      <c r="H227" s="472"/>
    </row>
    <row r="228" spans="7:8" x14ac:dyDescent="0.25">
      <c r="G228" s="472"/>
      <c r="H228" s="472"/>
    </row>
    <row r="229" spans="7:8" x14ac:dyDescent="0.25">
      <c r="G229" s="472"/>
      <c r="H229" s="472"/>
    </row>
    <row r="230" spans="7:8" x14ac:dyDescent="0.25">
      <c r="G230" s="472"/>
      <c r="H230" s="472"/>
    </row>
    <row r="231" spans="7:8" x14ac:dyDescent="0.25">
      <c r="G231" s="472"/>
      <c r="H231" s="472"/>
    </row>
    <row r="232" spans="7:8" x14ac:dyDescent="0.25">
      <c r="G232" s="472"/>
      <c r="H232" s="472"/>
    </row>
    <row r="233" spans="7:8" x14ac:dyDescent="0.25">
      <c r="G233" s="472"/>
      <c r="H233" s="472"/>
    </row>
    <row r="234" spans="7:8" x14ac:dyDescent="0.25">
      <c r="G234" s="472"/>
      <c r="H234" s="472"/>
    </row>
    <row r="235" spans="7:8" x14ac:dyDescent="0.25">
      <c r="G235" s="472"/>
      <c r="H235" s="472"/>
    </row>
    <row r="236" spans="7:8" x14ac:dyDescent="0.25">
      <c r="G236" s="472"/>
      <c r="H236" s="472"/>
    </row>
    <row r="237" spans="7:8" x14ac:dyDescent="0.25">
      <c r="G237" s="472"/>
      <c r="H237" s="472"/>
    </row>
    <row r="238" spans="7:8" x14ac:dyDescent="0.25">
      <c r="G238" s="472"/>
      <c r="H238" s="472"/>
    </row>
    <row r="239" spans="7:8" x14ac:dyDescent="0.25">
      <c r="G239" s="472"/>
      <c r="H239" s="472"/>
    </row>
    <row r="240" spans="7:8" x14ac:dyDescent="0.25">
      <c r="G240" s="472"/>
      <c r="H240" s="472"/>
    </row>
    <row r="241" spans="7:8" x14ac:dyDescent="0.25">
      <c r="G241" s="472"/>
      <c r="H241" s="472"/>
    </row>
    <row r="242" spans="7:8" x14ac:dyDescent="0.25">
      <c r="G242" s="472"/>
      <c r="H242" s="472"/>
    </row>
    <row r="243" spans="7:8" x14ac:dyDescent="0.25">
      <c r="G243" s="472"/>
      <c r="H243" s="472"/>
    </row>
    <row r="244" spans="7:8" x14ac:dyDescent="0.25">
      <c r="G244" s="472"/>
      <c r="H244" s="472"/>
    </row>
    <row r="245" spans="7:8" x14ac:dyDescent="0.25">
      <c r="G245" s="472"/>
      <c r="H245" s="472"/>
    </row>
    <row r="246" spans="7:8" x14ac:dyDescent="0.25">
      <c r="G246" s="472"/>
      <c r="H246" s="472"/>
    </row>
    <row r="247" spans="7:8" x14ac:dyDescent="0.25">
      <c r="G247" s="472"/>
      <c r="H247" s="472"/>
    </row>
    <row r="248" spans="7:8" x14ac:dyDescent="0.25">
      <c r="G248" s="472"/>
      <c r="H248" s="472"/>
    </row>
    <row r="249" spans="7:8" x14ac:dyDescent="0.25">
      <c r="G249" s="472"/>
      <c r="H249" s="472"/>
    </row>
    <row r="250" spans="7:8" x14ac:dyDescent="0.25">
      <c r="G250" s="472"/>
      <c r="H250" s="472"/>
    </row>
    <row r="251" spans="7:8" x14ac:dyDescent="0.25">
      <c r="G251" s="472"/>
      <c r="H251" s="472"/>
    </row>
    <row r="252" spans="7:8" x14ac:dyDescent="0.25">
      <c r="G252" s="472"/>
      <c r="H252" s="472"/>
    </row>
    <row r="253" spans="7:8" x14ac:dyDescent="0.25">
      <c r="G253" s="472"/>
      <c r="H253" s="472"/>
    </row>
    <row r="254" spans="7:8" x14ac:dyDescent="0.25">
      <c r="G254" s="472"/>
      <c r="H254" s="472"/>
    </row>
    <row r="255" spans="7:8" x14ac:dyDescent="0.25">
      <c r="G255" s="472"/>
      <c r="H255" s="472"/>
    </row>
    <row r="256" spans="7:8" x14ac:dyDescent="0.25">
      <c r="G256" s="472"/>
      <c r="H256" s="472"/>
    </row>
    <row r="257" spans="7:8" x14ac:dyDescent="0.25">
      <c r="G257" s="472"/>
      <c r="H257" s="472"/>
    </row>
    <row r="258" spans="7:8" x14ac:dyDescent="0.25">
      <c r="G258" s="472"/>
      <c r="H258" s="472"/>
    </row>
    <row r="259" spans="7:8" x14ac:dyDescent="0.25">
      <c r="G259" s="472"/>
      <c r="H259" s="472"/>
    </row>
    <row r="260" spans="7:8" x14ac:dyDescent="0.25">
      <c r="G260" s="472"/>
      <c r="H260" s="472"/>
    </row>
    <row r="261" spans="7:8" x14ac:dyDescent="0.25">
      <c r="G261" s="472"/>
      <c r="H261" s="472"/>
    </row>
    <row r="262" spans="7:8" x14ac:dyDescent="0.25">
      <c r="G262" s="472"/>
      <c r="H262" s="472"/>
    </row>
    <row r="263" spans="7:8" x14ac:dyDescent="0.25">
      <c r="G263" s="472"/>
      <c r="H263" s="472"/>
    </row>
    <row r="264" spans="7:8" x14ac:dyDescent="0.25">
      <c r="G264" s="472"/>
      <c r="H264" s="472"/>
    </row>
    <row r="265" spans="7:8" x14ac:dyDescent="0.25">
      <c r="G265" s="472"/>
      <c r="H265" s="472"/>
    </row>
    <row r="266" spans="7:8" x14ac:dyDescent="0.25">
      <c r="G266" s="472"/>
      <c r="H266" s="472"/>
    </row>
    <row r="267" spans="7:8" x14ac:dyDescent="0.25">
      <c r="G267" s="472"/>
      <c r="H267" s="472"/>
    </row>
    <row r="268" spans="7:8" x14ac:dyDescent="0.25">
      <c r="G268" s="472"/>
      <c r="H268" s="472"/>
    </row>
    <row r="269" spans="7:8" x14ac:dyDescent="0.25">
      <c r="G269" s="472"/>
      <c r="H269" s="472"/>
    </row>
    <row r="270" spans="7:8" x14ac:dyDescent="0.25">
      <c r="G270" s="472"/>
      <c r="H270" s="472"/>
    </row>
    <row r="271" spans="7:8" x14ac:dyDescent="0.25">
      <c r="G271" s="472"/>
      <c r="H271" s="472"/>
    </row>
    <row r="272" spans="7:8" x14ac:dyDescent="0.25">
      <c r="G272" s="472"/>
      <c r="H272" s="472"/>
    </row>
    <row r="273" spans="7:8" x14ac:dyDescent="0.25">
      <c r="G273" s="472"/>
      <c r="H273" s="472"/>
    </row>
    <row r="274" spans="7:8" x14ac:dyDescent="0.25">
      <c r="G274" s="472"/>
      <c r="H274" s="472"/>
    </row>
    <row r="275" spans="7:8" x14ac:dyDescent="0.25">
      <c r="G275" s="472"/>
      <c r="H275" s="472"/>
    </row>
    <row r="276" spans="7:8" x14ac:dyDescent="0.25">
      <c r="G276" s="472"/>
      <c r="H276" s="472"/>
    </row>
    <row r="277" spans="7:8" x14ac:dyDescent="0.25">
      <c r="G277" s="472"/>
      <c r="H277" s="472"/>
    </row>
    <row r="278" spans="7:8" x14ac:dyDescent="0.25">
      <c r="G278" s="472"/>
      <c r="H278" s="472"/>
    </row>
    <row r="279" spans="7:8" x14ac:dyDescent="0.25">
      <c r="G279" s="472"/>
      <c r="H279" s="472"/>
    </row>
    <row r="280" spans="7:8" x14ac:dyDescent="0.25">
      <c r="G280" s="472"/>
      <c r="H280" s="472"/>
    </row>
    <row r="281" spans="7:8" x14ac:dyDescent="0.25">
      <c r="G281" s="472"/>
      <c r="H281" s="472"/>
    </row>
    <row r="282" spans="7:8" x14ac:dyDescent="0.25">
      <c r="G282" s="472"/>
      <c r="H282" s="472"/>
    </row>
    <row r="283" spans="7:8" x14ac:dyDescent="0.25">
      <c r="G283" s="472"/>
      <c r="H283" s="472"/>
    </row>
    <row r="284" spans="7:8" x14ac:dyDescent="0.25">
      <c r="G284" s="472"/>
      <c r="H284" s="472"/>
    </row>
    <row r="285" spans="7:8" x14ac:dyDescent="0.25">
      <c r="G285" s="472"/>
      <c r="H285" s="472"/>
    </row>
    <row r="286" spans="7:8" x14ac:dyDescent="0.25">
      <c r="G286" s="472"/>
      <c r="H286" s="472"/>
    </row>
    <row r="287" spans="7:8" x14ac:dyDescent="0.25">
      <c r="G287" s="472"/>
      <c r="H287" s="472"/>
    </row>
    <row r="288" spans="7:8" x14ac:dyDescent="0.25">
      <c r="G288" s="472"/>
      <c r="H288" s="472"/>
    </row>
    <row r="289" spans="7:8" x14ac:dyDescent="0.25">
      <c r="G289" s="472"/>
      <c r="H289" s="472"/>
    </row>
    <row r="290" spans="7:8" x14ac:dyDescent="0.25">
      <c r="G290" s="472"/>
      <c r="H290" s="472"/>
    </row>
    <row r="291" spans="7:8" x14ac:dyDescent="0.25">
      <c r="G291" s="472"/>
      <c r="H291" s="472"/>
    </row>
    <row r="292" spans="7:8" x14ac:dyDescent="0.25">
      <c r="G292" s="472"/>
      <c r="H292" s="472"/>
    </row>
    <row r="293" spans="7:8" x14ac:dyDescent="0.25">
      <c r="G293" s="472"/>
      <c r="H293" s="472"/>
    </row>
    <row r="294" spans="7:8" x14ac:dyDescent="0.25">
      <c r="G294" s="472"/>
      <c r="H294" s="472"/>
    </row>
    <row r="295" spans="7:8" x14ac:dyDescent="0.25">
      <c r="G295" s="472"/>
      <c r="H295" s="472"/>
    </row>
    <row r="296" spans="7:8" x14ac:dyDescent="0.25">
      <c r="G296" s="472"/>
      <c r="H296" s="472"/>
    </row>
    <row r="297" spans="7:8" x14ac:dyDescent="0.25">
      <c r="G297" s="472"/>
      <c r="H297" s="472"/>
    </row>
    <row r="298" spans="7:8" x14ac:dyDescent="0.25">
      <c r="G298" s="472"/>
      <c r="H298" s="472"/>
    </row>
    <row r="299" spans="7:8" x14ac:dyDescent="0.25">
      <c r="G299" s="472"/>
      <c r="H299" s="472"/>
    </row>
    <row r="300" spans="7:8" x14ac:dyDescent="0.25">
      <c r="G300" s="472"/>
      <c r="H300" s="472"/>
    </row>
    <row r="301" spans="7:8" x14ac:dyDescent="0.25">
      <c r="G301" s="472"/>
      <c r="H301" s="472"/>
    </row>
    <row r="302" spans="7:8" x14ac:dyDescent="0.25">
      <c r="G302" s="472"/>
      <c r="H302" s="472"/>
    </row>
    <row r="303" spans="7:8" x14ac:dyDescent="0.25">
      <c r="G303" s="472"/>
      <c r="H303" s="472"/>
    </row>
    <row r="304" spans="7:8" x14ac:dyDescent="0.25">
      <c r="G304" s="472"/>
      <c r="H304" s="472"/>
    </row>
    <row r="305" spans="7:8" x14ac:dyDescent="0.25">
      <c r="G305" s="472"/>
      <c r="H305" s="472"/>
    </row>
    <row r="306" spans="7:8" x14ac:dyDescent="0.25">
      <c r="G306" s="472"/>
      <c r="H306" s="472"/>
    </row>
    <row r="307" spans="7:8" x14ac:dyDescent="0.25">
      <c r="G307" s="472"/>
      <c r="H307" s="472"/>
    </row>
    <row r="308" spans="7:8" x14ac:dyDescent="0.25">
      <c r="G308" s="472"/>
      <c r="H308" s="472"/>
    </row>
    <row r="309" spans="7:8" x14ac:dyDescent="0.25">
      <c r="G309" s="472"/>
      <c r="H309" s="472"/>
    </row>
    <row r="310" spans="7:8" x14ac:dyDescent="0.25">
      <c r="G310" s="472"/>
      <c r="H310" s="472"/>
    </row>
    <row r="311" spans="7:8" x14ac:dyDescent="0.25">
      <c r="G311" s="472"/>
      <c r="H311" s="472"/>
    </row>
    <row r="312" spans="7:8" x14ac:dyDescent="0.25">
      <c r="G312" s="472"/>
      <c r="H312" s="472"/>
    </row>
    <row r="313" spans="7:8" x14ac:dyDescent="0.25">
      <c r="G313" s="472"/>
      <c r="H313" s="472"/>
    </row>
    <row r="314" spans="7:8" x14ac:dyDescent="0.25">
      <c r="G314" s="472"/>
      <c r="H314" s="472"/>
    </row>
    <row r="315" spans="7:8" x14ac:dyDescent="0.25">
      <c r="G315" s="472"/>
      <c r="H315" s="472"/>
    </row>
    <row r="316" spans="7:8" x14ac:dyDescent="0.25">
      <c r="G316" s="472"/>
      <c r="H316" s="472"/>
    </row>
    <row r="317" spans="7:8" x14ac:dyDescent="0.25">
      <c r="G317" s="472"/>
      <c r="H317" s="472"/>
    </row>
    <row r="318" spans="7:8" x14ac:dyDescent="0.25">
      <c r="G318" s="472"/>
      <c r="H318" s="472"/>
    </row>
    <row r="319" spans="7:8" x14ac:dyDescent="0.25">
      <c r="G319" s="472"/>
      <c r="H319" s="472"/>
    </row>
    <row r="320" spans="7:8" x14ac:dyDescent="0.25">
      <c r="G320" s="472"/>
      <c r="H320" s="472"/>
    </row>
    <row r="321" spans="7:8" x14ac:dyDescent="0.25">
      <c r="G321" s="472"/>
      <c r="H321" s="472"/>
    </row>
    <row r="322" spans="7:8" x14ac:dyDescent="0.25">
      <c r="G322" s="472"/>
      <c r="H322" s="472"/>
    </row>
    <row r="323" spans="7:8" x14ac:dyDescent="0.25">
      <c r="G323" s="472"/>
      <c r="H323" s="472"/>
    </row>
    <row r="324" spans="7:8" x14ac:dyDescent="0.25">
      <c r="G324" s="472"/>
      <c r="H324" s="472"/>
    </row>
    <row r="325" spans="7:8" x14ac:dyDescent="0.25">
      <c r="G325" s="472"/>
      <c r="H325" s="472"/>
    </row>
    <row r="326" spans="7:8" x14ac:dyDescent="0.25">
      <c r="G326" s="472"/>
      <c r="H326" s="472"/>
    </row>
    <row r="327" spans="7:8" x14ac:dyDescent="0.25">
      <c r="G327" s="472"/>
      <c r="H327" s="472"/>
    </row>
    <row r="328" spans="7:8" x14ac:dyDescent="0.25">
      <c r="G328" s="472"/>
      <c r="H328" s="472"/>
    </row>
    <row r="329" spans="7:8" x14ac:dyDescent="0.25">
      <c r="G329" s="472"/>
      <c r="H329" s="472"/>
    </row>
    <row r="330" spans="7:8" x14ac:dyDescent="0.25">
      <c r="G330" s="472"/>
      <c r="H330" s="472"/>
    </row>
    <row r="331" spans="7:8" x14ac:dyDescent="0.25">
      <c r="G331" s="472"/>
      <c r="H331" s="472"/>
    </row>
    <row r="332" spans="7:8" x14ac:dyDescent="0.25">
      <c r="G332" s="472"/>
      <c r="H332" s="472"/>
    </row>
    <row r="333" spans="7:8" x14ac:dyDescent="0.25">
      <c r="G333" s="472"/>
      <c r="H333" s="472"/>
    </row>
    <row r="334" spans="7:8" x14ac:dyDescent="0.25">
      <c r="G334" s="472"/>
      <c r="H334" s="472"/>
    </row>
    <row r="335" spans="7:8" x14ac:dyDescent="0.25">
      <c r="G335" s="472"/>
      <c r="H335" s="472"/>
    </row>
    <row r="336" spans="7:8" x14ac:dyDescent="0.25">
      <c r="G336" s="472"/>
      <c r="H336" s="472"/>
    </row>
    <row r="337" spans="7:8" x14ac:dyDescent="0.25">
      <c r="G337" s="472"/>
      <c r="H337" s="472"/>
    </row>
    <row r="338" spans="7:8" x14ac:dyDescent="0.25">
      <c r="G338" s="472"/>
      <c r="H338" s="472"/>
    </row>
    <row r="339" spans="7:8" x14ac:dyDescent="0.25">
      <c r="G339" s="472"/>
      <c r="H339" s="472"/>
    </row>
    <row r="340" spans="7:8" x14ac:dyDescent="0.25">
      <c r="G340" s="472"/>
      <c r="H340" s="472"/>
    </row>
    <row r="341" spans="7:8" x14ac:dyDescent="0.25">
      <c r="G341" s="472"/>
      <c r="H341" s="472"/>
    </row>
    <row r="342" spans="7:8" x14ac:dyDescent="0.25">
      <c r="G342" s="472"/>
      <c r="H342" s="472"/>
    </row>
    <row r="343" spans="7:8" x14ac:dyDescent="0.25">
      <c r="G343" s="472"/>
      <c r="H343" s="472"/>
    </row>
    <row r="344" spans="7:8" x14ac:dyDescent="0.25">
      <c r="G344" s="472"/>
      <c r="H344" s="472"/>
    </row>
    <row r="345" spans="7:8" x14ac:dyDescent="0.25">
      <c r="G345" s="472"/>
      <c r="H345" s="472"/>
    </row>
    <row r="346" spans="7:8" x14ac:dyDescent="0.25">
      <c r="G346" s="472"/>
      <c r="H346" s="472"/>
    </row>
    <row r="347" spans="7:8" x14ac:dyDescent="0.25">
      <c r="G347" s="472"/>
      <c r="H347" s="472"/>
    </row>
    <row r="348" spans="7:8" x14ac:dyDescent="0.25">
      <c r="G348" s="472"/>
      <c r="H348" s="472"/>
    </row>
    <row r="349" spans="7:8" x14ac:dyDescent="0.25">
      <c r="G349" s="472"/>
      <c r="H349" s="472"/>
    </row>
    <row r="350" spans="7:8" x14ac:dyDescent="0.25">
      <c r="G350" s="472"/>
      <c r="H350" s="472"/>
    </row>
    <row r="351" spans="7:8" x14ac:dyDescent="0.25">
      <c r="G351" s="472"/>
      <c r="H351" s="472"/>
    </row>
    <row r="352" spans="7:8" x14ac:dyDescent="0.25">
      <c r="G352" s="472"/>
      <c r="H352" s="472"/>
    </row>
    <row r="353" spans="7:8" x14ac:dyDescent="0.25">
      <c r="G353" s="472"/>
      <c r="H353" s="472"/>
    </row>
    <row r="354" spans="7:8" x14ac:dyDescent="0.25">
      <c r="G354" s="472"/>
      <c r="H354" s="472"/>
    </row>
    <row r="355" spans="7:8" x14ac:dyDescent="0.25">
      <c r="G355" s="472"/>
      <c r="H355" s="472"/>
    </row>
    <row r="356" spans="7:8" x14ac:dyDescent="0.25">
      <c r="G356" s="472"/>
      <c r="H356" s="472"/>
    </row>
    <row r="357" spans="7:8" x14ac:dyDescent="0.25">
      <c r="G357" s="472"/>
      <c r="H357" s="472"/>
    </row>
    <row r="358" spans="7:8" x14ac:dyDescent="0.25">
      <c r="G358" s="472"/>
      <c r="H358" s="472"/>
    </row>
  </sheetData>
  <mergeCells count="1">
    <mergeCell ref="A3:B3"/>
  </mergeCells>
  <printOptions horizontalCentered="1"/>
  <pageMargins left="0.25" right="0.25" top="0.3" bottom="0.2" header="0.25" footer="0.2"/>
  <pageSetup paperSize="9" scale="90" fitToHeight="0"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A100"/>
  <sheetViews>
    <sheetView showZeros="0" tabSelected="1" zoomScale="85" zoomScaleNormal="85" zoomScaleSheetLayoutView="100" workbookViewId="0">
      <selection activeCell="C47" sqref="A47:XFD47"/>
    </sheetView>
  </sheetViews>
  <sheetFormatPr defaultColWidth="9.140625" defaultRowHeight="15" x14ac:dyDescent="0.25"/>
  <cols>
    <col min="1" max="1" width="1.140625" style="472" customWidth="1"/>
    <col min="2" max="2" width="21.140625" style="472" customWidth="1"/>
    <col min="3" max="4" width="9.7109375" style="472" customWidth="1"/>
    <col min="5" max="5" width="17.140625" style="472" customWidth="1"/>
    <col min="6" max="6" width="5.85546875" style="472" customWidth="1"/>
    <col min="7" max="7" width="10.28515625" style="472" customWidth="1"/>
    <col min="8" max="8" width="12" style="472" customWidth="1"/>
    <col min="9" max="9" width="9" style="472" customWidth="1"/>
    <col min="10" max="10" width="8.28515625" style="472" customWidth="1"/>
    <col min="11" max="11" width="7.7109375" style="472" customWidth="1"/>
    <col min="12" max="12" width="9.7109375" style="472" customWidth="1"/>
    <col min="13" max="13" width="5.140625" style="472" customWidth="1"/>
    <col min="14" max="15" width="9.7109375" style="472" customWidth="1"/>
    <col min="16" max="16" width="9" style="472" customWidth="1"/>
    <col min="17" max="17" width="0.7109375" style="472" customWidth="1"/>
    <col min="18" max="18" width="26.42578125" style="472" customWidth="1"/>
    <col min="19" max="19" width="1" style="472" customWidth="1"/>
    <col min="20" max="20" width="2.85546875" style="472" customWidth="1"/>
    <col min="21" max="21" width="7.140625" style="820" customWidth="1"/>
    <col min="22" max="22" width="16.7109375" style="820" customWidth="1"/>
    <col min="23" max="25" width="7.140625" style="824" customWidth="1"/>
    <col min="26" max="26" width="13" style="824" customWidth="1"/>
    <col min="27" max="27" width="12" style="824" customWidth="1"/>
    <col min="28" max="28" width="14.140625" style="824" customWidth="1"/>
    <col min="29" max="33" width="7.140625" style="824" customWidth="1"/>
    <col min="34" max="34" width="3.85546875" style="673" customWidth="1"/>
    <col min="35" max="39" width="1.7109375" style="673" customWidth="1"/>
    <col min="40" max="46" width="9.140625" style="673"/>
    <col min="47" max="51" width="9.140625" style="824"/>
    <col min="52" max="53" width="9.140625" style="820"/>
    <col min="54" max="16384" width="9.140625" style="472"/>
  </cols>
  <sheetData>
    <row r="1" spans="1:53" ht="4.5" customHeight="1" thickBot="1" x14ac:dyDescent="0.3"/>
    <row r="2" spans="1:53" ht="6" customHeight="1" x14ac:dyDescent="0.25">
      <c r="A2" s="630"/>
      <c r="B2" s="631"/>
      <c r="C2" s="631"/>
      <c r="D2" s="631"/>
      <c r="E2" s="631"/>
      <c r="F2" s="631"/>
      <c r="G2" s="631"/>
      <c r="H2" s="631"/>
      <c r="I2" s="631"/>
      <c r="J2" s="631"/>
      <c r="K2" s="631"/>
      <c r="L2" s="631"/>
      <c r="M2" s="631"/>
      <c r="N2" s="631"/>
      <c r="O2" s="631"/>
      <c r="P2" s="631"/>
      <c r="Q2" s="631"/>
      <c r="R2" s="631"/>
      <c r="S2" s="632"/>
    </row>
    <row r="3" spans="1:53" s="453" customFormat="1" ht="30.6" customHeight="1" x14ac:dyDescent="0.25">
      <c r="A3" s="633"/>
      <c r="B3" s="841"/>
      <c r="C3" s="841"/>
      <c r="D3" s="841"/>
      <c r="E3" s="841"/>
      <c r="F3" s="841"/>
      <c r="G3" s="841"/>
      <c r="H3" s="841"/>
      <c r="I3" s="841"/>
      <c r="J3" s="841"/>
      <c r="K3" s="841"/>
      <c r="L3" s="841"/>
      <c r="M3" s="841"/>
      <c r="N3" s="841"/>
      <c r="O3" s="841"/>
      <c r="P3" s="841"/>
      <c r="Q3" s="455"/>
      <c r="R3" s="455"/>
      <c r="S3" s="634"/>
      <c r="U3" s="821"/>
      <c r="V3" s="821"/>
      <c r="W3" s="825"/>
      <c r="X3" s="825"/>
      <c r="Y3" s="825"/>
      <c r="Z3" s="825"/>
      <c r="AA3" s="825"/>
      <c r="AB3" s="825"/>
      <c r="AC3" s="825"/>
      <c r="AD3" s="825"/>
      <c r="AE3" s="825"/>
      <c r="AF3" s="825"/>
      <c r="AG3" s="825"/>
      <c r="AH3" s="673"/>
      <c r="AI3" s="673"/>
      <c r="AJ3" s="673"/>
      <c r="AK3" s="673"/>
      <c r="AL3" s="673"/>
      <c r="AM3" s="673"/>
      <c r="AN3" s="673"/>
      <c r="AO3" s="673"/>
      <c r="AP3" s="673"/>
      <c r="AQ3" s="673"/>
      <c r="AR3" s="673"/>
      <c r="AS3" s="673"/>
      <c r="AT3" s="673"/>
      <c r="AU3" s="825"/>
      <c r="AV3" s="825"/>
      <c r="AW3" s="825"/>
      <c r="AX3" s="825"/>
      <c r="AY3" s="825"/>
      <c r="AZ3" s="821"/>
      <c r="BA3" s="821"/>
    </row>
    <row r="4" spans="1:53" s="453" customFormat="1" ht="4.5" customHeight="1" x14ac:dyDescent="0.25">
      <c r="A4" s="633"/>
      <c r="B4" s="744"/>
      <c r="C4" s="744"/>
      <c r="D4" s="744"/>
      <c r="E4" s="744"/>
      <c r="F4" s="744"/>
      <c r="G4" s="744"/>
      <c r="H4" s="744"/>
      <c r="I4" s="744"/>
      <c r="J4" s="744"/>
      <c r="K4" s="744"/>
      <c r="L4" s="744"/>
      <c r="M4" s="744"/>
      <c r="N4" s="744"/>
      <c r="O4" s="744"/>
      <c r="P4" s="744"/>
      <c r="Q4" s="455"/>
      <c r="R4" s="455"/>
      <c r="S4" s="634"/>
      <c r="U4" s="821"/>
      <c r="V4" s="821"/>
      <c r="W4" s="825"/>
      <c r="X4" s="825"/>
      <c r="Y4" s="825"/>
      <c r="Z4" s="825"/>
      <c r="AA4" s="825"/>
      <c r="AB4" s="825"/>
      <c r="AC4" s="825"/>
      <c r="AD4" s="825"/>
      <c r="AE4" s="825"/>
      <c r="AF4" s="825"/>
      <c r="AG4" s="825"/>
      <c r="AH4" s="673"/>
      <c r="AI4" s="673"/>
      <c r="AJ4" s="673"/>
      <c r="AK4" s="673"/>
      <c r="AL4" s="673"/>
      <c r="AM4" s="673"/>
      <c r="AN4" s="673"/>
      <c r="AO4" s="673"/>
      <c r="AP4" s="673"/>
      <c r="AQ4" s="673"/>
      <c r="AR4" s="673"/>
      <c r="AS4" s="673"/>
      <c r="AT4" s="673"/>
      <c r="AU4" s="825"/>
      <c r="AV4" s="825"/>
      <c r="AW4" s="825"/>
      <c r="AX4" s="825"/>
      <c r="AY4" s="825"/>
      <c r="AZ4" s="821"/>
      <c r="BA4" s="821"/>
    </row>
    <row r="5" spans="1:53" s="453" customFormat="1" ht="22.9" customHeight="1" x14ac:dyDescent="0.25">
      <c r="A5" s="633"/>
      <c r="B5" s="839" t="s">
        <v>586</v>
      </c>
      <c r="C5" s="839"/>
      <c r="D5" s="839"/>
      <c r="E5" s="839"/>
      <c r="F5" s="839"/>
      <c r="G5" s="839"/>
      <c r="H5" s="839"/>
      <c r="I5" s="839"/>
      <c r="J5" s="188"/>
      <c r="K5" s="188"/>
      <c r="L5" s="188"/>
      <c r="M5" s="188"/>
      <c r="N5" s="188"/>
      <c r="O5" s="188"/>
      <c r="P5" s="188"/>
      <c r="Q5" s="455"/>
      <c r="R5" s="455"/>
      <c r="S5" s="634"/>
      <c r="U5" s="821"/>
      <c r="V5" s="820"/>
      <c r="W5" s="824"/>
      <c r="X5" s="824"/>
      <c r="Y5" s="824"/>
      <c r="Z5" s="824"/>
      <c r="AA5" s="824"/>
      <c r="AB5" s="824"/>
      <c r="AC5" s="824"/>
      <c r="AD5" s="824"/>
      <c r="AE5" s="824"/>
      <c r="AF5" s="824"/>
      <c r="AG5" s="824"/>
      <c r="AH5" s="673"/>
      <c r="AI5" s="673"/>
      <c r="AJ5" s="673"/>
      <c r="AK5" s="673"/>
      <c r="AL5" s="673"/>
      <c r="AM5" s="673"/>
      <c r="AN5" s="673"/>
      <c r="AO5" s="673"/>
      <c r="AP5" s="673"/>
      <c r="AQ5" s="673"/>
      <c r="AR5" s="673"/>
      <c r="AS5" s="673"/>
      <c r="AT5" s="673"/>
      <c r="AU5" s="825"/>
      <c r="AV5" s="825"/>
      <c r="AW5" s="825"/>
      <c r="AX5" s="825"/>
      <c r="AY5" s="825"/>
      <c r="AZ5" s="821"/>
      <c r="BA5" s="821"/>
    </row>
    <row r="6" spans="1:53" s="98" customFormat="1" ht="20.45" customHeight="1" x14ac:dyDescent="0.25">
      <c r="A6" s="633"/>
      <c r="B6" s="840">
        <f>Definition!B23</f>
        <v>42675</v>
      </c>
      <c r="C6" s="840"/>
      <c r="D6" s="840"/>
      <c r="E6" s="840"/>
      <c r="F6" s="840"/>
      <c r="G6" s="840"/>
      <c r="H6" s="840"/>
      <c r="I6" s="840"/>
      <c r="J6" s="188"/>
      <c r="K6" s="188"/>
      <c r="L6" s="188"/>
      <c r="M6" s="188"/>
      <c r="N6" s="188"/>
      <c r="O6" s="188"/>
      <c r="P6" s="188"/>
      <c r="Q6" s="455"/>
      <c r="R6" s="455"/>
      <c r="S6" s="634"/>
      <c r="U6" s="483"/>
      <c r="V6" s="483"/>
      <c r="W6" s="824"/>
      <c r="X6" s="824"/>
      <c r="Y6" s="824"/>
      <c r="Z6" s="824"/>
      <c r="AA6" s="824"/>
      <c r="AB6" s="824"/>
      <c r="AC6" s="824"/>
      <c r="AD6" s="824"/>
      <c r="AE6" s="824"/>
      <c r="AF6" s="824"/>
      <c r="AG6" s="824"/>
      <c r="AH6" s="673"/>
      <c r="AI6" s="673"/>
      <c r="AJ6" s="673"/>
      <c r="AK6" s="673"/>
      <c r="AL6" s="673"/>
      <c r="AM6" s="673"/>
      <c r="AN6" s="673"/>
      <c r="AO6" s="673"/>
      <c r="AP6" s="673"/>
      <c r="AQ6" s="673"/>
      <c r="AR6" s="673"/>
      <c r="AS6" s="673"/>
      <c r="AT6" s="673"/>
      <c r="AU6" s="673"/>
      <c r="AV6" s="673"/>
      <c r="AW6" s="673"/>
      <c r="AX6" s="673"/>
      <c r="AY6" s="673"/>
      <c r="AZ6" s="483"/>
      <c r="BA6" s="483"/>
    </row>
    <row r="7" spans="1:53" ht="12" customHeight="1" x14ac:dyDescent="0.25">
      <c r="A7" s="626"/>
      <c r="B7" s="635"/>
      <c r="C7" s="635"/>
      <c r="D7" s="635"/>
      <c r="E7" s="635"/>
      <c r="F7" s="635"/>
      <c r="G7" s="635"/>
      <c r="H7" s="635"/>
      <c r="I7" s="635"/>
      <c r="J7" s="635"/>
      <c r="K7" s="635"/>
      <c r="L7" s="635"/>
      <c r="M7" s="627"/>
      <c r="N7" s="627"/>
      <c r="O7" s="627"/>
      <c r="P7" s="627"/>
      <c r="Q7" s="627"/>
      <c r="R7" s="627"/>
      <c r="S7" s="205"/>
      <c r="T7" s="67"/>
      <c r="U7" s="67"/>
      <c r="V7" s="67"/>
      <c r="W7" s="826"/>
      <c r="X7" s="826"/>
      <c r="Y7" s="826"/>
      <c r="Z7" s="826"/>
      <c r="AA7" s="826"/>
      <c r="AB7" s="826"/>
      <c r="AC7" s="826"/>
      <c r="AD7" s="826"/>
      <c r="AE7" s="826"/>
      <c r="AF7" s="826"/>
      <c r="AI7" s="673" t="s">
        <v>0</v>
      </c>
      <c r="AJ7" s="673" t="s">
        <v>1008</v>
      </c>
      <c r="AK7" s="673" t="s">
        <v>1009</v>
      </c>
      <c r="AL7" s="673" t="s">
        <v>589</v>
      </c>
      <c r="AM7" s="673" t="s">
        <v>588</v>
      </c>
    </row>
    <row r="8" spans="1:53" ht="12" customHeight="1" x14ac:dyDescent="0.25">
      <c r="A8" s="626"/>
      <c r="B8" s="635"/>
      <c r="C8" s="635"/>
      <c r="D8" s="635"/>
      <c r="E8" s="635"/>
      <c r="F8" s="635"/>
      <c r="G8" s="635"/>
      <c r="H8" s="635"/>
      <c r="I8" s="635"/>
      <c r="J8" s="635"/>
      <c r="K8" s="635"/>
      <c r="L8" s="635"/>
      <c r="M8" s="627"/>
      <c r="N8" s="627"/>
      <c r="O8" s="627"/>
      <c r="P8" s="627"/>
      <c r="Q8" s="627"/>
      <c r="R8" s="627"/>
      <c r="S8" s="629"/>
      <c r="AI8" s="673" t="s">
        <v>5</v>
      </c>
      <c r="AJ8" s="828">
        <f>SUMIFS(CampList[Total],CampList[Township],$AI8,CampList[Status],"open",CampList[Total],"&lt;=100",CampList[Affected Population],"IDP")</f>
        <v>287</v>
      </c>
      <c r="AK8" s="828">
        <f>SUMIFS(CampList[Total],CampList[Township],$AI8,CampList[Status],"open",CampList[Total],"&gt;100",CampList[Total],"&lt;=1000",CampList[Affected Population],"IDP")</f>
        <v>2751</v>
      </c>
      <c r="AL8" s="828">
        <f>SUMIFS(CampList[Total],CampList[Township],$AI8,CampList[Status],"open",CampList[Total],"&gt;1000",CampList[Total],"&lt;=5000",CampList[Affected Population],"IDP")</f>
        <v>5091</v>
      </c>
      <c r="AM8" s="828">
        <f>SUMIFS(CampList[Total],CampList[Township],$AI8,CampList[Status],"open",CampList[Total],"&gt;5000",CampList[Total],"&lt;=100000",CampList[Affected Population],"IDP")</f>
        <v>0</v>
      </c>
    </row>
    <row r="9" spans="1:53" ht="12" customHeight="1" x14ac:dyDescent="0.25">
      <c r="A9" s="626"/>
      <c r="B9" s="635"/>
      <c r="C9" s="635"/>
      <c r="D9" s="635"/>
      <c r="E9" s="635"/>
      <c r="F9" s="635"/>
      <c r="G9" s="635"/>
      <c r="H9" s="635"/>
      <c r="I9" s="635"/>
      <c r="J9" s="635"/>
      <c r="K9" s="635"/>
      <c r="L9" s="635"/>
      <c r="M9" s="627"/>
      <c r="N9" s="627"/>
      <c r="O9" s="627"/>
      <c r="P9" s="627"/>
      <c r="Q9" s="627"/>
      <c r="R9" s="627"/>
      <c r="S9" s="629"/>
      <c r="AI9" s="673" t="s">
        <v>27</v>
      </c>
      <c r="AJ9" s="828">
        <f>SUMIFS(CampList[Total],CampList[Township],$AI9,CampList[Status],"open",CampList[Total],"&lt;=100",CampList[Affected Population],"IDP")</f>
        <v>0</v>
      </c>
      <c r="AK9" s="828">
        <f>SUMIFS(CampList[Total],CampList[Township],$AI9,CampList[Status],"open",CampList[Total],"&gt;100",CampList[Total],"&lt;=1000",CampList[Affected Population],"IDP")</f>
        <v>1606</v>
      </c>
      <c r="AL9" s="828">
        <f>SUMIFS(CampList[Total],CampList[Township],$AI9,CampList[Status],"open",CampList[Total],"&gt;1000",CampList[Total],"&lt;=5000",CampList[Affected Population],"IDP")</f>
        <v>1022</v>
      </c>
      <c r="AM9" s="828">
        <f>SUMIFS(CampList[Total],CampList[Township],$AI9,CampList[Status],"open",CampList[Total],"&gt;5000",CampList[Total],"&lt;=100000",CampList[Affected Population],"IDP")</f>
        <v>0</v>
      </c>
    </row>
    <row r="10" spans="1:53" ht="12" customHeight="1" x14ac:dyDescent="0.25">
      <c r="A10" s="626"/>
      <c r="B10" s="635"/>
      <c r="C10" s="635"/>
      <c r="D10" s="635"/>
      <c r="E10" s="635"/>
      <c r="F10" s="635"/>
      <c r="G10" s="635"/>
      <c r="H10" s="635"/>
      <c r="I10" s="635"/>
      <c r="J10" s="635"/>
      <c r="K10" s="635"/>
      <c r="L10" s="635"/>
      <c r="M10" s="627"/>
      <c r="N10" s="627"/>
      <c r="O10" s="627"/>
      <c r="P10" s="627"/>
      <c r="Q10" s="627"/>
      <c r="R10" s="627"/>
      <c r="S10" s="629"/>
      <c r="AJ10" s="828">
        <f>SUMIFS(CampList[Total],CampList[Township],$AI10,CampList[Status],"open",CampList[Total],"&lt;=100",CampList[Affected Population],"IDP")</f>
        <v>0</v>
      </c>
      <c r="AK10" s="828">
        <f>SUMIFS(CampList[Total],CampList[Township],$AI10,CampList[Status],"open",CampList[Total],"&gt;100",CampList[Total],"&lt;=1000",CampList[Affected Population],"IDP")</f>
        <v>0</v>
      </c>
      <c r="AL10" s="828">
        <f>SUMIFS(CampList[Total],CampList[Township],$AI10,CampList[Status],"open",CampList[Total],"&gt;1000",CampList[Total],"&lt;=5000",CampList[Affected Population],"IDP")</f>
        <v>0</v>
      </c>
      <c r="AM10" s="828">
        <f>SUMIFS(CampList[Total],CampList[Township],$AI10,CampList[Status],"open",CampList[Total],"&gt;5000",CampList[Total],"&lt;=100000",CampList[Affected Population],"IDP")</f>
        <v>0</v>
      </c>
    </row>
    <row r="11" spans="1:53" ht="12" customHeight="1" x14ac:dyDescent="0.25">
      <c r="A11" s="626"/>
      <c r="B11" s="635"/>
      <c r="C11" s="635"/>
      <c r="D11" s="635"/>
      <c r="E11" s="635"/>
      <c r="F11" s="635"/>
      <c r="G11" s="635"/>
      <c r="H11" s="635"/>
      <c r="I11" s="635"/>
      <c r="J11" s="635"/>
      <c r="K11" s="635"/>
      <c r="L11" s="635"/>
      <c r="M11" s="627"/>
      <c r="N11" s="627"/>
      <c r="O11" s="627"/>
      <c r="P11" s="627"/>
      <c r="Q11" s="627"/>
      <c r="R11" s="627"/>
      <c r="S11" s="629"/>
      <c r="AJ11" s="828">
        <f>SUMIFS(CampList[Total],CampList[Township],$AI11,CampList[Status],"open",CampList[Total],"&lt;=100",CampList[Affected Population],"IDP")</f>
        <v>0</v>
      </c>
      <c r="AK11" s="828">
        <f>SUMIFS(CampList[Total],CampList[Township],$AI11,CampList[Status],"open",CampList[Total],"&gt;100",CampList[Total],"&lt;=1000",CampList[Affected Population],"IDP")</f>
        <v>0</v>
      </c>
      <c r="AL11" s="828">
        <f>SUMIFS(CampList[Total],CampList[Township],$AI11,CampList[Status],"open",CampList[Total],"&gt;1000",CampList[Total],"&lt;=5000",CampList[Affected Population],"IDP")</f>
        <v>0</v>
      </c>
      <c r="AM11" s="828">
        <f>SUMIFS(CampList[Total],CampList[Township],$AI11,CampList[Status],"open",CampList[Total],"&gt;5000",CampList[Total],"&lt;=100000",CampList[Affected Population],"IDP")</f>
        <v>0</v>
      </c>
    </row>
    <row r="12" spans="1:53" ht="8.25" customHeight="1" x14ac:dyDescent="0.25">
      <c r="A12" s="626"/>
      <c r="B12" s="635"/>
      <c r="C12" s="635"/>
      <c r="D12" s="635"/>
      <c r="E12" s="635"/>
      <c r="F12" s="635"/>
      <c r="G12" s="635"/>
      <c r="H12" s="635"/>
      <c r="I12" s="635"/>
      <c r="J12" s="635"/>
      <c r="K12" s="635"/>
      <c r="L12" s="635"/>
      <c r="M12" s="627"/>
      <c r="N12" s="627"/>
      <c r="O12" s="627"/>
      <c r="P12" s="627"/>
      <c r="Q12" s="627"/>
      <c r="R12" s="627"/>
      <c r="S12" s="629"/>
      <c r="AI12" s="673" t="s">
        <v>527</v>
      </c>
      <c r="AJ12" s="828">
        <f>SUMIFS(CampList[Total],CampList[Township],$AI12,CampList[Status],"open",CampList[Total],"&lt;=100",CampList[Affected Population],"IDP")</f>
        <v>666</v>
      </c>
      <c r="AK12" s="828">
        <f>SUMIFS(CampList[Total],CampList[Township],$AI12,CampList[Status],"open",CampList[Total],"&gt;100",CampList[Total],"&lt;=1000",CampList[Affected Population],"IDP")</f>
        <v>3100</v>
      </c>
      <c r="AL12" s="828">
        <f>SUMIFS(CampList[Total],CampList[Township],$AI12,CampList[Status],"open",CampList[Total],"&gt;1000",CampList[Total],"&lt;=5000",CampList[Affected Population],"IDP")</f>
        <v>0</v>
      </c>
      <c r="AM12" s="828">
        <f>SUMIFS(CampList[Total],CampList[Township],$AI12,CampList[Status],"open",CampList[Total],"&gt;5000",CampList[Total],"&lt;=100000",CampList[Affected Population],"IDP")</f>
        <v>0</v>
      </c>
    </row>
    <row r="13" spans="1:53" ht="8.25" customHeight="1" x14ac:dyDescent="0.25">
      <c r="A13" s="626"/>
      <c r="B13" s="635"/>
      <c r="C13" s="635"/>
      <c r="D13" s="635"/>
      <c r="E13" s="635"/>
      <c r="F13" s="635"/>
      <c r="G13" s="635"/>
      <c r="H13" s="635"/>
      <c r="I13" s="635"/>
      <c r="J13" s="635"/>
      <c r="K13" s="635"/>
      <c r="L13" s="635"/>
      <c r="M13" s="627"/>
      <c r="N13" s="627"/>
      <c r="O13" s="627"/>
      <c r="P13" s="627"/>
      <c r="Q13" s="627"/>
      <c r="R13" s="627"/>
      <c r="S13" s="629"/>
      <c r="AI13" s="673" t="s">
        <v>779</v>
      </c>
      <c r="AJ13" s="828">
        <f>SUMIFS(CampList[Total],CampList[Township],$AI13,CampList[Status],"open",CampList[Total],"&lt;=100",CampList[Affected Population],"IDP")</f>
        <v>75</v>
      </c>
      <c r="AK13" s="828">
        <f>SUMIFS(CampList[Total],CampList[Township],$AI13,CampList[Status],"open",CampList[Total],"&gt;100",CampList[Total],"&lt;=1000",CampList[Affected Population],"IDP")</f>
        <v>597</v>
      </c>
      <c r="AL13" s="828">
        <f>SUMIFS(CampList[Total],CampList[Township],$AI13,CampList[Status],"open",CampList[Total],"&gt;1000",CampList[Total],"&lt;=5000",CampList[Affected Population],"IDP")</f>
        <v>0</v>
      </c>
      <c r="AM13" s="828">
        <f>SUMIFS(CampList[Total],CampList[Township],$AI13,CampList[Status],"open",CampList[Total],"&gt;5000",CampList[Total],"&lt;=100000",CampList[Affected Population],"IDP")</f>
        <v>0</v>
      </c>
    </row>
    <row r="14" spans="1:53" ht="18.75" customHeight="1" x14ac:dyDescent="0.25">
      <c r="A14" s="626"/>
      <c r="B14" s="763" t="s">
        <v>1441</v>
      </c>
      <c r="C14" s="764" t="s">
        <v>571</v>
      </c>
      <c r="D14" s="764" t="s">
        <v>576</v>
      </c>
      <c r="E14" s="764" t="s">
        <v>1241</v>
      </c>
      <c r="F14" s="635"/>
      <c r="G14" s="635"/>
      <c r="H14" s="635"/>
      <c r="I14" s="635"/>
      <c r="J14" s="635"/>
      <c r="K14" s="635"/>
      <c r="L14" s="635"/>
      <c r="M14" s="627"/>
      <c r="N14" s="627"/>
      <c r="O14" s="627"/>
      <c r="P14" s="627"/>
      <c r="Q14" s="627"/>
      <c r="R14" s="627"/>
      <c r="S14" s="629"/>
      <c r="AJ14" s="828">
        <f>SUMIFS(CampList[Total],CampList[Township],$AI14,CampList[Status],"open",CampList[Total],"&lt;=100",CampList[Affected Population],"IDP")</f>
        <v>0</v>
      </c>
      <c r="AK14" s="828">
        <f>SUMIFS(CampList[Total],CampList[Township],$AI14,CampList[Status],"open",CampList[Total],"&gt;100",CampList[Total],"&lt;=1000",CampList[Affected Population],"IDP")</f>
        <v>0</v>
      </c>
      <c r="AL14" s="828">
        <f>SUMIFS(CampList[Total],CampList[Township],$AI14,CampList[Status],"open",CampList[Total],"&gt;1000",CampList[Total],"&lt;=5000",CampList[Affected Population],"IDP")</f>
        <v>0</v>
      </c>
      <c r="AM14" s="828">
        <f>SUMIFS(CampList[Total],CampList[Township],$AI14,CampList[Status],"open",CampList[Total],"&gt;5000",CampList[Total],"&lt;=100000",CampList[Affected Population],"IDP")</f>
        <v>0</v>
      </c>
    </row>
    <row r="15" spans="1:53" ht="18.75" customHeight="1" x14ac:dyDescent="0.25">
      <c r="A15" s="626"/>
      <c r="B15" s="765" t="s">
        <v>380</v>
      </c>
      <c r="C15" s="766"/>
      <c r="D15" s="766"/>
      <c r="E15" s="766"/>
      <c r="F15" s="627"/>
      <c r="G15" s="627"/>
      <c r="H15" s="627"/>
      <c r="I15" s="627"/>
      <c r="J15" s="627"/>
      <c r="K15" s="627"/>
      <c r="L15" s="627"/>
      <c r="M15" s="627"/>
      <c r="N15" s="627"/>
      <c r="O15" s="627"/>
      <c r="P15" s="627"/>
      <c r="Q15" s="186"/>
      <c r="R15" s="627"/>
      <c r="S15" s="629"/>
      <c r="AI15" s="829" t="s">
        <v>363</v>
      </c>
      <c r="AJ15" s="828">
        <f>SUMIFS(CampList[Total],CampList[Township],$AI15,CampList[Status],"open",CampList[Total],"&lt;=100",CampList[Affected Population],"IDP")</f>
        <v>0</v>
      </c>
      <c r="AK15" s="828">
        <f>SUMIFS(CampList[Total],CampList[Township],$AI15,CampList[Status],"open",CampList[Total],"&gt;100",CampList[Total],"&lt;=1000",CampList[Affected Population],"IDP")</f>
        <v>0</v>
      </c>
      <c r="AL15" s="828">
        <f>SUMIFS(CampList[Total],CampList[Township],$AI15,CampList[Status],"open",CampList[Total],"&gt;1000",CampList[Total],"&lt;=5000",CampList[Affected Population],"IDP")</f>
        <v>0</v>
      </c>
      <c r="AM15" s="828">
        <f>SUMIFS(CampList[Total],CampList[Township],$AI15,CampList[Status],"open",CampList[Total],"&gt;5000",CampList[Total],"&lt;=100000",CampList[Affected Population],"IDP")</f>
        <v>0</v>
      </c>
    </row>
    <row r="16" spans="1:53" ht="12" customHeight="1" x14ac:dyDescent="0.25">
      <c r="A16" s="626"/>
      <c r="B16" s="767" t="s">
        <v>5</v>
      </c>
      <c r="C16" s="768">
        <f>SUMIFS(CampList[HH],CampList[Township],$B16,CampList[Status],"open",CampList[Affected Population],"IDP", CampList[State],"Kachin")</f>
        <v>1484</v>
      </c>
      <c r="D16" s="768">
        <f>SUMIFS(CampList[Total],CampList[Township],$B16,CampList[Status],"open",CampList[Affected Population],"IDP", CampList[State],"Kachin")</f>
        <v>8129</v>
      </c>
      <c r="E16" s="769">
        <f>COUNTIFS(CampList[Township],$B16,CampList[Status],"open",CampList[Affected Population],"IDP",CampList[State],"Kachin")</f>
        <v>11</v>
      </c>
      <c r="F16" s="627"/>
      <c r="G16" s="628"/>
      <c r="H16" s="627"/>
      <c r="I16" s="627"/>
      <c r="J16" s="627"/>
      <c r="K16" s="627"/>
      <c r="L16" s="627"/>
      <c r="M16" s="627"/>
      <c r="N16" s="627"/>
      <c r="O16" s="627"/>
      <c r="P16" s="627"/>
      <c r="Q16" s="186"/>
      <c r="R16" s="627"/>
      <c r="S16" s="629"/>
      <c r="AI16" s="673" t="s">
        <v>144</v>
      </c>
      <c r="AJ16" s="828">
        <f>SUMIFS(CampList[Total],CampList[Township],$AI16,CampList[Status],"open",CampList[Total],"&lt;=100",CampList[Affected Population],"IDP")</f>
        <v>0</v>
      </c>
      <c r="AK16" s="828">
        <f>SUMIFS(CampList[Total],CampList[Township],$AI16,CampList[Status],"open",CampList[Total],"&gt;100",CampList[Total],"&lt;=1000",CampList[Affected Population],"IDP")</f>
        <v>0</v>
      </c>
      <c r="AL16" s="828">
        <f>SUMIFS(CampList[Total],CampList[Township],$AI16,CampList[Status],"open",CampList[Total],"&gt;1000",CampList[Total],"&lt;=5000",CampList[Affected Population],"IDP")</f>
        <v>0</v>
      </c>
      <c r="AM16" s="828">
        <f>SUMIFS(CampList[Total],CampList[Township],$AI16,CampList[Status],"open",CampList[Total],"&gt;5000",CampList[Total],"&lt;=100000",CampList[Affected Population],"IDP")</f>
        <v>0</v>
      </c>
    </row>
    <row r="17" spans="1:42" ht="12" customHeight="1" x14ac:dyDescent="0.25">
      <c r="A17" s="626"/>
      <c r="B17" s="767" t="s">
        <v>27</v>
      </c>
      <c r="C17" s="768">
        <f>SUMIFS(CampList[HH],CampList[Township],$B17,CampList[Status],"open",CampList[Affected Population],"IDP", CampList[State],"Kachin")</f>
        <v>501</v>
      </c>
      <c r="D17" s="768">
        <f>SUMIFS(CampList[Total],CampList[Township],$B17,CampList[Status],"open",CampList[Affected Population],"IDP", CampList[State],"Kachin")</f>
        <v>2628</v>
      </c>
      <c r="E17" s="769">
        <f>COUNTIFS(CampList[Township],$B17,CampList[Status],"open",CampList[Affected Population],"IDP",CampList[State],"Kachin")</f>
        <v>6</v>
      </c>
      <c r="F17" s="627"/>
      <c r="G17" s="628"/>
      <c r="H17" s="627"/>
      <c r="I17" s="627"/>
      <c r="J17" s="627"/>
      <c r="K17" s="627"/>
      <c r="L17" s="627"/>
      <c r="M17" s="627"/>
      <c r="N17" s="627"/>
      <c r="O17" s="627"/>
      <c r="P17" s="627"/>
      <c r="Q17" s="627"/>
      <c r="R17" s="627"/>
      <c r="S17" s="629"/>
      <c r="AI17" s="673" t="s">
        <v>146</v>
      </c>
      <c r="AJ17" s="828">
        <f>SUMIFS(CampList[Total],CampList[Township],$AI17,CampList[Status],"open",CampList[Total],"&lt;=100",CampList[Affected Population],"IDP")</f>
        <v>0</v>
      </c>
      <c r="AK17" s="828">
        <f>SUMIFS(CampList[Total],CampList[Township],$AI17,CampList[Status],"open",CampList[Total],"&gt;100",CampList[Total],"&lt;=1000",CampList[Affected Population],"IDP")</f>
        <v>5032</v>
      </c>
      <c r="AL17" s="828">
        <f>SUMIFS(CampList[Total],CampList[Township],$AI17,CampList[Status],"open",CampList[Total],"&gt;1000",CampList[Total],"&lt;=5000",CampList[Affected Population],"IDP")</f>
        <v>0</v>
      </c>
      <c r="AM17" s="828">
        <f>SUMIFS(CampList[Total],CampList[Township],$AI17,CampList[Status],"open",CampList[Total],"&gt;5000",CampList[Total],"&lt;=100000",CampList[Affected Population],"IDP")</f>
        <v>0</v>
      </c>
    </row>
    <row r="18" spans="1:42" ht="12" customHeight="1" x14ac:dyDescent="0.25">
      <c r="A18" s="626"/>
      <c r="B18" s="767" t="s">
        <v>527</v>
      </c>
      <c r="C18" s="768">
        <f>SUMIFS(CampList[HH],CampList[Township],$B18,CampList[Status],"open",CampList[Affected Population],"IDP", CampList[State],"Kachin")</f>
        <v>802</v>
      </c>
      <c r="D18" s="768">
        <f>SUMIFS(CampList[Total],CampList[Township],$B18,CampList[Status],"open",CampList[Affected Population],"IDP", CampList[State],"Kachin")</f>
        <v>3766</v>
      </c>
      <c r="E18" s="769">
        <f>COUNTIFS(CampList[Township],$B18,CampList[Status],"open",CampList[Affected Population],"IDP",CampList[State],"Kachin")</f>
        <v>26</v>
      </c>
      <c r="F18" s="627"/>
      <c r="G18" s="628"/>
      <c r="H18" s="627"/>
      <c r="I18" s="627"/>
      <c r="J18" s="627"/>
      <c r="K18" s="627"/>
      <c r="L18" s="627"/>
      <c r="M18" s="627"/>
      <c r="N18" s="627"/>
      <c r="O18" s="627"/>
      <c r="P18" s="627"/>
      <c r="Q18" s="627"/>
      <c r="R18" s="627"/>
      <c r="S18" s="629"/>
      <c r="AI18" s="673" t="s">
        <v>892</v>
      </c>
      <c r="AJ18" s="828">
        <f>SUMIFS(CampList[Total],CampList[Township],$AI18,CampList[Status],"open",CampList[Total],"&lt;=100",CampList[Affected Population],"IDP")</f>
        <v>0</v>
      </c>
      <c r="AK18" s="828">
        <f>SUMIFS(CampList[Total],CampList[Township],$AI18,CampList[Status],"open",CampList[Total],"&gt;100",CampList[Total],"&lt;=1000",CampList[Affected Population],"IDP")</f>
        <v>0</v>
      </c>
      <c r="AL18" s="828">
        <f>SUMIFS(CampList[Total],CampList[Township],$AI18,CampList[Status],"open",CampList[Total],"&gt;1000",CampList[Total],"&lt;=5000",CampList[Affected Population],"IDP")</f>
        <v>0</v>
      </c>
      <c r="AM18" s="828">
        <f>SUMIFS(CampList[Total],CampList[Township],$AI18,CampList[Status],"open",CampList[Total],"&gt;5000",CampList[Total],"&lt;=100000",CampList[Affected Population],"IDP")</f>
        <v>0</v>
      </c>
    </row>
    <row r="19" spans="1:42" ht="12" customHeight="1" x14ac:dyDescent="0.25">
      <c r="A19" s="626"/>
      <c r="B19" s="767" t="s">
        <v>363</v>
      </c>
      <c r="C19" s="768">
        <f>SUMIFS(CampList[HH],CampList[Township],$B19,CampList[Status],"open",CampList[Affected Population],"IDP", CampList[State],"Kachin")</f>
        <v>0</v>
      </c>
      <c r="D19" s="768">
        <f>SUMIFS(CampList[Total],CampList[Township],$B19,CampList[Status],"open",CampList[Affected Population],"IDP", CampList[State],"Kachin")</f>
        <v>0</v>
      </c>
      <c r="E19" s="769">
        <f>COUNTIFS(CampList[Township],$B19,CampList[Status],"open",CampList[Affected Population],"IDP",CampList[State],"Kachin")</f>
        <v>0</v>
      </c>
      <c r="F19" s="627"/>
      <c r="G19" s="627"/>
      <c r="H19" s="627"/>
      <c r="I19" s="627"/>
      <c r="J19" s="627"/>
      <c r="K19" s="627"/>
      <c r="L19" s="627"/>
      <c r="M19" s="627"/>
      <c r="N19" s="627"/>
      <c r="O19" s="627"/>
      <c r="P19" s="627"/>
      <c r="Q19" s="627"/>
      <c r="R19" s="627"/>
      <c r="S19" s="629"/>
      <c r="AI19" s="673" t="s">
        <v>151</v>
      </c>
      <c r="AJ19" s="828">
        <f>SUMIFS(CampList[Total],CampList[Township],$AI19,CampList[Status],"open",CampList[Total],"&lt;=100",CampList[Affected Population],"IDP")</f>
        <v>0</v>
      </c>
      <c r="AK19" s="828">
        <f>SUMIFS(CampList[Total],CampList[Township],$AI19,CampList[Status],"open",CampList[Total],"&gt;100",CampList[Total],"&lt;=1000",CampList[Affected Population],"IDP")</f>
        <v>4174</v>
      </c>
      <c r="AL19" s="828">
        <f>SUMIFS(CampList[Total],CampList[Township],$AI19,CampList[Status],"open",CampList[Total],"&gt;1000",CampList[Total],"&lt;=5000",CampList[Affected Population],"IDP")</f>
        <v>8369</v>
      </c>
      <c r="AM19" s="828">
        <f>SUMIFS(CampList[Total],CampList[Township],$AI19,CampList[Status],"open",CampList[Total],"&gt;5000",CampList[Total],"&lt;=100000",CampList[Affected Population],"IDP")</f>
        <v>0</v>
      </c>
      <c r="AP19" s="461"/>
    </row>
    <row r="20" spans="1:42" ht="12" customHeight="1" x14ac:dyDescent="0.25">
      <c r="A20" s="626"/>
      <c r="B20" s="767" t="s">
        <v>144</v>
      </c>
      <c r="C20" s="768">
        <f>SUMIFS(CampList[HH],CampList[Township],$B20,CampList[Status],"open",CampList[Affected Population],"IDP", CampList[State],"Kachin")</f>
        <v>0</v>
      </c>
      <c r="D20" s="768">
        <f>SUMIFS(CampList[Total],CampList[Township],$B20,CampList[Status],"open",CampList[Affected Population],"IDP", CampList[State],"Kachin")</f>
        <v>0</v>
      </c>
      <c r="E20" s="769">
        <f>COUNTIFS(CampList[Township],$B20,CampList[Status],"open",CampList[Affected Population],"IDP",CampList[State],"Kachin")</f>
        <v>0</v>
      </c>
      <c r="F20" s="627"/>
      <c r="G20" s="627"/>
      <c r="H20" s="627"/>
      <c r="I20" s="627"/>
      <c r="J20" s="627"/>
      <c r="K20" s="627"/>
      <c r="L20" s="627"/>
      <c r="M20" s="627"/>
      <c r="N20" s="627"/>
      <c r="O20" s="627"/>
      <c r="P20" s="627"/>
      <c r="Q20" s="627"/>
      <c r="R20" s="627"/>
      <c r="S20" s="629"/>
      <c r="T20" s="472">
        <f>V26</f>
        <v>0</v>
      </c>
      <c r="AI20" s="673" t="s">
        <v>166</v>
      </c>
      <c r="AJ20" s="828">
        <f>SUMIFS(CampList[Total],CampList[Township],$AI20,CampList[Status],"open",CampList[Total],"&lt;=100",CampList[Affected Population],"IDP")</f>
        <v>0</v>
      </c>
      <c r="AK20" s="828">
        <f>SUMIFS(CampList[Total],CampList[Township],$AI20,CampList[Status],"open",CampList[Total],"&gt;100",CampList[Total],"&lt;=1000",CampList[Affected Population],"IDP")</f>
        <v>539</v>
      </c>
      <c r="AL20" s="828">
        <f>SUMIFS(CampList[Total],CampList[Township],$AI20,CampList[Status],"open",CampList[Total],"&gt;1000",CampList[Total],"&lt;=5000",CampList[Affected Population],"IDP")</f>
        <v>0</v>
      </c>
      <c r="AM20" s="828">
        <f>SUMIFS(CampList[Total],CampList[Township],$AI20,CampList[Status],"open",CampList[Total],"&gt;5000",CampList[Total],"&lt;=100000",CampList[Affected Population],"IDP")</f>
        <v>0</v>
      </c>
      <c r="AP20" s="461"/>
    </row>
    <row r="21" spans="1:42" ht="12" customHeight="1" x14ac:dyDescent="0.25">
      <c r="A21" s="626"/>
      <c r="B21" s="767" t="s">
        <v>892</v>
      </c>
      <c r="C21" s="768">
        <f>SUMIFS(CampList[HH],CampList[Township],$B21,CampList[Status],"open",CampList[Affected Population],"IDP", CampList[State],"Kachin")</f>
        <v>0</v>
      </c>
      <c r="D21" s="768">
        <f>SUMIFS(CampList[Total],CampList[Township],$B21,CampList[Status],"open",CampList[Affected Population],"IDP", CampList[State],"Kachin")</f>
        <v>0</v>
      </c>
      <c r="E21" s="769">
        <f>COUNTIFS(CampList[Township],$B21,CampList[Status],"open",CampList[Affected Population],"IDP",CampList[State],"Kachin")</f>
        <v>0</v>
      </c>
      <c r="F21" s="627"/>
      <c r="G21" s="627"/>
      <c r="H21" s="627"/>
      <c r="I21" s="627"/>
      <c r="J21" s="627"/>
      <c r="K21" s="627"/>
      <c r="L21" s="627"/>
      <c r="M21" s="627"/>
      <c r="N21" s="627"/>
      <c r="O21" s="627"/>
      <c r="P21" s="627"/>
      <c r="Q21" s="627"/>
      <c r="R21" s="627"/>
      <c r="S21" s="629"/>
      <c r="U21" s="822"/>
      <c r="AI21" s="673" t="s">
        <v>173</v>
      </c>
      <c r="AJ21" s="828">
        <f>SUMIFS(CampList[Total],CampList[Township],$AI21,CampList[Status],"open",CampList[Total],"&lt;=100",CampList[Affected Population],"IDP")</f>
        <v>264</v>
      </c>
      <c r="AK21" s="828">
        <f>SUMIFS(CampList[Total],CampList[Township],$AI21,CampList[Status],"open",CampList[Total],"&gt;100",CampList[Total],"&lt;=1000",CampList[Affected Population],"IDP")</f>
        <v>140</v>
      </c>
      <c r="AL21" s="828">
        <f>SUMIFS(CampList[Total],CampList[Township],$AI21,CampList[Status],"open",CampList[Total],"&gt;1000",CampList[Total],"&lt;=5000",CampList[Affected Population],"IDP")</f>
        <v>0</v>
      </c>
      <c r="AM21" s="828">
        <f>SUMIFS(CampList[Total],CampList[Township],$AI21,CampList[Status],"open",CampList[Total],"&gt;5000",CampList[Total],"&lt;=100000",CampList[Affected Population],"IDP")</f>
        <v>0</v>
      </c>
      <c r="AP21" s="461"/>
    </row>
    <row r="22" spans="1:42" ht="12" customHeight="1" x14ac:dyDescent="0.25">
      <c r="A22" s="626"/>
      <c r="B22" s="767" t="s">
        <v>151</v>
      </c>
      <c r="C22" s="768">
        <f>SUMIFS(CampList[HH],CampList[Township],$B22,CampList[Status],"open",CampList[Affected Population],"IDP", CampList[State],"Kachin")</f>
        <v>2721</v>
      </c>
      <c r="D22" s="768">
        <f>SUMIFS(CampList[Total],CampList[Township],$B22,CampList[Status],"open",CampList[Affected Population],"IDP", CampList[State],"Kachin")</f>
        <v>12543</v>
      </c>
      <c r="E22" s="769">
        <f>COUNTIFS(CampList[Township],$B22,CampList[Status],"open",CampList[Affected Population],"IDP",CampList[State],"Kachin")</f>
        <v>11</v>
      </c>
      <c r="F22" s="627"/>
      <c r="G22" s="627"/>
      <c r="H22" s="627"/>
      <c r="I22" s="627"/>
      <c r="J22" s="627"/>
      <c r="K22" s="627"/>
      <c r="L22" s="627"/>
      <c r="M22" s="627"/>
      <c r="N22" s="627"/>
      <c r="O22" s="627"/>
      <c r="P22" s="627"/>
      <c r="Q22" s="627"/>
      <c r="R22" s="627"/>
      <c r="S22" s="629"/>
      <c r="AI22" s="673" t="s">
        <v>180</v>
      </c>
      <c r="AJ22" s="828">
        <f>SUMIFS(CampList[Total],CampList[Township],$AI22,CampList[Status],"open",CampList[Total],"&lt;=100",CampList[Affected Population],"IDP")</f>
        <v>178</v>
      </c>
      <c r="AK22" s="828">
        <f>SUMIFS(CampList[Total],CampList[Township],$AI22,CampList[Status],"open",CampList[Total],"&gt;100",CampList[Total],"&lt;=1000",CampList[Affected Population],"IDP")</f>
        <v>153</v>
      </c>
      <c r="AL22" s="828">
        <f>SUMIFS(CampList[Total],CampList[Township],$AI22,CampList[Status],"open",CampList[Total],"&gt;1000",CampList[Total],"&lt;=5000",CampList[Affected Population],"IDP")</f>
        <v>0</v>
      </c>
      <c r="AM22" s="828">
        <f>SUMIFS(CampList[Total],CampList[Township],$AI22,CampList[Status],"open",CampList[Total],"&gt;5000",CampList[Total],"&lt;=100000",CampList[Affected Population],"IDP")</f>
        <v>0</v>
      </c>
      <c r="AP22" s="461"/>
    </row>
    <row r="23" spans="1:42" ht="12" customHeight="1" x14ac:dyDescent="0.25">
      <c r="A23" s="626"/>
      <c r="B23" s="767" t="s">
        <v>173</v>
      </c>
      <c r="C23" s="768">
        <f>SUMIFS(CampList[HH],CampList[Township],$B23,CampList[Status],"open",CampList[Affected Population],"IDP", CampList[State],"Kachin")</f>
        <v>94</v>
      </c>
      <c r="D23" s="768">
        <f>SUMIFS(CampList[Total],CampList[Township],$B23,CampList[Status],"open",CampList[Affected Population],"IDP", CampList[State],"Kachin")</f>
        <v>404</v>
      </c>
      <c r="E23" s="769">
        <f>COUNTIFS(CampList[Township],$B23,CampList[Status],"open",CampList[Affected Population],"IDP",CampList[State],"Kachin")</f>
        <v>5</v>
      </c>
      <c r="F23" s="627"/>
      <c r="G23" s="627"/>
      <c r="H23" s="627"/>
      <c r="I23" s="627"/>
      <c r="J23" s="627"/>
      <c r="K23" s="627"/>
      <c r="L23" s="627"/>
      <c r="M23" s="627"/>
      <c r="N23" s="627"/>
      <c r="O23" s="627"/>
      <c r="P23" s="627"/>
      <c r="Q23" s="627"/>
      <c r="R23" s="627"/>
      <c r="S23" s="629"/>
      <c r="AI23" s="673" t="s">
        <v>185</v>
      </c>
      <c r="AJ23" s="828">
        <f>SUMIFS(CampList[Total],CampList[Township],$AI23,CampList[Status],"open",CampList[Total],"&lt;=100",CampList[Affected Population],"IDP")</f>
        <v>175</v>
      </c>
      <c r="AK23" s="828">
        <f>SUMIFS(CampList[Total],CampList[Township],$AI23,CampList[Status],"open",CampList[Total],"&gt;100",CampList[Total],"&lt;=1000",CampList[Affected Population],"IDP")</f>
        <v>2157</v>
      </c>
      <c r="AL23" s="828">
        <f>SUMIFS(CampList[Total],CampList[Township],$AI23,CampList[Status],"open",CampList[Total],"&gt;1000",CampList[Total],"&lt;=5000",CampList[Affected Population],"IDP")</f>
        <v>13351</v>
      </c>
      <c r="AM23" s="828">
        <f>SUMIFS(CampList[Total],CampList[Township],$AI23,CampList[Status],"open",CampList[Total],"&gt;5000",CampList[Total],"&lt;=100000",CampList[Affected Population],"IDP")</f>
        <v>0</v>
      </c>
      <c r="AP23" s="461"/>
    </row>
    <row r="24" spans="1:42" ht="12" customHeight="1" x14ac:dyDescent="0.25">
      <c r="A24" s="626"/>
      <c r="B24" s="767" t="s">
        <v>180</v>
      </c>
      <c r="C24" s="768">
        <f>SUMIFS(CampList[HH],CampList[Township],$B24,CampList[Status],"open",CampList[Affected Population],"IDP", CampList[State],"Kachin")</f>
        <v>72</v>
      </c>
      <c r="D24" s="768">
        <f>SUMIFS(CampList[Total],CampList[Township],$B24,CampList[Status],"open",CampList[Affected Population],"IDP", CampList[State],"Kachin")</f>
        <v>331</v>
      </c>
      <c r="E24" s="769">
        <f>COUNTIFS(CampList[Township],$B24,CampList[Status],"open",CampList[Affected Population],"IDP",CampList[State],"Kachin")</f>
        <v>4</v>
      </c>
      <c r="F24" s="627"/>
      <c r="G24" s="627"/>
      <c r="H24" s="627"/>
      <c r="I24" s="627"/>
      <c r="J24" s="627"/>
      <c r="K24" s="627"/>
      <c r="L24" s="627"/>
      <c r="M24" s="627"/>
      <c r="N24" s="627"/>
      <c r="O24" s="627"/>
      <c r="P24" s="627"/>
      <c r="Q24" s="627"/>
      <c r="R24" s="627"/>
      <c r="S24" s="629"/>
      <c r="AI24" s="673" t="s">
        <v>230</v>
      </c>
      <c r="AJ24" s="828">
        <f>SUMIFS(CampList[Total],CampList[Township],$AI24,CampList[Status],"open",CampList[Total],"&lt;=100",CampList[Affected Population],"IDP")</f>
        <v>109</v>
      </c>
      <c r="AK24" s="828">
        <f>SUMIFS(CampList[Total],CampList[Township],$AI24,CampList[Status],"open",CampList[Total],"&gt;100",CampList[Total],"&lt;=1000",CampList[Affected Population],"IDP")</f>
        <v>1742</v>
      </c>
      <c r="AL24" s="828">
        <f>SUMIFS(CampList[Total],CampList[Township],$AI24,CampList[Status],"open",CampList[Total],"&gt;1000",CampList[Total],"&lt;=5000",CampList[Affected Population],"IDP")</f>
        <v>0</v>
      </c>
      <c r="AM24" s="828">
        <f>SUMIFS(CampList[Total],CampList[Township],$AI24,CampList[Status],"open",CampList[Total],"&gt;5000",CampList[Total],"&lt;=100000",CampList[Affected Population],"IDP")</f>
        <v>0</v>
      </c>
      <c r="AP24" s="461"/>
    </row>
    <row r="25" spans="1:42" ht="12" customHeight="1" x14ac:dyDescent="0.25">
      <c r="A25" s="626"/>
      <c r="B25" s="767" t="s">
        <v>185</v>
      </c>
      <c r="C25" s="768">
        <f>SUMIFS(CampList[HH],CampList[Township],$B25,CampList[Status],"open",CampList[Affected Population],"IDP", CampList[State],"Kachin")</f>
        <v>3124</v>
      </c>
      <c r="D25" s="768">
        <f>SUMIFS(CampList[Total],CampList[Township],$B25,CampList[Status],"open",CampList[Affected Population],"IDP", CampList[State],"Kachin")</f>
        <v>15683</v>
      </c>
      <c r="E25" s="769">
        <f>COUNTIFS(CampList[Township],$B25,CampList[Status],"open",CampList[Affected Population],"IDP",CampList[State],"Kachin")</f>
        <v>20</v>
      </c>
      <c r="F25" s="627"/>
      <c r="G25" s="453"/>
      <c r="H25" s="453"/>
      <c r="I25" s="453"/>
      <c r="J25" s="453"/>
      <c r="K25" s="453"/>
      <c r="L25" s="453"/>
      <c r="M25" s="627"/>
      <c r="N25" s="627"/>
      <c r="O25" s="627"/>
      <c r="P25" s="627"/>
      <c r="Q25" s="627"/>
      <c r="R25" s="627"/>
      <c r="S25" s="629"/>
      <c r="AI25" s="673" t="s">
        <v>237</v>
      </c>
      <c r="AJ25" s="828">
        <f>SUMIFS(CampList[Total],CampList[Township],$AI25,CampList[Status],"open",CampList[Total],"&lt;=100",CampList[Affected Population],"IDP")</f>
        <v>362</v>
      </c>
      <c r="AK25" s="828">
        <f>SUMIFS(CampList[Total],CampList[Township],$AI25,CampList[Status],"open",CampList[Total],"&gt;100",CampList[Total],"&lt;=1000",CampList[Affected Population],"IDP")</f>
        <v>4454</v>
      </c>
      <c r="AL25" s="828">
        <f>SUMIFS(CampList[Total],CampList[Township],$AI25,CampList[Status],"open",CampList[Total],"&gt;1000",CampList[Total],"&lt;=5000",CampList[Affected Population],"IDP")</f>
        <v>1107</v>
      </c>
      <c r="AM25" s="828">
        <f>SUMIFS(CampList[Total],CampList[Township],$AI25,CampList[Status],"open",CampList[Total],"&gt;5000",CampList[Total],"&lt;=100000",CampList[Affected Population],"IDP")</f>
        <v>0</v>
      </c>
      <c r="AP25" s="461"/>
    </row>
    <row r="26" spans="1:42" ht="12" customHeight="1" x14ac:dyDescent="0.25">
      <c r="A26" s="626"/>
      <c r="B26" s="767" t="s">
        <v>237</v>
      </c>
      <c r="C26" s="768">
        <f>SUMIFS(CampList[HH],CampList[Township],$B26,CampList[Status],"open",CampList[Affected Population],"IDP", CampList[State],"Kachin")</f>
        <v>1177</v>
      </c>
      <c r="D26" s="768">
        <f>SUMIFS(CampList[Total],CampList[Township],$B26,CampList[Status],"open",CampList[Affected Population],"IDP", CampList[State],"Kachin")</f>
        <v>5923</v>
      </c>
      <c r="E26" s="769">
        <f>COUNTIFS(CampList[Township],$B26,CampList[Status],"open",CampList[Affected Population],"IDP",CampList[State],"Kachin")</f>
        <v>24</v>
      </c>
      <c r="F26" s="627"/>
      <c r="G26" s="453"/>
      <c r="H26" s="453"/>
      <c r="I26" s="453"/>
      <c r="J26" s="453"/>
      <c r="K26" s="453"/>
      <c r="L26" s="453"/>
      <c r="M26" s="627"/>
      <c r="N26" s="627"/>
      <c r="O26" s="627"/>
      <c r="P26" s="627"/>
      <c r="Q26" s="627"/>
      <c r="R26" s="627"/>
      <c r="S26" s="629"/>
      <c r="AI26" s="673" t="s">
        <v>289</v>
      </c>
      <c r="AJ26" s="828">
        <f>SUMIFS(CampList[Total],CampList[Township],$AI26,CampList[Status],"open",CampList[Total],"&lt;=100",CampList[Affected Population],"IDP")</f>
        <v>0</v>
      </c>
      <c r="AK26" s="828">
        <f>SUMIFS(CampList[Total],CampList[Township],$AI26,CampList[Status],"open",CampList[Total],"&gt;100",CampList[Total],"&lt;=1000",CampList[Affected Population],"IDP")</f>
        <v>2777</v>
      </c>
      <c r="AL26" s="828">
        <f>SUMIFS(CampList[Total],CampList[Township],$AI26,CampList[Status],"open",CampList[Total],"&gt;1000",CampList[Total],"&lt;=5000",CampList[Affected Population],"IDP")</f>
        <v>0</v>
      </c>
      <c r="AM26" s="828">
        <f>SUMIFS(CampList[Total],CampList[Township],$AI26,CampList[Status],"open",CampList[Total],"&gt;5000",CampList[Total],"&lt;=100000",CampList[Affected Population],"IDP")</f>
        <v>0</v>
      </c>
      <c r="AP26" s="461"/>
    </row>
    <row r="27" spans="1:42" ht="12" customHeight="1" x14ac:dyDescent="0.25">
      <c r="A27" s="626"/>
      <c r="B27" s="767" t="s">
        <v>300</v>
      </c>
      <c r="C27" s="768">
        <f>SUMIFS(CampList[HH],CampList[Township],$B27,CampList[Status],"open",CampList[Affected Population],"IDP", CampList[State],"Kachin")</f>
        <v>83</v>
      </c>
      <c r="D27" s="768">
        <f>SUMIFS(CampList[Total],CampList[Township],$B27,CampList[Status],"open",CampList[Affected Population],"IDP", CampList[State],"Kachin")</f>
        <v>388</v>
      </c>
      <c r="E27" s="769">
        <f>COUNTIFS(CampList[Township],$B27,CampList[Status],"open",CampList[Affected Population],"IDP",CampList[State],"Kachin")</f>
        <v>3</v>
      </c>
      <c r="F27" s="627"/>
      <c r="G27" s="453"/>
      <c r="H27" s="453"/>
      <c r="I27" s="453"/>
      <c r="J27" s="453"/>
      <c r="K27" s="453"/>
      <c r="L27" s="453"/>
      <c r="M27" s="627"/>
      <c r="N27" s="627"/>
      <c r="O27" s="627"/>
      <c r="P27" s="627"/>
      <c r="Q27" s="627"/>
      <c r="R27" s="627"/>
      <c r="S27" s="629"/>
      <c r="AI27" s="673" t="s">
        <v>298</v>
      </c>
      <c r="AJ27" s="828">
        <f>SUMIFS(CampList[Total],CampList[Township],$AI27,CampList[Status],"open",CampList[Total],"&lt;=100",CampList[Affected Population],"IDP")</f>
        <v>232</v>
      </c>
      <c r="AK27" s="828">
        <f>SUMIFS(CampList[Total],CampList[Township],$AI27,CampList[Status],"open",CampList[Total],"&gt;100",CampList[Total],"&lt;=1000",CampList[Affected Population],"IDP")</f>
        <v>1746</v>
      </c>
      <c r="AL27" s="828">
        <f>SUMIFS(CampList[Total],CampList[Township],$AI27,CampList[Status],"open",CampList[Total],"&gt;1000",CampList[Total],"&lt;=5000",CampList[Affected Population],"IDP")</f>
        <v>0</v>
      </c>
      <c r="AM27" s="828">
        <f>SUMIFS(CampList[Total],CampList[Township],$AI27,CampList[Status],"open",CampList[Total],"&gt;5000",CampList[Total],"&lt;=100000",CampList[Affected Population],"IDP")</f>
        <v>0</v>
      </c>
    </row>
    <row r="28" spans="1:42" ht="12" customHeight="1" x14ac:dyDescent="0.25">
      <c r="A28" s="626"/>
      <c r="B28" s="767" t="s">
        <v>302</v>
      </c>
      <c r="C28" s="768">
        <f>SUMIFS(CampList[HH],CampList[Township],$B28,CampList[Status],"open",CampList[Affected Population],"IDP", CampList[State],"Kachin")</f>
        <v>510</v>
      </c>
      <c r="D28" s="768">
        <f>SUMIFS(CampList[Total],CampList[Township],$B28,CampList[Status],"open",CampList[Affected Population],"IDP", CampList[State],"Kachin")</f>
        <v>2230</v>
      </c>
      <c r="E28" s="769">
        <f>COUNTIFS(CampList[Township],$B28,CampList[Status],"open",CampList[Affected Population],"IDP",CampList[State],"Kachin")</f>
        <v>4</v>
      </c>
      <c r="F28" s="627"/>
      <c r="G28" s="453"/>
      <c r="H28" s="453"/>
      <c r="I28" s="453"/>
      <c r="J28" s="453"/>
      <c r="K28" s="453"/>
      <c r="L28" s="453"/>
      <c r="M28" s="627"/>
      <c r="N28" s="627"/>
      <c r="O28" s="627"/>
      <c r="P28" s="627"/>
      <c r="Q28" s="627"/>
      <c r="R28" s="627"/>
      <c r="S28" s="629"/>
      <c r="AI28" s="673" t="s">
        <v>300</v>
      </c>
      <c r="AJ28" s="828">
        <f>SUMIFS(CampList[Total],CampList[Township],$AI28,CampList[Status],"open",CampList[Total],"&lt;=100",CampList[Affected Population],"IDP")</f>
        <v>120</v>
      </c>
      <c r="AK28" s="828">
        <f>SUMIFS(CampList[Total],CampList[Township],$AI28,CampList[Status],"open",CampList[Total],"&gt;100",CampList[Total],"&lt;=1000",CampList[Affected Population],"IDP")</f>
        <v>268</v>
      </c>
      <c r="AL28" s="828">
        <f>SUMIFS(CampList[Total],CampList[Township],$AI28,CampList[Status],"open",CampList[Total],"&gt;1000",CampList[Total],"&lt;=5000",CampList[Affected Population],"IDP")</f>
        <v>0</v>
      </c>
      <c r="AM28" s="828">
        <f>SUMIFS(CampList[Total],CampList[Township],$AI28,CampList[Status],"open",CampList[Total],"&gt;5000",CampList[Total],"&lt;=100000",CampList[Affected Population],"IDP")</f>
        <v>0</v>
      </c>
    </row>
    <row r="29" spans="1:42" ht="12" customHeight="1" x14ac:dyDescent="0.25">
      <c r="A29" s="626"/>
      <c r="B29" s="767" t="s">
        <v>808</v>
      </c>
      <c r="C29" s="768">
        <f>SUMIFS(CampList[HH],CampList[Township],$B29,CampList[Status],"open",CampList[Affected Population],"IDP", CampList[State],"Kachin")</f>
        <v>166</v>
      </c>
      <c r="D29" s="768">
        <f>SUMIFS(CampList[Total],CampList[Township],$B29,CampList[Status],"open",CampList[Affected Population],"IDP", CampList[State],"Kachin")</f>
        <v>1232</v>
      </c>
      <c r="E29" s="769">
        <f>COUNTIFS(CampList[Township],$B29,CampList[Status],"open",CampList[Affected Population],"IDP",CampList[State],"Kachin")</f>
        <v>3</v>
      </c>
      <c r="F29" s="453"/>
      <c r="G29" s="453"/>
      <c r="H29" s="453"/>
      <c r="I29" s="453"/>
      <c r="J29" s="453"/>
      <c r="K29" s="453"/>
      <c r="L29" s="453"/>
      <c r="M29" s="627"/>
      <c r="N29" s="627"/>
      <c r="O29" s="627"/>
      <c r="P29" s="627"/>
      <c r="Q29" s="627"/>
      <c r="R29" s="627"/>
      <c r="S29" s="629"/>
      <c r="AI29" s="673" t="s">
        <v>302</v>
      </c>
      <c r="AJ29" s="828">
        <f>SUMIFS(CampList[Total],CampList[Township],$AI29,CampList[Status],"open",CampList[Total],"&lt;=100",CampList[Affected Population],"IDP")</f>
        <v>30</v>
      </c>
      <c r="AK29" s="828">
        <f>SUMIFS(CampList[Total],CampList[Township],$AI29,CampList[Status],"open",CampList[Total],"&gt;100",CampList[Total],"&lt;=1000",CampList[Affected Population],"IDP")</f>
        <v>509</v>
      </c>
      <c r="AL29" s="828">
        <f>SUMIFS(CampList[Total],CampList[Township],$AI29,CampList[Status],"open",CampList[Total],"&gt;1000",CampList[Total],"&lt;=5000",CampList[Affected Population],"IDP")</f>
        <v>1691</v>
      </c>
      <c r="AM29" s="828">
        <f>SUMIFS(CampList[Total],CampList[Township],$AI29,CampList[Status],"open",CampList[Total],"&gt;5000",CampList[Total],"&lt;=100000",CampList[Affected Population],"IDP")</f>
        <v>0</v>
      </c>
    </row>
    <row r="30" spans="1:42" ht="12" customHeight="1" x14ac:dyDescent="0.25">
      <c r="A30" s="626"/>
      <c r="B30" s="767" t="s">
        <v>1418</v>
      </c>
      <c r="C30" s="768">
        <f>SUMIFS(CampList[HH],CampList[Township],$B30,CampList[Status],"open",CampList[Affected Population],"IDP", CampList[State],"Kachin")</f>
        <v>0</v>
      </c>
      <c r="D30" s="768">
        <f>SUMIFS(CampList[Total],CampList[Township],$B30,CampList[Status],"open",CampList[Affected Population],"IDP", CampList[State],"Kachin")</f>
        <v>0</v>
      </c>
      <c r="E30" s="769">
        <f>COUNTIFS(CampList[Township],$B30,CampList[Status],"open",CampList[Affected Population],"IDP",CampList[State],"Kachin")</f>
        <v>0</v>
      </c>
      <c r="F30" s="453"/>
      <c r="G30" s="453"/>
      <c r="H30" s="453"/>
      <c r="I30" s="453"/>
      <c r="J30" s="453"/>
      <c r="K30" s="453"/>
      <c r="L30" s="453"/>
      <c r="M30" s="627"/>
      <c r="N30" s="627"/>
      <c r="O30" s="627"/>
      <c r="P30" s="627"/>
      <c r="Q30" s="627"/>
      <c r="R30" s="627"/>
      <c r="S30" s="629"/>
      <c r="AI30" s="673" t="s">
        <v>1621</v>
      </c>
      <c r="AJ30" s="828">
        <f>SUMIFS(CampList[Total],CampList[Township],$AI30,CampList[Status],"open",CampList[Total],"&lt;=100",CampList[Affected Population],"IDP")</f>
        <v>0</v>
      </c>
      <c r="AK30" s="828">
        <f>SUMIFS(CampList[Total],CampList[Township],$AI30,CampList[Status],"open",CampList[Total],"&gt;100",CampList[Total],"&lt;=1000",CampList[Affected Population],"IDP")</f>
        <v>120</v>
      </c>
      <c r="AL30" s="828">
        <f>SUMIFS(CampList[Total],CampList[Township],$AI30,CampList[Status],"open",CampList[Total],"&gt;1000",CampList[Total],"&lt;=5000",CampList[Affected Population],"IDP")</f>
        <v>0</v>
      </c>
      <c r="AM30" s="828">
        <f>SUMIFS(CampList[Total],CampList[Township],$AI30,CampList[Status],"open",CampList[Total],"&gt;5000",CampList[Total],"&lt;=100000",CampList[Affected Population],"IDP")</f>
        <v>0</v>
      </c>
    </row>
    <row r="31" spans="1:42" ht="12" customHeight="1" x14ac:dyDescent="0.25">
      <c r="A31" s="626"/>
      <c r="B31" s="767" t="s">
        <v>310</v>
      </c>
      <c r="C31" s="768">
        <f>SUMIFS(CampList[HH],CampList[Township],$B31,CampList[Status],"open",CampList[Affected Population],"IDP", CampList[State],"Kachin")</f>
        <v>6296</v>
      </c>
      <c r="D31" s="768">
        <f>SUMIFS(CampList[Total],CampList[Township],$B31,CampList[Status],"open",CampList[Affected Population],"IDP", CampList[State],"Kachin")</f>
        <v>32802</v>
      </c>
      <c r="E31" s="769">
        <f>COUNTIFS(CampList[Township],$B31,CampList[Status],"open",CampList[Affected Population],"IDP",CampList[State],"Kachin")</f>
        <v>23</v>
      </c>
      <c r="F31" s="453"/>
      <c r="G31" s="453"/>
      <c r="H31" s="453"/>
      <c r="I31" s="453"/>
      <c r="J31" s="453"/>
      <c r="K31" s="453"/>
      <c r="L31" s="453"/>
      <c r="M31" s="627"/>
      <c r="N31" s="627"/>
      <c r="O31" s="627"/>
      <c r="P31" s="627"/>
      <c r="Q31" s="627"/>
      <c r="R31" s="627"/>
      <c r="S31" s="629"/>
      <c r="AI31" s="673" t="s">
        <v>808</v>
      </c>
      <c r="AJ31" s="828">
        <f>SUMIFS(CampList[Total],CampList[Township],$AI31,CampList[Status],"open",CampList[Total],"&lt;=100",CampList[Affected Population],"IDP")</f>
        <v>32</v>
      </c>
      <c r="AK31" s="828">
        <f>SUMIFS(CampList[Total],CampList[Township],$AI31,CampList[Status],"open",CampList[Total],"&gt;100",CampList[Total],"&lt;=1000",CampList[Affected Population],"IDP")</f>
        <v>1200</v>
      </c>
      <c r="AL31" s="828">
        <f>SUMIFS(CampList[Total],CampList[Township],$AI31,CampList[Status],"open",CampList[Total],"&gt;1000",CampList[Total],"&lt;=5000",CampList[Affected Population],"IDP")</f>
        <v>0</v>
      </c>
      <c r="AM31" s="828">
        <f>SUMIFS(CampList[Total],CampList[Township],$AI31,CampList[Status],"open",CampList[Total],"&gt;5000",CampList[Total],"&lt;=100000",CampList[Affected Population],"IDP")</f>
        <v>0</v>
      </c>
      <c r="AN31" s="674">
        <f>AM41+AJ41+AK41+AL41</f>
        <v>99028</v>
      </c>
    </row>
    <row r="32" spans="1:42" ht="15.75" customHeight="1" x14ac:dyDescent="0.25">
      <c r="A32" s="626"/>
      <c r="B32" s="770" t="s">
        <v>851</v>
      </c>
      <c r="C32" s="771">
        <f>SUM(C16:C31)</f>
        <v>17030</v>
      </c>
      <c r="D32" s="771">
        <f>SUM(D16:D31)</f>
        <v>86059</v>
      </c>
      <c r="E32" s="772">
        <f>SUM(E16:E31)</f>
        <v>140</v>
      </c>
      <c r="F32" s="453"/>
      <c r="G32" s="453"/>
      <c r="H32" s="453"/>
      <c r="I32" s="453"/>
      <c r="J32" s="453"/>
      <c r="K32" s="453"/>
      <c r="L32" s="453"/>
      <c r="M32" s="627"/>
      <c r="N32" s="627"/>
      <c r="O32" s="627"/>
      <c r="P32" s="627"/>
      <c r="Q32" s="627"/>
      <c r="R32" s="627"/>
      <c r="S32" s="629"/>
      <c r="AI32" s="673" t="s">
        <v>1418</v>
      </c>
      <c r="AJ32" s="828">
        <f>SUMIFS(CampList[Total],CampList[Township],$AI32,CampList[Status],"open",CampList[Total],"&lt;=100",CampList[Affected Population],"IDP")</f>
        <v>0</v>
      </c>
      <c r="AK32" s="828">
        <f>SUMIFS(CampList[Total],CampList[Township],$AI32,CampList[Status],"open",CampList[Total],"&gt;100",CampList[Total],"&lt;=1000",CampList[Affected Population],"IDP")</f>
        <v>0</v>
      </c>
      <c r="AL32" s="828">
        <f>SUMIFS(CampList[Total],CampList[Township],$AI32,CampList[Status],"open",CampList[Total],"&gt;1000",CampList[Total],"&lt;=5000",CampList[Affected Population],"IDP")</f>
        <v>0</v>
      </c>
      <c r="AM32" s="828">
        <f>SUMIFS(CampList[Total],CampList[Township],$AI32,CampList[Status],"open",CampList[Total],"&gt;5000",CampList[Total],"&lt;=100000",CampList[Affected Population],"IDP")</f>
        <v>0</v>
      </c>
      <c r="AN32" s="674"/>
    </row>
    <row r="33" spans="1:41" ht="15.75" customHeight="1" x14ac:dyDescent="0.2">
      <c r="A33" s="626"/>
      <c r="B33" s="765" t="s">
        <v>1442</v>
      </c>
      <c r="C33" s="766"/>
      <c r="D33" s="766"/>
      <c r="E33" s="766"/>
      <c r="F33" s="453"/>
      <c r="G33" s="773"/>
      <c r="H33" s="774" t="s">
        <v>1008</v>
      </c>
      <c r="I33" s="775" t="s">
        <v>1009</v>
      </c>
      <c r="J33" s="776" t="s">
        <v>589</v>
      </c>
      <c r="K33" s="777" t="s">
        <v>588</v>
      </c>
      <c r="L33" s="778" t="s">
        <v>597</v>
      </c>
      <c r="M33" s="627"/>
      <c r="N33" s="627"/>
      <c r="O33" s="627"/>
      <c r="P33" s="627"/>
      <c r="Q33" s="627"/>
      <c r="R33" s="627"/>
      <c r="S33" s="629"/>
      <c r="AJ33" s="828">
        <f>SUMIFS(CampList[Total],CampList[Township],$AI33,CampList[Status],"open",CampList[Total],"&lt;=100",CampList[Affected Population],"IDP")</f>
        <v>0</v>
      </c>
      <c r="AK33" s="828">
        <f>SUMIFS(CampList[Total],CampList[Township],$AI33,CampList[Status],"open",CampList[Total],"&gt;100",CampList[Total],"&lt;=1000",CampList[Affected Population],"IDP")</f>
        <v>0</v>
      </c>
      <c r="AL33" s="828">
        <f>SUMIFS(CampList[Total],CampList[Township],$AI33,CampList[Status],"open",CampList[Total],"&gt;1000",CampList[Total],"&lt;=5000",CampList[Affected Population],"IDP")</f>
        <v>0</v>
      </c>
      <c r="AM33" s="828">
        <f>SUMIFS(CampList[Total],CampList[Township],$AI33,CampList[Status],"open",CampList[Total],"&gt;5000",CampList[Total],"&lt;=100000",CampList[Affected Population],"IDP")</f>
        <v>0</v>
      </c>
      <c r="AN33" s="674"/>
    </row>
    <row r="34" spans="1:41" ht="15" customHeight="1" x14ac:dyDescent="0.25">
      <c r="A34" s="626"/>
      <c r="B34" s="779" t="s">
        <v>779</v>
      </c>
      <c r="C34" s="768">
        <f>SUMIFS(CampList[HH],CampList[Township],$B34,CampList[Status],"open",CampList[Affected Population],"IDP",  CampList[State],"Shan_North")</f>
        <v>125</v>
      </c>
      <c r="D34" s="768">
        <f>SUMIFS(CampList[Total],CampList[Township],$B34,CampList[Status],"open",CampList[Affected Population],"IDP",  CampList[State],"Shan_North")</f>
        <v>672</v>
      </c>
      <c r="E34" s="769">
        <f>COUNTIFS(CampList[Township],$B34,CampList[Status],"open",CampList[Affected Population],"IDP",  CampList[State],"Shan_North")</f>
        <v>3</v>
      </c>
      <c r="F34" s="453"/>
      <c r="G34" s="780" t="s">
        <v>1003</v>
      </c>
      <c r="H34" s="781">
        <f>AJ67</f>
        <v>52</v>
      </c>
      <c r="I34" s="781">
        <f>AK67</f>
        <v>107</v>
      </c>
      <c r="J34" s="781">
        <f>AL67</f>
        <v>22</v>
      </c>
      <c r="K34" s="781">
        <f>AM67</f>
        <v>2</v>
      </c>
      <c r="L34" s="781">
        <f>AN67</f>
        <v>5</v>
      </c>
      <c r="M34" s="627"/>
      <c r="N34" s="627"/>
      <c r="O34" s="627"/>
      <c r="P34" s="627"/>
      <c r="Q34" s="627"/>
      <c r="R34" s="627"/>
      <c r="S34" s="629"/>
      <c r="AJ34" s="828">
        <f>SUMIFS(CampList[Total],CampList[Township],$AI34,CampList[Status],"open",CampList[Total],"&lt;=100",CampList[Affected Population],"IDP")</f>
        <v>0</v>
      </c>
      <c r="AK34" s="828">
        <f>SUMIFS(CampList[Total],CampList[Township],$AI34,CampList[Status],"open",CampList[Total],"&gt;100",CampList[Total],"&lt;=1000",CampList[Affected Population],"IDP")</f>
        <v>0</v>
      </c>
      <c r="AL34" s="828">
        <f>SUMIFS(CampList[Total],CampList[Township],$AI34,CampList[Status],"open",CampList[Total],"&gt;1000",CampList[Total],"&lt;=5000",CampList[Affected Population],"IDP")</f>
        <v>0</v>
      </c>
      <c r="AM34" s="828">
        <f>SUMIFS(CampList[Total],CampList[Township],$AI34,CampList[Status],"open",CampList[Total],"&gt;5000",CampList[Total],"&lt;=100000",CampList[Affected Population],"IDP")</f>
        <v>0</v>
      </c>
      <c r="AN34" s="674"/>
    </row>
    <row r="35" spans="1:41" ht="15" customHeight="1" x14ac:dyDescent="0.25">
      <c r="A35" s="626"/>
      <c r="B35" s="779" t="s">
        <v>146</v>
      </c>
      <c r="C35" s="768">
        <f>SUMIFS(CampList[HH],CampList[Township],$B35,CampList[Status],"open",CampList[Affected Population],"IDP",  CampList[State],"Shan_North")</f>
        <v>1030</v>
      </c>
      <c r="D35" s="768">
        <f>SUMIFS(CampList[Total],CampList[Township],$B35,CampList[Status],"open",CampList[Affected Population],"IDP",  CampList[State],"Shan_North")</f>
        <v>5032</v>
      </c>
      <c r="E35" s="769">
        <f>COUNTIFS(CampList[Township],$B35,CampList[Status],"open",CampList[Affected Population],"IDP",  CampList[State],"Shan_North")</f>
        <v>12</v>
      </c>
      <c r="F35" s="453"/>
      <c r="G35" s="780" t="s">
        <v>442</v>
      </c>
      <c r="H35" s="781">
        <f>AJ41</f>
        <v>2612</v>
      </c>
      <c r="I35" s="781">
        <f>AK41</f>
        <v>39263</v>
      </c>
      <c r="J35" s="781">
        <f>AL41</f>
        <v>41487</v>
      </c>
      <c r="K35" s="781">
        <f>AM41</f>
        <v>15666</v>
      </c>
      <c r="L35" s="781">
        <f>AN41</f>
        <v>0</v>
      </c>
      <c r="M35" s="627"/>
      <c r="N35" s="627"/>
      <c r="O35" s="627"/>
      <c r="P35" s="627"/>
      <c r="Q35" s="627"/>
      <c r="R35" s="627"/>
      <c r="S35" s="629"/>
      <c r="AJ35" s="828">
        <f>SUMIFS(CampList[Total],CampList[Township],$AI35,CampList[Status],"open",CampList[Total],"&lt;=100",CampList[Affected Population],"IDP")</f>
        <v>0</v>
      </c>
      <c r="AK35" s="828">
        <f>SUMIFS(CampList[Total],CampList[Township],$AI35,CampList[Status],"open",CampList[Total],"&gt;100",CampList[Total],"&lt;=1000",CampList[Affected Population],"IDP")</f>
        <v>0</v>
      </c>
      <c r="AL35" s="828">
        <f>SUMIFS(CampList[Total],CampList[Township],$AI35,CampList[Status],"open",CampList[Total],"&gt;1000",CampList[Total],"&lt;=5000",CampList[Affected Population],"IDP")</f>
        <v>0</v>
      </c>
      <c r="AM35" s="828">
        <f>SUMIFS(CampList[Total],CampList[Township],$AI35,CampList[Status],"open",CampList[Total],"&gt;5000",CampList[Total],"&lt;=100000",CampList[Affected Population],"IDP")</f>
        <v>0</v>
      </c>
      <c r="AN35" s="674"/>
    </row>
    <row r="36" spans="1:41" ht="15" customHeight="1" x14ac:dyDescent="0.25">
      <c r="A36" s="626"/>
      <c r="B36" s="779" t="s">
        <v>166</v>
      </c>
      <c r="C36" s="768">
        <f>SUMIFS(CampList[HH],CampList[Township],$B36,CampList[Status],"open",CampList[Affected Population],"IDP",  CampList[State],"Shan_North")</f>
        <v>101</v>
      </c>
      <c r="D36" s="768">
        <f>SUMIFS(CampList[Total],CampList[Township],$B36,CampList[Status],"open",CampList[Affected Population],"IDP",  CampList[State],"Shan_North")</f>
        <v>539</v>
      </c>
      <c r="E36" s="769">
        <f>COUNTIFS(CampList[Township],$B36,CampList[Status],"open",CampList[Affected Population],"IDP",  CampList[State],"Shan_North")</f>
        <v>3</v>
      </c>
      <c r="F36" s="453"/>
      <c r="G36" s="453"/>
      <c r="H36" s="453"/>
      <c r="I36" s="453"/>
      <c r="J36" s="453"/>
      <c r="K36" s="453"/>
      <c r="L36" s="453"/>
      <c r="M36" s="627"/>
      <c r="N36" s="627"/>
      <c r="O36" s="627"/>
      <c r="P36" s="627"/>
      <c r="Q36" s="627"/>
      <c r="R36" s="627"/>
      <c r="S36" s="629"/>
      <c r="AJ36" s="828">
        <f>SUMIFS(CampList[Total],CampList[Township],$AI36,CampList[Status],"open",CampList[Total],"&lt;=100",CampList[Affected Population],"IDP")</f>
        <v>0</v>
      </c>
      <c r="AK36" s="828">
        <f>SUMIFS(CampList[Total],CampList[Township],$AI36,CampList[Status],"open",CampList[Total],"&gt;100",CampList[Total],"&lt;=1000",CampList[Affected Population],"IDP")</f>
        <v>0</v>
      </c>
      <c r="AL36" s="828">
        <f>SUMIFS(CampList[Total],CampList[Township],$AI36,CampList[Status],"open",CampList[Total],"&gt;1000",CampList[Total],"&lt;=5000",CampList[Affected Population],"IDP")</f>
        <v>0</v>
      </c>
      <c r="AM36" s="828">
        <f>SUMIFS(CampList[Total],CampList[Township],$AI36,CampList[Status],"open",CampList[Total],"&gt;5000",CampList[Total],"&lt;=100000",CampList[Affected Population],"IDP")</f>
        <v>0</v>
      </c>
      <c r="AN36" s="674"/>
    </row>
    <row r="37" spans="1:41" ht="15" customHeight="1" x14ac:dyDescent="0.25">
      <c r="A37" s="626"/>
      <c r="B37" s="767" t="s">
        <v>230</v>
      </c>
      <c r="C37" s="768">
        <f>SUMIFS(CampList[HH],CampList[Township],$B37,CampList[Status],"open",CampList[Affected Population],"IDP",  CampList[State],"Shan_North")</f>
        <v>269</v>
      </c>
      <c r="D37" s="768">
        <f>SUMIFS(CampList[Total],CampList[Township],$B37,CampList[Status],"open",CampList[Affected Population],"IDP",  CampList[State],"Shan_North")</f>
        <v>1851</v>
      </c>
      <c r="E37" s="769">
        <f>COUNTIFS(CampList[Township],$B37,CampList[Status],"open",CampList[Affected Population],"IDP",  CampList[State],"Shan_North")</f>
        <v>14</v>
      </c>
      <c r="F37" s="453"/>
      <c r="G37" s="453"/>
      <c r="H37" s="453"/>
      <c r="I37" s="453"/>
      <c r="J37" s="453"/>
      <c r="K37" s="453"/>
      <c r="L37" s="453"/>
      <c r="M37" s="627"/>
      <c r="N37" s="627"/>
      <c r="O37" s="627"/>
      <c r="P37" s="627"/>
      <c r="Q37" s="627"/>
      <c r="R37" s="627"/>
      <c r="S37" s="629"/>
      <c r="AJ37" s="828">
        <f>SUMIFS(CampList[Total],CampList[Township],$AI37,CampList[Status],"open",CampList[Total],"&lt;=100",CampList[Affected Population],"IDP")</f>
        <v>0</v>
      </c>
      <c r="AK37" s="828">
        <f>SUMIFS(CampList[Total],CampList[Township],$AI37,CampList[Status],"open",CampList[Total],"&gt;100",CampList[Total],"&lt;=1000",CampList[Affected Population],"IDP")</f>
        <v>0</v>
      </c>
      <c r="AL37" s="828">
        <f>SUMIFS(CampList[Total],CampList[Township],$AI37,CampList[Status],"open",CampList[Total],"&gt;1000",CampList[Total],"&lt;=5000",CampList[Affected Population],"IDP")</f>
        <v>0</v>
      </c>
      <c r="AM37" s="828">
        <f>SUMIFS(CampList[Total],CampList[Township],$AI37,CampList[Status],"open",CampList[Total],"&gt;5000",CampList[Total],"&lt;=100000",CampList[Affected Population],"IDP")</f>
        <v>0</v>
      </c>
      <c r="AN37" s="674"/>
    </row>
    <row r="38" spans="1:41" ht="15" customHeight="1" x14ac:dyDescent="0.25">
      <c r="A38" s="626"/>
      <c r="B38" s="767" t="s">
        <v>289</v>
      </c>
      <c r="C38" s="768">
        <f>SUMIFS(CampList[HH],CampList[Township],$B38,CampList[Status],"open",CampList[Affected Population],"IDP",  CampList[State],"Shan_North")</f>
        <v>605</v>
      </c>
      <c r="D38" s="768">
        <f>SUMIFS(CampList[Total],CampList[Township],$B38,CampList[Status],"open",CampList[Affected Population],"IDP",  CampList[State],"Shan_North")</f>
        <v>2777</v>
      </c>
      <c r="E38" s="769">
        <f>COUNTIFS(CampList[Township],$B38,CampList[Status],"open",CampList[Affected Population],"IDP",  CampList[State],"Shan_North")</f>
        <v>7</v>
      </c>
      <c r="F38" s="453"/>
      <c r="G38" s="453"/>
      <c r="H38" s="453"/>
      <c r="I38" s="453"/>
      <c r="J38" s="453"/>
      <c r="K38" s="453"/>
      <c r="L38" s="627"/>
      <c r="M38" s="627"/>
      <c r="N38" s="627"/>
      <c r="O38" s="627"/>
      <c r="P38" s="627"/>
      <c r="Q38" s="627"/>
      <c r="R38" s="627"/>
      <c r="S38" s="629"/>
      <c r="AJ38" s="828">
        <f>SUMIFS(CampList[Total],CampList[Township],$AI38,CampList[Status],"open",CampList[Total],"&lt;=100",CampList[Affected Population],"IDP")</f>
        <v>0</v>
      </c>
      <c r="AK38" s="828">
        <f>SUMIFS(CampList[Total],CampList[Township],$AI38,CampList[Status],"open",CampList[Total],"&gt;100",CampList[Total],"&lt;=1000",CampList[Affected Population],"IDP")</f>
        <v>0</v>
      </c>
      <c r="AL38" s="828">
        <f>SUMIFS(CampList[Total],CampList[Township],$AI38,CampList[Status],"open",CampList[Total],"&gt;1000",CampList[Total],"&lt;=5000",CampList[Affected Population],"IDP")</f>
        <v>0</v>
      </c>
      <c r="AM38" s="828">
        <f>SUMIFS(CampList[Total],CampList[Township],$AI38,CampList[Status],"open",CampList[Total],"&gt;5000",CampList[Total],"&lt;=100000",CampList[Affected Population],"IDP")</f>
        <v>0</v>
      </c>
      <c r="AN38" s="674"/>
    </row>
    <row r="39" spans="1:41" ht="15" customHeight="1" x14ac:dyDescent="0.25">
      <c r="A39" s="626"/>
      <c r="B39" s="767" t="s">
        <v>1621</v>
      </c>
      <c r="C39" s="768">
        <f>SUMIFS(CampList[HH],CampList[Township],$B39,CampList[Status],"open",CampList[Affected Population],"IDP",  CampList[State],"Shan_North")</f>
        <v>37</v>
      </c>
      <c r="D39" s="768">
        <f>SUMIFS(CampList[Total],CampList[Township],$B39,CampList[Status],"open",CampList[Affected Population],"IDP",  CampList[State],"Shan_North")</f>
        <v>120</v>
      </c>
      <c r="E39" s="769">
        <f>COUNTIFS(CampList[Township],$B39,CampList[Status],"open",CampList[Affected Population],"IDP",  CampList[State],"Shan_North")</f>
        <v>1</v>
      </c>
      <c r="F39" s="453"/>
      <c r="G39" s="453"/>
      <c r="H39" s="453"/>
      <c r="I39" s="453"/>
      <c r="J39" s="453"/>
      <c r="K39" s="453"/>
      <c r="L39" s="627"/>
      <c r="M39" s="627"/>
      <c r="N39" s="627"/>
      <c r="O39" s="627"/>
      <c r="P39" s="627"/>
      <c r="Q39" s="627"/>
      <c r="R39" s="627"/>
      <c r="S39" s="629"/>
      <c r="AJ39" s="828"/>
      <c r="AK39" s="828"/>
      <c r="AL39" s="828"/>
      <c r="AM39" s="828"/>
      <c r="AN39" s="674"/>
    </row>
    <row r="40" spans="1:41" ht="15" customHeight="1" x14ac:dyDescent="0.2">
      <c r="A40" s="626"/>
      <c r="B40" s="767" t="s">
        <v>298</v>
      </c>
      <c r="C40" s="768">
        <f>SUMIFS(CampList[HH],CampList[Township],$B40,CampList[Status],"open",CampList[Affected Population],"IDP",  CampList[State],"Shan_North")</f>
        <v>501</v>
      </c>
      <c r="D40" s="768">
        <f>SUMIFS(CampList[Total],CampList[Township],$B40,CampList[Status],"open",CampList[Affected Population],"IDP",  CampList[State],"Shan_North")</f>
        <v>1978</v>
      </c>
      <c r="E40" s="769">
        <f>COUNTIFS(CampList[Township],$B40,CampList[Status],"open",CampList[Affected Population],"IDP",  CampList[State],"Shan_North")</f>
        <v>8</v>
      </c>
      <c r="F40" s="453"/>
      <c r="G40" s="782"/>
      <c r="H40" s="783" t="s">
        <v>1178</v>
      </c>
      <c r="I40" s="783" t="s">
        <v>1471</v>
      </c>
      <c r="J40" s="453"/>
      <c r="K40" s="453"/>
      <c r="L40" s="635"/>
      <c r="M40" s="453"/>
      <c r="N40" s="453"/>
      <c r="O40" s="453"/>
      <c r="P40" s="453"/>
      <c r="Q40" s="453"/>
      <c r="R40" s="453"/>
      <c r="S40" s="629"/>
      <c r="AI40" s="673" t="s">
        <v>310</v>
      </c>
      <c r="AJ40" s="828">
        <f>SUMIFS(CampList[Total],CampList[Township],$AI40,CampList[Status],"open",CampList[Total],"&lt;=100",CampList[Affected Population],"IDP")</f>
        <v>82</v>
      </c>
      <c r="AK40" s="828">
        <f>SUMIFS(CampList[Total],CampList[Township],$AI40,CampList[Status],"open",CampList[Total],"&gt;100",CampList[Total],"&lt;=1000",CampList[Affected Population],"IDP")</f>
        <v>6198</v>
      </c>
      <c r="AL40" s="828">
        <f>SUMIFS(CampList[Total],CampList[Township],$AI40,CampList[Status],"open",CampList[Total],"&gt;1000",CampList[Total],"&lt;=5000",CampList[Affected Population],"IDP")</f>
        <v>10856</v>
      </c>
      <c r="AM40" s="828">
        <f>SUMIFS(CampList[Total],CampList[Township],$AI40,CampList[Status],"open",CampList[Total],"&gt;5000",CampList[Total],"&lt;=100000",CampList[Affected Population],"IDP")</f>
        <v>15666</v>
      </c>
      <c r="AN40" s="675"/>
    </row>
    <row r="41" spans="1:41" ht="15" customHeight="1" x14ac:dyDescent="0.2">
      <c r="A41" s="626"/>
      <c r="B41" s="784" t="s">
        <v>1443</v>
      </c>
      <c r="C41" s="771">
        <f>SUM(C34:C40)</f>
        <v>2668</v>
      </c>
      <c r="D41" s="771">
        <f>SUM(D34:D40)</f>
        <v>12969</v>
      </c>
      <c r="E41" s="772">
        <f>SUM(E34:E40)</f>
        <v>48</v>
      </c>
      <c r="F41" s="453"/>
      <c r="G41" s="785" t="s">
        <v>1212</v>
      </c>
      <c r="H41" s="185">
        <f ca="1">SUMIFS(CampList[Total],CampList[Status],"open",CampList[Affected Population],"IDP",CampList[Distance_Cat],1)</f>
        <v>40190</v>
      </c>
      <c r="I41" s="185">
        <f ca="1">COUNTIFS(CampList[Status],"open",CampList[Affected Population],"IDP",CampList[Distance_Cat],1)</f>
        <v>102</v>
      </c>
      <c r="J41" s="453"/>
      <c r="K41" s="453"/>
      <c r="L41" s="635"/>
      <c r="M41" s="453"/>
      <c r="N41" s="453"/>
      <c r="O41" s="453"/>
      <c r="P41" s="453"/>
      <c r="Q41" s="453"/>
      <c r="R41" s="453"/>
      <c r="S41" s="629"/>
      <c r="AI41" s="673" t="s">
        <v>3</v>
      </c>
      <c r="AJ41" s="678">
        <f>SUM(AJ8:AJ40)</f>
        <v>2612</v>
      </c>
      <c r="AK41" s="678">
        <f>SUM(AK8:AK40)</f>
        <v>39263</v>
      </c>
      <c r="AL41" s="678">
        <f>SUM(AL8:AL40)</f>
        <v>41487</v>
      </c>
      <c r="AM41" s="678">
        <f>SUM(AM8:AM40)</f>
        <v>15666</v>
      </c>
      <c r="AN41" s="676"/>
      <c r="AO41" s="675"/>
    </row>
    <row r="42" spans="1:41" ht="15.75" customHeight="1" x14ac:dyDescent="0.2">
      <c r="A42" s="640"/>
      <c r="B42" s="763" t="s">
        <v>415</v>
      </c>
      <c r="C42" s="771">
        <f>C32+C41</f>
        <v>19698</v>
      </c>
      <c r="D42" s="771">
        <f>D32+D41</f>
        <v>99028</v>
      </c>
      <c r="E42" s="772">
        <f>E32+E41</f>
        <v>188</v>
      </c>
      <c r="F42" s="453"/>
      <c r="G42" s="785" t="s">
        <v>1213</v>
      </c>
      <c r="H42" s="185">
        <f ca="1">SUMIFS(CampList[Total],CampList[Status],"open",CampList[Affected Population],"IDP",CampList[Distance_Cat],2)</f>
        <v>23208</v>
      </c>
      <c r="I42" s="185">
        <f ca="1">COUNTIFS(CampList[Status],"open",CampList[Affected Population],"IDP",CampList[Distance_Cat],2)</f>
        <v>24</v>
      </c>
      <c r="J42" s="453"/>
      <c r="K42" s="627"/>
      <c r="L42" s="627"/>
      <c r="M42" s="627"/>
      <c r="N42" s="627"/>
      <c r="O42" s="627"/>
      <c r="P42" s="627"/>
      <c r="Q42" s="627"/>
      <c r="R42" s="627"/>
      <c r="S42" s="629"/>
      <c r="AO42" s="675"/>
    </row>
    <row r="43" spans="1:41" ht="17.45" customHeight="1" x14ac:dyDescent="0.2">
      <c r="A43" s="626"/>
      <c r="B43" s="453"/>
      <c r="C43" s="453"/>
      <c r="D43" s="453"/>
      <c r="E43" s="453"/>
      <c r="F43" s="453"/>
      <c r="G43" s="785" t="s">
        <v>1214</v>
      </c>
      <c r="H43" s="185">
        <f ca="1">SUMIFS(CampList[Total],CampList[Status],"open",CampList[Affected Population],"IDP",CampList[Distance_Cat],3)</f>
        <v>8442</v>
      </c>
      <c r="I43" s="185">
        <f ca="1">COUNTIFS(CampList[Status],"open",CampList[Affected Population],"IDP",CampList[Distance_Cat],3)</f>
        <v>14</v>
      </c>
      <c r="J43" s="453"/>
      <c r="K43" s="627"/>
      <c r="L43" s="627"/>
      <c r="M43" s="627"/>
      <c r="N43" s="627"/>
      <c r="O43" s="627"/>
      <c r="P43" s="627"/>
      <c r="Q43" s="627"/>
      <c r="R43" s="627"/>
      <c r="S43" s="629"/>
      <c r="AJ43" s="830" t="s">
        <v>443</v>
      </c>
      <c r="AK43" s="830"/>
      <c r="AL43" s="830"/>
      <c r="AN43" s="673" t="s">
        <v>597</v>
      </c>
      <c r="AO43" s="675">
        <f>SUM(AK43:AN43)</f>
        <v>0</v>
      </c>
    </row>
    <row r="44" spans="1:41" ht="10.5" customHeight="1" x14ac:dyDescent="0.2">
      <c r="A44" s="626"/>
      <c r="B44" s="641"/>
      <c r="C44" s="642"/>
      <c r="D44" s="642"/>
      <c r="E44" s="643"/>
      <c r="F44" s="453"/>
      <c r="G44" s="785" t="s">
        <v>1215</v>
      </c>
      <c r="H44" s="185">
        <f ca="1">SUMIFS(CampList[Total],CampList[Status],"open",CampList[Affected Population],"IDP",CampList[Distance_Cat],4)</f>
        <v>9021</v>
      </c>
      <c r="I44" s="185">
        <f ca="1">COUNTIFS(CampList[Status],"open",CampList[Affected Population],"IDP",CampList[Distance_Cat],4)</f>
        <v>12</v>
      </c>
      <c r="J44" s="453"/>
      <c r="K44" s="627"/>
      <c r="L44" s="627"/>
      <c r="M44" s="627"/>
      <c r="N44" s="627"/>
      <c r="O44" s="627"/>
      <c r="P44" s="627"/>
      <c r="Q44" s="627"/>
      <c r="R44" s="627"/>
      <c r="S44" s="629"/>
      <c r="AJ44" s="830"/>
      <c r="AK44" s="830"/>
      <c r="AL44" s="830"/>
      <c r="AO44" s="675"/>
    </row>
    <row r="45" spans="1:41" ht="15" customHeight="1" x14ac:dyDescent="0.2">
      <c r="A45" s="626"/>
      <c r="B45" s="786" t="s">
        <v>401</v>
      </c>
      <c r="C45" s="786" t="s">
        <v>511</v>
      </c>
      <c r="D45" s="786" t="s">
        <v>513</v>
      </c>
      <c r="E45" s="786" t="s">
        <v>3</v>
      </c>
      <c r="F45" s="644"/>
      <c r="G45" s="785" t="s">
        <v>1216</v>
      </c>
      <c r="H45" s="185">
        <f ca="1">SUMIFS(CampList[Total],CampList[Status],"open",CampList[Affected Population],"IDP",CampList[Distance_Cat],5)</f>
        <v>4469</v>
      </c>
      <c r="I45" s="185">
        <f ca="1">COUNTIFS(CampList[Status],"open",CampList[Affected Population],"IDP",CampList[Distance_Cat],5)</f>
        <v>7</v>
      </c>
      <c r="J45" s="453"/>
      <c r="K45" s="627"/>
      <c r="L45" s="627"/>
      <c r="M45" s="627"/>
      <c r="N45" s="627"/>
      <c r="O45" s="627"/>
      <c r="P45" s="627"/>
      <c r="Q45" s="627"/>
      <c r="R45" s="627"/>
      <c r="S45" s="629"/>
      <c r="AJ45" s="830"/>
      <c r="AK45" s="830"/>
      <c r="AL45" s="830"/>
      <c r="AO45" s="675"/>
    </row>
    <row r="46" spans="1:41" ht="18.75" customHeight="1" x14ac:dyDescent="0.2">
      <c r="A46" s="626"/>
      <c r="B46" s="787" t="s">
        <v>554</v>
      </c>
      <c r="C46" s="768">
        <f t="shared" ref="C46:D48" si="0">GETPIVOTDATA("Total",Stat01,"Accessibility",C$45,"Type of Accomodation",$B46)</f>
        <v>52295</v>
      </c>
      <c r="D46" s="768">
        <f t="shared" si="0"/>
        <v>38253</v>
      </c>
      <c r="E46" s="768">
        <f>SUM(C46:D46)</f>
        <v>90548</v>
      </c>
      <c r="F46" s="453"/>
      <c r="G46" s="785" t="s">
        <v>1217</v>
      </c>
      <c r="H46" s="185">
        <f ca="1">SUMIFS(CampList[Total],CampList[Status],"open",CampList[Affected Population],"IDP",CampList[Distance_Cat],6)</f>
        <v>2585</v>
      </c>
      <c r="I46" s="185">
        <f ca="1">COUNTIFS(CampList[Status],"open",CampList[Affected Population],"IDP",CampList[Distance_Cat],6)</f>
        <v>1</v>
      </c>
      <c r="J46" s="453"/>
      <c r="K46" s="627"/>
      <c r="L46" s="627"/>
      <c r="M46" s="627"/>
      <c r="N46" s="627"/>
      <c r="O46" s="627"/>
      <c r="P46" s="627"/>
      <c r="Q46" s="627"/>
      <c r="R46" s="627"/>
      <c r="S46" s="629"/>
      <c r="AI46" s="673" t="s">
        <v>0</v>
      </c>
      <c r="AJ46" s="673" t="s">
        <v>1008</v>
      </c>
      <c r="AK46" s="673" t="s">
        <v>1009</v>
      </c>
      <c r="AL46" s="673" t="s">
        <v>587</v>
      </c>
      <c r="AM46" s="673" t="s">
        <v>588</v>
      </c>
      <c r="AN46" s="673" t="s">
        <v>597</v>
      </c>
      <c r="AO46" s="675">
        <f>SUM(AJ46:AN46)</f>
        <v>0</v>
      </c>
    </row>
    <row r="47" spans="1:41" ht="23.25" customHeight="1" x14ac:dyDescent="0.2">
      <c r="A47" s="626"/>
      <c r="B47" s="787" t="s">
        <v>12</v>
      </c>
      <c r="C47" s="768">
        <f t="shared" si="0"/>
        <v>4611</v>
      </c>
      <c r="D47" s="768">
        <f t="shared" si="0"/>
        <v>2773</v>
      </c>
      <c r="E47" s="768">
        <f t="shared" ref="E47:E48" si="1">SUM(C47:D47)</f>
        <v>7384</v>
      </c>
      <c r="F47" s="453"/>
      <c r="G47" s="785" t="s">
        <v>1240</v>
      </c>
      <c r="H47" s="185">
        <f ca="1">SUMIFS(CampList[Total],CampList[Status],"open",CampList[Affected Population],"IDP",CampList[Distance_Cat],"&gt;6")</f>
        <v>3177</v>
      </c>
      <c r="I47" s="185">
        <f ca="1">COUNTIFS(CampList[Status],"open",CampList[Affected Population],"IDP",CampList[Distance_Cat],"&gt;6")</f>
        <v>2</v>
      </c>
      <c r="J47" s="453"/>
      <c r="K47" s="627"/>
      <c r="L47" s="627"/>
      <c r="M47" s="627"/>
      <c r="N47" s="627"/>
      <c r="O47" s="627"/>
      <c r="P47" s="627"/>
      <c r="Q47" s="627"/>
      <c r="R47" s="627"/>
      <c r="S47" s="629"/>
      <c r="AI47" s="673" t="s">
        <v>5</v>
      </c>
      <c r="AJ47" s="828">
        <f>COUNTIFS(CampList[Township],$AI47,CampList[Status],"open",CampList[Total],"&lt;=100",CampList[Affected Population],"IDP")</f>
        <v>4</v>
      </c>
      <c r="AK47" s="828">
        <f>COUNTIFS(CampList[Township],$AI47,CampList[Status],"open",CampList[Total],"&gt;100",CampList[Total],"&lt;=1000",CampList[Affected Population],"IDP")</f>
        <v>5</v>
      </c>
      <c r="AL47" s="828">
        <f>COUNTIFS(CampList[Township],$AI47,CampList[Status],"open",CampList[Total],"&gt;1000",CampList[Total],"&lt;=5000",CampList[Affected Population],"IDP")</f>
        <v>2</v>
      </c>
      <c r="AM47" s="828">
        <f>COUNTIFS(CampList[Township],$AI47,CampList[Status],"open",CampList[Total],"&gt;5000",CampList[Total],"&lt;=100000",CampList[Affected Population],"IDP")</f>
        <v>0</v>
      </c>
      <c r="AN47" s="673">
        <f>COUNTIFS(CampList[Township],$AI48,CampList[Status],"open",CampList[Total],"",CampList[Affected Population],"IDP")</f>
        <v>1</v>
      </c>
      <c r="AO47" s="677">
        <f>SUM(AJ47:AN47)</f>
        <v>12</v>
      </c>
    </row>
    <row r="48" spans="1:41" ht="17.25" customHeight="1" x14ac:dyDescent="0.2">
      <c r="A48" s="626"/>
      <c r="B48" s="787" t="s">
        <v>986</v>
      </c>
      <c r="C48" s="768">
        <f t="shared" si="0"/>
        <v>49</v>
      </c>
      <c r="D48" s="768">
        <f t="shared" si="0"/>
        <v>1047</v>
      </c>
      <c r="E48" s="768">
        <f t="shared" si="1"/>
        <v>1096</v>
      </c>
      <c r="F48" s="453"/>
      <c r="G48" s="788" t="s">
        <v>1363</v>
      </c>
      <c r="H48" s="185">
        <f ca="1">SUMIFS(CampList[Total],CampList[Status],"open",CampList[Affected Population],"IDP",CampList[Distance_Cat],"")</f>
        <v>7936</v>
      </c>
      <c r="I48" s="185">
        <f ca="1">COUNTIFS(CampList[Status],"open",CampList[Affected Population],"IDP",CampList[Distance_Cat],"")</f>
        <v>26</v>
      </c>
      <c r="J48" s="453"/>
      <c r="K48" s="627"/>
      <c r="L48" s="627"/>
      <c r="M48" s="627"/>
      <c r="N48" s="627"/>
      <c r="O48" s="627"/>
      <c r="P48" s="627"/>
      <c r="Q48" s="627"/>
      <c r="R48" s="627"/>
      <c r="S48" s="629"/>
      <c r="AI48" s="673" t="s">
        <v>27</v>
      </c>
      <c r="AJ48" s="828">
        <f>COUNTIFS(CampList[Township],$AI48,CampList[Status],"open",CampList[Total],"&lt;=100",CampList[Affected Population],"IDP")</f>
        <v>0</v>
      </c>
      <c r="AK48" s="828">
        <f>COUNTIFS(CampList[Township],$AI48,CampList[Status],"open",CampList[Total],"&gt;100",CampList[Total],"&lt;=1000",CampList[Affected Population],"IDP")</f>
        <v>4</v>
      </c>
      <c r="AL48" s="828">
        <f>COUNTIFS(CampList[Township],$AI48,CampList[Status],"open",CampList[Total],"&gt;1000",CampList[Total],"&lt;=5000",CampList[Affected Population],"IDP")</f>
        <v>1</v>
      </c>
      <c r="AM48" s="828">
        <f>COUNTIFS(CampList[Township],$AI48,CampList[Status],"open",CampList[Total],"&gt;5000",CampList[Total],"&lt;=100000",CampList[Affected Population],"IDP")</f>
        <v>0</v>
      </c>
      <c r="AN48" s="673">
        <f>COUNTIFS(CampList[Township],$AI49,CampList[Status],"open",CampList[Total],"",CampList[Affected Population],"IDP")</f>
        <v>0</v>
      </c>
      <c r="AO48" s="677">
        <f t="shared" ref="AO48:AO67" si="2">SUM(AJ48:AN48)</f>
        <v>5</v>
      </c>
    </row>
    <row r="49" spans="1:41" ht="21.75" customHeight="1" x14ac:dyDescent="0.2">
      <c r="A49" s="626"/>
      <c r="B49" s="789" t="s">
        <v>3</v>
      </c>
      <c r="C49" s="771">
        <f>SUM(C46:C48)</f>
        <v>56955</v>
      </c>
      <c r="D49" s="771">
        <f>SUM(D46:D48)</f>
        <v>42073</v>
      </c>
      <c r="E49" s="771">
        <f>SUM(E46:E48)</f>
        <v>99028</v>
      </c>
      <c r="F49" s="453"/>
      <c r="G49" s="790" t="s">
        <v>3</v>
      </c>
      <c r="H49" s="791">
        <f ca="1">SUM(H41:H48)</f>
        <v>99028</v>
      </c>
      <c r="I49" s="791">
        <f ca="1">SUM(I41:I48)</f>
        <v>188</v>
      </c>
      <c r="J49" s="453"/>
      <c r="K49" s="627"/>
      <c r="L49" s="627"/>
      <c r="M49" s="627"/>
      <c r="N49" s="627"/>
      <c r="O49" s="627"/>
      <c r="P49" s="627"/>
      <c r="Q49" s="627"/>
      <c r="R49" s="627"/>
      <c r="S49" s="629"/>
      <c r="AI49" s="673" t="s">
        <v>527</v>
      </c>
      <c r="AJ49" s="828">
        <f>COUNTIFS(CampList[Township],$AI49,CampList[Status],"open",CampList[Total],"&lt;=100",CampList[Affected Population],"IDP")</f>
        <v>15</v>
      </c>
      <c r="AK49" s="828">
        <f>COUNTIFS(CampList[Township],$AI49,CampList[Status],"open",CampList[Total],"&gt;100",CampList[Total],"&lt;=1000",CampList[Affected Population],"IDP")</f>
        <v>11</v>
      </c>
      <c r="AL49" s="828">
        <f>COUNTIFS(CampList[Township],$AI49,CampList[Status],"open",CampList[Total],"&gt;1000",CampList[Total],"&lt;=5000",CampList[Affected Population],"IDP")</f>
        <v>0</v>
      </c>
      <c r="AM49" s="828">
        <f>COUNTIFS(CampList[Township],$AI49,CampList[Status],"open",CampList[Total],"&gt;5000",CampList[Total],"&lt;=100000",CampList[Affected Population],"IDP")</f>
        <v>0</v>
      </c>
      <c r="AN49" s="673">
        <f>COUNTIFS(CampList[Township],#REF!,CampList[Status],"open",CampList[Total],"",CampList[Affected Population],"IDP")</f>
        <v>0</v>
      </c>
      <c r="AO49" s="677">
        <f t="shared" si="2"/>
        <v>26</v>
      </c>
    </row>
    <row r="50" spans="1:41" ht="3.75" customHeight="1" x14ac:dyDescent="0.25">
      <c r="A50" s="626"/>
      <c r="B50" s="453"/>
      <c r="C50" s="453"/>
      <c r="D50" s="453"/>
      <c r="E50" s="453"/>
      <c r="F50" s="627"/>
      <c r="G50" s="627"/>
      <c r="H50" s="627"/>
      <c r="I50" s="627"/>
      <c r="J50" s="627"/>
      <c r="K50" s="627"/>
      <c r="L50" s="627"/>
      <c r="M50" s="627"/>
      <c r="N50" s="627"/>
      <c r="O50" s="627"/>
      <c r="P50" s="627"/>
      <c r="Q50" s="627"/>
      <c r="R50" s="627"/>
      <c r="S50" s="629"/>
      <c r="AI50" s="673" t="s">
        <v>144</v>
      </c>
      <c r="AJ50" s="828">
        <f>COUNTIFS(CampList[Township],$AI50,CampList[Status],"open",CampList[Total],"&lt;=100",CampList[Affected Population],"IDP")</f>
        <v>0</v>
      </c>
      <c r="AK50" s="828">
        <f>COUNTIFS(CampList[Township],$AI50,CampList[Status],"open",CampList[Total],"&gt;100",CampList[Total],"&lt;=1000",CampList[Affected Population],"IDP")</f>
        <v>0</v>
      </c>
      <c r="AL50" s="828">
        <f>COUNTIFS(CampList[Township],$AI50,CampList[Status],"open",CampList[Total],"&gt;1000",CampList[Total],"&lt;=5000",CampList[Affected Population],"IDP")</f>
        <v>0</v>
      </c>
      <c r="AM50" s="828">
        <f>COUNTIFS(CampList[Township],$AI50,CampList[Status],"open",CampList[Total],"&gt;5000",CampList[Total],"&lt;=100000",CampList[Affected Population],"IDP")</f>
        <v>0</v>
      </c>
      <c r="AN50" s="673">
        <f>COUNTIFS(CampList[Township],$AI51,CampList[Status],"open",CampList[Total],"",CampList[Affected Population],"IDP")</f>
        <v>0</v>
      </c>
      <c r="AO50" s="677">
        <f t="shared" si="2"/>
        <v>0</v>
      </c>
    </row>
    <row r="51" spans="1:41" ht="27.75" customHeight="1" x14ac:dyDescent="0.25">
      <c r="A51" s="626"/>
      <c r="B51" s="453"/>
      <c r="C51" s="453"/>
      <c r="D51" s="453"/>
      <c r="E51" s="453"/>
      <c r="F51" s="627"/>
      <c r="G51" s="627"/>
      <c r="H51" s="627"/>
      <c r="I51" s="627"/>
      <c r="J51" s="627"/>
      <c r="K51" s="627"/>
      <c r="L51" s="627"/>
      <c r="M51" s="627"/>
      <c r="N51" s="627"/>
      <c r="O51" s="627"/>
      <c r="P51" s="627"/>
      <c r="Q51" s="627"/>
      <c r="R51" s="627"/>
      <c r="S51" s="629"/>
      <c r="AI51" s="673" t="s">
        <v>146</v>
      </c>
      <c r="AJ51" s="828">
        <f>COUNTIFS(CampList[Township],$AI51,CampList[Status],"open",CampList[Total],"&lt;=100",CampList[Affected Population],"IDP")</f>
        <v>0</v>
      </c>
      <c r="AK51" s="828">
        <f>COUNTIFS(CampList[Township],$AI51,CampList[Status],"open",CampList[Total],"&gt;100",CampList[Total],"&lt;=1000",CampList[Affected Population],"IDP")</f>
        <v>12</v>
      </c>
      <c r="AL51" s="828">
        <f>COUNTIFS(CampList[Township],$AI51,CampList[Status],"open",CampList[Total],"&gt;1000",CampList[Total],"&lt;=5000",CampList[Affected Population],"IDP")</f>
        <v>0</v>
      </c>
      <c r="AM51" s="828">
        <f>COUNTIFS(CampList[Township],$AI51,CampList[Status],"open",CampList[Total],"&gt;5000",CampList[Total],"&lt;=100000",CampList[Affected Population],"IDP")</f>
        <v>0</v>
      </c>
      <c r="AN51" s="673">
        <f>COUNTIFS(CampList[Township],#REF!,CampList[Status],"open",CampList[Total],"",CampList[Affected Population],"IDP")</f>
        <v>0</v>
      </c>
      <c r="AO51" s="677">
        <f t="shared" si="2"/>
        <v>12</v>
      </c>
    </row>
    <row r="52" spans="1:41" ht="1.5" customHeight="1" thickBot="1" x14ac:dyDescent="0.3">
      <c r="A52" s="636"/>
      <c r="B52" s="637"/>
      <c r="C52" s="637"/>
      <c r="D52" s="637"/>
      <c r="E52" s="637"/>
      <c r="F52" s="637"/>
      <c r="G52" s="637"/>
      <c r="H52" s="637"/>
      <c r="I52" s="637"/>
      <c r="J52" s="637"/>
      <c r="K52" s="637"/>
      <c r="L52" s="637"/>
      <c r="M52" s="637"/>
      <c r="N52" s="637"/>
      <c r="O52" s="637"/>
      <c r="P52" s="637"/>
      <c r="Q52" s="638"/>
      <c r="R52" s="638"/>
      <c r="S52" s="639"/>
      <c r="AI52" s="673" t="s">
        <v>151</v>
      </c>
      <c r="AJ52" s="828">
        <f>COUNTIFS(CampList[Township],$AI52,CampList[Status],"open",CampList[Total],"&lt;=100",CampList[Affected Population],"IDP")</f>
        <v>0</v>
      </c>
      <c r="AK52" s="828">
        <f>COUNTIFS(CampList[Township],$AI52,CampList[Status],"open",CampList[Total],"&gt;100",CampList[Total],"&lt;=1000",CampList[Affected Population],"IDP")</f>
        <v>7</v>
      </c>
      <c r="AL52" s="828">
        <f>COUNTIFS(CampList[Township],$AI52,CampList[Status],"open",CampList[Total],"&gt;1000",CampList[Total],"&lt;=5000",CampList[Affected Population],"IDP")</f>
        <v>4</v>
      </c>
      <c r="AM52" s="828">
        <f>COUNTIFS(CampList[Township],$AI52,CampList[Status],"open",CampList[Total],"&gt;5000",CampList[Total],"&lt;=100000",CampList[Affected Population],"IDP")</f>
        <v>0</v>
      </c>
      <c r="AN52" s="673">
        <f>COUNTIFS(CampList[Township],$AI54,CampList[Status],"open",CampList[Total],"",CampList[Affected Population],"IDP")</f>
        <v>0</v>
      </c>
      <c r="AO52" s="677">
        <f t="shared" si="2"/>
        <v>11</v>
      </c>
    </row>
    <row r="53" spans="1:41" ht="18.600000000000001" customHeight="1" x14ac:dyDescent="0.25">
      <c r="A53" s="635"/>
      <c r="B53" s="635"/>
      <c r="C53" s="635"/>
      <c r="D53" s="635"/>
      <c r="E53" s="635"/>
      <c r="F53" s="635"/>
      <c r="G53" s="635"/>
      <c r="H53" s="635"/>
      <c r="I53" s="635"/>
      <c r="J53" s="635"/>
      <c r="K53" s="635"/>
      <c r="L53" s="635"/>
      <c r="M53" s="635"/>
      <c r="N53" s="635"/>
      <c r="O53" s="635"/>
      <c r="P53" s="635"/>
      <c r="Q53" s="627"/>
      <c r="R53" s="627"/>
      <c r="S53" s="635"/>
      <c r="AI53" s="673" t="s">
        <v>363</v>
      </c>
      <c r="AJ53" s="828">
        <f>COUNTIFS(CampList[Township],$AI53,CampList[Status],"open",CampList[Total],"&lt;=100",CampList[Affected Population],"IDP")</f>
        <v>0</v>
      </c>
      <c r="AK53" s="828">
        <f>COUNTIFS(CampList[Township],$AI53,CampList[Status],"open",CampList[Total],"&gt;100",CampList[Total],"&lt;=1000",CampList[Affected Population],"IDP")</f>
        <v>0</v>
      </c>
      <c r="AL53" s="828">
        <f>COUNTIFS(CampList[Township],$AI53,CampList[Status],"open",CampList[Total],"&gt;1000",CampList[Total],"&lt;=5000",CampList[Affected Population],"IDP")</f>
        <v>0</v>
      </c>
      <c r="AM53" s="828">
        <f>COUNTIFS(CampList[Township],$AI53,CampList[Status],"open",CampList[Total],"&gt;5000",CampList[Total],"&lt;=100000",CampList[Affected Population],"IDP")</f>
        <v>0</v>
      </c>
      <c r="AN53" s="673">
        <f>COUNTIFS(CampList[Township],$AI55,CampList[Status],"open",CampList[Total],"",CampList[Affected Population],"IDP")</f>
        <v>0</v>
      </c>
      <c r="AO53" s="677">
        <f t="shared" si="2"/>
        <v>0</v>
      </c>
    </row>
    <row r="54" spans="1:41" x14ac:dyDescent="0.25">
      <c r="AI54" s="673" t="s">
        <v>166</v>
      </c>
      <c r="AJ54" s="828">
        <f>COUNTIFS(CampList[Township],$AI54,CampList[Status],"open",CampList[Total],"&lt;=100",CampList[Affected Population],"IDP")</f>
        <v>0</v>
      </c>
      <c r="AK54" s="828">
        <f>COUNTIFS(CampList[Township],$AI54,CampList[Status],"open",CampList[Total],"&gt;100",CampList[Total],"&lt;=1000",CampList[Affected Population],"IDP")</f>
        <v>3</v>
      </c>
      <c r="AL54" s="828">
        <f>COUNTIFS(CampList[Township],$AI54,CampList[Status],"open",CampList[Total],"&gt;1000",CampList[Total],"&lt;=5000",CampList[Affected Population],"IDP")</f>
        <v>0</v>
      </c>
      <c r="AM54" s="828">
        <f>COUNTIFS(CampList[Township],$AI54,CampList[Status],"open",CampList[Total],"&gt;5000",CampList[Total],"&lt;=100000",CampList[Affected Population],"IDP")</f>
        <v>0</v>
      </c>
      <c r="AN54" s="673">
        <f>COUNTIFS(CampList[Township],$AI55,CampList[Status],"open",CampList[Total],"",CampList[Affected Population],"IDP")</f>
        <v>0</v>
      </c>
      <c r="AO54" s="677">
        <f t="shared" si="2"/>
        <v>3</v>
      </c>
    </row>
    <row r="55" spans="1:41" x14ac:dyDescent="0.25">
      <c r="AI55" s="673" t="s">
        <v>173</v>
      </c>
      <c r="AJ55" s="828">
        <f>COUNTIFS(CampList[Township],$AI55,CampList[Status],"open",CampList[Total],"&lt;=100",CampList[Affected Population],"IDP")</f>
        <v>4</v>
      </c>
      <c r="AK55" s="828">
        <f>COUNTIFS(CampList[Township],$AI55,CampList[Status],"open",CampList[Total],"&gt;100",CampList[Total],"&lt;=1000",CampList[Affected Population],"IDP")</f>
        <v>1</v>
      </c>
      <c r="AL55" s="828">
        <f>COUNTIFS(CampList[Township],$AI55,CampList[Status],"open",CampList[Total],"&gt;1000",CampList[Total],"&lt;=5000",CampList[Affected Population],"IDP")</f>
        <v>0</v>
      </c>
      <c r="AM55" s="828">
        <f>COUNTIFS(CampList[Township],$AI55,CampList[Status],"open",CampList[Total],"&gt;5000",CampList[Total],"&lt;=100000",CampList[Affected Population],"IDP")</f>
        <v>0</v>
      </c>
      <c r="AN55" s="673">
        <f>COUNTIFS(CampList[Township],$AI57,CampList[Status],"open",CampList[Total],"",CampList[Affected Population],"IDP")</f>
        <v>0</v>
      </c>
      <c r="AO55" s="677">
        <f t="shared" si="2"/>
        <v>5</v>
      </c>
    </row>
    <row r="56" spans="1:41" x14ac:dyDescent="0.25">
      <c r="AI56" s="673" t="s">
        <v>779</v>
      </c>
      <c r="AJ56" s="828">
        <f>COUNTIFS(CampList[Township],$AI56,CampList[Status],"open",CampList[Total],"&lt;=100",CampList[Affected Population],"IDP")</f>
        <v>1</v>
      </c>
      <c r="AK56" s="828">
        <f>COUNTIFS(CampList[Township],$AI56,CampList[Status],"open",CampList[Total],"&gt;100",CampList[Total],"&lt;=1000",CampList[Affected Population],"IDP")</f>
        <v>2</v>
      </c>
      <c r="AL56" s="828">
        <f>COUNTIFS(CampList[Township],$AI56,CampList[Status],"open",CampList[Total],"&gt;1000",CampList[Total],"&lt;=5000",CampList[Affected Population],"IDP")</f>
        <v>0</v>
      </c>
      <c r="AM56" s="828">
        <f>COUNTIFS(CampList[Township],$AI56,CampList[Status],"open",CampList[Total],"&gt;5000",CampList[Total],"&lt;=100000",CampList[Affected Population],"IDP")</f>
        <v>0</v>
      </c>
      <c r="AN56" s="673">
        <f>COUNTIFS(CampList[Township],$AI58,CampList[Status],"open",CampList[Total],"",CampList[Affected Population],"IDP")</f>
        <v>1</v>
      </c>
      <c r="AO56" s="677">
        <f t="shared" si="2"/>
        <v>4</v>
      </c>
    </row>
    <row r="57" spans="1:41" x14ac:dyDescent="0.25">
      <c r="E57" s="650"/>
      <c r="AI57" s="673" t="s">
        <v>180</v>
      </c>
      <c r="AJ57" s="828">
        <f>COUNTIFS(CampList[Township],$AI57,CampList[Status],"open",CampList[Total],"&lt;=100",CampList[Affected Population],"IDP")</f>
        <v>3</v>
      </c>
      <c r="AK57" s="828">
        <f>COUNTIFS(CampList[Township],$AI57,CampList[Status],"open",CampList[Total],"&gt;100",CampList[Total],"&lt;=1000",CampList[Affected Population],"IDP")</f>
        <v>1</v>
      </c>
      <c r="AL57" s="828">
        <f>COUNTIFS(CampList[Township],$AI57,CampList[Status],"open",CampList[Total],"&gt;1000",CampList[Total],"&lt;=5000",CampList[Affected Population],"IDP")</f>
        <v>0</v>
      </c>
      <c r="AM57" s="828">
        <f>COUNTIFS(CampList[Township],$AI57,CampList[Status],"open",CampList[Total],"&gt;5000",CampList[Total],"&lt;=100000",CampList[Affected Population],"IDP")</f>
        <v>0</v>
      </c>
      <c r="AN57" s="673">
        <f>COUNTIFS(CampList[Township],$AI58,CampList[Status],"open",CampList[Total],"",CampList[Affected Population],"IDP")</f>
        <v>1</v>
      </c>
      <c r="AO57" s="677">
        <f t="shared" si="2"/>
        <v>5</v>
      </c>
    </row>
    <row r="58" spans="1:41" x14ac:dyDescent="0.25">
      <c r="AI58" s="673" t="s">
        <v>185</v>
      </c>
      <c r="AJ58" s="828">
        <f>COUNTIFS(CampList[Township],$AI58,CampList[Status],"open",CampList[Total],"&lt;=100",CampList[Affected Population],"IDP")</f>
        <v>5</v>
      </c>
      <c r="AK58" s="828">
        <f>COUNTIFS(CampList[Township],$AI58,CampList[Status],"open",CampList[Total],"&gt;100",CampList[Total],"&lt;=1000",CampList[Affected Population],"IDP")</f>
        <v>7</v>
      </c>
      <c r="AL58" s="828">
        <f>COUNTIFS(CampList[Township],$AI58,CampList[Status],"open",CampList[Total],"&gt;1000",CampList[Total],"&lt;=5000",CampList[Affected Population],"IDP")</f>
        <v>7</v>
      </c>
      <c r="AM58" s="828">
        <f>COUNTIFS(CampList[Township],$AI58,CampList[Status],"open",CampList[Total],"&gt;5000",CampList[Total],"&lt;=100000",CampList[Affected Population],"IDP")</f>
        <v>0</v>
      </c>
      <c r="AN58" s="673">
        <f>COUNTIFS(CampList[Township],$AI59,CampList[Status],"open",CampList[Total],"",CampList[Affected Population],"IDP")</f>
        <v>2</v>
      </c>
      <c r="AO58" s="677">
        <f t="shared" si="2"/>
        <v>21</v>
      </c>
    </row>
    <row r="59" spans="1:41" x14ac:dyDescent="0.25">
      <c r="AI59" s="673" t="s">
        <v>230</v>
      </c>
      <c r="AJ59" s="828">
        <f>COUNTIFS(CampList[Township],$AI59,CampList[Status],"open",CampList[Total],"&lt;=100",CampList[Affected Population],"IDP")</f>
        <v>4</v>
      </c>
      <c r="AK59" s="828">
        <f>COUNTIFS(CampList[Township],$AI59,CampList[Status],"open",CampList[Total],"&gt;100",CampList[Total],"&lt;=1000",CampList[Affected Population],"IDP")</f>
        <v>8</v>
      </c>
      <c r="AL59" s="828">
        <f>COUNTIFS(CampList[Township],$AI59,CampList[Status],"open",CampList[Total],"&gt;1000",CampList[Total],"&lt;=5000",CampList[Affected Population],"IDP")</f>
        <v>0</v>
      </c>
      <c r="AM59" s="828">
        <f>COUNTIFS(CampList[Township],$AI59,CampList[Status],"open",CampList[Total],"&gt;5000",CampList[Total],"&lt;=100000",CampList[Affected Population],"IDP")</f>
        <v>0</v>
      </c>
      <c r="AN59" s="673">
        <f>COUNTIFS(CampList[Township],$AI60,CampList[Status],"open",CampList[Total],"",CampList[Affected Population],"IDP")</f>
        <v>0</v>
      </c>
      <c r="AO59" s="677">
        <f t="shared" si="2"/>
        <v>12</v>
      </c>
    </row>
    <row r="60" spans="1:41" x14ac:dyDescent="0.25">
      <c r="AI60" s="673" t="s">
        <v>237</v>
      </c>
      <c r="AJ60" s="828">
        <f>COUNTIFS(CampList[Township],$AI60,CampList[Status],"open",CampList[Total],"&lt;=100",CampList[Affected Population],"IDP")</f>
        <v>7</v>
      </c>
      <c r="AK60" s="828">
        <f>COUNTIFS(CampList[Township],$AI60,CampList[Status],"open",CampList[Total],"&gt;100",CampList[Total],"&lt;=1000",CampList[Affected Population],"IDP")</f>
        <v>16</v>
      </c>
      <c r="AL60" s="828">
        <f>COUNTIFS(CampList[Township],$AI60,CampList[Status],"open",CampList[Total],"&gt;1000",CampList[Total],"&lt;=5000",CampList[Affected Population],"IDP")</f>
        <v>1</v>
      </c>
      <c r="AM60" s="828">
        <f>COUNTIFS(CampList[Township],$AI60,CampList[Status],"open",CampList[Total],"&gt;5000",CampList[Total],"&lt;=100000",CampList[Affected Population],"IDP")</f>
        <v>0</v>
      </c>
      <c r="AN60" s="673">
        <f>COUNTIFS(CampList[Township],$AI61,CampList[Status],"open",CampList[Total],"",CampList[Affected Population],"IDP")</f>
        <v>0</v>
      </c>
      <c r="AO60" s="677">
        <f t="shared" si="2"/>
        <v>24</v>
      </c>
    </row>
    <row r="61" spans="1:41" x14ac:dyDescent="0.25">
      <c r="AI61" s="673" t="s">
        <v>289</v>
      </c>
      <c r="AJ61" s="828">
        <f>COUNTIFS(CampList[Township],$AI61,CampList[Status],"open",CampList[Total],"&lt;=100",CampList[Affected Population],"IDP")</f>
        <v>0</v>
      </c>
      <c r="AK61" s="828">
        <f>COUNTIFS(CampList[Township],$AI61,CampList[Status],"open",CampList[Total],"&gt;100",CampList[Total],"&lt;=1000",CampList[Affected Population],"IDP")</f>
        <v>7</v>
      </c>
      <c r="AL61" s="828">
        <f>COUNTIFS(CampList[Township],$AI61,CampList[Status],"open",CampList[Total],"&gt;1000",CampList[Total],"&lt;=5000",CampList[Affected Population],"IDP")</f>
        <v>0</v>
      </c>
      <c r="AM61" s="828">
        <f>COUNTIFS(CampList[Township],$AI61,CampList[Status],"open",CampList[Total],"&gt;5000",CampList[Total],"&lt;=100000",CampList[Affected Population],"IDP")</f>
        <v>0</v>
      </c>
      <c r="AN61" s="673">
        <f>COUNTIFS(CampList[Township],$AI62,CampList[Status],"open",CampList[Total],"",CampList[Affected Population],"IDP")</f>
        <v>0</v>
      </c>
      <c r="AO61" s="677">
        <f t="shared" si="2"/>
        <v>7</v>
      </c>
    </row>
    <row r="62" spans="1:41" x14ac:dyDescent="0.25">
      <c r="AI62" s="673" t="s">
        <v>298</v>
      </c>
      <c r="AJ62" s="828">
        <f>COUNTIFS(CampList[Township],$AI62,CampList[Status],"open",CampList[Total],"&lt;=100",CampList[Affected Population],"IDP")</f>
        <v>4</v>
      </c>
      <c r="AK62" s="828">
        <f>COUNTIFS(CampList[Township],$AI62,CampList[Status],"open",CampList[Total],"&gt;100",CampList[Total],"&lt;=1000",CampList[Affected Population],"IDP")</f>
        <v>4</v>
      </c>
      <c r="AL62" s="828">
        <f>COUNTIFS(CampList[Township],$AI62,CampList[Status],"open",CampList[Total],"&gt;1000",CampList[Total],"&lt;=5000",CampList[Affected Population],"IDP")</f>
        <v>0</v>
      </c>
      <c r="AM62" s="828">
        <f>COUNTIFS(CampList[Township],$AI62,CampList[Status],"open",CampList[Total],"&gt;5000",CampList[Total],"&lt;=100000",CampList[Affected Population],"IDP")</f>
        <v>0</v>
      </c>
      <c r="AN62" s="673">
        <f>COUNTIFS(CampList[Township],$AI63,CampList[Status],"open",CampList[Total],"",CampList[Affected Population],"IDP")</f>
        <v>0</v>
      </c>
      <c r="AO62" s="677">
        <f t="shared" si="2"/>
        <v>8</v>
      </c>
    </row>
    <row r="63" spans="1:41" x14ac:dyDescent="0.25">
      <c r="AI63" s="673" t="s">
        <v>300</v>
      </c>
      <c r="AJ63" s="828">
        <f>COUNTIFS(CampList[Township],$AI63,CampList[Status],"open",CampList[Total],"&lt;=100",CampList[Affected Population],"IDP")</f>
        <v>2</v>
      </c>
      <c r="AK63" s="828">
        <f>COUNTIFS(CampList[Township],$AI63,CampList[Status],"open",CampList[Total],"&gt;100",CampList[Total],"&lt;=1000",CampList[Affected Population],"IDP")</f>
        <v>1</v>
      </c>
      <c r="AL63" s="828">
        <f>COUNTIFS(CampList[Township],$AI63,CampList[Status],"open",CampList[Total],"&gt;1000",CampList[Total],"&lt;=5000",CampList[Affected Population],"IDP")</f>
        <v>0</v>
      </c>
      <c r="AM63" s="828">
        <f>COUNTIFS(CampList[Township],$AI63,CampList[Status],"open",CampList[Total],"&gt;5000",CampList[Total],"&lt;=100000",CampList[Affected Population],"IDP")</f>
        <v>0</v>
      </c>
      <c r="AN63" s="673">
        <f>COUNTIFS(CampList[Township],$AI64,CampList[Status],"open",CampList[Total],"",CampList[Affected Population],"IDP")</f>
        <v>0</v>
      </c>
      <c r="AO63" s="677">
        <f t="shared" si="2"/>
        <v>3</v>
      </c>
    </row>
    <row r="64" spans="1:41" x14ac:dyDescent="0.25">
      <c r="AI64" s="673" t="s">
        <v>302</v>
      </c>
      <c r="AJ64" s="828">
        <f>COUNTIFS(CampList[Township],$AI64,CampList[Status],"open",CampList[Total],"&lt;=100",CampList[Affected Population],"IDP")</f>
        <v>1</v>
      </c>
      <c r="AK64" s="828">
        <f>COUNTIFS(CampList[Township],$AI64,CampList[Status],"open",CampList[Total],"&gt;100",CampList[Total],"&lt;=1000",CampList[Affected Population],"IDP")</f>
        <v>2</v>
      </c>
      <c r="AL64" s="828">
        <f>COUNTIFS(CampList[Township],$AI64,CampList[Status],"open",CampList[Total],"&gt;1000",CampList[Total],"&lt;=5000",CampList[Affected Population],"IDP")</f>
        <v>1</v>
      </c>
      <c r="AM64" s="828">
        <f>COUNTIFS(CampList[Township],$AI64,CampList[Status],"open",CampList[Total],"&gt;5000",CampList[Total],"&lt;=100000",CampList[Affected Population],"IDP")</f>
        <v>0</v>
      </c>
      <c r="AN64" s="673">
        <f>COUNTIFS(CampList[Township],$AI65,CampList[Status],"open",CampList[Total],"",CampList[Affected Population],"IDP")</f>
        <v>0</v>
      </c>
      <c r="AO64" s="677">
        <f t="shared" si="2"/>
        <v>4</v>
      </c>
    </row>
    <row r="65" spans="35:41" x14ac:dyDescent="0.25">
      <c r="AI65" s="673" t="s">
        <v>808</v>
      </c>
      <c r="AJ65" s="828">
        <f>COUNTIFS(CampList[Township],$AI65,CampList[Status],"open",CampList[Total],"&lt;=100",CampList[Affected Population],"IDP")</f>
        <v>1</v>
      </c>
      <c r="AK65" s="828">
        <f>COUNTIFS(CampList[Township],$AI65,CampList[Status],"open",CampList[Total],"&gt;100",CampList[Total],"&lt;=1000",CampList[Affected Population],"IDP")</f>
        <v>2</v>
      </c>
      <c r="AL65" s="828">
        <f>COUNTIFS(CampList[Township],$AI65,CampList[Status],"open",CampList[Total],"&gt;1000",CampList[Total],"&lt;=5000",CampList[Affected Population],"IDP")</f>
        <v>0</v>
      </c>
      <c r="AM65" s="828">
        <f>COUNTIFS(CampList[Township],$AI65,CampList[Status],"open",CampList[Total],"&gt;5000",CampList[Total],"&lt;=100000",CampList[Affected Population],"IDP")</f>
        <v>0</v>
      </c>
      <c r="AN65" s="673">
        <f>COUNTIFS(CampList[Township],$AI66,CampList[Status],"open",CampList[Total],"",CampList[Affected Population],"IDP")</f>
        <v>0</v>
      </c>
      <c r="AO65" s="677">
        <f t="shared" si="2"/>
        <v>3</v>
      </c>
    </row>
    <row r="66" spans="35:41" x14ac:dyDescent="0.25">
      <c r="AI66" s="673" t="s">
        <v>310</v>
      </c>
      <c r="AJ66" s="828">
        <f>COUNTIFS(CampList[Township],$AI66,CampList[Status],"open",CampList[Total],"&lt;=100",CampList[Affected Population],"IDP")</f>
        <v>1</v>
      </c>
      <c r="AK66" s="828">
        <f>COUNTIFS(CampList[Township],$AI66,CampList[Status],"open",CampList[Total],"&gt;100",CampList[Total],"&lt;=1000",CampList[Affected Population],"IDP")</f>
        <v>14</v>
      </c>
      <c r="AL66" s="828">
        <f>COUNTIFS(CampList[Township],$AI66,CampList[Status],"open",CampList[Total],"&gt;1000",CampList[Total],"&lt;=5000",CampList[Affected Population],"IDP")</f>
        <v>6</v>
      </c>
      <c r="AM66" s="828">
        <f>COUNTIFS(CampList[Township],$AI66,CampList[Status],"open",CampList[Total],"&gt;5000",CampList[Total],"&lt;=100000",CampList[Affected Population],"IDP")</f>
        <v>2</v>
      </c>
      <c r="AN66" s="673">
        <f>COUNTIFS(CampList[Township],$AI67,CampList[Status],"open",CampList[Total],"",CampList[Affected Population],"IDP")</f>
        <v>0</v>
      </c>
      <c r="AO66" s="677">
        <f t="shared" si="2"/>
        <v>23</v>
      </c>
    </row>
    <row r="67" spans="35:41" x14ac:dyDescent="0.25">
      <c r="AI67" s="673" t="s">
        <v>3</v>
      </c>
      <c r="AJ67" s="678">
        <f>SUM(AJ47:AJ66)</f>
        <v>52</v>
      </c>
      <c r="AK67" s="678">
        <f>SUM(AK47:AK66)</f>
        <v>107</v>
      </c>
      <c r="AL67" s="678">
        <f>SUM(AL47:AL66)</f>
        <v>22</v>
      </c>
      <c r="AM67" s="678">
        <f>SUM(AM47:AM66)</f>
        <v>2</v>
      </c>
      <c r="AN67" s="678">
        <f>SUM(AN47:AN66)</f>
        <v>5</v>
      </c>
      <c r="AO67" s="677">
        <f t="shared" si="2"/>
        <v>188</v>
      </c>
    </row>
    <row r="68" spans="35:41" x14ac:dyDescent="0.25">
      <c r="AO68" s="678">
        <f t="shared" ref="AO68" si="3">SUM(AO47:AO67)</f>
        <v>376</v>
      </c>
    </row>
    <row r="98" spans="25:27" x14ac:dyDescent="0.25">
      <c r="Y98" s="827"/>
      <c r="AA98" s="827"/>
    </row>
    <row r="99" spans="25:27" x14ac:dyDescent="0.25">
      <c r="Y99" s="827"/>
    </row>
    <row r="100" spans="25:27" x14ac:dyDescent="0.25">
      <c r="Y100" s="827"/>
    </row>
  </sheetData>
  <sortState ref="AI34:AO54">
    <sortCondition ref="AI34"/>
  </sortState>
  <mergeCells count="3">
    <mergeCell ref="B5:I5"/>
    <mergeCell ref="B6:I6"/>
    <mergeCell ref="B3:P3"/>
  </mergeCells>
  <conditionalFormatting sqref="H35:L35">
    <cfRule type="dataBar" priority="18">
      <dataBar>
        <cfvo type="num" val="0"/>
        <cfvo type="num" val="$AN$31"/>
        <color rgb="FF638EC6"/>
      </dataBar>
      <extLst>
        <ext xmlns:x14="http://schemas.microsoft.com/office/spreadsheetml/2009/9/main" uri="{B025F937-C7B1-47D3-B67F-A62EFF666E3E}">
          <x14:id>{4729CA1C-9856-465B-A252-5D74BE4F6C00}</x14:id>
        </ext>
      </extLst>
    </cfRule>
    <cfRule type="dataBar" priority="19">
      <dataBar>
        <cfvo type="num" val="0"/>
        <cfvo type="num" val="$AN$31"/>
        <color rgb="FFFF555A"/>
      </dataBar>
      <extLst>
        <ext xmlns:x14="http://schemas.microsoft.com/office/spreadsheetml/2009/9/main" uri="{B025F937-C7B1-47D3-B67F-A62EFF666E3E}">
          <x14:id>{5DCED515-272B-4C05-BE24-8A126174C663}</x14:id>
        </ext>
      </extLst>
    </cfRule>
    <cfRule type="dataBar" priority="33">
      <dataBar>
        <cfvo type="min"/>
        <cfvo type="max"/>
        <color rgb="FFFF555A"/>
      </dataBar>
      <extLst>
        <ext xmlns:x14="http://schemas.microsoft.com/office/spreadsheetml/2009/9/main" uri="{B025F937-C7B1-47D3-B67F-A62EFF666E3E}">
          <x14:id>{83FF87DB-4AF0-4757-A50F-701789E158D8}</x14:id>
        </ext>
      </extLst>
    </cfRule>
  </conditionalFormatting>
  <conditionalFormatting sqref="H35:L35">
    <cfRule type="dataBar" priority="39">
      <dataBar>
        <cfvo type="min"/>
        <cfvo type="max"/>
        <color rgb="FF638EC6"/>
      </dataBar>
      <extLst>
        <ext xmlns:x14="http://schemas.microsoft.com/office/spreadsheetml/2009/9/main" uri="{B025F937-C7B1-47D3-B67F-A62EFF666E3E}">
          <x14:id>{077C6988-A8CC-4404-8A74-478FD55721B5}</x14:id>
        </ext>
      </extLst>
    </cfRule>
  </conditionalFormatting>
  <conditionalFormatting sqref="C46:E49">
    <cfRule type="dataBar" priority="17">
      <dataBar>
        <cfvo type="min"/>
        <cfvo type="max"/>
        <color rgb="FF63C384"/>
      </dataBar>
      <extLst>
        <ext xmlns:x14="http://schemas.microsoft.com/office/spreadsheetml/2009/9/main" uri="{B025F937-C7B1-47D3-B67F-A62EFF666E3E}">
          <x14:id>{898ED28B-BD84-48E1-B5FF-CD5004CB27E3}</x14:id>
        </ext>
      </extLst>
    </cfRule>
  </conditionalFormatting>
  <conditionalFormatting sqref="C46:E49">
    <cfRule type="dataBar" priority="16">
      <dataBar>
        <cfvo type="min"/>
        <cfvo type="max"/>
        <color rgb="FFD6007B"/>
      </dataBar>
      <extLst>
        <ext xmlns:x14="http://schemas.microsoft.com/office/spreadsheetml/2009/9/main" uri="{B025F937-C7B1-47D3-B67F-A62EFF666E3E}">
          <x14:id>{80C87FD2-BD07-4BB5-9C0D-A1D2BF363644}</x14:id>
        </ext>
      </extLst>
    </cfRule>
  </conditionalFormatting>
  <conditionalFormatting sqref="E16:E32 E34:E41">
    <cfRule type="dataBar" priority="165">
      <dataBar>
        <cfvo type="min"/>
        <cfvo type="max"/>
        <color rgb="FFFFB628"/>
      </dataBar>
      <extLst>
        <ext xmlns:x14="http://schemas.microsoft.com/office/spreadsheetml/2009/9/main" uri="{B025F937-C7B1-47D3-B67F-A62EFF666E3E}">
          <x14:id>{0054ED97-6B39-47EE-970F-3D7220F91D2F}</x14:id>
        </ext>
      </extLst>
    </cfRule>
  </conditionalFormatting>
  <conditionalFormatting sqref="D16:D32 D34:D41">
    <cfRule type="dataBar" priority="169">
      <dataBar>
        <cfvo type="min"/>
        <cfvo type="max"/>
        <color rgb="FF638EC6"/>
      </dataBar>
      <extLst>
        <ext xmlns:x14="http://schemas.microsoft.com/office/spreadsheetml/2009/9/main" uri="{B025F937-C7B1-47D3-B67F-A62EFF666E3E}">
          <x14:id>{3D310D00-BC55-40BE-9DF6-D90CF1C54F11}</x14:id>
        </ext>
      </extLst>
    </cfRule>
  </conditionalFormatting>
  <conditionalFormatting sqref="C16:C32 C34:C41">
    <cfRule type="dataBar" priority="173">
      <dataBar>
        <cfvo type="min"/>
        <cfvo type="max"/>
        <color rgb="FF63C384"/>
      </dataBar>
      <extLst>
        <ext xmlns:x14="http://schemas.microsoft.com/office/spreadsheetml/2009/9/main" uri="{B025F937-C7B1-47D3-B67F-A62EFF666E3E}">
          <x14:id>{3C54CAF3-E8DB-4E86-98B4-12A79F65AD85}</x14:id>
        </ext>
      </extLst>
    </cfRule>
  </conditionalFormatting>
  <conditionalFormatting sqref="H34:L34">
    <cfRule type="dataBar" priority="175">
      <dataBar>
        <cfvo type="min"/>
        <cfvo type="max"/>
        <color rgb="FF638EC6"/>
      </dataBar>
      <extLst>
        <ext xmlns:x14="http://schemas.microsoft.com/office/spreadsheetml/2009/9/main" uri="{B025F937-C7B1-47D3-B67F-A62EFF666E3E}">
          <x14:id>{74459D76-3CDD-4603-8F85-808736BAF087}</x14:id>
        </ext>
      </extLst>
    </cfRule>
  </conditionalFormatting>
  <conditionalFormatting sqref="H34:L34">
    <cfRule type="dataBar" priority="176">
      <dataBar>
        <cfvo type="num" val="0"/>
        <cfvo type="num" val="#REF!"/>
        <color rgb="FF638EC6"/>
      </dataBar>
      <extLst>
        <ext xmlns:x14="http://schemas.microsoft.com/office/spreadsheetml/2009/9/main" uri="{B025F937-C7B1-47D3-B67F-A62EFF666E3E}">
          <x14:id>{02A8E9F0-FDBA-452A-AB6A-F2E5CA3F88D3}</x14:id>
        </ext>
      </extLst>
    </cfRule>
    <cfRule type="dataBar" priority="177">
      <dataBar>
        <cfvo type="min"/>
        <cfvo type="max"/>
        <color rgb="FF008AEF"/>
      </dataBar>
      <extLst>
        <ext xmlns:x14="http://schemas.microsoft.com/office/spreadsheetml/2009/9/main" uri="{B025F937-C7B1-47D3-B67F-A62EFF666E3E}">
          <x14:id>{48264DF9-DDE3-4B92-9921-17F85D71C4D9}</x14:id>
        </ext>
      </extLst>
    </cfRule>
  </conditionalFormatting>
  <conditionalFormatting sqref="E44 E42">
    <cfRule type="dataBar" priority="181">
      <dataBar>
        <cfvo type="min"/>
        <cfvo type="max"/>
        <color rgb="FFFFB628"/>
      </dataBar>
      <extLst>
        <ext xmlns:x14="http://schemas.microsoft.com/office/spreadsheetml/2009/9/main" uri="{B025F937-C7B1-47D3-B67F-A62EFF666E3E}">
          <x14:id>{E62C4C6A-10ED-4033-B63E-536B45F81DEE}</x14:id>
        </ext>
      </extLst>
    </cfRule>
  </conditionalFormatting>
  <conditionalFormatting sqref="D44 D42">
    <cfRule type="dataBar" priority="183">
      <dataBar>
        <cfvo type="min"/>
        <cfvo type="max"/>
        <color rgb="FF638EC6"/>
      </dataBar>
      <extLst>
        <ext xmlns:x14="http://schemas.microsoft.com/office/spreadsheetml/2009/9/main" uri="{B025F937-C7B1-47D3-B67F-A62EFF666E3E}">
          <x14:id>{CA84F9C0-431A-4F7E-B653-B156EA2C233D}</x14:id>
        </ext>
      </extLst>
    </cfRule>
  </conditionalFormatting>
  <conditionalFormatting sqref="C44 C42">
    <cfRule type="dataBar" priority="185">
      <dataBar>
        <cfvo type="min"/>
        <cfvo type="max"/>
        <color rgb="FF63C384"/>
      </dataBar>
      <extLst>
        <ext xmlns:x14="http://schemas.microsoft.com/office/spreadsheetml/2009/9/main" uri="{B025F937-C7B1-47D3-B67F-A62EFF666E3E}">
          <x14:id>{9641383C-0A3B-4F06-9E4D-BE4757BF7245}</x14:id>
        </ext>
      </extLst>
    </cfRule>
  </conditionalFormatting>
  <printOptions horizontalCentered="1"/>
  <pageMargins left="0.15" right="0.15" top="0.32" bottom="0.21" header="0.19" footer="0.17"/>
  <pageSetup paperSize="9" scale="78" orientation="landscape" r:id="rId1"/>
  <ignoredErrors>
    <ignoredError sqref="AN49 AN54" formula="1"/>
  </ignoredErrors>
  <drawing r:id="rId2"/>
  <extLst>
    <ext xmlns:x14="http://schemas.microsoft.com/office/spreadsheetml/2009/9/main" uri="{78C0D931-6437-407d-A8EE-F0AAD7539E65}">
      <x14:conditionalFormattings>
        <x14:conditionalFormatting xmlns:xm="http://schemas.microsoft.com/office/excel/2006/main">
          <x14:cfRule type="dataBar" id="{4729CA1C-9856-465B-A252-5D74BE4F6C00}">
            <x14:dataBar minLength="0" maxLength="100" gradient="0">
              <x14:cfvo type="num">
                <xm:f>0</xm:f>
              </x14:cfvo>
              <x14:cfvo type="num">
                <xm:f>$AN$31</xm:f>
              </x14:cfvo>
              <x14:negativeFillColor rgb="FFFF0000"/>
              <x14:axisColor rgb="FF000000"/>
            </x14:dataBar>
          </x14:cfRule>
          <x14:cfRule type="dataBar" id="{5DCED515-272B-4C05-BE24-8A126174C663}">
            <x14:dataBar minLength="0" maxLength="100" border="1" negativeBarBorderColorSameAsPositive="0">
              <x14:cfvo type="num">
                <xm:f>0</xm:f>
              </x14:cfvo>
              <x14:cfvo type="num">
                <xm:f>$AN$31</xm:f>
              </x14:cfvo>
              <x14:borderColor rgb="FFFF555A"/>
              <x14:negativeFillColor rgb="FFFF0000"/>
              <x14:negativeBorderColor rgb="FFFF0000"/>
              <x14:axisColor rgb="FF000000"/>
            </x14:dataBar>
          </x14:cfRule>
          <x14:cfRule type="dataBar" id="{83FF87DB-4AF0-4757-A50F-701789E158D8}">
            <x14:dataBar minLength="0" maxLength="100" gradient="0">
              <x14:cfvo type="autoMin"/>
              <x14:cfvo type="autoMax"/>
              <x14:negativeFillColor rgb="FFFF0000"/>
              <x14:axisColor rgb="FF000000"/>
            </x14:dataBar>
          </x14:cfRule>
          <xm:sqref>H35:L35</xm:sqref>
        </x14:conditionalFormatting>
        <x14:conditionalFormatting xmlns:xm="http://schemas.microsoft.com/office/excel/2006/main">
          <x14:cfRule type="dataBar" id="{077C6988-A8CC-4404-8A74-478FD55721B5}">
            <x14:dataBar minLength="0" maxLength="100" border="1" negativeBarBorderColorSameAsPositive="0">
              <x14:cfvo type="autoMin"/>
              <x14:cfvo type="autoMax"/>
              <x14:borderColor rgb="FF638EC6"/>
              <x14:negativeFillColor rgb="FFFF0000"/>
              <x14:negativeBorderColor rgb="FFFF0000"/>
              <x14:axisColor rgb="FF000000"/>
            </x14:dataBar>
          </x14:cfRule>
          <xm:sqref>H35:L35</xm:sqref>
        </x14:conditionalFormatting>
        <x14:conditionalFormatting xmlns:xm="http://schemas.microsoft.com/office/excel/2006/main">
          <x14:cfRule type="dataBar" id="{898ED28B-BD84-48E1-B5FF-CD5004CB27E3}">
            <x14:dataBar minLength="0" maxLength="100" border="1" negativeBarBorderColorSameAsPositive="0">
              <x14:cfvo type="autoMin"/>
              <x14:cfvo type="autoMax"/>
              <x14:borderColor rgb="FF63C384"/>
              <x14:negativeFillColor rgb="FFFF0000"/>
              <x14:negativeBorderColor rgb="FFFF0000"/>
              <x14:axisColor rgb="FF000000"/>
            </x14:dataBar>
          </x14:cfRule>
          <xm:sqref>C46:E49</xm:sqref>
        </x14:conditionalFormatting>
        <x14:conditionalFormatting xmlns:xm="http://schemas.microsoft.com/office/excel/2006/main">
          <x14:cfRule type="dataBar" id="{80C87FD2-BD07-4BB5-9C0D-A1D2BF363644}">
            <x14:dataBar minLength="0" maxLength="100" border="1" negativeBarBorderColorSameAsPositive="0">
              <x14:cfvo type="autoMin"/>
              <x14:cfvo type="autoMax"/>
              <x14:borderColor rgb="FFD6007B"/>
              <x14:negativeFillColor rgb="FFFF0000"/>
              <x14:negativeBorderColor rgb="FFFF0000"/>
              <x14:axisColor rgb="FF000000"/>
            </x14:dataBar>
          </x14:cfRule>
          <xm:sqref>C46:E49</xm:sqref>
        </x14:conditionalFormatting>
        <x14:conditionalFormatting xmlns:xm="http://schemas.microsoft.com/office/excel/2006/main">
          <x14:cfRule type="dataBar" id="{0054ED97-6B39-47EE-970F-3D7220F91D2F}">
            <x14:dataBar minLength="0" maxLength="100" border="1" negativeBarBorderColorSameAsPositive="0">
              <x14:cfvo type="autoMin"/>
              <x14:cfvo type="autoMax"/>
              <x14:borderColor rgb="FFFFB628"/>
              <x14:negativeFillColor rgb="FFFF0000"/>
              <x14:negativeBorderColor rgb="FFFF0000"/>
              <x14:axisColor rgb="FF000000"/>
            </x14:dataBar>
          </x14:cfRule>
          <xm:sqref>E16:E32 E34:E41</xm:sqref>
        </x14:conditionalFormatting>
        <x14:conditionalFormatting xmlns:xm="http://schemas.microsoft.com/office/excel/2006/main">
          <x14:cfRule type="dataBar" id="{3D310D00-BC55-40BE-9DF6-D90CF1C54F11}">
            <x14:dataBar minLength="0" maxLength="100" border="1" negativeBarBorderColorSameAsPositive="0">
              <x14:cfvo type="autoMin"/>
              <x14:cfvo type="autoMax"/>
              <x14:borderColor rgb="FF638EC6"/>
              <x14:negativeFillColor rgb="FFFF0000"/>
              <x14:negativeBorderColor rgb="FFFF0000"/>
              <x14:axisColor rgb="FF000000"/>
            </x14:dataBar>
          </x14:cfRule>
          <xm:sqref>D16:D32 D34:D41</xm:sqref>
        </x14:conditionalFormatting>
        <x14:conditionalFormatting xmlns:xm="http://schemas.microsoft.com/office/excel/2006/main">
          <x14:cfRule type="dataBar" id="{3C54CAF3-E8DB-4E86-98B4-12A79F65AD85}">
            <x14:dataBar minLength="0" maxLength="100" border="1" negativeBarBorderColorSameAsPositive="0">
              <x14:cfvo type="autoMin"/>
              <x14:cfvo type="autoMax"/>
              <x14:borderColor rgb="FF63C384"/>
              <x14:negativeFillColor rgb="FFFF0000"/>
              <x14:negativeBorderColor rgb="FFFF0000"/>
              <x14:axisColor rgb="FF000000"/>
            </x14:dataBar>
          </x14:cfRule>
          <xm:sqref>C16:C32 C34:C41</xm:sqref>
        </x14:conditionalFormatting>
        <x14:conditionalFormatting xmlns:xm="http://schemas.microsoft.com/office/excel/2006/main">
          <x14:cfRule type="dataBar" id="{74459D76-3CDD-4603-8F85-808736BAF087}">
            <x14:dataBar minLength="0" maxLength="100" border="1" negativeBarBorderColorSameAsPositive="0">
              <x14:cfvo type="autoMin"/>
              <x14:cfvo type="autoMax"/>
              <x14:borderColor rgb="FF638EC6"/>
              <x14:negativeFillColor rgb="FFFF0000"/>
              <x14:negativeBorderColor rgb="FFFF0000"/>
              <x14:axisColor rgb="FF000000"/>
            </x14:dataBar>
          </x14:cfRule>
          <xm:sqref>H34:L34</xm:sqref>
        </x14:conditionalFormatting>
        <x14:conditionalFormatting xmlns:xm="http://schemas.microsoft.com/office/excel/2006/main">
          <x14:cfRule type="dataBar" id="{02A8E9F0-FDBA-452A-AB6A-F2E5CA3F88D3}">
            <x14:dataBar minLength="0" maxLength="100">
              <x14:cfvo type="num">
                <xm:f>0</xm:f>
              </x14:cfvo>
              <x14:cfvo type="num">
                <xm:f>#REF!</xm:f>
              </x14:cfvo>
              <x14:negativeFillColor rgb="FFFF0000"/>
              <x14:axisColor rgb="FF000000"/>
            </x14:dataBar>
          </x14:cfRule>
          <x14:cfRule type="dataBar" id="{48264DF9-DDE3-4B92-9921-17F85D71C4D9}">
            <x14:dataBar minLength="0" maxLength="100" gradient="0">
              <x14:cfvo type="autoMin"/>
              <x14:cfvo type="autoMax"/>
              <x14:negativeFillColor rgb="FFFF0000"/>
              <x14:axisColor rgb="FF000000"/>
            </x14:dataBar>
          </x14:cfRule>
          <xm:sqref>H34:L34</xm:sqref>
        </x14:conditionalFormatting>
        <x14:conditionalFormatting xmlns:xm="http://schemas.microsoft.com/office/excel/2006/main">
          <x14:cfRule type="dataBar" id="{E62C4C6A-10ED-4033-B63E-536B45F81DEE}">
            <x14:dataBar minLength="0" maxLength="100" border="1" negativeBarBorderColorSameAsPositive="0">
              <x14:cfvo type="autoMin"/>
              <x14:cfvo type="autoMax"/>
              <x14:borderColor rgb="FFFFB628"/>
              <x14:negativeFillColor rgb="FFFF0000"/>
              <x14:negativeBorderColor rgb="FFFF0000"/>
              <x14:axisColor rgb="FF000000"/>
            </x14:dataBar>
          </x14:cfRule>
          <xm:sqref>E44 E42</xm:sqref>
        </x14:conditionalFormatting>
        <x14:conditionalFormatting xmlns:xm="http://schemas.microsoft.com/office/excel/2006/main">
          <x14:cfRule type="dataBar" id="{CA84F9C0-431A-4F7E-B653-B156EA2C233D}">
            <x14:dataBar minLength="0" maxLength="100" border="1" negativeBarBorderColorSameAsPositive="0">
              <x14:cfvo type="autoMin"/>
              <x14:cfvo type="autoMax"/>
              <x14:borderColor rgb="FF638EC6"/>
              <x14:negativeFillColor rgb="FFFF0000"/>
              <x14:negativeBorderColor rgb="FFFF0000"/>
              <x14:axisColor rgb="FF000000"/>
            </x14:dataBar>
          </x14:cfRule>
          <xm:sqref>D44 D42</xm:sqref>
        </x14:conditionalFormatting>
        <x14:conditionalFormatting xmlns:xm="http://schemas.microsoft.com/office/excel/2006/main">
          <x14:cfRule type="dataBar" id="{9641383C-0A3B-4F06-9E4D-BE4757BF7245}">
            <x14:dataBar minLength="0" maxLength="100" border="1" negativeBarBorderColorSameAsPositive="0">
              <x14:cfvo type="autoMin"/>
              <x14:cfvo type="autoMax"/>
              <x14:borderColor rgb="FF63C384"/>
              <x14:negativeFillColor rgb="FFFF0000"/>
              <x14:negativeBorderColor rgb="FFFF0000"/>
              <x14:axisColor rgb="FF000000"/>
            </x14:dataBar>
          </x14:cfRule>
          <xm:sqref>C44 C42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H166"/>
  <sheetViews>
    <sheetView workbookViewId="0">
      <selection activeCell="D3" sqref="D3"/>
    </sheetView>
  </sheetViews>
  <sheetFormatPr defaultRowHeight="15" x14ac:dyDescent="0.25"/>
  <cols>
    <col min="1" max="1" width="47.28515625" customWidth="1"/>
    <col min="2" max="2" width="16.140625" bestFit="1" customWidth="1"/>
    <col min="3" max="4" width="12" bestFit="1" customWidth="1"/>
    <col min="5" max="5" width="14.140625" bestFit="1" customWidth="1"/>
    <col min="6" max="6" width="20.85546875" bestFit="1" customWidth="1"/>
    <col min="7" max="7" width="10.7109375" bestFit="1" customWidth="1"/>
    <col min="8" max="8" width="9.85546875" bestFit="1" customWidth="1"/>
    <col min="9" max="9" width="9.28515625" bestFit="1" customWidth="1"/>
  </cols>
  <sheetData>
    <row r="1" spans="1:8" x14ac:dyDescent="0.25">
      <c r="A1" s="341" t="s">
        <v>498</v>
      </c>
      <c r="B1" s="333" t="s">
        <v>500</v>
      </c>
    </row>
    <row r="3" spans="1:8" x14ac:dyDescent="0.25">
      <c r="A3" s="341" t="s">
        <v>554</v>
      </c>
      <c r="B3" s="341" t="s">
        <v>1105</v>
      </c>
      <c r="C3" s="341" t="s">
        <v>1</v>
      </c>
      <c r="D3" s="341" t="s">
        <v>497</v>
      </c>
      <c r="E3" s="341" t="s">
        <v>1106</v>
      </c>
      <c r="F3" s="341" t="s">
        <v>1107</v>
      </c>
      <c r="G3" s="333" t="s">
        <v>1108</v>
      </c>
      <c r="H3" s="333" t="s">
        <v>861</v>
      </c>
    </row>
    <row r="4" spans="1:8" x14ac:dyDescent="0.25">
      <c r="A4" s="333" t="s">
        <v>62</v>
      </c>
      <c r="B4" s="333" t="s">
        <v>61</v>
      </c>
      <c r="C4" s="333">
        <v>96.355270000000004</v>
      </c>
      <c r="D4" s="333" t="s">
        <v>511</v>
      </c>
      <c r="E4" s="333" t="s">
        <v>554</v>
      </c>
      <c r="F4" s="333" t="s">
        <v>460</v>
      </c>
      <c r="G4" s="335">
        <v>67</v>
      </c>
      <c r="H4" s="335">
        <v>350</v>
      </c>
    </row>
    <row r="5" spans="1:8" x14ac:dyDescent="0.25">
      <c r="A5" s="333" t="s">
        <v>120</v>
      </c>
      <c r="B5" s="333" t="s">
        <v>119</v>
      </c>
      <c r="C5" s="333">
        <v>96.353070000000002</v>
      </c>
      <c r="D5" s="333" t="s">
        <v>511</v>
      </c>
      <c r="E5" s="333" t="s">
        <v>554</v>
      </c>
      <c r="F5" s="333" t="s">
        <v>1090</v>
      </c>
      <c r="G5" s="335">
        <v>77</v>
      </c>
      <c r="H5" s="335">
        <v>411</v>
      </c>
    </row>
    <row r="6" spans="1:8" x14ac:dyDescent="0.25">
      <c r="A6" s="333" t="s">
        <v>6</v>
      </c>
      <c r="B6" s="333" t="s">
        <v>4</v>
      </c>
      <c r="C6" s="333">
        <v>97.238829999999993</v>
      </c>
      <c r="D6" s="333" t="s">
        <v>511</v>
      </c>
      <c r="E6" s="333" t="s">
        <v>554</v>
      </c>
      <c r="F6" s="333" t="s">
        <v>1089</v>
      </c>
      <c r="G6" s="335">
        <v>260</v>
      </c>
      <c r="H6" s="335">
        <v>1263</v>
      </c>
    </row>
    <row r="7" spans="1:8" x14ac:dyDescent="0.25">
      <c r="A7" s="333" t="s">
        <v>41</v>
      </c>
      <c r="B7" s="333" t="s">
        <v>40</v>
      </c>
      <c r="C7" s="333">
        <v>96.345569999999995</v>
      </c>
      <c r="D7" s="333" t="s">
        <v>511</v>
      </c>
      <c r="E7" s="333" t="s">
        <v>554</v>
      </c>
      <c r="F7" s="333" t="s">
        <v>505</v>
      </c>
      <c r="G7" s="335">
        <v>67</v>
      </c>
      <c r="H7" s="335">
        <v>353</v>
      </c>
    </row>
    <row r="8" spans="1:8" x14ac:dyDescent="0.25">
      <c r="A8" s="333" t="s">
        <v>43</v>
      </c>
      <c r="B8" s="333" t="s">
        <v>42</v>
      </c>
      <c r="C8" s="333">
        <v>96.317350000000005</v>
      </c>
      <c r="D8" s="333" t="s">
        <v>511</v>
      </c>
      <c r="E8" s="333" t="s">
        <v>554</v>
      </c>
      <c r="F8" s="333" t="s">
        <v>505</v>
      </c>
      <c r="G8" s="335">
        <v>14</v>
      </c>
      <c r="H8" s="335">
        <v>83</v>
      </c>
    </row>
    <row r="9" spans="1:8" x14ac:dyDescent="0.25">
      <c r="A9" s="333" t="s">
        <v>512</v>
      </c>
      <c r="B9" s="333" t="s">
        <v>377</v>
      </c>
      <c r="C9" s="333">
        <v>97.252650000000003</v>
      </c>
      <c r="D9" s="333" t="s">
        <v>511</v>
      </c>
      <c r="E9" s="333" t="s">
        <v>554</v>
      </c>
      <c r="F9" s="333" t="s">
        <v>460</v>
      </c>
      <c r="G9" s="335">
        <v>12</v>
      </c>
      <c r="H9" s="335">
        <v>56</v>
      </c>
    </row>
    <row r="10" spans="1:8" x14ac:dyDescent="0.25">
      <c r="A10" s="333" t="s">
        <v>52</v>
      </c>
      <c r="B10" s="333" t="s">
        <v>51</v>
      </c>
      <c r="C10" s="333">
        <v>96.346469999999997</v>
      </c>
      <c r="D10" s="333" t="s">
        <v>511</v>
      </c>
      <c r="E10" s="333" t="s">
        <v>554</v>
      </c>
      <c r="F10" s="333" t="s">
        <v>460</v>
      </c>
      <c r="G10" s="335">
        <v>38</v>
      </c>
      <c r="H10" s="335">
        <v>233</v>
      </c>
    </row>
    <row r="11" spans="1:8" x14ac:dyDescent="0.25">
      <c r="A11" s="333" t="s">
        <v>334</v>
      </c>
      <c r="B11" s="333" t="s">
        <v>333</v>
      </c>
      <c r="C11" s="333">
        <v>97.915833000000006</v>
      </c>
      <c r="D11" s="333" t="s">
        <v>513</v>
      </c>
      <c r="E11" s="333" t="s">
        <v>554</v>
      </c>
      <c r="F11" s="333" t="s">
        <v>1090</v>
      </c>
      <c r="G11" s="335">
        <v>161</v>
      </c>
      <c r="H11" s="335">
        <v>637</v>
      </c>
    </row>
    <row r="12" spans="1:8" x14ac:dyDescent="0.25">
      <c r="A12" s="333" t="s">
        <v>188</v>
      </c>
      <c r="B12" s="333" t="s">
        <v>187</v>
      </c>
      <c r="C12" s="333">
        <v>97.609832999999995</v>
      </c>
      <c r="D12" s="333" t="s">
        <v>513</v>
      </c>
      <c r="E12" s="333" t="s">
        <v>554</v>
      </c>
      <c r="F12" s="333" t="s">
        <v>1089</v>
      </c>
      <c r="G12" s="335">
        <v>440</v>
      </c>
      <c r="H12" s="335">
        <v>1957</v>
      </c>
    </row>
    <row r="13" spans="1:8" x14ac:dyDescent="0.25">
      <c r="A13" s="333" t="s">
        <v>72</v>
      </c>
      <c r="B13" s="333" t="s">
        <v>71</v>
      </c>
      <c r="C13" s="333">
        <v>96.283377000000002</v>
      </c>
      <c r="D13" s="333" t="s">
        <v>511</v>
      </c>
      <c r="E13" s="333" t="s">
        <v>554</v>
      </c>
      <c r="F13" s="333" t="s">
        <v>505</v>
      </c>
      <c r="G13" s="335">
        <v>6</v>
      </c>
      <c r="H13" s="335">
        <v>30</v>
      </c>
    </row>
    <row r="14" spans="1:8" x14ac:dyDescent="0.25">
      <c r="A14" s="333" t="s">
        <v>28</v>
      </c>
      <c r="B14" s="333" t="s">
        <v>30</v>
      </c>
      <c r="C14" s="333">
        <v>98.131550000000004</v>
      </c>
      <c r="D14" s="333" t="s">
        <v>511</v>
      </c>
      <c r="E14" s="333" t="s">
        <v>554</v>
      </c>
      <c r="F14" s="333" t="s">
        <v>505</v>
      </c>
      <c r="G14" s="335">
        <v>110</v>
      </c>
      <c r="H14" s="335">
        <v>516</v>
      </c>
    </row>
    <row r="15" spans="1:8" x14ac:dyDescent="0.25">
      <c r="A15" s="333" t="s">
        <v>76</v>
      </c>
      <c r="B15" s="333" t="s">
        <v>75</v>
      </c>
      <c r="C15" s="333">
        <v>96.35257</v>
      </c>
      <c r="D15" s="333" t="s">
        <v>511</v>
      </c>
      <c r="E15" s="333" t="s">
        <v>554</v>
      </c>
      <c r="F15" s="333" t="s">
        <v>505</v>
      </c>
      <c r="G15" s="335">
        <v>66</v>
      </c>
      <c r="H15" s="335">
        <v>362</v>
      </c>
    </row>
    <row r="16" spans="1:8" x14ac:dyDescent="0.25">
      <c r="A16" s="333" t="s">
        <v>243</v>
      </c>
      <c r="B16" s="333" t="s">
        <v>242</v>
      </c>
      <c r="C16" s="333">
        <v>97.384729629629604</v>
      </c>
      <c r="D16" s="333" t="s">
        <v>511</v>
      </c>
      <c r="E16" s="333" t="s">
        <v>554</v>
      </c>
      <c r="F16" s="333" t="s">
        <v>460</v>
      </c>
      <c r="G16" s="335">
        <v>6</v>
      </c>
      <c r="H16" s="335">
        <v>28</v>
      </c>
    </row>
    <row r="17" spans="1:8" x14ac:dyDescent="0.25">
      <c r="A17" s="333" t="s">
        <v>245</v>
      </c>
      <c r="B17" s="333" t="s">
        <v>244</v>
      </c>
      <c r="C17" s="333">
        <v>97.382997575757599</v>
      </c>
      <c r="D17" s="333" t="s">
        <v>511</v>
      </c>
      <c r="E17" s="333" t="s">
        <v>554</v>
      </c>
      <c r="F17" s="333" t="s">
        <v>460</v>
      </c>
      <c r="G17" s="335">
        <v>6</v>
      </c>
      <c r="H17" s="335">
        <v>39</v>
      </c>
    </row>
    <row r="18" spans="1:8" x14ac:dyDescent="0.25">
      <c r="A18" s="333" t="s">
        <v>247</v>
      </c>
      <c r="B18" s="333" t="s">
        <v>246</v>
      </c>
      <c r="C18" s="333">
        <v>97.381325000000004</v>
      </c>
      <c r="D18" s="333" t="s">
        <v>511</v>
      </c>
      <c r="E18" s="333" t="s">
        <v>554</v>
      </c>
      <c r="F18" s="333" t="s">
        <v>460</v>
      </c>
      <c r="G18" s="335">
        <v>20</v>
      </c>
      <c r="H18" s="335">
        <v>105</v>
      </c>
    </row>
    <row r="19" spans="1:8" x14ac:dyDescent="0.25">
      <c r="A19" s="333" t="s">
        <v>192</v>
      </c>
      <c r="B19" s="333" t="s">
        <v>191</v>
      </c>
      <c r="C19" s="333">
        <v>97.537099999999995</v>
      </c>
      <c r="D19" s="333" t="s">
        <v>513</v>
      </c>
      <c r="E19" s="333" t="s">
        <v>554</v>
      </c>
      <c r="F19" s="333" t="s">
        <v>1090</v>
      </c>
      <c r="G19" s="335">
        <v>109</v>
      </c>
      <c r="H19" s="335">
        <v>408</v>
      </c>
    </row>
    <row r="20" spans="1:8" x14ac:dyDescent="0.25">
      <c r="A20" s="333" t="s">
        <v>313</v>
      </c>
      <c r="B20" s="333" t="s">
        <v>312</v>
      </c>
      <c r="C20" s="333">
        <v>97.404195925926004</v>
      </c>
      <c r="D20" s="333" t="s">
        <v>511</v>
      </c>
      <c r="E20" s="333" t="s">
        <v>554</v>
      </c>
      <c r="F20" s="333" t="s">
        <v>505</v>
      </c>
      <c r="G20" s="335">
        <v>99</v>
      </c>
      <c r="H20" s="335">
        <v>472</v>
      </c>
    </row>
    <row r="21" spans="1:8" x14ac:dyDescent="0.25">
      <c r="A21" s="333" t="s">
        <v>336</v>
      </c>
      <c r="B21" s="333" t="s">
        <v>335</v>
      </c>
      <c r="C21" s="333">
        <v>97.807182999999995</v>
      </c>
      <c r="D21" s="333" t="s">
        <v>513</v>
      </c>
      <c r="E21" s="333" t="s">
        <v>554</v>
      </c>
      <c r="F21" s="333" t="s">
        <v>460</v>
      </c>
      <c r="G21" s="335">
        <v>148</v>
      </c>
      <c r="H21" s="335">
        <v>1076</v>
      </c>
    </row>
    <row r="22" spans="1:8" x14ac:dyDescent="0.25">
      <c r="A22" s="333" t="s">
        <v>88</v>
      </c>
      <c r="B22" s="333" t="s">
        <v>87</v>
      </c>
      <c r="C22" s="333">
        <v>96.705960000000005</v>
      </c>
      <c r="D22" s="333" t="s">
        <v>511</v>
      </c>
      <c r="E22" s="333" t="s">
        <v>554</v>
      </c>
      <c r="F22" s="333" t="s">
        <v>460</v>
      </c>
      <c r="G22" s="335">
        <v>13</v>
      </c>
      <c r="H22" s="335">
        <v>46</v>
      </c>
    </row>
    <row r="23" spans="1:8" x14ac:dyDescent="0.25">
      <c r="A23" s="333" t="s">
        <v>44</v>
      </c>
      <c r="B23" s="333" t="s">
        <v>45</v>
      </c>
      <c r="C23" s="333">
        <v>96.316564</v>
      </c>
      <c r="D23" s="333" t="s">
        <v>511</v>
      </c>
      <c r="E23" s="333" t="s">
        <v>554</v>
      </c>
      <c r="F23" s="333" t="s">
        <v>505</v>
      </c>
      <c r="G23" s="335">
        <v>5</v>
      </c>
      <c r="H23" s="335">
        <v>34</v>
      </c>
    </row>
    <row r="24" spans="1:8" x14ac:dyDescent="0.25">
      <c r="A24" s="333" t="s">
        <v>1065</v>
      </c>
      <c r="B24" s="333" t="s">
        <v>1066</v>
      </c>
      <c r="C24" s="333">
        <v>96.312790000000007</v>
      </c>
      <c r="D24" s="333" t="s">
        <v>511</v>
      </c>
      <c r="E24" s="333" t="s">
        <v>554</v>
      </c>
      <c r="F24" s="333" t="s">
        <v>460</v>
      </c>
      <c r="G24" s="335">
        <v>103</v>
      </c>
      <c r="H24" s="335">
        <v>489</v>
      </c>
    </row>
    <row r="25" spans="1:8" x14ac:dyDescent="0.25">
      <c r="A25" s="333" t="s">
        <v>364</v>
      </c>
      <c r="B25" s="333" t="s">
        <v>29</v>
      </c>
      <c r="C25" s="333">
        <v>98.475719999999995</v>
      </c>
      <c r="D25" s="333" t="s">
        <v>513</v>
      </c>
      <c r="E25" s="333" t="s">
        <v>554</v>
      </c>
      <c r="F25" s="333" t="s">
        <v>460</v>
      </c>
      <c r="G25" s="335">
        <v>156</v>
      </c>
      <c r="H25" s="335">
        <v>1022</v>
      </c>
    </row>
    <row r="26" spans="1:8" x14ac:dyDescent="0.25">
      <c r="A26" s="333" t="s">
        <v>194</v>
      </c>
      <c r="B26" s="333" t="s">
        <v>193</v>
      </c>
      <c r="C26" s="333">
        <v>97.573126000000002</v>
      </c>
      <c r="D26" s="333" t="s">
        <v>513</v>
      </c>
      <c r="E26" s="333" t="s">
        <v>554</v>
      </c>
      <c r="F26" s="333" t="s">
        <v>1090</v>
      </c>
      <c r="G26" s="335">
        <v>641</v>
      </c>
      <c r="H26" s="335">
        <v>2862</v>
      </c>
    </row>
    <row r="27" spans="1:8" x14ac:dyDescent="0.25">
      <c r="A27" s="333" t="s">
        <v>14</v>
      </c>
      <c r="B27" s="333" t="s">
        <v>13</v>
      </c>
      <c r="C27" s="333">
        <v>97.236919999999998</v>
      </c>
      <c r="D27" s="333" t="s">
        <v>511</v>
      </c>
      <c r="E27" s="333" t="s">
        <v>554</v>
      </c>
      <c r="F27" s="333" t="s">
        <v>460</v>
      </c>
      <c r="G27" s="335">
        <v>38</v>
      </c>
      <c r="H27" s="335">
        <v>231</v>
      </c>
    </row>
    <row r="28" spans="1:8" x14ac:dyDescent="0.25">
      <c r="A28" s="333" t="s">
        <v>813</v>
      </c>
      <c r="B28" s="333" t="s">
        <v>814</v>
      </c>
      <c r="C28" s="333">
        <v>97.541793999999996</v>
      </c>
      <c r="D28" s="333" t="s">
        <v>513</v>
      </c>
      <c r="E28" s="333" t="s">
        <v>986</v>
      </c>
      <c r="F28" s="333" t="s">
        <v>859</v>
      </c>
      <c r="G28" s="335"/>
      <c r="H28" s="335">
        <v>1047</v>
      </c>
    </row>
    <row r="29" spans="1:8" x14ac:dyDescent="0.25">
      <c r="A29" s="333" t="s">
        <v>253</v>
      </c>
      <c r="B29" s="333" t="s">
        <v>252</v>
      </c>
      <c r="C29" s="333">
        <v>97.373361000000003</v>
      </c>
      <c r="D29" s="333" t="s">
        <v>511</v>
      </c>
      <c r="E29" s="333" t="s">
        <v>554</v>
      </c>
      <c r="F29" s="333" t="s">
        <v>460</v>
      </c>
      <c r="G29" s="335">
        <v>198</v>
      </c>
      <c r="H29" s="335">
        <v>1107</v>
      </c>
    </row>
    <row r="30" spans="1:8" x14ac:dyDescent="0.25">
      <c r="A30" s="333" t="s">
        <v>255</v>
      </c>
      <c r="B30" s="333" t="s">
        <v>254</v>
      </c>
      <c r="C30" s="333">
        <v>97.379594999999995</v>
      </c>
      <c r="D30" s="333" t="s">
        <v>511</v>
      </c>
      <c r="E30" s="333" t="s">
        <v>554</v>
      </c>
      <c r="F30" s="333" t="s">
        <v>1090</v>
      </c>
      <c r="G30" s="335">
        <v>99</v>
      </c>
      <c r="H30" s="335">
        <v>454</v>
      </c>
    </row>
    <row r="31" spans="1:8" x14ac:dyDescent="0.25">
      <c r="A31" s="333" t="s">
        <v>196</v>
      </c>
      <c r="B31" s="333" t="s">
        <v>195</v>
      </c>
      <c r="C31" s="333">
        <v>97.568331999999998</v>
      </c>
      <c r="D31" s="333" t="s">
        <v>513</v>
      </c>
      <c r="E31" s="333" t="s">
        <v>554</v>
      </c>
      <c r="F31" s="333" t="s">
        <v>1090</v>
      </c>
      <c r="G31" s="335">
        <v>1649</v>
      </c>
      <c r="H31" s="335">
        <v>8965</v>
      </c>
    </row>
    <row r="32" spans="1:8" x14ac:dyDescent="0.25">
      <c r="A32" s="333" t="s">
        <v>372</v>
      </c>
      <c r="B32" s="333" t="s">
        <v>382</v>
      </c>
      <c r="C32" s="333">
        <v>97.848529999999997</v>
      </c>
      <c r="D32" s="333" t="s">
        <v>511</v>
      </c>
      <c r="E32" s="333" t="s">
        <v>554</v>
      </c>
      <c r="F32" s="333" t="s">
        <v>460</v>
      </c>
      <c r="G32" s="335">
        <v>88</v>
      </c>
      <c r="H32" s="335">
        <v>505</v>
      </c>
    </row>
    <row r="33" spans="1:8" x14ac:dyDescent="0.25">
      <c r="A33" s="333" t="s">
        <v>369</v>
      </c>
      <c r="B33" s="333" t="s">
        <v>383</v>
      </c>
      <c r="C33" s="333">
        <v>97.926813999999993</v>
      </c>
      <c r="D33" s="333" t="s">
        <v>511</v>
      </c>
      <c r="E33" s="333" t="s">
        <v>554</v>
      </c>
      <c r="F33" s="333" t="s">
        <v>460</v>
      </c>
      <c r="G33" s="335">
        <v>61</v>
      </c>
      <c r="H33" s="335">
        <v>289</v>
      </c>
    </row>
    <row r="34" spans="1:8" x14ac:dyDescent="0.25">
      <c r="A34" s="333" t="s">
        <v>370</v>
      </c>
      <c r="B34" s="333" t="s">
        <v>384</v>
      </c>
      <c r="C34" s="333">
        <v>97.947360000000003</v>
      </c>
      <c r="D34" s="333" t="s">
        <v>511</v>
      </c>
      <c r="E34" s="333" t="s">
        <v>554</v>
      </c>
      <c r="F34" s="333" t="s">
        <v>1262</v>
      </c>
      <c r="G34" s="335">
        <v>30</v>
      </c>
      <c r="H34" s="335">
        <v>138</v>
      </c>
    </row>
    <row r="35" spans="1:8" x14ac:dyDescent="0.25">
      <c r="A35" s="333" t="s">
        <v>257</v>
      </c>
      <c r="B35" s="333" t="s">
        <v>256</v>
      </c>
      <c r="C35" s="333">
        <v>97.405202777777802</v>
      </c>
      <c r="D35" s="333" t="s">
        <v>511</v>
      </c>
      <c r="E35" s="333" t="s">
        <v>554</v>
      </c>
      <c r="F35" s="333" t="s">
        <v>460</v>
      </c>
      <c r="G35" s="335">
        <v>17</v>
      </c>
      <c r="H35" s="335">
        <v>68</v>
      </c>
    </row>
    <row r="36" spans="1:8" x14ac:dyDescent="0.25">
      <c r="A36" s="333" t="s">
        <v>174</v>
      </c>
      <c r="B36" s="333" t="s">
        <v>172</v>
      </c>
      <c r="C36" s="333">
        <v>96.922619999999995</v>
      </c>
      <c r="D36" s="333" t="s">
        <v>511</v>
      </c>
      <c r="E36" s="333" t="s">
        <v>554</v>
      </c>
      <c r="F36" s="333" t="s">
        <v>460</v>
      </c>
      <c r="G36" s="335">
        <v>13</v>
      </c>
      <c r="H36" s="335">
        <v>65</v>
      </c>
    </row>
    <row r="37" spans="1:8" x14ac:dyDescent="0.25">
      <c r="A37" s="333" t="s">
        <v>198</v>
      </c>
      <c r="B37" s="333" t="s">
        <v>197</v>
      </c>
      <c r="C37" s="333">
        <v>97.625617000000005</v>
      </c>
      <c r="D37" s="333" t="s">
        <v>513</v>
      </c>
      <c r="E37" s="333" t="s">
        <v>554</v>
      </c>
      <c r="F37" s="333" t="s">
        <v>1089</v>
      </c>
      <c r="G37" s="335">
        <v>546</v>
      </c>
      <c r="H37" s="335">
        <v>2514</v>
      </c>
    </row>
    <row r="38" spans="1:8" x14ac:dyDescent="0.25">
      <c r="A38" s="333" t="s">
        <v>240</v>
      </c>
      <c r="B38" s="333" t="s">
        <v>239</v>
      </c>
      <c r="C38" s="333">
        <v>97.409035000000003</v>
      </c>
      <c r="D38" s="333" t="s">
        <v>511</v>
      </c>
      <c r="E38" s="333" t="s">
        <v>554</v>
      </c>
      <c r="F38" s="333" t="s">
        <v>460</v>
      </c>
      <c r="G38" s="335">
        <v>30</v>
      </c>
      <c r="H38" s="335">
        <v>178</v>
      </c>
    </row>
    <row r="39" spans="1:8" x14ac:dyDescent="0.25">
      <c r="A39" s="333" t="s">
        <v>285</v>
      </c>
      <c r="B39" s="333" t="s">
        <v>284</v>
      </c>
      <c r="C39" s="333">
        <v>97.403402307692303</v>
      </c>
      <c r="D39" s="333" t="s">
        <v>511</v>
      </c>
      <c r="E39" s="333" t="s">
        <v>554</v>
      </c>
      <c r="F39" s="333" t="s">
        <v>460</v>
      </c>
      <c r="G39" s="335">
        <v>85</v>
      </c>
      <c r="H39" s="335">
        <v>437</v>
      </c>
    </row>
    <row r="40" spans="1:8" x14ac:dyDescent="0.25">
      <c r="A40" s="333" t="s">
        <v>365</v>
      </c>
      <c r="B40" s="333" t="s">
        <v>378</v>
      </c>
      <c r="C40" s="333">
        <v>98.129990000000006</v>
      </c>
      <c r="D40" s="333" t="s">
        <v>511</v>
      </c>
      <c r="E40" s="333" t="s">
        <v>554</v>
      </c>
      <c r="F40" s="333" t="s">
        <v>505</v>
      </c>
      <c r="G40" s="335">
        <v>143</v>
      </c>
      <c r="H40" s="335">
        <v>637</v>
      </c>
    </row>
    <row r="41" spans="1:8" x14ac:dyDescent="0.25">
      <c r="A41" s="333" t="s">
        <v>90</v>
      </c>
      <c r="B41" s="333" t="s">
        <v>89</v>
      </c>
      <c r="C41" s="333">
        <v>96.269199999999998</v>
      </c>
      <c r="D41" s="333" t="s">
        <v>511</v>
      </c>
      <c r="E41" s="333" t="s">
        <v>554</v>
      </c>
      <c r="F41" s="333" t="s">
        <v>505</v>
      </c>
      <c r="G41" s="335">
        <v>25</v>
      </c>
      <c r="H41" s="335">
        <v>118</v>
      </c>
    </row>
    <row r="42" spans="1:8" x14ac:dyDescent="0.25">
      <c r="A42" s="333" t="s">
        <v>92</v>
      </c>
      <c r="B42" s="333" t="s">
        <v>91</v>
      </c>
      <c r="C42" s="333">
        <v>96.316400000000002</v>
      </c>
      <c r="D42" s="333" t="s">
        <v>511</v>
      </c>
      <c r="E42" s="333" t="s">
        <v>554</v>
      </c>
      <c r="F42" s="333" t="s">
        <v>505</v>
      </c>
      <c r="G42" s="335">
        <v>15</v>
      </c>
      <c r="H42" s="335">
        <v>73</v>
      </c>
    </row>
    <row r="43" spans="1:8" x14ac:dyDescent="0.25">
      <c r="A43" s="333" t="s">
        <v>18</v>
      </c>
      <c r="B43" s="333" t="s">
        <v>17</v>
      </c>
      <c r="C43" s="333">
        <v>97.240183461538507</v>
      </c>
      <c r="D43" s="333" t="s">
        <v>511</v>
      </c>
      <c r="E43" s="333" t="s">
        <v>554</v>
      </c>
      <c r="F43" s="333" t="s">
        <v>505</v>
      </c>
      <c r="G43" s="335">
        <v>116</v>
      </c>
      <c r="H43" s="335">
        <v>659</v>
      </c>
    </row>
    <row r="44" spans="1:8" x14ac:dyDescent="0.25">
      <c r="A44" s="333" t="s">
        <v>186</v>
      </c>
      <c r="B44" s="333" t="s">
        <v>184</v>
      </c>
      <c r="C44" s="333">
        <v>97.718582999999995</v>
      </c>
      <c r="D44" s="333" t="s">
        <v>511</v>
      </c>
      <c r="E44" s="333" t="s">
        <v>554</v>
      </c>
      <c r="F44" s="333" t="s">
        <v>460</v>
      </c>
      <c r="G44" s="335">
        <v>39</v>
      </c>
      <c r="H44" s="335">
        <v>233</v>
      </c>
    </row>
    <row r="45" spans="1:8" x14ac:dyDescent="0.25">
      <c r="A45" s="333" t="s">
        <v>223</v>
      </c>
      <c r="B45" s="333" t="s">
        <v>222</v>
      </c>
      <c r="C45" s="333">
        <v>97.724566999999993</v>
      </c>
      <c r="D45" s="333" t="s">
        <v>511</v>
      </c>
      <c r="E45" s="333" t="s">
        <v>554</v>
      </c>
      <c r="F45" s="333" t="s">
        <v>1089</v>
      </c>
      <c r="G45" s="335">
        <v>124</v>
      </c>
      <c r="H45" s="335">
        <v>651</v>
      </c>
    </row>
    <row r="46" spans="1:8" x14ac:dyDescent="0.25">
      <c r="A46" s="333" t="s">
        <v>190</v>
      </c>
      <c r="B46" s="333" t="s">
        <v>189</v>
      </c>
      <c r="C46" s="333">
        <v>97.717133000000004</v>
      </c>
      <c r="D46" s="333" t="s">
        <v>511</v>
      </c>
      <c r="E46" s="333" t="s">
        <v>554</v>
      </c>
      <c r="F46" s="333" t="s">
        <v>460</v>
      </c>
      <c r="G46" s="335">
        <v>192</v>
      </c>
      <c r="H46" s="335">
        <v>1044</v>
      </c>
    </row>
    <row r="47" spans="1:8" x14ac:dyDescent="0.25">
      <c r="A47" s="333" t="s">
        <v>320</v>
      </c>
      <c r="B47" s="333" t="s">
        <v>319</v>
      </c>
      <c r="C47" s="333">
        <v>97.451965000000001</v>
      </c>
      <c r="D47" s="333" t="s">
        <v>511</v>
      </c>
      <c r="E47" s="333" t="s">
        <v>554</v>
      </c>
      <c r="F47" s="333" t="s">
        <v>460</v>
      </c>
      <c r="G47" s="335">
        <v>30</v>
      </c>
      <c r="H47" s="335">
        <v>113</v>
      </c>
    </row>
    <row r="48" spans="1:8" x14ac:dyDescent="0.25">
      <c r="A48" s="333" t="s">
        <v>322</v>
      </c>
      <c r="B48" s="333" t="s">
        <v>321</v>
      </c>
      <c r="C48" s="333">
        <v>97.715230000000005</v>
      </c>
      <c r="D48" s="333" t="s">
        <v>513</v>
      </c>
      <c r="E48" s="333" t="s">
        <v>554</v>
      </c>
      <c r="F48" s="333" t="s">
        <v>1090</v>
      </c>
      <c r="G48" s="335">
        <v>585</v>
      </c>
      <c r="H48" s="335">
        <v>2585</v>
      </c>
    </row>
    <row r="49" spans="1:8" x14ac:dyDescent="0.25">
      <c r="A49" s="333" t="s">
        <v>328</v>
      </c>
      <c r="B49" s="333" t="s">
        <v>327</v>
      </c>
      <c r="C49" s="333">
        <v>97.433419259259296</v>
      </c>
      <c r="D49" s="333" t="s">
        <v>511</v>
      </c>
      <c r="E49" s="333" t="s">
        <v>554</v>
      </c>
      <c r="F49" s="333" t="s">
        <v>505</v>
      </c>
      <c r="G49" s="335">
        <v>149</v>
      </c>
      <c r="H49" s="335">
        <v>841</v>
      </c>
    </row>
    <row r="50" spans="1:8" x14ac:dyDescent="0.25">
      <c r="A50" s="333" t="s">
        <v>330</v>
      </c>
      <c r="B50" s="333" t="s">
        <v>329</v>
      </c>
      <c r="C50" s="333">
        <v>97.437782499999997</v>
      </c>
      <c r="D50" s="333" t="s">
        <v>511</v>
      </c>
      <c r="E50" s="333" t="s">
        <v>554</v>
      </c>
      <c r="F50" s="333" t="s">
        <v>1090</v>
      </c>
      <c r="G50" s="335">
        <v>223</v>
      </c>
      <c r="H50" s="335">
        <v>1228</v>
      </c>
    </row>
    <row r="51" spans="1:8" x14ac:dyDescent="0.25">
      <c r="A51" s="333" t="s">
        <v>324</v>
      </c>
      <c r="B51" s="333" t="s">
        <v>323</v>
      </c>
      <c r="C51" s="333">
        <v>97.434855869565197</v>
      </c>
      <c r="D51" s="333" t="s">
        <v>511</v>
      </c>
      <c r="E51" s="333" t="s">
        <v>554</v>
      </c>
      <c r="F51" s="333" t="s">
        <v>460</v>
      </c>
      <c r="G51" s="335">
        <v>410</v>
      </c>
      <c r="H51" s="335">
        <v>2135</v>
      </c>
    </row>
    <row r="52" spans="1:8" x14ac:dyDescent="0.25">
      <c r="A52" s="333" t="s">
        <v>326</v>
      </c>
      <c r="B52" s="333" t="s">
        <v>325</v>
      </c>
      <c r="C52" s="333">
        <v>97.426536944444507</v>
      </c>
      <c r="D52" s="333" t="s">
        <v>511</v>
      </c>
      <c r="E52" s="333" t="s">
        <v>554</v>
      </c>
      <c r="F52" s="333" t="s">
        <v>460</v>
      </c>
      <c r="G52" s="335">
        <v>38</v>
      </c>
      <c r="H52" s="335">
        <v>148</v>
      </c>
    </row>
    <row r="53" spans="1:8" x14ac:dyDescent="0.25">
      <c r="A53" s="333" t="s">
        <v>885</v>
      </c>
      <c r="B53" s="333" t="s">
        <v>886</v>
      </c>
      <c r="C53" s="333">
        <v>97.225881000000001</v>
      </c>
      <c r="D53" s="333" t="s">
        <v>511</v>
      </c>
      <c r="E53" s="333" t="s">
        <v>554</v>
      </c>
      <c r="F53" s="333" t="s">
        <v>460</v>
      </c>
      <c r="G53" s="335">
        <v>374</v>
      </c>
      <c r="H53" s="335">
        <v>1662</v>
      </c>
    </row>
    <row r="54" spans="1:8" x14ac:dyDescent="0.25">
      <c r="A54" s="333" t="s">
        <v>942</v>
      </c>
      <c r="B54" s="333" t="s">
        <v>941</v>
      </c>
      <c r="C54" s="333">
        <v>97.227057000000002</v>
      </c>
      <c r="D54" s="333" t="s">
        <v>511</v>
      </c>
      <c r="E54" s="333" t="s">
        <v>554</v>
      </c>
      <c r="F54" s="333" t="s">
        <v>1089</v>
      </c>
      <c r="G54" s="335">
        <v>140</v>
      </c>
      <c r="H54" s="335">
        <v>639</v>
      </c>
    </row>
    <row r="55" spans="1:8" x14ac:dyDescent="0.25">
      <c r="A55" s="333" t="s">
        <v>259</v>
      </c>
      <c r="B55" s="333" t="s">
        <v>258</v>
      </c>
      <c r="C55" s="333">
        <v>97.4113064583333</v>
      </c>
      <c r="D55" s="333" t="s">
        <v>511</v>
      </c>
      <c r="E55" s="333" t="s">
        <v>554</v>
      </c>
      <c r="F55" s="333" t="s">
        <v>460</v>
      </c>
      <c r="G55" s="335">
        <v>60</v>
      </c>
      <c r="H55" s="335">
        <v>294</v>
      </c>
    </row>
    <row r="56" spans="1:8" x14ac:dyDescent="0.25">
      <c r="A56" s="333" t="s">
        <v>202</v>
      </c>
      <c r="B56" s="333" t="s">
        <v>201</v>
      </c>
      <c r="C56" s="333">
        <v>97.325019999999995</v>
      </c>
      <c r="D56" s="333" t="s">
        <v>511</v>
      </c>
      <c r="E56" s="333" t="s">
        <v>554</v>
      </c>
      <c r="F56" s="333" t="s">
        <v>1089</v>
      </c>
      <c r="G56" s="335">
        <v>263</v>
      </c>
      <c r="H56" s="335">
        <v>1169</v>
      </c>
    </row>
    <row r="57" spans="1:8" x14ac:dyDescent="0.25">
      <c r="A57" s="333" t="s">
        <v>261</v>
      </c>
      <c r="B57" s="333" t="s">
        <v>260</v>
      </c>
      <c r="C57" s="333">
        <v>97.418694000000002</v>
      </c>
      <c r="D57" s="333" t="s">
        <v>511</v>
      </c>
      <c r="E57" s="333" t="s">
        <v>554</v>
      </c>
      <c r="F57" s="333" t="s">
        <v>460</v>
      </c>
      <c r="G57" s="335">
        <v>92</v>
      </c>
      <c r="H57" s="335">
        <v>391</v>
      </c>
    </row>
    <row r="58" spans="1:8" x14ac:dyDescent="0.25">
      <c r="A58" s="333" t="s">
        <v>160</v>
      </c>
      <c r="B58" s="333" t="s">
        <v>159</v>
      </c>
      <c r="C58" s="333">
        <v>97.589979999999997</v>
      </c>
      <c r="D58" s="333" t="s">
        <v>511</v>
      </c>
      <c r="E58" s="333" t="s">
        <v>554</v>
      </c>
      <c r="F58" s="333" t="s">
        <v>460</v>
      </c>
      <c r="G58" s="335">
        <v>107</v>
      </c>
      <c r="H58" s="335">
        <v>528</v>
      </c>
    </row>
    <row r="59" spans="1:8" x14ac:dyDescent="0.25">
      <c r="A59" s="333" t="s">
        <v>1095</v>
      </c>
      <c r="B59" s="333" t="s">
        <v>1096</v>
      </c>
      <c r="C59" s="333">
        <v>97.590767</v>
      </c>
      <c r="D59" s="333" t="s">
        <v>511</v>
      </c>
      <c r="E59" s="333" t="s">
        <v>554</v>
      </c>
      <c r="F59" s="333" t="s">
        <v>460</v>
      </c>
      <c r="G59" s="335">
        <v>114</v>
      </c>
      <c r="H59" s="335">
        <v>515</v>
      </c>
    </row>
    <row r="60" spans="1:8" x14ac:dyDescent="0.25">
      <c r="A60" s="333" t="s">
        <v>154</v>
      </c>
      <c r="B60" s="333" t="s">
        <v>153</v>
      </c>
      <c r="C60" s="333">
        <v>97.578490000000002</v>
      </c>
      <c r="D60" s="333" t="s">
        <v>511</v>
      </c>
      <c r="E60" s="333" t="s">
        <v>554</v>
      </c>
      <c r="F60" s="333" t="s">
        <v>1089</v>
      </c>
      <c r="G60" s="335">
        <v>440</v>
      </c>
      <c r="H60" s="335">
        <v>2236</v>
      </c>
    </row>
    <row r="61" spans="1:8" x14ac:dyDescent="0.25">
      <c r="A61" s="333" t="s">
        <v>1061</v>
      </c>
      <c r="B61" s="333" t="s">
        <v>1062</v>
      </c>
      <c r="C61" s="333">
        <v>97.578367</v>
      </c>
      <c r="D61" s="333" t="s">
        <v>511</v>
      </c>
      <c r="E61" s="333" t="s">
        <v>554</v>
      </c>
      <c r="F61" s="333" t="s">
        <v>1089</v>
      </c>
      <c r="G61" s="335">
        <v>112</v>
      </c>
      <c r="H61" s="335">
        <v>524</v>
      </c>
    </row>
    <row r="62" spans="1:8" x14ac:dyDescent="0.25">
      <c r="A62" s="333" t="s">
        <v>167</v>
      </c>
      <c r="B62" s="333" t="s">
        <v>165</v>
      </c>
      <c r="C62" s="333">
        <v>97.124403000000001</v>
      </c>
      <c r="D62" s="333" t="s">
        <v>511</v>
      </c>
      <c r="E62" s="333" t="s">
        <v>554</v>
      </c>
      <c r="F62" s="333" t="s">
        <v>460</v>
      </c>
      <c r="G62" s="335">
        <v>36</v>
      </c>
      <c r="H62" s="335">
        <v>173</v>
      </c>
    </row>
    <row r="63" spans="1:8" x14ac:dyDescent="0.25">
      <c r="A63" s="333" t="s">
        <v>822</v>
      </c>
      <c r="B63" s="333" t="s">
        <v>823</v>
      </c>
      <c r="C63" s="333">
        <v>97.116680000000002</v>
      </c>
      <c r="D63" s="333" t="s">
        <v>511</v>
      </c>
      <c r="E63" s="333" t="s">
        <v>554</v>
      </c>
      <c r="F63" s="333" t="s">
        <v>1262</v>
      </c>
      <c r="G63" s="335">
        <v>29</v>
      </c>
      <c r="H63" s="335">
        <v>178</v>
      </c>
    </row>
    <row r="64" spans="1:8" x14ac:dyDescent="0.25">
      <c r="A64" s="333" t="s">
        <v>176</v>
      </c>
      <c r="B64" s="333" t="s">
        <v>175</v>
      </c>
      <c r="C64" s="333">
        <v>96.942279999999997</v>
      </c>
      <c r="D64" s="333" t="s">
        <v>511</v>
      </c>
      <c r="E64" s="333" t="s">
        <v>554</v>
      </c>
      <c r="F64" s="333" t="s">
        <v>460</v>
      </c>
      <c r="G64" s="335">
        <v>15</v>
      </c>
      <c r="H64" s="335">
        <v>70</v>
      </c>
    </row>
    <row r="65" spans="1:8" x14ac:dyDescent="0.25">
      <c r="A65" s="333" t="s">
        <v>152</v>
      </c>
      <c r="B65" s="333" t="s">
        <v>150</v>
      </c>
      <c r="C65" s="333">
        <v>97.291820000000001</v>
      </c>
      <c r="D65" s="333" t="s">
        <v>511</v>
      </c>
      <c r="E65" s="333" t="s">
        <v>554</v>
      </c>
      <c r="F65" s="333" t="s">
        <v>460</v>
      </c>
      <c r="G65" s="335">
        <v>197</v>
      </c>
      <c r="H65" s="335">
        <v>878</v>
      </c>
    </row>
    <row r="66" spans="1:8" x14ac:dyDescent="0.25">
      <c r="A66" s="333" t="s">
        <v>263</v>
      </c>
      <c r="B66" s="333" t="s">
        <v>262</v>
      </c>
      <c r="C66" s="333">
        <v>97.2843958974359</v>
      </c>
      <c r="D66" s="333" t="s">
        <v>511</v>
      </c>
      <c r="E66" s="333" t="s">
        <v>554</v>
      </c>
      <c r="F66" s="333" t="s">
        <v>505</v>
      </c>
      <c r="G66" s="335">
        <v>21</v>
      </c>
      <c r="H66" s="335">
        <v>98</v>
      </c>
    </row>
    <row r="67" spans="1:8" x14ac:dyDescent="0.25">
      <c r="A67" s="333" t="s">
        <v>265</v>
      </c>
      <c r="B67" s="333" t="s">
        <v>264</v>
      </c>
      <c r="C67" s="333">
        <v>97.290952037037002</v>
      </c>
      <c r="D67" s="333" t="s">
        <v>511</v>
      </c>
      <c r="E67" s="333" t="s">
        <v>554</v>
      </c>
      <c r="F67" s="333" t="s">
        <v>505</v>
      </c>
      <c r="G67" s="335">
        <v>14</v>
      </c>
      <c r="H67" s="335">
        <v>71</v>
      </c>
    </row>
    <row r="68" spans="1:8" x14ac:dyDescent="0.25">
      <c r="A68" s="333" t="s">
        <v>100</v>
      </c>
      <c r="B68" s="333" t="s">
        <v>99</v>
      </c>
      <c r="C68" s="333">
        <v>96.319829999999996</v>
      </c>
      <c r="D68" s="333" t="s">
        <v>511</v>
      </c>
      <c r="E68" s="333" t="s">
        <v>554</v>
      </c>
      <c r="F68" s="333" t="s">
        <v>505</v>
      </c>
      <c r="G68" s="335">
        <v>4</v>
      </c>
      <c r="H68" s="335">
        <v>22</v>
      </c>
    </row>
    <row r="69" spans="1:8" x14ac:dyDescent="0.25">
      <c r="A69" s="333" t="s">
        <v>368</v>
      </c>
      <c r="B69" s="333" t="s">
        <v>385</v>
      </c>
      <c r="C69" s="333">
        <v>97.793019999999999</v>
      </c>
      <c r="D69" s="333" t="s">
        <v>511</v>
      </c>
      <c r="E69" s="333" t="s">
        <v>554</v>
      </c>
      <c r="F69" s="333" t="s">
        <v>460</v>
      </c>
      <c r="G69" s="335">
        <v>69</v>
      </c>
      <c r="H69" s="335">
        <v>306</v>
      </c>
    </row>
    <row r="70" spans="1:8" x14ac:dyDescent="0.25">
      <c r="A70" s="333" t="s">
        <v>209</v>
      </c>
      <c r="B70" s="333" t="s">
        <v>208</v>
      </c>
      <c r="C70" s="333">
        <v>97.344359999999995</v>
      </c>
      <c r="D70" s="333" t="s">
        <v>511</v>
      </c>
      <c r="E70" s="333" t="s">
        <v>554</v>
      </c>
      <c r="F70" s="333" t="s">
        <v>460</v>
      </c>
      <c r="G70" s="335">
        <v>226</v>
      </c>
      <c r="H70" s="335">
        <v>1830</v>
      </c>
    </row>
    <row r="71" spans="1:8" x14ac:dyDescent="0.25">
      <c r="A71" s="333" t="s">
        <v>371</v>
      </c>
      <c r="B71" s="333" t="s">
        <v>147</v>
      </c>
      <c r="C71" s="333">
        <v>98.220614999999995</v>
      </c>
      <c r="D71" s="333" t="s">
        <v>511</v>
      </c>
      <c r="E71" s="333" t="s">
        <v>554</v>
      </c>
      <c r="F71" s="333" t="s">
        <v>460</v>
      </c>
      <c r="G71" s="335">
        <v>49</v>
      </c>
      <c r="H71" s="335">
        <v>267</v>
      </c>
    </row>
    <row r="72" spans="1:8" x14ac:dyDescent="0.25">
      <c r="A72" s="333" t="s">
        <v>1102</v>
      </c>
      <c r="B72" s="333" t="s">
        <v>1101</v>
      </c>
      <c r="C72" s="333">
        <v>98.248999999999995</v>
      </c>
      <c r="D72" s="333" t="s">
        <v>511</v>
      </c>
      <c r="E72" s="333" t="s">
        <v>554</v>
      </c>
      <c r="F72" s="333" t="s">
        <v>1262</v>
      </c>
      <c r="G72" s="335">
        <v>22</v>
      </c>
      <c r="H72" s="335">
        <v>111</v>
      </c>
    </row>
    <row r="73" spans="1:8" x14ac:dyDescent="0.25">
      <c r="A73" s="333" t="s">
        <v>1053</v>
      </c>
      <c r="B73" s="333" t="s">
        <v>1054</v>
      </c>
      <c r="C73" s="333">
        <v>97.909400000000005</v>
      </c>
      <c r="D73" s="333" t="s">
        <v>511</v>
      </c>
      <c r="E73" s="333" t="s">
        <v>554</v>
      </c>
      <c r="F73" s="333" t="s">
        <v>460</v>
      </c>
      <c r="G73" s="335">
        <v>51</v>
      </c>
      <c r="H73" s="335">
        <v>209</v>
      </c>
    </row>
    <row r="74" spans="1:8" x14ac:dyDescent="0.25">
      <c r="A74" s="333" t="s">
        <v>1063</v>
      </c>
      <c r="B74" s="333" t="s">
        <v>1064</v>
      </c>
      <c r="C74" s="333">
        <v>97.911647000000002</v>
      </c>
      <c r="D74" s="333" t="s">
        <v>511</v>
      </c>
      <c r="E74" s="333" t="s">
        <v>554</v>
      </c>
      <c r="F74" s="333" t="s">
        <v>1262</v>
      </c>
      <c r="G74" s="335">
        <v>25</v>
      </c>
      <c r="H74" s="335">
        <v>113</v>
      </c>
    </row>
    <row r="75" spans="1:8" x14ac:dyDescent="0.25">
      <c r="A75" s="333" t="s">
        <v>8</v>
      </c>
      <c r="B75" s="333" t="s">
        <v>7</v>
      </c>
      <c r="C75" s="333">
        <v>97.234200000000001</v>
      </c>
      <c r="D75" s="333" t="s">
        <v>511</v>
      </c>
      <c r="E75" s="333" t="s">
        <v>554</v>
      </c>
      <c r="F75" s="333" t="s">
        <v>505</v>
      </c>
      <c r="G75" s="335">
        <v>14</v>
      </c>
      <c r="H75" s="335">
        <v>61</v>
      </c>
    </row>
    <row r="76" spans="1:8" x14ac:dyDescent="0.25">
      <c r="A76" s="333" t="s">
        <v>292</v>
      </c>
      <c r="B76" s="333" t="s">
        <v>291</v>
      </c>
      <c r="C76" s="333">
        <v>97.681970000000007</v>
      </c>
      <c r="D76" s="333" t="s">
        <v>511</v>
      </c>
      <c r="E76" s="333" t="s">
        <v>554</v>
      </c>
      <c r="F76" s="333" t="s">
        <v>460</v>
      </c>
      <c r="G76" s="335">
        <v>75</v>
      </c>
      <c r="H76" s="335">
        <v>373</v>
      </c>
    </row>
    <row r="77" spans="1:8" x14ac:dyDescent="0.25">
      <c r="A77" s="333" t="s">
        <v>290</v>
      </c>
      <c r="B77" s="333" t="s">
        <v>288</v>
      </c>
      <c r="C77" s="333">
        <v>97.669557999999995</v>
      </c>
      <c r="D77" s="333" t="s">
        <v>511</v>
      </c>
      <c r="E77" s="333" t="s">
        <v>554</v>
      </c>
      <c r="F77" s="333" t="s">
        <v>460</v>
      </c>
      <c r="G77" s="335">
        <v>69</v>
      </c>
      <c r="H77" s="335">
        <v>344</v>
      </c>
    </row>
    <row r="78" spans="1:8" x14ac:dyDescent="0.25">
      <c r="A78" s="333" t="s">
        <v>1055</v>
      </c>
      <c r="B78" s="333" t="s">
        <v>1056</v>
      </c>
      <c r="C78" s="333">
        <v>97.700940000000003</v>
      </c>
      <c r="D78" s="333" t="s">
        <v>511</v>
      </c>
      <c r="E78" s="333" t="s">
        <v>554</v>
      </c>
      <c r="F78" s="333" t="s">
        <v>460</v>
      </c>
      <c r="G78" s="335">
        <v>36</v>
      </c>
      <c r="H78" s="335">
        <v>201</v>
      </c>
    </row>
    <row r="79" spans="1:8" x14ac:dyDescent="0.25">
      <c r="A79" s="333" t="s">
        <v>374</v>
      </c>
      <c r="B79" s="333" t="s">
        <v>295</v>
      </c>
      <c r="C79" s="333">
        <v>97.670360000000002</v>
      </c>
      <c r="D79" s="333" t="s">
        <v>511</v>
      </c>
      <c r="E79" s="333" t="s">
        <v>554</v>
      </c>
      <c r="F79" s="333" t="s">
        <v>1262</v>
      </c>
      <c r="G79" s="335">
        <v>43</v>
      </c>
      <c r="H79" s="335">
        <v>215</v>
      </c>
    </row>
    <row r="80" spans="1:8" x14ac:dyDescent="0.25">
      <c r="A80" s="333" t="s">
        <v>149</v>
      </c>
      <c r="B80" s="333" t="s">
        <v>148</v>
      </c>
      <c r="C80" s="333">
        <v>97.818979999999996</v>
      </c>
      <c r="D80" s="333" t="s">
        <v>511</v>
      </c>
      <c r="E80" s="333" t="s">
        <v>554</v>
      </c>
      <c r="F80" s="333" t="s">
        <v>460</v>
      </c>
      <c r="G80" s="335">
        <v>64</v>
      </c>
      <c r="H80" s="335">
        <v>285</v>
      </c>
    </row>
    <row r="81" spans="1:8" x14ac:dyDescent="0.25">
      <c r="A81" s="333" t="s">
        <v>611</v>
      </c>
      <c r="B81" s="333" t="s">
        <v>46</v>
      </c>
      <c r="C81" s="333">
        <v>96.339590000000001</v>
      </c>
      <c r="D81" s="333" t="s">
        <v>511</v>
      </c>
      <c r="E81" s="333" t="s">
        <v>554</v>
      </c>
      <c r="F81" s="333" t="s">
        <v>505</v>
      </c>
      <c r="G81" s="335">
        <v>12</v>
      </c>
      <c r="H81" s="335">
        <v>50</v>
      </c>
    </row>
    <row r="82" spans="1:8" x14ac:dyDescent="0.25">
      <c r="A82" s="333" t="s">
        <v>821</v>
      </c>
      <c r="B82" s="333" t="s">
        <v>297</v>
      </c>
      <c r="C82" s="333">
        <v>97.404089999999997</v>
      </c>
      <c r="D82" s="333" t="s">
        <v>511</v>
      </c>
      <c r="E82" s="333" t="s">
        <v>554</v>
      </c>
      <c r="F82" s="333" t="s">
        <v>460</v>
      </c>
      <c r="G82" s="335">
        <v>8</v>
      </c>
      <c r="H82" s="335">
        <v>39</v>
      </c>
    </row>
    <row r="83" spans="1:8" x14ac:dyDescent="0.25">
      <c r="A83" s="333" t="s">
        <v>1067</v>
      </c>
      <c r="B83" s="333" t="s">
        <v>1060</v>
      </c>
      <c r="C83" s="333">
        <v>97.709879999999998</v>
      </c>
      <c r="D83" s="333" t="s">
        <v>511</v>
      </c>
      <c r="E83" s="333" t="s">
        <v>554</v>
      </c>
      <c r="F83" s="333" t="s">
        <v>460</v>
      </c>
      <c r="G83" s="335">
        <v>121</v>
      </c>
      <c r="H83" s="335">
        <v>570</v>
      </c>
    </row>
    <row r="84" spans="1:8" x14ac:dyDescent="0.25">
      <c r="A84" s="333" t="s">
        <v>271</v>
      </c>
      <c r="B84" s="333" t="s">
        <v>270</v>
      </c>
      <c r="C84" s="333">
        <v>97.359320179999997</v>
      </c>
      <c r="D84" s="333" t="s">
        <v>511</v>
      </c>
      <c r="E84" s="333" t="s">
        <v>554</v>
      </c>
      <c r="F84" s="333" t="s">
        <v>1090</v>
      </c>
      <c r="G84" s="335">
        <v>68</v>
      </c>
      <c r="H84" s="335">
        <v>333</v>
      </c>
    </row>
    <row r="85" spans="1:8" x14ac:dyDescent="0.25">
      <c r="A85" s="333" t="s">
        <v>20</v>
      </c>
      <c r="B85" s="333" t="s">
        <v>19</v>
      </c>
      <c r="C85" s="333">
        <v>97.315860000000001</v>
      </c>
      <c r="D85" s="333" t="s">
        <v>511</v>
      </c>
      <c r="E85" s="333" t="s">
        <v>554</v>
      </c>
      <c r="F85" s="333" t="s">
        <v>1089</v>
      </c>
      <c r="G85" s="335">
        <v>21</v>
      </c>
      <c r="H85" s="335">
        <v>111</v>
      </c>
    </row>
    <row r="86" spans="1:8" x14ac:dyDescent="0.25">
      <c r="A86" s="333" t="s">
        <v>108</v>
      </c>
      <c r="B86" s="333" t="s">
        <v>107</v>
      </c>
      <c r="C86" s="333">
        <v>96.341352999999998</v>
      </c>
      <c r="D86" s="333" t="s">
        <v>511</v>
      </c>
      <c r="E86" s="333" t="s">
        <v>554</v>
      </c>
      <c r="F86" s="333" t="s">
        <v>1090</v>
      </c>
      <c r="G86" s="335">
        <v>51</v>
      </c>
      <c r="H86" s="335">
        <v>225</v>
      </c>
    </row>
    <row r="87" spans="1:8" x14ac:dyDescent="0.25">
      <c r="A87" s="333" t="s">
        <v>178</v>
      </c>
      <c r="B87" s="333" t="s">
        <v>177</v>
      </c>
      <c r="C87" s="333">
        <v>96.948740000000001</v>
      </c>
      <c r="D87" s="333" t="s">
        <v>511</v>
      </c>
      <c r="E87" s="333" t="s">
        <v>554</v>
      </c>
      <c r="F87" s="333" t="s">
        <v>460</v>
      </c>
      <c r="G87" s="335">
        <v>12</v>
      </c>
      <c r="H87" s="335">
        <v>46</v>
      </c>
    </row>
    <row r="88" spans="1:8" x14ac:dyDescent="0.25">
      <c r="A88" s="333" t="s">
        <v>344</v>
      </c>
      <c r="B88" s="333" t="s">
        <v>343</v>
      </c>
      <c r="C88" s="333">
        <v>97.345039</v>
      </c>
      <c r="D88" s="333" t="s">
        <v>511</v>
      </c>
      <c r="E88" s="333" t="s">
        <v>554</v>
      </c>
      <c r="F88" s="333" t="s">
        <v>505</v>
      </c>
      <c r="G88" s="335">
        <v>18</v>
      </c>
      <c r="H88" s="335">
        <v>82</v>
      </c>
    </row>
    <row r="89" spans="1:8" x14ac:dyDescent="0.25">
      <c r="A89" s="333" t="s">
        <v>287</v>
      </c>
      <c r="B89" s="333" t="s">
        <v>286</v>
      </c>
      <c r="C89" s="333">
        <v>96.364949999999993</v>
      </c>
      <c r="D89" s="333" t="s">
        <v>511</v>
      </c>
      <c r="E89" s="333" t="s">
        <v>554</v>
      </c>
      <c r="F89" s="333" t="s">
        <v>460</v>
      </c>
      <c r="G89" s="335">
        <v>10</v>
      </c>
      <c r="H89" s="335">
        <v>60</v>
      </c>
    </row>
    <row r="90" spans="1:8" x14ac:dyDescent="0.25">
      <c r="A90" s="333" t="s">
        <v>215</v>
      </c>
      <c r="B90" s="333" t="s">
        <v>214</v>
      </c>
      <c r="C90" s="333">
        <v>97.669366999999994</v>
      </c>
      <c r="D90" s="333" t="s">
        <v>513</v>
      </c>
      <c r="E90" s="333" t="s">
        <v>554</v>
      </c>
      <c r="F90" s="333" t="s">
        <v>1089</v>
      </c>
      <c r="G90" s="335">
        <v>355</v>
      </c>
      <c r="H90" s="335">
        <v>1678</v>
      </c>
    </row>
    <row r="91" spans="1:8" x14ac:dyDescent="0.25">
      <c r="A91" s="333" t="s">
        <v>269</v>
      </c>
      <c r="B91" s="333" t="s">
        <v>268</v>
      </c>
      <c r="C91" s="333">
        <v>97.394547000000003</v>
      </c>
      <c r="D91" s="333" t="s">
        <v>511</v>
      </c>
      <c r="E91" s="333" t="s">
        <v>554</v>
      </c>
      <c r="F91" s="333" t="s">
        <v>460</v>
      </c>
      <c r="G91" s="335">
        <v>62</v>
      </c>
      <c r="H91" s="335">
        <v>264</v>
      </c>
    </row>
    <row r="92" spans="1:8" x14ac:dyDescent="0.25">
      <c r="A92" s="333" t="s">
        <v>229</v>
      </c>
      <c r="B92" s="333" t="s">
        <v>228</v>
      </c>
      <c r="C92" s="333">
        <v>97.724483000000006</v>
      </c>
      <c r="D92" s="333" t="s">
        <v>511</v>
      </c>
      <c r="E92" s="333" t="s">
        <v>554</v>
      </c>
      <c r="F92" s="333" t="s">
        <v>460</v>
      </c>
      <c r="G92" s="335">
        <v>49</v>
      </c>
      <c r="H92" s="335">
        <v>295</v>
      </c>
    </row>
    <row r="93" spans="1:8" x14ac:dyDescent="0.25">
      <c r="A93" s="333" t="s">
        <v>273</v>
      </c>
      <c r="B93" s="333" t="s">
        <v>272</v>
      </c>
      <c r="C93" s="333">
        <v>97.4345</v>
      </c>
      <c r="D93" s="333" t="s">
        <v>511</v>
      </c>
      <c r="E93" s="333" t="s">
        <v>554</v>
      </c>
      <c r="F93" s="333" t="s">
        <v>1090</v>
      </c>
      <c r="G93" s="335">
        <v>46</v>
      </c>
      <c r="H93" s="335">
        <v>278</v>
      </c>
    </row>
    <row r="94" spans="1:8" x14ac:dyDescent="0.25">
      <c r="A94" s="333" t="s">
        <v>219</v>
      </c>
      <c r="B94" s="333" t="s">
        <v>218</v>
      </c>
      <c r="C94" s="333">
        <v>97.752667000000002</v>
      </c>
      <c r="D94" s="333" t="s">
        <v>513</v>
      </c>
      <c r="E94" s="333" t="s">
        <v>554</v>
      </c>
      <c r="F94" s="333" t="s">
        <v>1089</v>
      </c>
      <c r="G94" s="335">
        <v>669</v>
      </c>
      <c r="H94" s="335">
        <v>3643</v>
      </c>
    </row>
    <row r="95" spans="1:8" x14ac:dyDescent="0.25">
      <c r="A95" s="333" t="s">
        <v>864</v>
      </c>
      <c r="B95" s="333" t="s">
        <v>863</v>
      </c>
      <c r="C95" s="333">
        <v>98.377780000000001</v>
      </c>
      <c r="D95" s="333" t="s">
        <v>511</v>
      </c>
      <c r="E95" s="333" t="s">
        <v>554</v>
      </c>
      <c r="F95" s="333" t="s">
        <v>1090</v>
      </c>
      <c r="G95" s="335">
        <v>61</v>
      </c>
      <c r="H95" s="335">
        <v>273</v>
      </c>
    </row>
    <row r="96" spans="1:8" x14ac:dyDescent="0.25">
      <c r="A96" s="333" t="s">
        <v>366</v>
      </c>
      <c r="B96" s="333" t="s">
        <v>376</v>
      </c>
      <c r="C96" s="333">
        <v>97.252650000000003</v>
      </c>
      <c r="D96" s="333" t="s">
        <v>511</v>
      </c>
      <c r="E96" s="333" t="s">
        <v>554</v>
      </c>
      <c r="F96" s="333" t="s">
        <v>460</v>
      </c>
      <c r="G96" s="335">
        <v>150</v>
      </c>
      <c r="H96" s="335">
        <v>761</v>
      </c>
    </row>
    <row r="97" spans="1:8" x14ac:dyDescent="0.25">
      <c r="A97" s="333" t="s">
        <v>355</v>
      </c>
      <c r="B97" s="333" t="s">
        <v>354</v>
      </c>
      <c r="C97" s="333">
        <v>97.990555999999998</v>
      </c>
      <c r="D97" s="333" t="s">
        <v>513</v>
      </c>
      <c r="E97" s="333" t="s">
        <v>554</v>
      </c>
      <c r="F97" s="333" t="s">
        <v>1090</v>
      </c>
      <c r="G97" s="335">
        <v>98</v>
      </c>
      <c r="H97" s="335">
        <v>563</v>
      </c>
    </row>
    <row r="98" spans="1:8" x14ac:dyDescent="0.25">
      <c r="A98" s="333" t="s">
        <v>318</v>
      </c>
      <c r="B98" s="333" t="s">
        <v>317</v>
      </c>
      <c r="C98" s="333">
        <v>97.441166388888902</v>
      </c>
      <c r="D98" s="333" t="s">
        <v>511</v>
      </c>
      <c r="E98" s="333" t="s">
        <v>554</v>
      </c>
      <c r="F98" s="333" t="s">
        <v>505</v>
      </c>
      <c r="G98" s="335">
        <v>91</v>
      </c>
      <c r="H98" s="335">
        <v>329</v>
      </c>
    </row>
    <row r="99" spans="1:8" x14ac:dyDescent="0.25">
      <c r="A99" s="333" t="s">
        <v>342</v>
      </c>
      <c r="B99" s="333" t="s">
        <v>341</v>
      </c>
      <c r="C99" s="333">
        <v>97.438432380952406</v>
      </c>
      <c r="D99" s="333" t="s">
        <v>511</v>
      </c>
      <c r="E99" s="333" t="s">
        <v>554</v>
      </c>
      <c r="F99" s="333" t="s">
        <v>460</v>
      </c>
      <c r="G99" s="335">
        <v>31</v>
      </c>
      <c r="H99" s="335">
        <v>170</v>
      </c>
    </row>
    <row r="100" spans="1:8" x14ac:dyDescent="0.25">
      <c r="A100" s="333" t="s">
        <v>338</v>
      </c>
      <c r="B100" s="333" t="s">
        <v>337</v>
      </c>
      <c r="C100" s="333">
        <v>97.437472666666693</v>
      </c>
      <c r="D100" s="333" t="s">
        <v>511</v>
      </c>
      <c r="E100" s="333" t="s">
        <v>554</v>
      </c>
      <c r="F100" s="333" t="s">
        <v>505</v>
      </c>
      <c r="G100" s="335">
        <v>31</v>
      </c>
      <c r="H100" s="335">
        <v>172</v>
      </c>
    </row>
    <row r="101" spans="1:8" x14ac:dyDescent="0.25">
      <c r="A101" s="333" t="s">
        <v>351</v>
      </c>
      <c r="B101" s="333" t="s">
        <v>350</v>
      </c>
      <c r="C101" s="333">
        <v>97.432495000000003</v>
      </c>
      <c r="D101" s="333" t="s">
        <v>511</v>
      </c>
      <c r="E101" s="333" t="s">
        <v>554</v>
      </c>
      <c r="F101" s="333" t="s">
        <v>505</v>
      </c>
      <c r="G101" s="335">
        <v>87</v>
      </c>
      <c r="H101" s="335">
        <v>479</v>
      </c>
    </row>
    <row r="102" spans="1:8" x14ac:dyDescent="0.25">
      <c r="A102" s="333" t="s">
        <v>118</v>
      </c>
      <c r="B102" s="333" t="s">
        <v>117</v>
      </c>
      <c r="C102" s="333">
        <v>96.279200000000003</v>
      </c>
      <c r="D102" s="333" t="s">
        <v>511</v>
      </c>
      <c r="E102" s="333" t="s">
        <v>554</v>
      </c>
      <c r="F102" s="333" t="s">
        <v>505</v>
      </c>
      <c r="G102" s="335">
        <v>10</v>
      </c>
      <c r="H102" s="335">
        <v>39</v>
      </c>
    </row>
    <row r="103" spans="1:8" x14ac:dyDescent="0.25">
      <c r="A103" s="333" t="s">
        <v>22</v>
      </c>
      <c r="B103" s="333" t="s">
        <v>21</v>
      </c>
      <c r="C103" s="333">
        <v>97.229116811594196</v>
      </c>
      <c r="D103" s="333" t="s">
        <v>511</v>
      </c>
      <c r="E103" s="333" t="s">
        <v>554</v>
      </c>
      <c r="F103" s="333" t="s">
        <v>460</v>
      </c>
      <c r="G103" s="335">
        <v>626</v>
      </c>
      <c r="H103" s="335">
        <v>3828</v>
      </c>
    </row>
    <row r="104" spans="1:8" x14ac:dyDescent="0.25">
      <c r="A104" s="333" t="s">
        <v>124</v>
      </c>
      <c r="B104" s="333" t="s">
        <v>123</v>
      </c>
      <c r="C104" s="333">
        <v>96.353030000000004</v>
      </c>
      <c r="D104" s="333" t="s">
        <v>511</v>
      </c>
      <c r="E104" s="333" t="s">
        <v>554</v>
      </c>
      <c r="F104" s="333" t="s">
        <v>460</v>
      </c>
      <c r="G104" s="335">
        <v>8</v>
      </c>
      <c r="H104" s="335">
        <v>36</v>
      </c>
    </row>
    <row r="105" spans="1:8" x14ac:dyDescent="0.25">
      <c r="A105" s="333" t="s">
        <v>1019</v>
      </c>
      <c r="B105" s="333" t="s">
        <v>1020</v>
      </c>
      <c r="C105" s="333">
        <v>98.356260000000006</v>
      </c>
      <c r="D105" s="333" t="s">
        <v>511</v>
      </c>
      <c r="E105" s="333" t="s">
        <v>554</v>
      </c>
      <c r="F105" s="333" t="s">
        <v>1090</v>
      </c>
      <c r="G105" s="335">
        <v>31</v>
      </c>
      <c r="H105" s="335">
        <v>180</v>
      </c>
    </row>
    <row r="106" spans="1:8" x14ac:dyDescent="0.25">
      <c r="A106" s="333" t="s">
        <v>225</v>
      </c>
      <c r="B106" s="333" t="s">
        <v>224</v>
      </c>
      <c r="C106" s="333">
        <v>97.710864000000001</v>
      </c>
      <c r="D106" s="333" t="s">
        <v>511</v>
      </c>
      <c r="E106" s="333" t="s">
        <v>554</v>
      </c>
      <c r="F106" s="333" t="s">
        <v>460</v>
      </c>
      <c r="G106" s="335">
        <v>41</v>
      </c>
      <c r="H106" s="335">
        <v>258</v>
      </c>
    </row>
    <row r="107" spans="1:8" x14ac:dyDescent="0.25">
      <c r="A107" s="333" t="s">
        <v>277</v>
      </c>
      <c r="B107" s="333" t="s">
        <v>276</v>
      </c>
      <c r="C107" s="333">
        <v>97.399628000000007</v>
      </c>
      <c r="D107" s="333" t="s">
        <v>511</v>
      </c>
      <c r="E107" s="333" t="s">
        <v>554</v>
      </c>
      <c r="F107" s="333" t="s">
        <v>460</v>
      </c>
      <c r="G107" s="335">
        <v>88</v>
      </c>
      <c r="H107" s="335">
        <v>394</v>
      </c>
    </row>
    <row r="108" spans="1:8" x14ac:dyDescent="0.25">
      <c r="A108" s="333" t="s">
        <v>279</v>
      </c>
      <c r="B108" s="333" t="s">
        <v>278</v>
      </c>
      <c r="C108" s="333">
        <v>97.418004999999994</v>
      </c>
      <c r="D108" s="333" t="s">
        <v>511</v>
      </c>
      <c r="E108" s="333" t="s">
        <v>554</v>
      </c>
      <c r="F108" s="333" t="s">
        <v>505</v>
      </c>
      <c r="G108" s="335">
        <v>22</v>
      </c>
      <c r="H108" s="335">
        <v>111</v>
      </c>
    </row>
    <row r="109" spans="1:8" x14ac:dyDescent="0.25">
      <c r="A109" s="333" t="s">
        <v>347</v>
      </c>
      <c r="B109" s="333" t="s">
        <v>346</v>
      </c>
      <c r="C109" s="333">
        <v>98.025662999999994</v>
      </c>
      <c r="D109" s="333" t="s">
        <v>511</v>
      </c>
      <c r="E109" s="333" t="s">
        <v>554</v>
      </c>
      <c r="F109" s="333" t="s">
        <v>460</v>
      </c>
      <c r="G109" s="335">
        <v>179</v>
      </c>
      <c r="H109" s="335">
        <v>947</v>
      </c>
    </row>
    <row r="110" spans="1:8" x14ac:dyDescent="0.25">
      <c r="A110" s="333" t="s">
        <v>306</v>
      </c>
      <c r="B110" s="333" t="s">
        <v>305</v>
      </c>
      <c r="C110" s="333">
        <v>96.807353000000006</v>
      </c>
      <c r="D110" s="333" t="s">
        <v>511</v>
      </c>
      <c r="E110" s="333" t="s">
        <v>554</v>
      </c>
      <c r="F110" s="333" t="s">
        <v>460</v>
      </c>
      <c r="G110" s="335">
        <v>86</v>
      </c>
      <c r="H110" s="335">
        <v>313</v>
      </c>
    </row>
    <row r="111" spans="1:8" x14ac:dyDescent="0.25">
      <c r="A111" s="333" t="s">
        <v>308</v>
      </c>
      <c r="B111" s="333" t="s">
        <v>307</v>
      </c>
      <c r="C111" s="333">
        <v>96.807353000000006</v>
      </c>
      <c r="D111" s="333" t="s">
        <v>511</v>
      </c>
      <c r="E111" s="333" t="s">
        <v>554</v>
      </c>
      <c r="F111" s="333" t="s">
        <v>1089</v>
      </c>
      <c r="G111" s="335">
        <v>40</v>
      </c>
      <c r="H111" s="335">
        <v>196</v>
      </c>
    </row>
    <row r="112" spans="1:8" x14ac:dyDescent="0.25">
      <c r="A112" s="333" t="s">
        <v>281</v>
      </c>
      <c r="B112" s="333" t="s">
        <v>280</v>
      </c>
      <c r="C112" s="333">
        <v>97.419403000000003</v>
      </c>
      <c r="D112" s="333" t="s">
        <v>511</v>
      </c>
      <c r="E112" s="333" t="s">
        <v>554</v>
      </c>
      <c r="F112" s="333" t="s">
        <v>460</v>
      </c>
      <c r="G112" s="335">
        <v>73</v>
      </c>
      <c r="H112" s="335">
        <v>416</v>
      </c>
    </row>
    <row r="113" spans="1:8" x14ac:dyDescent="0.25">
      <c r="A113" s="333" t="s">
        <v>181</v>
      </c>
      <c r="B113" s="333" t="s">
        <v>179</v>
      </c>
      <c r="C113" s="333">
        <v>96.367059999999995</v>
      </c>
      <c r="D113" s="333" t="s">
        <v>511</v>
      </c>
      <c r="E113" s="333" t="s">
        <v>554</v>
      </c>
      <c r="F113" s="333" t="s">
        <v>1090</v>
      </c>
      <c r="G113" s="335">
        <v>12</v>
      </c>
      <c r="H113" s="335">
        <v>55</v>
      </c>
    </row>
    <row r="114" spans="1:8" x14ac:dyDescent="0.25">
      <c r="A114" s="333" t="s">
        <v>808</v>
      </c>
      <c r="B114" s="333" t="s">
        <v>812</v>
      </c>
      <c r="C114" s="333">
        <v>97.568836000000005</v>
      </c>
      <c r="D114" s="333" t="s">
        <v>511</v>
      </c>
      <c r="E114" s="333" t="s">
        <v>554</v>
      </c>
      <c r="F114" s="333" t="s">
        <v>859</v>
      </c>
      <c r="G114" s="335">
        <v>5</v>
      </c>
      <c r="H114" s="335">
        <v>32</v>
      </c>
    </row>
    <row r="115" spans="1:8" x14ac:dyDescent="0.25">
      <c r="A115" s="333" t="s">
        <v>24</v>
      </c>
      <c r="B115" s="333" t="s">
        <v>23</v>
      </c>
      <c r="C115" s="333">
        <v>97.227789999999999</v>
      </c>
      <c r="D115" s="333" t="s">
        <v>511</v>
      </c>
      <c r="E115" s="333" t="s">
        <v>554</v>
      </c>
      <c r="F115" s="333" t="s">
        <v>505</v>
      </c>
      <c r="G115" s="335">
        <v>21</v>
      </c>
      <c r="H115" s="335">
        <v>95</v>
      </c>
    </row>
    <row r="116" spans="1:8" x14ac:dyDescent="0.25">
      <c r="A116" s="333" t="s">
        <v>238</v>
      </c>
      <c r="B116" s="333" t="s">
        <v>236</v>
      </c>
      <c r="C116" s="333">
        <v>97.386718999999999</v>
      </c>
      <c r="D116" s="333" t="s">
        <v>511</v>
      </c>
      <c r="E116" s="333" t="s">
        <v>554</v>
      </c>
      <c r="F116" s="333" t="s">
        <v>460</v>
      </c>
      <c r="G116" s="335">
        <v>48</v>
      </c>
      <c r="H116" s="335">
        <v>247</v>
      </c>
    </row>
    <row r="117" spans="1:8" x14ac:dyDescent="0.25">
      <c r="A117" s="333" t="s">
        <v>249</v>
      </c>
      <c r="B117" s="333" t="s">
        <v>248</v>
      </c>
      <c r="C117" s="333">
        <v>97.389778000000007</v>
      </c>
      <c r="D117" s="333" t="s">
        <v>511</v>
      </c>
      <c r="E117" s="333" t="s">
        <v>554</v>
      </c>
      <c r="F117" s="333" t="s">
        <v>505</v>
      </c>
      <c r="G117" s="335">
        <v>4</v>
      </c>
      <c r="H117" s="335">
        <v>21</v>
      </c>
    </row>
    <row r="118" spans="1:8" x14ac:dyDescent="0.25">
      <c r="A118" s="333" t="s">
        <v>251</v>
      </c>
      <c r="B118" s="333" t="s">
        <v>250</v>
      </c>
      <c r="C118" s="333">
        <v>97.377662999999998</v>
      </c>
      <c r="D118" s="333" t="s">
        <v>511</v>
      </c>
      <c r="E118" s="333" t="s">
        <v>554</v>
      </c>
      <c r="F118" s="333" t="s">
        <v>460</v>
      </c>
      <c r="G118" s="335">
        <v>26</v>
      </c>
      <c r="H118" s="335">
        <v>139</v>
      </c>
    </row>
    <row r="119" spans="1:8" x14ac:dyDescent="0.25">
      <c r="A119" s="333" t="s">
        <v>275</v>
      </c>
      <c r="B119" s="333" t="s">
        <v>274</v>
      </c>
      <c r="C119" s="333">
        <v>97.382192000000003</v>
      </c>
      <c r="D119" s="333" t="s">
        <v>511</v>
      </c>
      <c r="E119" s="333" t="s">
        <v>554</v>
      </c>
      <c r="F119" s="333" t="s">
        <v>460</v>
      </c>
      <c r="G119" s="335">
        <v>31</v>
      </c>
      <c r="H119" s="335">
        <v>154</v>
      </c>
    </row>
    <row r="120" spans="1:8" x14ac:dyDescent="0.25">
      <c r="A120" s="333" t="s">
        <v>349</v>
      </c>
      <c r="B120" s="333" t="s">
        <v>348</v>
      </c>
      <c r="C120" s="333">
        <v>97.428251153846105</v>
      </c>
      <c r="D120" s="333" t="s">
        <v>511</v>
      </c>
      <c r="E120" s="333" t="s">
        <v>554</v>
      </c>
      <c r="F120" s="333" t="s">
        <v>505</v>
      </c>
      <c r="G120" s="335">
        <v>44</v>
      </c>
      <c r="H120" s="335">
        <v>182</v>
      </c>
    </row>
    <row r="121" spans="1:8" x14ac:dyDescent="0.25">
      <c r="A121" s="333" t="s">
        <v>316</v>
      </c>
      <c r="B121" s="333" t="s">
        <v>315</v>
      </c>
      <c r="C121" s="333">
        <v>97.444283730158702</v>
      </c>
      <c r="D121" s="333" t="s">
        <v>511</v>
      </c>
      <c r="E121" s="333" t="s">
        <v>554</v>
      </c>
      <c r="F121" s="333" t="s">
        <v>505</v>
      </c>
      <c r="G121" s="335">
        <v>70</v>
      </c>
      <c r="H121" s="335">
        <v>288</v>
      </c>
    </row>
    <row r="122" spans="1:8" x14ac:dyDescent="0.25">
      <c r="A122" s="333" t="s">
        <v>126</v>
      </c>
      <c r="B122" s="333" t="s">
        <v>125</v>
      </c>
      <c r="C122" s="333">
        <v>96.286680000000004</v>
      </c>
      <c r="D122" s="333" t="s">
        <v>511</v>
      </c>
      <c r="E122" s="333" t="s">
        <v>554</v>
      </c>
      <c r="F122" s="333" t="s">
        <v>460</v>
      </c>
      <c r="G122" s="335">
        <v>35</v>
      </c>
      <c r="H122" s="335">
        <v>173</v>
      </c>
    </row>
    <row r="123" spans="1:8" x14ac:dyDescent="0.25">
      <c r="A123" s="333" t="s">
        <v>353</v>
      </c>
      <c r="B123" s="333" t="s">
        <v>352</v>
      </c>
      <c r="C123" s="333">
        <v>97.546893999999995</v>
      </c>
      <c r="D123" s="333" t="s">
        <v>513</v>
      </c>
      <c r="E123" s="333" t="s">
        <v>554</v>
      </c>
      <c r="F123" s="333" t="s">
        <v>1090</v>
      </c>
      <c r="G123" s="335">
        <v>1371</v>
      </c>
      <c r="H123" s="335">
        <v>6701</v>
      </c>
    </row>
    <row r="124" spans="1:8" x14ac:dyDescent="0.25">
      <c r="A124" s="333" t="s">
        <v>283</v>
      </c>
      <c r="B124" s="333" t="s">
        <v>282</v>
      </c>
      <c r="C124" s="333">
        <v>97.403878500000005</v>
      </c>
      <c r="D124" s="333" t="s">
        <v>511</v>
      </c>
      <c r="E124" s="333" t="s">
        <v>554</v>
      </c>
      <c r="F124" s="333" t="s">
        <v>505</v>
      </c>
      <c r="G124" s="335">
        <v>7</v>
      </c>
      <c r="H124" s="335">
        <v>37</v>
      </c>
    </row>
    <row r="125" spans="1:8" x14ac:dyDescent="0.25">
      <c r="A125" s="333" t="s">
        <v>26</v>
      </c>
      <c r="B125" s="333" t="s">
        <v>25</v>
      </c>
      <c r="C125" s="333">
        <v>97.240639999999999</v>
      </c>
      <c r="D125" s="333" t="s">
        <v>511</v>
      </c>
      <c r="E125" s="333" t="s">
        <v>554</v>
      </c>
      <c r="F125" s="333" t="s">
        <v>505</v>
      </c>
      <c r="G125" s="335">
        <v>15</v>
      </c>
      <c r="H125" s="335">
        <v>75</v>
      </c>
    </row>
    <row r="126" spans="1:8" x14ac:dyDescent="0.25">
      <c r="A126" s="333" t="s">
        <v>140</v>
      </c>
      <c r="B126" s="333" t="s">
        <v>139</v>
      </c>
      <c r="C126" s="333">
        <v>96.306910999999999</v>
      </c>
      <c r="D126" s="333" t="s">
        <v>511</v>
      </c>
      <c r="E126" s="333" t="s">
        <v>554</v>
      </c>
      <c r="F126" s="333" t="s">
        <v>460</v>
      </c>
      <c r="G126" s="335">
        <v>12</v>
      </c>
      <c r="H126" s="335">
        <v>43</v>
      </c>
    </row>
    <row r="127" spans="1:8" x14ac:dyDescent="0.25">
      <c r="A127" s="333" t="s">
        <v>373</v>
      </c>
      <c r="B127" s="333" t="s">
        <v>387</v>
      </c>
      <c r="C127" s="333">
        <v>97.837040000000002</v>
      </c>
      <c r="D127" s="333" t="s">
        <v>511</v>
      </c>
      <c r="E127" s="333" t="s">
        <v>554</v>
      </c>
      <c r="F127" s="333" t="s">
        <v>460</v>
      </c>
      <c r="G127" s="335">
        <v>190</v>
      </c>
      <c r="H127" s="335">
        <v>917</v>
      </c>
    </row>
    <row r="128" spans="1:8" x14ac:dyDescent="0.25">
      <c r="A128" s="333" t="s">
        <v>1120</v>
      </c>
      <c r="B128" s="333" t="s">
        <v>1121</v>
      </c>
      <c r="C128" s="333">
        <v>96.637</v>
      </c>
      <c r="D128" s="333" t="s">
        <v>511</v>
      </c>
      <c r="E128" s="333" t="s">
        <v>554</v>
      </c>
      <c r="F128" s="333" t="s">
        <v>460</v>
      </c>
      <c r="G128" s="335">
        <v>52</v>
      </c>
      <c r="H128" s="335">
        <v>248</v>
      </c>
    </row>
    <row r="129" spans="1:8" x14ac:dyDescent="0.25">
      <c r="A129" s="333" t="s">
        <v>1243</v>
      </c>
      <c r="B129" s="333" t="s">
        <v>345</v>
      </c>
      <c r="C129" s="333">
        <v>97.751389000000003</v>
      </c>
      <c r="D129" s="333" t="s">
        <v>513</v>
      </c>
      <c r="E129" s="333" t="s">
        <v>554</v>
      </c>
      <c r="F129" s="333" t="s">
        <v>460</v>
      </c>
      <c r="G129" s="335">
        <v>180</v>
      </c>
      <c r="H129" s="335">
        <v>857</v>
      </c>
    </row>
    <row r="130" spans="1:8" x14ac:dyDescent="0.25">
      <c r="A130" s="333" t="s">
        <v>1244</v>
      </c>
      <c r="B130" s="333" t="s">
        <v>241</v>
      </c>
      <c r="C130" s="333" t="s">
        <v>1398</v>
      </c>
      <c r="D130" s="333" t="s">
        <v>511</v>
      </c>
      <c r="E130" s="333" t="s">
        <v>554</v>
      </c>
      <c r="F130" s="333" t="s">
        <v>505</v>
      </c>
      <c r="G130" s="335">
        <v>54</v>
      </c>
      <c r="H130" s="335">
        <v>259</v>
      </c>
    </row>
    <row r="131" spans="1:8" x14ac:dyDescent="0.25">
      <c r="A131" s="333" t="s">
        <v>1245</v>
      </c>
      <c r="B131" s="333" t="s">
        <v>356</v>
      </c>
      <c r="C131" s="333">
        <v>97.756789999999995</v>
      </c>
      <c r="D131" s="333" t="s">
        <v>513</v>
      </c>
      <c r="E131" s="333" t="s">
        <v>554</v>
      </c>
      <c r="F131" s="333" t="s">
        <v>460</v>
      </c>
      <c r="G131" s="335">
        <v>604</v>
      </c>
      <c r="H131" s="335">
        <v>2785</v>
      </c>
    </row>
    <row r="132" spans="1:8" x14ac:dyDescent="0.25">
      <c r="A132" s="333" t="s">
        <v>1260</v>
      </c>
      <c r="B132" s="333" t="s">
        <v>1259</v>
      </c>
      <c r="C132" s="333">
        <v>97.416121000000004</v>
      </c>
      <c r="D132" s="333" t="s">
        <v>511</v>
      </c>
      <c r="E132" s="333" t="s">
        <v>554</v>
      </c>
      <c r="F132" s="333" t="s">
        <v>460</v>
      </c>
      <c r="G132" s="335">
        <v>59</v>
      </c>
      <c r="H132" s="335">
        <v>268</v>
      </c>
    </row>
    <row r="133" spans="1:8" x14ac:dyDescent="0.25">
      <c r="A133" s="333" t="s">
        <v>1275</v>
      </c>
      <c r="B133" s="333" t="s">
        <v>1258</v>
      </c>
      <c r="C133" s="333">
        <v>98.218626999999998</v>
      </c>
      <c r="D133" s="333" t="s">
        <v>511</v>
      </c>
      <c r="E133" s="333" t="s">
        <v>554</v>
      </c>
      <c r="F133" s="333" t="s">
        <v>460</v>
      </c>
      <c r="G133" s="335">
        <v>38</v>
      </c>
      <c r="H133" s="335">
        <v>205</v>
      </c>
    </row>
    <row r="134" spans="1:8" x14ac:dyDescent="0.25">
      <c r="A134" s="333" t="s">
        <v>1277</v>
      </c>
      <c r="B134" s="333" t="s">
        <v>1270</v>
      </c>
      <c r="C134" s="333">
        <v>96.793999999999997</v>
      </c>
      <c r="D134" s="333" t="s">
        <v>511</v>
      </c>
      <c r="E134" s="333" t="s">
        <v>554</v>
      </c>
      <c r="F134" s="333" t="s">
        <v>460</v>
      </c>
      <c r="G134" s="335">
        <v>30</v>
      </c>
      <c r="H134" s="335">
        <v>140</v>
      </c>
    </row>
    <row r="135" spans="1:8" x14ac:dyDescent="0.25">
      <c r="A135" s="333" t="s">
        <v>1298</v>
      </c>
      <c r="B135" s="333" t="s">
        <v>1299</v>
      </c>
      <c r="C135" s="333">
        <v>97.745480999999998</v>
      </c>
      <c r="D135" s="333" t="s">
        <v>511</v>
      </c>
      <c r="E135" s="333" t="s">
        <v>554</v>
      </c>
      <c r="F135" s="333" t="s">
        <v>859</v>
      </c>
      <c r="G135" s="335">
        <v>161</v>
      </c>
      <c r="H135" s="335">
        <v>711</v>
      </c>
    </row>
    <row r="136" spans="1:8" x14ac:dyDescent="0.25">
      <c r="A136" s="333" t="s">
        <v>1300</v>
      </c>
      <c r="B136" s="333" t="s">
        <v>1301</v>
      </c>
      <c r="C136" s="333">
        <v>97.75609</v>
      </c>
      <c r="D136" s="333" t="s">
        <v>511</v>
      </c>
      <c r="E136" s="333" t="s">
        <v>554</v>
      </c>
      <c r="F136" s="333" t="s">
        <v>859</v>
      </c>
      <c r="G136" s="335"/>
      <c r="H136" s="335">
        <v>489</v>
      </c>
    </row>
    <row r="137" spans="1:8" x14ac:dyDescent="0.25">
      <c r="A137" s="333" t="s">
        <v>1313</v>
      </c>
      <c r="B137" s="333" t="s">
        <v>1314</v>
      </c>
      <c r="C137" s="333">
        <v>97.461271999999994</v>
      </c>
      <c r="D137" s="333" t="s">
        <v>511</v>
      </c>
      <c r="E137" s="333" t="s">
        <v>986</v>
      </c>
      <c r="F137" s="333" t="s">
        <v>859</v>
      </c>
      <c r="G137" s="335"/>
      <c r="H137" s="335">
        <v>49</v>
      </c>
    </row>
    <row r="138" spans="1:8" x14ac:dyDescent="0.25">
      <c r="A138" s="333" t="s">
        <v>1315</v>
      </c>
      <c r="B138" s="333" t="s">
        <v>1316</v>
      </c>
      <c r="C138" s="333">
        <v>97.868876999999998</v>
      </c>
      <c r="D138" s="333" t="s">
        <v>511</v>
      </c>
      <c r="E138" s="333" t="s">
        <v>554</v>
      </c>
      <c r="F138" s="333" t="s">
        <v>859</v>
      </c>
      <c r="G138" s="335">
        <v>105</v>
      </c>
      <c r="H138" s="335">
        <v>568</v>
      </c>
    </row>
    <row r="139" spans="1:8" x14ac:dyDescent="0.25">
      <c r="A139" s="333" t="s">
        <v>1415</v>
      </c>
      <c r="B139" s="333" t="s">
        <v>1416</v>
      </c>
      <c r="C139" s="333">
        <v>96.637</v>
      </c>
      <c r="D139" s="333" t="s">
        <v>511</v>
      </c>
      <c r="E139" s="333" t="s">
        <v>554</v>
      </c>
      <c r="F139" s="333" t="s">
        <v>859</v>
      </c>
      <c r="G139" s="335">
        <v>6</v>
      </c>
      <c r="H139" s="335">
        <v>9</v>
      </c>
    </row>
    <row r="140" spans="1:8" x14ac:dyDescent="0.25">
      <c r="A140" s="333" t="s">
        <v>1409</v>
      </c>
      <c r="B140" s="333" t="s">
        <v>1401</v>
      </c>
      <c r="C140" s="333">
        <v>97.796999999999997</v>
      </c>
      <c r="D140" s="333" t="s">
        <v>511</v>
      </c>
      <c r="E140" s="333" t="s">
        <v>554</v>
      </c>
      <c r="F140" s="333" t="s">
        <v>859</v>
      </c>
      <c r="G140" s="335">
        <v>146</v>
      </c>
      <c r="H140" s="335">
        <v>678</v>
      </c>
    </row>
    <row r="141" spans="1:8" x14ac:dyDescent="0.25">
      <c r="A141" s="333" t="s">
        <v>1410</v>
      </c>
      <c r="B141" s="333" t="s">
        <v>1404</v>
      </c>
      <c r="C141" s="333">
        <v>97.504999999999995</v>
      </c>
      <c r="D141" s="333" t="s">
        <v>511</v>
      </c>
      <c r="E141" s="333" t="s">
        <v>554</v>
      </c>
      <c r="F141" s="333" t="s">
        <v>859</v>
      </c>
      <c r="G141" s="335">
        <v>200</v>
      </c>
      <c r="H141" s="335">
        <v>827</v>
      </c>
    </row>
    <row r="142" spans="1:8" x14ac:dyDescent="0.25">
      <c r="A142" s="333" t="s">
        <v>1411</v>
      </c>
      <c r="B142" s="333" t="s">
        <v>1405</v>
      </c>
      <c r="C142" s="333">
        <v>97.506</v>
      </c>
      <c r="D142" s="333" t="s">
        <v>511</v>
      </c>
      <c r="E142" s="333" t="s">
        <v>554</v>
      </c>
      <c r="F142" s="333" t="s">
        <v>859</v>
      </c>
      <c r="G142" s="335">
        <v>61</v>
      </c>
      <c r="H142" s="335">
        <v>247</v>
      </c>
    </row>
    <row r="143" spans="1:8" x14ac:dyDescent="0.25">
      <c r="A143" s="333" t="s">
        <v>1412</v>
      </c>
      <c r="B143" s="333" t="s">
        <v>1406</v>
      </c>
      <c r="C143" s="333">
        <v>97.506</v>
      </c>
      <c r="D143" s="333" t="s">
        <v>511</v>
      </c>
      <c r="E143" s="333" t="s">
        <v>554</v>
      </c>
      <c r="F143" s="333" t="s">
        <v>859</v>
      </c>
      <c r="G143" s="335">
        <v>176</v>
      </c>
      <c r="H143" s="335">
        <v>798</v>
      </c>
    </row>
    <row r="144" spans="1:8" x14ac:dyDescent="0.25">
      <c r="A144" s="333" t="s">
        <v>1419</v>
      </c>
      <c r="B144" s="333" t="s">
        <v>1402</v>
      </c>
      <c r="C144" s="333">
        <v>97.358999999999995</v>
      </c>
      <c r="D144" s="333" t="s">
        <v>511</v>
      </c>
      <c r="E144" s="333" t="s">
        <v>554</v>
      </c>
      <c r="F144" s="333" t="s">
        <v>859</v>
      </c>
      <c r="G144" s="335">
        <v>19</v>
      </c>
      <c r="H144" s="335">
        <v>82</v>
      </c>
    </row>
    <row r="145" spans="1:8" x14ac:dyDescent="0.25">
      <c r="A145" s="333" t="s">
        <v>1422</v>
      </c>
      <c r="B145" s="333" t="s">
        <v>1403</v>
      </c>
      <c r="C145" s="333" t="s">
        <v>859</v>
      </c>
      <c r="D145" s="333" t="s">
        <v>511</v>
      </c>
      <c r="E145" s="333" t="s">
        <v>554</v>
      </c>
      <c r="F145" s="333" t="s">
        <v>859</v>
      </c>
      <c r="G145" s="335">
        <v>36</v>
      </c>
      <c r="H145" s="335">
        <v>188</v>
      </c>
    </row>
    <row r="146" spans="1:8" x14ac:dyDescent="0.25">
      <c r="A146" s="333" t="s">
        <v>1425</v>
      </c>
      <c r="B146" s="333" t="s">
        <v>1407</v>
      </c>
      <c r="C146" s="333">
        <v>98.221000000000004</v>
      </c>
      <c r="D146" s="333" t="s">
        <v>511</v>
      </c>
      <c r="E146" s="333" t="s">
        <v>554</v>
      </c>
      <c r="F146" s="333" t="s">
        <v>859</v>
      </c>
      <c r="G146" s="335">
        <v>20</v>
      </c>
      <c r="H146" s="335">
        <v>75</v>
      </c>
    </row>
    <row r="147" spans="1:8" x14ac:dyDescent="0.25">
      <c r="A147" s="333" t="s">
        <v>1428</v>
      </c>
      <c r="B147" s="333" t="s">
        <v>1408</v>
      </c>
      <c r="C147" s="333">
        <v>98.337999999999994</v>
      </c>
      <c r="D147" s="333" t="s">
        <v>511</v>
      </c>
      <c r="E147" s="333" t="s">
        <v>554</v>
      </c>
      <c r="F147" s="333" t="s">
        <v>859</v>
      </c>
      <c r="G147" s="335">
        <v>30</v>
      </c>
      <c r="H147" s="335">
        <v>170</v>
      </c>
    </row>
    <row r="148" spans="1:8" x14ac:dyDescent="0.25">
      <c r="A148" s="333" t="s">
        <v>1452</v>
      </c>
      <c r="B148" s="333" t="s">
        <v>1458</v>
      </c>
      <c r="C148" s="333">
        <v>96.662092000000001</v>
      </c>
      <c r="D148" s="333" t="s">
        <v>511</v>
      </c>
      <c r="E148" s="333" t="s">
        <v>554</v>
      </c>
      <c r="F148" s="333" t="s">
        <v>859</v>
      </c>
      <c r="G148" s="335">
        <v>32</v>
      </c>
      <c r="H148" s="335">
        <v>83</v>
      </c>
    </row>
    <row r="149" spans="1:8" x14ac:dyDescent="0.25">
      <c r="A149" s="333" t="s">
        <v>1456</v>
      </c>
      <c r="B149" s="333" t="s">
        <v>1459</v>
      </c>
      <c r="C149" s="333">
        <v>96.662092000000001</v>
      </c>
      <c r="D149" s="333" t="s">
        <v>511</v>
      </c>
      <c r="E149" s="333" t="s">
        <v>554</v>
      </c>
      <c r="F149" s="333" t="s">
        <v>859</v>
      </c>
      <c r="G149" s="335">
        <v>42</v>
      </c>
      <c r="H149" s="335">
        <v>138</v>
      </c>
    </row>
    <row r="150" spans="1:8" x14ac:dyDescent="0.25">
      <c r="A150" s="333" t="s">
        <v>1453</v>
      </c>
      <c r="B150" s="333" t="s">
        <v>1460</v>
      </c>
      <c r="C150" s="333">
        <v>96.662092000000001</v>
      </c>
      <c r="D150" s="333" t="s">
        <v>511</v>
      </c>
      <c r="E150" s="333" t="s">
        <v>554</v>
      </c>
      <c r="F150" s="333" t="s">
        <v>859</v>
      </c>
      <c r="G150" s="335">
        <v>13</v>
      </c>
      <c r="H150" s="335">
        <v>47</v>
      </c>
    </row>
    <row r="151" spans="1:8" x14ac:dyDescent="0.25">
      <c r="A151" s="333" t="s">
        <v>1455</v>
      </c>
      <c r="B151" s="333" t="s">
        <v>1461</v>
      </c>
      <c r="C151" s="333">
        <v>96.662092000000001</v>
      </c>
      <c r="D151" s="333" t="s">
        <v>511</v>
      </c>
      <c r="E151" s="333" t="s">
        <v>554</v>
      </c>
      <c r="F151" s="333" t="s">
        <v>859</v>
      </c>
      <c r="G151" s="335">
        <v>7</v>
      </c>
      <c r="H151" s="335">
        <v>19</v>
      </c>
    </row>
    <row r="152" spans="1:8" x14ac:dyDescent="0.25">
      <c r="A152" s="333" t="s">
        <v>1454</v>
      </c>
      <c r="B152" s="333" t="s">
        <v>1462</v>
      </c>
      <c r="C152" s="333">
        <v>96.662092000000001</v>
      </c>
      <c r="D152" s="333" t="s">
        <v>511</v>
      </c>
      <c r="E152" s="333" t="s">
        <v>554</v>
      </c>
      <c r="F152" s="333" t="s">
        <v>859</v>
      </c>
      <c r="G152" s="335">
        <v>22</v>
      </c>
      <c r="H152" s="335">
        <v>52</v>
      </c>
    </row>
    <row r="153" spans="1:8" x14ac:dyDescent="0.25">
      <c r="A153" s="333" t="s">
        <v>1607</v>
      </c>
      <c r="B153" s="333" t="s">
        <v>1590</v>
      </c>
      <c r="C153" s="333" t="s">
        <v>859</v>
      </c>
      <c r="D153" s="333" t="s">
        <v>511</v>
      </c>
      <c r="E153" s="333" t="s">
        <v>554</v>
      </c>
      <c r="F153" s="333" t="s">
        <v>859</v>
      </c>
      <c r="G153" s="335">
        <v>224</v>
      </c>
      <c r="H153" s="335">
        <v>767</v>
      </c>
    </row>
    <row r="154" spans="1:8" x14ac:dyDescent="0.25">
      <c r="A154" s="333" t="s">
        <v>1609</v>
      </c>
      <c r="B154" s="333" t="s">
        <v>1591</v>
      </c>
      <c r="C154" s="333" t="s">
        <v>859</v>
      </c>
      <c r="D154" s="333" t="s">
        <v>511</v>
      </c>
      <c r="E154" s="333" t="s">
        <v>554</v>
      </c>
      <c r="F154" s="333" t="s">
        <v>859</v>
      </c>
      <c r="G154" s="335">
        <v>13</v>
      </c>
      <c r="H154" s="335">
        <v>45</v>
      </c>
    </row>
    <row r="155" spans="1:8" x14ac:dyDescent="0.25">
      <c r="A155" s="333" t="s">
        <v>1610</v>
      </c>
      <c r="B155" s="333" t="s">
        <v>1592</v>
      </c>
      <c r="C155" s="333" t="s">
        <v>859</v>
      </c>
      <c r="D155" s="333" t="s">
        <v>511</v>
      </c>
      <c r="E155" s="333" t="s">
        <v>554</v>
      </c>
      <c r="F155" s="333" t="s">
        <v>859</v>
      </c>
      <c r="G155" s="335">
        <v>41</v>
      </c>
      <c r="H155" s="335">
        <v>191</v>
      </c>
    </row>
    <row r="156" spans="1:8" x14ac:dyDescent="0.25">
      <c r="A156" s="333" t="s">
        <v>1611</v>
      </c>
      <c r="B156" s="333" t="s">
        <v>1593</v>
      </c>
      <c r="C156" s="333" t="s">
        <v>859</v>
      </c>
      <c r="D156" s="333" t="s">
        <v>511</v>
      </c>
      <c r="E156" s="333" t="s">
        <v>554</v>
      </c>
      <c r="F156" s="333" t="s">
        <v>859</v>
      </c>
      <c r="G156" s="335">
        <v>19</v>
      </c>
      <c r="H156" s="335">
        <v>66</v>
      </c>
    </row>
    <row r="157" spans="1:8" x14ac:dyDescent="0.25">
      <c r="A157" s="333" t="s">
        <v>1612</v>
      </c>
      <c r="B157" s="333" t="s">
        <v>1594</v>
      </c>
      <c r="C157" s="333" t="s">
        <v>859</v>
      </c>
      <c r="D157" s="333" t="s">
        <v>511</v>
      </c>
      <c r="E157" s="333" t="s">
        <v>554</v>
      </c>
      <c r="F157" s="333" t="s">
        <v>859</v>
      </c>
      <c r="G157" s="335">
        <v>59</v>
      </c>
      <c r="H157" s="335">
        <v>268</v>
      </c>
    </row>
    <row r="158" spans="1:8" x14ac:dyDescent="0.25">
      <c r="A158" s="333" t="s">
        <v>1619</v>
      </c>
      <c r="B158" s="333" t="s">
        <v>1595</v>
      </c>
      <c r="C158" s="333" t="s">
        <v>859</v>
      </c>
      <c r="D158" s="333" t="s">
        <v>511</v>
      </c>
      <c r="E158" s="333" t="s">
        <v>554</v>
      </c>
      <c r="F158" s="333" t="s">
        <v>859</v>
      </c>
      <c r="G158" s="335"/>
      <c r="H158" s="335">
        <v>142</v>
      </c>
    </row>
    <row r="159" spans="1:8" x14ac:dyDescent="0.25">
      <c r="A159" s="333" t="s">
        <v>1620</v>
      </c>
      <c r="B159" s="333" t="s">
        <v>1598</v>
      </c>
      <c r="C159" s="333" t="s">
        <v>859</v>
      </c>
      <c r="D159" s="333" t="s">
        <v>511</v>
      </c>
      <c r="E159" s="333" t="s">
        <v>554</v>
      </c>
      <c r="F159" s="333" t="s">
        <v>859</v>
      </c>
      <c r="G159" s="335"/>
      <c r="H159" s="335">
        <v>134</v>
      </c>
    </row>
    <row r="160" spans="1:8" x14ac:dyDescent="0.25">
      <c r="A160" s="333" t="s">
        <v>1631</v>
      </c>
      <c r="B160" s="333" t="s">
        <v>1599</v>
      </c>
      <c r="C160" s="333" t="s">
        <v>859</v>
      </c>
      <c r="D160" s="333" t="s">
        <v>511</v>
      </c>
      <c r="E160" s="333" t="s">
        <v>554</v>
      </c>
      <c r="F160" s="333" t="s">
        <v>859</v>
      </c>
      <c r="G160" s="335"/>
      <c r="H160" s="335">
        <v>46</v>
      </c>
    </row>
    <row r="161" spans="1:8" x14ac:dyDescent="0.25">
      <c r="A161" s="333" t="s">
        <v>1635</v>
      </c>
      <c r="B161" s="333" t="s">
        <v>1600</v>
      </c>
      <c r="C161" s="333" t="s">
        <v>859</v>
      </c>
      <c r="D161" s="333" t="s">
        <v>511</v>
      </c>
      <c r="E161" s="333" t="s">
        <v>554</v>
      </c>
      <c r="F161" s="333" t="s">
        <v>859</v>
      </c>
      <c r="G161" s="335"/>
      <c r="H161" s="335">
        <v>8</v>
      </c>
    </row>
    <row r="162" spans="1:8" x14ac:dyDescent="0.25">
      <c r="A162" s="333" t="s">
        <v>1613</v>
      </c>
      <c r="B162" s="333" t="s">
        <v>1601</v>
      </c>
      <c r="C162" s="333" t="s">
        <v>859</v>
      </c>
      <c r="D162" s="333" t="s">
        <v>511</v>
      </c>
      <c r="E162" s="333" t="s">
        <v>554</v>
      </c>
      <c r="F162" s="333" t="s">
        <v>859</v>
      </c>
      <c r="G162" s="335"/>
      <c r="H162" s="335">
        <v>44</v>
      </c>
    </row>
    <row r="163" spans="1:8" x14ac:dyDescent="0.25">
      <c r="A163" s="333" t="s">
        <v>1615</v>
      </c>
      <c r="B163" s="333" t="s">
        <v>1603</v>
      </c>
      <c r="C163" s="333" t="s">
        <v>859</v>
      </c>
      <c r="D163" s="333" t="s">
        <v>511</v>
      </c>
      <c r="E163" s="333" t="s">
        <v>554</v>
      </c>
      <c r="F163" s="333" t="s">
        <v>859</v>
      </c>
      <c r="G163" s="335"/>
      <c r="H163" s="335">
        <v>150</v>
      </c>
    </row>
    <row r="164" spans="1:8" x14ac:dyDescent="0.25">
      <c r="A164" s="333" t="s">
        <v>1616</v>
      </c>
      <c r="B164" s="333" t="s">
        <v>1604</v>
      </c>
      <c r="C164" s="333" t="s">
        <v>859</v>
      </c>
      <c r="D164" s="333" t="s">
        <v>511</v>
      </c>
      <c r="E164" s="333" t="s">
        <v>554</v>
      </c>
      <c r="F164" s="333" t="s">
        <v>859</v>
      </c>
      <c r="G164" s="335"/>
      <c r="H164" s="335">
        <v>11</v>
      </c>
    </row>
    <row r="165" spans="1:8" x14ac:dyDescent="0.25">
      <c r="A165" s="333" t="s">
        <v>1617</v>
      </c>
      <c r="B165" s="333" t="s">
        <v>1605</v>
      </c>
      <c r="C165" s="333" t="s">
        <v>859</v>
      </c>
      <c r="D165" s="333" t="s">
        <v>511</v>
      </c>
      <c r="E165" s="333" t="s">
        <v>554</v>
      </c>
      <c r="F165" s="333" t="s">
        <v>859</v>
      </c>
      <c r="G165" s="335"/>
      <c r="H165" s="335">
        <v>304</v>
      </c>
    </row>
    <row r="166" spans="1:8" x14ac:dyDescent="0.25">
      <c r="A166" s="333" t="s">
        <v>1618</v>
      </c>
      <c r="B166" s="333" t="s">
        <v>1606</v>
      </c>
      <c r="C166" s="333" t="s">
        <v>859</v>
      </c>
      <c r="D166" s="333" t="s">
        <v>511</v>
      </c>
      <c r="E166" s="333" t="s">
        <v>554</v>
      </c>
      <c r="F166" s="333" t="s">
        <v>859</v>
      </c>
      <c r="G166" s="335">
        <v>37</v>
      </c>
      <c r="H166" s="335">
        <v>120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2"/>
  <sheetViews>
    <sheetView topLeftCell="A3" workbookViewId="0">
      <selection activeCell="D14" sqref="D14"/>
    </sheetView>
  </sheetViews>
  <sheetFormatPr defaultRowHeight="15" x14ac:dyDescent="0.25"/>
  <cols>
    <col min="1" max="1" width="16.5703125" bestFit="1" customWidth="1"/>
    <col min="2" max="2" width="22.5703125" bestFit="1" customWidth="1"/>
    <col min="3" max="3" width="11.7109375" bestFit="1" customWidth="1"/>
    <col min="4" max="5" width="15.7109375" bestFit="1" customWidth="1"/>
    <col min="6" max="6" width="16.28515625" bestFit="1" customWidth="1"/>
    <col min="7" max="7" width="10.5703125" bestFit="1" customWidth="1"/>
  </cols>
  <sheetData>
    <row r="1" spans="1:4" hidden="1" x14ac:dyDescent="0.25">
      <c r="A1" s="341" t="s">
        <v>498</v>
      </c>
      <c r="B1" s="333" t="s">
        <v>500</v>
      </c>
    </row>
    <row r="2" spans="1:4" hidden="1" x14ac:dyDescent="0.25"/>
    <row r="3" spans="1:4" x14ac:dyDescent="0.25">
      <c r="A3" s="341" t="s">
        <v>402</v>
      </c>
      <c r="B3" s="341" t="s">
        <v>0</v>
      </c>
      <c r="C3" s="341" t="s">
        <v>510</v>
      </c>
      <c r="D3" s="341" t="s">
        <v>558</v>
      </c>
    </row>
    <row r="4" spans="1:4" x14ac:dyDescent="0.25">
      <c r="A4" s="333" t="s">
        <v>846</v>
      </c>
      <c r="B4" s="333" t="s">
        <v>5</v>
      </c>
      <c r="C4" s="333" t="s">
        <v>14</v>
      </c>
      <c r="D4" s="333" t="s">
        <v>13</v>
      </c>
    </row>
    <row r="5" spans="1:4" x14ac:dyDescent="0.25">
      <c r="C5" s="333" t="s">
        <v>18</v>
      </c>
      <c r="D5" s="333" t="s">
        <v>17</v>
      </c>
    </row>
    <row r="6" spans="1:4" x14ac:dyDescent="0.25">
      <c r="C6" s="333" t="s">
        <v>366</v>
      </c>
      <c r="D6" s="333" t="s">
        <v>376</v>
      </c>
    </row>
    <row r="7" spans="1:4" x14ac:dyDescent="0.25">
      <c r="C7" s="333" t="s">
        <v>22</v>
      </c>
      <c r="D7" s="333" t="s">
        <v>21</v>
      </c>
    </row>
    <row r="8" spans="1:4" x14ac:dyDescent="0.25">
      <c r="C8" s="333" t="s">
        <v>26</v>
      </c>
      <c r="D8" s="333" t="s">
        <v>25</v>
      </c>
    </row>
    <row r="9" spans="1:4" x14ac:dyDescent="0.25">
      <c r="B9" s="333" t="s">
        <v>146</v>
      </c>
      <c r="C9" s="333" t="s">
        <v>369</v>
      </c>
      <c r="D9" s="333" t="s">
        <v>383</v>
      </c>
    </row>
    <row r="10" spans="1:4" x14ac:dyDescent="0.25">
      <c r="C10" s="333" t="s">
        <v>370</v>
      </c>
      <c r="D10" s="333" t="s">
        <v>384</v>
      </c>
    </row>
    <row r="11" spans="1:4" x14ac:dyDescent="0.25">
      <c r="C11" s="333" t="s">
        <v>373</v>
      </c>
      <c r="D11" s="333" t="s">
        <v>387</v>
      </c>
    </row>
    <row r="12" spans="1:4" x14ac:dyDescent="0.25">
      <c r="B12" s="333" t="s">
        <v>151</v>
      </c>
      <c r="C12" s="333" t="s">
        <v>160</v>
      </c>
      <c r="D12" s="333" t="s">
        <v>159</v>
      </c>
    </row>
    <row r="13" spans="1:4" x14ac:dyDescent="0.25">
      <c r="C13" s="333" t="s">
        <v>152</v>
      </c>
      <c r="D13" s="333" t="s">
        <v>150</v>
      </c>
    </row>
    <row r="14" spans="1:4" x14ac:dyDescent="0.25">
      <c r="B14" s="333" t="s">
        <v>185</v>
      </c>
      <c r="C14" s="333" t="s">
        <v>202</v>
      </c>
      <c r="D14" s="333" t="s">
        <v>201</v>
      </c>
    </row>
    <row r="15" spans="1:4" x14ac:dyDescent="0.25">
      <c r="C15" s="333" t="s">
        <v>209</v>
      </c>
      <c r="D15" s="333" t="s">
        <v>208</v>
      </c>
    </row>
    <row r="16" spans="1:4" x14ac:dyDescent="0.25">
      <c r="B16" s="333" t="s">
        <v>230</v>
      </c>
      <c r="C16" s="333" t="s">
        <v>1053</v>
      </c>
      <c r="D16" s="333" t="s">
        <v>1054</v>
      </c>
    </row>
    <row r="17" spans="2:4" x14ac:dyDescent="0.25">
      <c r="C17" s="333" t="s">
        <v>1063</v>
      </c>
      <c r="D17" s="333" t="s">
        <v>1064</v>
      </c>
    </row>
    <row r="18" spans="2:4" x14ac:dyDescent="0.25">
      <c r="B18" s="333" t="s">
        <v>289</v>
      </c>
      <c r="C18" s="333" t="s">
        <v>1055</v>
      </c>
      <c r="D18" s="333" t="s">
        <v>1056</v>
      </c>
    </row>
    <row r="19" spans="2:4" x14ac:dyDescent="0.25">
      <c r="C19" s="333" t="s">
        <v>1067</v>
      </c>
      <c r="D19" s="333" t="s">
        <v>1060</v>
      </c>
    </row>
    <row r="20" spans="2:4" x14ac:dyDescent="0.25">
      <c r="B20" s="333" t="s">
        <v>302</v>
      </c>
      <c r="C20" s="333" t="s">
        <v>306</v>
      </c>
      <c r="D20" s="333" t="s">
        <v>305</v>
      </c>
    </row>
    <row r="21" spans="2:4" x14ac:dyDescent="0.25">
      <c r="B21" s="333" t="s">
        <v>310</v>
      </c>
      <c r="C21" s="333" t="s">
        <v>353</v>
      </c>
      <c r="D21" s="333" t="s">
        <v>352</v>
      </c>
    </row>
    <row r="22" spans="2:4" x14ac:dyDescent="0.25">
      <c r="B22" s="333" t="s">
        <v>779</v>
      </c>
      <c r="C22" s="333" t="s">
        <v>1275</v>
      </c>
      <c r="D22" s="333" t="s">
        <v>1258</v>
      </c>
    </row>
  </sheetData>
  <pageMargins left="0.25" right="0.25" top="0.75" bottom="0.75" header="0.3" footer="0.3"/>
  <pageSetup paperSize="9" orientation="landscape"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H52"/>
  <sheetViews>
    <sheetView zoomScale="50" zoomScaleNormal="50" zoomScalePageLayoutView="50" workbookViewId="0">
      <selection activeCell="T44" sqref="T44"/>
    </sheetView>
  </sheetViews>
  <sheetFormatPr defaultColWidth="9.140625" defaultRowHeight="12" customHeight="1" x14ac:dyDescent="0.35"/>
  <cols>
    <col min="1" max="1" width="12.7109375" style="4" customWidth="1"/>
    <col min="2" max="2" width="12.28515625" style="4" customWidth="1"/>
    <col min="3" max="4" width="8.5703125" style="4" customWidth="1"/>
    <col min="5" max="5" width="9.42578125" style="4" customWidth="1"/>
    <col min="6" max="6" width="9.85546875" style="4" customWidth="1"/>
    <col min="7" max="7" width="8.140625" style="4" customWidth="1"/>
    <col min="8" max="8" width="8.42578125" style="4" customWidth="1"/>
    <col min="9" max="10" width="7.140625" style="4" customWidth="1"/>
    <col min="11" max="11" width="10.42578125" style="4" bestFit="1" customWidth="1"/>
    <col min="12" max="12" width="5.5703125" style="4" bestFit="1" customWidth="1"/>
    <col min="13" max="18" width="4.28515625" style="4" customWidth="1"/>
    <col min="19" max="19" width="39.28515625" style="4" customWidth="1"/>
    <col min="20" max="20" width="27.5703125" style="116" customWidth="1"/>
    <col min="21" max="21" width="19.28515625" style="116" customWidth="1"/>
    <col min="22" max="23" width="9.28515625" style="116" customWidth="1"/>
    <col min="24" max="24" width="15" style="116" customWidth="1"/>
    <col min="25" max="25" width="15.5703125" style="116" customWidth="1"/>
    <col min="26" max="26" width="17.28515625" style="116" customWidth="1"/>
    <col min="27" max="27" width="24.7109375" style="116" customWidth="1"/>
    <col min="28" max="30" width="9.28515625" style="116" customWidth="1"/>
    <col min="31" max="31" width="11.28515625" style="116" customWidth="1"/>
    <col min="32" max="32" width="12.140625" style="116" customWidth="1"/>
    <col min="33" max="33" width="13" style="116" customWidth="1"/>
    <col min="34" max="97" width="14.42578125" style="4" customWidth="1"/>
    <col min="98" max="109" width="14.42578125" style="15" customWidth="1"/>
    <col min="110" max="110" width="12.7109375" style="15" customWidth="1"/>
    <col min="111" max="111" width="9.140625" style="15"/>
    <col min="112" max="112" width="11.42578125" style="15" customWidth="1"/>
    <col min="113" max="113" width="6.140625" style="4" customWidth="1"/>
    <col min="114" max="114" width="5.85546875" style="4" customWidth="1"/>
    <col min="115" max="16384" width="9.140625" style="4"/>
  </cols>
  <sheetData>
    <row r="1" spans="15:112" ht="18.75" customHeight="1" thickBot="1" x14ac:dyDescent="0.4">
      <c r="O1" s="15"/>
      <c r="P1" s="15"/>
      <c r="S1" s="15">
        <v>23.5</v>
      </c>
      <c r="T1" s="112" t="s">
        <v>554</v>
      </c>
      <c r="U1" s="113"/>
      <c r="V1" s="113"/>
      <c r="W1" s="113"/>
      <c r="X1" s="113"/>
      <c r="Y1" s="113"/>
      <c r="Z1" s="113"/>
      <c r="AA1" s="114" t="s">
        <v>447</v>
      </c>
      <c r="AB1" s="112" t="s">
        <v>448</v>
      </c>
      <c r="AC1" s="113"/>
      <c r="AD1" s="115"/>
      <c r="CT1" s="4"/>
      <c r="CU1" s="4"/>
      <c r="CV1" s="4"/>
      <c r="CW1" s="4"/>
      <c r="CX1" s="4"/>
      <c r="CY1" s="4"/>
      <c r="CZ1" s="4"/>
      <c r="DA1" s="4"/>
      <c r="DB1" s="4"/>
      <c r="DC1" s="4"/>
      <c r="DD1" s="4"/>
      <c r="DE1" s="4"/>
      <c r="DF1" s="4"/>
      <c r="DG1" s="4"/>
      <c r="DH1" s="4"/>
    </row>
    <row r="2" spans="15:112" ht="18.75" customHeight="1" x14ac:dyDescent="0.35">
      <c r="O2" s="15"/>
      <c r="P2" s="15"/>
      <c r="S2" s="15">
        <v>96.5</v>
      </c>
      <c r="T2" s="117" t="s">
        <v>558</v>
      </c>
      <c r="U2" s="118" t="s">
        <v>0</v>
      </c>
      <c r="V2" s="118" t="s">
        <v>560</v>
      </c>
      <c r="W2" s="119" t="s">
        <v>559</v>
      </c>
      <c r="X2" s="117" t="s">
        <v>563</v>
      </c>
      <c r="Y2" s="118" t="s">
        <v>564</v>
      </c>
      <c r="Z2" s="120" t="s">
        <v>575</v>
      </c>
      <c r="AA2" s="121" t="s">
        <v>441</v>
      </c>
      <c r="AB2" s="122" t="s">
        <v>555</v>
      </c>
      <c r="AC2" s="118" t="s">
        <v>556</v>
      </c>
      <c r="AD2" s="120" t="s">
        <v>557</v>
      </c>
      <c r="AE2" s="123" t="s">
        <v>561</v>
      </c>
      <c r="AF2" s="124" t="s">
        <v>562</v>
      </c>
      <c r="AG2" s="125" t="s">
        <v>565</v>
      </c>
      <c r="CT2" s="4"/>
      <c r="CU2" s="4"/>
      <c r="CV2" s="4"/>
      <c r="CW2" s="4"/>
      <c r="CX2" s="4"/>
      <c r="CY2" s="4"/>
      <c r="CZ2" s="4"/>
      <c r="DA2" s="4"/>
      <c r="DB2" s="4"/>
      <c r="DC2" s="4"/>
      <c r="DD2" s="4"/>
      <c r="DE2" s="4"/>
      <c r="DF2" s="4"/>
      <c r="DG2" s="4"/>
      <c r="DH2" s="4"/>
    </row>
    <row r="3" spans="15:112" ht="18.75" customHeight="1" x14ac:dyDescent="0.35">
      <c r="O3" s="15"/>
      <c r="P3" s="15"/>
      <c r="S3" s="15">
        <v>600</v>
      </c>
      <c r="T3" s="126" t="s">
        <v>530</v>
      </c>
      <c r="U3" s="127" t="s">
        <v>5</v>
      </c>
      <c r="V3" s="126">
        <v>97.12</v>
      </c>
      <c r="W3" s="127">
        <v>24.3</v>
      </c>
      <c r="X3" s="127">
        <f>'CCCM Dashboard'!C16</f>
        <v>1484</v>
      </c>
      <c r="Y3" s="128">
        <f>'CCCM Dashboard'!D16</f>
        <v>8129</v>
      </c>
      <c r="Z3" s="129" t="str">
        <f t="shared" ref="Z3:Z23" si="0">CONCATENATE(AG3, " cp",IF(AG3&gt;1,"s",""))</f>
        <v>11 cps</v>
      </c>
      <c r="AA3" s="569">
        <f>'Shelter Progress'!N7</f>
        <v>0.81932443047918302</v>
      </c>
      <c r="AB3" s="130">
        <v>0</v>
      </c>
      <c r="AC3" s="130">
        <v>0</v>
      </c>
      <c r="AD3" s="130">
        <v>0</v>
      </c>
      <c r="AE3" s="131">
        <f t="shared" ref="AE3:AE23" si="1">$S$3-ROUND((W3-$S$1)*$S$5,0)</f>
        <v>496</v>
      </c>
      <c r="AF3" s="132">
        <f t="shared" ref="AF3:AF23" si="2">ROUND((V3-$S$2)*$S$5,0)+$S$4</f>
        <v>181</v>
      </c>
      <c r="AG3" s="133">
        <f>'CCCM Dashboard'!E16</f>
        <v>11</v>
      </c>
      <c r="CT3" s="4"/>
      <c r="CU3" s="4"/>
      <c r="CV3" s="4"/>
      <c r="CW3" s="4"/>
      <c r="CX3" s="4"/>
      <c r="CY3" s="4"/>
      <c r="CZ3" s="4"/>
      <c r="DA3" s="4"/>
      <c r="DB3" s="4"/>
      <c r="DC3" s="4"/>
      <c r="DD3" s="4"/>
      <c r="DE3" s="4"/>
      <c r="DF3" s="4"/>
      <c r="DG3" s="4"/>
      <c r="DH3" s="4"/>
    </row>
    <row r="4" spans="15:112" ht="18.75" customHeight="1" x14ac:dyDescent="0.35">
      <c r="O4" s="15"/>
      <c r="P4" s="15"/>
      <c r="S4" s="15">
        <v>100</v>
      </c>
      <c r="T4" s="134" t="s">
        <v>534</v>
      </c>
      <c r="U4" s="127" t="s">
        <v>27</v>
      </c>
      <c r="V4" s="134">
        <v>98.322799999999987</v>
      </c>
      <c r="W4" s="127">
        <v>25.917999999999999</v>
      </c>
      <c r="X4" s="127">
        <f>'CCCM Dashboard'!C17</f>
        <v>501</v>
      </c>
      <c r="Y4" s="128">
        <f>'CCCM Dashboard'!D17</f>
        <v>2628</v>
      </c>
      <c r="Z4" s="129" t="str">
        <f t="shared" si="0"/>
        <v>6 cps</v>
      </c>
      <c r="AA4" s="569">
        <f>'Shelter Progress'!N8</f>
        <v>0.3592814371257485</v>
      </c>
      <c r="AB4" s="130">
        <v>1</v>
      </c>
      <c r="AC4" s="130">
        <v>0</v>
      </c>
      <c r="AD4" s="130">
        <v>0.95387840670859536</v>
      </c>
      <c r="AE4" s="131">
        <f t="shared" si="1"/>
        <v>286</v>
      </c>
      <c r="AF4" s="132">
        <f t="shared" si="2"/>
        <v>337</v>
      </c>
      <c r="AG4" s="133">
        <f>'CCCM Dashboard'!E17</f>
        <v>6</v>
      </c>
      <c r="CT4" s="4"/>
      <c r="CU4" s="4"/>
      <c r="CV4" s="4"/>
      <c r="CW4" s="4"/>
      <c r="CX4" s="4"/>
      <c r="CY4" s="4"/>
      <c r="CZ4" s="4"/>
      <c r="DA4" s="4"/>
      <c r="DB4" s="4"/>
      <c r="DC4" s="4"/>
      <c r="DD4" s="4"/>
      <c r="DE4" s="4"/>
      <c r="DF4" s="4"/>
      <c r="DG4" s="4"/>
      <c r="DH4" s="4"/>
    </row>
    <row r="5" spans="15:112" ht="18.75" customHeight="1" x14ac:dyDescent="0.35">
      <c r="O5" s="15"/>
      <c r="P5" s="15"/>
      <c r="S5" s="15">
        <v>130</v>
      </c>
      <c r="T5" s="126" t="s">
        <v>528</v>
      </c>
      <c r="U5" s="127" t="s">
        <v>527</v>
      </c>
      <c r="V5" s="126">
        <v>96.373750000000001</v>
      </c>
      <c r="W5" s="127">
        <v>25.9</v>
      </c>
      <c r="X5" s="127">
        <f>'CCCM Dashboard'!C18</f>
        <v>802</v>
      </c>
      <c r="Y5" s="128">
        <f>'CCCM Dashboard'!D18</f>
        <v>3766</v>
      </c>
      <c r="Z5" s="129" t="str">
        <f t="shared" si="0"/>
        <v>26 cps</v>
      </c>
      <c r="AA5" s="569">
        <f>'Shelter Progress'!N9</f>
        <v>0.53366583541147128</v>
      </c>
      <c r="AB5" s="130">
        <v>0.69172932330827064</v>
      </c>
      <c r="AC5" s="130">
        <v>0</v>
      </c>
      <c r="AD5" s="130">
        <v>1</v>
      </c>
      <c r="AE5" s="131">
        <f t="shared" si="1"/>
        <v>288</v>
      </c>
      <c r="AF5" s="132">
        <f t="shared" si="2"/>
        <v>84</v>
      </c>
      <c r="AG5" s="133">
        <f>'CCCM Dashboard'!E18</f>
        <v>26</v>
      </c>
      <c r="CT5" s="4"/>
      <c r="CU5" s="4"/>
      <c r="CV5" s="4"/>
      <c r="CW5" s="4"/>
      <c r="CX5" s="4"/>
      <c r="CY5" s="4"/>
      <c r="CZ5" s="4"/>
      <c r="DA5" s="4"/>
      <c r="DB5" s="4"/>
      <c r="DC5" s="4"/>
      <c r="DD5" s="4"/>
      <c r="DE5" s="4"/>
      <c r="DF5" s="4"/>
      <c r="DG5" s="4"/>
      <c r="DH5" s="4"/>
    </row>
    <row r="6" spans="15:112" ht="18.75" customHeight="1" x14ac:dyDescent="0.35">
      <c r="O6" s="15"/>
      <c r="P6" s="15"/>
      <c r="T6" s="134" t="s">
        <v>780</v>
      </c>
      <c r="U6" s="127" t="s">
        <v>779</v>
      </c>
      <c r="V6" s="135">
        <v>98.1</v>
      </c>
      <c r="W6" s="136">
        <v>23.28</v>
      </c>
      <c r="X6" s="127">
        <f>'CCCM Dashboard'!C34</f>
        <v>125</v>
      </c>
      <c r="Y6" s="128">
        <f>'CCCM Dashboard'!D34</f>
        <v>672</v>
      </c>
      <c r="Z6" s="129" t="str">
        <f>CONCATENATE(AG6, " cp",IF(AG6&gt;1,"s",""))</f>
        <v>3 cps</v>
      </c>
      <c r="AA6" s="569">
        <f>'Shelter Progress'!N10</f>
        <v>0.60344827586206895</v>
      </c>
      <c r="AB6" s="130"/>
      <c r="AC6" s="130"/>
      <c r="AD6" s="130"/>
      <c r="AE6" s="131">
        <f t="shared" si="1"/>
        <v>629</v>
      </c>
      <c r="AF6" s="132">
        <f t="shared" si="2"/>
        <v>308</v>
      </c>
      <c r="AG6" s="133">
        <f>'CCCM Dashboard'!E34</f>
        <v>3</v>
      </c>
      <c r="AI6" s="15"/>
      <c r="CT6" s="4"/>
      <c r="CU6" s="4"/>
      <c r="CV6" s="4"/>
      <c r="CW6" s="4"/>
      <c r="CX6" s="4"/>
      <c r="CY6" s="4"/>
      <c r="CZ6" s="4"/>
      <c r="DA6" s="4"/>
      <c r="DB6" s="4"/>
      <c r="DC6" s="4"/>
      <c r="DD6" s="4"/>
      <c r="DE6" s="4"/>
      <c r="DF6" s="4"/>
      <c r="DG6" s="4"/>
      <c r="DH6" s="4"/>
    </row>
    <row r="7" spans="15:112" ht="18.75" customHeight="1" x14ac:dyDescent="0.35">
      <c r="O7" s="15"/>
      <c r="P7" s="15"/>
      <c r="T7" s="134" t="s">
        <v>548</v>
      </c>
      <c r="U7" s="127" t="s">
        <v>363</v>
      </c>
      <c r="V7" s="134">
        <v>97.89587301587305</v>
      </c>
      <c r="W7" s="127">
        <v>26.232698412698419</v>
      </c>
      <c r="X7" s="127">
        <f>'CCCM Dashboard'!C19</f>
        <v>0</v>
      </c>
      <c r="Y7" s="128">
        <f>'CCCM Dashboard'!D19</f>
        <v>0</v>
      </c>
      <c r="Z7" s="129" t="str">
        <f t="shared" si="0"/>
        <v>0 cp</v>
      </c>
      <c r="AA7" s="569">
        <f>'Shelter Progress'!N12</f>
        <v>0</v>
      </c>
      <c r="AB7" s="130">
        <v>0</v>
      </c>
      <c r="AC7" s="130">
        <v>0</v>
      </c>
      <c r="AD7" s="130">
        <v>0</v>
      </c>
      <c r="AE7" s="131">
        <f t="shared" si="1"/>
        <v>245</v>
      </c>
      <c r="AF7" s="132">
        <f t="shared" si="2"/>
        <v>281</v>
      </c>
      <c r="AG7" s="133">
        <f>'CCCM Dashboard'!E19</f>
        <v>0</v>
      </c>
      <c r="CT7" s="4"/>
      <c r="CU7" s="4"/>
      <c r="CV7" s="4"/>
      <c r="CW7" s="4"/>
      <c r="CX7" s="4"/>
      <c r="CY7" s="4"/>
      <c r="CZ7" s="4"/>
      <c r="DA7" s="4"/>
      <c r="DB7" s="4"/>
      <c r="DC7" s="4"/>
      <c r="DD7" s="4"/>
      <c r="DE7" s="4"/>
      <c r="DF7" s="4"/>
      <c r="DG7" s="4"/>
      <c r="DH7" s="4"/>
    </row>
    <row r="8" spans="15:112" ht="18.75" customHeight="1" x14ac:dyDescent="0.35">
      <c r="O8" s="15"/>
      <c r="P8" s="15"/>
      <c r="T8" s="126" t="s">
        <v>547</v>
      </c>
      <c r="U8" s="127" t="s">
        <v>144</v>
      </c>
      <c r="V8" s="126">
        <v>98.438571428571422</v>
      </c>
      <c r="W8" s="127">
        <v>27.1</v>
      </c>
      <c r="X8" s="127">
        <f>'CCCM Dashboard'!C20</f>
        <v>0</v>
      </c>
      <c r="Y8" s="128">
        <f>'CCCM Dashboard'!D20</f>
        <v>0</v>
      </c>
      <c r="Z8" s="129" t="str">
        <f t="shared" si="0"/>
        <v>0 cp</v>
      </c>
      <c r="AA8" s="569">
        <f>'Shelter Progress'!N13</f>
        <v>0</v>
      </c>
      <c r="AB8" s="130">
        <v>0</v>
      </c>
      <c r="AC8" s="130">
        <v>0</v>
      </c>
      <c r="AD8" s="130">
        <v>0</v>
      </c>
      <c r="AE8" s="131">
        <f t="shared" si="1"/>
        <v>132</v>
      </c>
      <c r="AF8" s="132">
        <f t="shared" si="2"/>
        <v>352</v>
      </c>
      <c r="AG8" s="133">
        <f>'CCCM Dashboard'!E20</f>
        <v>0</v>
      </c>
      <c r="CT8" s="4"/>
      <c r="CU8" s="4"/>
      <c r="CV8" s="4"/>
      <c r="CW8" s="4"/>
      <c r="CX8" s="4"/>
      <c r="CY8" s="4"/>
      <c r="CZ8" s="4"/>
      <c r="DA8" s="4"/>
      <c r="DB8" s="4"/>
      <c r="DC8" s="4"/>
      <c r="DD8" s="4"/>
      <c r="DE8" s="4"/>
      <c r="DF8" s="4"/>
      <c r="DG8" s="4"/>
      <c r="DH8" s="4"/>
    </row>
    <row r="9" spans="15:112" ht="18.75" customHeight="1" x14ac:dyDescent="0.35">
      <c r="O9" s="15"/>
      <c r="P9" s="15"/>
      <c r="T9" s="134" t="s">
        <v>544</v>
      </c>
      <c r="U9" s="127" t="s">
        <v>146</v>
      </c>
      <c r="V9" s="134">
        <v>98.1</v>
      </c>
      <c r="W9" s="127">
        <v>23.553031914893619</v>
      </c>
      <c r="X9" s="127">
        <f>'CCCM Dashboard'!C35</f>
        <v>1030</v>
      </c>
      <c r="Y9" s="128">
        <f>'CCCM Dashboard'!D35</f>
        <v>5032</v>
      </c>
      <c r="Z9" s="129" t="str">
        <f t="shared" si="0"/>
        <v>12 cps</v>
      </c>
      <c r="AA9" s="569">
        <f>'Shelter Progress'!N14</f>
        <v>0.43106796116504853</v>
      </c>
      <c r="AB9" s="130">
        <v>0</v>
      </c>
      <c r="AC9" s="130">
        <v>0</v>
      </c>
      <c r="AD9" s="130">
        <v>1</v>
      </c>
      <c r="AE9" s="131">
        <f t="shared" si="1"/>
        <v>593</v>
      </c>
      <c r="AF9" s="132">
        <f t="shared" si="2"/>
        <v>308</v>
      </c>
      <c r="AG9" s="133">
        <f>'CCCM Dashboard'!E35</f>
        <v>12</v>
      </c>
      <c r="CT9" s="4"/>
      <c r="CU9" s="4"/>
      <c r="CV9" s="4"/>
      <c r="CW9" s="4"/>
      <c r="CX9" s="4"/>
      <c r="CY9" s="4"/>
      <c r="CZ9" s="4"/>
      <c r="DA9" s="4"/>
      <c r="DB9" s="4"/>
      <c r="DC9" s="4"/>
      <c r="DD9" s="4"/>
      <c r="DE9" s="4"/>
      <c r="DF9" s="4"/>
      <c r="DG9" s="4"/>
      <c r="DH9" s="4"/>
    </row>
    <row r="10" spans="15:112" ht="18.75" customHeight="1" x14ac:dyDescent="0.35">
      <c r="O10" s="15"/>
      <c r="P10" s="15"/>
      <c r="T10" s="134" t="s">
        <v>893</v>
      </c>
      <c r="U10" s="127" t="s">
        <v>892</v>
      </c>
      <c r="V10" s="135">
        <v>97.88</v>
      </c>
      <c r="W10" s="136">
        <v>27.2</v>
      </c>
      <c r="X10" s="127">
        <f>'CCCM Dashboard'!C21</f>
        <v>0</v>
      </c>
      <c r="Y10" s="128">
        <f>'CCCM Dashboard'!D21</f>
        <v>0</v>
      </c>
      <c r="Z10" s="129" t="str">
        <f>U3</f>
        <v>Bhamo</v>
      </c>
      <c r="AA10" s="569">
        <f>'Shelter Progress'!N15</f>
        <v>0</v>
      </c>
      <c r="AB10" s="130"/>
      <c r="AC10" s="130"/>
      <c r="AD10" s="130"/>
      <c r="AE10" s="131">
        <f t="shared" si="1"/>
        <v>119</v>
      </c>
      <c r="AF10" s="132">
        <f t="shared" si="2"/>
        <v>279</v>
      </c>
      <c r="AG10" s="133">
        <f>'CCCM Dashboard'!E21</f>
        <v>0</v>
      </c>
      <c r="CT10" s="4"/>
      <c r="CU10" s="4"/>
      <c r="CV10" s="4"/>
      <c r="CW10" s="4"/>
      <c r="CX10" s="4"/>
      <c r="CY10" s="4"/>
      <c r="CZ10" s="4"/>
      <c r="DA10" s="4"/>
      <c r="DB10" s="4"/>
      <c r="DC10" s="4"/>
      <c r="DD10" s="4"/>
      <c r="DE10" s="4"/>
      <c r="DF10" s="4"/>
      <c r="DG10" s="4"/>
      <c r="DH10" s="4"/>
    </row>
    <row r="11" spans="15:112" ht="18.75" customHeight="1" x14ac:dyDescent="0.35">
      <c r="O11" s="15"/>
      <c r="P11" s="15"/>
      <c r="T11" s="126" t="s">
        <v>539</v>
      </c>
      <c r="U11" s="127" t="s">
        <v>151</v>
      </c>
      <c r="V11" s="126">
        <v>97.372845528455244</v>
      </c>
      <c r="W11" s="127">
        <v>24</v>
      </c>
      <c r="X11" s="127">
        <f>'CCCM Dashboard'!C22</f>
        <v>2721</v>
      </c>
      <c r="Y11" s="128">
        <f>'CCCM Dashboard'!D22</f>
        <v>12543</v>
      </c>
      <c r="Z11" s="129" t="str">
        <f t="shared" si="0"/>
        <v>11 cps</v>
      </c>
      <c r="AA11" s="569">
        <f>'Shelter Progress'!N16</f>
        <v>0.59190283400809718</v>
      </c>
      <c r="AB11" s="130">
        <v>0</v>
      </c>
      <c r="AC11" s="130">
        <v>0</v>
      </c>
      <c r="AD11" s="130">
        <v>0</v>
      </c>
      <c r="AE11" s="131">
        <f t="shared" si="1"/>
        <v>535</v>
      </c>
      <c r="AF11" s="132">
        <f t="shared" si="2"/>
        <v>213</v>
      </c>
      <c r="AG11" s="133">
        <f>'CCCM Dashboard'!E22</f>
        <v>11</v>
      </c>
      <c r="CT11" s="4"/>
      <c r="CU11" s="4"/>
      <c r="CV11" s="4"/>
      <c r="CW11" s="4"/>
      <c r="CX11" s="4"/>
      <c r="CY11" s="4"/>
      <c r="CZ11" s="4"/>
      <c r="DA11" s="4"/>
      <c r="DB11" s="4"/>
      <c r="DC11" s="4"/>
      <c r="DD11" s="4"/>
      <c r="DE11" s="4"/>
      <c r="DF11" s="4"/>
      <c r="DG11" s="4"/>
      <c r="DH11" s="4"/>
    </row>
    <row r="12" spans="15:112" ht="18.75" customHeight="1" x14ac:dyDescent="0.35">
      <c r="O12" s="15"/>
      <c r="P12" s="15"/>
      <c r="T12" s="134" t="s">
        <v>543</v>
      </c>
      <c r="U12" s="127" t="s">
        <v>166</v>
      </c>
      <c r="V12" s="134">
        <v>97.266347826086943</v>
      </c>
      <c r="W12" s="127">
        <v>23.345826086956535</v>
      </c>
      <c r="X12" s="127">
        <f>'CCCM Dashboard'!C36</f>
        <v>101</v>
      </c>
      <c r="Y12" s="128">
        <f>'CCCM Dashboard'!D36</f>
        <v>539</v>
      </c>
      <c r="Z12" s="129" t="str">
        <f t="shared" si="0"/>
        <v>3 cps</v>
      </c>
      <c r="AA12" s="569">
        <f>'Shelter Progress'!N17</f>
        <v>0.79207920792079212</v>
      </c>
      <c r="AB12" s="130">
        <v>0</v>
      </c>
      <c r="AC12" s="130">
        <v>0</v>
      </c>
      <c r="AD12" s="130">
        <v>0</v>
      </c>
      <c r="AE12" s="131">
        <f t="shared" si="1"/>
        <v>620</v>
      </c>
      <c r="AF12" s="132">
        <f t="shared" si="2"/>
        <v>200</v>
      </c>
      <c r="AG12" s="133">
        <f>'CCCM Dashboard'!E36</f>
        <v>3</v>
      </c>
      <c r="CT12" s="4"/>
      <c r="CU12" s="4"/>
      <c r="CV12" s="4"/>
      <c r="CW12" s="4"/>
      <c r="CX12" s="4"/>
      <c r="CY12" s="4"/>
      <c r="CZ12" s="4"/>
      <c r="DA12" s="4"/>
      <c r="DB12" s="4"/>
      <c r="DC12" s="4"/>
      <c r="DD12" s="4"/>
      <c r="DE12" s="4"/>
      <c r="DF12" s="4"/>
      <c r="DG12" s="4"/>
      <c r="DH12" s="4"/>
    </row>
    <row r="13" spans="15:112" ht="18.75" customHeight="1" x14ac:dyDescent="0.35">
      <c r="O13" s="15"/>
      <c r="P13" s="15"/>
      <c r="T13" s="126" t="s">
        <v>545</v>
      </c>
      <c r="U13" s="127" t="s">
        <v>173</v>
      </c>
      <c r="V13" s="126">
        <v>96.9</v>
      </c>
      <c r="W13" s="127">
        <v>25.4</v>
      </c>
      <c r="X13" s="127">
        <f>'CCCM Dashboard'!C23</f>
        <v>94</v>
      </c>
      <c r="Y13" s="128">
        <f>'CCCM Dashboard'!D23</f>
        <v>404</v>
      </c>
      <c r="Z13" s="129" t="str">
        <f t="shared" si="0"/>
        <v>5 cps</v>
      </c>
      <c r="AA13" s="569">
        <f>'Shelter Progress'!N18</f>
        <v>1</v>
      </c>
      <c r="AB13" s="130">
        <v>0</v>
      </c>
      <c r="AC13" s="130">
        <v>0</v>
      </c>
      <c r="AD13" s="130">
        <v>0</v>
      </c>
      <c r="AE13" s="131">
        <f t="shared" si="1"/>
        <v>353</v>
      </c>
      <c r="AF13" s="132">
        <f t="shared" si="2"/>
        <v>152</v>
      </c>
      <c r="AG13" s="133">
        <f>'CCCM Dashboard'!E23</f>
        <v>5</v>
      </c>
      <c r="CT13" s="4"/>
      <c r="CU13" s="4"/>
      <c r="CV13" s="4"/>
      <c r="CW13" s="4"/>
      <c r="CX13" s="4"/>
      <c r="CY13" s="4"/>
      <c r="CZ13" s="4"/>
      <c r="DA13" s="4"/>
      <c r="DB13" s="4"/>
      <c r="DC13" s="4"/>
      <c r="DD13" s="4"/>
      <c r="DE13" s="4"/>
      <c r="DF13" s="4"/>
      <c r="DG13" s="4"/>
      <c r="DH13" s="4"/>
    </row>
    <row r="14" spans="15:112" ht="18.75" customHeight="1" x14ac:dyDescent="0.35">
      <c r="O14" s="15"/>
      <c r="P14" s="15"/>
      <c r="T14" s="134" t="s">
        <v>551</v>
      </c>
      <c r="U14" s="127" t="s">
        <v>180</v>
      </c>
      <c r="V14" s="134">
        <v>96.376558441558373</v>
      </c>
      <c r="W14" s="127">
        <v>24.957077922077939</v>
      </c>
      <c r="X14" s="127">
        <f>'CCCM Dashboard'!C24</f>
        <v>72</v>
      </c>
      <c r="Y14" s="128">
        <f>'CCCM Dashboard'!D24</f>
        <v>331</v>
      </c>
      <c r="Z14" s="129" t="str">
        <f t="shared" si="0"/>
        <v>4 cps</v>
      </c>
      <c r="AA14" s="569">
        <f>'Shelter Progress'!N19</f>
        <v>1</v>
      </c>
      <c r="AB14" s="130">
        <v>1</v>
      </c>
      <c r="AC14" s="130">
        <v>0</v>
      </c>
      <c r="AD14" s="130">
        <v>0</v>
      </c>
      <c r="AE14" s="131">
        <f t="shared" si="1"/>
        <v>411</v>
      </c>
      <c r="AF14" s="132">
        <f t="shared" si="2"/>
        <v>84</v>
      </c>
      <c r="AG14" s="133">
        <f>'CCCM Dashboard'!E24</f>
        <v>4</v>
      </c>
      <c r="CT14" s="4"/>
      <c r="CU14" s="4"/>
      <c r="CV14" s="4"/>
      <c r="CW14" s="4"/>
      <c r="CX14" s="4"/>
      <c r="CY14" s="4"/>
      <c r="CZ14" s="4"/>
      <c r="DA14" s="4"/>
      <c r="DB14" s="4"/>
      <c r="DC14" s="4"/>
      <c r="DD14" s="4"/>
      <c r="DE14" s="4"/>
      <c r="DF14" s="4"/>
      <c r="DG14" s="4"/>
      <c r="DH14" s="4"/>
    </row>
    <row r="15" spans="15:112" ht="18.75" customHeight="1" x14ac:dyDescent="0.35">
      <c r="O15" s="15"/>
      <c r="P15" s="15"/>
      <c r="T15" s="126" t="s">
        <v>533</v>
      </c>
      <c r="U15" s="127" t="s">
        <v>185</v>
      </c>
      <c r="V15" s="126">
        <v>97.449510489510473</v>
      </c>
      <c r="W15" s="127">
        <v>24.6</v>
      </c>
      <c r="X15" s="127">
        <f>'CCCM Dashboard'!C25</f>
        <v>3124</v>
      </c>
      <c r="Y15" s="128">
        <f>'CCCM Dashboard'!D25</f>
        <v>15683</v>
      </c>
      <c r="Z15" s="129" t="str">
        <f t="shared" si="0"/>
        <v>20 cps</v>
      </c>
      <c r="AA15" s="569">
        <f>'Shelter Progress'!N20</f>
        <v>1</v>
      </c>
      <c r="AB15" s="130">
        <v>0.12549019607843137</v>
      </c>
      <c r="AC15" s="130">
        <v>0</v>
      </c>
      <c r="AD15" s="130">
        <v>0.58263305322128844</v>
      </c>
      <c r="AE15" s="131">
        <f t="shared" si="1"/>
        <v>457</v>
      </c>
      <c r="AF15" s="132">
        <f t="shared" si="2"/>
        <v>223</v>
      </c>
      <c r="AG15" s="133">
        <f>'CCCM Dashboard'!E25</f>
        <v>20</v>
      </c>
      <c r="CT15" s="4"/>
      <c r="CU15" s="4"/>
      <c r="CV15" s="4"/>
      <c r="CW15" s="4"/>
      <c r="CX15" s="4"/>
      <c r="CY15" s="4"/>
      <c r="CZ15" s="4"/>
      <c r="DA15" s="4"/>
      <c r="DB15" s="4"/>
      <c r="DC15" s="4"/>
      <c r="DD15" s="4"/>
      <c r="DE15" s="4"/>
      <c r="DF15" s="4"/>
      <c r="DG15" s="4"/>
      <c r="DH15" s="4"/>
    </row>
    <row r="16" spans="15:112" ht="18.75" customHeight="1" x14ac:dyDescent="0.35">
      <c r="O16" s="15"/>
      <c r="P16" s="15"/>
      <c r="T16" s="134" t="s">
        <v>538</v>
      </c>
      <c r="U16" s="127" t="s">
        <v>230</v>
      </c>
      <c r="V16" s="134">
        <v>98.12</v>
      </c>
      <c r="W16" s="127">
        <v>23.972235294117642</v>
      </c>
      <c r="X16" s="127">
        <f>'CCCM Dashboard'!C37</f>
        <v>269</v>
      </c>
      <c r="Y16" s="128">
        <f>'CCCM Dashboard'!D37</f>
        <v>1851</v>
      </c>
      <c r="Z16" s="129" t="str">
        <f t="shared" si="0"/>
        <v>14 cps</v>
      </c>
      <c r="AA16" s="569">
        <f>'Shelter Progress'!N21</f>
        <v>1</v>
      </c>
      <c r="AB16" s="130">
        <v>0</v>
      </c>
      <c r="AC16" s="130">
        <v>0</v>
      </c>
      <c r="AD16" s="130">
        <v>0</v>
      </c>
      <c r="AE16" s="131">
        <f t="shared" si="1"/>
        <v>539</v>
      </c>
      <c r="AF16" s="132">
        <f t="shared" si="2"/>
        <v>311</v>
      </c>
      <c r="AG16" s="133">
        <f>'CCCM Dashboard'!E37</f>
        <v>14</v>
      </c>
      <c r="CT16" s="4"/>
      <c r="CU16" s="4"/>
      <c r="CV16" s="4"/>
      <c r="CW16" s="4"/>
      <c r="CX16" s="4"/>
      <c r="CY16" s="4"/>
      <c r="CZ16" s="4"/>
      <c r="DA16" s="4"/>
      <c r="DB16" s="4"/>
      <c r="DC16" s="4"/>
      <c r="DD16" s="4"/>
      <c r="DE16" s="4"/>
      <c r="DF16" s="4"/>
      <c r="DG16" s="4"/>
      <c r="DH16" s="4"/>
    </row>
    <row r="17" spans="1:112" ht="18.75" customHeight="1" x14ac:dyDescent="0.35">
      <c r="O17" s="15"/>
      <c r="P17" s="15"/>
      <c r="T17" s="126" t="s">
        <v>535</v>
      </c>
      <c r="U17" s="127" t="s">
        <v>237</v>
      </c>
      <c r="V17" s="126">
        <v>97.301176470588288</v>
      </c>
      <c r="W17" s="127">
        <v>25.24</v>
      </c>
      <c r="X17" s="127">
        <f>'CCCM Dashboard'!C26</f>
        <v>1177</v>
      </c>
      <c r="Y17" s="128">
        <f>'CCCM Dashboard'!D26</f>
        <v>5923</v>
      </c>
      <c r="Z17" s="129" t="str">
        <f t="shared" si="0"/>
        <v>24 cps</v>
      </c>
      <c r="AA17" s="569">
        <f>'Shelter Progress'!N22</f>
        <v>0.94477485131690742</v>
      </c>
      <c r="AB17" s="130">
        <v>0.65062761506276146</v>
      </c>
      <c r="AC17" s="130">
        <v>0</v>
      </c>
      <c r="AD17" s="130">
        <v>0.25732217573221761</v>
      </c>
      <c r="AE17" s="131">
        <f t="shared" si="1"/>
        <v>374</v>
      </c>
      <c r="AF17" s="132">
        <f t="shared" si="2"/>
        <v>204</v>
      </c>
      <c r="AG17" s="133">
        <f>'CCCM Dashboard'!E26</f>
        <v>24</v>
      </c>
      <c r="CT17" s="4"/>
      <c r="CU17" s="4"/>
      <c r="CV17" s="4"/>
      <c r="CW17" s="4"/>
      <c r="CX17" s="4"/>
      <c r="CY17" s="4"/>
      <c r="CZ17" s="4"/>
      <c r="DA17" s="4"/>
      <c r="DB17" s="4"/>
      <c r="DC17" s="4"/>
      <c r="DD17" s="4"/>
      <c r="DE17" s="4"/>
      <c r="DF17" s="4"/>
      <c r="DG17" s="4"/>
      <c r="DH17" s="4"/>
    </row>
    <row r="18" spans="1:112" ht="18.75" customHeight="1" x14ac:dyDescent="0.35">
      <c r="O18" s="15"/>
      <c r="P18" s="15"/>
      <c r="T18" s="134" t="s">
        <v>549</v>
      </c>
      <c r="U18" s="127" t="s">
        <v>289</v>
      </c>
      <c r="V18" s="134">
        <v>97.619855072463778</v>
      </c>
      <c r="W18" s="127">
        <v>23.7</v>
      </c>
      <c r="X18" s="127">
        <f>'CCCM Dashboard'!C38</f>
        <v>605</v>
      </c>
      <c r="Y18" s="128">
        <f>'CCCM Dashboard'!D38</f>
        <v>2777</v>
      </c>
      <c r="Z18" s="129" t="str">
        <f t="shared" si="0"/>
        <v>7 cps</v>
      </c>
      <c r="AA18" s="569">
        <f>'Shelter Progress'!N23</f>
        <v>0.39173553719008264</v>
      </c>
      <c r="AB18" s="130">
        <v>0</v>
      </c>
      <c r="AC18" s="130">
        <v>0</v>
      </c>
      <c r="AD18" s="130">
        <v>0</v>
      </c>
      <c r="AE18" s="131">
        <f t="shared" si="1"/>
        <v>574</v>
      </c>
      <c r="AF18" s="132">
        <f t="shared" si="2"/>
        <v>246</v>
      </c>
      <c r="AG18" s="133">
        <f>'CCCM Dashboard'!E38</f>
        <v>7</v>
      </c>
      <c r="CT18" s="4"/>
      <c r="CU18" s="4"/>
      <c r="CV18" s="4"/>
      <c r="CW18" s="4"/>
      <c r="CX18" s="4"/>
      <c r="CY18" s="4"/>
      <c r="CZ18" s="4"/>
      <c r="DA18" s="4"/>
      <c r="DB18" s="4"/>
      <c r="DC18" s="4"/>
      <c r="DD18" s="4"/>
      <c r="DE18" s="4"/>
      <c r="DF18" s="4"/>
      <c r="DG18" s="4"/>
      <c r="DH18" s="4"/>
    </row>
    <row r="19" spans="1:112" ht="18.75" customHeight="1" x14ac:dyDescent="0.35">
      <c r="O19" s="15"/>
      <c r="P19" s="15"/>
      <c r="T19" s="126" t="s">
        <v>550</v>
      </c>
      <c r="U19" s="127" t="s">
        <v>298</v>
      </c>
      <c r="V19" s="126">
        <v>97.48</v>
      </c>
      <c r="W19" s="127">
        <v>23.01813559322035</v>
      </c>
      <c r="X19" s="127">
        <f>'CCCM Dashboard'!C40</f>
        <v>501</v>
      </c>
      <c r="Y19" s="128">
        <f>'CCCM Dashboard'!D40</f>
        <v>1978</v>
      </c>
      <c r="Z19" s="129" t="str">
        <f t="shared" si="0"/>
        <v>8 cps</v>
      </c>
      <c r="AA19" s="569">
        <f>'Shelter Progress'!N24</f>
        <v>2.6109660574412531E-2</v>
      </c>
      <c r="AB19" s="130">
        <v>0</v>
      </c>
      <c r="AC19" s="130">
        <v>0</v>
      </c>
      <c r="AD19" s="130">
        <v>0</v>
      </c>
      <c r="AE19" s="131">
        <f t="shared" si="1"/>
        <v>663</v>
      </c>
      <c r="AF19" s="132">
        <f t="shared" si="2"/>
        <v>227</v>
      </c>
      <c r="AG19" s="133">
        <f>'CCCM Dashboard'!E40</f>
        <v>8</v>
      </c>
      <c r="CT19" s="4"/>
      <c r="CU19" s="4"/>
      <c r="CV19" s="4"/>
      <c r="CW19" s="4"/>
      <c r="CX19" s="4"/>
      <c r="CY19" s="4"/>
      <c r="CZ19" s="4"/>
      <c r="DA19" s="4"/>
      <c r="DB19" s="4"/>
      <c r="DC19" s="4"/>
      <c r="DD19" s="4"/>
      <c r="DE19" s="4"/>
      <c r="DF19" s="4"/>
      <c r="DG19" s="4"/>
      <c r="DH19" s="4"/>
    </row>
    <row r="20" spans="1:112" ht="18.75" customHeight="1" x14ac:dyDescent="0.35">
      <c r="O20" s="15"/>
      <c r="P20" s="15"/>
      <c r="T20" s="134" t="s">
        <v>552</v>
      </c>
      <c r="U20" s="127" t="s">
        <v>300</v>
      </c>
      <c r="V20" s="134">
        <v>97.435148514851463</v>
      </c>
      <c r="W20" s="127">
        <v>27.327029702970304</v>
      </c>
      <c r="X20" s="127">
        <f>'CCCM Dashboard'!C27</f>
        <v>83</v>
      </c>
      <c r="Y20" s="128">
        <f>'CCCM Dashboard'!D27</f>
        <v>388</v>
      </c>
      <c r="Z20" s="129" t="str">
        <f t="shared" si="0"/>
        <v>3 cps</v>
      </c>
      <c r="AA20" s="569">
        <f>'Shelter Progress'!N25</f>
        <v>1</v>
      </c>
      <c r="AB20" s="130">
        <v>0</v>
      </c>
      <c r="AC20" s="130">
        <v>0</v>
      </c>
      <c r="AD20" s="130">
        <v>0</v>
      </c>
      <c r="AE20" s="131">
        <f t="shared" si="1"/>
        <v>102</v>
      </c>
      <c r="AF20" s="132">
        <f t="shared" si="2"/>
        <v>222</v>
      </c>
      <c r="AG20" s="133">
        <f>'CCCM Dashboard'!E27</f>
        <v>3</v>
      </c>
      <c r="CT20" s="4"/>
      <c r="CU20" s="4"/>
      <c r="CV20" s="4"/>
      <c r="CW20" s="4"/>
      <c r="CX20" s="4"/>
      <c r="CY20" s="4"/>
      <c r="CZ20" s="4"/>
      <c r="DA20" s="4"/>
      <c r="DB20" s="4"/>
      <c r="DC20" s="4"/>
      <c r="DD20" s="4"/>
      <c r="DE20" s="4"/>
      <c r="DF20" s="4"/>
      <c r="DG20" s="4"/>
      <c r="DH20" s="4"/>
    </row>
    <row r="21" spans="1:112" ht="18.75" customHeight="1" x14ac:dyDescent="0.35">
      <c r="T21" s="126" t="s">
        <v>540</v>
      </c>
      <c r="U21" s="127" t="s">
        <v>302</v>
      </c>
      <c r="V21" s="126">
        <v>96.752179487179433</v>
      </c>
      <c r="W21" s="127">
        <v>24.4</v>
      </c>
      <c r="X21" s="127">
        <f>'CCCM Dashboard'!C28</f>
        <v>510</v>
      </c>
      <c r="Y21" s="128">
        <f>'CCCM Dashboard'!D28</f>
        <v>2230</v>
      </c>
      <c r="Z21" s="127" t="str">
        <f t="shared" si="0"/>
        <v>4 cps</v>
      </c>
      <c r="AA21" s="569">
        <f>'Shelter Progress'!N26</f>
        <v>0.69841269841269837</v>
      </c>
      <c r="AB21" s="130">
        <v>0</v>
      </c>
      <c r="AC21" s="130">
        <v>0</v>
      </c>
      <c r="AD21" s="130">
        <v>0</v>
      </c>
      <c r="AE21" s="131">
        <f t="shared" si="1"/>
        <v>483</v>
      </c>
      <c r="AF21" s="132">
        <f t="shared" si="2"/>
        <v>133</v>
      </c>
      <c r="AG21" s="133">
        <f>'CCCM Dashboard'!E28</f>
        <v>4</v>
      </c>
      <c r="DA21" s="53"/>
      <c r="DB21" s="54"/>
      <c r="DC21" s="54"/>
      <c r="DD21" s="54"/>
      <c r="DE21" s="54"/>
    </row>
    <row r="22" spans="1:112" ht="18.75" customHeight="1" x14ac:dyDescent="0.35">
      <c r="A22" s="64"/>
      <c r="B22" s="64"/>
      <c r="C22" s="64"/>
      <c r="D22" s="64"/>
      <c r="E22" s="64"/>
      <c r="F22" s="64"/>
      <c r="G22" s="64"/>
      <c r="H22" s="64"/>
      <c r="I22" s="64"/>
      <c r="J22" s="64"/>
      <c r="K22" s="64"/>
      <c r="L22" s="64"/>
      <c r="M22" s="64"/>
      <c r="N22" s="55"/>
      <c r="T22" s="134" t="s">
        <v>809</v>
      </c>
      <c r="U22" s="127" t="s">
        <v>808</v>
      </c>
      <c r="V22" s="126">
        <v>97.5</v>
      </c>
      <c r="W22" s="136">
        <v>26.5</v>
      </c>
      <c r="X22" s="127">
        <f>'CCCM Dashboard'!C29</f>
        <v>166</v>
      </c>
      <c r="Y22" s="128">
        <f>'CCCM Dashboard'!D29</f>
        <v>1232</v>
      </c>
      <c r="Z22" s="129" t="str">
        <f>CONCATENATE(AG22, " cp",IF(AG22&gt;1,"s",""))</f>
        <v>3 cps</v>
      </c>
      <c r="AA22" s="569">
        <f>'Shelter Progress'!N27</f>
        <v>0</v>
      </c>
      <c r="AB22" s="130"/>
      <c r="AC22" s="130"/>
      <c r="AD22" s="130"/>
      <c r="AE22" s="131">
        <f t="shared" si="1"/>
        <v>210</v>
      </c>
      <c r="AF22" s="132">
        <f t="shared" si="2"/>
        <v>230</v>
      </c>
      <c r="AG22" s="133">
        <f>'CCCM Dashboard'!E29</f>
        <v>3</v>
      </c>
      <c r="DA22" s="53"/>
      <c r="DB22" s="54"/>
      <c r="DC22" s="54"/>
      <c r="DD22" s="54"/>
      <c r="DE22" s="54"/>
    </row>
    <row r="23" spans="1:112" ht="18.75" customHeight="1" x14ac:dyDescent="0.35">
      <c r="A23" s="57"/>
      <c r="B23" s="57"/>
      <c r="C23" s="58"/>
      <c r="D23" s="58"/>
      <c r="E23" s="59"/>
      <c r="F23" s="59"/>
      <c r="G23" s="60"/>
      <c r="H23" s="61"/>
      <c r="I23" s="61"/>
      <c r="J23" s="61"/>
      <c r="K23" s="62"/>
      <c r="L23" s="63"/>
      <c r="M23" s="64"/>
      <c r="N23" s="55"/>
      <c r="T23" s="134" t="s">
        <v>532</v>
      </c>
      <c r="U23" s="127" t="s">
        <v>310</v>
      </c>
      <c r="V23" s="134">
        <v>97.8</v>
      </c>
      <c r="W23" s="127">
        <v>25.5</v>
      </c>
      <c r="X23" s="127">
        <f>'CCCM Dashboard'!C31</f>
        <v>6296</v>
      </c>
      <c r="Y23" s="128">
        <f>'CCCM Dashboard'!D31</f>
        <v>32802</v>
      </c>
      <c r="Z23" s="127" t="str">
        <f t="shared" si="0"/>
        <v>23 cps</v>
      </c>
      <c r="AA23" s="569">
        <f>'Shelter Progress'!N28</f>
        <v>0.54891994917407883</v>
      </c>
      <c r="AB23" s="130">
        <v>0.37372161553128791</v>
      </c>
      <c r="AC23" s="130">
        <v>0</v>
      </c>
      <c r="AD23" s="130">
        <v>4.6281851274050934E-2</v>
      </c>
      <c r="AE23" s="131">
        <f t="shared" si="1"/>
        <v>340</v>
      </c>
      <c r="AF23" s="132">
        <f t="shared" si="2"/>
        <v>269</v>
      </c>
      <c r="AG23" s="133">
        <f>'CCCM Dashboard'!E31</f>
        <v>23</v>
      </c>
      <c r="DA23" s="53"/>
      <c r="DB23" s="54"/>
      <c r="DC23" s="54"/>
      <c r="DD23" s="54"/>
      <c r="DE23" s="54"/>
    </row>
    <row r="24" spans="1:112" ht="18.75" customHeight="1" x14ac:dyDescent="0.35">
      <c r="T24" s="127"/>
      <c r="U24" s="127" t="s">
        <v>566</v>
      </c>
      <c r="V24" s="136" t="s">
        <v>568</v>
      </c>
      <c r="W24" s="136" t="s">
        <v>567</v>
      </c>
      <c r="X24" s="137">
        <f>SUBTOTAL(109,Table58[HS])</f>
        <v>19661</v>
      </c>
      <c r="Y24" s="137">
        <f>SUBTOTAL(109,Table58[Pop])</f>
        <v>98908</v>
      </c>
      <c r="Z24" s="129" t="str">
        <f>CONCATENATE(Table58[[#Totals],[Column1]]," camps")</f>
        <v>187 camps</v>
      </c>
      <c r="AA24" s="570">
        <f>SUMPRODUCT(Table58[Pop]*Table58[Coverage])/Table58[[#Totals],[Pop]]</f>
        <v>0.65713201197372906</v>
      </c>
      <c r="AB24" s="138">
        <f>SUMPRODUCT(Table58[Pop]*Table58[Hygiene])/Table58[[#Totals],[Pop]]</f>
        <v>0.23905648858890108</v>
      </c>
      <c r="AC24" s="138">
        <f>SUMPRODUCT(Table58[Pop]*Table58[Core])/Table58[[#Totals],[Pop]]</f>
        <v>0</v>
      </c>
      <c r="AD24" s="138">
        <f>SUMPRODUCT(Table58[Pop]*Table58[Sanitary])/Table58[[#Totals],[Pop]]</f>
        <v>0.23743765073455131</v>
      </c>
      <c r="AE24" s="139">
        <f>1000-ROUND((W24-23.5)*$S$5,0)</f>
        <v>545</v>
      </c>
      <c r="AF24" s="140">
        <f>ROUND((V24-96.5)*$S$5,0)+100</f>
        <v>35</v>
      </c>
      <c r="AG24" s="141">
        <f>SUBTOTAL(109,Table58[Column1])</f>
        <v>187</v>
      </c>
      <c r="DA24" s="53"/>
      <c r="DE24" s="1"/>
      <c r="DF24" s="34"/>
    </row>
    <row r="25" spans="1:112" ht="18.75" customHeight="1" x14ac:dyDescent="0.35">
      <c r="DA25" s="53"/>
      <c r="DE25" s="1"/>
      <c r="DF25" s="34"/>
    </row>
    <row r="26" spans="1:112" ht="18.75" customHeight="1" x14ac:dyDescent="0.35">
      <c r="P26" s="56"/>
      <c r="Q26" s="56"/>
      <c r="DA26" s="53"/>
      <c r="DE26" s="1"/>
      <c r="DF26" s="34"/>
    </row>
    <row r="27" spans="1:112" s="15" customFormat="1" ht="18.75" customHeight="1" x14ac:dyDescent="0.35">
      <c r="A27" s="4"/>
      <c r="B27" s="4"/>
      <c r="C27" s="4"/>
      <c r="D27" s="4"/>
      <c r="E27" s="4"/>
      <c r="F27" s="4"/>
      <c r="G27" s="4"/>
      <c r="H27" s="4"/>
      <c r="I27" s="4"/>
      <c r="J27" s="4"/>
      <c r="K27" s="4"/>
      <c r="L27" s="4"/>
      <c r="M27" s="4"/>
      <c r="N27" s="4"/>
      <c r="O27" s="4"/>
      <c r="P27" s="4"/>
      <c r="Q27" s="4"/>
      <c r="R27" s="4"/>
      <c r="S27" s="4"/>
      <c r="T27" s="116"/>
      <c r="U27" s="116"/>
      <c r="V27" s="116"/>
      <c r="W27" s="116"/>
      <c r="X27" s="116"/>
      <c r="Y27" s="116"/>
      <c r="Z27" s="116"/>
      <c r="AA27" s="116"/>
      <c r="AB27" s="116"/>
      <c r="AC27" s="116"/>
      <c r="AD27" s="116"/>
      <c r="AE27" s="116"/>
      <c r="AF27" s="116"/>
      <c r="AG27" s="116"/>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DA27" s="53"/>
      <c r="DE27" s="1"/>
      <c r="DF27" s="34"/>
    </row>
    <row r="28" spans="1:112" s="15" customFormat="1" ht="18.75" customHeight="1" x14ac:dyDescent="0.35">
      <c r="A28" s="4"/>
      <c r="B28" s="4"/>
      <c r="C28" s="4"/>
      <c r="D28" s="4"/>
      <c r="E28" s="4"/>
      <c r="F28" s="4"/>
      <c r="G28" s="4"/>
      <c r="H28" s="4"/>
      <c r="I28" s="4"/>
      <c r="J28" s="4"/>
      <c r="K28" s="4"/>
      <c r="L28" s="4"/>
      <c r="M28" s="4"/>
      <c r="N28" s="4"/>
      <c r="O28" s="4"/>
      <c r="P28" s="4"/>
      <c r="Q28" s="4"/>
      <c r="R28" s="4"/>
      <c r="S28" s="4"/>
      <c r="T28" s="116"/>
      <c r="U28" s="116"/>
      <c r="V28" s="116"/>
      <c r="W28" s="116"/>
      <c r="X28" s="116"/>
      <c r="Y28" s="116"/>
      <c r="Z28" s="116"/>
      <c r="AA28" s="116"/>
      <c r="AB28" s="116"/>
      <c r="AC28" s="116"/>
      <c r="AD28" s="116"/>
      <c r="AE28" s="116"/>
      <c r="AF28" s="116"/>
      <c r="AG28" s="116"/>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DA28" s="53"/>
      <c r="DE28" s="1"/>
      <c r="DF28" s="34"/>
    </row>
    <row r="29" spans="1:112" s="15" customFormat="1" ht="18.75" customHeight="1" x14ac:dyDescent="0.35">
      <c r="A29" s="4"/>
      <c r="B29" s="4"/>
      <c r="C29" s="4"/>
      <c r="D29" s="4"/>
      <c r="E29" s="4"/>
      <c r="F29" s="4"/>
      <c r="G29" s="4"/>
      <c r="H29" s="4"/>
      <c r="I29" s="4"/>
      <c r="J29" s="4"/>
      <c r="K29" s="4"/>
      <c r="L29" s="4"/>
      <c r="M29" s="4"/>
      <c r="N29" s="4"/>
      <c r="O29" s="4"/>
      <c r="P29" s="4"/>
      <c r="Q29" s="4"/>
      <c r="R29" s="4"/>
      <c r="S29" s="4"/>
      <c r="T29" s="116"/>
      <c r="U29" s="116"/>
      <c r="V29" s="116"/>
      <c r="W29" s="116"/>
      <c r="X29" s="116"/>
      <c r="Y29" s="116"/>
      <c r="Z29" s="116"/>
      <c r="AA29" s="116"/>
      <c r="AB29" s="116"/>
      <c r="AC29" s="116"/>
      <c r="AD29" s="116"/>
      <c r="AE29" s="116"/>
      <c r="AF29" s="116"/>
      <c r="AG29" s="116"/>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DA29" s="53"/>
      <c r="DE29" s="1"/>
      <c r="DF29" s="34"/>
    </row>
    <row r="30" spans="1:112" s="15" customFormat="1" ht="18.75" customHeight="1" x14ac:dyDescent="0.35">
      <c r="A30" s="4"/>
      <c r="B30" s="4"/>
      <c r="C30" s="4"/>
      <c r="D30" s="4"/>
      <c r="E30" s="4"/>
      <c r="F30" s="4"/>
      <c r="G30" s="4"/>
      <c r="H30" s="4"/>
      <c r="I30" s="4"/>
      <c r="J30" s="4"/>
      <c r="K30" s="4"/>
      <c r="L30" s="4"/>
      <c r="M30" s="4"/>
      <c r="N30" s="4"/>
      <c r="O30" s="4"/>
      <c r="P30" s="4"/>
      <c r="Q30" s="4"/>
      <c r="R30" s="4"/>
      <c r="S30" s="4"/>
      <c r="T30" s="116"/>
      <c r="U30" s="116"/>
      <c r="V30" s="116"/>
      <c r="W30" s="116"/>
      <c r="X30" s="116"/>
      <c r="Y30" s="116"/>
      <c r="Z30" s="116"/>
      <c r="AA30" s="116"/>
      <c r="AB30" s="116"/>
      <c r="AC30" s="116"/>
      <c r="AD30" s="116"/>
      <c r="AE30" s="116"/>
      <c r="AF30" s="116"/>
      <c r="AG30" s="116"/>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DA30" s="53"/>
      <c r="DE30" s="1"/>
      <c r="DF30" s="34"/>
    </row>
    <row r="31" spans="1:112" s="15" customFormat="1" ht="18.75" customHeight="1" x14ac:dyDescent="0.35">
      <c r="A31" s="4"/>
      <c r="B31" s="4"/>
      <c r="C31" s="4"/>
      <c r="D31" s="4"/>
      <c r="E31" s="4"/>
      <c r="F31" s="4"/>
      <c r="G31" s="4"/>
      <c r="H31" s="4"/>
      <c r="I31" s="4"/>
      <c r="J31" s="4"/>
      <c r="K31" s="4"/>
      <c r="L31" s="4"/>
      <c r="M31" s="4"/>
      <c r="N31" s="4"/>
      <c r="O31" s="4"/>
      <c r="P31" s="4"/>
      <c r="Q31" s="4"/>
      <c r="R31" s="4"/>
      <c r="S31" s="4"/>
      <c r="T31" s="116"/>
      <c r="U31" s="116"/>
      <c r="V31" s="116"/>
      <c r="W31" s="116"/>
      <c r="X31" s="116"/>
      <c r="Y31" s="116"/>
      <c r="Z31" s="116"/>
      <c r="AA31" s="116"/>
      <c r="AB31" s="116"/>
      <c r="AC31" s="116"/>
      <c r="AD31" s="116"/>
      <c r="AE31" s="116"/>
      <c r="AF31" s="116"/>
      <c r="AG31" s="116"/>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DA31" s="53"/>
      <c r="DE31" s="1"/>
      <c r="DF31" s="34"/>
    </row>
    <row r="32" spans="1:112" s="15" customFormat="1" ht="18.75" customHeight="1" x14ac:dyDescent="0.35">
      <c r="A32" s="4"/>
      <c r="B32" s="4"/>
      <c r="C32" s="4"/>
      <c r="D32" s="4"/>
      <c r="E32" s="4"/>
      <c r="F32" s="4"/>
      <c r="G32" s="4"/>
      <c r="H32" s="4"/>
      <c r="I32" s="4"/>
      <c r="J32" s="4"/>
      <c r="K32" s="4"/>
      <c r="L32" s="4"/>
      <c r="M32" s="4"/>
      <c r="N32" s="4"/>
      <c r="O32" s="4"/>
      <c r="P32" s="4"/>
      <c r="Q32" s="4"/>
      <c r="R32" s="4"/>
      <c r="S32" s="4"/>
      <c r="T32" s="116"/>
      <c r="U32" s="116"/>
      <c r="V32" s="116"/>
      <c r="W32" s="116"/>
      <c r="X32" s="116"/>
      <c r="Y32" s="116"/>
      <c r="Z32" s="116"/>
      <c r="AA32" s="116"/>
      <c r="AB32" s="116"/>
      <c r="AC32" s="116"/>
      <c r="AD32" s="116"/>
      <c r="AE32" s="116"/>
      <c r="AF32" s="116"/>
      <c r="AG32" s="116"/>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DE32" s="1"/>
      <c r="DF32" s="34"/>
    </row>
    <row r="33" spans="1:111" s="15" customFormat="1" ht="18.75" customHeight="1" x14ac:dyDescent="0.35">
      <c r="A33" s="4"/>
      <c r="B33" s="4"/>
      <c r="C33" s="4"/>
      <c r="D33" s="4"/>
      <c r="E33" s="4"/>
      <c r="F33" s="4"/>
      <c r="G33" s="4"/>
      <c r="H33" s="4"/>
      <c r="I33" s="4"/>
      <c r="J33" s="4"/>
      <c r="K33" s="4"/>
      <c r="L33" s="4"/>
      <c r="M33" s="4"/>
      <c r="N33" s="4"/>
      <c r="O33" s="4"/>
      <c r="P33" s="4"/>
      <c r="Q33" s="4"/>
      <c r="R33" s="4"/>
      <c r="S33" s="4"/>
      <c r="T33" s="116"/>
      <c r="U33" s="116"/>
      <c r="V33" s="116"/>
      <c r="W33" s="116"/>
      <c r="X33" s="116"/>
      <c r="Y33" s="116"/>
      <c r="Z33" s="116"/>
      <c r="AA33" s="116"/>
      <c r="AB33" s="116"/>
      <c r="AC33" s="116"/>
      <c r="AD33" s="116"/>
      <c r="AE33" s="116"/>
      <c r="AF33" s="116"/>
      <c r="AG33" s="116"/>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DE33" s="1"/>
      <c r="DF33" s="34"/>
    </row>
    <row r="34" spans="1:111" s="15" customFormat="1" ht="18.75" customHeight="1" x14ac:dyDescent="0.35">
      <c r="A34" s="4"/>
      <c r="B34" s="4"/>
      <c r="C34" s="4"/>
      <c r="D34" s="4"/>
      <c r="E34" s="4"/>
      <c r="F34" s="4"/>
      <c r="G34" s="4"/>
      <c r="H34" s="4"/>
      <c r="I34" s="4"/>
      <c r="J34" s="4"/>
      <c r="K34" s="4"/>
      <c r="L34" s="4"/>
      <c r="M34" s="4"/>
      <c r="N34" s="4"/>
      <c r="O34" s="4"/>
      <c r="P34" s="4"/>
      <c r="Q34" s="4"/>
      <c r="R34" s="4"/>
      <c r="S34" s="4"/>
      <c r="T34" s="116"/>
      <c r="U34" s="116"/>
      <c r="V34" s="116"/>
      <c r="W34" s="116"/>
      <c r="X34" s="116"/>
      <c r="Y34" s="116"/>
      <c r="Z34" s="116"/>
      <c r="AA34" s="116"/>
      <c r="AB34" s="116"/>
      <c r="AC34" s="116"/>
      <c r="AD34" s="116"/>
      <c r="AE34" s="116"/>
      <c r="AF34" s="116"/>
      <c r="AG34" s="116"/>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DE34" s="1"/>
      <c r="DF34" s="34"/>
    </row>
    <row r="35" spans="1:111" s="15" customFormat="1" ht="18.75" customHeight="1" x14ac:dyDescent="0.35">
      <c r="A35" s="4"/>
      <c r="B35" s="4"/>
      <c r="C35" s="4"/>
      <c r="D35" s="4"/>
      <c r="E35" s="4"/>
      <c r="F35" s="4"/>
      <c r="G35" s="4"/>
      <c r="H35" s="4"/>
      <c r="I35" s="4"/>
      <c r="J35" s="4"/>
      <c r="K35" s="4"/>
      <c r="L35" s="4"/>
      <c r="M35" s="4"/>
      <c r="N35" s="4"/>
      <c r="O35" s="4"/>
      <c r="P35" s="4"/>
      <c r="Q35" s="4"/>
      <c r="R35" s="4"/>
      <c r="S35" s="4"/>
      <c r="T35" s="116"/>
      <c r="U35" s="116"/>
      <c r="V35" s="116"/>
      <c r="W35" s="116"/>
      <c r="X35" s="116"/>
      <c r="Y35" s="116"/>
      <c r="Z35" s="116"/>
      <c r="AA35" s="116"/>
      <c r="AB35" s="116"/>
      <c r="AC35" s="116"/>
      <c r="AD35" s="116"/>
      <c r="AE35" s="116"/>
      <c r="AF35" s="116"/>
      <c r="AG35" s="116"/>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DE35" s="1"/>
      <c r="DF35" s="34"/>
    </row>
    <row r="36" spans="1:111" s="15" customFormat="1" ht="18.75" customHeight="1" x14ac:dyDescent="0.35">
      <c r="A36" s="4"/>
      <c r="B36" s="4"/>
      <c r="C36" s="4"/>
      <c r="D36" s="4"/>
      <c r="E36" s="4"/>
      <c r="F36" s="4"/>
      <c r="G36" s="4"/>
      <c r="H36" s="4"/>
      <c r="I36" s="4"/>
      <c r="J36" s="4"/>
      <c r="K36" s="4"/>
      <c r="L36" s="4"/>
      <c r="M36" s="4"/>
      <c r="N36" s="4"/>
      <c r="O36" s="4"/>
      <c r="P36" s="4"/>
      <c r="Q36" s="4"/>
      <c r="R36" s="4"/>
      <c r="S36" s="4"/>
      <c r="T36" s="116"/>
      <c r="U36" s="116"/>
      <c r="V36" s="116"/>
      <c r="W36" s="116"/>
      <c r="X36" s="116"/>
      <c r="Y36" s="116"/>
      <c r="Z36" s="116"/>
      <c r="AA36" s="116"/>
      <c r="AB36" s="116"/>
      <c r="AC36" s="116"/>
      <c r="AD36" s="116"/>
      <c r="AE36" s="116"/>
      <c r="AF36" s="116"/>
      <c r="AG36" s="116"/>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DE36" s="1"/>
      <c r="DF36" s="34"/>
    </row>
    <row r="37" spans="1:111" s="15" customFormat="1" ht="18.75" customHeight="1" x14ac:dyDescent="0.35">
      <c r="A37" s="4"/>
      <c r="B37" s="4"/>
      <c r="C37" s="4"/>
      <c r="D37" s="4"/>
      <c r="E37" s="4"/>
      <c r="F37" s="4"/>
      <c r="G37" s="4"/>
      <c r="H37" s="4"/>
      <c r="I37" s="4"/>
      <c r="J37" s="4"/>
      <c r="K37" s="4"/>
      <c r="L37" s="4"/>
      <c r="M37" s="4"/>
      <c r="N37" s="4"/>
      <c r="O37" s="4"/>
      <c r="P37" s="4"/>
      <c r="Q37" s="4"/>
      <c r="R37" s="4"/>
      <c r="S37" s="4"/>
      <c r="T37" s="116"/>
      <c r="U37" s="116"/>
      <c r="V37" s="116"/>
      <c r="W37" s="116"/>
      <c r="X37" s="116"/>
      <c r="Y37" s="116"/>
      <c r="Z37" s="116"/>
      <c r="AA37" s="116"/>
      <c r="AB37" s="116"/>
      <c r="AC37" s="116"/>
      <c r="AD37" s="116"/>
      <c r="AE37" s="116"/>
      <c r="AF37" s="116"/>
      <c r="AG37" s="116"/>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DE37" s="1"/>
      <c r="DF37" s="34"/>
    </row>
    <row r="38" spans="1:111" s="15" customFormat="1" ht="18.75" customHeight="1" x14ac:dyDescent="0.35">
      <c r="A38" s="4"/>
      <c r="B38" s="4"/>
      <c r="C38" s="4"/>
      <c r="D38" s="4"/>
      <c r="E38" s="4"/>
      <c r="F38" s="4"/>
      <c r="G38" s="4"/>
      <c r="H38" s="4"/>
      <c r="I38" s="4"/>
      <c r="J38" s="4"/>
      <c r="K38" s="4"/>
      <c r="L38" s="4"/>
      <c r="M38" s="4"/>
      <c r="N38" s="4"/>
      <c r="O38" s="4"/>
      <c r="P38" s="4"/>
      <c r="Q38" s="4"/>
      <c r="R38" s="4"/>
      <c r="S38" s="4"/>
      <c r="T38" s="116"/>
      <c r="U38" s="116"/>
      <c r="V38" s="116"/>
      <c r="W38" s="116"/>
      <c r="X38" s="116"/>
      <c r="Y38" s="116"/>
      <c r="Z38" s="116"/>
      <c r="AA38" s="116"/>
      <c r="AB38" s="116"/>
      <c r="AC38" s="116"/>
      <c r="AD38" s="116"/>
      <c r="AE38" s="116"/>
      <c r="AF38" s="116"/>
      <c r="AG38" s="116"/>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DE38" s="1"/>
      <c r="DF38" s="34"/>
    </row>
    <row r="39" spans="1:111" s="15" customFormat="1" ht="18.75" customHeight="1" x14ac:dyDescent="0.35">
      <c r="A39" s="4"/>
      <c r="B39" s="4"/>
      <c r="C39" s="4"/>
      <c r="D39" s="4"/>
      <c r="E39" s="4"/>
      <c r="F39" s="4"/>
      <c r="G39" s="4"/>
      <c r="H39" s="4"/>
      <c r="I39" s="4"/>
      <c r="J39" s="4"/>
      <c r="K39" s="4"/>
      <c r="L39" s="4"/>
      <c r="M39" s="4"/>
      <c r="N39" s="4"/>
      <c r="O39" s="4"/>
      <c r="P39" s="4"/>
      <c r="Q39" s="4"/>
      <c r="R39" s="4"/>
      <c r="S39" s="4"/>
      <c r="T39" s="116"/>
      <c r="U39" s="116"/>
      <c r="V39" s="116"/>
      <c r="W39" s="116"/>
      <c r="X39" s="116"/>
      <c r="Y39" s="116"/>
      <c r="Z39" s="116"/>
      <c r="AA39" s="116"/>
      <c r="AB39" s="116"/>
      <c r="AC39" s="116"/>
      <c r="AD39" s="116"/>
      <c r="AE39" s="116"/>
      <c r="AF39" s="116"/>
      <c r="AG39" s="116"/>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DE39" s="1"/>
      <c r="DF39" s="34"/>
    </row>
    <row r="40" spans="1:111" s="15" customFormat="1" ht="18.75" customHeight="1" x14ac:dyDescent="0.35">
      <c r="A40" s="4"/>
      <c r="B40" s="4"/>
      <c r="C40" s="4"/>
      <c r="D40" s="4"/>
      <c r="E40" s="4"/>
      <c r="F40" s="4"/>
      <c r="G40" s="4"/>
      <c r="H40" s="4"/>
      <c r="I40" s="4"/>
      <c r="J40" s="4"/>
      <c r="K40" s="4"/>
      <c r="L40" s="4"/>
      <c r="M40" s="4"/>
      <c r="N40" s="4"/>
      <c r="O40" s="4"/>
      <c r="P40" s="4"/>
      <c r="Q40" s="4"/>
      <c r="R40" s="4"/>
      <c r="S40" s="4"/>
      <c r="T40" s="116"/>
      <c r="U40" s="116"/>
      <c r="V40" s="116"/>
      <c r="W40" s="116"/>
      <c r="X40" s="116"/>
      <c r="Y40" s="116"/>
      <c r="Z40" s="116"/>
      <c r="AA40" s="116"/>
      <c r="AB40" s="116"/>
      <c r="AC40" s="116"/>
      <c r="AD40" s="116"/>
      <c r="AE40" s="116"/>
      <c r="AF40" s="116"/>
      <c r="AG40" s="116"/>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DE40" s="1"/>
      <c r="DF40" s="34"/>
    </row>
    <row r="41" spans="1:111" s="15" customFormat="1" ht="18.75" customHeight="1" x14ac:dyDescent="0.35">
      <c r="A41" s="4"/>
      <c r="B41" s="4"/>
      <c r="C41" s="4"/>
      <c r="D41" s="4"/>
      <c r="E41" s="4"/>
      <c r="F41" s="4"/>
      <c r="G41" s="4"/>
      <c r="H41" s="4"/>
      <c r="I41" s="4"/>
      <c r="J41" s="4"/>
      <c r="K41" s="4"/>
      <c r="L41" s="4"/>
      <c r="M41" s="4"/>
      <c r="N41" s="4"/>
      <c r="O41" s="4"/>
      <c r="P41" s="4"/>
      <c r="Q41" s="4"/>
      <c r="R41" s="4"/>
      <c r="S41" s="4"/>
      <c r="T41" s="116"/>
      <c r="U41" s="116"/>
      <c r="V41" s="116"/>
      <c r="W41" s="116"/>
      <c r="X41" s="116"/>
      <c r="Y41" s="116"/>
      <c r="Z41" s="116"/>
      <c r="AA41" s="116"/>
      <c r="AB41" s="116"/>
      <c r="AC41" s="116"/>
      <c r="AD41" s="116"/>
      <c r="AE41" s="116"/>
      <c r="AF41" s="116"/>
      <c r="AG41" s="116"/>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DE41" s="1"/>
      <c r="DF41" s="34"/>
    </row>
    <row r="42" spans="1:111" s="15" customFormat="1" ht="18.75" customHeight="1" x14ac:dyDescent="0.35">
      <c r="A42" s="4"/>
      <c r="B42" s="4"/>
      <c r="C42" s="4"/>
      <c r="D42" s="4"/>
      <c r="E42" s="4"/>
      <c r="F42" s="4"/>
      <c r="G42" s="4"/>
      <c r="H42" s="4"/>
      <c r="I42" s="4"/>
      <c r="J42" s="4"/>
      <c r="K42" s="4"/>
      <c r="L42" s="4"/>
      <c r="M42" s="4"/>
      <c r="N42" s="4"/>
      <c r="O42" s="4"/>
      <c r="P42" s="4"/>
      <c r="Q42" s="4"/>
      <c r="R42" s="4"/>
      <c r="S42" s="4"/>
      <c r="T42" s="116"/>
      <c r="U42" s="116"/>
      <c r="V42" s="116"/>
      <c r="W42" s="116"/>
      <c r="X42" s="116"/>
      <c r="Y42" s="116"/>
      <c r="Z42" s="116"/>
      <c r="AA42" s="116"/>
      <c r="AB42" s="116"/>
      <c r="AC42" s="116"/>
      <c r="AD42" s="116"/>
      <c r="AE42" s="116"/>
      <c r="AF42" s="116"/>
      <c r="AG42" s="116"/>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DE42" s="1"/>
      <c r="DF42" s="34"/>
    </row>
    <row r="43" spans="1:111" s="15" customFormat="1" ht="18.75" customHeight="1" x14ac:dyDescent="0.35">
      <c r="A43" s="4"/>
      <c r="B43" s="4"/>
      <c r="C43" s="4"/>
      <c r="D43" s="4"/>
      <c r="E43" s="4"/>
      <c r="F43" s="4"/>
      <c r="G43" s="4"/>
      <c r="H43" s="4"/>
      <c r="I43" s="4"/>
      <c r="J43" s="4"/>
      <c r="K43" s="4"/>
      <c r="L43" s="4"/>
      <c r="M43" s="4"/>
      <c r="N43" s="4"/>
      <c r="O43" s="4"/>
      <c r="P43" s="4"/>
      <c r="Q43" s="4"/>
      <c r="R43" s="4"/>
      <c r="S43" s="4"/>
      <c r="T43" s="116"/>
      <c r="U43" s="116"/>
      <c r="V43" s="116"/>
      <c r="W43" s="116"/>
      <c r="X43" s="116"/>
      <c r="Y43" s="116"/>
      <c r="Z43" s="116"/>
      <c r="AA43" s="116"/>
      <c r="AB43" s="116"/>
      <c r="AC43" s="116"/>
      <c r="AD43" s="116"/>
      <c r="AE43" s="116"/>
      <c r="AF43" s="116"/>
      <c r="AG43" s="116"/>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DE43" s="1"/>
      <c r="DF43" s="34"/>
    </row>
    <row r="44" spans="1:111" s="15" customFormat="1" ht="18.75" customHeight="1" x14ac:dyDescent="0.35">
      <c r="A44" s="4"/>
      <c r="B44" s="4"/>
      <c r="C44" s="4"/>
      <c r="D44" s="4"/>
      <c r="E44" s="4"/>
      <c r="F44" s="4"/>
      <c r="G44" s="4"/>
      <c r="H44" s="4"/>
      <c r="I44" s="4"/>
      <c r="J44" s="4"/>
      <c r="K44" s="4"/>
      <c r="L44" s="4"/>
      <c r="M44" s="4"/>
      <c r="N44" s="4"/>
      <c r="O44" s="4"/>
      <c r="P44" s="4"/>
      <c r="Q44" s="4"/>
      <c r="R44" s="4"/>
      <c r="S44" s="4"/>
      <c r="T44" s="116"/>
      <c r="U44" s="116"/>
      <c r="V44" s="116"/>
      <c r="W44" s="116"/>
      <c r="X44" s="116"/>
      <c r="Y44" s="116"/>
      <c r="Z44" s="116"/>
      <c r="AA44" s="116"/>
      <c r="AB44" s="116"/>
      <c r="AC44" s="116"/>
      <c r="AD44" s="116"/>
      <c r="AE44" s="116"/>
      <c r="AF44" s="116"/>
      <c r="AG44" s="116"/>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DE44" s="1"/>
      <c r="DF44" s="34"/>
    </row>
    <row r="45" spans="1:111" s="15" customFormat="1" ht="12" customHeight="1" x14ac:dyDescent="0.35">
      <c r="A45" s="4"/>
      <c r="B45" s="4"/>
      <c r="C45" s="4"/>
      <c r="D45" s="4"/>
      <c r="E45" s="4"/>
      <c r="F45" s="4"/>
      <c r="G45" s="4"/>
      <c r="H45" s="4"/>
      <c r="I45" s="4"/>
      <c r="J45" s="4"/>
      <c r="K45" s="4"/>
      <c r="L45" s="4"/>
      <c r="M45" s="4"/>
      <c r="N45" s="4"/>
      <c r="O45" s="4"/>
      <c r="P45" s="4"/>
      <c r="Q45" s="4"/>
      <c r="R45" s="4"/>
      <c r="S45" s="4"/>
      <c r="T45" s="116"/>
      <c r="U45" s="116"/>
      <c r="V45" s="116"/>
      <c r="W45" s="116"/>
      <c r="X45" s="116"/>
      <c r="Y45" s="116"/>
      <c r="Z45" s="116"/>
      <c r="AA45" s="116"/>
      <c r="AB45" s="116"/>
      <c r="AC45" s="116"/>
      <c r="AD45" s="116"/>
      <c r="AE45" s="116"/>
      <c r="AF45" s="116"/>
      <c r="AG45" s="116"/>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DE45" s="1"/>
      <c r="DF45" s="34"/>
    </row>
    <row r="46" spans="1:111" s="15" customFormat="1" ht="12" customHeight="1" x14ac:dyDescent="0.35">
      <c r="A46" s="4"/>
      <c r="B46" s="4"/>
      <c r="C46" s="4"/>
      <c r="D46" s="4"/>
      <c r="E46" s="4"/>
      <c r="F46" s="4"/>
      <c r="G46" s="4"/>
      <c r="H46" s="4"/>
      <c r="I46" s="4"/>
      <c r="J46" s="4"/>
      <c r="K46" s="4"/>
      <c r="L46" s="4"/>
      <c r="M46" s="4"/>
      <c r="N46" s="4"/>
      <c r="O46" s="4"/>
      <c r="P46" s="4"/>
      <c r="Q46" s="4"/>
      <c r="R46" s="4"/>
      <c r="S46" s="4"/>
      <c r="T46" s="116"/>
      <c r="U46" s="116"/>
      <c r="V46" s="116"/>
      <c r="W46" s="116"/>
      <c r="X46" s="116"/>
      <c r="Y46" s="116"/>
      <c r="Z46" s="116"/>
      <c r="AA46" s="116"/>
      <c r="AB46" s="116"/>
      <c r="AC46" s="116"/>
      <c r="AD46" s="116"/>
      <c r="AE46" s="116"/>
      <c r="AF46" s="116"/>
      <c r="AG46" s="116"/>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DE46" s="1"/>
      <c r="DF46" s="34"/>
      <c r="DG46" s="34"/>
    </row>
    <row r="47" spans="1:111" s="15" customFormat="1" ht="12" customHeight="1" x14ac:dyDescent="0.35">
      <c r="A47" s="4"/>
      <c r="B47" s="4"/>
      <c r="C47" s="4"/>
      <c r="D47" s="4"/>
      <c r="E47" s="4"/>
      <c r="F47" s="4"/>
      <c r="G47" s="4"/>
      <c r="H47" s="4"/>
      <c r="I47" s="4"/>
      <c r="J47" s="4"/>
      <c r="K47" s="4"/>
      <c r="L47" s="4"/>
      <c r="M47" s="4"/>
      <c r="N47" s="4"/>
      <c r="O47" s="4"/>
      <c r="P47" s="4"/>
      <c r="Q47" s="4"/>
      <c r="R47" s="4"/>
      <c r="S47" s="4"/>
      <c r="T47" s="116"/>
      <c r="U47" s="116"/>
      <c r="V47" s="116"/>
      <c r="W47" s="116"/>
      <c r="X47" s="116"/>
      <c r="Y47" s="116"/>
      <c r="Z47" s="116"/>
      <c r="AA47" s="116"/>
      <c r="AB47" s="116"/>
      <c r="AC47" s="116"/>
      <c r="AD47" s="116"/>
      <c r="AE47" s="116"/>
      <c r="AF47" s="116"/>
      <c r="AG47" s="116"/>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DE47" s="1"/>
      <c r="DF47" s="34"/>
      <c r="DG47" s="34"/>
    </row>
    <row r="48" spans="1:111" s="15" customFormat="1" ht="12" customHeight="1" x14ac:dyDescent="0.35">
      <c r="A48" s="4"/>
      <c r="B48" s="4"/>
      <c r="C48" s="4"/>
      <c r="D48" s="4"/>
      <c r="E48" s="4"/>
      <c r="F48" s="4"/>
      <c r="G48" s="4"/>
      <c r="H48" s="4"/>
      <c r="I48" s="4"/>
      <c r="J48" s="4"/>
      <c r="K48" s="4"/>
      <c r="L48" s="4"/>
      <c r="M48" s="4"/>
      <c r="N48" s="4"/>
      <c r="O48" s="4"/>
      <c r="P48" s="4"/>
      <c r="Q48" s="4"/>
      <c r="R48" s="4"/>
      <c r="S48" s="4"/>
      <c r="T48" s="116"/>
      <c r="U48" s="116"/>
      <c r="V48" s="116"/>
      <c r="W48" s="116"/>
      <c r="X48" s="116"/>
      <c r="Y48" s="116"/>
      <c r="Z48" s="116"/>
      <c r="AA48" s="116"/>
      <c r="AB48" s="116"/>
      <c r="AC48" s="116"/>
      <c r="AD48" s="116"/>
      <c r="AE48" s="116"/>
      <c r="AF48" s="116"/>
      <c r="AG48" s="116"/>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DE48" s="1"/>
      <c r="DF48" s="34"/>
      <c r="DG48" s="34"/>
    </row>
    <row r="49" spans="1:111" s="15" customFormat="1" ht="12" customHeight="1" x14ac:dyDescent="0.35">
      <c r="A49" s="4"/>
      <c r="B49" s="4"/>
      <c r="C49" s="4"/>
      <c r="D49" s="4"/>
      <c r="E49" s="4"/>
      <c r="F49" s="4"/>
      <c r="G49" s="4"/>
      <c r="H49" s="4"/>
      <c r="I49" s="4"/>
      <c r="J49" s="4"/>
      <c r="K49" s="4"/>
      <c r="L49" s="4"/>
      <c r="M49" s="4"/>
      <c r="N49" s="4"/>
      <c r="O49" s="4"/>
      <c r="P49" s="4"/>
      <c r="Q49" s="4"/>
      <c r="R49" s="4"/>
      <c r="S49" s="4"/>
      <c r="T49" s="116"/>
      <c r="U49" s="116"/>
      <c r="V49" s="116"/>
      <c r="W49" s="116"/>
      <c r="X49" s="116"/>
      <c r="Y49" s="116"/>
      <c r="Z49" s="116"/>
      <c r="AA49" s="116"/>
      <c r="AB49" s="116"/>
      <c r="AC49" s="116"/>
      <c r="AD49" s="116"/>
      <c r="AE49" s="116"/>
      <c r="AF49" s="116"/>
      <c r="AG49" s="116"/>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DE49" s="1"/>
      <c r="DF49" s="34"/>
      <c r="DG49" s="34"/>
    </row>
    <row r="50" spans="1:111" s="15" customFormat="1" ht="12" customHeight="1" x14ac:dyDescent="0.35">
      <c r="A50" s="4"/>
      <c r="B50" s="4"/>
      <c r="C50" s="4"/>
      <c r="D50" s="4"/>
      <c r="E50" s="4"/>
      <c r="F50" s="4"/>
      <c r="G50" s="4"/>
      <c r="H50" s="4"/>
      <c r="I50" s="4"/>
      <c r="J50" s="4"/>
      <c r="K50" s="4"/>
      <c r="L50" s="4"/>
      <c r="M50" s="4"/>
      <c r="N50" s="4"/>
      <c r="O50" s="4"/>
      <c r="P50" s="4"/>
      <c r="Q50" s="4"/>
      <c r="R50" s="4"/>
      <c r="S50" s="4"/>
      <c r="T50" s="116"/>
      <c r="U50" s="116"/>
      <c r="V50" s="116"/>
      <c r="W50" s="116"/>
      <c r="X50" s="116"/>
      <c r="Y50" s="116"/>
      <c r="Z50" s="116"/>
      <c r="AA50" s="116"/>
      <c r="AB50" s="116"/>
      <c r="AC50" s="116"/>
      <c r="AD50" s="116"/>
      <c r="AE50" s="116"/>
      <c r="AF50" s="116"/>
      <c r="AG50" s="116"/>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DE50" s="1"/>
      <c r="DF50" s="34"/>
      <c r="DG50" s="34"/>
    </row>
    <row r="51" spans="1:111" s="15" customFormat="1" ht="12" customHeight="1" x14ac:dyDescent="0.35">
      <c r="A51" s="4"/>
      <c r="B51" s="4"/>
      <c r="C51" s="4"/>
      <c r="D51" s="4"/>
      <c r="E51" s="4"/>
      <c r="F51" s="4"/>
      <c r="G51" s="4"/>
      <c r="H51" s="4"/>
      <c r="I51" s="4"/>
      <c r="J51" s="4"/>
      <c r="K51" s="4"/>
      <c r="L51" s="4"/>
      <c r="M51" s="4"/>
      <c r="N51" s="4"/>
      <c r="O51" s="4"/>
      <c r="P51" s="4"/>
      <c r="Q51" s="4"/>
      <c r="R51" s="4"/>
      <c r="S51" s="4"/>
      <c r="T51" s="116"/>
      <c r="U51" s="116"/>
      <c r="V51" s="116"/>
      <c r="W51" s="116"/>
      <c r="X51" s="116"/>
      <c r="Y51" s="116"/>
      <c r="Z51" s="116"/>
      <c r="AA51" s="116"/>
      <c r="AB51" s="116"/>
      <c r="AC51" s="116"/>
      <c r="AD51" s="116"/>
      <c r="AE51" s="116"/>
      <c r="AF51" s="116"/>
      <c r="AG51" s="116"/>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DE51" s="1"/>
      <c r="DF51" s="34"/>
      <c r="DG51" s="34"/>
    </row>
    <row r="52" spans="1:111" s="15" customFormat="1" ht="12" customHeight="1" x14ac:dyDescent="0.35">
      <c r="A52" s="4"/>
      <c r="B52" s="4"/>
      <c r="C52" s="4"/>
      <c r="D52" s="4"/>
      <c r="E52" s="4"/>
      <c r="F52" s="4"/>
      <c r="G52" s="4"/>
      <c r="H52" s="4"/>
      <c r="I52" s="4"/>
      <c r="J52" s="4"/>
      <c r="K52" s="4"/>
      <c r="L52" s="4"/>
      <c r="M52" s="4"/>
      <c r="N52" s="4"/>
      <c r="O52" s="4"/>
      <c r="P52" s="4"/>
      <c r="Q52" s="4"/>
      <c r="R52" s="4"/>
      <c r="S52" s="4"/>
      <c r="T52" s="116"/>
      <c r="U52" s="116"/>
      <c r="V52" s="116"/>
      <c r="W52" s="116"/>
      <c r="X52" s="116"/>
      <c r="Y52" s="116"/>
      <c r="Z52" s="116"/>
      <c r="AA52" s="116"/>
      <c r="AB52" s="116"/>
      <c r="AC52" s="116"/>
      <c r="AD52" s="116"/>
      <c r="AE52" s="116"/>
      <c r="AF52" s="116"/>
      <c r="AG52" s="116"/>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DE52" s="1"/>
      <c r="DF52" s="34"/>
      <c r="DG52" s="34"/>
    </row>
  </sheetData>
  <dataConsolidate/>
  <conditionalFormatting sqref="H23:K23 AA3:AD24">
    <cfRule type="cellIs" dxfId="1521" priority="1" operator="between">
      <formula>0.4</formula>
      <formula>0.6</formula>
    </cfRule>
    <cfRule type="cellIs" dxfId="1520" priority="2" operator="greaterThan">
      <formula>0.8</formula>
    </cfRule>
    <cfRule type="cellIs" dxfId="1519" priority="3" operator="between">
      <formula>0.6</formula>
      <formula>0.8</formula>
    </cfRule>
    <cfRule type="cellIs" dxfId="1518" priority="4" operator="between">
      <formula>0.2</formula>
      <formula>0.4</formula>
    </cfRule>
    <cfRule type="cellIs" dxfId="1517"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1"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133350</xdr:rowOff>
              </from>
              <to>
                <xdr:col>18</xdr:col>
                <xdr:colOff>1419225</xdr:colOff>
                <xdr:row>5</xdr:row>
                <xdr:rowOff>47625</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0</xdr:col>
                <xdr:colOff>285750</xdr:colOff>
                <xdr:row>5</xdr:row>
                <xdr:rowOff>28575</xdr:rowOff>
              </from>
              <to>
                <xdr:col>0</xdr:col>
                <xdr:colOff>666750</xdr:colOff>
                <xdr:row>5</xdr:row>
                <xdr:rowOff>219075</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0</xdr:col>
                <xdr:colOff>819150</xdr:colOff>
                <xdr:row>5</xdr:row>
                <xdr:rowOff>19050</xdr:rowOff>
              </from>
              <to>
                <xdr:col>1</xdr:col>
                <xdr:colOff>323850</xdr:colOff>
                <xdr:row>5</xdr:row>
                <xdr:rowOff>209550</xdr:rowOff>
              </to>
            </anchor>
          </controlPr>
        </control>
      </mc:Choice>
    </mc:AlternateContent>
    <mc:AlternateContent xmlns:mc="http://schemas.openxmlformats.org/markup-compatibility/2006">
      <mc:Choice Requires="x14">
        <control shapeId="64516" r:id="rId9" name="Label 4">
          <controlPr defaultSize="0" autoFill="0" autoLine="0" autoPict="0">
            <anchor moveWithCells="1" sizeWithCells="1">
              <from>
                <xdr:col>1</xdr:col>
                <xdr:colOff>723900</xdr:colOff>
                <xdr:row>5</xdr:row>
                <xdr:rowOff>38100</xdr:rowOff>
              </from>
              <to>
                <xdr:col>2</xdr:col>
                <xdr:colOff>238125</xdr:colOff>
                <xdr:row>5</xdr:row>
                <xdr:rowOff>238125</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0</xdr:col>
                <xdr:colOff>704850</xdr:colOff>
                <xdr:row>0</xdr:row>
                <xdr:rowOff>247650</xdr:rowOff>
              </from>
              <to>
                <xdr:col>1</xdr:col>
                <xdr:colOff>800100</xdr:colOff>
                <xdr:row>1</xdr:row>
                <xdr:rowOff>190500</xdr:rowOff>
              </to>
            </anchor>
          </controlPr>
        </control>
      </mc:Choice>
    </mc:AlternateContent>
  </controls>
  <tableParts count="1">
    <tablePart r:id="rId1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w o r k b o o k c u s t o m i z a t i o n / R e l a t i o n s h i p A u t o D e t e c t i o n E n a b l e d " > < C u s t o m C o n t e n t > < ! [ C D A T A [ T r u e ] ] > < / C u s t o m C o n t e n t > < / G e m i n i > 
</file>

<file path=customXml/item10.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11.xml>��< ? x m l   v e r s i o n = " 1 . 0 "   e n c o d i n g = " U T F - 1 6 " ? > < G e m i n i   x m l n s = " h t t p : / / g e m i n i / w o r k b o o k c u s t o m i z a t i o n / S a n d b o x N o n E m p t y " > < C u s t o m C o n t e n t > < ! [ C D A T A [ 1 ] ] > < / C u s t o m C o n t e n t > < / G e m i n i > 
</file>

<file path=customXml/item2.xml>��< ? x m l   v e r s i o n = " 1 . 0 "   e n c o d i n g = " U T F - 1 6 " ? > < G e m i n i   x m l n s = " h t t p : / / g e m i n i / p i v o t c u s t o m i z a t i o n / L i n k e d T a b l e U p d a t e M o d e " > < C u s t o m C o n t e n t > < ! [ C D A T A [ T r u e ] ] > < / C u s t o m C o n t e n t > < / G e m i n i > 
</file>

<file path=customXml/item3.xml>��< ? x m l   v e r s i o n = " 1 . 0 "   e n c o d i n g = " U T F - 1 6 " ? > < G e m i n i   x m l n s = " h t t p : / / g e m i n i / p i v o t c u s t o m i z a t i o n / T a b l e O r d e r " > < C u s t o m C o n t e n t > < ! [ C D A T A [ ] ] > < / C u s t o m C o n t e n t > < / G e m i n i > 
</file>

<file path=customXml/item4.xml>��< ? x m l   v e r s i o n = " 1 . 0 "   e n c o d i n g = " U T F - 1 6 " ? > < G e m i n i   x m l n s = " h t t p : / / g e m i n i / p i v o t c u s t o m i z a t i o n / T a b l e C o u n t I n S a n d b o x " > < C u s t o m C o n t e n t > < ! [ C D A T A [ 2 ] ] > < / C u s t o m C o n t e n t > < / G e m i n i > 
</file>

<file path=customXml/item5.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6.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7.xml>��< ? x m l   v e r s i o n = " 1 . 0 "   e n c o d i n g = " U T F - 1 6 " ? > < G e m i n i   x m l n s = " h t t p : / / g e m i n i / p i v o t c u s t o m i z a t i o n / C l i e n t W i n d o w X M L " > < C u s t o m C o n t e n t > < ! [ C D A T A [ T a b l e _ C a m p L i s t ] ] > < / C u s t o m C o n t e n t > < / G e m i n i > 
</file>

<file path=customXml/item8.xml>��< ? x m l   v e r s i o n = " 1 . 0 "   e n c o d i n g = " U T F - 1 6 " ? > < G e m i n i   x m l n s = " h t t p : / / g e m i n i / p i v o t c u s t o m i z a t i o n / M a n u a l C a l c M o d e " > < C u s t o m C o n t e n t > < ! [ C D A T A [ F a l s e ] ] > < / C u s t o m C o n t e n t > < / G e m i n i > 
</file>

<file path=customXml/item9.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Props1.xml><?xml version="1.0" encoding="utf-8"?>
<ds:datastoreItem xmlns:ds="http://schemas.openxmlformats.org/officeDocument/2006/customXml" ds:itemID="{C2BE83A5-448A-4B18-BB34-D729CAA9F86F}">
  <ds:schemaRefs/>
</ds:datastoreItem>
</file>

<file path=customXml/itemProps10.xml><?xml version="1.0" encoding="utf-8"?>
<ds:datastoreItem xmlns:ds="http://schemas.openxmlformats.org/officeDocument/2006/customXml" ds:itemID="{54F841B6-B55C-4835-A603-634668231C4E}">
  <ds:schemaRefs/>
</ds:datastoreItem>
</file>

<file path=customXml/itemProps11.xml><?xml version="1.0" encoding="utf-8"?>
<ds:datastoreItem xmlns:ds="http://schemas.openxmlformats.org/officeDocument/2006/customXml" ds:itemID="{D50E7055-9622-4A96-82B8-EBACB5B39629}">
  <ds:schemaRefs/>
</ds:datastoreItem>
</file>

<file path=customXml/itemProps2.xml><?xml version="1.0" encoding="utf-8"?>
<ds:datastoreItem xmlns:ds="http://schemas.openxmlformats.org/officeDocument/2006/customXml" ds:itemID="{29F038A7-53D4-43C9-BA81-F04FA320B26C}">
  <ds:schemaRefs/>
</ds:datastoreItem>
</file>

<file path=customXml/itemProps3.xml><?xml version="1.0" encoding="utf-8"?>
<ds:datastoreItem xmlns:ds="http://schemas.openxmlformats.org/officeDocument/2006/customXml" ds:itemID="{69B4A3EE-0A3F-4462-99AB-FF7F45263C2E}">
  <ds:schemaRefs/>
</ds:datastoreItem>
</file>

<file path=customXml/itemProps4.xml><?xml version="1.0" encoding="utf-8"?>
<ds:datastoreItem xmlns:ds="http://schemas.openxmlformats.org/officeDocument/2006/customXml" ds:itemID="{DB9160EE-0167-41E4-AC28-973692AB29DA}">
  <ds:schemaRefs/>
</ds:datastoreItem>
</file>

<file path=customXml/itemProps5.xml><?xml version="1.0" encoding="utf-8"?>
<ds:datastoreItem xmlns:ds="http://schemas.openxmlformats.org/officeDocument/2006/customXml" ds:itemID="{3957C5D7-EFF0-44A3-9298-445924399827}">
  <ds:schemaRefs/>
</ds:datastoreItem>
</file>

<file path=customXml/itemProps6.xml><?xml version="1.0" encoding="utf-8"?>
<ds:datastoreItem xmlns:ds="http://schemas.openxmlformats.org/officeDocument/2006/customXml" ds:itemID="{56F54182-A2E7-46D3-9B50-3EE12C2ED11C}">
  <ds:schemaRefs/>
</ds:datastoreItem>
</file>

<file path=customXml/itemProps7.xml><?xml version="1.0" encoding="utf-8"?>
<ds:datastoreItem xmlns:ds="http://schemas.openxmlformats.org/officeDocument/2006/customXml" ds:itemID="{813269B1-46E6-446B-AAFD-6C3C2E019447}">
  <ds:schemaRefs/>
</ds:datastoreItem>
</file>

<file path=customXml/itemProps8.xml><?xml version="1.0" encoding="utf-8"?>
<ds:datastoreItem xmlns:ds="http://schemas.openxmlformats.org/officeDocument/2006/customXml" ds:itemID="{EFDD4649-07B9-495C-8FFA-CE327D4258B8}">
  <ds:schemaRefs/>
</ds:datastoreItem>
</file>

<file path=customXml/itemProps9.xml><?xml version="1.0" encoding="utf-8"?>
<ds:datastoreItem xmlns:ds="http://schemas.openxmlformats.org/officeDocument/2006/customXml" ds:itemID="{21F44420-13F1-4F50-9105-F761EFC3AFF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102</vt:i4>
      </vt:variant>
    </vt:vector>
  </HeadingPairs>
  <TitlesOfParts>
    <vt:vector size="125" baseType="lpstr">
      <vt:lpstr>Home</vt:lpstr>
      <vt:lpstr>Camp List</vt:lpstr>
      <vt:lpstr>DistanceToCamp</vt:lpstr>
      <vt:lpstr>Camp Analysis</vt:lpstr>
      <vt:lpstr>Camp List (printable)</vt:lpstr>
      <vt:lpstr>CCCM Dashboard</vt:lpstr>
      <vt:lpstr>ForGIS</vt:lpstr>
      <vt:lpstr>Shelter Cross Check</vt:lpstr>
      <vt:lpstr>Map</vt:lpstr>
      <vt:lpstr>Shelter Tracking</vt:lpstr>
      <vt:lpstr>Shelter Progress</vt:lpstr>
      <vt:lpstr>Shelter Summary (by Agency)</vt:lpstr>
      <vt:lpstr>Shelter Coverage Camp</vt:lpstr>
      <vt:lpstr>Shelter Coverage &amp; Gaps</vt:lpstr>
      <vt:lpstr>NFI Tracking</vt:lpstr>
      <vt:lpstr>NFI Pipeline</vt:lpstr>
      <vt:lpstr>Sheet2</vt:lpstr>
      <vt:lpstr>NFI Distribution (by Tship)</vt:lpstr>
      <vt:lpstr>Winter Item</vt:lpstr>
      <vt:lpstr>NFI Summary</vt:lpstr>
      <vt:lpstr>Define_TCL</vt:lpstr>
      <vt:lpstr>File_Details</vt:lpstr>
      <vt:lpstr>Definition</vt:lpstr>
      <vt:lpstr>Map!AllData_Camplist</vt:lpstr>
      <vt:lpstr>'Shelter Coverage &amp; Gaps'!AllData_Camplist</vt:lpstr>
      <vt:lpstr>AllData_Camplist</vt:lpstr>
      <vt:lpstr>Camp_Accessibility</vt:lpstr>
      <vt:lpstr>Camp_List</vt:lpstr>
      <vt:lpstr>Camplist_HH</vt:lpstr>
      <vt:lpstr>Camplist_Popl</vt:lpstr>
      <vt:lpstr>CampList_Status</vt:lpstr>
      <vt:lpstr>Camplist_Township</vt:lpstr>
      <vt:lpstr>Camplist_Type_Of_Acc</vt:lpstr>
      <vt:lpstr>CL</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Kachin</vt:lpstr>
      <vt:lpstr>Kashin</vt:lpstr>
      <vt:lpstr>Map!Kyauk_Phyu_G</vt:lpstr>
      <vt:lpstr>NameTSPOP</vt:lpstr>
      <vt:lpstr>NFI</vt:lpstr>
      <vt:lpstr>NFI_Blanket_Pipeline</vt:lpstr>
      <vt:lpstr>NFI_Blanket_Stock</vt:lpstr>
      <vt:lpstr>NFI_Blanket_Track</vt:lpstr>
      <vt:lpstr>NFI_Clothes_Pipeline</vt:lpstr>
      <vt:lpstr>NFI_Clothes_Stock</vt:lpstr>
      <vt:lpstr>NFI_Clothes_Track</vt:lpstr>
      <vt:lpstr>NFI_Core_Pipeline</vt:lpstr>
      <vt:lpstr>NFI_Core_Stock</vt:lpstr>
      <vt:lpstr>NFI_Core_Track</vt:lpstr>
      <vt:lpstr>NFI_Expiration</vt:lpstr>
      <vt:lpstr>NFI_Hygiene_Pipeline</vt:lpstr>
      <vt:lpstr>NFI_Hygiene_Stock</vt:lpstr>
      <vt:lpstr>NFI_Hygiene_Track</vt:lpstr>
      <vt:lpstr>NFI_Kitchen_Pipeline</vt:lpstr>
      <vt:lpstr>NFI_Kitchen_Stock</vt:lpstr>
      <vt:lpstr>NFI_Kitchen_Track</vt:lpstr>
      <vt:lpstr>NFI_Monitor_Date</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NFI_State</vt:lpstr>
      <vt:lpstr>NFI_Tarpaulin_Pipeline</vt:lpstr>
      <vt:lpstr>NFI_Tarpaulin_Stock</vt:lpstr>
      <vt:lpstr>NFI_Tarpaulin_Track</vt:lpstr>
      <vt:lpstr>NFI_Township</vt:lpstr>
      <vt:lpstr>NFI_Winter_Blanket_Pipeline</vt:lpstr>
      <vt:lpstr>NFI_Winter_Blanket_Stock</vt:lpstr>
      <vt:lpstr>NFI_Winter_Blanket_Track</vt:lpstr>
      <vt:lpstr>NFI_Winter_Clothes_Adult_Pipeline</vt:lpstr>
      <vt:lpstr>NFI_Winter_Clothes_Adult_Stock</vt:lpstr>
      <vt:lpstr>NFI_Winter_Clothes_Adult_Track</vt:lpstr>
      <vt:lpstr>NFI_Winter_Clothes_Children_Pipeline</vt:lpstr>
      <vt:lpstr>NFI_Winter_Clothes_Children_Stock</vt:lpstr>
      <vt:lpstr>NFI_Winter_Clothes_Children_Track</vt:lpstr>
      <vt:lpstr>NFI_Winter_Items_Other_Pipeline</vt:lpstr>
      <vt:lpstr>NFI_Winter_Items_Other_Stock</vt:lpstr>
      <vt:lpstr>NFI_Winter_Items_Other_Track</vt:lpstr>
      <vt:lpstr>Pcode_Priority</vt:lpstr>
      <vt:lpstr>'Camp Analysis'!Print_Area</vt:lpstr>
      <vt:lpstr>'Camp List'!Print_Area</vt:lpstr>
      <vt:lpstr>'CCCM Dashboard'!Print_Area</vt:lpstr>
      <vt:lpstr>Map!Print_Area</vt:lpstr>
      <vt:lpstr>'NFI Distribution (by Tship)'!Print_Area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 List (printable)'!Print_Titles</vt:lpstr>
      <vt:lpstr>'Shelter Cross Check'!Print_Titles</vt:lpstr>
      <vt:lpstr>PriorityCampWin</vt:lpstr>
      <vt:lpstr>Map!Rakhine_DB</vt:lpstr>
      <vt:lpstr>Report_Date</vt:lpstr>
      <vt:lpstr>Shan_North</vt:lpstr>
      <vt:lpstr>Shelter_Draw_Ratio</vt:lpstr>
      <vt:lpstr>Shelter_HH_Covered</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Thi Thi Lwin</cp:lastModifiedBy>
  <cp:lastPrinted>2017-02-02T10:15:15Z</cp:lastPrinted>
  <dcterms:created xsi:type="dcterms:W3CDTF">2013-03-18T02:36:38Z</dcterms:created>
  <dcterms:modified xsi:type="dcterms:W3CDTF">2017-02-08T02:36:15Z</dcterms:modified>
</cp:coreProperties>
</file>